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4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drawings/drawing7.xml" ContentType="application/vnd.openxmlformats-officedocument.drawing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drawings/drawing12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6.xml" ContentType="application/vnd.openxmlformats-officedocument.drawing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7.xml" ContentType="application/vnd.openxmlformats-officedocument.drawing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3.xml" ContentType="application/vnd.openxmlformats-officedocument.drawing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24.xml" ContentType="application/vnd.openxmlformats-officedocument.drawing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25.xml" ContentType="application/vnd.openxmlformats-officedocument.drawing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26.xml" ContentType="application/vnd.openxmlformats-officedocument.drawing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27.xml" ContentType="application/vnd.openxmlformats-officedocument.drawing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28.xml" ContentType="application/vnd.openxmlformats-officedocument.drawing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29.xml" ContentType="application/vnd.openxmlformats-officedocument.drawing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30.xml" ContentType="application/vnd.openxmlformats-officedocument.drawing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31.xml" ContentType="application/vnd.openxmlformats-officedocument.drawing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32.xml" ContentType="application/vnd.openxmlformats-officedocument.drawing+xml"/>
  <Override PartName="/xl/charts/chart8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1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2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3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4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33.xml" ContentType="application/vnd.openxmlformats-officedocument.drawing+xml"/>
  <Override PartName="/xl/charts/chart95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34.xml" ContentType="application/vnd.openxmlformats-officedocument.drawing+xml"/>
  <Override PartName="/xl/charts/chart96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7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8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9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00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01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2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3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35.xml" ContentType="application/vnd.openxmlformats-officedocument.drawing+xml"/>
  <Override PartName="/xl/charts/chart104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5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6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7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8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9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10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11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36.xml" ContentType="application/vnd.openxmlformats-officedocument.drawing+xml"/>
  <Override PartName="/xl/charts/chart112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3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14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5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6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7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8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9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20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21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39.xml" ContentType="application/vnd.openxmlformats-officedocument.drawing+xml"/>
  <Override PartName="/xl/charts/chart122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3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4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5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6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7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8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9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40.xml" ContentType="application/vnd.openxmlformats-officedocument.drawing+xml"/>
  <Override PartName="/xl/charts/chart130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31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41.xml" ContentType="application/vnd.openxmlformats-officedocument.drawing+xml"/>
  <Override PartName="/xl/charts/chart132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3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4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5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6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42.xml" ContentType="application/vnd.openxmlformats-officedocument.drawing+xml"/>
  <Override PartName="/xl/charts/chart137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8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9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40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41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43.xml" ContentType="application/vnd.openxmlformats-officedocument.drawing+xml"/>
  <Override PartName="/xl/charts/chart142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3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4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5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6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7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8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9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44.xml" ContentType="application/vnd.openxmlformats-officedocument.drawing+xml"/>
  <Override PartName="/xl/charts/chart150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51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2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3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4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5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6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drawings/drawing45.xml" ContentType="application/vnd.openxmlformats-officedocument.drawing+xml"/>
  <Override PartName="/xl/ctrlProps/ctrlProp77.xml" ContentType="application/vnd.ms-excel.controlproperties+xml"/>
  <Override PartName="/xl/charts/chart157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46.xml" ContentType="application/vnd.openxmlformats-officedocument.drawing+xml"/>
  <Override PartName="/xl/charts/chart158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9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60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61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62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3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4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5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6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7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47.xml" ContentType="application/vnd.openxmlformats-officedocument.drawing+xml"/>
  <Override PartName="/xl/charts/chart168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48.xml" ContentType="application/vnd.openxmlformats-officedocument.drawing+xml"/>
  <Override PartName="/xl/ctrlProps/ctrlProp78.xml" ContentType="application/vnd.ms-excel.controlproperties+xml"/>
  <Override PartName="/xl/ctrlProps/ctrlProp79.xml" ContentType="application/vnd.ms-excel.controlproperti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169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70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71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53.xml" ContentType="application/vnd.openxmlformats-officedocument.drawing+xml"/>
  <Override PartName="/xl/charts/chart172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3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4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5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6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54.xml" ContentType="application/vnd.openxmlformats-officedocument.drawing+xml"/>
  <Override PartName="/xl/charts/chart177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8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9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80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81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drawings/drawing55.xml" ContentType="application/vnd.openxmlformats-officedocument.drawing+xml"/>
  <Override PartName="/xl/charts/chart182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3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4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5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6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drawings/drawing56.xml" ContentType="application/vnd.openxmlformats-officedocument.drawing+xml"/>
  <Override PartName="/xl/charts/chart187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8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9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drawings/drawing57.xml" ContentType="application/vnd.openxmlformats-officedocument.drawing+xml"/>
  <Override PartName="/xl/charts/chart190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91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92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3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4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drawings/drawing58.xml" ContentType="application/vnd.openxmlformats-officedocument.drawing+xml"/>
  <Override PartName="/xl/charts/chart195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6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7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8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9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drawings/drawing59.xml" ContentType="application/vnd.openxmlformats-officedocument.drawing+xml"/>
  <Override PartName="/xl/charts/chart200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201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drawings/drawing60.xml" ContentType="application/vnd.openxmlformats-officedocument.drawing+xml"/>
  <Override PartName="/xl/charts/chart202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3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4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5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6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drawings/drawing61.xml" ContentType="application/vnd.openxmlformats-officedocument.drawing+xml"/>
  <Override PartName="/xl/charts/chart207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8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9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10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11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drawings/drawing62.xml" ContentType="application/vnd.openxmlformats-officedocument.drawing+xml"/>
  <Override PartName="/xl/charts/chart212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drawings/drawing63.xml" ContentType="application/vnd.openxmlformats-officedocument.drawing+xml"/>
  <Override PartName="/xl/charts/chart213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4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5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6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7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8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drawings/drawing64.xml" ContentType="application/vnd.openxmlformats-officedocument.drawing+xml"/>
  <Override PartName="/xl/charts/chart219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20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21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22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3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4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drawings/drawing65.xml" ContentType="application/vnd.openxmlformats-officedocument.drawing+xml"/>
  <Override PartName="/xl/charts/chart225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6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227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8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9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30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31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32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drawings/drawing68.xml" ContentType="application/vnd.openxmlformats-officedocument.drawing+xml"/>
  <Override PartName="/xl/charts/chart233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4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5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6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7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8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drawings/drawing69.xml" ContentType="application/vnd.openxmlformats-officedocument.drawing+xml"/>
  <Override PartName="/xl/charts/chart239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40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drawings/drawing70.xml" ContentType="application/vnd.openxmlformats-officedocument.drawing+xml"/>
  <Override PartName="/xl/charts/chart241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42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3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4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5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drawings/drawing71.xml" ContentType="application/vnd.openxmlformats-officedocument.drawing+xml"/>
  <Override PartName="/xl/charts/chart246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7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8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9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50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drawings/drawing72.xml" ContentType="application/vnd.openxmlformats-officedocument.drawing+xml"/>
  <Override PartName="/xl/charts/chart251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52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3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4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5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6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drawings/drawing73.xml" ContentType="application/vnd.openxmlformats-officedocument.drawing+xml"/>
  <Override PartName="/xl/charts/chart257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8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9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60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61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drawings/drawing74.xml" ContentType="application/vnd.openxmlformats-officedocument.drawing+xml"/>
  <Override PartName="/xl/ctrlProps/ctrlProp80.xml" ContentType="application/vnd.ms-excel.controlproperties+xml"/>
  <Override PartName="/xl/charts/chart262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drawings/drawing75.xml" ContentType="application/vnd.openxmlformats-officedocument.drawing+xml"/>
  <Override PartName="/xl/ctrlProps/ctrlProp81.xml" ContentType="application/vnd.ms-excel.controlproperties+xml"/>
  <Override PartName="/xl/charts/chart263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drawings/drawing76.xml" ContentType="application/vnd.openxmlformats-officedocument.drawing+xml"/>
  <Override PartName="/xl/charts/chart264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5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6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7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8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drawings/drawing77.xml" ContentType="application/vnd.openxmlformats-officedocument.drawing+xml"/>
  <Override PartName="/xl/charts/chart269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drawings/drawing78.xml" ContentType="application/vnd.openxmlformats-officedocument.drawing+xml"/>
  <Override PartName="/xl/ctrlProps/ctrlProp82.xml" ContentType="application/vnd.ms-excel.controlproperties+xml"/>
  <Override PartName="/xl/ctrlProps/ctrlProp83.xml" ContentType="application/vnd.ms-excel.controlproperties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charts/chart270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71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72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drawings/drawing85.xml" ContentType="application/vnd.openxmlformats-officedocument.drawing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drawings/drawing86.xml" ContentType="application/vnd.openxmlformats-officedocument.drawing+xml"/>
  <Override PartName="/xl/charts/chart273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4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5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6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7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drawings/drawing87.xml" ContentType="application/vnd.openxmlformats-officedocument.drawing+xml"/>
  <Override PartName="/xl/charts/chart278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9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80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81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82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drawings/drawing88.xml" ContentType="application/vnd.openxmlformats-officedocument.drawing+xml"/>
  <Override PartName="/xl/charts/chart283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4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5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6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7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8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9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drawings/drawing89.xml" ContentType="application/vnd.openxmlformats-officedocument.drawing+xml"/>
  <Override PartName="/xl/charts/chart290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91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92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3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4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5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6"/>
  <workbookPr filterPrivacy="1" codeName="TämäTyökirja"/>
  <xr:revisionPtr revIDLastSave="0" documentId="8_{FC341B14-CF3C-8A4A-A526-D9C96A1CFFC8}" xr6:coauthVersionLast="47" xr6:coauthVersionMax="47" xr10:uidLastSave="{00000000-0000-0000-0000-000000000000}"/>
  <workbookProtection workbookAlgorithmName="SHA-512" workbookHashValue="1qe9ZhwdkWj3ZLpyE0hzsLFkeFyLif67Louutr89VQ7FSF3FIPX0eb9l6AozH3nSKmo7qYoZlLg78hF9gQuYGw==" workbookSaltValue="dStEhAkPaEDe29apVQK8Dw==" workbookSpinCount="100000" lockStructure="1"/>
  <bookViews>
    <workbookView xWindow="16840" yWindow="600" windowWidth="47160" windowHeight="20980" tabRatio="819" xr2:uid="{00000000-000D-0000-FFFF-FFFF00000000}"/>
  </bookViews>
  <sheets>
    <sheet name="R-series ALU" sheetId="2" r:id="rId1"/>
    <sheet name="Tulokset" sheetId="9" state="hidden" r:id="rId2"/>
    <sheet name="Puhallinkäyräpisteet" sheetId="79" state="hidden" r:id="rId3"/>
    <sheet name="R-series ENT" sheetId="82" r:id="rId4"/>
    <sheet name="C-selection" sheetId="58" r:id="rId5"/>
    <sheet name="C-series" sheetId="51" r:id="rId6"/>
    <sheet name="C5 validointi" sheetId="63" state="hidden" r:id="rId7"/>
    <sheet name="TuloksetC" sheetId="52" state="hidden" r:id="rId8"/>
    <sheet name="C koodit" sheetId="54" state="hidden" r:id="rId9"/>
    <sheet name="KirjastoC_koodit" sheetId="70" state="hidden" r:id="rId10"/>
    <sheet name="SEC-laskenta_C" sheetId="61" state="hidden" r:id="rId11"/>
    <sheet name="Kojeet ja kennon hyötysuhde_C" sheetId="59" state="hidden" r:id="rId12"/>
    <sheet name="Laskenta tulopuoli C5" sheetId="46" state="hidden" r:id="rId13"/>
    <sheet name="Laskenta poistopuoli C5" sheetId="47" state="hidden" r:id="rId14"/>
    <sheet name="Laskenta vaipan läpi C5" sheetId="48" state="hidden" r:id="rId15"/>
    <sheet name="Laskenta vesipatteri C5" sheetId="49" state="hidden" r:id="rId16"/>
    <sheet name="Laskenta_vuosihyötysuhde_C" sheetId="60" state="hidden" r:id="rId17"/>
    <sheet name="Kirjasto" sheetId="34" state="hidden" r:id="rId18"/>
    <sheet name="KirjastoC" sheetId="53" state="hidden" r:id="rId19"/>
    <sheet name="Tulokset_ENT" sheetId="83" state="hidden" r:id="rId20"/>
    <sheet name="Puhallinkäyräpisteet_ENT" sheetId="84" state="hidden" r:id="rId21"/>
    <sheet name="Kirjasto_ENT" sheetId="85" state="hidden" r:id="rId22"/>
    <sheet name="SEC-laskenta_ENT" sheetId="86" state="hidden" r:id="rId23"/>
    <sheet name="Kennolaskuri 53mini_ENT" sheetId="87" state="hidden" r:id="rId24"/>
    <sheet name="Kennolaskuri 60_ENT" sheetId="88" state="hidden" r:id="rId25"/>
    <sheet name="Kennolaskuri 130_ENT" sheetId="89" state="hidden" r:id="rId26"/>
    <sheet name="Laskenta tulopuoli 53mini_ENT" sheetId="90" state="hidden" r:id="rId27"/>
    <sheet name="Laskenta poistopuoli 53mini_ENT" sheetId="91" state="hidden" r:id="rId28"/>
    <sheet name="Laskenta poisto 53mini_ENT" sheetId="92" state="hidden" r:id="rId29"/>
    <sheet name="Laskenta vaipan läpi 53mini_ENT" sheetId="93" state="hidden" r:id="rId30"/>
    <sheet name="Laskenta tulopuoli 130_ENT" sheetId="94" state="hidden" r:id="rId31"/>
    <sheet name="Laskenta poistopuoli 130_ENT" sheetId="95" state="hidden" r:id="rId32"/>
    <sheet name="Laskenta vaipan läpi 130_ENT" sheetId="96" state="hidden" r:id="rId33"/>
    <sheet name="Kennolaskuri 150_250_350_ENT" sheetId="97" state="hidden" r:id="rId34"/>
    <sheet name="Laskenta tulopuoli 60_ENT" sheetId="98" state="hidden" r:id="rId35"/>
    <sheet name="Laskenta poistopuoli 60_ENT" sheetId="99" state="hidden" r:id="rId36"/>
    <sheet name="Laskenta keittiöohitus_ENT" sheetId="100" state="hidden" r:id="rId37"/>
    <sheet name="Laskenta vaipan läpi 60_ENT" sheetId="101" state="hidden" r:id="rId38"/>
    <sheet name="Laskenta tulopuoli 250_ENT" sheetId="102" state="hidden" r:id="rId39"/>
    <sheet name="Laskenta poistopuoli 250_ENT" sheetId="103" state="hidden" r:id="rId40"/>
    <sheet name="Laskenta vaipan läpi 250_ENT" sheetId="104" state="hidden" r:id="rId41"/>
    <sheet name="Laskenta vesipatteri 250_ENT" sheetId="105" state="hidden" r:id="rId42"/>
    <sheet name="Laskenta tulopuoli 350_ENT" sheetId="106" state="hidden" r:id="rId43"/>
    <sheet name="Laskenta poistopuoli 350_ENT" sheetId="107" state="hidden" r:id="rId44"/>
    <sheet name="Laskenta vaipan läpi 350_ENT" sheetId="108" state="hidden" r:id="rId45"/>
    <sheet name="Laskenta tulopuoli 100_ENT" sheetId="109" state="hidden" r:id="rId46"/>
    <sheet name="Laskenta poistopuoli 100_ENT" sheetId="110" state="hidden" r:id="rId47"/>
    <sheet name="Laskenta vaipan läpi 100_ENT" sheetId="111" state="hidden" r:id="rId48"/>
    <sheet name="Laskenta tulopuoli 150_ENT" sheetId="112" state="hidden" r:id="rId49"/>
    <sheet name="Laskenta poistopuoli 150_ENT" sheetId="113" state="hidden" r:id="rId50"/>
    <sheet name="Laskenta vaipan läpi 150_ENT" sheetId="114" state="hidden" r:id="rId51"/>
    <sheet name="Säädata_ENT" sheetId="115" state="hidden" r:id="rId52"/>
    <sheet name="Kojeet ja kennon hyötysuhde_ENT" sheetId="116" state="hidden" r:id="rId53"/>
    <sheet name="Laskenta keittiöoh 53mini_ENT" sheetId="117" state="hidden" r:id="rId54"/>
    <sheet name="Laskenta_vuosihyötysuhde_ENT" sheetId="118" state="hidden" r:id="rId55"/>
    <sheet name="Kirjasto (maat)_ENT" sheetId="119" state="hidden" r:id="rId56"/>
    <sheet name="Kirjasto (kaupungit)_ENT" sheetId="120" state="hidden" r:id="rId57"/>
    <sheet name="Syötä maat KIRJASTOLINKIT!_ENT" sheetId="121" state="hidden" r:id="rId58"/>
    <sheet name="Syötä kaupungit KIRJASTOLIN_ENT" sheetId="122" state="hidden" r:id="rId59"/>
    <sheet name="Syötä pysyvyyskäyrät_ENT" sheetId="123" state="hidden" r:id="rId60"/>
    <sheet name="Laskenta vesipatteri 350_ENT" sheetId="124" state="hidden" r:id="rId61"/>
    <sheet name="SEC-laskenta" sheetId="15" state="hidden" r:id="rId62"/>
    <sheet name="Laskenta tulopuoli 53mini" sheetId="75" state="hidden" r:id="rId63"/>
    <sheet name="Laskenta poistopuoli 53mini" sheetId="78" state="hidden" r:id="rId64"/>
    <sheet name="Laskenta poisto 53mini" sheetId="76" state="hidden" r:id="rId65"/>
    <sheet name="Laskenta vaipan läpi 53mini" sheetId="77" state="hidden" r:id="rId66"/>
    <sheet name="Laskenta tulopuoli 130" sheetId="29" state="hidden" r:id="rId67"/>
    <sheet name="Laskenta poistopuoli 130" sheetId="30" state="hidden" r:id="rId68"/>
    <sheet name="Laskenta vaipan läpi 130" sheetId="31" state="hidden" r:id="rId69"/>
    <sheet name="Laskenta tulopuoli 60" sheetId="3" state="hidden" r:id="rId70"/>
    <sheet name="Laskenta poistopuoli 60" sheetId="1" state="hidden" r:id="rId71"/>
    <sheet name="Laskenta keittiöohitus" sheetId="20" state="hidden" r:id="rId72"/>
    <sheet name="Laskenta vaipan läpi 60" sheetId="4" state="hidden" r:id="rId73"/>
    <sheet name="Laskenta tulopuoli 250" sheetId="25" state="hidden" r:id="rId74"/>
    <sheet name="Laskenta poistopuoli 250" sheetId="26" state="hidden" r:id="rId75"/>
    <sheet name="Laskenta vaipan läpi 250" sheetId="27" state="hidden" r:id="rId76"/>
    <sheet name="Laskenta vesipatteri 250" sheetId="28" state="hidden" r:id="rId77"/>
    <sheet name="Laskenta tulopuoli 350" sheetId="21" state="hidden" r:id="rId78"/>
    <sheet name="Laskenta poistopuoli 350" sheetId="22" state="hidden" r:id="rId79"/>
    <sheet name="Laskenta vaipan läpi 350" sheetId="23" state="hidden" r:id="rId80"/>
    <sheet name="Laskenta tulopuoli 100" sheetId="6" state="hidden" r:id="rId81"/>
    <sheet name="Laskenta poistopuoli 100" sheetId="8" state="hidden" r:id="rId82"/>
    <sheet name="Laskenta vaipan läpi 100" sheetId="7" state="hidden" r:id="rId83"/>
    <sheet name="Laskenta tulopuoli 150" sheetId="10" state="hidden" r:id="rId84"/>
    <sheet name="Laskenta poistopuoli 150" sheetId="14" state="hidden" r:id="rId85"/>
    <sheet name="Laskenta vaipan läpi 150" sheetId="12" state="hidden" r:id="rId86"/>
    <sheet name="SäädataC" sheetId="62" state="hidden" r:id="rId87"/>
    <sheet name="Säädata" sheetId="42" state="hidden" r:id="rId88"/>
    <sheet name="Kojeet ja kennon hyötysuhde" sheetId="19" state="hidden" r:id="rId89"/>
    <sheet name="Laskenta keittiöohitus 53mini" sheetId="81" state="hidden" r:id="rId90"/>
    <sheet name="Laskenta_vuosihyötysuhde" sheetId="35" state="hidden" r:id="rId91"/>
    <sheet name="Kirjasto (maat)" sheetId="38" state="hidden" r:id="rId92"/>
    <sheet name="Kirjasto (kaupungit)" sheetId="39" state="hidden" r:id="rId93"/>
    <sheet name="Syötä maat KIRJASTOLINKIT!" sheetId="40" state="hidden" r:id="rId94"/>
    <sheet name="Syötä kaupungit KIRJASTOLINKIT!" sheetId="41" state="hidden" r:id="rId95"/>
    <sheet name="Syötä pysyvyyskäyrät" sheetId="36" state="hidden" r:id="rId96"/>
    <sheet name="Laskenta vesipatteri 350" sheetId="24" state="hidden" r:id="rId97"/>
    <sheet name="KirjastoC (kaupungit)" sheetId="71" state="hidden" r:id="rId98"/>
    <sheet name="C5 Lämmitys" sheetId="68" state="hidden" r:id="rId99"/>
    <sheet name="C5 Jäähdytys" sheetId="69" state="hidden" r:id="rId100"/>
    <sheet name="C5 LÄM-1" sheetId="64" state="hidden" r:id="rId101"/>
    <sheet name="C5 LÄM-2" sheetId="65" state="hidden" r:id="rId102"/>
    <sheet name="C5 JÄ-1" sheetId="66" state="hidden" r:id="rId103"/>
    <sheet name="C5 JÄ-2" sheetId="67" state="hidden" r:id="rId104"/>
    <sheet name="Muutoslogi" sheetId="5" state="hidden" r:id="rId105"/>
  </sheets>
  <definedNames>
    <definedName name="Aluelistaus" localSheetId="4">OFFSET(Säädata!$B$7,Säädata!$D$4,0,Säädata!$E$4,1)</definedName>
    <definedName name="Aluelistaus" localSheetId="86">OFFSET(SäädataC!$B$7,SäädataC!$D$4,0,SäädataC!$E$4,1)</definedName>
    <definedName name="Aluelistaus">OFFSET(Säädata!$B$7,Säädata!$D$4,0,Säädata!$E$4,1)</definedName>
    <definedName name="Aluelistaus_ENT">OFFSET(Säädata_ENT!$B$7,Säädata_ENT!$D$4,0,Säädata_ENT!$E$4,1)</definedName>
    <definedName name="AluelistausC" localSheetId="4">OFFSET(SäädataC!$B$7,SäädataC!$D$4,0,SäädataC!$E$4,1)</definedName>
    <definedName name="AluelistausC" localSheetId="86">OFFSET(SäädataC!$B$7,SäädataC!$D$4,0,SäädataC!$E$4,1)</definedName>
    <definedName name="AluelistausC">OFFSET(SäädataC!$B$7,SäädataC!$D$4,0,SäädataC!$E$4,1)</definedName>
    <definedName name="AluelistausC_ENT">OFFSET(#REF!,#REF!,0,#REF!,1)</definedName>
    <definedName name="Koodi_A">'C koodit'!$A$15:$A$22</definedName>
    <definedName name="Koodi_A_ENT">#REF!</definedName>
    <definedName name="Koodi_B">'C koodit'!$B$15:$B$22</definedName>
    <definedName name="Koodi_B_ENT">#REF!</definedName>
    <definedName name="Koodi_C">'C koodit'!$C$15:$C$22</definedName>
    <definedName name="Koodi_C_ENT">#REF!</definedName>
    <definedName name="Koodi_D">'C koodit'!$D$15:$D$22</definedName>
    <definedName name="Koodi_D_ENT">#REF!</definedName>
    <definedName name="Koodi_E">'C koodit'!$E$15:$E$22</definedName>
    <definedName name="Koodi_E_ENT">#REF!</definedName>
    <definedName name="Koodi_F">'C koodit'!$F$15:$F$22</definedName>
    <definedName name="Koodi_F_ENT">#REF!</definedName>
    <definedName name="Koodi_G">'C koodit'!$G$15:$G$22</definedName>
    <definedName name="Koodi_G_ENT">#REF!</definedName>
    <definedName name="Koodi_H">'C koodit'!$H$15:$H$22</definedName>
    <definedName name="Koodi_H_ENT">#REF!</definedName>
    <definedName name="Koodi_I">'C koodit'!$I$15:$I$22</definedName>
    <definedName name="Koodi_I_ENT">#REF!</definedName>
    <definedName name="Koodi_J">'C koodit'!$J$15:$J$22</definedName>
    <definedName name="Koodi_J_ENT">#REF!</definedName>
    <definedName name="Koodi_K">'C koodit'!$K$15:$K$22</definedName>
    <definedName name="Koodi_K_ENT">#REF!</definedName>
    <definedName name="Koodi_L">'C koodit'!$L$15:$L$22</definedName>
    <definedName name="Koodi_L_ENT">#REF!</definedName>
    <definedName name="Koodi_M">'C koodit'!$M$15:$M$22</definedName>
    <definedName name="Koodi_M_ENT">#REF!</definedName>
    <definedName name="Koodi_N">'C koodit'!$N$15:$N$22</definedName>
    <definedName name="Koodi_N_ENT">#REF!</definedName>
    <definedName name="Koodi_O">'C koodit'!$O$15:$O$22</definedName>
    <definedName name="Koodi_O_ENT">#REF!</definedName>
    <definedName name="Koodi_P">'C koodit'!$P$15:$P$22</definedName>
    <definedName name="Koodi_P_ENT">#REF!</definedName>
    <definedName name="Koodi_Q">'C koodit'!$Q$15:$Q$22</definedName>
    <definedName name="Koodi_Q_ENT">#REF!</definedName>
    <definedName name="Koodi_R">'C koodit'!$R$15:$R$22</definedName>
    <definedName name="Koodi_R_ENT">#REF!</definedName>
    <definedName name="Koodi_S">'C koodit'!$S$15:$S$22</definedName>
    <definedName name="Koodi_S_ENT">#REF!</definedName>
    <definedName name="Kuntalistaus" localSheetId="4">INDIRECT("'"&amp;'Syötä kaupungit KIRJASTOLINKIT!'!$A$1&amp;"'!"&amp;CHAR(64+Laskenta_vuosihyötysuhde!$C$13+1)&amp;"2:"&amp;CHAR(64+Laskenta_vuosihyötysuhde!$C$13+1)&amp;COUNTA(INDIRECT("'"&amp;'Syötä kaupungit KIRJASTOLINKIT!'!$A$1&amp;"'!"&amp;CHAR(64+Laskenta_vuosihyötysuhde!$C$13+1)&amp;":"&amp;CHAR(64+Laskenta_vuosihyötysuhde!$C$13+1))))</definedName>
    <definedName name="Kuntalistaus">INDIRECT("'"&amp;'Syötä kaupungit KIRJASTOLINKIT!'!$A$1&amp;"'!"&amp;CHAR(64+Laskenta_vuosihyötysuhde!$C$13+1)&amp;"2:"&amp;CHAR(64+Laskenta_vuosihyötysuhde!$C$13+1)&amp;COUNTA(INDIRECT("'"&amp;'Syötä kaupungit KIRJASTOLINKIT!'!$A$1&amp;"'!"&amp;CHAR(64+Laskenta_vuosihyötysuhde!$C$13+1)&amp;":"&amp;CHAR(64+Laskenta_vuosihyötysuhde!$C$13+1))))</definedName>
    <definedName name="Kuntalistaus_ENT">INDIRECT("'"&amp;'Syötä kaupungit KIRJASTOLIN_ENT'!$A$1&amp;"'!"&amp;CHAR(64+Laskenta_vuosihyötysuhde_ENT!$C$13+1)&amp;"2:"&amp;CHAR(64+Laskenta_vuosihyötysuhde_ENT!$C$13+1)&amp;COUNTA(INDIRECT("'"&amp;'Syötä kaupungit KIRJASTOLIN_ENT'!$A$1&amp;"'!"&amp;CHAR(64+Laskenta_vuosihyötysuhde_ENT!$C$13+1)&amp;":"&amp;CHAR(64+Laskenta_vuosihyötysuhde_ENT!$C$13+1))))</definedName>
    <definedName name="kuvatiedosto">INDIRECT(#REF!)</definedName>
    <definedName name="kuvatiedosto_ENT">INDIRECT(#REF!)</definedName>
    <definedName name="pohjakuva">INDIRECT(#REF!)</definedName>
    <definedName name="pohjakuva_ENT">INDIRECT(#REF!)</definedName>
    <definedName name="_xlnm.Print_Area" localSheetId="4">'C-selection'!$C$2:$AH$57,'C-selection'!$AK$2:$AL$24</definedName>
    <definedName name="_xlnm.Print_Area" localSheetId="5">'C-series'!$B$2:$O$74,'C-series'!$Q$2:$AD$74,'C-series'!$B$80:$O$127,'C-series'!$AF$2:$AG$24</definedName>
    <definedName name="_xlnm.Print_Area" localSheetId="0">'R-series ALU'!$B$2:$O$78,'R-series ALU'!$Q$2:$AD$73,'R-series ALU'!$B$81:$O$102</definedName>
    <definedName name="_xlnm.Print_Area" localSheetId="3">'R-series ENT'!$B$2:$O$78,'R-series ENT'!$B$81:$O$102,'R-series ENT'!$Q$2:$AD$73</definedName>
    <definedName name="Tulostusalue_ENT" localSheetId="3">'R-series ENT'!$B$2:$O$78,'R-series ENT'!$Q$2:$AD$73,'R-series ENT'!$B$81:$O$102</definedName>
    <definedName name="Valikko_A">'C koodit'!$A$2:$A$2</definedName>
    <definedName name="Valikko_A_ENT">#REF!</definedName>
    <definedName name="Valikko_B">'C koodit'!$B$2:$B$4</definedName>
    <definedName name="Valikko_B_ENT">#REF!</definedName>
    <definedName name="Valikko_C">'C koodit'!$C$2:$C$3</definedName>
    <definedName name="Valikko_C_ENT">#REF!</definedName>
    <definedName name="Valikko_D">'C koodit'!$D$2:$D$3</definedName>
    <definedName name="Valikko_D_ENT">#REF!</definedName>
    <definedName name="Valikko_E">'C koodit'!$E$2:$E$4</definedName>
    <definedName name="Valikko_E_ENT">#REF!</definedName>
    <definedName name="Valikko_F">'C koodit'!$F$2:$F$4</definedName>
    <definedName name="Valikko_F_ENT">#REF!</definedName>
    <definedName name="Valikko_G">'C koodit'!$G$2:$G$5</definedName>
    <definedName name="Valikko_G_ENT">#REF!</definedName>
    <definedName name="Valikko_H">'C koodit'!$H$2:$H$4</definedName>
    <definedName name="Valikko_H_ENT">#REF!</definedName>
    <definedName name="Valikko_I">'C koodit'!$I$2:$I$5</definedName>
    <definedName name="Valikko_I_ENT">#REF!</definedName>
    <definedName name="Valikko_J">'C koodit'!$J$2:$J$4</definedName>
    <definedName name="Valikko_J_ENT">#REF!</definedName>
    <definedName name="Valikko_K">'C koodit'!$K$2:$K$5</definedName>
    <definedName name="Valikko_K_ENT">#REF!</definedName>
    <definedName name="Valikko_L">'C koodit'!$L$2:$L$3</definedName>
    <definedName name="Valikko_L_ENT">#REF!</definedName>
    <definedName name="Valikko_M">'C koodit'!$M$2:$M$3</definedName>
    <definedName name="Valikko_M_ENT">#REF!</definedName>
    <definedName name="Valikko_N">'C koodit'!$N$2:$N$9</definedName>
    <definedName name="Valikko_N_ENT">#REF!</definedName>
    <definedName name="Valikko_O">'C koodit'!$O$2:$O$6</definedName>
    <definedName name="Valikko_O_ENT">#REF!</definedName>
    <definedName name="Valikko_P">'C koodit'!$P$2:$P$4</definedName>
    <definedName name="Valikko_P_ENT">#REF!</definedName>
    <definedName name="Valikko_Q">'C koodit'!$Q$2:$Q$3</definedName>
    <definedName name="Valikko_Q_ENT">#REF!</definedName>
    <definedName name="Valikko_R">'C koodit'!$R$2:$R$6</definedName>
    <definedName name="Valikko_R_ENT">#REF!</definedName>
    <definedName name="Valikko_S">'C koodit'!$S$2:$S$4</definedName>
    <definedName name="Valikko_S_ENT">#REF!</definedName>
    <definedName name="Valtiolistaus" localSheetId="4">INDIRECT("'"&amp;'Syötä maat KIRJASTOLINKIT!'!$A$1&amp;"'!$B$2:$B$"&amp;COUNTA('Syötä maat KIRJASTOLINKIT!'!$B$2:$B$26)+2-1)</definedName>
    <definedName name="Valtiolistaus">INDIRECT("'"&amp;'Syötä maat KIRJASTOLINKIT!'!$A$1&amp;"'!$B$2:$B$"&amp;COUNTA('Syötä maat KIRJASTOLINKIT!'!$B$2:$B$26)+2-1)</definedName>
    <definedName name="Valtiolistaus_ENT">INDIRECT("'"&amp;'Syötä maat KIRJASTOLINKIT!_ENT'!$A$1&amp;"'!$B$2:$B$"&amp;COUNTA('Syötä maat KIRJASTOLINKIT!_ENT'!$B$2:$B$26)+2-1)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85" l="1"/>
  <c r="O62" i="124"/>
  <c r="P47" i="124" a="1"/>
  <c r="S47" i="124" s="1"/>
  <c r="P43" i="124" a="1"/>
  <c r="Q43" i="124" s="1"/>
  <c r="R43" i="124" s="1"/>
  <c r="P36" i="124" a="1"/>
  <c r="P36" i="124" s="1"/>
  <c r="P28" i="124" a="1"/>
  <c r="P28" i="124" s="1"/>
  <c r="T24" i="124"/>
  <c r="P20" i="124" a="1"/>
  <c r="P20" i="124" s="1"/>
  <c r="I11" i="124"/>
  <c r="I26" i="124" s="1"/>
  <c r="I10" i="124"/>
  <c r="I16" i="124" s="1"/>
  <c r="I9" i="124"/>
  <c r="I8" i="124"/>
  <c r="A1" i="123" a="1"/>
  <c r="A1" i="123" s="1"/>
  <c r="Z1" i="122"/>
  <c r="Y1" i="122"/>
  <c r="X1" i="122"/>
  <c r="W1" i="122"/>
  <c r="V1" i="122"/>
  <c r="U1" i="122"/>
  <c r="T1" i="122"/>
  <c r="S1" i="122"/>
  <c r="R1" i="122"/>
  <c r="Q1" i="122"/>
  <c r="P1" i="122"/>
  <c r="O1" i="122"/>
  <c r="N1" i="122"/>
  <c r="M1" i="122"/>
  <c r="L1" i="122"/>
  <c r="B903" i="123" s="1" a="1"/>
  <c r="B903" i="123" s="1"/>
  <c r="K1" i="122"/>
  <c r="B813" i="123" s="1" a="1"/>
  <c r="B813" i="123" s="1"/>
  <c r="J1" i="122"/>
  <c r="B723" i="123" s="1" a="1"/>
  <c r="B723" i="123" s="1"/>
  <c r="I1" i="122"/>
  <c r="B633" i="123" s="1" a="1"/>
  <c r="B633" i="123" s="1"/>
  <c r="H1" i="122"/>
  <c r="G1" i="122"/>
  <c r="F1" i="122"/>
  <c r="E1" i="122"/>
  <c r="D1" i="122"/>
  <c r="C1" i="122"/>
  <c r="A1" i="122" a="1"/>
  <c r="A1" i="122" s="1"/>
  <c r="A1" i="121" a="1"/>
  <c r="A1" i="121" s="1"/>
  <c r="B4" i="120"/>
  <c r="B3" i="122" s="1"/>
  <c r="B1" i="120" a="1"/>
  <c r="B1" i="120" s="1"/>
  <c r="A44" i="122" s="1"/>
  <c r="B4" i="119"/>
  <c r="B2" i="121" s="1"/>
  <c r="B1" i="122" s="1"/>
  <c r="B1" i="119" a="1"/>
  <c r="B1" i="119" s="1"/>
  <c r="A31" i="121" s="1"/>
  <c r="F54" i="118"/>
  <c r="J56" i="118" s="1"/>
  <c r="B45" i="118"/>
  <c r="B52" i="118" s="1"/>
  <c r="C41" i="118"/>
  <c r="C40" i="118"/>
  <c r="C37" i="118"/>
  <c r="B33" i="118" a="1"/>
  <c r="B33" i="118" s="1"/>
  <c r="B32" i="118" a="1"/>
  <c r="B32" i="118" s="1"/>
  <c r="C35" i="118" s="1" a="1"/>
  <c r="C35" i="118" s="1"/>
  <c r="C16" i="118"/>
  <c r="C15" i="118"/>
  <c r="C13" i="118"/>
  <c r="AG11" i="118"/>
  <c r="C11" i="118"/>
  <c r="C5" i="118"/>
  <c r="M49" i="118" s="1"/>
  <c r="C7" i="117"/>
  <c r="E166" i="116" a="1"/>
  <c r="E166" i="116" s="1"/>
  <c r="F144" i="116"/>
  <c r="F170" i="116" s="1"/>
  <c r="F143" i="116"/>
  <c r="F169" i="116" s="1"/>
  <c r="F142" i="116"/>
  <c r="F168" i="116" s="1"/>
  <c r="E140" i="116" a="1"/>
  <c r="I140" i="116" s="1"/>
  <c r="AG136" i="116"/>
  <c r="AG135" i="116"/>
  <c r="AG134" i="116"/>
  <c r="AG133" i="116"/>
  <c r="AG132" i="116"/>
  <c r="AG131" i="116"/>
  <c r="AG130" i="116"/>
  <c r="AH119" i="116"/>
  <c r="AM114" i="116"/>
  <c r="E114" i="116" a="1"/>
  <c r="H114" i="116" s="1"/>
  <c r="U109" i="116"/>
  <c r="U108" i="116"/>
  <c r="U107" i="116"/>
  <c r="U106" i="116"/>
  <c r="U105" i="116"/>
  <c r="U104" i="116"/>
  <c r="U103" i="116"/>
  <c r="Z102" i="116"/>
  <c r="Z103" i="116" s="1"/>
  <c r="Z104" i="116" s="1"/>
  <c r="U102" i="116"/>
  <c r="AK77" i="116"/>
  <c r="AJ77" i="116"/>
  <c r="AH77" i="116"/>
  <c r="AC77" i="116"/>
  <c r="AC76" i="116"/>
  <c r="AC75" i="116"/>
  <c r="AC74" i="116"/>
  <c r="AC73" i="116"/>
  <c r="AC72" i="116"/>
  <c r="AC71" i="116"/>
  <c r="AK54" i="116"/>
  <c r="AJ54" i="116"/>
  <c r="AI54" i="116"/>
  <c r="AH54" i="116"/>
  <c r="F52" i="116"/>
  <c r="AK42" i="116"/>
  <c r="AJ42" i="116"/>
  <c r="AI42" i="116"/>
  <c r="AH42" i="116"/>
  <c r="AC42" i="116"/>
  <c r="AC41" i="116"/>
  <c r="AC40" i="116"/>
  <c r="AC39" i="116"/>
  <c r="AC38" i="116"/>
  <c r="AC37" i="116"/>
  <c r="AC36" i="116"/>
  <c r="AF30" i="116"/>
  <c r="AE30" i="116"/>
  <c r="AD30" i="116"/>
  <c r="AC30" i="116"/>
  <c r="AK17" i="116"/>
  <c r="AJ17" i="116"/>
  <c r="AI17" i="116"/>
  <c r="AH17" i="116"/>
  <c r="AC17" i="116"/>
  <c r="AC16" i="116"/>
  <c r="AC15" i="116"/>
  <c r="AC14" i="116"/>
  <c r="AC13" i="116"/>
  <c r="AC12" i="116"/>
  <c r="AC11" i="116"/>
  <c r="L8" i="116"/>
  <c r="Y90" i="113"/>
  <c r="X90" i="113"/>
  <c r="Y89" i="113"/>
  <c r="X89" i="113"/>
  <c r="Y88" i="113"/>
  <c r="X88" i="113"/>
  <c r="Y87" i="113"/>
  <c r="X87" i="113"/>
  <c r="Y86" i="113"/>
  <c r="X86" i="113"/>
  <c r="Y85" i="113"/>
  <c r="X85" i="113"/>
  <c r="Y84" i="113"/>
  <c r="X84" i="113"/>
  <c r="Y82" i="113"/>
  <c r="X82" i="113"/>
  <c r="Y81" i="113"/>
  <c r="X81" i="113"/>
  <c r="Y80" i="113"/>
  <c r="X80" i="113"/>
  <c r="Y79" i="113"/>
  <c r="X79" i="113"/>
  <c r="Y78" i="113"/>
  <c r="X78" i="113"/>
  <c r="Y77" i="113"/>
  <c r="X77" i="113"/>
  <c r="Y76" i="113"/>
  <c r="X76" i="113"/>
  <c r="R75" i="113" a="1"/>
  <c r="I75" i="113" a="1"/>
  <c r="I75" i="113" s="1"/>
  <c r="Y74" i="113"/>
  <c r="X74" i="113"/>
  <c r="Y73" i="113"/>
  <c r="X73" i="113"/>
  <c r="Y72" i="113"/>
  <c r="X72" i="113"/>
  <c r="Y71" i="113"/>
  <c r="X71" i="113"/>
  <c r="Y70" i="113"/>
  <c r="X70" i="113"/>
  <c r="R70" i="113" a="1"/>
  <c r="I70" i="113" a="1"/>
  <c r="I70" i="113" s="1"/>
  <c r="Y69" i="113"/>
  <c r="X69" i="113"/>
  <c r="Y68" i="113"/>
  <c r="X68" i="113"/>
  <c r="Y66" i="113"/>
  <c r="X66" i="113"/>
  <c r="Y65" i="113"/>
  <c r="X65" i="113"/>
  <c r="R65" i="113" a="1"/>
  <c r="T65" i="113" s="1"/>
  <c r="H65" i="113" a="1"/>
  <c r="Y64" i="113"/>
  <c r="X64" i="113"/>
  <c r="Y63" i="113"/>
  <c r="X63" i="113"/>
  <c r="Y62" i="113"/>
  <c r="X62" i="113"/>
  <c r="Y61" i="113"/>
  <c r="X61" i="113"/>
  <c r="Y60" i="113"/>
  <c r="X60" i="113"/>
  <c r="R60" i="113" a="1"/>
  <c r="H60" i="113" a="1"/>
  <c r="Y59" i="113"/>
  <c r="X59" i="113"/>
  <c r="AY44" i="113"/>
  <c r="AV43" i="113"/>
  <c r="BF42" i="113"/>
  <c r="BD42" i="113"/>
  <c r="AV42" i="113"/>
  <c r="BH41" i="113"/>
  <c r="BF41" i="113"/>
  <c r="BD41" i="113"/>
  <c r="AV41" i="113"/>
  <c r="BJ40" i="113"/>
  <c r="BH40" i="113"/>
  <c r="BF40" i="113"/>
  <c r="BD40" i="113"/>
  <c r="AV40" i="113"/>
  <c r="BJ39" i="113"/>
  <c r="BH39" i="113"/>
  <c r="BF39" i="113"/>
  <c r="BD39" i="113"/>
  <c r="AV39" i="113"/>
  <c r="BJ38" i="113"/>
  <c r="BH38" i="113"/>
  <c r="BF38" i="113"/>
  <c r="BD38" i="113"/>
  <c r="AV38" i="113"/>
  <c r="AI38" i="113"/>
  <c r="BJ37" i="113"/>
  <c r="BH37" i="113"/>
  <c r="BF37" i="113"/>
  <c r="BD37" i="113"/>
  <c r="X37" i="113"/>
  <c r="W37" i="113"/>
  <c r="V37" i="113"/>
  <c r="BJ36" i="113"/>
  <c r="BH36" i="113"/>
  <c r="BF36" i="113"/>
  <c r="BD36" i="113"/>
  <c r="AI36" i="113"/>
  <c r="X36" i="113"/>
  <c r="W36" i="113"/>
  <c r="V36" i="113"/>
  <c r="X35" i="113"/>
  <c r="W35" i="113"/>
  <c r="V35" i="113"/>
  <c r="X34" i="113"/>
  <c r="W34" i="113"/>
  <c r="V34" i="113"/>
  <c r="AT33" i="113"/>
  <c r="AT32" i="113"/>
  <c r="AT31" i="113"/>
  <c r="AT30" i="113"/>
  <c r="AW18" i="113"/>
  <c r="AW17" i="113"/>
  <c r="AW16" i="113"/>
  <c r="AW15" i="113"/>
  <c r="AY14" i="113" a="1"/>
  <c r="AW14" i="113"/>
  <c r="AW13" i="113"/>
  <c r="AY12" i="113" a="1"/>
  <c r="AY12" i="113" s="1"/>
  <c r="AW12" i="113"/>
  <c r="AD12" i="113"/>
  <c r="O37" i="84" s="1"/>
  <c r="AB12" i="113"/>
  <c r="M37" i="84" s="1"/>
  <c r="AF11" i="113"/>
  <c r="Q36" i="84" s="1"/>
  <c r="AD11" i="113"/>
  <c r="O36" i="84" s="1"/>
  <c r="AB11" i="113"/>
  <c r="M36" i="84" s="1"/>
  <c r="AH10" i="113"/>
  <c r="S35" i="84" s="1"/>
  <c r="AF10" i="113"/>
  <c r="Q35" i="84" s="1"/>
  <c r="AD10" i="113"/>
  <c r="O35" i="84" s="1"/>
  <c r="AB10" i="113"/>
  <c r="M35" i="84" s="1"/>
  <c r="AH9" i="113"/>
  <c r="S34" i="84" s="1"/>
  <c r="AF9" i="113"/>
  <c r="Q34" i="84" s="1"/>
  <c r="AD9" i="113"/>
  <c r="O34" i="84" s="1"/>
  <c r="AB9" i="113"/>
  <c r="M34" i="84" s="1"/>
  <c r="AH8" i="113"/>
  <c r="S33" i="84" s="1"/>
  <c r="AF8" i="113"/>
  <c r="Q33" i="84" s="1"/>
  <c r="AD8" i="113"/>
  <c r="O33" i="84" s="1"/>
  <c r="AB8" i="113"/>
  <c r="M33" i="84" s="1"/>
  <c r="AH7" i="113"/>
  <c r="S32" i="84" s="1"/>
  <c r="AF7" i="113"/>
  <c r="Q32" i="84" s="1"/>
  <c r="AD7" i="113"/>
  <c r="O32" i="84" s="1"/>
  <c r="AB7" i="113"/>
  <c r="M32" i="84" s="1"/>
  <c r="AH6" i="113"/>
  <c r="AB37" i="113" s="1"/>
  <c r="AF6" i="113"/>
  <c r="AB36" i="113" s="1"/>
  <c r="AD6" i="113"/>
  <c r="AB35" i="113" s="1"/>
  <c r="AB6" i="113"/>
  <c r="M31" i="84" s="1"/>
  <c r="L3" i="113"/>
  <c r="Y90" i="112"/>
  <c r="X90" i="112"/>
  <c r="Y89" i="112"/>
  <c r="X89" i="112"/>
  <c r="Y88" i="112"/>
  <c r="X88" i="112"/>
  <c r="Y87" i="112"/>
  <c r="X87" i="112"/>
  <c r="Y86" i="112"/>
  <c r="X86" i="112"/>
  <c r="Y85" i="112"/>
  <c r="X85" i="112"/>
  <c r="Y84" i="112"/>
  <c r="X84" i="112"/>
  <c r="Y82" i="112"/>
  <c r="X82" i="112"/>
  <c r="Y81" i="112"/>
  <c r="X81" i="112"/>
  <c r="Y80" i="112"/>
  <c r="X80" i="112"/>
  <c r="Y79" i="112"/>
  <c r="X79" i="112"/>
  <c r="Y78" i="112"/>
  <c r="X78" i="112"/>
  <c r="Y77" i="112"/>
  <c r="X77" i="112"/>
  <c r="Y76" i="112"/>
  <c r="X76" i="112"/>
  <c r="R75" i="112" a="1"/>
  <c r="T75" i="112" s="1"/>
  <c r="H75" i="112" a="1"/>
  <c r="Y74" i="112"/>
  <c r="X74" i="112"/>
  <c r="Y73" i="112"/>
  <c r="X73" i="112"/>
  <c r="Y72" i="112"/>
  <c r="X72" i="112"/>
  <c r="Y71" i="112"/>
  <c r="X71" i="112"/>
  <c r="Y70" i="112"/>
  <c r="X70" i="112"/>
  <c r="R70" i="112" a="1"/>
  <c r="S70" i="112" s="1"/>
  <c r="H70" i="112" a="1"/>
  <c r="J70" i="112" s="1"/>
  <c r="Y69" i="112"/>
  <c r="X69" i="112"/>
  <c r="Y68" i="112"/>
  <c r="X68" i="112"/>
  <c r="Y66" i="112"/>
  <c r="X66" i="112"/>
  <c r="Y65" i="112"/>
  <c r="X65" i="112"/>
  <c r="R65" i="112" a="1"/>
  <c r="T65" i="112" s="1"/>
  <c r="H65" i="112" a="1"/>
  <c r="I65" i="112" s="1"/>
  <c r="Y64" i="112"/>
  <c r="X64" i="112"/>
  <c r="Y63" i="112"/>
  <c r="X63" i="112"/>
  <c r="Y62" i="112"/>
  <c r="X62" i="112"/>
  <c r="Y61" i="112"/>
  <c r="X61" i="112"/>
  <c r="Y60" i="112"/>
  <c r="X60" i="112"/>
  <c r="R60" i="112" a="1"/>
  <c r="T60" i="112" s="1"/>
  <c r="H60" i="112" a="1"/>
  <c r="Y59" i="112"/>
  <c r="X59" i="112"/>
  <c r="AY44" i="112"/>
  <c r="AV43" i="112"/>
  <c r="BF42" i="112"/>
  <c r="BD42" i="112"/>
  <c r="AV42" i="112"/>
  <c r="BH41" i="112"/>
  <c r="BF41" i="112"/>
  <c r="BD41" i="112"/>
  <c r="AV41" i="112"/>
  <c r="BJ40" i="112"/>
  <c r="BH40" i="112"/>
  <c r="BF40" i="112"/>
  <c r="BD40" i="112"/>
  <c r="AV40" i="112"/>
  <c r="BJ39" i="112"/>
  <c r="BH39" i="112"/>
  <c r="BF39" i="112"/>
  <c r="BD39" i="112"/>
  <c r="AV39" i="112"/>
  <c r="BJ38" i="112"/>
  <c r="BH38" i="112"/>
  <c r="BF38" i="112"/>
  <c r="BD38" i="112"/>
  <c r="AV38" i="112"/>
  <c r="AI38" i="112"/>
  <c r="BJ37" i="112"/>
  <c r="BH37" i="112"/>
  <c r="BF37" i="112"/>
  <c r="BD37" i="112"/>
  <c r="X37" i="112"/>
  <c r="W37" i="112"/>
  <c r="V37" i="112"/>
  <c r="BJ36" i="112"/>
  <c r="BH36" i="112"/>
  <c r="BF36" i="112"/>
  <c r="BD36" i="112"/>
  <c r="AI36" i="112"/>
  <c r="X36" i="112"/>
  <c r="W36" i="112"/>
  <c r="V36" i="112"/>
  <c r="X35" i="112"/>
  <c r="W35" i="112"/>
  <c r="V35" i="112"/>
  <c r="X34" i="112"/>
  <c r="W34" i="112"/>
  <c r="V34" i="112"/>
  <c r="AT33" i="112"/>
  <c r="AT32" i="112"/>
  <c r="AT30" i="112"/>
  <c r="AW18" i="112"/>
  <c r="AW17" i="112"/>
  <c r="AW16" i="112"/>
  <c r="AW15" i="112"/>
  <c r="AY14" i="112" a="1"/>
  <c r="AW14" i="112"/>
  <c r="AW13" i="112"/>
  <c r="AY12" i="112" a="1"/>
  <c r="AW12" i="112"/>
  <c r="AD12" i="112"/>
  <c r="F37" i="84" s="1"/>
  <c r="AB12" i="112"/>
  <c r="D37" i="84" s="1"/>
  <c r="AF11" i="112"/>
  <c r="H36" i="84" s="1"/>
  <c r="AD11" i="112"/>
  <c r="F36" i="84" s="1"/>
  <c r="AB11" i="112"/>
  <c r="D36" i="84" s="1"/>
  <c r="AH10" i="112"/>
  <c r="J35" i="84" s="1"/>
  <c r="AF10" i="112"/>
  <c r="H35" i="84" s="1"/>
  <c r="AD10" i="112"/>
  <c r="F35" i="84" s="1"/>
  <c r="AB10" i="112"/>
  <c r="D35" i="84" s="1"/>
  <c r="AH9" i="112"/>
  <c r="J34" i="84" s="1"/>
  <c r="AF9" i="112"/>
  <c r="H34" i="84" s="1"/>
  <c r="AD9" i="112"/>
  <c r="F34" i="84" s="1"/>
  <c r="AB9" i="112"/>
  <c r="D34" i="84" s="1"/>
  <c r="AH8" i="112"/>
  <c r="J33" i="84" s="1"/>
  <c r="AF8" i="112"/>
  <c r="H33" i="84" s="1"/>
  <c r="AD8" i="112"/>
  <c r="F33" i="84" s="1"/>
  <c r="AB8" i="112"/>
  <c r="D33" i="84" s="1"/>
  <c r="AH7" i="112"/>
  <c r="J32" i="84" s="1"/>
  <c r="AF7" i="112"/>
  <c r="H32" i="84" s="1"/>
  <c r="AD7" i="112"/>
  <c r="F32" i="84" s="1"/>
  <c r="AB7" i="112"/>
  <c r="D32" i="84" s="1"/>
  <c r="AH6" i="112"/>
  <c r="J31" i="84" s="1"/>
  <c r="AF6" i="112"/>
  <c r="AB36" i="112" s="1"/>
  <c r="AD6" i="112"/>
  <c r="AB35" i="112" s="1"/>
  <c r="AB6" i="112"/>
  <c r="D31" i="84" s="1"/>
  <c r="L3" i="112"/>
  <c r="Y90" i="110"/>
  <c r="X90" i="110"/>
  <c r="Y89" i="110"/>
  <c r="X89" i="110"/>
  <c r="Y88" i="110"/>
  <c r="X88" i="110"/>
  <c r="Y87" i="110"/>
  <c r="X87" i="110"/>
  <c r="Y86" i="110"/>
  <c r="X86" i="110"/>
  <c r="Y85" i="110"/>
  <c r="X85" i="110"/>
  <c r="Y84" i="110"/>
  <c r="X84" i="110"/>
  <c r="Y82" i="110"/>
  <c r="X82" i="110"/>
  <c r="Y81" i="110"/>
  <c r="X81" i="110"/>
  <c r="Y80" i="110"/>
  <c r="X80" i="110"/>
  <c r="Y79" i="110"/>
  <c r="X79" i="110"/>
  <c r="Y78" i="110"/>
  <c r="X78" i="110"/>
  <c r="Y77" i="110"/>
  <c r="X77" i="110"/>
  <c r="Y76" i="110"/>
  <c r="X76" i="110"/>
  <c r="R75" i="110" a="1"/>
  <c r="H75" i="110" a="1"/>
  <c r="J75" i="110" s="1"/>
  <c r="Y74" i="110"/>
  <c r="X74" i="110"/>
  <c r="Y73" i="110"/>
  <c r="X73" i="110"/>
  <c r="Y72" i="110"/>
  <c r="X72" i="110"/>
  <c r="Y71" i="110"/>
  <c r="X71" i="110"/>
  <c r="Y70" i="110"/>
  <c r="X70" i="110"/>
  <c r="R70" i="110" a="1"/>
  <c r="R70" i="110" s="1"/>
  <c r="H70" i="110" a="1"/>
  <c r="Y69" i="110"/>
  <c r="X69" i="110"/>
  <c r="Y68" i="110"/>
  <c r="X68" i="110"/>
  <c r="Y66" i="110"/>
  <c r="X66" i="110"/>
  <c r="Y65" i="110"/>
  <c r="X65" i="110"/>
  <c r="R65" i="110" a="1"/>
  <c r="R65" i="110" s="1"/>
  <c r="H65" i="110" a="1"/>
  <c r="Y64" i="110"/>
  <c r="X64" i="110"/>
  <c r="Y63" i="110"/>
  <c r="X63" i="110"/>
  <c r="Y62" i="110"/>
  <c r="X62" i="110"/>
  <c r="Y61" i="110"/>
  <c r="X61" i="110"/>
  <c r="Y60" i="110"/>
  <c r="X60" i="110"/>
  <c r="R60" i="110" a="1"/>
  <c r="T60" i="110" s="1"/>
  <c r="H60" i="110" a="1"/>
  <c r="I60" i="110" s="1"/>
  <c r="Y59" i="110"/>
  <c r="X59" i="110"/>
  <c r="X37" i="110"/>
  <c r="W37" i="110"/>
  <c r="V37" i="110"/>
  <c r="X36" i="110"/>
  <c r="W36" i="110"/>
  <c r="V36" i="110"/>
  <c r="X35" i="110"/>
  <c r="W35" i="110"/>
  <c r="V35" i="110"/>
  <c r="X34" i="110"/>
  <c r="W34" i="110"/>
  <c r="V34" i="110"/>
  <c r="AD12" i="110"/>
  <c r="O25" i="84" s="1"/>
  <c r="AB12" i="110"/>
  <c r="M25" i="84" s="1"/>
  <c r="AF11" i="110"/>
  <c r="Q24" i="84" s="1"/>
  <c r="AD11" i="110"/>
  <c r="O24" i="84" s="1"/>
  <c r="AB11" i="110"/>
  <c r="M24" i="84" s="1"/>
  <c r="AH10" i="110"/>
  <c r="S23" i="84" s="1"/>
  <c r="AF10" i="110"/>
  <c r="Q23" i="84" s="1"/>
  <c r="AD10" i="110"/>
  <c r="O23" i="84" s="1"/>
  <c r="AB10" i="110"/>
  <c r="M23" i="84" s="1"/>
  <c r="AH9" i="110"/>
  <c r="S22" i="84" s="1"/>
  <c r="AF9" i="110"/>
  <c r="Q22" i="84" s="1"/>
  <c r="AD9" i="110"/>
  <c r="O22" i="84" s="1"/>
  <c r="AB9" i="110"/>
  <c r="M22" i="84" s="1"/>
  <c r="AH8" i="110"/>
  <c r="S21" i="84" s="1"/>
  <c r="AF8" i="110"/>
  <c r="Q21" i="84" s="1"/>
  <c r="AD8" i="110"/>
  <c r="O21" i="84" s="1"/>
  <c r="AB8" i="110"/>
  <c r="M21" i="84" s="1"/>
  <c r="AH7" i="110"/>
  <c r="S20" i="84" s="1"/>
  <c r="AF7" i="110"/>
  <c r="Q20" i="84" s="1"/>
  <c r="AD7" i="110"/>
  <c r="O20" i="84" s="1"/>
  <c r="AB7" i="110"/>
  <c r="M20" i="84" s="1"/>
  <c r="AH6" i="110"/>
  <c r="AB37" i="110" s="1"/>
  <c r="AF6" i="110"/>
  <c r="AB36" i="110" s="1"/>
  <c r="AD6" i="110"/>
  <c r="AB35" i="110" s="1"/>
  <c r="AB6" i="110"/>
  <c r="L3" i="110"/>
  <c r="Y90" i="109"/>
  <c r="X90" i="109"/>
  <c r="Y89" i="109"/>
  <c r="X89" i="109"/>
  <c r="Y88" i="109"/>
  <c r="X88" i="109"/>
  <c r="Y87" i="109"/>
  <c r="X87" i="109"/>
  <c r="Y86" i="109"/>
  <c r="X86" i="109"/>
  <c r="Y85" i="109"/>
  <c r="X85" i="109"/>
  <c r="Y84" i="109"/>
  <c r="X84" i="109"/>
  <c r="Y82" i="109"/>
  <c r="X82" i="109"/>
  <c r="Y81" i="109"/>
  <c r="X81" i="109"/>
  <c r="Y80" i="109"/>
  <c r="X80" i="109"/>
  <c r="Y79" i="109"/>
  <c r="X79" i="109"/>
  <c r="Y78" i="109"/>
  <c r="X78" i="109"/>
  <c r="Y77" i="109"/>
  <c r="X77" i="109"/>
  <c r="Y76" i="109"/>
  <c r="X76" i="109"/>
  <c r="R75" i="109" a="1"/>
  <c r="T75" i="109" s="1"/>
  <c r="H75" i="109" a="1"/>
  <c r="H75" i="109" s="1"/>
  <c r="Y74" i="109"/>
  <c r="X74" i="109"/>
  <c r="Y73" i="109"/>
  <c r="X73" i="109"/>
  <c r="Y72" i="109"/>
  <c r="X72" i="109"/>
  <c r="Y71" i="109"/>
  <c r="X71" i="109"/>
  <c r="Y70" i="109"/>
  <c r="X70" i="109"/>
  <c r="R70" i="109" a="1"/>
  <c r="S70" i="109" s="1"/>
  <c r="H70" i="109" a="1"/>
  <c r="Y69" i="109"/>
  <c r="X69" i="109"/>
  <c r="Y68" i="109"/>
  <c r="X68" i="109"/>
  <c r="Y66" i="109"/>
  <c r="X66" i="109"/>
  <c r="Y65" i="109"/>
  <c r="X65" i="109"/>
  <c r="R65" i="109" a="1"/>
  <c r="T65" i="109" s="1"/>
  <c r="H65" i="109" a="1"/>
  <c r="Y64" i="109"/>
  <c r="X64" i="109"/>
  <c r="Y63" i="109"/>
  <c r="X63" i="109"/>
  <c r="Y62" i="109"/>
  <c r="X62" i="109"/>
  <c r="Y61" i="109"/>
  <c r="X61" i="109"/>
  <c r="Y60" i="109"/>
  <c r="X60" i="109"/>
  <c r="R60" i="109" a="1"/>
  <c r="H60" i="109" a="1"/>
  <c r="J60" i="109" s="1"/>
  <c r="Y59" i="109"/>
  <c r="X59" i="109"/>
  <c r="X37" i="109"/>
  <c r="W37" i="109"/>
  <c r="V37" i="109"/>
  <c r="X36" i="109"/>
  <c r="W36" i="109"/>
  <c r="V36" i="109"/>
  <c r="X35" i="109"/>
  <c r="W35" i="109"/>
  <c r="V35" i="109"/>
  <c r="X34" i="109"/>
  <c r="W34" i="109"/>
  <c r="V34" i="109"/>
  <c r="AD12" i="109"/>
  <c r="F25" i="84" s="1"/>
  <c r="AB12" i="109"/>
  <c r="D25" i="84" s="1"/>
  <c r="AF11" i="109"/>
  <c r="H24" i="84" s="1"/>
  <c r="AD11" i="109"/>
  <c r="F24" i="84" s="1"/>
  <c r="AB11" i="109"/>
  <c r="D24" i="84" s="1"/>
  <c r="AH10" i="109"/>
  <c r="J23" i="84" s="1"/>
  <c r="AF10" i="109"/>
  <c r="H23" i="84" s="1"/>
  <c r="AD10" i="109"/>
  <c r="F23" i="84" s="1"/>
  <c r="AB10" i="109"/>
  <c r="D23" i="84" s="1"/>
  <c r="AH9" i="109"/>
  <c r="J22" i="84" s="1"/>
  <c r="AF9" i="109"/>
  <c r="H22" i="84" s="1"/>
  <c r="AD9" i="109"/>
  <c r="F22" i="84" s="1"/>
  <c r="AB9" i="109"/>
  <c r="D22" i="84" s="1"/>
  <c r="AH8" i="109"/>
  <c r="J21" i="84" s="1"/>
  <c r="AF8" i="109"/>
  <c r="H21" i="84" s="1"/>
  <c r="AD8" i="109"/>
  <c r="F21" i="84" s="1"/>
  <c r="AB8" i="109"/>
  <c r="D21" i="84" s="1"/>
  <c r="AH7" i="109"/>
  <c r="J20" i="84" s="1"/>
  <c r="AF7" i="109"/>
  <c r="H20" i="84" s="1"/>
  <c r="AD7" i="109"/>
  <c r="F20" i="84" s="1"/>
  <c r="AB7" i="109"/>
  <c r="D20" i="84" s="1"/>
  <c r="AH6" i="109"/>
  <c r="AF6" i="109"/>
  <c r="AD6" i="109"/>
  <c r="AB6" i="109"/>
  <c r="D19" i="84" s="1"/>
  <c r="L3" i="109"/>
  <c r="O26" i="108"/>
  <c r="N26" i="108"/>
  <c r="M26" i="108"/>
  <c r="L26" i="108"/>
  <c r="O25" i="108"/>
  <c r="N25" i="108"/>
  <c r="M25" i="108"/>
  <c r="L25" i="108"/>
  <c r="O24" i="108"/>
  <c r="N24" i="108"/>
  <c r="M24" i="108"/>
  <c r="L24" i="108"/>
  <c r="O23" i="108"/>
  <c r="N23" i="108"/>
  <c r="M23" i="108"/>
  <c r="L23" i="108"/>
  <c r="O22" i="108"/>
  <c r="N22" i="108"/>
  <c r="M22" i="108"/>
  <c r="L22" i="108"/>
  <c r="O21" i="108"/>
  <c r="N21" i="108"/>
  <c r="M21" i="108"/>
  <c r="L21" i="108"/>
  <c r="O20" i="108"/>
  <c r="N20" i="108"/>
  <c r="M20" i="108"/>
  <c r="L20" i="108"/>
  <c r="O19" i="108"/>
  <c r="N19" i="108"/>
  <c r="M19" i="108"/>
  <c r="L19" i="108"/>
  <c r="O18" i="108"/>
  <c r="N18" i="108"/>
  <c r="M18" i="108"/>
  <c r="L18" i="108"/>
  <c r="AP14" i="108"/>
  <c r="AO14" i="108"/>
  <c r="AN14" i="108"/>
  <c r="AM14" i="108"/>
  <c r="AL14" i="108"/>
  <c r="AK14" i="108"/>
  <c r="AJ14" i="108"/>
  <c r="AI14" i="108"/>
  <c r="AP13" i="108"/>
  <c r="AO13" i="108"/>
  <c r="AN13" i="108"/>
  <c r="AM13" i="108"/>
  <c r="AL13" i="108"/>
  <c r="AK13" i="108"/>
  <c r="AJ13" i="108"/>
  <c r="AI13" i="108"/>
  <c r="AP12" i="108"/>
  <c r="AO12" i="108"/>
  <c r="AN12" i="108"/>
  <c r="AM12" i="108"/>
  <c r="AL12" i="108"/>
  <c r="AK12" i="108"/>
  <c r="AJ12" i="108"/>
  <c r="AI12" i="108"/>
  <c r="AP11" i="108"/>
  <c r="AO11" i="108"/>
  <c r="AN11" i="108"/>
  <c r="AM11" i="108"/>
  <c r="AL11" i="108"/>
  <c r="AK11" i="108"/>
  <c r="AJ11" i="108"/>
  <c r="AI11" i="108"/>
  <c r="AP10" i="108"/>
  <c r="AO10" i="108"/>
  <c r="AN10" i="108"/>
  <c r="AM10" i="108"/>
  <c r="AL10" i="108"/>
  <c r="AK10" i="108"/>
  <c r="AJ10" i="108"/>
  <c r="AI10" i="108"/>
  <c r="AP9" i="108"/>
  <c r="AO9" i="108"/>
  <c r="AN9" i="108"/>
  <c r="AM9" i="108"/>
  <c r="AL9" i="108"/>
  <c r="AK9" i="108"/>
  <c r="AJ9" i="108"/>
  <c r="AI9" i="108"/>
  <c r="AP8" i="108"/>
  <c r="AO8" i="108"/>
  <c r="AN8" i="108"/>
  <c r="AM8" i="108"/>
  <c r="AL8" i="108"/>
  <c r="AK8" i="108"/>
  <c r="AJ8" i="108"/>
  <c r="AI8" i="108"/>
  <c r="AP7" i="108"/>
  <c r="AO7" i="108"/>
  <c r="AN7" i="108"/>
  <c r="AM7" i="108"/>
  <c r="AL7" i="108"/>
  <c r="AK7" i="108"/>
  <c r="AJ7" i="108"/>
  <c r="AI7" i="108"/>
  <c r="AP6" i="108"/>
  <c r="AO6" i="108"/>
  <c r="AN6" i="108"/>
  <c r="AM6" i="108"/>
  <c r="AL6" i="108"/>
  <c r="AK6" i="108"/>
  <c r="AJ6" i="108"/>
  <c r="AI6" i="108"/>
  <c r="R77" i="107" a="1"/>
  <c r="H77" i="107" a="1"/>
  <c r="H77" i="107" s="1"/>
  <c r="R76" i="107" a="1"/>
  <c r="S76" i="107" s="1"/>
  <c r="H76" i="107" a="1"/>
  <c r="I76" i="107" s="1"/>
  <c r="R75" i="107" a="1"/>
  <c r="H75" i="107" a="1"/>
  <c r="H75" i="107" s="1"/>
  <c r="R72" i="107" a="1"/>
  <c r="H72" i="107" a="1"/>
  <c r="I72" i="107" s="1"/>
  <c r="R71" i="107" a="1"/>
  <c r="H71" i="107" a="1"/>
  <c r="R70" i="107" a="1"/>
  <c r="T70" i="107" s="1"/>
  <c r="H70" i="107" a="1"/>
  <c r="I70" i="107" s="1"/>
  <c r="R67" i="107" a="1"/>
  <c r="H67" i="107" a="1"/>
  <c r="I67" i="107" s="1"/>
  <c r="R66" i="107" a="1"/>
  <c r="H66" i="107" a="1"/>
  <c r="I66" i="107" s="1"/>
  <c r="R65" i="107" a="1"/>
  <c r="R65" i="107" s="1"/>
  <c r="H65" i="107" a="1"/>
  <c r="H65" i="107" s="1"/>
  <c r="R62" i="107" a="1"/>
  <c r="S62" i="107" s="1"/>
  <c r="H62" i="107" a="1"/>
  <c r="R61" i="107" a="1"/>
  <c r="S61" i="107" s="1"/>
  <c r="H61" i="107" a="1"/>
  <c r="I61" i="107" s="1"/>
  <c r="R60" i="107" a="1"/>
  <c r="T60" i="107" s="1"/>
  <c r="H60" i="107" a="1"/>
  <c r="I60" i="107" s="1"/>
  <c r="AN55" i="107" a="1"/>
  <c r="AN54" i="107" a="1"/>
  <c r="AO54" i="107" s="1"/>
  <c r="X54" i="107" a="1"/>
  <c r="AN53" i="107" a="1"/>
  <c r="AO53" i="107" s="1"/>
  <c r="X53" i="107" a="1"/>
  <c r="Z53" i="107" s="1"/>
  <c r="AN52" i="107" a="1"/>
  <c r="AO52" i="107" s="1"/>
  <c r="X52" i="107" a="1"/>
  <c r="Z52" i="107" s="1"/>
  <c r="X51" i="107" a="1"/>
  <c r="X51" i="107" s="1"/>
  <c r="BJ44" i="107"/>
  <c r="BG43" i="107"/>
  <c r="BP42" i="107"/>
  <c r="BQ42" i="107" s="1"/>
  <c r="BN42" i="107"/>
  <c r="BW42" i="107" s="1"/>
  <c r="BG42" i="107"/>
  <c r="BR41" i="107"/>
  <c r="CA41" i="107" s="1"/>
  <c r="BP41" i="107"/>
  <c r="BQ41" i="107" s="1"/>
  <c r="BN41" i="107"/>
  <c r="BW41" i="107" s="1"/>
  <c r="BG41" i="107"/>
  <c r="BT40" i="107"/>
  <c r="BR40" i="107"/>
  <c r="BP40" i="107"/>
  <c r="BN40" i="107"/>
  <c r="BW40" i="107" s="1"/>
  <c r="BG40" i="107"/>
  <c r="BT39" i="107"/>
  <c r="CC39" i="107" s="1"/>
  <c r="BR39" i="107"/>
  <c r="CA39" i="107" s="1"/>
  <c r="BP39" i="107"/>
  <c r="BY39" i="107" s="1"/>
  <c r="BN39" i="107"/>
  <c r="BG39" i="107"/>
  <c r="BT38" i="107"/>
  <c r="BU38" i="107" s="1"/>
  <c r="BR38" i="107"/>
  <c r="CA38" i="107" s="1"/>
  <c r="BP38" i="107"/>
  <c r="BY38" i="107" s="1"/>
  <c r="BN38" i="107"/>
  <c r="BW38" i="107" s="1"/>
  <c r="BG38" i="107"/>
  <c r="BT37" i="107"/>
  <c r="BU37" i="107" s="1"/>
  <c r="BR37" i="107"/>
  <c r="CA37" i="107" s="1"/>
  <c r="BP37" i="107"/>
  <c r="BN37" i="107"/>
  <c r="BW37" i="107" s="1"/>
  <c r="X37" i="107"/>
  <c r="W37" i="107"/>
  <c r="V37" i="107"/>
  <c r="BT36" i="107"/>
  <c r="CC36" i="107" s="1"/>
  <c r="BR36" i="107"/>
  <c r="BP36" i="107"/>
  <c r="BY36" i="107" s="1"/>
  <c r="BN36" i="107"/>
  <c r="BW36" i="107" s="1"/>
  <c r="X36" i="107"/>
  <c r="W36" i="107"/>
  <c r="V36" i="107"/>
  <c r="X35" i="107"/>
  <c r="W35" i="107"/>
  <c r="V35" i="107"/>
  <c r="X34" i="107"/>
  <c r="W34" i="107"/>
  <c r="V34" i="107"/>
  <c r="BE33" i="107"/>
  <c r="BE32" i="107"/>
  <c r="BE31" i="107"/>
  <c r="BE30" i="107"/>
  <c r="BH18" i="107"/>
  <c r="BH17" i="107"/>
  <c r="BH16" i="107"/>
  <c r="BH15" i="107"/>
  <c r="BJ14" i="107" a="1"/>
  <c r="BH14" i="107"/>
  <c r="BH13" i="107"/>
  <c r="BJ12" i="107" a="1"/>
  <c r="BH12" i="107"/>
  <c r="AD12" i="107"/>
  <c r="O61" i="84" s="1"/>
  <c r="AB12" i="107"/>
  <c r="M61" i="84" s="1"/>
  <c r="AF11" i="107"/>
  <c r="Q60" i="84" s="1"/>
  <c r="AD11" i="107"/>
  <c r="O60" i="84" s="1"/>
  <c r="AB11" i="107"/>
  <c r="M60" i="84" s="1"/>
  <c r="AH10" i="107"/>
  <c r="S59" i="84" s="1"/>
  <c r="AF10" i="107"/>
  <c r="Q59" i="84" s="1"/>
  <c r="AD10" i="107"/>
  <c r="O59" i="84" s="1"/>
  <c r="AB10" i="107"/>
  <c r="M59" i="84" s="1"/>
  <c r="AH9" i="107"/>
  <c r="S58" i="84" s="1"/>
  <c r="AF9" i="107"/>
  <c r="Q58" i="84" s="1"/>
  <c r="AD9" i="107"/>
  <c r="O58" i="84" s="1"/>
  <c r="AB9" i="107"/>
  <c r="M58" i="84" s="1"/>
  <c r="AH8" i="107"/>
  <c r="S57" i="84" s="1"/>
  <c r="AF8" i="107"/>
  <c r="AD8" i="107"/>
  <c r="O57" i="84" s="1"/>
  <c r="AB8" i="107"/>
  <c r="M57" i="84" s="1"/>
  <c r="AH7" i="107"/>
  <c r="S56" i="84" s="1"/>
  <c r="AF7" i="107"/>
  <c r="Q56" i="84" s="1"/>
  <c r="AD7" i="107"/>
  <c r="O56" i="84" s="1"/>
  <c r="AB7" i="107"/>
  <c r="M56" i="84" s="1"/>
  <c r="AH6" i="107"/>
  <c r="AB37" i="107" s="1"/>
  <c r="AF6" i="107"/>
  <c r="AB36" i="107" s="1"/>
  <c r="AD6" i="107"/>
  <c r="AB35" i="107" s="1"/>
  <c r="AB6" i="107"/>
  <c r="AB34" i="107" s="1"/>
  <c r="L3" i="107"/>
  <c r="R77" i="106" a="1"/>
  <c r="R77" i="106" s="1"/>
  <c r="H77" i="106" a="1"/>
  <c r="I77" i="106" s="1"/>
  <c r="R76" i="106" a="1"/>
  <c r="S76" i="106" s="1"/>
  <c r="H76" i="106" a="1"/>
  <c r="H76" i="106" s="1"/>
  <c r="R75" i="106" a="1"/>
  <c r="H75" i="106" a="1"/>
  <c r="R72" i="106" a="1"/>
  <c r="S72" i="106" s="1"/>
  <c r="H72" i="106" a="1"/>
  <c r="I72" i="106" s="1"/>
  <c r="R71" i="106" a="1"/>
  <c r="S71" i="106" s="1"/>
  <c r="H71" i="106" a="1"/>
  <c r="I71" i="106" s="1"/>
  <c r="R70" i="106" a="1"/>
  <c r="R70" i="106" s="1"/>
  <c r="H70" i="106" a="1"/>
  <c r="I70" i="106" s="1"/>
  <c r="R67" i="106" a="1"/>
  <c r="S67" i="106" s="1"/>
  <c r="H67" i="106" a="1"/>
  <c r="R66" i="106" a="1"/>
  <c r="S66" i="106" s="1"/>
  <c r="H66" i="106" a="1"/>
  <c r="I66" i="106" s="1"/>
  <c r="R65" i="106" a="1"/>
  <c r="T65" i="106" s="1"/>
  <c r="H65" i="106" a="1"/>
  <c r="R62" i="106" a="1"/>
  <c r="H62" i="106" a="1"/>
  <c r="I62" i="106" s="1"/>
  <c r="BE61" i="106"/>
  <c r="R61" i="106" a="1"/>
  <c r="R61" i="106" s="1"/>
  <c r="H61" i="106" a="1"/>
  <c r="I61" i="106" s="1"/>
  <c r="BE60" i="106"/>
  <c r="R60" i="106" a="1"/>
  <c r="R60" i="106" s="1"/>
  <c r="H60" i="106" a="1"/>
  <c r="J60" i="106" s="1"/>
  <c r="BE59" i="106"/>
  <c r="BE58" i="106"/>
  <c r="AN55" i="106" a="1"/>
  <c r="AO55" i="106" s="1"/>
  <c r="AN54" i="106" a="1"/>
  <c r="X54" i="106" a="1"/>
  <c r="AN53" i="106" a="1"/>
  <c r="AN53" i="106" s="1"/>
  <c r="X53" i="106" a="1"/>
  <c r="Z53" i="106" s="1"/>
  <c r="AN52" i="106" a="1"/>
  <c r="AO52" i="106" s="1"/>
  <c r="X52" i="106" a="1"/>
  <c r="Y52" i="106" s="1"/>
  <c r="X51" i="106" a="1"/>
  <c r="Z51" i="106" s="1"/>
  <c r="BJ44" i="106"/>
  <c r="BG43" i="106"/>
  <c r="BP42" i="106"/>
  <c r="BY42" i="106" s="1"/>
  <c r="BN42" i="106"/>
  <c r="BW42" i="106" s="1"/>
  <c r="BG42" i="106"/>
  <c r="BR41" i="106"/>
  <c r="BS41" i="106" s="1"/>
  <c r="BP41" i="106"/>
  <c r="BQ41" i="106" s="1"/>
  <c r="BN41" i="106"/>
  <c r="BO41" i="106" s="1"/>
  <c r="BG41" i="106"/>
  <c r="BT40" i="106"/>
  <c r="CC40" i="106" s="1"/>
  <c r="BR40" i="106"/>
  <c r="CA40" i="106" s="1"/>
  <c r="BP40" i="106"/>
  <c r="BQ40" i="106" s="1"/>
  <c r="BN40" i="106"/>
  <c r="BG40" i="106"/>
  <c r="BT39" i="106"/>
  <c r="CC39" i="106" s="1"/>
  <c r="BR39" i="106"/>
  <c r="CA39" i="106" s="1"/>
  <c r="BP39" i="106"/>
  <c r="BY39" i="106" s="1"/>
  <c r="BN39" i="106"/>
  <c r="BO39" i="106" s="1"/>
  <c r="BG39" i="106"/>
  <c r="BT38" i="106"/>
  <c r="CC38" i="106" s="1"/>
  <c r="BR38" i="106"/>
  <c r="CA38" i="106" s="1"/>
  <c r="BP38" i="106"/>
  <c r="BY38" i="106" s="1"/>
  <c r="BN38" i="106"/>
  <c r="BG38" i="106"/>
  <c r="BT37" i="106"/>
  <c r="BU37" i="106" s="1"/>
  <c r="BR37" i="106"/>
  <c r="CA37" i="106" s="1"/>
  <c r="BP37" i="106"/>
  <c r="BY37" i="106" s="1"/>
  <c r="BN37" i="106"/>
  <c r="BW37" i="106" s="1"/>
  <c r="BT36" i="106"/>
  <c r="BU36" i="106" s="1"/>
  <c r="BR36" i="106"/>
  <c r="BS36" i="106" s="1"/>
  <c r="BP36" i="106"/>
  <c r="BQ36" i="106" s="1"/>
  <c r="BN36" i="106"/>
  <c r="BO36" i="106" s="1"/>
  <c r="BE33" i="106"/>
  <c r="BE32" i="106"/>
  <c r="BE31" i="106"/>
  <c r="BE30" i="106"/>
  <c r="BH18" i="106"/>
  <c r="BH17" i="106"/>
  <c r="BH16" i="106"/>
  <c r="BH15" i="106"/>
  <c r="BJ14" i="106" a="1"/>
  <c r="BH14" i="106"/>
  <c r="AU14" i="106"/>
  <c r="BH13" i="106"/>
  <c r="BJ12" i="106" a="1"/>
  <c r="BH12" i="106"/>
  <c r="AN7" i="106"/>
  <c r="AN14" i="106" s="1"/>
  <c r="CJ26" i="83" s="1"/>
  <c r="L3" i="106"/>
  <c r="P47" i="105" a="1"/>
  <c r="P47" i="105" s="1"/>
  <c r="P43" i="105" a="1"/>
  <c r="Q43" i="105" s="1"/>
  <c r="R43" i="105" s="1"/>
  <c r="P32" i="105" a="1"/>
  <c r="P32" i="105" s="1"/>
  <c r="P24" i="105" a="1"/>
  <c r="Q24" i="105" s="1"/>
  <c r="P16" i="105" a="1"/>
  <c r="Q16" i="105" s="1"/>
  <c r="I11" i="105"/>
  <c r="I26" i="105" s="1"/>
  <c r="J50" i="83" s="1"/>
  <c r="I10" i="105"/>
  <c r="I16" i="105" s="1"/>
  <c r="J42" i="83" s="1"/>
  <c r="P9" i="105" a="1"/>
  <c r="P9" i="105" s="1"/>
  <c r="I9" i="105"/>
  <c r="I8" i="105"/>
  <c r="O26" i="104"/>
  <c r="N26" i="104"/>
  <c r="M26" i="104"/>
  <c r="L26" i="104"/>
  <c r="O25" i="104"/>
  <c r="N25" i="104"/>
  <c r="M25" i="104"/>
  <c r="L25" i="104"/>
  <c r="O24" i="104"/>
  <c r="N24" i="104"/>
  <c r="M24" i="104"/>
  <c r="L24" i="104"/>
  <c r="O23" i="104"/>
  <c r="N23" i="104"/>
  <c r="M23" i="104"/>
  <c r="L23" i="104"/>
  <c r="O22" i="104"/>
  <c r="N22" i="104"/>
  <c r="M22" i="104"/>
  <c r="L22" i="104"/>
  <c r="O21" i="104"/>
  <c r="N21" i="104"/>
  <c r="M21" i="104"/>
  <c r="L21" i="104"/>
  <c r="O20" i="104"/>
  <c r="N20" i="104"/>
  <c r="M20" i="104"/>
  <c r="L20" i="104"/>
  <c r="O19" i="104"/>
  <c r="N19" i="104"/>
  <c r="M19" i="104"/>
  <c r="L19" i="104"/>
  <c r="O18" i="104"/>
  <c r="N18" i="104"/>
  <c r="M18" i="104"/>
  <c r="L18" i="104"/>
  <c r="AP14" i="104"/>
  <c r="AO14" i="104"/>
  <c r="AN14" i="104"/>
  <c r="AM14" i="104"/>
  <c r="AL14" i="104"/>
  <c r="AK14" i="104"/>
  <c r="AJ14" i="104"/>
  <c r="AI14" i="104"/>
  <c r="AP13" i="104"/>
  <c r="AO13" i="104"/>
  <c r="AN13" i="104"/>
  <c r="AM13" i="104"/>
  <c r="AL13" i="104"/>
  <c r="AK13" i="104"/>
  <c r="AJ13" i="104"/>
  <c r="AI13" i="104"/>
  <c r="AP12" i="104"/>
  <c r="AO12" i="104"/>
  <c r="AN12" i="104"/>
  <c r="AM12" i="104"/>
  <c r="AL12" i="104"/>
  <c r="AK12" i="104"/>
  <c r="AJ12" i="104"/>
  <c r="AI12" i="104"/>
  <c r="AP11" i="104"/>
  <c r="AO11" i="104"/>
  <c r="AN11" i="104"/>
  <c r="AM11" i="104"/>
  <c r="AL11" i="104"/>
  <c r="AK11" i="104"/>
  <c r="AJ11" i="104"/>
  <c r="AI11" i="104"/>
  <c r="AP10" i="104"/>
  <c r="AO10" i="104"/>
  <c r="AN10" i="104"/>
  <c r="AM10" i="104"/>
  <c r="AL10" i="104"/>
  <c r="AK10" i="104"/>
  <c r="AJ10" i="104"/>
  <c r="AI10" i="104"/>
  <c r="AP9" i="104"/>
  <c r="AO9" i="104"/>
  <c r="AN9" i="104"/>
  <c r="AM9" i="104"/>
  <c r="AL9" i="104"/>
  <c r="AK9" i="104"/>
  <c r="AJ9" i="104"/>
  <c r="AI9" i="104"/>
  <c r="AP8" i="104"/>
  <c r="AO8" i="104"/>
  <c r="AN8" i="104"/>
  <c r="AM8" i="104"/>
  <c r="AL8" i="104"/>
  <c r="AK8" i="104"/>
  <c r="AJ8" i="104"/>
  <c r="AI8" i="104"/>
  <c r="AP7" i="104"/>
  <c r="AO7" i="104"/>
  <c r="AN7" i="104"/>
  <c r="AM7" i="104"/>
  <c r="AL7" i="104"/>
  <c r="AK7" i="104"/>
  <c r="AJ7" i="104"/>
  <c r="AI7" i="104"/>
  <c r="AP6" i="104"/>
  <c r="AO6" i="104"/>
  <c r="AN6" i="104"/>
  <c r="AM6" i="104"/>
  <c r="AL6" i="104"/>
  <c r="AK6" i="104"/>
  <c r="AJ6" i="104"/>
  <c r="AI6" i="104"/>
  <c r="R77" i="103" a="1"/>
  <c r="R77" i="103" s="1"/>
  <c r="H77" i="103" a="1"/>
  <c r="I77" i="103" s="1"/>
  <c r="R76" i="103" a="1"/>
  <c r="H76" i="103" a="1"/>
  <c r="H76" i="103" s="1"/>
  <c r="R75" i="103" a="1"/>
  <c r="T75" i="103" s="1"/>
  <c r="H75" i="103" a="1"/>
  <c r="J75" i="103" s="1"/>
  <c r="R72" i="103" a="1"/>
  <c r="R72" i="103" s="1"/>
  <c r="H72" i="103" a="1"/>
  <c r="I72" i="103" s="1"/>
  <c r="R71" i="103" a="1"/>
  <c r="R71" i="103" s="1"/>
  <c r="H71" i="103" a="1"/>
  <c r="H71" i="103" s="1"/>
  <c r="R70" i="103" a="1"/>
  <c r="T70" i="103" s="1"/>
  <c r="H70" i="103" a="1"/>
  <c r="J70" i="103" s="1"/>
  <c r="R67" i="103" a="1"/>
  <c r="S67" i="103" s="1"/>
  <c r="H67" i="103" a="1"/>
  <c r="I67" i="103" s="1"/>
  <c r="R66" i="103" a="1"/>
  <c r="R66" i="103" s="1"/>
  <c r="H66" i="103" a="1"/>
  <c r="R65" i="103" a="1"/>
  <c r="R65" i="103" s="1"/>
  <c r="H65" i="103" a="1"/>
  <c r="J65" i="103" s="1"/>
  <c r="R62" i="103" a="1"/>
  <c r="H62" i="103" a="1"/>
  <c r="R61" i="103" a="1"/>
  <c r="S61" i="103" s="1"/>
  <c r="H61" i="103" a="1"/>
  <c r="H61" i="103" s="1"/>
  <c r="R60" i="103" a="1"/>
  <c r="R60" i="103" s="1"/>
  <c r="H60" i="103" a="1"/>
  <c r="J60" i="103" s="1"/>
  <c r="AN55" i="103" a="1"/>
  <c r="AP55" i="103" s="1"/>
  <c r="AN54" i="103" a="1"/>
  <c r="AP54" i="103" s="1"/>
  <c r="X54" i="103" a="1"/>
  <c r="Y54" i="103" s="1"/>
  <c r="AN53" i="103" a="1"/>
  <c r="AP53" i="103" s="1"/>
  <c r="X53" i="103" a="1"/>
  <c r="X53" i="103" s="1"/>
  <c r="AN52" i="103" a="1"/>
  <c r="X52" i="103" a="1"/>
  <c r="X51" i="103" a="1"/>
  <c r="Z51" i="103" s="1"/>
  <c r="BJ44" i="103"/>
  <c r="BG43" i="103"/>
  <c r="BN42" i="103"/>
  <c r="BW42" i="103" s="1"/>
  <c r="BG42" i="103"/>
  <c r="BR41" i="103"/>
  <c r="CA41" i="103" s="1"/>
  <c r="BN41" i="103"/>
  <c r="BO41" i="103" s="1"/>
  <c r="BG41" i="103"/>
  <c r="BT40" i="103"/>
  <c r="CC40" i="103" s="1"/>
  <c r="BR40" i="103"/>
  <c r="BN40" i="103"/>
  <c r="BO40" i="103" s="1"/>
  <c r="BG40" i="103"/>
  <c r="BT39" i="103"/>
  <c r="BR39" i="103"/>
  <c r="BN39" i="103"/>
  <c r="BW39" i="103" s="1"/>
  <c r="BG39" i="103"/>
  <c r="BT38" i="103"/>
  <c r="CC38" i="103" s="1"/>
  <c r="BR38" i="103"/>
  <c r="CA38" i="103" s="1"/>
  <c r="BN38" i="103"/>
  <c r="BO38" i="103" s="1"/>
  <c r="BG38" i="103"/>
  <c r="X38" i="103"/>
  <c r="W38" i="103"/>
  <c r="V38" i="103"/>
  <c r="BT37" i="103"/>
  <c r="CC37" i="103" s="1"/>
  <c r="BR37" i="103"/>
  <c r="BS37" i="103" s="1"/>
  <c r="BN37" i="103"/>
  <c r="BO37" i="103" s="1"/>
  <c r="X37" i="103"/>
  <c r="W37" i="103"/>
  <c r="V37" i="103"/>
  <c r="BT36" i="103"/>
  <c r="CC36" i="103" s="1"/>
  <c r="BR36" i="103"/>
  <c r="BN36" i="103"/>
  <c r="BW36" i="103" s="1"/>
  <c r="X36" i="103"/>
  <c r="W36" i="103"/>
  <c r="V36" i="103"/>
  <c r="X35" i="103"/>
  <c r="W35" i="103"/>
  <c r="V35" i="103"/>
  <c r="X34" i="103"/>
  <c r="W34" i="103"/>
  <c r="V34" i="103"/>
  <c r="BE33" i="103"/>
  <c r="BE32" i="103"/>
  <c r="BE31" i="103"/>
  <c r="BE30" i="103"/>
  <c r="BH18" i="103"/>
  <c r="BH17" i="103"/>
  <c r="BH16" i="103"/>
  <c r="BH15" i="103"/>
  <c r="BJ14" i="103" a="1"/>
  <c r="BH14" i="103"/>
  <c r="BH13" i="103"/>
  <c r="BJ12" i="103" a="1"/>
  <c r="BL12" i="103" s="1"/>
  <c r="BH12" i="103"/>
  <c r="AC12" i="103"/>
  <c r="BP42" i="103" s="1"/>
  <c r="BY42" i="103" s="1"/>
  <c r="AB12" i="103"/>
  <c r="AD12" i="103" s="1"/>
  <c r="O49" i="84" s="1"/>
  <c r="AF11" i="103"/>
  <c r="Q48" i="84" s="1"/>
  <c r="AC11" i="103"/>
  <c r="AB11" i="103"/>
  <c r="AH10" i="103"/>
  <c r="S47" i="84" s="1"/>
  <c r="AF10" i="103"/>
  <c r="Q47" i="84" s="1"/>
  <c r="AC10" i="103"/>
  <c r="AB10" i="103"/>
  <c r="AD10" i="103" s="1"/>
  <c r="O47" i="84" s="1"/>
  <c r="AH9" i="103"/>
  <c r="S46" i="84" s="1"/>
  <c r="AF9" i="103"/>
  <c r="Q46" i="84" s="1"/>
  <c r="AC9" i="103"/>
  <c r="BP39" i="103" s="1"/>
  <c r="AB9" i="103"/>
  <c r="AD9" i="103" s="1"/>
  <c r="O46" i="84" s="1"/>
  <c r="AH8" i="103"/>
  <c r="S45" i="84" s="1"/>
  <c r="AF8" i="103"/>
  <c r="Q45" i="84" s="1"/>
  <c r="AC8" i="103"/>
  <c r="BP38" i="103" s="1"/>
  <c r="BQ38" i="103" s="1"/>
  <c r="AB8" i="103"/>
  <c r="AD8" i="103" s="1"/>
  <c r="O45" i="84" s="1"/>
  <c r="AH7" i="103"/>
  <c r="S44" i="84" s="1"/>
  <c r="AF7" i="103"/>
  <c r="Q44" i="84" s="1"/>
  <c r="AC7" i="103"/>
  <c r="N44" i="84" s="1"/>
  <c r="AB7" i="103"/>
  <c r="M44" i="84" s="1"/>
  <c r="AH6" i="103"/>
  <c r="AB37" i="103" s="1"/>
  <c r="AF6" i="103"/>
  <c r="AB36" i="103" s="1"/>
  <c r="AC6" i="103"/>
  <c r="BP36" i="103" s="1"/>
  <c r="BY36" i="103" s="1"/>
  <c r="AB6" i="103"/>
  <c r="L3" i="103"/>
  <c r="R77" i="102" a="1"/>
  <c r="S77" i="102" s="1"/>
  <c r="H77" i="102" a="1"/>
  <c r="R76" i="102" a="1"/>
  <c r="R76" i="102" s="1"/>
  <c r="H76" i="102" a="1"/>
  <c r="H76" i="102" s="1"/>
  <c r="R75" i="102" a="1"/>
  <c r="T75" i="102" s="1"/>
  <c r="H75" i="102" a="1"/>
  <c r="R72" i="102" a="1"/>
  <c r="S72" i="102" s="1"/>
  <c r="H72" i="102" a="1"/>
  <c r="H72" i="102" s="1"/>
  <c r="R71" i="102" a="1"/>
  <c r="R71" i="102" s="1"/>
  <c r="H71" i="102" a="1"/>
  <c r="H71" i="102" s="1"/>
  <c r="R70" i="102" a="1"/>
  <c r="H70" i="102" a="1"/>
  <c r="I70" i="102" s="1"/>
  <c r="R67" i="102" a="1"/>
  <c r="S67" i="102" s="1"/>
  <c r="H67" i="102" a="1"/>
  <c r="H67" i="102" s="1"/>
  <c r="R66" i="102" a="1"/>
  <c r="R66" i="102" s="1"/>
  <c r="H66" i="102" a="1"/>
  <c r="I66" i="102" s="1"/>
  <c r="R65" i="102" a="1"/>
  <c r="T65" i="102" s="1"/>
  <c r="H65" i="102" a="1"/>
  <c r="H65" i="102" s="1"/>
  <c r="R62" i="102" a="1"/>
  <c r="R62" i="102" s="1"/>
  <c r="H62" i="102" a="1"/>
  <c r="I62" i="102" s="1"/>
  <c r="BE61" i="102"/>
  <c r="R61" i="102" a="1"/>
  <c r="S61" i="102" s="1"/>
  <c r="H61" i="102" a="1"/>
  <c r="I61" i="102" s="1"/>
  <c r="BE60" i="102"/>
  <c r="R60" i="102" a="1"/>
  <c r="T60" i="102" s="1"/>
  <c r="H60" i="102" a="1"/>
  <c r="I60" i="102" s="1"/>
  <c r="BE59" i="102"/>
  <c r="BE58" i="102"/>
  <c r="AN55" i="102" a="1"/>
  <c r="AO55" i="102" s="1"/>
  <c r="AN54" i="102" a="1"/>
  <c r="AP54" i="102" s="1"/>
  <c r="X54" i="102" a="1"/>
  <c r="Y54" i="102" s="1"/>
  <c r="AN53" i="102" a="1"/>
  <c r="AN53" i="102" s="1"/>
  <c r="X53" i="102" a="1"/>
  <c r="Y53" i="102" s="1"/>
  <c r="AN52" i="102" a="1"/>
  <c r="AN52" i="102" s="1"/>
  <c r="X52" i="102" a="1"/>
  <c r="Y52" i="102" s="1"/>
  <c r="X51" i="102" a="1"/>
  <c r="Z51" i="102" s="1"/>
  <c r="BJ44" i="102"/>
  <c r="BG43" i="102"/>
  <c r="BP42" i="102"/>
  <c r="BQ42" i="102" s="1"/>
  <c r="BG42" i="102"/>
  <c r="BR41" i="102"/>
  <c r="CA41" i="102" s="1"/>
  <c r="BP41" i="102"/>
  <c r="BG41" i="102"/>
  <c r="BT40" i="102"/>
  <c r="CC40" i="102" s="1"/>
  <c r="BR40" i="102"/>
  <c r="CA40" i="102" s="1"/>
  <c r="BP40" i="102"/>
  <c r="BY40" i="102" s="1"/>
  <c r="BG40" i="102"/>
  <c r="BT39" i="102"/>
  <c r="BU39" i="102" s="1"/>
  <c r="BR39" i="102"/>
  <c r="CA39" i="102" s="1"/>
  <c r="BP39" i="102"/>
  <c r="BY39" i="102" s="1"/>
  <c r="BG39" i="102"/>
  <c r="BT38" i="102"/>
  <c r="CC38" i="102" s="1"/>
  <c r="BR38" i="102"/>
  <c r="BP38" i="102"/>
  <c r="BY38" i="102" s="1"/>
  <c r="BG38" i="102"/>
  <c r="BT37" i="102"/>
  <c r="BR37" i="102"/>
  <c r="CA37" i="102" s="1"/>
  <c r="BP37" i="102"/>
  <c r="BY37" i="102" s="1"/>
  <c r="BT36" i="102"/>
  <c r="CC36" i="102" s="1"/>
  <c r="BR36" i="102"/>
  <c r="BS36" i="102" s="1"/>
  <c r="BP36" i="102"/>
  <c r="BQ36" i="102" s="1"/>
  <c r="BN36" i="102"/>
  <c r="BW36" i="102" s="1"/>
  <c r="BE33" i="102"/>
  <c r="BE32" i="102"/>
  <c r="BE31" i="102"/>
  <c r="BE30" i="102"/>
  <c r="BH18" i="102"/>
  <c r="BH17" i="102"/>
  <c r="BH16" i="102"/>
  <c r="BH15" i="102"/>
  <c r="BJ14" i="102" a="1"/>
  <c r="BH14" i="102"/>
  <c r="AU14" i="102"/>
  <c r="AW27" i="102" s="1"/>
  <c r="BH13" i="102"/>
  <c r="BJ12" i="102" a="1"/>
  <c r="BK12" i="102" s="1"/>
  <c r="BH12" i="102"/>
  <c r="AA12" i="102"/>
  <c r="AA11" i="102"/>
  <c r="BN41" i="102" s="1"/>
  <c r="AA10" i="102"/>
  <c r="BN40" i="102" s="1"/>
  <c r="BO40" i="102" s="1"/>
  <c r="AA9" i="102"/>
  <c r="BN39" i="102" s="1"/>
  <c r="AA8" i="102"/>
  <c r="C45" i="84" s="1"/>
  <c r="AA7" i="102"/>
  <c r="BN37" i="102" s="1"/>
  <c r="BW37" i="102" s="1"/>
  <c r="L3" i="102"/>
  <c r="L22" i="100"/>
  <c r="K22" i="100"/>
  <c r="J22" i="100"/>
  <c r="C7" i="100"/>
  <c r="Y90" i="99"/>
  <c r="X90" i="99"/>
  <c r="Y89" i="99"/>
  <c r="X89" i="99"/>
  <c r="Y88" i="99"/>
  <c r="X88" i="99"/>
  <c r="Y87" i="99"/>
  <c r="X87" i="99"/>
  <c r="Y86" i="99"/>
  <c r="X86" i="99"/>
  <c r="Y85" i="99"/>
  <c r="X85" i="99"/>
  <c r="Y84" i="99"/>
  <c r="X84" i="99"/>
  <c r="Y82" i="99"/>
  <c r="X82" i="99"/>
  <c r="Y81" i="99"/>
  <c r="X81" i="99"/>
  <c r="Y80" i="99"/>
  <c r="X80" i="99"/>
  <c r="Y79" i="99"/>
  <c r="X79" i="99"/>
  <c r="Y78" i="99"/>
  <c r="X78" i="99"/>
  <c r="Y77" i="99"/>
  <c r="X77" i="99"/>
  <c r="Y76" i="99"/>
  <c r="X76" i="99"/>
  <c r="R75" i="99" a="1"/>
  <c r="S75" i="99" s="1"/>
  <c r="H75" i="99" a="1"/>
  <c r="Y74" i="99"/>
  <c r="X74" i="99"/>
  <c r="Y73" i="99"/>
  <c r="X73" i="99"/>
  <c r="Y72" i="99"/>
  <c r="X72" i="99"/>
  <c r="Y71" i="99"/>
  <c r="X71" i="99"/>
  <c r="Y70" i="99"/>
  <c r="X70" i="99"/>
  <c r="R70" i="99" a="1"/>
  <c r="H70" i="99" a="1"/>
  <c r="I70" i="99" s="1"/>
  <c r="Y69" i="99"/>
  <c r="X69" i="99"/>
  <c r="Y68" i="99"/>
  <c r="X68" i="99"/>
  <c r="Y67" i="99"/>
  <c r="X67" i="99"/>
  <c r="Y65" i="99"/>
  <c r="X65" i="99"/>
  <c r="R65" i="99" a="1"/>
  <c r="T65" i="99" s="1"/>
  <c r="H65" i="99" a="1"/>
  <c r="H65" i="99" s="1"/>
  <c r="Y64" i="99"/>
  <c r="X64" i="99"/>
  <c r="Y63" i="99"/>
  <c r="X63" i="99"/>
  <c r="Y62" i="99"/>
  <c r="X62" i="99"/>
  <c r="Y61" i="99"/>
  <c r="X61" i="99"/>
  <c r="Y60" i="99"/>
  <c r="X60" i="99"/>
  <c r="R60" i="99" a="1"/>
  <c r="H60" i="99" a="1"/>
  <c r="Y59" i="99"/>
  <c r="X59" i="99"/>
  <c r="AT43" i="99"/>
  <c r="BD42" i="99"/>
  <c r="BB42" i="99"/>
  <c r="AT42" i="99"/>
  <c r="BF41" i="99"/>
  <c r="BD41" i="99"/>
  <c r="BB41" i="99"/>
  <c r="AT41" i="99"/>
  <c r="BH40" i="99"/>
  <c r="BF40" i="99"/>
  <c r="BD40" i="99"/>
  <c r="BB40" i="99"/>
  <c r="AT40" i="99"/>
  <c r="BH39" i="99"/>
  <c r="BF39" i="99"/>
  <c r="BD39" i="99"/>
  <c r="BB39" i="99"/>
  <c r="AT39" i="99"/>
  <c r="BH38" i="99"/>
  <c r="BF38" i="99"/>
  <c r="BD38" i="99"/>
  <c r="BB38" i="99"/>
  <c r="AT38" i="99"/>
  <c r="BH37" i="99"/>
  <c r="BF37" i="99"/>
  <c r="BD37" i="99"/>
  <c r="BB37" i="99"/>
  <c r="BH36" i="99"/>
  <c r="BF36" i="99"/>
  <c r="BD36" i="99"/>
  <c r="BB36" i="99"/>
  <c r="AR33" i="99"/>
  <c r="AR32" i="99"/>
  <c r="AR31" i="99"/>
  <c r="AR30" i="99"/>
  <c r="AU18" i="99"/>
  <c r="AU17" i="99"/>
  <c r="AU16" i="99"/>
  <c r="AU15" i="99"/>
  <c r="AW14" i="99" a="1"/>
  <c r="AU14" i="99"/>
  <c r="AU13" i="99"/>
  <c r="AW12" i="99" a="1"/>
  <c r="AY12" i="99" s="1"/>
  <c r="AU12" i="99"/>
  <c r="L3" i="99"/>
  <c r="Y89" i="98"/>
  <c r="X89" i="98"/>
  <c r="Y88" i="98"/>
  <c r="X88" i="98"/>
  <c r="Y87" i="98"/>
  <c r="X87" i="98"/>
  <c r="Y86" i="98"/>
  <c r="X86" i="98"/>
  <c r="Y85" i="98"/>
  <c r="X85" i="98"/>
  <c r="Y84" i="98"/>
  <c r="X84" i="98"/>
  <c r="Y83" i="98"/>
  <c r="X83" i="98"/>
  <c r="Y81" i="98"/>
  <c r="X81" i="98"/>
  <c r="Y80" i="98"/>
  <c r="X80" i="98"/>
  <c r="Y79" i="98"/>
  <c r="X79" i="98"/>
  <c r="Y78" i="98"/>
  <c r="X78" i="98"/>
  <c r="Y77" i="98"/>
  <c r="X77" i="98"/>
  <c r="Y76" i="98"/>
  <c r="X76" i="98"/>
  <c r="Y75" i="98"/>
  <c r="X75" i="98"/>
  <c r="R75" i="98" a="1"/>
  <c r="T75" i="98" s="1"/>
  <c r="H75" i="98" a="1"/>
  <c r="J75" i="98" s="1"/>
  <c r="Y73" i="98"/>
  <c r="X73" i="98"/>
  <c r="Y72" i="98"/>
  <c r="X72" i="98"/>
  <c r="Y71" i="98"/>
  <c r="X71" i="98"/>
  <c r="Y70" i="98"/>
  <c r="X70" i="98"/>
  <c r="R70" i="98" a="1"/>
  <c r="H70" i="98" a="1"/>
  <c r="J70" i="98" s="1"/>
  <c r="Y69" i="98"/>
  <c r="X69" i="98"/>
  <c r="Y68" i="98"/>
  <c r="X68" i="98"/>
  <c r="Y67" i="98"/>
  <c r="X67" i="98"/>
  <c r="Y65" i="98"/>
  <c r="X65" i="98"/>
  <c r="R65" i="98" a="1"/>
  <c r="H65" i="98" a="1"/>
  <c r="I65" i="98" s="1"/>
  <c r="Y64" i="98"/>
  <c r="X64" i="98"/>
  <c r="Y63" i="98"/>
  <c r="X63" i="98"/>
  <c r="Y62" i="98"/>
  <c r="X62" i="98"/>
  <c r="Y61" i="98"/>
  <c r="X61" i="98"/>
  <c r="Y60" i="98"/>
  <c r="X60" i="98"/>
  <c r="R60" i="98" a="1"/>
  <c r="R60" i="98" s="1"/>
  <c r="H60" i="98" a="1"/>
  <c r="I60" i="98" s="1"/>
  <c r="Y59" i="98"/>
  <c r="X59" i="98"/>
  <c r="AT43" i="98"/>
  <c r="BD42" i="98"/>
  <c r="BB42" i="98"/>
  <c r="AT42" i="98"/>
  <c r="BF41" i="98"/>
  <c r="BD41" i="98"/>
  <c r="BB41" i="98"/>
  <c r="AT41" i="98"/>
  <c r="BH40" i="98"/>
  <c r="BF40" i="98"/>
  <c r="BD40" i="98"/>
  <c r="BB40" i="98"/>
  <c r="AT40" i="98"/>
  <c r="BH39" i="98"/>
  <c r="BF39" i="98"/>
  <c r="BD39" i="98"/>
  <c r="BB39" i="98"/>
  <c r="AT39" i="98"/>
  <c r="BH38" i="98"/>
  <c r="BF38" i="98"/>
  <c r="BD38" i="98"/>
  <c r="BB38" i="98"/>
  <c r="AT38" i="98"/>
  <c r="BH37" i="98"/>
  <c r="BF37" i="98"/>
  <c r="BD37" i="98"/>
  <c r="BB37" i="98"/>
  <c r="BH36" i="98"/>
  <c r="BF36" i="98"/>
  <c r="BD36" i="98"/>
  <c r="BB36" i="98"/>
  <c r="AR33" i="98"/>
  <c r="AR32" i="98"/>
  <c r="AR31" i="98"/>
  <c r="AR30" i="98"/>
  <c r="AU18" i="98"/>
  <c r="AU17" i="98"/>
  <c r="AU16" i="98"/>
  <c r="AU15" i="98"/>
  <c r="AW14" i="98" a="1"/>
  <c r="AW14" i="98" s="1"/>
  <c r="AU14" i="98"/>
  <c r="AU13" i="98"/>
  <c r="AW12" i="98" a="1"/>
  <c r="AU12" i="98"/>
  <c r="L3" i="98"/>
  <c r="Z50" i="97" a="1"/>
  <c r="Z50" i="97" s="1"/>
  <c r="S50" i="97"/>
  <c r="Z49" i="97" a="1"/>
  <c r="S49" i="97"/>
  <c r="Z48" i="97" a="1"/>
  <c r="AA48" i="97" s="1"/>
  <c r="S48" i="97"/>
  <c r="Z47" i="97" a="1"/>
  <c r="AA47" i="97" s="1"/>
  <c r="S47" i="97"/>
  <c r="L46" i="97"/>
  <c r="K46" i="97"/>
  <c r="J46" i="97"/>
  <c r="I46" i="97"/>
  <c r="H46" i="97"/>
  <c r="G46" i="97"/>
  <c r="F46" i="97"/>
  <c r="E46" i="97"/>
  <c r="X44" i="97"/>
  <c r="V57" i="97" s="1"/>
  <c r="M44" i="97"/>
  <c r="F57" i="97" s="1"/>
  <c r="X43" i="97"/>
  <c r="V56" i="97" s="1"/>
  <c r="U94" i="97" s="1"/>
  <c r="M43" i="97"/>
  <c r="F56" i="97" s="1"/>
  <c r="E94" i="97" s="1"/>
  <c r="X41" i="97"/>
  <c r="V53" i="97" s="1"/>
  <c r="M41" i="97"/>
  <c r="F53" i="97" s="1"/>
  <c r="X40" i="97"/>
  <c r="V52" i="97" s="1"/>
  <c r="U93" i="97" s="1"/>
  <c r="M40" i="97"/>
  <c r="F52" i="97" s="1"/>
  <c r="E93" i="97" s="1"/>
  <c r="P17" i="97"/>
  <c r="M12" i="97"/>
  <c r="M11" i="97"/>
  <c r="M10" i="97"/>
  <c r="M9" i="97"/>
  <c r="R29" i="96"/>
  <c r="Q29" i="96"/>
  <c r="P29" i="96"/>
  <c r="O29" i="96"/>
  <c r="N29" i="96"/>
  <c r="M29" i="96"/>
  <c r="L29" i="96"/>
  <c r="K29" i="96"/>
  <c r="R28" i="96"/>
  <c r="Q28" i="96"/>
  <c r="P28" i="96"/>
  <c r="O28" i="96"/>
  <c r="N28" i="96"/>
  <c r="M28" i="96"/>
  <c r="L28" i="96"/>
  <c r="K28" i="96"/>
  <c r="R27" i="96"/>
  <c r="Q27" i="96"/>
  <c r="P27" i="96"/>
  <c r="O27" i="96"/>
  <c r="N27" i="96"/>
  <c r="M27" i="96"/>
  <c r="L27" i="96"/>
  <c r="K27" i="96"/>
  <c r="R26" i="96"/>
  <c r="Q26" i="96"/>
  <c r="P26" i="96"/>
  <c r="O26" i="96"/>
  <c r="N26" i="96"/>
  <c r="M26" i="96"/>
  <c r="L26" i="96"/>
  <c r="K26" i="96"/>
  <c r="C12" i="96" a="1"/>
  <c r="R75" i="95" a="1"/>
  <c r="S75" i="95" s="1"/>
  <c r="H75" i="95" a="1"/>
  <c r="I75" i="95" s="1"/>
  <c r="R70" i="95" a="1"/>
  <c r="S70" i="95" s="1"/>
  <c r="H70" i="95" a="1"/>
  <c r="H70" i="95" s="1"/>
  <c r="R65" i="95" a="1"/>
  <c r="T65" i="95" s="1"/>
  <c r="H65" i="95" a="1"/>
  <c r="R60" i="95" a="1"/>
  <c r="S60" i="95" s="1"/>
  <c r="H60" i="95" a="1"/>
  <c r="I60" i="95" s="1"/>
  <c r="X55" i="95" a="1"/>
  <c r="Z55" i="95" s="1"/>
  <c r="X54" i="95" a="1"/>
  <c r="Z54" i="95" s="1"/>
  <c r="X53" i="95" a="1"/>
  <c r="Z53" i="95" s="1"/>
  <c r="X52" i="95" a="1"/>
  <c r="X51" i="95" a="1"/>
  <c r="Y51" i="95" s="1"/>
  <c r="BC45" i="95"/>
  <c r="BM44" i="95"/>
  <c r="BK44" i="95"/>
  <c r="BC44" i="95"/>
  <c r="BO43" i="95"/>
  <c r="BM43" i="95"/>
  <c r="BK43" i="95"/>
  <c r="BC43" i="95"/>
  <c r="BQ42" i="95"/>
  <c r="BO42" i="95"/>
  <c r="BM42" i="95"/>
  <c r="BK42" i="95"/>
  <c r="BC42" i="95"/>
  <c r="BQ41" i="95"/>
  <c r="BO41" i="95"/>
  <c r="BM41" i="95"/>
  <c r="BK41" i="95"/>
  <c r="BC41" i="95"/>
  <c r="BQ40" i="95"/>
  <c r="BO40" i="95"/>
  <c r="BM40" i="95"/>
  <c r="BK40" i="95"/>
  <c r="BC40" i="95"/>
  <c r="BQ39" i="95"/>
  <c r="BO39" i="95"/>
  <c r="BM39" i="95"/>
  <c r="BK39" i="95"/>
  <c r="BQ38" i="95"/>
  <c r="BO38" i="95"/>
  <c r="BM38" i="95"/>
  <c r="BK38" i="95"/>
  <c r="BD20" i="95"/>
  <c r="BD19" i="95"/>
  <c r="BD18" i="95"/>
  <c r="BD17" i="95"/>
  <c r="BF16" i="95" a="1"/>
  <c r="BH16" i="95" s="1"/>
  <c r="BD16" i="95"/>
  <c r="BD15" i="95"/>
  <c r="BF14" i="95" a="1"/>
  <c r="BF14" i="95" s="1"/>
  <c r="BD14" i="95"/>
  <c r="BD13" i="95"/>
  <c r="L3" i="95"/>
  <c r="R75" i="94" a="1"/>
  <c r="S75" i="94" s="1"/>
  <c r="H75" i="94" a="1"/>
  <c r="J75" i="94" s="1"/>
  <c r="R70" i="94" a="1"/>
  <c r="T70" i="94" s="1"/>
  <c r="H70" i="94" a="1"/>
  <c r="J70" i="94" s="1"/>
  <c r="R65" i="94" a="1"/>
  <c r="S65" i="94" s="1"/>
  <c r="H65" i="94" a="1"/>
  <c r="I65" i="94" s="1"/>
  <c r="R60" i="94" a="1"/>
  <c r="R60" i="94" s="1"/>
  <c r="H60" i="94" a="1"/>
  <c r="J60" i="94" s="1"/>
  <c r="X55" i="94" a="1"/>
  <c r="X54" i="94" a="1"/>
  <c r="X53" i="94" a="1"/>
  <c r="Z53" i="94" s="1"/>
  <c r="X52" i="94" a="1"/>
  <c r="Z52" i="94" s="1"/>
  <c r="X51" i="94" a="1"/>
  <c r="Z51" i="94" s="1"/>
  <c r="BC45" i="94"/>
  <c r="BM44" i="94"/>
  <c r="BK44" i="94"/>
  <c r="BC44" i="94"/>
  <c r="BO43" i="94"/>
  <c r="BM43" i="94"/>
  <c r="BK43" i="94"/>
  <c r="BC43" i="94"/>
  <c r="BQ42" i="94"/>
  <c r="BO42" i="94"/>
  <c r="BM42" i="94"/>
  <c r="BK42" i="94"/>
  <c r="BC42" i="94"/>
  <c r="BQ41" i="94"/>
  <c r="BO41" i="94"/>
  <c r="BM41" i="94"/>
  <c r="BK41" i="94"/>
  <c r="BC41" i="94"/>
  <c r="BQ40" i="94"/>
  <c r="BO40" i="94"/>
  <c r="BM40" i="94"/>
  <c r="BK40" i="94"/>
  <c r="BC40" i="94"/>
  <c r="BQ39" i="94"/>
  <c r="BO39" i="94"/>
  <c r="BM39" i="94"/>
  <c r="BK39" i="94"/>
  <c r="BQ38" i="94"/>
  <c r="BO38" i="94"/>
  <c r="BM38" i="94"/>
  <c r="BK38" i="94"/>
  <c r="BD20" i="94"/>
  <c r="BD19" i="94"/>
  <c r="BD18" i="94"/>
  <c r="BD17" i="94"/>
  <c r="BF16" i="94" a="1"/>
  <c r="BH16" i="94" s="1"/>
  <c r="BD16" i="94"/>
  <c r="BD15" i="94"/>
  <c r="BF14" i="94" a="1"/>
  <c r="BH14" i="94" s="1"/>
  <c r="BD14" i="94"/>
  <c r="BD13" i="94"/>
  <c r="L3" i="94"/>
  <c r="W74" i="93" a="1"/>
  <c r="W74" i="93" s="1"/>
  <c r="V74" i="93" a="1"/>
  <c r="V74" i="93" s="1"/>
  <c r="S24" i="93" s="1"/>
  <c r="U74" i="93" a="1"/>
  <c r="U74" i="93" s="1"/>
  <c r="R24" i="93" s="1"/>
  <c r="T74" i="93" a="1"/>
  <c r="T74" i="93" s="1"/>
  <c r="Q24" i="93" s="1"/>
  <c r="S74" i="93" a="1"/>
  <c r="S74" i="93" s="1"/>
  <c r="P24" i="93" s="1"/>
  <c r="R74" i="93" a="1"/>
  <c r="R74" i="93" s="1"/>
  <c r="O24" i="93" s="1"/>
  <c r="Q74" i="93" a="1"/>
  <c r="Q74" i="93" s="1"/>
  <c r="N24" i="93" s="1"/>
  <c r="P74" i="93" a="1"/>
  <c r="P74" i="93" s="1"/>
  <c r="M24" i="93" s="1"/>
  <c r="O74" i="93" a="1"/>
  <c r="O74" i="93" s="1"/>
  <c r="L24" i="93" s="1"/>
  <c r="N74" i="93" a="1"/>
  <c r="N74" i="93" s="1"/>
  <c r="K24" i="93" s="1"/>
  <c r="W73" i="93" a="1"/>
  <c r="W73" i="93" s="1"/>
  <c r="T23" i="93" s="1"/>
  <c r="L13" i="93" s="1"/>
  <c r="V73" i="93" a="1"/>
  <c r="V73" i="93" s="1"/>
  <c r="S23" i="93" s="1"/>
  <c r="U73" i="93" a="1"/>
  <c r="U73" i="93" s="1"/>
  <c r="R23" i="93" s="1"/>
  <c r="T73" i="93" a="1"/>
  <c r="T73" i="93" s="1"/>
  <c r="Q23" i="93" s="1"/>
  <c r="S73" i="93" a="1"/>
  <c r="S73" i="93" s="1"/>
  <c r="P23" i="93" s="1"/>
  <c r="R73" i="93" a="1"/>
  <c r="R73" i="93" s="1"/>
  <c r="O23" i="93" s="1"/>
  <c r="Q73" i="93" a="1"/>
  <c r="Q73" i="93" s="1"/>
  <c r="N23" i="93" s="1"/>
  <c r="P73" i="93" a="1"/>
  <c r="P73" i="93" s="1"/>
  <c r="M23" i="93" s="1"/>
  <c r="O73" i="93" a="1"/>
  <c r="O73" i="93" s="1"/>
  <c r="L23" i="93" s="1"/>
  <c r="N73" i="93" a="1"/>
  <c r="N73" i="93" s="1"/>
  <c r="K23" i="93" s="1"/>
  <c r="W72" i="93" a="1"/>
  <c r="W72" i="93" s="1"/>
  <c r="V72" i="93" a="1"/>
  <c r="V72" i="93" s="1"/>
  <c r="S22" i="93" s="1"/>
  <c r="U72" i="93" a="1"/>
  <c r="U72" i="93" s="1"/>
  <c r="R22" i="93" s="1"/>
  <c r="T72" i="93" a="1"/>
  <c r="T72" i="93" s="1"/>
  <c r="Q22" i="93" s="1"/>
  <c r="S72" i="93" a="1"/>
  <c r="S72" i="93" s="1"/>
  <c r="P22" i="93" s="1"/>
  <c r="R72" i="93" a="1"/>
  <c r="R72" i="93" s="1"/>
  <c r="O22" i="93" s="1"/>
  <c r="Q72" i="93" a="1"/>
  <c r="Q72" i="93" s="1"/>
  <c r="N22" i="93" s="1"/>
  <c r="P72" i="93" a="1"/>
  <c r="P72" i="93" s="1"/>
  <c r="M22" i="93" s="1"/>
  <c r="O72" i="93" a="1"/>
  <c r="O72" i="93" s="1"/>
  <c r="L22" i="93" s="1"/>
  <c r="N72" i="93" a="1"/>
  <c r="N72" i="93" s="1"/>
  <c r="K22" i="93" s="1"/>
  <c r="W71" i="93" a="1"/>
  <c r="W71" i="93" s="1"/>
  <c r="T21" i="93" s="1"/>
  <c r="L11" i="93" s="1"/>
  <c r="V71" i="93" a="1"/>
  <c r="V71" i="93" s="1"/>
  <c r="S21" i="93" s="1"/>
  <c r="U71" i="93" a="1"/>
  <c r="U71" i="93" s="1"/>
  <c r="R21" i="93" s="1"/>
  <c r="T71" i="93" a="1"/>
  <c r="T71" i="93" s="1"/>
  <c r="Q21" i="93" s="1"/>
  <c r="S71" i="93" a="1"/>
  <c r="S71" i="93" s="1"/>
  <c r="P21" i="93" s="1"/>
  <c r="R71" i="93" a="1"/>
  <c r="R71" i="93" s="1"/>
  <c r="O21" i="93" s="1"/>
  <c r="Q71" i="93" a="1"/>
  <c r="Q71" i="93" s="1"/>
  <c r="N21" i="93" s="1"/>
  <c r="P71" i="93" a="1"/>
  <c r="P71" i="93" s="1"/>
  <c r="M21" i="93" s="1"/>
  <c r="O71" i="93" a="1"/>
  <c r="O71" i="93" s="1"/>
  <c r="L21" i="93" s="1"/>
  <c r="N71" i="93" a="1"/>
  <c r="N71" i="93" s="1"/>
  <c r="K21" i="93" s="1"/>
  <c r="AB69" i="93"/>
  <c r="Z69" i="93"/>
  <c r="Y69" i="93"/>
  <c r="AB68" i="93"/>
  <c r="Z68" i="93"/>
  <c r="Y68" i="93"/>
  <c r="AB67" i="93"/>
  <c r="Z67" i="93"/>
  <c r="Y67" i="93"/>
  <c r="AB66" i="93"/>
  <c r="Z66" i="93"/>
  <c r="Y66" i="93"/>
  <c r="AB65" i="93"/>
  <c r="Z65" i="93"/>
  <c r="Y65" i="93"/>
  <c r="AB64" i="93"/>
  <c r="Z64" i="93"/>
  <c r="Y64" i="93"/>
  <c r="AB63" i="93"/>
  <c r="Z63" i="93"/>
  <c r="Y63" i="93"/>
  <c r="AB62" i="93"/>
  <c r="Z62" i="93"/>
  <c r="Y62" i="93"/>
  <c r="AB61" i="93"/>
  <c r="Z61" i="93"/>
  <c r="Y61" i="93"/>
  <c r="AA61" i="93" s="1"/>
  <c r="AB60" i="93"/>
  <c r="Z60" i="93"/>
  <c r="Y60" i="93"/>
  <c r="AB59" i="93"/>
  <c r="Z59" i="93"/>
  <c r="Y59" i="93"/>
  <c r="AB58" i="93"/>
  <c r="Z58" i="93"/>
  <c r="Y58" i="93"/>
  <c r="AB57" i="93"/>
  <c r="Z57" i="93"/>
  <c r="Y57" i="93"/>
  <c r="AB56" i="93"/>
  <c r="Z56" i="93"/>
  <c r="Y56" i="93"/>
  <c r="AB55" i="93"/>
  <c r="Z55" i="93"/>
  <c r="Y55" i="93"/>
  <c r="AB54" i="93"/>
  <c r="Z54" i="93"/>
  <c r="Y54" i="93"/>
  <c r="R75" i="92" a="1"/>
  <c r="T75" i="92" s="1"/>
  <c r="H75" i="92" a="1"/>
  <c r="J75" i="92" s="1"/>
  <c r="R70" i="92" a="1"/>
  <c r="R70" i="92" s="1"/>
  <c r="H70" i="92" a="1"/>
  <c r="J70" i="92" s="1"/>
  <c r="R65" i="92" a="1"/>
  <c r="H65" i="92" a="1"/>
  <c r="R60" i="92" a="1"/>
  <c r="T60" i="92" s="1"/>
  <c r="H60" i="92" a="1"/>
  <c r="J60" i="92" s="1"/>
  <c r="X55" i="92" a="1"/>
  <c r="X55" i="92" s="1"/>
  <c r="X54" i="92" a="1"/>
  <c r="Z54" i="92" s="1"/>
  <c r="X53" i="92" a="1"/>
  <c r="X52" i="92" a="1"/>
  <c r="Z52" i="92" s="1"/>
  <c r="X51" i="92" a="1"/>
  <c r="X38" i="92"/>
  <c r="W38" i="92"/>
  <c r="V38" i="92"/>
  <c r="X37" i="92"/>
  <c r="W37" i="92"/>
  <c r="V37" i="92"/>
  <c r="X36" i="92"/>
  <c r="W36" i="92"/>
  <c r="V36" i="92"/>
  <c r="X35" i="92"/>
  <c r="W35" i="92"/>
  <c r="V35" i="92"/>
  <c r="X34" i="92"/>
  <c r="W34" i="92"/>
  <c r="V34" i="92"/>
  <c r="Q25" i="92"/>
  <c r="Q24" i="92"/>
  <c r="Q23" i="92"/>
  <c r="AD12" i="92"/>
  <c r="AB12" i="92"/>
  <c r="AF11" i="92"/>
  <c r="AD11" i="92"/>
  <c r="AB11" i="92"/>
  <c r="AH10" i="92"/>
  <c r="AF10" i="92"/>
  <c r="AD10" i="92"/>
  <c r="AB10" i="92"/>
  <c r="AH9" i="92"/>
  <c r="AF9" i="92"/>
  <c r="AD9" i="92"/>
  <c r="AB9" i="92"/>
  <c r="AH8" i="92"/>
  <c r="AF8" i="92"/>
  <c r="AD8" i="92"/>
  <c r="AB8" i="92"/>
  <c r="AH7" i="92"/>
  <c r="AF7" i="92"/>
  <c r="AD7" i="92"/>
  <c r="AB7" i="92"/>
  <c r="AH6" i="92"/>
  <c r="AB37" i="92" s="1"/>
  <c r="AF6" i="92"/>
  <c r="AB36" i="92" s="1"/>
  <c r="AD6" i="92"/>
  <c r="AB35" i="92" s="1"/>
  <c r="AB6" i="92"/>
  <c r="AB34" i="92" s="1"/>
  <c r="L3" i="92"/>
  <c r="K179" i="91"/>
  <c r="C179" i="91"/>
  <c r="K178" i="91"/>
  <c r="C178" i="91"/>
  <c r="K177" i="91"/>
  <c r="C177" i="91"/>
  <c r="K176" i="91"/>
  <c r="C176" i="91"/>
  <c r="K153" i="91"/>
  <c r="C153" i="91"/>
  <c r="K152" i="91"/>
  <c r="C152" i="91"/>
  <c r="K151" i="91"/>
  <c r="C151" i="91"/>
  <c r="K150" i="91"/>
  <c r="C150" i="91"/>
  <c r="K149" i="91"/>
  <c r="C149" i="91"/>
  <c r="K148" i="91"/>
  <c r="C148" i="91"/>
  <c r="K134" i="91"/>
  <c r="C134" i="91"/>
  <c r="K133" i="91"/>
  <c r="C133" i="91"/>
  <c r="K132" i="91"/>
  <c r="C132" i="91"/>
  <c r="K131" i="91"/>
  <c r="C131" i="91"/>
  <c r="K130" i="91"/>
  <c r="C130" i="91"/>
  <c r="K129" i="91"/>
  <c r="C129" i="91"/>
  <c r="K102" i="91"/>
  <c r="C102" i="91"/>
  <c r="K101" i="91"/>
  <c r="C101" i="91"/>
  <c r="K100" i="91"/>
  <c r="C100" i="91"/>
  <c r="K99" i="91"/>
  <c r="C99" i="91"/>
  <c r="K98" i="91"/>
  <c r="C98" i="91"/>
  <c r="K97" i="91"/>
  <c r="C97" i="91"/>
  <c r="K96" i="91"/>
  <c r="C96" i="91"/>
  <c r="R75" i="91" a="1"/>
  <c r="R75" i="91" s="1"/>
  <c r="H75" i="91" a="1"/>
  <c r="R70" i="91" a="1"/>
  <c r="S70" i="91" s="1"/>
  <c r="H70" i="91" a="1"/>
  <c r="AD67" i="91" a="1"/>
  <c r="AD67" i="91" s="1"/>
  <c r="X67" i="91" a="1"/>
  <c r="Z67" i="91" s="1"/>
  <c r="E32" i="91" s="1"/>
  <c r="X41" i="91" s="1"/>
  <c r="AD66" i="91" a="1"/>
  <c r="AF66" i="91" s="1"/>
  <c r="X66" i="91" a="1"/>
  <c r="Z66" i="91" s="1"/>
  <c r="E29" i="91" s="1"/>
  <c r="X40" i="91" s="1"/>
  <c r="X65" i="91" a="1"/>
  <c r="Z65" i="91" s="1"/>
  <c r="E26" i="91" s="1"/>
  <c r="X39" i="91" s="1"/>
  <c r="R65" i="91" a="1"/>
  <c r="T65" i="91" s="1"/>
  <c r="H65" i="91" a="1"/>
  <c r="AD64" i="91" a="1"/>
  <c r="AE64" i="91" s="1"/>
  <c r="X64" i="91" a="1"/>
  <c r="X63" i="91" a="1"/>
  <c r="Z63" i="91" s="1"/>
  <c r="E20" i="91" s="1"/>
  <c r="X37" i="91" s="1"/>
  <c r="X62" i="91" a="1"/>
  <c r="Z62" i="91" s="1"/>
  <c r="E17" i="91" s="1"/>
  <c r="X36" i="91" s="1"/>
  <c r="AD61" i="91" a="1"/>
  <c r="AF61" i="91" s="1"/>
  <c r="X61" i="91" a="1"/>
  <c r="X61" i="91" s="1"/>
  <c r="C13" i="91" s="1"/>
  <c r="V35" i="91" s="1"/>
  <c r="X60" i="91" a="1"/>
  <c r="Z60" i="91" s="1"/>
  <c r="E9" i="91" s="1"/>
  <c r="X34" i="91" s="1"/>
  <c r="R60" i="91" a="1"/>
  <c r="H60" i="91" a="1"/>
  <c r="R6" i="91"/>
  <c r="R5" i="91"/>
  <c r="L3" i="91"/>
  <c r="K168" i="90"/>
  <c r="C168" i="90"/>
  <c r="K167" i="90"/>
  <c r="C167" i="90"/>
  <c r="K166" i="90"/>
  <c r="C166" i="90"/>
  <c r="K165" i="90"/>
  <c r="C165" i="90"/>
  <c r="K143" i="90"/>
  <c r="C143" i="90"/>
  <c r="K142" i="90"/>
  <c r="C142" i="90"/>
  <c r="K141" i="90"/>
  <c r="C141" i="90"/>
  <c r="K140" i="90"/>
  <c r="C140" i="90"/>
  <c r="K127" i="90"/>
  <c r="C127" i="90"/>
  <c r="K126" i="90"/>
  <c r="C126" i="90"/>
  <c r="K125" i="90"/>
  <c r="C125" i="90"/>
  <c r="K124" i="90"/>
  <c r="C124" i="90"/>
  <c r="K99" i="90"/>
  <c r="C99" i="90"/>
  <c r="K98" i="90"/>
  <c r="C98" i="90"/>
  <c r="K97" i="90"/>
  <c r="C97" i="90"/>
  <c r="K96" i="90"/>
  <c r="C96" i="90"/>
  <c r="R75" i="90" a="1"/>
  <c r="S75" i="90" s="1"/>
  <c r="H75" i="90" a="1"/>
  <c r="I75" i="90" s="1"/>
  <c r="R70" i="90" a="1"/>
  <c r="T70" i="90" s="1"/>
  <c r="H70" i="90" a="1"/>
  <c r="AD67" i="90" a="1"/>
  <c r="AD67" i="90" s="1"/>
  <c r="X67" i="90" a="1"/>
  <c r="Y67" i="90" s="1"/>
  <c r="D32" i="90" s="1"/>
  <c r="AD66" i="90" a="1"/>
  <c r="AF66" i="90" s="1"/>
  <c r="X66" i="90" a="1"/>
  <c r="X65" i="90" a="1"/>
  <c r="Z65" i="90" s="1"/>
  <c r="E26" i="90" s="1"/>
  <c r="X39" i="90" s="1"/>
  <c r="R65" i="90" a="1"/>
  <c r="S65" i="90" s="1"/>
  <c r="H65" i="90" a="1"/>
  <c r="J65" i="90" s="1"/>
  <c r="AD64" i="90" a="1"/>
  <c r="AF64" i="90" s="1"/>
  <c r="X64" i="90" a="1"/>
  <c r="Z64" i="90" s="1"/>
  <c r="E23" i="90" s="1"/>
  <c r="X38" i="90" s="1"/>
  <c r="X63" i="90" a="1"/>
  <c r="X63" i="90" s="1"/>
  <c r="C20" i="90" s="1"/>
  <c r="V37" i="90" s="1"/>
  <c r="X62" i="90" a="1"/>
  <c r="X62" i="90" s="1"/>
  <c r="C17" i="90" s="1"/>
  <c r="AD61" i="90" a="1"/>
  <c r="AF61" i="90" s="1"/>
  <c r="X61" i="90" a="1"/>
  <c r="Z61" i="90" s="1"/>
  <c r="E13" i="90" s="1"/>
  <c r="X35" i="90" s="1"/>
  <c r="X60" i="90" a="1"/>
  <c r="Z60" i="90" s="1"/>
  <c r="E9" i="90" s="1"/>
  <c r="X34" i="90" s="1"/>
  <c r="R60" i="90" a="1"/>
  <c r="S60" i="90" s="1"/>
  <c r="H60" i="90" a="1"/>
  <c r="J60" i="90" s="1"/>
  <c r="AW19" i="90"/>
  <c r="AX19" i="90" s="1"/>
  <c r="AS19" i="90"/>
  <c r="AW18" i="90"/>
  <c r="AX18" i="90" s="1"/>
  <c r="AS18" i="90"/>
  <c r="AW17" i="90"/>
  <c r="AX17" i="90" s="1"/>
  <c r="AS17" i="90"/>
  <c r="AW16" i="90"/>
  <c r="AX16" i="90" s="1"/>
  <c r="AS16" i="90"/>
  <c r="AW15" i="90"/>
  <c r="AX15" i="90" s="1"/>
  <c r="AS15" i="90"/>
  <c r="AW14" i="90"/>
  <c r="AX14" i="90" s="1"/>
  <c r="AS14" i="90"/>
  <c r="AW13" i="90"/>
  <c r="AX13" i="90" s="1"/>
  <c r="AS13" i="90"/>
  <c r="L3" i="90"/>
  <c r="V60" i="89"/>
  <c r="G60" i="89"/>
  <c r="V59" i="89"/>
  <c r="G59" i="89"/>
  <c r="M46" i="89" s="1"/>
  <c r="V56" i="89"/>
  <c r="X44" i="89" s="1"/>
  <c r="G56" i="89"/>
  <c r="V55" i="89"/>
  <c r="X43" i="89" s="1"/>
  <c r="G55" i="89"/>
  <c r="M43" i="89" s="1"/>
  <c r="Z53" i="89" a="1"/>
  <c r="AB53" i="89" s="1"/>
  <c r="E53" i="89"/>
  <c r="S53" i="89" s="1"/>
  <c r="Z52" i="89" a="1"/>
  <c r="AB52" i="89" s="1"/>
  <c r="E52" i="89"/>
  <c r="S52" i="89" s="1"/>
  <c r="Z51" i="89" a="1"/>
  <c r="AB51" i="89" s="1"/>
  <c r="E51" i="89"/>
  <c r="S51" i="89" s="1"/>
  <c r="Z50" i="89" a="1"/>
  <c r="AA50" i="89" s="1"/>
  <c r="E50" i="89"/>
  <c r="S50" i="89" s="1"/>
  <c r="L49" i="89"/>
  <c r="K49" i="89"/>
  <c r="J49" i="89"/>
  <c r="I49" i="89"/>
  <c r="H49" i="89"/>
  <c r="G49" i="89"/>
  <c r="F49" i="89"/>
  <c r="Q18" i="89"/>
  <c r="AD36" i="116" s="1"/>
  <c r="AE36" i="116" s="1"/>
  <c r="AF36" i="116" s="1"/>
  <c r="Y13" i="89"/>
  <c r="N13" i="89"/>
  <c r="E13" i="89"/>
  <c r="T13" i="89" s="1"/>
  <c r="Y12" i="89"/>
  <c r="N12" i="89"/>
  <c r="E12" i="89"/>
  <c r="T12" i="89" s="1"/>
  <c r="Y11" i="89"/>
  <c r="N11" i="89"/>
  <c r="E11" i="89"/>
  <c r="T11" i="89" s="1"/>
  <c r="Y10" i="89"/>
  <c r="N10" i="89"/>
  <c r="E10" i="89"/>
  <c r="T10" i="89" s="1"/>
  <c r="Z50" i="88" a="1"/>
  <c r="Z50" i="88" s="1"/>
  <c r="D50" i="88"/>
  <c r="S50" i="88" s="1"/>
  <c r="Z49" i="88" a="1"/>
  <c r="AA49" i="88" s="1"/>
  <c r="D49" i="88"/>
  <c r="S49" i="88" s="1"/>
  <c r="Z48" i="88" a="1"/>
  <c r="Z48" i="88" s="1"/>
  <c r="D48" i="88"/>
  <c r="S48" i="88" s="1"/>
  <c r="Z47" i="88" a="1"/>
  <c r="AA47" i="88" s="1"/>
  <c r="D47" i="88"/>
  <c r="S47" i="88" s="1"/>
  <c r="L46" i="88"/>
  <c r="K46" i="88"/>
  <c r="J46" i="88"/>
  <c r="I46" i="88"/>
  <c r="H46" i="88"/>
  <c r="G46" i="88"/>
  <c r="F46" i="88"/>
  <c r="E46" i="88"/>
  <c r="X44" i="88"/>
  <c r="V57" i="88" s="1"/>
  <c r="M44" i="88"/>
  <c r="F57" i="88" s="1"/>
  <c r="X43" i="88"/>
  <c r="V56" i="88" s="1"/>
  <c r="M43" i="88"/>
  <c r="F56" i="88" s="1"/>
  <c r="E94" i="88" s="1"/>
  <c r="X41" i="88"/>
  <c r="V53" i="88" s="1"/>
  <c r="M41" i="88"/>
  <c r="F53" i="88" s="1"/>
  <c r="X40" i="88"/>
  <c r="V52" i="88" s="1"/>
  <c r="U93" i="88" s="1"/>
  <c r="M40" i="88"/>
  <c r="F52" i="88" s="1"/>
  <c r="E93" i="88" s="1"/>
  <c r="P17" i="88"/>
  <c r="AD11" i="116" s="1"/>
  <c r="AE11" i="116" s="1"/>
  <c r="AF11" i="116" s="1"/>
  <c r="M12" i="88"/>
  <c r="D12" i="88"/>
  <c r="M11" i="88"/>
  <c r="D11" i="88"/>
  <c r="M10" i="88"/>
  <c r="D10" i="88"/>
  <c r="M9" i="88"/>
  <c r="D9" i="88"/>
  <c r="Z50" i="87" a="1"/>
  <c r="AB50" i="87" s="1"/>
  <c r="D50" i="87"/>
  <c r="S50" i="87" s="1"/>
  <c r="Z49" i="87" a="1"/>
  <c r="AB49" i="87" s="1"/>
  <c r="D49" i="87"/>
  <c r="S49" i="87" s="1"/>
  <c r="Z48" i="87" a="1"/>
  <c r="AB48" i="87" s="1"/>
  <c r="D48" i="87"/>
  <c r="S48" i="87" s="1"/>
  <c r="Z47" i="87" a="1"/>
  <c r="AB47" i="87" s="1"/>
  <c r="D47" i="87"/>
  <c r="S47" i="87" s="1"/>
  <c r="L46" i="87"/>
  <c r="K46" i="87"/>
  <c r="J46" i="87"/>
  <c r="I46" i="87"/>
  <c r="H46" i="87"/>
  <c r="G46" i="87"/>
  <c r="F46" i="87"/>
  <c r="E46" i="87"/>
  <c r="X44" i="87"/>
  <c r="V57" i="87" s="1"/>
  <c r="M44" i="87"/>
  <c r="F57" i="87" s="1"/>
  <c r="X43" i="87"/>
  <c r="V56" i="87" s="1"/>
  <c r="U94" i="87" s="1"/>
  <c r="M43" i="87"/>
  <c r="F56" i="87" s="1"/>
  <c r="E94" i="87" s="1"/>
  <c r="X41" i="87"/>
  <c r="V53" i="87" s="1"/>
  <c r="M41" i="87"/>
  <c r="F53" i="87" s="1"/>
  <c r="X40" i="87"/>
  <c r="V52" i="87" s="1"/>
  <c r="U93" i="87" s="1"/>
  <c r="M40" i="87"/>
  <c r="F52" i="87" s="1"/>
  <c r="E93" i="87" s="1"/>
  <c r="P17" i="87"/>
  <c r="AD71" i="116" s="1"/>
  <c r="AE71" i="116" s="1"/>
  <c r="AF71" i="116" s="1"/>
  <c r="M12" i="87"/>
  <c r="D12" i="87"/>
  <c r="M11" i="87"/>
  <c r="D11" i="87"/>
  <c r="M10" i="87"/>
  <c r="D10" i="87"/>
  <c r="M9" i="87"/>
  <c r="D9" i="87"/>
  <c r="C25" i="86" a="1"/>
  <c r="C25" i="86" s="1"/>
  <c r="C24" i="86" a="1"/>
  <c r="C24" i="86" s="1"/>
  <c r="Q23" i="86"/>
  <c r="P23" i="86"/>
  <c r="O23" i="86"/>
  <c r="N23" i="86"/>
  <c r="M23" i="86"/>
  <c r="C23" i="86" a="1"/>
  <c r="C23" i="86" s="1"/>
  <c r="C20" i="86" a="1"/>
  <c r="C20" i="86" s="1"/>
  <c r="C19" i="86" a="1"/>
  <c r="C19" i="86" s="1"/>
  <c r="C18" i="86" a="1"/>
  <c r="C18" i="86" s="1"/>
  <c r="I17" i="86"/>
  <c r="C17" i="86" a="1"/>
  <c r="C17" i="86" s="1"/>
  <c r="T14" i="86"/>
  <c r="C14" i="86" a="1"/>
  <c r="C14" i="86" s="1"/>
  <c r="T13" i="86"/>
  <c r="C13" i="86" a="1"/>
  <c r="C13" i="86" s="1"/>
  <c r="T12" i="86"/>
  <c r="C12" i="86" a="1"/>
  <c r="C12" i="86" s="1"/>
  <c r="T11" i="86"/>
  <c r="I11" i="86"/>
  <c r="C11" i="86" a="1"/>
  <c r="C11" i="86" s="1"/>
  <c r="T10" i="86"/>
  <c r="T9" i="86"/>
  <c r="T8" i="86"/>
  <c r="C8" i="86" a="1"/>
  <c r="C8" i="86" s="1"/>
  <c r="T7" i="86"/>
  <c r="I7" i="86"/>
  <c r="C7" i="86" a="1"/>
  <c r="C7" i="86" s="1"/>
  <c r="K174" i="85"/>
  <c r="J174" i="85"/>
  <c r="I174" i="85"/>
  <c r="H174" i="85"/>
  <c r="K173" i="85"/>
  <c r="J173" i="85"/>
  <c r="I173" i="85"/>
  <c r="H173" i="85"/>
  <c r="K172" i="85"/>
  <c r="J172" i="85"/>
  <c r="I172" i="85"/>
  <c r="H172" i="85"/>
  <c r="K171" i="85"/>
  <c r="J171" i="85"/>
  <c r="I171" i="85"/>
  <c r="H171" i="85"/>
  <c r="K170" i="85"/>
  <c r="J170" i="85"/>
  <c r="I170" i="85"/>
  <c r="H170" i="85"/>
  <c r="K169" i="85"/>
  <c r="J169" i="85"/>
  <c r="I169" i="85"/>
  <c r="H169" i="85"/>
  <c r="K168" i="85"/>
  <c r="J168" i="85"/>
  <c r="I168" i="85"/>
  <c r="H168" i="85"/>
  <c r="K167" i="85"/>
  <c r="J167" i="85"/>
  <c r="I167" i="85"/>
  <c r="H167" i="85"/>
  <c r="K166" i="85"/>
  <c r="J166" i="85"/>
  <c r="I166" i="85"/>
  <c r="H166" i="85"/>
  <c r="K165" i="85"/>
  <c r="J165" i="85"/>
  <c r="I165" i="85"/>
  <c r="H165" i="85"/>
  <c r="K164" i="85"/>
  <c r="J164" i="85"/>
  <c r="R46" i="82" s="1" a="1"/>
  <c r="R46" i="82" s="1"/>
  <c r="I164" i="85"/>
  <c r="H164" i="85"/>
  <c r="K163" i="85"/>
  <c r="J163" i="85"/>
  <c r="R44" i="82" s="1" a="1"/>
  <c r="R44" i="82" s="1"/>
  <c r="I163" i="85"/>
  <c r="H163" i="85"/>
  <c r="K162" i="85"/>
  <c r="J162" i="85"/>
  <c r="R42" i="82" s="1" a="1"/>
  <c r="R42" i="82" s="1"/>
  <c r="R50" i="82" s="1"/>
  <c r="I162" i="85"/>
  <c r="H162" i="85"/>
  <c r="K161" i="85"/>
  <c r="J161" i="85"/>
  <c r="I161" i="85"/>
  <c r="H161" i="85"/>
  <c r="K160" i="85"/>
  <c r="J160" i="85"/>
  <c r="I160" i="85"/>
  <c r="H160" i="85"/>
  <c r="K159" i="85"/>
  <c r="J159" i="85"/>
  <c r="I159" i="85"/>
  <c r="H159" i="85"/>
  <c r="K158" i="85"/>
  <c r="J158" i="85"/>
  <c r="I158" i="85"/>
  <c r="H158" i="85"/>
  <c r="K157" i="85"/>
  <c r="J157" i="85"/>
  <c r="R37" i="82" s="1" a="1"/>
  <c r="R37" i="82" s="1"/>
  <c r="I157" i="85"/>
  <c r="H157" i="85"/>
  <c r="M21" i="85" a="1"/>
  <c r="M21" i="85" s="1"/>
  <c r="M20" i="85" a="1"/>
  <c r="M20" i="85" s="1"/>
  <c r="M18" i="85" a="1"/>
  <c r="M18" i="85" s="1"/>
  <c r="M43" i="82" s="1"/>
  <c r="M17" i="85" a="1"/>
  <c r="M17" i="85" s="1"/>
  <c r="M16" i="85" a="1"/>
  <c r="M16" i="85" s="1"/>
  <c r="M14" i="85" a="1"/>
  <c r="M14" i="85" s="1"/>
  <c r="M13" i="85" a="1"/>
  <c r="M13" i="85" s="1"/>
  <c r="M12" i="85" a="1"/>
  <c r="M12" i="85" s="1"/>
  <c r="M10" i="85" a="1"/>
  <c r="M10" i="85" s="1"/>
  <c r="M9" i="85" a="1"/>
  <c r="M9" i="85" s="1"/>
  <c r="M8" i="85" a="1"/>
  <c r="M8" i="85" s="1"/>
  <c r="M7" i="85" a="1"/>
  <c r="M7" i="85" s="1"/>
  <c r="M6" i="85" a="1"/>
  <c r="M6" i="85" s="1"/>
  <c r="V5" i="85"/>
  <c r="M5" i="85" a="1"/>
  <c r="M5" i="85" s="1"/>
  <c r="K4" i="85"/>
  <c r="J4" i="85"/>
  <c r="I4" i="85"/>
  <c r="H4" i="85"/>
  <c r="G4" i="85"/>
  <c r="F4" i="85"/>
  <c r="E4" i="85"/>
  <c r="O2" i="82" s="1" a="1"/>
  <c r="O2" i="82" s="1"/>
  <c r="D4" i="85"/>
  <c r="M88" i="84"/>
  <c r="D88" i="84"/>
  <c r="N85" i="84"/>
  <c r="L85" i="84"/>
  <c r="E85" i="84"/>
  <c r="C85" i="84"/>
  <c r="P84" i="84"/>
  <c r="N84" i="84"/>
  <c r="L84" i="84"/>
  <c r="G84" i="84"/>
  <c r="E84" i="84"/>
  <c r="C84" i="84"/>
  <c r="R83" i="84"/>
  <c r="P83" i="84"/>
  <c r="N83" i="84"/>
  <c r="L83" i="84"/>
  <c r="I83" i="84"/>
  <c r="G83" i="84"/>
  <c r="E83" i="84"/>
  <c r="C83" i="84"/>
  <c r="R82" i="84"/>
  <c r="P82" i="84"/>
  <c r="N82" i="84"/>
  <c r="L82" i="84"/>
  <c r="I82" i="84"/>
  <c r="G82" i="84"/>
  <c r="E82" i="84"/>
  <c r="C82" i="84"/>
  <c r="R81" i="84"/>
  <c r="P81" i="84"/>
  <c r="N81" i="84"/>
  <c r="L81" i="84"/>
  <c r="I81" i="84"/>
  <c r="G81" i="84"/>
  <c r="E81" i="84"/>
  <c r="C81" i="84"/>
  <c r="R80" i="84"/>
  <c r="P80" i="84"/>
  <c r="N80" i="84"/>
  <c r="L80" i="84"/>
  <c r="I80" i="84"/>
  <c r="G80" i="84"/>
  <c r="E80" i="84"/>
  <c r="C80" i="84"/>
  <c r="R79" i="84"/>
  <c r="P79" i="84"/>
  <c r="N79" i="84"/>
  <c r="L79" i="84"/>
  <c r="I79" i="84"/>
  <c r="G79" i="84"/>
  <c r="E79" i="84"/>
  <c r="C79" i="84"/>
  <c r="R77" i="84"/>
  <c r="P77" i="84"/>
  <c r="N77" i="84"/>
  <c r="L77" i="84"/>
  <c r="I77" i="84"/>
  <c r="G77" i="84"/>
  <c r="E77" i="84"/>
  <c r="C77" i="84"/>
  <c r="M75" i="84"/>
  <c r="M76" i="84" s="1"/>
  <c r="D75" i="84"/>
  <c r="D76" i="84" s="1"/>
  <c r="N73" i="84"/>
  <c r="L73" i="84"/>
  <c r="E73" i="84"/>
  <c r="C73" i="84"/>
  <c r="P72" i="84"/>
  <c r="N72" i="84"/>
  <c r="L72" i="84"/>
  <c r="G72" i="84"/>
  <c r="E72" i="84"/>
  <c r="C72" i="84"/>
  <c r="R71" i="84"/>
  <c r="P71" i="84"/>
  <c r="N71" i="84"/>
  <c r="L71" i="84"/>
  <c r="I71" i="84"/>
  <c r="G71" i="84"/>
  <c r="E71" i="84"/>
  <c r="C71" i="84"/>
  <c r="R70" i="84"/>
  <c r="P70" i="84"/>
  <c r="N70" i="84"/>
  <c r="L70" i="84"/>
  <c r="I70" i="84"/>
  <c r="G70" i="84"/>
  <c r="E70" i="84"/>
  <c r="C70" i="84"/>
  <c r="R69" i="84"/>
  <c r="P69" i="84"/>
  <c r="N69" i="84"/>
  <c r="L69" i="84"/>
  <c r="I69" i="84"/>
  <c r="G69" i="84"/>
  <c r="E69" i="84"/>
  <c r="C69" i="84"/>
  <c r="R68" i="84"/>
  <c r="P68" i="84"/>
  <c r="N68" i="84"/>
  <c r="L68" i="84"/>
  <c r="I68" i="84"/>
  <c r="G68" i="84"/>
  <c r="E68" i="84"/>
  <c r="C68" i="84"/>
  <c r="R67" i="84"/>
  <c r="P67" i="84"/>
  <c r="N67" i="84"/>
  <c r="L67" i="84"/>
  <c r="I67" i="84"/>
  <c r="G67" i="84"/>
  <c r="E67" i="84"/>
  <c r="C67" i="84"/>
  <c r="R65" i="84"/>
  <c r="P65" i="84"/>
  <c r="N65" i="84"/>
  <c r="L65" i="84"/>
  <c r="I65" i="84"/>
  <c r="G65" i="84"/>
  <c r="E65" i="84"/>
  <c r="C65" i="84"/>
  <c r="M63" i="84"/>
  <c r="M64" i="84" s="1"/>
  <c r="D63" i="84"/>
  <c r="D64" i="84" s="1"/>
  <c r="N61" i="84"/>
  <c r="L61" i="84"/>
  <c r="E61" i="84"/>
  <c r="C61" i="84"/>
  <c r="P60" i="84"/>
  <c r="N60" i="84"/>
  <c r="L60" i="84"/>
  <c r="G60" i="84"/>
  <c r="E60" i="84"/>
  <c r="C60" i="84"/>
  <c r="R59" i="84"/>
  <c r="P59" i="84"/>
  <c r="N59" i="84"/>
  <c r="L59" i="84"/>
  <c r="I59" i="84"/>
  <c r="G59" i="84"/>
  <c r="E59" i="84"/>
  <c r="C59" i="84"/>
  <c r="R58" i="84"/>
  <c r="P58" i="84"/>
  <c r="N58" i="84"/>
  <c r="L58" i="84"/>
  <c r="I58" i="84"/>
  <c r="G58" i="84"/>
  <c r="E58" i="84"/>
  <c r="C58" i="84"/>
  <c r="R57" i="84"/>
  <c r="Q57" i="84"/>
  <c r="P57" i="84"/>
  <c r="N57" i="84"/>
  <c r="L57" i="84"/>
  <c r="I57" i="84"/>
  <c r="G57" i="84"/>
  <c r="E57" i="84"/>
  <c r="C57" i="84"/>
  <c r="R56" i="84"/>
  <c r="P56" i="84"/>
  <c r="N56" i="84"/>
  <c r="L56" i="84"/>
  <c r="I56" i="84"/>
  <c r="G56" i="84"/>
  <c r="E56" i="84"/>
  <c r="C56" i="84"/>
  <c r="R55" i="84"/>
  <c r="P55" i="84"/>
  <c r="N55" i="84"/>
  <c r="L55" i="84"/>
  <c r="I55" i="84"/>
  <c r="G55" i="84"/>
  <c r="E55" i="84"/>
  <c r="C55" i="84"/>
  <c r="R53" i="84"/>
  <c r="P53" i="84"/>
  <c r="N53" i="84"/>
  <c r="L53" i="84"/>
  <c r="I53" i="84"/>
  <c r="G53" i="84"/>
  <c r="E53" i="84"/>
  <c r="C53" i="84"/>
  <c r="M51" i="84"/>
  <c r="M52" i="84" s="1"/>
  <c r="D51" i="84"/>
  <c r="D52" i="84" s="1"/>
  <c r="L49" i="84"/>
  <c r="E49" i="84"/>
  <c r="P48" i="84"/>
  <c r="L48" i="84"/>
  <c r="G48" i="84"/>
  <c r="E48" i="84"/>
  <c r="R47" i="84"/>
  <c r="P47" i="84"/>
  <c r="L47" i="84"/>
  <c r="I47" i="84"/>
  <c r="G47" i="84"/>
  <c r="E47" i="84"/>
  <c r="R46" i="84"/>
  <c r="P46" i="84"/>
  <c r="L46" i="84"/>
  <c r="I46" i="84"/>
  <c r="G46" i="84"/>
  <c r="E46" i="84"/>
  <c r="R45" i="84"/>
  <c r="P45" i="84"/>
  <c r="L45" i="84"/>
  <c r="I45" i="84"/>
  <c r="G45" i="84"/>
  <c r="E45" i="84"/>
  <c r="R44" i="84"/>
  <c r="P44" i="84"/>
  <c r="L44" i="84"/>
  <c r="I44" i="84"/>
  <c r="G44" i="84"/>
  <c r="E44" i="84"/>
  <c r="R43" i="84"/>
  <c r="P43" i="84"/>
  <c r="L43" i="84"/>
  <c r="I43" i="84"/>
  <c r="G43" i="84"/>
  <c r="E43" i="84"/>
  <c r="C43" i="84"/>
  <c r="R41" i="84"/>
  <c r="P41" i="84"/>
  <c r="N41" i="84"/>
  <c r="L41" i="84"/>
  <c r="I41" i="84"/>
  <c r="G41" i="84"/>
  <c r="E41" i="84"/>
  <c r="C41" i="84"/>
  <c r="M39" i="84"/>
  <c r="M40" i="84" s="1"/>
  <c r="D39" i="84"/>
  <c r="D40" i="84" s="1"/>
  <c r="N37" i="84"/>
  <c r="L37" i="84"/>
  <c r="E37" i="84"/>
  <c r="C37" i="84"/>
  <c r="P36" i="84"/>
  <c r="N36" i="84"/>
  <c r="L36" i="84"/>
  <c r="G36" i="84"/>
  <c r="E36" i="84"/>
  <c r="C36" i="84"/>
  <c r="R35" i="84"/>
  <c r="P35" i="84"/>
  <c r="N35" i="84"/>
  <c r="L35" i="84"/>
  <c r="I35" i="84"/>
  <c r="G35" i="84"/>
  <c r="E35" i="84"/>
  <c r="C35" i="84"/>
  <c r="R34" i="84"/>
  <c r="P34" i="84"/>
  <c r="N34" i="84"/>
  <c r="L34" i="84"/>
  <c r="I34" i="84"/>
  <c r="G34" i="84"/>
  <c r="E34" i="84"/>
  <c r="C34" i="84"/>
  <c r="R33" i="84"/>
  <c r="P33" i="84"/>
  <c r="N33" i="84"/>
  <c r="L33" i="84"/>
  <c r="I33" i="84"/>
  <c r="G33" i="84"/>
  <c r="E33" i="84"/>
  <c r="C33" i="84"/>
  <c r="R32" i="84"/>
  <c r="P32" i="84"/>
  <c r="N32" i="84"/>
  <c r="L32" i="84"/>
  <c r="I32" i="84"/>
  <c r="G32" i="84"/>
  <c r="E32" i="84"/>
  <c r="C32" i="84"/>
  <c r="R31" i="84"/>
  <c r="P31" i="84"/>
  <c r="N31" i="84"/>
  <c r="L31" i="84"/>
  <c r="I31" i="84"/>
  <c r="G31" i="84"/>
  <c r="E31" i="84"/>
  <c r="C31" i="84"/>
  <c r="R29" i="84"/>
  <c r="P29" i="84"/>
  <c r="N29" i="84"/>
  <c r="L29" i="84"/>
  <c r="I29" i="84"/>
  <c r="G29" i="84"/>
  <c r="E29" i="84"/>
  <c r="C29" i="84"/>
  <c r="M27" i="84"/>
  <c r="M28" i="84" s="1"/>
  <c r="D27" i="84"/>
  <c r="D28" i="84" s="1"/>
  <c r="N25" i="84"/>
  <c r="L25" i="84"/>
  <c r="E25" i="84"/>
  <c r="C25" i="84"/>
  <c r="P24" i="84"/>
  <c r="N24" i="84"/>
  <c r="L24" i="84"/>
  <c r="G24" i="84"/>
  <c r="E24" i="84"/>
  <c r="C24" i="84"/>
  <c r="R23" i="84"/>
  <c r="P23" i="84"/>
  <c r="N23" i="84"/>
  <c r="L23" i="84"/>
  <c r="I23" i="84"/>
  <c r="G23" i="84"/>
  <c r="E23" i="84"/>
  <c r="C23" i="84"/>
  <c r="R22" i="84"/>
  <c r="P22" i="84"/>
  <c r="N22" i="84"/>
  <c r="L22" i="84"/>
  <c r="I22" i="84"/>
  <c r="G22" i="84"/>
  <c r="E22" i="84"/>
  <c r="C22" i="84"/>
  <c r="R21" i="84"/>
  <c r="P21" i="84"/>
  <c r="N21" i="84"/>
  <c r="L21" i="84"/>
  <c r="I21" i="84"/>
  <c r="G21" i="84"/>
  <c r="E21" i="84"/>
  <c r="C21" i="84"/>
  <c r="R20" i="84"/>
  <c r="P20" i="84"/>
  <c r="N20" i="84"/>
  <c r="L20" i="84"/>
  <c r="I20" i="84"/>
  <c r="G20" i="84"/>
  <c r="E20" i="84"/>
  <c r="C20" i="84"/>
  <c r="R19" i="84"/>
  <c r="P19" i="84"/>
  <c r="N19" i="84"/>
  <c r="L19" i="84"/>
  <c r="I19" i="84"/>
  <c r="G19" i="84"/>
  <c r="E19" i="84"/>
  <c r="C19" i="84"/>
  <c r="R17" i="84"/>
  <c r="P17" i="84"/>
  <c r="N17" i="84"/>
  <c r="L17" i="84"/>
  <c r="I17" i="84"/>
  <c r="G17" i="84"/>
  <c r="E17" i="84"/>
  <c r="C17" i="84"/>
  <c r="M15" i="84"/>
  <c r="M16" i="84" s="1"/>
  <c r="D15" i="84"/>
  <c r="D16" i="84" s="1"/>
  <c r="N13" i="84"/>
  <c r="L13" i="84"/>
  <c r="E13" i="84"/>
  <c r="C13" i="84"/>
  <c r="P12" i="84"/>
  <c r="N12" i="84"/>
  <c r="L12" i="84"/>
  <c r="G12" i="84"/>
  <c r="E12" i="84"/>
  <c r="C12" i="84"/>
  <c r="R11" i="84"/>
  <c r="P11" i="84"/>
  <c r="N11" i="84"/>
  <c r="L11" i="84"/>
  <c r="I11" i="84"/>
  <c r="G11" i="84"/>
  <c r="E11" i="84"/>
  <c r="C11" i="84"/>
  <c r="R10" i="84"/>
  <c r="P10" i="84"/>
  <c r="N10" i="84"/>
  <c r="L10" i="84"/>
  <c r="I10" i="84"/>
  <c r="G10" i="84"/>
  <c r="E10" i="84"/>
  <c r="C10" i="84"/>
  <c r="R9" i="84"/>
  <c r="P9" i="84"/>
  <c r="N9" i="84"/>
  <c r="L9" i="84"/>
  <c r="I9" i="84"/>
  <c r="G9" i="84"/>
  <c r="E9" i="84"/>
  <c r="C9" i="84"/>
  <c r="R8" i="84"/>
  <c r="P8" i="84"/>
  <c r="N8" i="84"/>
  <c r="L8" i="84"/>
  <c r="I8" i="84"/>
  <c r="G8" i="84"/>
  <c r="E8" i="84"/>
  <c r="C8" i="84"/>
  <c r="R7" i="84"/>
  <c r="P7" i="84"/>
  <c r="N7" i="84"/>
  <c r="L7" i="84"/>
  <c r="I7" i="84"/>
  <c r="G7" i="84"/>
  <c r="E7" i="84"/>
  <c r="C7" i="84"/>
  <c r="R5" i="84"/>
  <c r="P5" i="84"/>
  <c r="N5" i="84"/>
  <c r="L5" i="84"/>
  <c r="I5" i="84"/>
  <c r="G5" i="84"/>
  <c r="E5" i="84"/>
  <c r="C5" i="84"/>
  <c r="M3" i="84"/>
  <c r="M4" i="84" s="1"/>
  <c r="D3" i="84"/>
  <c r="D4" i="84" s="1"/>
  <c r="O55" i="83" a="1"/>
  <c r="O55" i="83" s="1"/>
  <c r="P52" i="83" s="1"/>
  <c r="M98" i="82" s="1"/>
  <c r="K50" i="83"/>
  <c r="CM35" i="83"/>
  <c r="CM28" i="83" a="1"/>
  <c r="CM28" i="83" s="1"/>
  <c r="M28" i="83"/>
  <c r="CR27" i="83"/>
  <c r="CM27" i="83" a="1"/>
  <c r="CM27" i="83" s="1"/>
  <c r="M27" i="83"/>
  <c r="CR26" i="83"/>
  <c r="M26" i="83"/>
  <c r="DN25" i="83"/>
  <c r="CR25" i="83"/>
  <c r="M25" i="83"/>
  <c r="DX24" i="83"/>
  <c r="CR24" i="83"/>
  <c r="CM24" i="83" a="1"/>
  <c r="CM24" i="83" s="1"/>
  <c r="M24" i="83"/>
  <c r="CR23" i="83"/>
  <c r="CM23" i="83" a="1"/>
  <c r="CM23" i="83" s="1"/>
  <c r="M23" i="83"/>
  <c r="CM22" i="83" a="1"/>
  <c r="CM22" i="83" s="1"/>
  <c r="CM19" i="83"/>
  <c r="CL26" i="83" s="1"/>
  <c r="DN18" i="83"/>
  <c r="BY17" i="83"/>
  <c r="C58" i="82" s="1"/>
  <c r="BY16" i="83" a="1"/>
  <c r="BY16" i="83" s="1"/>
  <c r="BW16" i="83" a="1"/>
  <c r="BW16" i="83" s="1"/>
  <c r="BW17" i="83" s="1"/>
  <c r="C57" i="82" s="1"/>
  <c r="CY15" i="83"/>
  <c r="BY15" i="83" a="1"/>
  <c r="BY15" i="83" s="1"/>
  <c r="BW15" i="83" a="1"/>
  <c r="BW15" i="83" s="1"/>
  <c r="BB15" i="83"/>
  <c r="BB14" i="83"/>
  <c r="BB13" i="83"/>
  <c r="CY11" i="83"/>
  <c r="DC11" i="83" s="1"/>
  <c r="CR11" i="83"/>
  <c r="U10" i="83"/>
  <c r="S10" i="83"/>
  <c r="Q10" i="83"/>
  <c r="O10" i="83"/>
  <c r="J10" i="83"/>
  <c r="H10" i="83"/>
  <c r="F10" i="83"/>
  <c r="D10" i="83"/>
  <c r="W7" i="83"/>
  <c r="C6" i="83" s="1"/>
  <c r="DH5" i="83"/>
  <c r="AC5" i="83"/>
  <c r="AC8" i="83" s="1"/>
  <c r="DH4" i="83"/>
  <c r="R107" i="82" a="1"/>
  <c r="R107" i="82" s="1"/>
  <c r="H100" i="82" a="1"/>
  <c r="H100" i="82" s="1"/>
  <c r="H99" i="82" a="1"/>
  <c r="H99" i="82" s="1"/>
  <c r="C99" i="82" a="1"/>
  <c r="C99" i="82" s="1"/>
  <c r="H98" i="82" a="1"/>
  <c r="H98" i="82" s="1"/>
  <c r="H97" i="82" a="1"/>
  <c r="H97" i="82" s="1"/>
  <c r="H96" i="82" a="1"/>
  <c r="H96" i="82" s="1"/>
  <c r="H95" i="82" a="1"/>
  <c r="H95" i="82" s="1"/>
  <c r="H94" i="82" a="1"/>
  <c r="H94" i="82" s="1"/>
  <c r="H92" i="82" a="1"/>
  <c r="H92" i="82" s="1"/>
  <c r="C92" i="82" a="1"/>
  <c r="C92" i="82" s="1"/>
  <c r="H91" i="82" a="1"/>
  <c r="H91" i="82" s="1"/>
  <c r="C91" i="82" a="1"/>
  <c r="C91" i="82" s="1"/>
  <c r="H90" i="82" a="1"/>
  <c r="H90" i="82" s="1"/>
  <c r="H89" i="82" a="1"/>
  <c r="H89" i="82" s="1"/>
  <c r="C89" i="82" a="1"/>
  <c r="C89" i="82" s="1"/>
  <c r="H88" i="82" a="1"/>
  <c r="H88" i="82" s="1"/>
  <c r="C88" i="82" a="1"/>
  <c r="C88" i="82" s="1"/>
  <c r="H87" i="82" a="1"/>
  <c r="H87" i="82" s="1"/>
  <c r="C87" i="82" a="1"/>
  <c r="C87" i="82" s="1"/>
  <c r="H86" i="82" a="1"/>
  <c r="H86" i="82" s="1"/>
  <c r="C86" i="82" a="1"/>
  <c r="C86" i="82" s="1"/>
  <c r="C85" i="82" a="1"/>
  <c r="C85" i="82" s="1"/>
  <c r="C84" i="82" a="1"/>
  <c r="C84" i="82" s="1"/>
  <c r="C82" i="82" a="1"/>
  <c r="C82" i="82" s="1"/>
  <c r="C78" i="82" a="1"/>
  <c r="C78" i="82" s="1"/>
  <c r="C76" i="82" a="1"/>
  <c r="C76" i="82" s="1"/>
  <c r="C75" i="82" a="1"/>
  <c r="C75" i="82" s="1"/>
  <c r="C74" i="82" a="1"/>
  <c r="C74" i="82" s="1"/>
  <c r="R73" i="82" a="1"/>
  <c r="R73" i="82" s="1"/>
  <c r="G73" i="82" a="1"/>
  <c r="G73" i="82" s="1"/>
  <c r="C73" i="82" a="1"/>
  <c r="C73" i="82" s="1"/>
  <c r="C72" i="82" a="1"/>
  <c r="C72" i="82" s="1"/>
  <c r="R71" i="82" a="1"/>
  <c r="R71" i="82" s="1"/>
  <c r="G71" i="82" a="1"/>
  <c r="G71" i="82" s="1"/>
  <c r="C71" i="82" a="1"/>
  <c r="C71" i="82" s="1"/>
  <c r="R70" i="82" a="1"/>
  <c r="R70" i="82" s="1"/>
  <c r="C70" i="82" a="1"/>
  <c r="C70" i="82" s="1"/>
  <c r="C69" i="82" a="1"/>
  <c r="C69" i="82" s="1"/>
  <c r="C68" i="82" a="1"/>
  <c r="C68" i="82" s="1"/>
  <c r="C67" i="82" a="1"/>
  <c r="C67" i="82" s="1"/>
  <c r="M66" i="82" a="1"/>
  <c r="M66" i="82" s="1"/>
  <c r="L66" i="82" a="1"/>
  <c r="L66" i="82" s="1"/>
  <c r="C66" i="82" a="1"/>
  <c r="C66" i="82" s="1"/>
  <c r="C64" i="82" a="1"/>
  <c r="C64" i="82" s="1"/>
  <c r="AG63" i="82"/>
  <c r="C63" i="82" a="1"/>
  <c r="C63" i="82" s="1"/>
  <c r="C62" i="82" a="1"/>
  <c r="C62" i="82" s="1"/>
  <c r="AG61" i="82" a="1"/>
  <c r="AG61" i="82" s="1"/>
  <c r="D60" i="82" a="1"/>
  <c r="D60" i="82" s="1"/>
  <c r="AG59" i="82" a="1"/>
  <c r="AG59" i="82" s="1"/>
  <c r="C59" i="82" a="1"/>
  <c r="C59" i="82" s="1"/>
  <c r="AG57" i="82" a="1"/>
  <c r="AG57" i="82" s="1"/>
  <c r="C56" i="82" a="1"/>
  <c r="C56" i="82" s="1"/>
  <c r="AJ55" i="82" a="1"/>
  <c r="AJ55" i="82" s="1"/>
  <c r="C55" i="82" a="1"/>
  <c r="C55" i="82" s="1"/>
  <c r="AG54" i="82"/>
  <c r="C54" i="82" a="1"/>
  <c r="C54" i="82" s="1"/>
  <c r="AG53" i="82"/>
  <c r="C53" i="82" a="1"/>
  <c r="C53" i="82" s="1"/>
  <c r="AG52" i="82"/>
  <c r="AG51" i="82"/>
  <c r="D51" i="82" a="1"/>
  <c r="D51" i="82" s="1"/>
  <c r="C51" i="82" a="1"/>
  <c r="C51" i="82" s="1"/>
  <c r="AG50" i="82"/>
  <c r="C50" i="82" a="1"/>
  <c r="C50" i="82" s="1"/>
  <c r="AG49" i="82"/>
  <c r="AG48" i="82"/>
  <c r="C48" i="82" a="1"/>
  <c r="C48" i="82" s="1"/>
  <c r="AG47" i="82"/>
  <c r="J47" i="82" a="1"/>
  <c r="J47" i="82" s="1"/>
  <c r="AG46" i="82"/>
  <c r="J46" i="82" a="1"/>
  <c r="J46" i="82" s="1"/>
  <c r="C46" i="82" a="1"/>
  <c r="C46" i="82" s="1"/>
  <c r="AG45" i="82"/>
  <c r="C45" i="82" a="1"/>
  <c r="C45" i="82" s="1"/>
  <c r="AG44" i="82"/>
  <c r="J44" i="82" a="1"/>
  <c r="J44" i="82" s="1"/>
  <c r="AG43" i="82"/>
  <c r="C43" i="82" a="1"/>
  <c r="C43" i="82" s="1"/>
  <c r="AG42" i="82"/>
  <c r="J42" i="82" a="1"/>
  <c r="J42" i="82" s="1"/>
  <c r="C42" i="82" a="1"/>
  <c r="C42" i="82" s="1"/>
  <c r="AG41" i="82"/>
  <c r="R41" i="82" a="1"/>
  <c r="R41" i="82" s="1"/>
  <c r="R49" i="82" s="1"/>
  <c r="G41" i="82" a="1"/>
  <c r="G41" i="82" s="1"/>
  <c r="E41" i="82" a="1"/>
  <c r="E41" i="82" s="1"/>
  <c r="AG40" i="82"/>
  <c r="R40" i="82" a="1"/>
  <c r="R40" i="82" s="1"/>
  <c r="R48" i="82" s="1"/>
  <c r="J40" i="82" a="1"/>
  <c r="J40" i="82" s="1"/>
  <c r="AG39" i="82"/>
  <c r="R39" i="82" a="1"/>
  <c r="R39" i="82" s="1"/>
  <c r="R47" i="82" s="1"/>
  <c r="J39" i="82" a="1"/>
  <c r="J39" i="82" s="1"/>
  <c r="C39" i="82" a="1"/>
  <c r="C39" i="82" s="1"/>
  <c r="AG38" i="82"/>
  <c r="R38" i="82" a="1"/>
  <c r="R38" i="82" s="1"/>
  <c r="AG37" i="82"/>
  <c r="C37" i="82" a="1"/>
  <c r="C37" i="82" s="1"/>
  <c r="AG36" i="82"/>
  <c r="J36" i="82" a="1"/>
  <c r="J36" i="82" s="1"/>
  <c r="AG35" i="82"/>
  <c r="R35" i="82" a="1"/>
  <c r="R35" i="82" s="1"/>
  <c r="J35" i="82" a="1"/>
  <c r="J35" i="82" s="1"/>
  <c r="C35" i="82" a="1"/>
  <c r="C35" i="82" s="1"/>
  <c r="AG34" i="82"/>
  <c r="R34" i="82" a="1"/>
  <c r="R34" i="82" s="1"/>
  <c r="AG33" i="82"/>
  <c r="R33" i="82" a="1"/>
  <c r="R33" i="82" s="1"/>
  <c r="AG32" i="82"/>
  <c r="R32" i="82" a="1"/>
  <c r="R32" i="82" s="1"/>
  <c r="AG31" i="82"/>
  <c r="R31" i="82" a="1"/>
  <c r="R31" i="82" s="1"/>
  <c r="AG30" i="82"/>
  <c r="AG29" i="82"/>
  <c r="R29" i="82" a="1"/>
  <c r="R29" i="82" s="1"/>
  <c r="AG28" i="82"/>
  <c r="R28" i="82" a="1"/>
  <c r="R28" i="82" s="1"/>
  <c r="AG27" i="82"/>
  <c r="R27" i="82" a="1"/>
  <c r="R27" i="82" s="1"/>
  <c r="AG26" i="82"/>
  <c r="R26" i="82" a="1"/>
  <c r="R26" i="82" s="1"/>
  <c r="AG25" i="82"/>
  <c r="R25" i="82" a="1"/>
  <c r="R25" i="82" s="1"/>
  <c r="AG24" i="82"/>
  <c r="AG23" i="82"/>
  <c r="R23" i="82" a="1"/>
  <c r="R23" i="82" s="1"/>
  <c r="AG22" i="82"/>
  <c r="R22" i="82" a="1"/>
  <c r="R22" i="82" s="1"/>
  <c r="AG21" i="82"/>
  <c r="R21" i="82" a="1"/>
  <c r="R21" i="82" s="1"/>
  <c r="AG20" i="82"/>
  <c r="AG19" i="82"/>
  <c r="AG18" i="82"/>
  <c r="T18" i="82"/>
  <c r="R18" i="82" a="1"/>
  <c r="R18" i="82" s="1"/>
  <c r="AG17" i="82"/>
  <c r="U17" i="82" a="1"/>
  <c r="U17" i="82" s="1"/>
  <c r="R17" i="82" a="1"/>
  <c r="R17" i="82" s="1"/>
  <c r="AG16" i="82"/>
  <c r="AG15" i="82"/>
  <c r="R15" i="82" a="1"/>
  <c r="R15" i="82" s="1"/>
  <c r="AG14" i="82"/>
  <c r="AG13" i="82"/>
  <c r="AG12" i="82"/>
  <c r="R12" i="82" a="1"/>
  <c r="R12" i="82" s="1"/>
  <c r="AG11" i="82"/>
  <c r="R11" i="82" a="1"/>
  <c r="R11" i="82" s="1"/>
  <c r="AG10" i="82"/>
  <c r="R10" i="82" a="1"/>
  <c r="R10" i="82" s="1"/>
  <c r="AJ9" i="82" a="1"/>
  <c r="AJ9" i="82" s="1"/>
  <c r="AI9" i="82" a="1"/>
  <c r="AI9" i="82" s="1"/>
  <c r="AH9" i="82" a="1"/>
  <c r="AH9" i="82" s="1"/>
  <c r="AG9" i="82" a="1"/>
  <c r="AG9" i="82" s="1"/>
  <c r="R9" i="82" a="1"/>
  <c r="R9" i="82" s="1"/>
  <c r="X7" i="82" a="1"/>
  <c r="X7" i="82" s="1"/>
  <c r="C7" i="82" a="1"/>
  <c r="C7" i="82" s="1"/>
  <c r="F6" i="82" a="1"/>
  <c r="F6" i="82" s="1"/>
  <c r="C5" i="82" a="1"/>
  <c r="C5" i="82" s="1"/>
  <c r="R7" i="82" s="1"/>
  <c r="R4" i="82" a="1"/>
  <c r="R4" i="82" s="1"/>
  <c r="C4" i="82" a="1"/>
  <c r="C4" i="82" s="1"/>
  <c r="R6" i="82" s="1"/>
  <c r="R3" i="82" a="1"/>
  <c r="R3" i="82" s="1"/>
  <c r="C3" i="82" a="1"/>
  <c r="C3" i="82" s="1"/>
  <c r="P26" i="108" l="1"/>
  <c r="F54" i="97"/>
  <c r="M42" i="97" s="1"/>
  <c r="AA59" i="93"/>
  <c r="U95" i="87"/>
  <c r="V101" i="87" s="1"/>
  <c r="V102" i="87" s="1"/>
  <c r="P19" i="104"/>
  <c r="O28" i="93"/>
  <c r="P24" i="104"/>
  <c r="G36" i="82"/>
  <c r="M36" i="82"/>
  <c r="P26" i="104"/>
  <c r="M55" i="84"/>
  <c r="CL25" i="83"/>
  <c r="AE67" i="90"/>
  <c r="O19" i="84"/>
  <c r="Q19" i="84"/>
  <c r="S47" i="105"/>
  <c r="M45" i="84"/>
  <c r="S19" i="84"/>
  <c r="P24" i="108"/>
  <c r="N45" i="84"/>
  <c r="E95" i="87"/>
  <c r="F101" i="87" s="1"/>
  <c r="F106" i="87" s="1"/>
  <c r="AA68" i="93"/>
  <c r="I65" i="107"/>
  <c r="P28" i="93"/>
  <c r="M24" i="118"/>
  <c r="BK12" i="103"/>
  <c r="M22" i="118"/>
  <c r="S43" i="84"/>
  <c r="Q28" i="93"/>
  <c r="R47" i="105"/>
  <c r="BW36" i="106"/>
  <c r="M30" i="118"/>
  <c r="R28" i="93"/>
  <c r="BY36" i="106"/>
  <c r="M31" i="118"/>
  <c r="Z52" i="106"/>
  <c r="M16" i="118"/>
  <c r="H70" i="103"/>
  <c r="CA36" i="106"/>
  <c r="M32" i="118"/>
  <c r="M49" i="84"/>
  <c r="BY42" i="107"/>
  <c r="S31" i="84"/>
  <c r="AF67" i="90"/>
  <c r="X52" i="106"/>
  <c r="C46" i="84"/>
  <c r="M17" i="118"/>
  <c r="BH18" i="94"/>
  <c r="BD35" i="94" s="1"/>
  <c r="E24" i="94" s="1"/>
  <c r="X37" i="94" s="1"/>
  <c r="P20" i="104"/>
  <c r="BO36" i="103"/>
  <c r="N49" i="84"/>
  <c r="M50" i="118"/>
  <c r="U95" i="97"/>
  <c r="V101" i="97" s="1"/>
  <c r="V106" i="97" s="1"/>
  <c r="Q31" i="84"/>
  <c r="AA63" i="93"/>
  <c r="P18" i="104"/>
  <c r="S71" i="103"/>
  <c r="AA64" i="93"/>
  <c r="S60" i="98"/>
  <c r="Z47" i="97"/>
  <c r="CA36" i="102"/>
  <c r="BY42" i="102"/>
  <c r="J60" i="107"/>
  <c r="B4" i="122"/>
  <c r="BJ17" i="102" a="1"/>
  <c r="BL17" i="102" s="1"/>
  <c r="Z61" i="91"/>
  <c r="E13" i="91" s="1"/>
  <c r="X35" i="91" s="1"/>
  <c r="BN38" i="102"/>
  <c r="BW38" i="102" s="1"/>
  <c r="I71" i="103"/>
  <c r="Z50" i="87"/>
  <c r="AE66" i="91"/>
  <c r="AA65" i="93"/>
  <c r="P51" i="83"/>
  <c r="M97" i="82" s="1"/>
  <c r="BY41" i="107"/>
  <c r="T60" i="98"/>
  <c r="B5" i="122"/>
  <c r="P53" i="83"/>
  <c r="M99" i="82" s="1"/>
  <c r="BW39" i="106"/>
  <c r="E96" i="97"/>
  <c r="AB34" i="113"/>
  <c r="C44" i="84"/>
  <c r="O31" i="84"/>
  <c r="AA50" i="88"/>
  <c r="V58" i="97"/>
  <c r="X45" i="97" s="1"/>
  <c r="BP37" i="103"/>
  <c r="BQ37" i="103" s="1"/>
  <c r="BO42" i="107"/>
  <c r="AB34" i="109"/>
  <c r="J57" i="118"/>
  <c r="K57" i="118" s="1" a="1"/>
  <c r="K57" i="118" s="1"/>
  <c r="Y61" i="91"/>
  <c r="D13" i="91" s="1"/>
  <c r="AA58" i="93"/>
  <c r="C47" i="84"/>
  <c r="C48" i="84"/>
  <c r="AA55" i="93"/>
  <c r="I72" i="102"/>
  <c r="P23" i="104"/>
  <c r="P43" i="105"/>
  <c r="P23" i="108"/>
  <c r="AB34" i="112"/>
  <c r="J36" i="83"/>
  <c r="BD3" i="83"/>
  <c r="BD4" i="83" s="1"/>
  <c r="F59" i="82" s="1" a="1"/>
  <c r="F59" i="82" s="1"/>
  <c r="E95" i="88"/>
  <c r="F101" i="88" s="1"/>
  <c r="F104" i="88" s="1"/>
  <c r="L36" i="82"/>
  <c r="L43" i="82"/>
  <c r="E36" i="82"/>
  <c r="AN55" i="103"/>
  <c r="AA53" i="89"/>
  <c r="T65" i="90"/>
  <c r="T65" i="94"/>
  <c r="H67" i="107"/>
  <c r="BO37" i="106"/>
  <c r="BQ39" i="107"/>
  <c r="BW37" i="103"/>
  <c r="H61" i="102"/>
  <c r="R66" i="106"/>
  <c r="Q55" i="84"/>
  <c r="Y63" i="91"/>
  <c r="D20" i="91" s="1"/>
  <c r="W37" i="91" s="1"/>
  <c r="Q17" i="88"/>
  <c r="T75" i="94"/>
  <c r="H60" i="98"/>
  <c r="AO52" i="102"/>
  <c r="I65" i="102"/>
  <c r="B8" i="115" a="1"/>
  <c r="B8" i="115" s="1"/>
  <c r="U96" i="97"/>
  <c r="R61" i="102"/>
  <c r="S70" i="106"/>
  <c r="BO42" i="103"/>
  <c r="J70" i="113"/>
  <c r="B9" i="115" a="1"/>
  <c r="B9" i="115" s="1"/>
  <c r="X67" i="90"/>
  <c r="C32" i="90" s="1"/>
  <c r="V41" i="90" s="1"/>
  <c r="AY14" i="98"/>
  <c r="AP52" i="102"/>
  <c r="J65" i="102"/>
  <c r="BW41" i="106"/>
  <c r="AP55" i="106"/>
  <c r="T70" i="106"/>
  <c r="BU36" i="107"/>
  <c r="P19" i="108"/>
  <c r="CM25" i="83" a="1"/>
  <c r="CM25" i="83" s="1"/>
  <c r="Z67" i="90"/>
  <c r="E32" i="90" s="1"/>
  <c r="X41" i="90" s="1"/>
  <c r="R65" i="91"/>
  <c r="BY41" i="106"/>
  <c r="P25" i="108"/>
  <c r="B10" i="115" a="1"/>
  <c r="B10" i="115" s="1"/>
  <c r="M34" i="118"/>
  <c r="S65" i="106"/>
  <c r="R65" i="112"/>
  <c r="I75" i="98"/>
  <c r="BU40" i="103"/>
  <c r="M46" i="84"/>
  <c r="AO53" i="106"/>
  <c r="S70" i="94"/>
  <c r="Z52" i="102"/>
  <c r="AD66" i="90"/>
  <c r="R30" i="96"/>
  <c r="R31" i="96" s="1"/>
  <c r="J39" i="96" s="1"/>
  <c r="CA37" i="103"/>
  <c r="X52" i="92"/>
  <c r="AC62" i="93"/>
  <c r="U96" i="89"/>
  <c r="C25" i="100" a="1"/>
  <c r="D25" i="100" s="1"/>
  <c r="Z53" i="102"/>
  <c r="P22" i="104"/>
  <c r="CA41" i="106"/>
  <c r="B11" i="115" a="1"/>
  <c r="B11" i="115" s="1"/>
  <c r="L3" i="115" s="1"/>
  <c r="S66" i="102"/>
  <c r="X51" i="103"/>
  <c r="H72" i="106"/>
  <c r="B13" i="115" a="1"/>
  <c r="B13" i="115" s="1"/>
  <c r="N3" i="115" s="1"/>
  <c r="Y66" i="91"/>
  <c r="D29" i="91" s="1"/>
  <c r="AA57" i="93"/>
  <c r="K28" i="93"/>
  <c r="BW40" i="102"/>
  <c r="Y51" i="103"/>
  <c r="P16" i="105"/>
  <c r="H60" i="109"/>
  <c r="B22" i="115" a="1"/>
  <c r="B22" i="115" s="1"/>
  <c r="W3" i="115" s="1"/>
  <c r="H75" i="98"/>
  <c r="O55" i="84"/>
  <c r="Z51" i="107"/>
  <c r="P30" i="96"/>
  <c r="P31" i="96" s="1"/>
  <c r="H39" i="96" s="1"/>
  <c r="AP53" i="106"/>
  <c r="Q30" i="96"/>
  <c r="Q31" i="96" s="1"/>
  <c r="I39" i="96" s="1"/>
  <c r="X66" i="91"/>
  <c r="C29" i="91" s="1"/>
  <c r="V40" i="91" s="1"/>
  <c r="J60" i="95"/>
  <c r="BU38" i="106"/>
  <c r="L28" i="93"/>
  <c r="AP16" i="104"/>
  <c r="AP17" i="104" s="1"/>
  <c r="J39" i="104" s="1"/>
  <c r="I60" i="109"/>
  <c r="B23" i="115" a="1"/>
  <c r="B23" i="115" s="1"/>
  <c r="X3" i="115" s="1"/>
  <c r="M48" i="118"/>
  <c r="I76" i="102"/>
  <c r="S76" i="102"/>
  <c r="AA62" i="93"/>
  <c r="B7" i="115" a="1"/>
  <c r="B7" i="115" s="1"/>
  <c r="B12" i="115" a="1"/>
  <c r="B12" i="115" s="1"/>
  <c r="M3" i="115" s="1"/>
  <c r="M47" i="84"/>
  <c r="M28" i="93"/>
  <c r="Y53" i="106"/>
  <c r="N28" i="93"/>
  <c r="Q32" i="105"/>
  <c r="T65" i="110"/>
  <c r="N46" i="84"/>
  <c r="BU38" i="102"/>
  <c r="BS41" i="103"/>
  <c r="AE66" i="90"/>
  <c r="F54" i="87"/>
  <c r="D93" i="87" s="1"/>
  <c r="Z51" i="89"/>
  <c r="Y63" i="90"/>
  <c r="D20" i="90" s="1"/>
  <c r="W37" i="90" s="1"/>
  <c r="AC65" i="93"/>
  <c r="P26" i="93"/>
  <c r="AA51" i="89"/>
  <c r="Z63" i="90"/>
  <c r="E20" i="90" s="1"/>
  <c r="X37" i="90" s="1"/>
  <c r="Q26" i="93"/>
  <c r="AD61" i="91"/>
  <c r="I61" i="103"/>
  <c r="S55" i="84"/>
  <c r="AA66" i="93"/>
  <c r="BG14" i="94"/>
  <c r="AM16" i="104"/>
  <c r="AM17" i="104" s="1"/>
  <c r="G39" i="104" s="1"/>
  <c r="J65" i="107"/>
  <c r="AI16" i="108"/>
  <c r="AI17" i="108" s="1"/>
  <c r="C39" i="108" s="1"/>
  <c r="H65" i="112"/>
  <c r="H75" i="103"/>
  <c r="Y52" i="94"/>
  <c r="I75" i="103"/>
  <c r="BS39" i="106"/>
  <c r="R70" i="90"/>
  <c r="BK14" i="102"/>
  <c r="BK16" i="102" s="1"/>
  <c r="BL14" i="102"/>
  <c r="BO40" i="106"/>
  <c r="BW40" i="106"/>
  <c r="V57" i="89"/>
  <c r="J70" i="102"/>
  <c r="I76" i="106"/>
  <c r="BS37" i="107"/>
  <c r="R60" i="107"/>
  <c r="BQ37" i="102"/>
  <c r="F140" i="116"/>
  <c r="BF16" i="94"/>
  <c r="R60" i="92"/>
  <c r="K26" i="93"/>
  <c r="AW12" i="99"/>
  <c r="S71" i="107"/>
  <c r="R71" i="107"/>
  <c r="BP40" i="103"/>
  <c r="N47" i="84"/>
  <c r="F19" i="84"/>
  <c r="AB35" i="109"/>
  <c r="H19" i="84"/>
  <c r="AB36" i="109"/>
  <c r="BU39" i="107"/>
  <c r="BQ42" i="106"/>
  <c r="BP41" i="103"/>
  <c r="BQ41" i="103" s="1"/>
  <c r="N48" i="84"/>
  <c r="R67" i="102"/>
  <c r="BU39" i="106"/>
  <c r="Z54" i="94"/>
  <c r="Y54" i="94"/>
  <c r="X54" i="94"/>
  <c r="BQ37" i="107"/>
  <c r="BY37" i="107"/>
  <c r="R75" i="112"/>
  <c r="H66" i="103"/>
  <c r="I66" i="103"/>
  <c r="H65" i="92"/>
  <c r="I65" i="92"/>
  <c r="AX12" i="99"/>
  <c r="AX20" i="102"/>
  <c r="E24" i="102" s="1"/>
  <c r="X37" i="102" s="1"/>
  <c r="AW17" i="106"/>
  <c r="D9" i="106" s="1"/>
  <c r="W34" i="106" s="1"/>
  <c r="AX17" i="106"/>
  <c r="E9" i="106" s="1"/>
  <c r="X34" i="106" s="1"/>
  <c r="H66" i="106"/>
  <c r="H61" i="107"/>
  <c r="L26" i="93"/>
  <c r="X52" i="94"/>
  <c r="AV27" i="102"/>
  <c r="AW20" i="102"/>
  <c r="D24" i="102" s="1"/>
  <c r="AV20" i="102"/>
  <c r="C24" i="102" s="1"/>
  <c r="V37" i="102" s="1"/>
  <c r="AX19" i="102"/>
  <c r="E19" i="102" s="1"/>
  <c r="X36" i="102" s="1"/>
  <c r="AW19" i="102"/>
  <c r="D19" i="102" s="1"/>
  <c r="AV19" i="102"/>
  <c r="C19" i="102" s="1"/>
  <c r="V36" i="102" s="1"/>
  <c r="AX17" i="102"/>
  <c r="E9" i="102" s="1"/>
  <c r="X34" i="102" s="1"/>
  <c r="AW17" i="102"/>
  <c r="D9" i="102" s="1"/>
  <c r="W34" i="102" s="1"/>
  <c r="AV17" i="102"/>
  <c r="C9" i="102" s="1"/>
  <c r="V34" i="102" s="1"/>
  <c r="J70" i="99"/>
  <c r="AX27" i="102"/>
  <c r="R61" i="107"/>
  <c r="H60" i="110"/>
  <c r="Z64" i="91"/>
  <c r="E23" i="91" s="1"/>
  <c r="X38" i="91" s="1"/>
  <c r="Y64" i="91"/>
  <c r="D23" i="91" s="1"/>
  <c r="X64" i="91"/>
  <c r="C23" i="91" s="1"/>
  <c r="BS40" i="102"/>
  <c r="S72" i="103"/>
  <c r="J19" i="84"/>
  <c r="AB37" i="109"/>
  <c r="BW41" i="102"/>
  <c r="BO41" i="102"/>
  <c r="R60" i="95"/>
  <c r="BS37" i="102"/>
  <c r="S65" i="103"/>
  <c r="BO37" i="107"/>
  <c r="R70" i="107"/>
  <c r="X47" i="89"/>
  <c r="V61" i="89"/>
  <c r="X48" i="89" s="1"/>
  <c r="Q43" i="84"/>
  <c r="F49" i="116"/>
  <c r="V6" i="85"/>
  <c r="F50" i="116" s="1"/>
  <c r="T70" i="91"/>
  <c r="M26" i="93"/>
  <c r="BS40" i="103"/>
  <c r="CA40" i="103"/>
  <c r="Q9" i="105"/>
  <c r="J60" i="110"/>
  <c r="AD11" i="103"/>
  <c r="O48" i="84" s="1"/>
  <c r="M48" i="84"/>
  <c r="J70" i="107"/>
  <c r="BG16" i="94"/>
  <c r="BJ14" i="102"/>
  <c r="T60" i="95"/>
  <c r="S70" i="107"/>
  <c r="S75" i="112"/>
  <c r="N43" i="84"/>
  <c r="W81" i="93"/>
  <c r="H75" i="91"/>
  <c r="I75" i="91"/>
  <c r="J75" i="91"/>
  <c r="V54" i="97"/>
  <c r="X42" i="97" s="1"/>
  <c r="H62" i="102"/>
  <c r="I67" i="106"/>
  <c r="H67" i="106"/>
  <c r="BO40" i="107"/>
  <c r="CT20" i="83"/>
  <c r="DG5" i="83"/>
  <c r="S70" i="90"/>
  <c r="X53" i="94"/>
  <c r="G140" i="116"/>
  <c r="Y55" i="92"/>
  <c r="H70" i="102"/>
  <c r="T65" i="103"/>
  <c r="N26" i="93"/>
  <c r="R60" i="110"/>
  <c r="AC11" i="83"/>
  <c r="F38" i="82" s="1"/>
  <c r="E96" i="88"/>
  <c r="W41" i="90"/>
  <c r="X62" i="91"/>
  <c r="C17" i="91" s="1"/>
  <c r="V36" i="91" s="1"/>
  <c r="O26" i="93"/>
  <c r="I75" i="94"/>
  <c r="BW40" i="103"/>
  <c r="AB34" i="110"/>
  <c r="M19" i="84"/>
  <c r="E140" i="116"/>
  <c r="Z55" i="92"/>
  <c r="CC36" i="106"/>
  <c r="X63" i="91"/>
  <c r="C20" i="91" s="1"/>
  <c r="V37" i="91" s="1"/>
  <c r="R75" i="94"/>
  <c r="O30" i="96"/>
  <c r="O31" i="96" s="1"/>
  <c r="G39" i="96" s="1"/>
  <c r="E18" i="105" a="1"/>
  <c r="E18" i="105" s="1"/>
  <c r="T70" i="109"/>
  <c r="AJ16" i="108"/>
  <c r="AJ17" i="108" s="1"/>
  <c r="D39" i="108" s="1"/>
  <c r="AB50" i="89"/>
  <c r="H75" i="90"/>
  <c r="R26" i="93"/>
  <c r="S77" i="106"/>
  <c r="X52" i="107"/>
  <c r="Y65" i="90"/>
  <c r="D26" i="90" s="1"/>
  <c r="S75" i="91"/>
  <c r="AA54" i="93"/>
  <c r="AP53" i="102"/>
  <c r="S62" i="102"/>
  <c r="AD7" i="103"/>
  <c r="O44" i="84" s="1"/>
  <c r="S66" i="103"/>
  <c r="BS40" i="106"/>
  <c r="S60" i="106"/>
  <c r="H72" i="107"/>
  <c r="H70" i="112"/>
  <c r="J8" i="82" a="1"/>
  <c r="J8" i="82" s="1"/>
  <c r="CM26" i="83" a="1"/>
  <c r="CM26" i="83" s="1"/>
  <c r="AA48" i="87"/>
  <c r="Z47" i="88"/>
  <c r="X61" i="90"/>
  <c r="C13" i="90" s="1"/>
  <c r="V35" i="90" s="1"/>
  <c r="T75" i="90"/>
  <c r="T75" i="91"/>
  <c r="S70" i="92"/>
  <c r="BH14" i="95"/>
  <c r="BH18" i="95" s="1"/>
  <c r="BD36" i="95" s="1"/>
  <c r="E27" i="95" s="1"/>
  <c r="X38" i="95" s="1"/>
  <c r="X53" i="95"/>
  <c r="R70" i="95"/>
  <c r="BQ38" i="102"/>
  <c r="S71" i="102"/>
  <c r="I76" i="103"/>
  <c r="BJ17" i="106" a="1"/>
  <c r="BK17" i="106" s="1"/>
  <c r="CC37" i="106"/>
  <c r="AP52" i="107"/>
  <c r="I70" i="112"/>
  <c r="J75" i="113"/>
  <c r="B14" i="115" a="1"/>
  <c r="B14" i="115" s="1"/>
  <c r="O3" i="115" s="1"/>
  <c r="E114" i="116"/>
  <c r="M35" i="118"/>
  <c r="X65" i="90"/>
  <c r="C26" i="90" s="1"/>
  <c r="V39" i="90" s="1"/>
  <c r="AC7" i="83"/>
  <c r="AD15" i="83" s="1"/>
  <c r="G38" i="82" s="1"/>
  <c r="Y61" i="90"/>
  <c r="D13" i="90" s="1"/>
  <c r="T70" i="92"/>
  <c r="Y53" i="95"/>
  <c r="T70" i="95"/>
  <c r="B15" i="115" a="1"/>
  <c r="B15" i="115" s="1"/>
  <c r="P3" i="115" s="1"/>
  <c r="M6" i="118"/>
  <c r="BS38" i="103"/>
  <c r="BW41" i="103"/>
  <c r="P25" i="104"/>
  <c r="BY40" i="106"/>
  <c r="H61" i="106"/>
  <c r="BJ17" i="107" a="1"/>
  <c r="BL17" i="107" s="1"/>
  <c r="BQ38" i="107"/>
  <c r="BO41" i="107"/>
  <c r="B16" i="115" a="1"/>
  <c r="B16" i="115" s="1"/>
  <c r="Q3" i="115" s="1"/>
  <c r="M10" i="118"/>
  <c r="M38" i="118"/>
  <c r="BS37" i="106"/>
  <c r="AD61" i="90"/>
  <c r="H65" i="94"/>
  <c r="Y54" i="95"/>
  <c r="AP55" i="102"/>
  <c r="AN53" i="107"/>
  <c r="T70" i="112"/>
  <c r="B2" i="122"/>
  <c r="AA60" i="93"/>
  <c r="F54" i="88"/>
  <c r="D93" i="88" s="1"/>
  <c r="S75" i="92"/>
  <c r="AA69" i="93"/>
  <c r="J65" i="94"/>
  <c r="S75" i="98"/>
  <c r="BO36" i="102"/>
  <c r="R65" i="102"/>
  <c r="BW38" i="103"/>
  <c r="S60" i="103"/>
  <c r="I70" i="103"/>
  <c r="S77" i="103"/>
  <c r="S61" i="106"/>
  <c r="BO36" i="107"/>
  <c r="BS38" i="107"/>
  <c r="AP53" i="107"/>
  <c r="H76" i="107"/>
  <c r="P20" i="108"/>
  <c r="R65" i="109"/>
  <c r="B17" i="115" a="1"/>
  <c r="B17" i="115" s="1"/>
  <c r="R3" i="115" s="1"/>
  <c r="M11" i="118"/>
  <c r="M40" i="118"/>
  <c r="C2" i="122"/>
  <c r="B93" i="123" s="1" a="1"/>
  <c r="B93" i="123" s="1"/>
  <c r="I70" i="95"/>
  <c r="AO53" i="102"/>
  <c r="P24" i="105"/>
  <c r="Y52" i="107"/>
  <c r="F31" i="84"/>
  <c r="V54" i="88"/>
  <c r="T93" i="88" s="1"/>
  <c r="Y62" i="90"/>
  <c r="D17" i="90" s="1"/>
  <c r="X65" i="91"/>
  <c r="C26" i="91" s="1"/>
  <c r="V39" i="91" s="1"/>
  <c r="AA56" i="93"/>
  <c r="X55" i="95"/>
  <c r="T75" i="95"/>
  <c r="Z48" i="97"/>
  <c r="S65" i="102"/>
  <c r="BU36" i="103"/>
  <c r="T60" i="103"/>
  <c r="AO16" i="104"/>
  <c r="AO17" i="104" s="1"/>
  <c r="I39" i="104" s="1"/>
  <c r="AN52" i="106"/>
  <c r="R71" i="106"/>
  <c r="S65" i="109"/>
  <c r="D2" i="122"/>
  <c r="B183" i="123" s="1" a="1"/>
  <c r="B183" i="123" s="1"/>
  <c r="I71" i="102"/>
  <c r="R62" i="107"/>
  <c r="AN54" i="103"/>
  <c r="Y51" i="106"/>
  <c r="AC63" i="93"/>
  <c r="BF19" i="94" a="1"/>
  <c r="BF19" i="94" s="1"/>
  <c r="R65" i="94"/>
  <c r="Y55" i="95"/>
  <c r="X51" i="102"/>
  <c r="AN16" i="104"/>
  <c r="AN17" i="104" s="1"/>
  <c r="H39" i="104" s="1"/>
  <c r="AP52" i="106"/>
  <c r="BS41" i="107"/>
  <c r="I75" i="109"/>
  <c r="B18" i="115" a="1"/>
  <c r="B18" i="115" s="1"/>
  <c r="S3" i="115" s="1"/>
  <c r="M42" i="118"/>
  <c r="E2" i="122"/>
  <c r="B273" i="123" s="1" a="1"/>
  <c r="B273" i="123" s="1"/>
  <c r="CC37" i="107"/>
  <c r="Z48" i="87"/>
  <c r="H31" i="84"/>
  <c r="AX14" i="98"/>
  <c r="Y51" i="102"/>
  <c r="J60" i="102"/>
  <c r="BO39" i="103"/>
  <c r="P21" i="104"/>
  <c r="Q47" i="105"/>
  <c r="H62" i="106"/>
  <c r="CC38" i="107"/>
  <c r="J75" i="109"/>
  <c r="S65" i="110"/>
  <c r="AB37" i="112"/>
  <c r="M13" i="118"/>
  <c r="M43" i="118"/>
  <c r="F2" i="122"/>
  <c r="B363" i="123" s="1" a="1"/>
  <c r="B363" i="123" s="1"/>
  <c r="J70" i="95"/>
  <c r="F58" i="88"/>
  <c r="D94" i="88" s="1"/>
  <c r="AL16" i="104"/>
  <c r="AL17" i="104" s="1"/>
  <c r="F39" i="104" s="1"/>
  <c r="AY17" i="113" a="1"/>
  <c r="BA17" i="113" s="1"/>
  <c r="B19" i="115" a="1"/>
  <c r="B19" i="115" s="1"/>
  <c r="T3" i="115" s="1"/>
  <c r="M14" i="118"/>
  <c r="M44" i="118"/>
  <c r="G2" i="122"/>
  <c r="B453" i="123" s="1" a="1"/>
  <c r="B453" i="123" s="1"/>
  <c r="X51" i="95"/>
  <c r="BG14" i="95"/>
  <c r="H60" i="95"/>
  <c r="T75" i="99"/>
  <c r="CC39" i="102"/>
  <c r="X52" i="102"/>
  <c r="H60" i="107"/>
  <c r="P21" i="108"/>
  <c r="R75" i="109"/>
  <c r="I75" i="110"/>
  <c r="B20" i="115" a="1"/>
  <c r="B20" i="115" s="1"/>
  <c r="U3" i="115" s="1"/>
  <c r="H2" i="122"/>
  <c r="B543" i="123" s="1" a="1"/>
  <c r="B543" i="123" s="1"/>
  <c r="P18" i="108"/>
  <c r="H166" i="116"/>
  <c r="I166" i="116"/>
  <c r="R75" i="90"/>
  <c r="AA50" i="87"/>
  <c r="AD66" i="91"/>
  <c r="Y51" i="94"/>
  <c r="R70" i="94"/>
  <c r="AA50" i="97"/>
  <c r="BY36" i="102"/>
  <c r="I67" i="102"/>
  <c r="R61" i="103"/>
  <c r="BQ39" i="106"/>
  <c r="B21" i="115" a="1"/>
  <c r="B21" i="115" s="1"/>
  <c r="V3" i="115" s="1"/>
  <c r="AL116" i="116" a="1"/>
  <c r="AN116" i="116" s="1"/>
  <c r="M47" i="118"/>
  <c r="J70" i="91"/>
  <c r="I70" i="91"/>
  <c r="H70" i="91"/>
  <c r="H67" i="103"/>
  <c r="T22" i="93"/>
  <c r="R27" i="93" s="1"/>
  <c r="AC60" i="93"/>
  <c r="AC61" i="93"/>
  <c r="F3" i="116"/>
  <c r="O42" i="83" a="1"/>
  <c r="O42" i="83" s="1"/>
  <c r="O50" i="83" a="1"/>
  <c r="O50" i="83" s="1"/>
  <c r="M63" i="83" a="1"/>
  <c r="M63" i="83" s="1"/>
  <c r="G82" i="82" s="1"/>
  <c r="N36" i="83"/>
  <c r="N38" i="83" s="1"/>
  <c r="F36" i="86" s="1"/>
  <c r="F37" i="86" s="1"/>
  <c r="M36" i="83"/>
  <c r="M38" i="83" s="1"/>
  <c r="D69" i="82" s="1"/>
  <c r="W2" i="84"/>
  <c r="DI36" i="83"/>
  <c r="DX36" i="83"/>
  <c r="F34" i="86" s="1"/>
  <c r="CL36" i="83" a="1"/>
  <c r="CL36" i="83" s="1"/>
  <c r="CL38" i="83" s="1"/>
  <c r="C9" i="82" s="1"/>
  <c r="DS36" i="83"/>
  <c r="O102" i="82"/>
  <c r="AD2" i="82"/>
  <c r="S70" i="98"/>
  <c r="R70" i="98"/>
  <c r="T70" i="98"/>
  <c r="AA67" i="93"/>
  <c r="J70" i="90"/>
  <c r="I70" i="90"/>
  <c r="H70" i="90"/>
  <c r="DN27" i="83"/>
  <c r="DN26" i="83"/>
  <c r="DN36" i="83" s="1"/>
  <c r="DN38" i="83" s="1"/>
  <c r="CJ36" i="83" a="1"/>
  <c r="CJ36" i="83" s="1"/>
  <c r="AF67" i="91"/>
  <c r="AE67" i="91"/>
  <c r="V106" i="87"/>
  <c r="V105" i="87"/>
  <c r="V104" i="87"/>
  <c r="V103" i="87"/>
  <c r="AD48" i="116"/>
  <c r="Q17" i="97"/>
  <c r="BN42" i="102"/>
  <c r="C49" i="84"/>
  <c r="Z47" i="87"/>
  <c r="AA48" i="88"/>
  <c r="AA47" i="87"/>
  <c r="U94" i="88"/>
  <c r="U96" i="88" s="1"/>
  <c r="V58" i="88"/>
  <c r="H60" i="92"/>
  <c r="T70" i="99"/>
  <c r="S70" i="99"/>
  <c r="R70" i="99"/>
  <c r="I60" i="92"/>
  <c r="DC15" i="83"/>
  <c r="X67" i="91"/>
  <c r="C32" i="91" s="1"/>
  <c r="Y67" i="91"/>
  <c r="D32" i="91" s="1"/>
  <c r="DC36" i="83"/>
  <c r="I70" i="98"/>
  <c r="H70" i="98"/>
  <c r="E96" i="87"/>
  <c r="U96" i="87"/>
  <c r="H60" i="90"/>
  <c r="H65" i="91"/>
  <c r="J65" i="91"/>
  <c r="I65" i="91"/>
  <c r="F58" i="87"/>
  <c r="I60" i="90"/>
  <c r="P54" i="83"/>
  <c r="M100" i="82" s="1"/>
  <c r="M61" i="83" a="1"/>
  <c r="M61" i="83" s="1"/>
  <c r="M65" i="83" s="1"/>
  <c r="H101" i="82" s="1"/>
  <c r="P50" i="83"/>
  <c r="M96" i="82" s="1"/>
  <c r="H60" i="91"/>
  <c r="J60" i="91"/>
  <c r="I60" i="91"/>
  <c r="R60" i="91"/>
  <c r="T60" i="91"/>
  <c r="S60" i="91"/>
  <c r="Z49" i="87"/>
  <c r="P49" i="83"/>
  <c r="M95" i="82" s="1"/>
  <c r="AA49" i="87"/>
  <c r="AD6" i="103"/>
  <c r="AB34" i="103"/>
  <c r="M43" i="84"/>
  <c r="X46" i="89"/>
  <c r="U97" i="89"/>
  <c r="U98" i="89" s="1"/>
  <c r="V104" i="89" s="1"/>
  <c r="M47" i="89"/>
  <c r="G61" i="89"/>
  <c r="T60" i="90"/>
  <c r="R60" i="90"/>
  <c r="AD64" i="91"/>
  <c r="AF64" i="91"/>
  <c r="AC68" i="93"/>
  <c r="AC67" i="93"/>
  <c r="T24" i="93"/>
  <c r="L14" i="93" s="1"/>
  <c r="Z53" i="89"/>
  <c r="BY40" i="107"/>
  <c r="BQ40" i="107"/>
  <c r="E18" i="124" a="1"/>
  <c r="E18" i="124" s="1"/>
  <c r="K42" i="83"/>
  <c r="S60" i="92"/>
  <c r="V58" i="87"/>
  <c r="AC58" i="93"/>
  <c r="R65" i="99"/>
  <c r="X60" i="91"/>
  <c r="C9" i="91" s="1"/>
  <c r="S65" i="99"/>
  <c r="X54" i="102"/>
  <c r="S62" i="106"/>
  <c r="R62" i="106"/>
  <c r="Y60" i="91"/>
  <c r="D9" i="91" s="1"/>
  <c r="Z54" i="102"/>
  <c r="V54" i="87"/>
  <c r="R65" i="92"/>
  <c r="T65" i="92"/>
  <c r="X54" i="106"/>
  <c r="Z54" i="106"/>
  <c r="Z49" i="88"/>
  <c r="G57" i="89"/>
  <c r="S65" i="92"/>
  <c r="Y54" i="106"/>
  <c r="M44" i="89"/>
  <c r="V36" i="90"/>
  <c r="Z66" i="90"/>
  <c r="E29" i="90" s="1"/>
  <c r="X40" i="90" s="1"/>
  <c r="Y66" i="90"/>
  <c r="D29" i="90" s="1"/>
  <c r="Z51" i="92"/>
  <c r="Y51" i="92"/>
  <c r="Q17" i="87"/>
  <c r="Z62" i="90"/>
  <c r="E17" i="90" s="1"/>
  <c r="X66" i="90"/>
  <c r="C29" i="90" s="1"/>
  <c r="X51" i="92"/>
  <c r="Z52" i="95"/>
  <c r="Y52" i="95"/>
  <c r="X52" i="95"/>
  <c r="AC66" i="93"/>
  <c r="X64" i="90"/>
  <c r="C23" i="90" s="1"/>
  <c r="AW17" i="99" a="1"/>
  <c r="BJ12" i="102"/>
  <c r="AP54" i="106"/>
  <c r="AO54" i="106"/>
  <c r="AN54" i="106"/>
  <c r="Z50" i="89"/>
  <c r="Y64" i="90"/>
  <c r="D23" i="90" s="1"/>
  <c r="J75" i="90"/>
  <c r="AE61" i="91"/>
  <c r="S65" i="91"/>
  <c r="H70" i="94"/>
  <c r="R75" i="95"/>
  <c r="BL12" i="102"/>
  <c r="BU37" i="103"/>
  <c r="BW38" i="106"/>
  <c r="BO38" i="106"/>
  <c r="I70" i="94"/>
  <c r="BY41" i="102"/>
  <c r="BQ41" i="102"/>
  <c r="Z53" i="92"/>
  <c r="Y53" i="92"/>
  <c r="F58" i="97"/>
  <c r="Z52" i="89"/>
  <c r="AD64" i="90"/>
  <c r="Y62" i="91"/>
  <c r="D17" i="91" s="1"/>
  <c r="Y65" i="91"/>
  <c r="D26" i="91" s="1"/>
  <c r="X53" i="92"/>
  <c r="H75" i="92"/>
  <c r="D12" i="96"/>
  <c r="C12" i="96"/>
  <c r="AA52" i="89"/>
  <c r="AE64" i="90"/>
  <c r="I75" i="92"/>
  <c r="I60" i="99"/>
  <c r="H60" i="99"/>
  <c r="BF19" i="95" a="1"/>
  <c r="O48" i="97" a="1"/>
  <c r="O50" i="97" a="1"/>
  <c r="T60" i="99"/>
  <c r="S60" i="99"/>
  <c r="R60" i="99"/>
  <c r="CA38" i="102"/>
  <c r="BS38" i="102"/>
  <c r="Z54" i="107"/>
  <c r="Y54" i="107"/>
  <c r="X54" i="107"/>
  <c r="O47" i="87" a="1"/>
  <c r="AE61" i="90"/>
  <c r="H65" i="90"/>
  <c r="AC69" i="93"/>
  <c r="Y53" i="94"/>
  <c r="AA49" i="97"/>
  <c r="Z49" i="97"/>
  <c r="BU36" i="102"/>
  <c r="R18" i="89"/>
  <c r="I65" i="90"/>
  <c r="R75" i="92"/>
  <c r="I77" i="102"/>
  <c r="H77" i="102"/>
  <c r="J70" i="109"/>
  <c r="I70" i="109"/>
  <c r="H70" i="109"/>
  <c r="Y55" i="94"/>
  <c r="X55" i="94"/>
  <c r="I65" i="95"/>
  <c r="H65" i="95"/>
  <c r="K30" i="96"/>
  <c r="K31" i="96" s="1"/>
  <c r="CA40" i="107"/>
  <c r="BS40" i="107"/>
  <c r="Y52" i="92"/>
  <c r="J65" i="92"/>
  <c r="Z55" i="94"/>
  <c r="Z51" i="95"/>
  <c r="J65" i="95"/>
  <c r="BS41" i="102"/>
  <c r="N30" i="96"/>
  <c r="N31" i="96" s="1"/>
  <c r="F39" i="96" s="1"/>
  <c r="Z52" i="103"/>
  <c r="Y52" i="103"/>
  <c r="X52" i="103"/>
  <c r="I62" i="107"/>
  <c r="H62" i="107"/>
  <c r="S60" i="94"/>
  <c r="BF16" i="95"/>
  <c r="BF18" i="95" s="1"/>
  <c r="BQ39" i="102"/>
  <c r="BU38" i="103"/>
  <c r="T60" i="94"/>
  <c r="BG16" i="95"/>
  <c r="H65" i="98"/>
  <c r="BW39" i="102"/>
  <c r="BO39" i="102"/>
  <c r="X54" i="92"/>
  <c r="H70" i="92"/>
  <c r="BS39" i="102"/>
  <c r="BY38" i="103"/>
  <c r="R67" i="106"/>
  <c r="CA36" i="107"/>
  <c r="BS36" i="107"/>
  <c r="X60" i="90"/>
  <c r="C9" i="90" s="1"/>
  <c r="R65" i="90"/>
  <c r="R70" i="91"/>
  <c r="Y54" i="92"/>
  <c r="I70" i="92"/>
  <c r="AC59" i="93"/>
  <c r="E95" i="97"/>
  <c r="F101" i="97" s="1"/>
  <c r="V103" i="97"/>
  <c r="AW17" i="98" a="1"/>
  <c r="S65" i="98"/>
  <c r="R65" i="98"/>
  <c r="Y60" i="90"/>
  <c r="D9" i="90" s="1"/>
  <c r="T65" i="98"/>
  <c r="J70" i="106"/>
  <c r="H70" i="106"/>
  <c r="AC64" i="93"/>
  <c r="L30" i="96"/>
  <c r="L31" i="96" s="1"/>
  <c r="D39" i="96" s="1"/>
  <c r="BF14" i="94"/>
  <c r="H75" i="95"/>
  <c r="J75" i="95"/>
  <c r="M30" i="96"/>
  <c r="M31" i="96" s="1"/>
  <c r="E39" i="96" s="1"/>
  <c r="I65" i="99"/>
  <c r="BY39" i="103"/>
  <c r="BQ39" i="103"/>
  <c r="T65" i="107"/>
  <c r="S65" i="107"/>
  <c r="AX14" i="99"/>
  <c r="AW14" i="99"/>
  <c r="AW16" i="99" s="1"/>
  <c r="BL12" i="107"/>
  <c r="BJ12" i="107"/>
  <c r="AY14" i="99"/>
  <c r="AY16" i="99" s="1"/>
  <c r="BU40" i="102"/>
  <c r="T70" i="102"/>
  <c r="S70" i="102"/>
  <c r="R70" i="102"/>
  <c r="I62" i="103"/>
  <c r="H62" i="103"/>
  <c r="BK12" i="107"/>
  <c r="CC40" i="107"/>
  <c r="BU40" i="107"/>
  <c r="R77" i="107"/>
  <c r="S77" i="107"/>
  <c r="CA39" i="103"/>
  <c r="BS39" i="103"/>
  <c r="AY12" i="98"/>
  <c r="AX12" i="98"/>
  <c r="I75" i="99"/>
  <c r="H75" i="99"/>
  <c r="BO37" i="102"/>
  <c r="BJ17" i="103" a="1"/>
  <c r="CC39" i="103"/>
  <c r="BU39" i="103"/>
  <c r="AP52" i="103"/>
  <c r="AO52" i="103"/>
  <c r="AN52" i="103"/>
  <c r="AK16" i="104"/>
  <c r="AK17" i="104" s="1"/>
  <c r="E39" i="104" s="1"/>
  <c r="H60" i="94"/>
  <c r="R65" i="95"/>
  <c r="AW12" i="98"/>
  <c r="AW16" i="98" s="1"/>
  <c r="J75" i="99"/>
  <c r="R77" i="102"/>
  <c r="BQ36" i="103"/>
  <c r="R72" i="106"/>
  <c r="I60" i="94"/>
  <c r="S65" i="95"/>
  <c r="CA36" i="103"/>
  <c r="BS36" i="103"/>
  <c r="X51" i="94"/>
  <c r="H75" i="94"/>
  <c r="X54" i="95"/>
  <c r="R75" i="98"/>
  <c r="Z54" i="103"/>
  <c r="X54" i="103"/>
  <c r="E25" i="105"/>
  <c r="J75" i="106"/>
  <c r="I75" i="106"/>
  <c r="H75" i="106"/>
  <c r="AI16" i="104"/>
  <c r="AI17" i="104" s="1"/>
  <c r="C39" i="104" s="1"/>
  <c r="T75" i="106"/>
  <c r="R75" i="106"/>
  <c r="J65" i="109"/>
  <c r="I65" i="109"/>
  <c r="CC37" i="102"/>
  <c r="BU37" i="102"/>
  <c r="AJ16" i="104"/>
  <c r="AJ17" i="104" s="1"/>
  <c r="D39" i="104" s="1"/>
  <c r="S75" i="106"/>
  <c r="H65" i="109"/>
  <c r="BL14" i="103"/>
  <c r="BL16" i="103" s="1"/>
  <c r="BK14" i="103"/>
  <c r="BJ14" i="103"/>
  <c r="R75" i="103"/>
  <c r="BU40" i="106"/>
  <c r="H60" i="106"/>
  <c r="R72" i="102"/>
  <c r="S75" i="103"/>
  <c r="I60" i="106"/>
  <c r="J65" i="106"/>
  <c r="I65" i="106"/>
  <c r="AO54" i="103"/>
  <c r="S62" i="103"/>
  <c r="R62" i="103"/>
  <c r="R70" i="103"/>
  <c r="BO42" i="106"/>
  <c r="H65" i="106"/>
  <c r="BW39" i="107"/>
  <c r="BO39" i="107"/>
  <c r="S67" i="107"/>
  <c r="R67" i="107"/>
  <c r="R76" i="107"/>
  <c r="S70" i="103"/>
  <c r="AX18" i="106"/>
  <c r="E14" i="106" s="1"/>
  <c r="X35" i="106" s="1"/>
  <c r="AW18" i="106"/>
  <c r="D14" i="106" s="1"/>
  <c r="AV17" i="106"/>
  <c r="C9" i="106" s="1"/>
  <c r="AX20" i="106"/>
  <c r="E24" i="106" s="1"/>
  <c r="X37" i="106" s="1"/>
  <c r="AW20" i="106"/>
  <c r="D24" i="106" s="1"/>
  <c r="AV20" i="106"/>
  <c r="C24" i="106" s="1"/>
  <c r="AX19" i="106"/>
  <c r="E19" i="106" s="1"/>
  <c r="X36" i="106" s="1"/>
  <c r="AW19" i="106"/>
  <c r="D19" i="106" s="1"/>
  <c r="AV19" i="106"/>
  <c r="C19" i="106" s="1"/>
  <c r="AV18" i="106"/>
  <c r="C14" i="106" s="1"/>
  <c r="AO16" i="108"/>
  <c r="AO17" i="108" s="1"/>
  <c r="I39" i="108" s="1"/>
  <c r="AZ12" i="113"/>
  <c r="BA12" i="113"/>
  <c r="J75" i="102"/>
  <c r="I75" i="102"/>
  <c r="BQ40" i="102"/>
  <c r="H75" i="102"/>
  <c r="BL14" i="106"/>
  <c r="BJ14" i="106"/>
  <c r="BK14" i="106"/>
  <c r="AZ12" i="112"/>
  <c r="BA12" i="112"/>
  <c r="H70" i="99"/>
  <c r="R75" i="99"/>
  <c r="X53" i="102"/>
  <c r="H60" i="102"/>
  <c r="AO55" i="103"/>
  <c r="T60" i="106"/>
  <c r="I77" i="107"/>
  <c r="AY12" i="112"/>
  <c r="AX18" i="102"/>
  <c r="E14" i="102" s="1"/>
  <c r="X35" i="102" s="1"/>
  <c r="AW18" i="102"/>
  <c r="D14" i="102" s="1"/>
  <c r="W35" i="102" s="1"/>
  <c r="AV18" i="102"/>
  <c r="C14" i="102" s="1"/>
  <c r="S76" i="103"/>
  <c r="R76" i="103"/>
  <c r="BQ36" i="107"/>
  <c r="J65" i="113"/>
  <c r="I65" i="113"/>
  <c r="H65" i="113"/>
  <c r="I71" i="107"/>
  <c r="H71" i="107"/>
  <c r="T75" i="113"/>
  <c r="S75" i="113"/>
  <c r="R75" i="113"/>
  <c r="AB83" i="113" a="1"/>
  <c r="H140" i="116"/>
  <c r="H66" i="102"/>
  <c r="BQ42" i="103"/>
  <c r="H60" i="103"/>
  <c r="H72" i="103"/>
  <c r="BQ38" i="106"/>
  <c r="X51" i="106"/>
  <c r="H75" i="110"/>
  <c r="E25" i="124"/>
  <c r="I60" i="103"/>
  <c r="R67" i="103"/>
  <c r="J60" i="113"/>
  <c r="I60" i="113"/>
  <c r="H60" i="113"/>
  <c r="R60" i="102"/>
  <c r="H65" i="103"/>
  <c r="BS38" i="106"/>
  <c r="R76" i="106"/>
  <c r="S60" i="107"/>
  <c r="H66" i="107"/>
  <c r="T75" i="110"/>
  <c r="S75" i="110"/>
  <c r="R75" i="110"/>
  <c r="AN54" i="102"/>
  <c r="S60" i="102"/>
  <c r="R75" i="102"/>
  <c r="Y53" i="103"/>
  <c r="I65" i="103"/>
  <c r="H77" i="103"/>
  <c r="BL12" i="106"/>
  <c r="BJ12" i="106"/>
  <c r="AN55" i="106"/>
  <c r="H71" i="106"/>
  <c r="BS39" i="107"/>
  <c r="AL16" i="108"/>
  <c r="AL17" i="108" s="1"/>
  <c r="F39" i="108" s="1"/>
  <c r="AO54" i="102"/>
  <c r="S75" i="102"/>
  <c r="BJ12" i="103"/>
  <c r="Z53" i="103"/>
  <c r="BK12" i="106"/>
  <c r="S66" i="107"/>
  <c r="R66" i="107"/>
  <c r="S72" i="107"/>
  <c r="R72" i="107"/>
  <c r="AM16" i="108"/>
  <c r="AM17" i="108" s="1"/>
  <c r="G39" i="108" s="1"/>
  <c r="BL14" i="107"/>
  <c r="BK14" i="107"/>
  <c r="BJ14" i="107"/>
  <c r="AN16" i="108"/>
  <c r="AN17" i="108" s="1"/>
  <c r="H39" i="108" s="1"/>
  <c r="AN53" i="103"/>
  <c r="H77" i="106"/>
  <c r="BO38" i="107"/>
  <c r="X53" i="107"/>
  <c r="T75" i="107"/>
  <c r="S75" i="107"/>
  <c r="AN55" i="102"/>
  <c r="AO53" i="103"/>
  <c r="BQ37" i="106"/>
  <c r="Y53" i="107"/>
  <c r="R75" i="107"/>
  <c r="AP16" i="108"/>
  <c r="AP17" i="108" s="1"/>
  <c r="J39" i="108" s="1"/>
  <c r="T60" i="109"/>
  <c r="S60" i="109"/>
  <c r="J65" i="112"/>
  <c r="R60" i="109"/>
  <c r="F114" i="116"/>
  <c r="I114" i="116"/>
  <c r="G114" i="116"/>
  <c r="T70" i="113"/>
  <c r="S70" i="113"/>
  <c r="R70" i="113"/>
  <c r="S75" i="109"/>
  <c r="S65" i="112"/>
  <c r="AY17" i="112" a="1"/>
  <c r="AN54" i="107"/>
  <c r="S60" i="110"/>
  <c r="J60" i="112"/>
  <c r="I60" i="112"/>
  <c r="X53" i="106"/>
  <c r="R65" i="106"/>
  <c r="AP54" i="107"/>
  <c r="P22" i="108"/>
  <c r="BA14" i="112"/>
  <c r="AY14" i="112"/>
  <c r="H60" i="112"/>
  <c r="AP55" i="107"/>
  <c r="AO55" i="107"/>
  <c r="AN55" i="107"/>
  <c r="H70" i="107"/>
  <c r="I75" i="107"/>
  <c r="R70" i="109"/>
  <c r="J70" i="110"/>
  <c r="I70" i="110"/>
  <c r="H70" i="110"/>
  <c r="AZ14" i="112"/>
  <c r="Y51" i="107"/>
  <c r="J75" i="107"/>
  <c r="AK16" i="108"/>
  <c r="AK17" i="108" s="1"/>
  <c r="E39" i="108" s="1"/>
  <c r="T70" i="110"/>
  <c r="S70" i="110"/>
  <c r="J75" i="112"/>
  <c r="I75" i="112"/>
  <c r="H75" i="112"/>
  <c r="C42" i="118"/>
  <c r="C12" i="118" s="1"/>
  <c r="C38" i="118"/>
  <c r="AZ14" i="113"/>
  <c r="AY14" i="113"/>
  <c r="AY16" i="113" s="1"/>
  <c r="J65" i="110"/>
  <c r="H65" i="110"/>
  <c r="BA14" i="113"/>
  <c r="I65" i="110"/>
  <c r="R65" i="113"/>
  <c r="AN52" i="107"/>
  <c r="R70" i="112"/>
  <c r="S65" i="113"/>
  <c r="M7" i="118"/>
  <c r="S60" i="112"/>
  <c r="R60" i="112"/>
  <c r="T60" i="113"/>
  <c r="S60" i="113"/>
  <c r="R60" i="113"/>
  <c r="M26" i="118"/>
  <c r="M45" i="118"/>
  <c r="M18" i="118"/>
  <c r="M3" i="118"/>
  <c r="M36" i="118"/>
  <c r="M27" i="118"/>
  <c r="M19" i="118"/>
  <c r="M46" i="118"/>
  <c r="M37" i="118"/>
  <c r="M20" i="118"/>
  <c r="M39" i="118"/>
  <c r="M29" i="118"/>
  <c r="M9" i="118"/>
  <c r="M8" i="118"/>
  <c r="M21" i="118"/>
  <c r="M15" i="118"/>
  <c r="M23" i="118"/>
  <c r="K56" i="118" a="1"/>
  <c r="K56" i="118" s="1"/>
  <c r="P43" i="124"/>
  <c r="F166" i="116"/>
  <c r="M12" i="118"/>
  <c r="M28" i="118"/>
  <c r="M41" i="118"/>
  <c r="G166" i="116"/>
  <c r="M33" i="118"/>
  <c r="M25" i="118"/>
  <c r="P47" i="124"/>
  <c r="Q47" i="124"/>
  <c r="R47" i="124"/>
  <c r="C14" i="118"/>
  <c r="D93" i="97" l="1"/>
  <c r="CM36" i="83" a="1"/>
  <c r="CM36" i="83" s="1"/>
  <c r="CM38" i="83" s="1" a="1"/>
  <c r="CM38" i="83" s="1"/>
  <c r="C10" i="82" s="1"/>
  <c r="V104" i="97"/>
  <c r="V102" i="97"/>
  <c r="C25" i="100"/>
  <c r="V105" i="97"/>
  <c r="BG18" i="94"/>
  <c r="BC34" i="94" s="1"/>
  <c r="D19" i="94" s="1"/>
  <c r="BK16" i="106"/>
  <c r="BG31" i="106" s="1"/>
  <c r="M42" i="87"/>
  <c r="AD10" i="91"/>
  <c r="F103" i="88"/>
  <c r="F102" i="88"/>
  <c r="F105" i="88"/>
  <c r="F106" i="88"/>
  <c r="F104" i="87"/>
  <c r="F105" i="87"/>
  <c r="F102" i="87"/>
  <c r="BD32" i="94"/>
  <c r="E9" i="94" s="1"/>
  <c r="X34" i="94" s="1"/>
  <c r="W35" i="91"/>
  <c r="B3" i="123" a="1"/>
  <c r="B3" i="123" s="1"/>
  <c r="AD12" i="91"/>
  <c r="T93" i="97"/>
  <c r="AN9" i="91"/>
  <c r="AD9" i="91"/>
  <c r="F103" i="87"/>
  <c r="AD6" i="91"/>
  <c r="AB35" i="91" s="1"/>
  <c r="AD7" i="91"/>
  <c r="BK16" i="103"/>
  <c r="BG34" i="103" s="1"/>
  <c r="BD34" i="94"/>
  <c r="E19" i="94" s="1"/>
  <c r="X36" i="94" s="1"/>
  <c r="AD11" i="91"/>
  <c r="AF9" i="90"/>
  <c r="F82" i="84" s="1"/>
  <c r="BD36" i="94"/>
  <c r="E27" i="94" s="1"/>
  <c r="X38" i="94" s="1"/>
  <c r="BD33" i="94"/>
  <c r="E14" i="94" s="1"/>
  <c r="X35" i="94" s="1"/>
  <c r="AF12" i="90"/>
  <c r="F85" i="84" s="1"/>
  <c r="T94" i="97"/>
  <c r="P29" i="93"/>
  <c r="W40" i="91"/>
  <c r="BJ17" i="107"/>
  <c r="N29" i="93"/>
  <c r="BK17" i="107"/>
  <c r="W36" i="90"/>
  <c r="AB11" i="102"/>
  <c r="AD11" i="102" s="1"/>
  <c r="F48" i="84" s="1"/>
  <c r="V63" i="89"/>
  <c r="T97" i="89"/>
  <c r="BY37" i="103"/>
  <c r="AF7" i="90"/>
  <c r="F80" i="84" s="1"/>
  <c r="BJ17" i="102"/>
  <c r="BK17" i="102"/>
  <c r="V60" i="97"/>
  <c r="X46" i="97" s="1"/>
  <c r="X50" i="97" s="1"/>
  <c r="M5" i="86"/>
  <c r="BQ36" i="83" s="1"/>
  <c r="BQ38" i="83" s="1"/>
  <c r="I71" i="82" s="1"/>
  <c r="AF6" i="90"/>
  <c r="AB36" i="90" s="1"/>
  <c r="AN8" i="91"/>
  <c r="AN7" i="91"/>
  <c r="AB41" i="91" s="1"/>
  <c r="BO38" i="102"/>
  <c r="AX16" i="98"/>
  <c r="AT31" i="98" s="1"/>
  <c r="AN6" i="91"/>
  <c r="AB40" i="91" s="1"/>
  <c r="AJ9" i="91"/>
  <c r="AY16" i="98"/>
  <c r="AU32" i="98" s="1"/>
  <c r="E19" i="98" s="1"/>
  <c r="X36" i="98" s="1"/>
  <c r="AD8" i="91"/>
  <c r="AD51" i="89"/>
  <c r="BL16" i="102"/>
  <c r="BH60" i="102" s="1"/>
  <c r="BF18" i="94"/>
  <c r="BB33" i="94" s="1"/>
  <c r="C14" i="94" s="1"/>
  <c r="BG33" i="102"/>
  <c r="BG32" i="102"/>
  <c r="BG60" i="102"/>
  <c r="BG62" i="102"/>
  <c r="BG30" i="102"/>
  <c r="BG59" i="102"/>
  <c r="BG61" i="102"/>
  <c r="AL8" i="90"/>
  <c r="J81" i="84" s="1"/>
  <c r="N27" i="93"/>
  <c r="Q26" i="91"/>
  <c r="AJ10" i="91"/>
  <c r="V38" i="91"/>
  <c r="AH6" i="102"/>
  <c r="AB37" i="102" s="1"/>
  <c r="Q24" i="91"/>
  <c r="BG18" i="95"/>
  <c r="BC33" i="95" s="1"/>
  <c r="AP6" i="90"/>
  <c r="Q25" i="91"/>
  <c r="W38" i="91"/>
  <c r="AP9" i="90"/>
  <c r="P27" i="93"/>
  <c r="AH11" i="91"/>
  <c r="Q84" i="84" s="1"/>
  <c r="AJ12" i="84" s="1" a="1"/>
  <c r="AJ12" i="84" s="1"/>
  <c r="S17" i="83" s="1"/>
  <c r="AW17" i="83" s="1"/>
  <c r="BY41" i="103"/>
  <c r="BL17" i="106"/>
  <c r="AP7" i="90"/>
  <c r="AP8" i="90"/>
  <c r="AH10" i="90"/>
  <c r="H83" i="84" s="1"/>
  <c r="M42" i="88"/>
  <c r="AJ6" i="91"/>
  <c r="AB38" i="91" s="1"/>
  <c r="AZ16" i="112"/>
  <c r="AV30" i="112" s="1"/>
  <c r="BJ16" i="107"/>
  <c r="BF30" i="107" s="1"/>
  <c r="AH6" i="90"/>
  <c r="H79" i="84" s="1"/>
  <c r="U109" i="87" a="1"/>
  <c r="U109" i="87" s="1"/>
  <c r="AJ8" i="91"/>
  <c r="AB10" i="102"/>
  <c r="D47" i="84" s="1"/>
  <c r="AH11" i="90"/>
  <c r="H84" i="84" s="1"/>
  <c r="BL16" i="107"/>
  <c r="BH31" i="107" s="1"/>
  <c r="O27" i="93"/>
  <c r="AH7" i="90"/>
  <c r="H80" i="84" s="1"/>
  <c r="AL6" i="90"/>
  <c r="J79" i="84" s="1"/>
  <c r="AH9" i="90"/>
  <c r="H82" i="84" s="1"/>
  <c r="AX16" i="99"/>
  <c r="AT30" i="99" s="1"/>
  <c r="AH8" i="90"/>
  <c r="H81" i="84" s="1"/>
  <c r="AF11" i="102"/>
  <c r="H48" i="84" s="1"/>
  <c r="F60" i="88"/>
  <c r="M46" i="88" s="1"/>
  <c r="C19" i="118"/>
  <c r="F3" i="118" s="1"/>
  <c r="L3" i="118" s="1"/>
  <c r="AD10" i="90"/>
  <c r="AD8" i="90"/>
  <c r="AH9" i="102"/>
  <c r="J46" i="84" s="1"/>
  <c r="AC15" i="83"/>
  <c r="E38" i="82" s="1"/>
  <c r="E33" i="82" s="1"/>
  <c r="AK6" i="83"/>
  <c r="AF6" i="102"/>
  <c r="AF8" i="102"/>
  <c r="H45" i="84" s="1"/>
  <c r="W36" i="102"/>
  <c r="AF10" i="102"/>
  <c r="H47" i="84" s="1"/>
  <c r="AF9" i="102"/>
  <c r="H46" i="84" s="1"/>
  <c r="AB9" i="102"/>
  <c r="D46" i="84" s="1"/>
  <c r="AM116" i="116"/>
  <c r="AD7" i="90"/>
  <c r="BH19" i="94"/>
  <c r="M45" i="88"/>
  <c r="K27" i="93"/>
  <c r="AL116" i="116"/>
  <c r="BG19" i="94"/>
  <c r="BD35" i="95"/>
  <c r="E24" i="95" s="1"/>
  <c r="X37" i="95" s="1"/>
  <c r="BJ17" i="106"/>
  <c r="AD9" i="90"/>
  <c r="X42" i="88"/>
  <c r="AC10" i="83"/>
  <c r="DG4" i="83"/>
  <c r="X45" i="89"/>
  <c r="X49" i="89" s="1"/>
  <c r="T96" i="89"/>
  <c r="W37" i="102"/>
  <c r="BD32" i="95"/>
  <c r="E9" i="95" s="1"/>
  <c r="X34" i="95" s="1"/>
  <c r="W35" i="90"/>
  <c r="AH10" i="91"/>
  <c r="Q83" i="84" s="1"/>
  <c r="AJ11" i="84" s="1" a="1"/>
  <c r="AJ11" i="84" s="1"/>
  <c r="S16" i="83" s="1"/>
  <c r="AW16" i="83" s="1"/>
  <c r="BQ40" i="103"/>
  <c r="BY40" i="103"/>
  <c r="AC13" i="83"/>
  <c r="AK5" i="83"/>
  <c r="BD34" i="95"/>
  <c r="E19" i="95" s="1"/>
  <c r="X36" i="95" s="1"/>
  <c r="AL7" i="90"/>
  <c r="J80" i="84" s="1"/>
  <c r="AD6" i="90"/>
  <c r="AB35" i="90" s="1"/>
  <c r="Q29" i="93"/>
  <c r="DB10" i="83"/>
  <c r="AH8" i="91"/>
  <c r="Q81" i="84" s="1"/>
  <c r="AJ9" i="84" s="1" a="1"/>
  <c r="AJ9" i="84" s="1"/>
  <c r="S14" i="83" s="1"/>
  <c r="AW14" i="83" s="1"/>
  <c r="AL9" i="90"/>
  <c r="J82" i="84" s="1"/>
  <c r="W39" i="90"/>
  <c r="AH7" i="102"/>
  <c r="J44" i="84" s="1"/>
  <c r="AF7" i="102"/>
  <c r="H44" i="84" s="1"/>
  <c r="BD33" i="95"/>
  <c r="E14" i="95" s="1"/>
  <c r="X35" i="95" s="1"/>
  <c r="AF11" i="90"/>
  <c r="F84" i="84" s="1"/>
  <c r="AL10" i="90"/>
  <c r="J83" i="84" s="1"/>
  <c r="AC11" i="84" s="1" a="1"/>
  <c r="AC11" i="84" s="1"/>
  <c r="J16" i="83" s="1"/>
  <c r="AP16" i="83" s="1"/>
  <c r="AH7" i="91"/>
  <c r="Q80" i="84" s="1"/>
  <c r="AJ8" i="84" s="1" a="1"/>
  <c r="AJ8" i="84" s="1"/>
  <c r="S13" i="83" s="1"/>
  <c r="AW13" i="83" s="1"/>
  <c r="CT19" i="83"/>
  <c r="AB7" i="102"/>
  <c r="AD7" i="102" s="1"/>
  <c r="F44" i="84" s="1"/>
  <c r="B11" i="83"/>
  <c r="BG34" i="102"/>
  <c r="BG31" i="102"/>
  <c r="AZ16" i="113"/>
  <c r="AV32" i="113" s="1"/>
  <c r="AY17" i="113"/>
  <c r="R29" i="93"/>
  <c r="R30" i="93" s="1"/>
  <c r="R31" i="93" s="1"/>
  <c r="J41" i="93" s="1"/>
  <c r="BJ16" i="102"/>
  <c r="BF30" i="102" s="1"/>
  <c r="AH9" i="91"/>
  <c r="Q82" i="84" s="1"/>
  <c r="AJ10" i="84" s="1" a="1"/>
  <c r="AJ10" i="84" s="1"/>
  <c r="S15" i="83" s="1"/>
  <c r="AW15" i="83" s="1"/>
  <c r="AJ11" i="91"/>
  <c r="AB8" i="102"/>
  <c r="F171" i="116"/>
  <c r="DB14" i="83"/>
  <c r="AD12" i="90"/>
  <c r="AZ17" i="113"/>
  <c r="M27" i="93"/>
  <c r="AB12" i="102"/>
  <c r="D49" i="84" s="1"/>
  <c r="AH6" i="91"/>
  <c r="Q79" i="84" s="1"/>
  <c r="AJ7" i="84" s="1" a="1"/>
  <c r="AJ7" i="84" s="1"/>
  <c r="S12" i="83" s="1"/>
  <c r="AW12" i="83" s="1"/>
  <c r="AJ7" i="91"/>
  <c r="AB6" i="102"/>
  <c r="Q27" i="93"/>
  <c r="BA16" i="113"/>
  <c r="AW30" i="113" s="1"/>
  <c r="M11" i="83"/>
  <c r="AH8" i="102"/>
  <c r="J45" i="84" s="1"/>
  <c r="BK16" i="107"/>
  <c r="BG30" i="107" s="1"/>
  <c r="AD11" i="90"/>
  <c r="AH10" i="102"/>
  <c r="J47" i="84" s="1"/>
  <c r="F145" i="116"/>
  <c r="U109" i="97" a="1"/>
  <c r="U109" i="97" s="1"/>
  <c r="X49" i="97"/>
  <c r="BG58" i="102"/>
  <c r="H38" i="82"/>
  <c r="N45" i="82"/>
  <c r="V105" i="89"/>
  <c r="V107" i="89"/>
  <c r="V106" i="89"/>
  <c r="V109" i="89"/>
  <c r="V108" i="89"/>
  <c r="V60" i="88"/>
  <c r="X46" i="88" s="1"/>
  <c r="X49" i="88" s="1"/>
  <c r="X45" i="88"/>
  <c r="T94" i="88"/>
  <c r="T96" i="88" s="1"/>
  <c r="T97" i="88" s="1"/>
  <c r="BO42" i="102"/>
  <c r="BW42" i="102"/>
  <c r="P50" i="97"/>
  <c r="O50" i="97"/>
  <c r="V41" i="91"/>
  <c r="BL17" i="103"/>
  <c r="BK17" i="103"/>
  <c r="BJ17" i="103"/>
  <c r="T93" i="87"/>
  <c r="X42" i="87"/>
  <c r="V34" i="106"/>
  <c r="AB7" i="106"/>
  <c r="D56" i="84" s="1"/>
  <c r="AY17" i="99"/>
  <c r="AW17" i="99"/>
  <c r="AX17" i="99"/>
  <c r="V34" i="91"/>
  <c r="AB12" i="106"/>
  <c r="D61" i="84" s="1"/>
  <c r="AB38" i="103"/>
  <c r="AB35" i="103"/>
  <c r="O43" i="84"/>
  <c r="AB9" i="106"/>
  <c r="D58" i="84" s="1"/>
  <c r="AU32" i="99"/>
  <c r="E19" i="99" s="1"/>
  <c r="X36" i="99" s="1"/>
  <c r="AU31" i="99"/>
  <c r="E14" i="99" s="1"/>
  <c r="X35" i="99" s="1"/>
  <c r="AU33" i="99"/>
  <c r="E24" i="99" s="1"/>
  <c r="X37" i="99" s="1"/>
  <c r="AU30" i="99"/>
  <c r="E9" i="99" s="1"/>
  <c r="X34" i="99" s="1"/>
  <c r="AB8" i="91"/>
  <c r="M81" i="84" s="1"/>
  <c r="AF9" i="84" s="1" a="1"/>
  <c r="AF9" i="84" s="1"/>
  <c r="O14" i="83" s="1"/>
  <c r="AB11" i="91"/>
  <c r="M84" i="84" s="1"/>
  <c r="AF12" i="84" s="1" a="1"/>
  <c r="AF12" i="84" s="1"/>
  <c r="O17" i="83" s="1"/>
  <c r="W34" i="91"/>
  <c r="AB10" i="91"/>
  <c r="M83" i="84" s="1"/>
  <c r="AF11" i="84" s="1" a="1"/>
  <c r="AF11" i="84" s="1"/>
  <c r="O16" i="83" s="1"/>
  <c r="AB7" i="91"/>
  <c r="M80" i="84" s="1"/>
  <c r="AF8" i="84" s="1" a="1"/>
  <c r="AF8" i="84" s="1"/>
  <c r="O13" i="83" s="1"/>
  <c r="AB6" i="91"/>
  <c r="AB9" i="91"/>
  <c r="M82" i="84" s="1"/>
  <c r="AF10" i="84" s="1" a="1"/>
  <c r="AF10" i="84" s="1"/>
  <c r="O15" i="83" s="1"/>
  <c r="AB12" i="91"/>
  <c r="M85" i="84" s="1"/>
  <c r="AF13" i="84" s="1" a="1"/>
  <c r="AF13" i="84" s="1"/>
  <c r="O18" i="83" s="1"/>
  <c r="L29" i="93"/>
  <c r="L12" i="93"/>
  <c r="C12" i="93" s="1" a="1"/>
  <c r="L27" i="93"/>
  <c r="AD52" i="89"/>
  <c r="AY17" i="98"/>
  <c r="AX17" i="98"/>
  <c r="AW17" i="98"/>
  <c r="AB6" i="106"/>
  <c r="AS31" i="98"/>
  <c r="C14" i="98" s="1"/>
  <c r="AS30" i="98"/>
  <c r="AS33" i="98"/>
  <c r="C24" i="98" s="1"/>
  <c r="AS32" i="98"/>
  <c r="I61" i="97"/>
  <c r="I61" i="88"/>
  <c r="Y61" i="88"/>
  <c r="I61" i="87"/>
  <c r="Y64" i="89"/>
  <c r="J64" i="89"/>
  <c r="Y61" i="87"/>
  <c r="Y61" i="97"/>
  <c r="G33" i="82"/>
  <c r="AL9" i="91"/>
  <c r="S82" i="84" s="1"/>
  <c r="AL10" i="84" s="1" a="1"/>
  <c r="AL10" i="84" s="1"/>
  <c r="U15" i="83" s="1"/>
  <c r="AY15" i="83" s="1"/>
  <c r="AL6" i="91"/>
  <c r="W39" i="91"/>
  <c r="AL10" i="91"/>
  <c r="S83" i="84" s="1"/>
  <c r="AL11" i="84" s="1" a="1"/>
  <c r="AL11" i="84" s="1"/>
  <c r="U16" i="83" s="1"/>
  <c r="AY16" i="83" s="1"/>
  <c r="AL8" i="91"/>
  <c r="S81" i="84" s="1"/>
  <c r="AL9" i="84" s="1" a="1"/>
  <c r="AL9" i="84" s="1"/>
  <c r="U14" i="83" s="1"/>
  <c r="AY14" i="83" s="1"/>
  <c r="AL7" i="91"/>
  <c r="S80" i="84" s="1"/>
  <c r="AU31" i="113"/>
  <c r="AU30" i="113"/>
  <c r="AU33" i="113"/>
  <c r="AU32" i="113"/>
  <c r="C39" i="96"/>
  <c r="T31" i="96" a="1"/>
  <c r="T31" i="96" s="1"/>
  <c r="V35" i="106"/>
  <c r="AB8" i="106"/>
  <c r="D57" i="84" s="1"/>
  <c r="M29" i="93"/>
  <c r="K29" i="93"/>
  <c r="U95" i="88"/>
  <c r="V101" i="88" s="1"/>
  <c r="BH34" i="103"/>
  <c r="BH32" i="103"/>
  <c r="BH31" i="103"/>
  <c r="BH33" i="103"/>
  <c r="BH30" i="103"/>
  <c r="AB83" i="113"/>
  <c r="AD83" i="113"/>
  <c r="AC83" i="113"/>
  <c r="AP6" i="91"/>
  <c r="W41" i="91"/>
  <c r="AP9" i="91"/>
  <c r="AP8" i="91"/>
  <c r="AP7" i="91"/>
  <c r="BG19" i="95"/>
  <c r="BF19" i="95"/>
  <c r="BH19" i="95"/>
  <c r="V36" i="106"/>
  <c r="AB10" i="106"/>
  <c r="D59" i="84" s="1"/>
  <c r="D94" i="87"/>
  <c r="D95" i="87" s="1"/>
  <c r="M45" i="87"/>
  <c r="AD60" i="116"/>
  <c r="AE60" i="116" s="1"/>
  <c r="AF60" i="116" s="1"/>
  <c r="AE48" i="116"/>
  <c r="AF48" i="116" s="1"/>
  <c r="Q26" i="90"/>
  <c r="Q25" i="90"/>
  <c r="Q24" i="90"/>
  <c r="V38" i="90"/>
  <c r="AS30" i="99"/>
  <c r="AS33" i="99"/>
  <c r="C24" i="99" s="1"/>
  <c r="AS32" i="99"/>
  <c r="AS31" i="99"/>
  <c r="C14" i="99" s="1"/>
  <c r="O47" i="87"/>
  <c r="P47" i="87"/>
  <c r="F5" i="116"/>
  <c r="F4" i="116"/>
  <c r="F6" i="116"/>
  <c r="O5" i="116"/>
  <c r="DL24" i="83" s="1"/>
  <c r="N5" i="116"/>
  <c r="DK24" i="83" s="1"/>
  <c r="F20" i="116"/>
  <c r="T94" i="87"/>
  <c r="V60" i="87"/>
  <c r="X46" i="87" s="1"/>
  <c r="X47" i="87" s="1"/>
  <c r="X45" i="87"/>
  <c r="V40" i="90"/>
  <c r="AD53" i="89"/>
  <c r="H14" i="118"/>
  <c r="H15" i="118"/>
  <c r="H16" i="118"/>
  <c r="H17" i="118"/>
  <c r="H11" i="118"/>
  <c r="H6" i="118"/>
  <c r="H9" i="118"/>
  <c r="H18" i="118"/>
  <c r="H12" i="118"/>
  <c r="H8" i="118"/>
  <c r="H7" i="118"/>
  <c r="H10" i="118"/>
  <c r="H3" i="118"/>
  <c r="H13" i="118"/>
  <c r="V35" i="102"/>
  <c r="AF8" i="106"/>
  <c r="H57" i="84" s="1"/>
  <c r="AF9" i="106"/>
  <c r="H58" i="84" s="1"/>
  <c r="AF10" i="106"/>
  <c r="H59" i="84" s="1"/>
  <c r="W36" i="106"/>
  <c r="AF6" i="106"/>
  <c r="AF11" i="106"/>
  <c r="H60" i="84" s="1"/>
  <c r="AF7" i="106"/>
  <c r="H56" i="84" s="1"/>
  <c r="AJ9" i="90"/>
  <c r="AJ7" i="90"/>
  <c r="W38" i="90"/>
  <c r="AJ11" i="90"/>
  <c r="AJ6" i="90"/>
  <c r="AB38" i="90" s="1"/>
  <c r="AJ10" i="90"/>
  <c r="AJ8" i="90"/>
  <c r="AN6" i="90"/>
  <c r="AB40" i="90" s="1"/>
  <c r="AN8" i="90"/>
  <c r="AN7" i="90"/>
  <c r="AB41" i="90" s="1"/>
  <c r="W40" i="90"/>
  <c r="AN9" i="90"/>
  <c r="M48" i="89"/>
  <c r="E97" i="89"/>
  <c r="AI12" i="84" a="1"/>
  <c r="AI12" i="84" s="1"/>
  <c r="R17" i="83" s="1"/>
  <c r="AV17" i="83" s="1"/>
  <c r="AG11" i="84" a="1"/>
  <c r="AG11" i="84" s="1"/>
  <c r="P16" i="83" s="1"/>
  <c r="AT16" i="83" s="1"/>
  <c r="AI10" i="84" a="1"/>
  <c r="AI10" i="84" s="1"/>
  <c r="R15" i="83" s="1"/>
  <c r="AV15" i="83" s="1"/>
  <c r="AK9" i="84" a="1"/>
  <c r="AK9" i="84" s="1"/>
  <c r="T14" i="83" s="1"/>
  <c r="AX14" i="83" s="1"/>
  <c r="AF6" i="84" a="1"/>
  <c r="AF6" i="84" s="1"/>
  <c r="O11" i="83" s="1"/>
  <c r="AI5" i="84" a="1"/>
  <c r="AI5" i="84" s="1"/>
  <c r="R10" i="83" s="1"/>
  <c r="AV10" i="83" s="1"/>
  <c r="AF4" i="84" a="1"/>
  <c r="AF4" i="84" s="1"/>
  <c r="AG12" i="84" a="1"/>
  <c r="AG12" i="84" s="1"/>
  <c r="P17" i="83" s="1"/>
  <c r="AT17" i="83" s="1"/>
  <c r="AE11" i="84" a="1"/>
  <c r="AE11" i="84" s="1"/>
  <c r="N16" i="83" s="1"/>
  <c r="AR16" i="83" s="1"/>
  <c r="AG10" i="84" a="1"/>
  <c r="AG10" i="84" s="1"/>
  <c r="P15" i="83" s="1"/>
  <c r="AT15" i="83" s="1"/>
  <c r="AI9" i="84" a="1"/>
  <c r="AI9" i="84" s="1"/>
  <c r="R14" i="83" s="1"/>
  <c r="AV14" i="83" s="1"/>
  <c r="AK8" i="84" a="1"/>
  <c r="AK8" i="84" s="1"/>
  <c r="T13" i="83" s="1"/>
  <c r="AX13" i="83" s="1"/>
  <c r="AC6" i="84" a="1"/>
  <c r="AC6" i="84" s="1"/>
  <c r="J11" i="83" s="1"/>
  <c r="AE5" i="84" a="1"/>
  <c r="AE5" i="84" s="1"/>
  <c r="N10" i="83" s="1"/>
  <c r="AR10" i="83" s="1"/>
  <c r="W4" i="84" a="1"/>
  <c r="W4" i="84" s="1"/>
  <c r="X13" i="84" a="1"/>
  <c r="X13" i="84" s="1"/>
  <c r="E18" i="83" s="1"/>
  <c r="AK18" i="83" s="1"/>
  <c r="AE12" i="84" a="1"/>
  <c r="AE12" i="84" s="1"/>
  <c r="N17" i="83" s="1"/>
  <c r="AR17" i="83" s="1"/>
  <c r="X10" i="84" a="1"/>
  <c r="X10" i="84" s="1"/>
  <c r="E15" i="83" s="1"/>
  <c r="AK15" i="83" s="1"/>
  <c r="AG8" i="84" a="1"/>
  <c r="AG8" i="84" s="1"/>
  <c r="P13" i="83" s="1"/>
  <c r="AT13" i="83" s="1"/>
  <c r="AB6" i="84" a="1"/>
  <c r="AB6" i="84" s="1"/>
  <c r="I11" i="83" s="1"/>
  <c r="AO11" i="83" s="1"/>
  <c r="X5" i="84" a="1"/>
  <c r="X5" i="84" s="1"/>
  <c r="E10" i="83" s="1"/>
  <c r="AK10" i="83" s="1"/>
  <c r="AG9" i="84" a="1"/>
  <c r="AG9" i="84" s="1"/>
  <c r="P14" i="83" s="1"/>
  <c r="AT14" i="83" s="1"/>
  <c r="AL13" i="84" a="1"/>
  <c r="AL13" i="84" s="1"/>
  <c r="V11" i="84" a="1"/>
  <c r="V11" i="84" s="1"/>
  <c r="C16" i="83" s="1"/>
  <c r="AI16" i="83" s="1"/>
  <c r="Z7" i="84" a="1"/>
  <c r="Z7" i="84" s="1"/>
  <c r="G12" i="83" s="1"/>
  <c r="AM12" i="83" s="1"/>
  <c r="Y6" i="84" a="1"/>
  <c r="Y6" i="84" s="1"/>
  <c r="F11" i="83" s="1"/>
  <c r="AK13" i="84" a="1"/>
  <c r="AK13" i="84" s="1"/>
  <c r="X12" i="84" a="1"/>
  <c r="X12" i="84" s="1"/>
  <c r="E17" i="83" s="1"/>
  <c r="AK17" i="83" s="1"/>
  <c r="AI11" i="84" a="1"/>
  <c r="AI11" i="84" s="1"/>
  <c r="R16" i="83" s="1"/>
  <c r="AV16" i="83" s="1"/>
  <c r="AB8" i="84" a="1"/>
  <c r="AB8" i="84" s="1"/>
  <c r="I13" i="83" s="1"/>
  <c r="AO13" i="83" s="1"/>
  <c r="AL6" i="84" a="1"/>
  <c r="AL6" i="84" s="1"/>
  <c r="U11" i="83" s="1"/>
  <c r="X6" i="84" a="1"/>
  <c r="X6" i="84" s="1"/>
  <c r="E11" i="83" s="1"/>
  <c r="AK11" i="83" s="1"/>
  <c r="Z12" i="84" a="1"/>
  <c r="Z12" i="84" s="1"/>
  <c r="G17" i="83" s="1"/>
  <c r="AM17" i="83" s="1"/>
  <c r="AB9" i="84" a="1"/>
  <c r="AB9" i="84" s="1"/>
  <c r="I14" i="83" s="1"/>
  <c r="AO14" i="83" s="1"/>
  <c r="AL8" i="84" a="1"/>
  <c r="AL8" i="84" s="1"/>
  <c r="U13" i="83" s="1"/>
  <c r="AY13" i="83" s="1"/>
  <c r="AB7" i="84" a="1"/>
  <c r="AB7" i="84" s="1"/>
  <c r="I12" i="83" s="1"/>
  <c r="AO12" i="83" s="1"/>
  <c r="AK6" i="84" a="1"/>
  <c r="AK6" i="84" s="1"/>
  <c r="T11" i="83" s="1"/>
  <c r="AX11" i="83" s="1"/>
  <c r="AG5" i="84" a="1"/>
  <c r="AG5" i="84" s="1"/>
  <c r="P10" i="83" s="1"/>
  <c r="AT10" i="83" s="1"/>
  <c r="AE13" i="84" a="1"/>
  <c r="AE13" i="84" s="1"/>
  <c r="N18" i="83" s="1"/>
  <c r="AR18" i="83" s="1"/>
  <c r="AJ6" i="84" a="1"/>
  <c r="AJ6" i="84" s="1"/>
  <c r="S11" i="83" s="1"/>
  <c r="AB5" i="84" a="1"/>
  <c r="AB5" i="84" s="1"/>
  <c r="I10" i="83" s="1"/>
  <c r="AO10" i="83" s="1"/>
  <c r="V13" i="84" a="1"/>
  <c r="V13" i="84" s="1"/>
  <c r="C18" i="83" s="1"/>
  <c r="AI18" i="83" s="1"/>
  <c r="X7" i="84" a="1"/>
  <c r="X7" i="84" s="1"/>
  <c r="E12" i="83" s="1"/>
  <c r="AK12" i="83" s="1"/>
  <c r="AB11" i="84" a="1"/>
  <c r="AB11" i="84" s="1"/>
  <c r="I16" i="83" s="1"/>
  <c r="AO16" i="83" s="1"/>
  <c r="Z9" i="84" a="1"/>
  <c r="Z9" i="84" s="1"/>
  <c r="G14" i="83" s="1"/>
  <c r="AM14" i="83" s="1"/>
  <c r="AI8" i="84" a="1"/>
  <c r="AI8" i="84" s="1"/>
  <c r="R13" i="83" s="1"/>
  <c r="AV13" i="83" s="1"/>
  <c r="AI6" i="84" a="1"/>
  <c r="AI6" i="84" s="1"/>
  <c r="R11" i="83" s="1"/>
  <c r="AV11" i="83" s="1"/>
  <c r="Z5" i="84" a="1"/>
  <c r="Z5" i="84" s="1"/>
  <c r="G10" i="83" s="1"/>
  <c r="AM10" i="83" s="1"/>
  <c r="V12" i="84" a="1"/>
  <c r="V12" i="84" s="1"/>
  <c r="C17" i="83" s="1"/>
  <c r="AI17" i="83" s="1"/>
  <c r="AK10" i="84" a="1"/>
  <c r="AK10" i="84" s="1"/>
  <c r="T15" i="83" s="1"/>
  <c r="AX15" i="83" s="1"/>
  <c r="X9" i="84" a="1"/>
  <c r="X9" i="84" s="1"/>
  <c r="E14" i="83" s="1"/>
  <c r="AK14" i="83" s="1"/>
  <c r="AH6" i="84" a="1"/>
  <c r="AH6" i="84" s="1"/>
  <c r="Q11" i="83" s="1"/>
  <c r="V5" i="84" a="1"/>
  <c r="V5" i="84" s="1"/>
  <c r="C10" i="83" s="1"/>
  <c r="AI10" i="83" s="1"/>
  <c r="V7" i="84" a="1"/>
  <c r="V7" i="84" s="1"/>
  <c r="C12" i="83" s="1"/>
  <c r="AI12" i="83" s="1"/>
  <c r="Z11" i="84" a="1"/>
  <c r="Z11" i="84" s="1"/>
  <c r="G16" i="83" s="1"/>
  <c r="AM16" i="83" s="1"/>
  <c r="V9" i="84" a="1"/>
  <c r="V9" i="84" s="1"/>
  <c r="C14" i="83" s="1"/>
  <c r="AI14" i="83" s="1"/>
  <c r="AG6" i="84" a="1"/>
  <c r="AG6" i="84" s="1"/>
  <c r="P11" i="83" s="1"/>
  <c r="AT11" i="83" s="1"/>
  <c r="AE10" i="84" a="1"/>
  <c r="AE10" i="84" s="1"/>
  <c r="N15" i="83" s="1"/>
  <c r="AR15" i="83" s="1"/>
  <c r="AE8" i="84" a="1"/>
  <c r="AE8" i="84" s="1"/>
  <c r="N13" i="83" s="1"/>
  <c r="AR13" i="83" s="1"/>
  <c r="X11" i="84" a="1"/>
  <c r="X11" i="84" s="1"/>
  <c r="E16" i="83" s="1"/>
  <c r="AK16" i="83" s="1"/>
  <c r="AE6" i="84" a="1"/>
  <c r="AE6" i="84" s="1"/>
  <c r="N11" i="83" s="1"/>
  <c r="AR11" i="83" s="1"/>
  <c r="AG7" i="84" a="1"/>
  <c r="AG7" i="84" s="1"/>
  <c r="P12" i="83" s="1"/>
  <c r="AT12" i="83" s="1"/>
  <c r="V6" i="84" a="1"/>
  <c r="V6" i="84" s="1"/>
  <c r="C11" i="83" s="1"/>
  <c r="AI11" i="83" s="1"/>
  <c r="AB10" i="84" a="1"/>
  <c r="AB10" i="84" s="1"/>
  <c r="I15" i="83" s="1"/>
  <c r="AO15" i="83" s="1"/>
  <c r="AE7" i="84" a="1"/>
  <c r="AE7" i="84" s="1"/>
  <c r="N12" i="83" s="1"/>
  <c r="AR12" i="83" s="1"/>
  <c r="AK5" i="84" a="1"/>
  <c r="AK5" i="84" s="1"/>
  <c r="T10" i="83" s="1"/>
  <c r="AX10" i="83" s="1"/>
  <c r="AK11" i="84" a="1"/>
  <c r="AK11" i="84" s="1"/>
  <c r="T16" i="83" s="1"/>
  <c r="AX16" i="83" s="1"/>
  <c r="AE9" i="84" a="1"/>
  <c r="AE9" i="84" s="1"/>
  <c r="N14" i="83" s="1"/>
  <c r="AR14" i="83" s="1"/>
  <c r="V8" i="84" a="1"/>
  <c r="V8" i="84" s="1"/>
  <c r="C13" i="83" s="1"/>
  <c r="AI13" i="83" s="1"/>
  <c r="AL12" i="84" a="1"/>
  <c r="AL12" i="84" s="1"/>
  <c r="Z10" i="84" a="1"/>
  <c r="Z10" i="84" s="1"/>
  <c r="G15" i="83" s="1"/>
  <c r="AM15" i="83" s="1"/>
  <c r="AK12" i="84" a="1"/>
  <c r="AK12" i="84" s="1"/>
  <c r="V4" i="84" a="1"/>
  <c r="V4" i="84" s="1"/>
  <c r="V10" i="84" a="1"/>
  <c r="V10" i="84" s="1"/>
  <c r="C15" i="83" s="1"/>
  <c r="AI15" i="83" s="1"/>
  <c r="AE4" i="84" a="1"/>
  <c r="AE4" i="84" s="1"/>
  <c r="AJ13" i="84" a="1"/>
  <c r="AJ13" i="84" s="1"/>
  <c r="AK7" i="84" a="1"/>
  <c r="AK7" i="84" s="1"/>
  <c r="T12" i="83" s="1"/>
  <c r="AX12" i="83" s="1"/>
  <c r="X8" i="84" a="1"/>
  <c r="X8" i="84" s="1"/>
  <c r="E13" i="83" s="1"/>
  <c r="AK13" i="83" s="1"/>
  <c r="AA6" i="84" a="1"/>
  <c r="AA6" i="84" s="1"/>
  <c r="H11" i="83" s="1"/>
  <c r="AG13" i="84" a="1"/>
  <c r="AG13" i="84" s="1"/>
  <c r="P18" i="83" s="1"/>
  <c r="AT18" i="83" s="1"/>
  <c r="Z6" i="84" a="1"/>
  <c r="Z6" i="84" s="1"/>
  <c r="G11" i="83" s="1"/>
  <c r="AM11" i="83" s="1"/>
  <c r="AI13" i="84" a="1"/>
  <c r="AI13" i="84" s="1"/>
  <c r="W6" i="84" a="1"/>
  <c r="W6" i="84" s="1"/>
  <c r="D11" i="83" s="1"/>
  <c r="AI7" i="84" a="1"/>
  <c r="AI7" i="84" s="1"/>
  <c r="R12" i="83" s="1"/>
  <c r="AV12" i="83" s="1"/>
  <c r="Z8" i="84" a="1"/>
  <c r="Z8" i="84" s="1"/>
  <c r="G13" i="83" s="1"/>
  <c r="AM13" i="83" s="1"/>
  <c r="AB11" i="106"/>
  <c r="D60" i="84" s="1"/>
  <c r="M45" i="97"/>
  <c r="D94" i="97"/>
  <c r="F60" i="97"/>
  <c r="M46" i="97" s="1"/>
  <c r="F103" i="97"/>
  <c r="F102" i="97"/>
  <c r="F106" i="97"/>
  <c r="F105" i="97"/>
  <c r="F104" i="97"/>
  <c r="AZ17" i="112"/>
  <c r="AY17" i="112"/>
  <c r="BA17" i="112"/>
  <c r="BG32" i="106"/>
  <c r="BG30" i="106"/>
  <c r="BG59" i="106"/>
  <c r="BG61" i="106"/>
  <c r="V37" i="106"/>
  <c r="V34" i="90"/>
  <c r="AD50" i="89"/>
  <c r="M45" i="89"/>
  <c r="G63" i="89"/>
  <c r="M49" i="89" s="1"/>
  <c r="E96" i="89"/>
  <c r="O29" i="93"/>
  <c r="D95" i="88"/>
  <c r="D96" i="88"/>
  <c r="D97" i="88" s="1"/>
  <c r="BJ16" i="106"/>
  <c r="AH8" i="106"/>
  <c r="J57" i="84" s="1"/>
  <c r="W37" i="106"/>
  <c r="AH7" i="106"/>
  <c r="J56" i="84" s="1"/>
  <c r="AH9" i="106"/>
  <c r="J58" i="84" s="1"/>
  <c r="AH10" i="106"/>
  <c r="J59" i="84" s="1"/>
  <c r="AH6" i="106"/>
  <c r="BJ16" i="103"/>
  <c r="AB10" i="90"/>
  <c r="D83" i="84" s="1"/>
  <c r="AB9" i="90"/>
  <c r="D82" i="84" s="1"/>
  <c r="AB7" i="90"/>
  <c r="D80" i="84" s="1"/>
  <c r="AB12" i="90"/>
  <c r="D85" i="84" s="1"/>
  <c r="AB8" i="90"/>
  <c r="D81" i="84" s="1"/>
  <c r="AB11" i="90"/>
  <c r="D84" i="84" s="1"/>
  <c r="AB6" i="90"/>
  <c r="W34" i="90"/>
  <c r="BB33" i="95"/>
  <c r="C14" i="95" s="1"/>
  <c r="BB36" i="95"/>
  <c r="C27" i="95" s="1"/>
  <c r="BB35" i="95"/>
  <c r="C24" i="95" s="1"/>
  <c r="BB32" i="95"/>
  <c r="BB34" i="95"/>
  <c r="F60" i="87"/>
  <c r="M46" i="87" s="1"/>
  <c r="AD10" i="106"/>
  <c r="F59" i="84" s="1"/>
  <c r="AD8" i="106"/>
  <c r="F57" i="84" s="1"/>
  <c r="AD6" i="106"/>
  <c r="AD9" i="106"/>
  <c r="F58" i="84" s="1"/>
  <c r="AD12" i="106"/>
  <c r="F61" i="84" s="1"/>
  <c r="W35" i="106"/>
  <c r="AD11" i="106"/>
  <c r="F60" i="84" s="1"/>
  <c r="AD7" i="106"/>
  <c r="F56" i="84" s="1"/>
  <c r="AF11" i="91"/>
  <c r="O84" i="84" s="1"/>
  <c r="AH12" i="84" s="1" a="1"/>
  <c r="AH12" i="84" s="1"/>
  <c r="Q17" i="83" s="1"/>
  <c r="AU17" i="83" s="1"/>
  <c r="AF6" i="91"/>
  <c r="AF7" i="91"/>
  <c r="O80" i="84" s="1"/>
  <c r="AH8" i="84" s="1" a="1"/>
  <c r="AH8" i="84" s="1"/>
  <c r="Q13" i="83" s="1"/>
  <c r="AU13" i="83" s="1"/>
  <c r="AF9" i="91"/>
  <c r="O82" i="84" s="1"/>
  <c r="AH10" i="84" s="1" a="1"/>
  <c r="AH10" i="84" s="1"/>
  <c r="Q15" i="83" s="1"/>
  <c r="AU15" i="83" s="1"/>
  <c r="AF12" i="91"/>
  <c r="O85" i="84" s="1"/>
  <c r="AH13" i="84" s="1" a="1"/>
  <c r="AH13" i="84" s="1"/>
  <c r="Q18" i="83" s="1"/>
  <c r="AU18" i="83" s="1"/>
  <c r="W36" i="91"/>
  <c r="AF10" i="91"/>
  <c r="O83" i="84" s="1"/>
  <c r="AH11" i="84" s="1" a="1"/>
  <c r="AH11" i="84" s="1"/>
  <c r="Q16" i="83" s="1"/>
  <c r="AU16" i="83" s="1"/>
  <c r="AF8" i="91"/>
  <c r="O81" i="84" s="1"/>
  <c r="AH9" i="84" s="1" a="1"/>
  <c r="AH9" i="84" s="1"/>
  <c r="Q14" i="83" s="1"/>
  <c r="AU14" i="83" s="1"/>
  <c r="P48" i="97"/>
  <c r="O48" i="97"/>
  <c r="X36" i="90"/>
  <c r="AF10" i="90"/>
  <c r="F83" i="84" s="1"/>
  <c r="AF8" i="90"/>
  <c r="F81" i="84" s="1"/>
  <c r="AY16" i="112"/>
  <c r="BA16" i="112"/>
  <c r="BL16" i="106"/>
  <c r="D95" i="97" l="1"/>
  <c r="AC8" i="84" a="1"/>
  <c r="AC8" i="84" s="1"/>
  <c r="J13" i="83" s="1"/>
  <c r="AP13" i="83" s="1"/>
  <c r="BG60" i="106"/>
  <c r="BG33" i="106"/>
  <c r="BG58" i="106"/>
  <c r="BC35" i="94"/>
  <c r="D24" i="94" s="1"/>
  <c r="BC32" i="94"/>
  <c r="D9" i="94" s="1"/>
  <c r="E109" i="87" a="1"/>
  <c r="E109" i="87" s="1"/>
  <c r="D48" i="84"/>
  <c r="AU30" i="98"/>
  <c r="E9" i="98" s="1"/>
  <c r="X34" i="98" s="1"/>
  <c r="BC36" i="94"/>
  <c r="D27" i="94" s="1"/>
  <c r="W38" i="94" s="1"/>
  <c r="BC33" i="94"/>
  <c r="D14" i="94" s="1"/>
  <c r="AD9" i="94" s="1"/>
  <c r="F70" i="84" s="1"/>
  <c r="AU31" i="98"/>
  <c r="E14" i="98" s="1"/>
  <c r="X35" i="98" s="1"/>
  <c r="E109" i="88" a="1"/>
  <c r="E109" i="88" s="1"/>
  <c r="D111" i="88" s="1"/>
  <c r="D113" i="88" s="1"/>
  <c r="BH58" i="102"/>
  <c r="BF34" i="102"/>
  <c r="BF61" i="102"/>
  <c r="T99" i="89"/>
  <c r="T100" i="89" s="1"/>
  <c r="AC10" i="84" a="1"/>
  <c r="AC10" i="84" s="1"/>
  <c r="J15" i="83" s="1"/>
  <c r="AP15" i="83" s="1"/>
  <c r="W11" i="84" a="1"/>
  <c r="W11" i="84" s="1"/>
  <c r="D16" i="83" s="1"/>
  <c r="B16" i="83" s="1"/>
  <c r="BG32" i="107"/>
  <c r="AV33" i="113"/>
  <c r="BG31" i="107"/>
  <c r="AV30" i="113"/>
  <c r="BM39" i="113" s="1"/>
  <c r="AV31" i="113"/>
  <c r="T95" i="97"/>
  <c r="BG33" i="103"/>
  <c r="BG31" i="103"/>
  <c r="F61" i="88"/>
  <c r="V61" i="87"/>
  <c r="BG33" i="107"/>
  <c r="Y60" i="88"/>
  <c r="Y62" i="88" s="1"/>
  <c r="AA62" i="88" s="1"/>
  <c r="T98" i="89"/>
  <c r="BH33" i="102"/>
  <c r="Y12" i="84" a="1"/>
  <c r="Y12" i="84" s="1"/>
  <c r="F17" i="83" s="1"/>
  <c r="AL17" i="83" s="1"/>
  <c r="BH59" i="102"/>
  <c r="AA10" i="84" a="1"/>
  <c r="AA10" i="84" s="1"/>
  <c r="H15" i="83" s="1"/>
  <c r="AN15" i="83" s="1"/>
  <c r="Y60" i="97"/>
  <c r="Y62" i="97" s="1"/>
  <c r="AA62" i="97" s="1"/>
  <c r="BG30" i="103"/>
  <c r="BH61" i="102"/>
  <c r="BH30" i="102"/>
  <c r="BH38" i="102" s="1"/>
  <c r="BJ38" i="102" s="1"/>
  <c r="BH32" i="107"/>
  <c r="AT32" i="98"/>
  <c r="AU41" i="98" s="1"/>
  <c r="AW41" i="98" s="1"/>
  <c r="AT33" i="98"/>
  <c r="D24" i="98" s="1"/>
  <c r="AA8" i="84" a="1"/>
  <c r="AA8" i="84" s="1"/>
  <c r="H13" i="83" s="1"/>
  <c r="AN13" i="83" s="1"/>
  <c r="BH30" i="107"/>
  <c r="BH39" i="107" s="1"/>
  <c r="BJ39" i="107" s="1"/>
  <c r="T96" i="97"/>
  <c r="T97" i="97" s="1"/>
  <c r="T111" i="97" s="1"/>
  <c r="T113" i="97" s="1"/>
  <c r="AT30" i="98"/>
  <c r="BH33" i="107"/>
  <c r="AU33" i="98"/>
  <c r="E24" i="98" s="1"/>
  <c r="X37" i="98" s="1"/>
  <c r="BG32" i="103"/>
  <c r="N30" i="93"/>
  <c r="N31" i="93" s="1"/>
  <c r="F41" i="93" s="1"/>
  <c r="BF32" i="102"/>
  <c r="AA12" i="84" a="1"/>
  <c r="AA12" i="84" s="1"/>
  <c r="H17" i="83" s="1"/>
  <c r="AN17" i="83" s="1"/>
  <c r="T96" i="87"/>
  <c r="T97" i="87" s="1"/>
  <c r="T111" i="87" s="1"/>
  <c r="T113" i="87" s="1"/>
  <c r="BF33" i="102"/>
  <c r="BF59" i="102"/>
  <c r="W12" i="84" a="1"/>
  <c r="W12" i="84" s="1"/>
  <c r="D17" i="83" s="1"/>
  <c r="AJ17" i="83" s="1"/>
  <c r="L30" i="93"/>
  <c r="L31" i="93" s="1"/>
  <c r="D41" i="93" s="1"/>
  <c r="P30" i="93"/>
  <c r="P31" i="93" s="1"/>
  <c r="H41" i="93" s="1"/>
  <c r="X48" i="97"/>
  <c r="BF60" i="102"/>
  <c r="AV33" i="112"/>
  <c r="AC9" i="84" a="1"/>
  <c r="AC9" i="84" s="1"/>
  <c r="J14" i="83" s="1"/>
  <c r="AP14" i="83" s="1"/>
  <c r="AV32" i="112"/>
  <c r="X47" i="97"/>
  <c r="AV31" i="112"/>
  <c r="W10" i="84" a="1"/>
  <c r="W10" i="84" s="1"/>
  <c r="D15" i="83" s="1"/>
  <c r="B15" i="83" s="1"/>
  <c r="Q30" i="93"/>
  <c r="Q31" i="93" s="1"/>
  <c r="I41" i="93" s="1"/>
  <c r="Y8" i="84" a="1"/>
  <c r="Y8" i="84" s="1"/>
  <c r="F13" i="83" s="1"/>
  <c r="AL13" i="83" s="1"/>
  <c r="F79" i="84"/>
  <c r="AA11" i="84" a="1"/>
  <c r="AA11" i="84" s="1"/>
  <c r="H16" i="83" s="1"/>
  <c r="AN16" i="83" s="1"/>
  <c r="AB37" i="90"/>
  <c r="BF62" i="102"/>
  <c r="K30" i="93"/>
  <c r="K31" i="93" s="1"/>
  <c r="C41" i="93" s="1"/>
  <c r="BF33" i="107"/>
  <c r="AA9" i="84" a="1"/>
  <c r="AA9" i="84" s="1"/>
  <c r="H14" i="83" s="1"/>
  <c r="AN14" i="83" s="1"/>
  <c r="S5" i="86"/>
  <c r="T5" i="86" s="1"/>
  <c r="BR36" i="83" s="1"/>
  <c r="BR38" i="83" s="1"/>
  <c r="I73" i="82" s="1"/>
  <c r="K70" i="82" s="1"/>
  <c r="W13" i="84" a="1"/>
  <c r="W13" i="84" s="1"/>
  <c r="D18" i="83" s="1"/>
  <c r="B18" i="83" s="1"/>
  <c r="AD12" i="102"/>
  <c r="F49" i="84" s="1"/>
  <c r="Y13" i="84" s="1" a="1"/>
  <c r="Y13" i="84" s="1"/>
  <c r="F18" i="83" s="1"/>
  <c r="AL18" i="83" s="1"/>
  <c r="BB36" i="94"/>
  <c r="C27" i="94" s="1"/>
  <c r="Q25" i="94" s="1"/>
  <c r="BB34" i="94"/>
  <c r="BD45" i="94" s="1"/>
  <c r="BF45" i="94" s="1"/>
  <c r="BB32" i="94"/>
  <c r="BH31" i="102"/>
  <c r="BB35" i="94"/>
  <c r="BH62" i="102"/>
  <c r="BH34" i="102"/>
  <c r="BH32" i="102"/>
  <c r="J43" i="84"/>
  <c r="AC7" i="84" s="1" a="1"/>
  <c r="AC7" i="84" s="1"/>
  <c r="J12" i="83" s="1"/>
  <c r="AP12" i="83" s="1"/>
  <c r="AB39" i="90"/>
  <c r="AD9" i="102"/>
  <c r="F46" i="84" s="1"/>
  <c r="Y10" i="84" s="1" a="1"/>
  <c r="Y10" i="84" s="1"/>
  <c r="F15" i="83" s="1"/>
  <c r="AL15" i="83" s="1"/>
  <c r="O30" i="93"/>
  <c r="O31" i="93" s="1"/>
  <c r="G41" i="93" s="1"/>
  <c r="J63" i="89"/>
  <c r="J65" i="89" s="1"/>
  <c r="L65" i="89" s="1"/>
  <c r="AD10" i="102"/>
  <c r="F47" i="84" s="1"/>
  <c r="Y11" i="84" s="1" a="1"/>
  <c r="Y11" i="84" s="1"/>
  <c r="F16" i="83" s="1"/>
  <c r="AL16" i="83" s="1"/>
  <c r="Y63" i="89"/>
  <c r="Y65" i="89" s="1"/>
  <c r="AA65" i="89" s="1"/>
  <c r="BC36" i="95"/>
  <c r="D27" i="95" s="1"/>
  <c r="W38" i="95" s="1"/>
  <c r="AT31" i="99"/>
  <c r="BM36" i="99" s="1" a="1"/>
  <c r="BM36" i="99" s="1"/>
  <c r="G64" i="89"/>
  <c r="V64" i="89" s="1"/>
  <c r="AT32" i="99"/>
  <c r="BO37" i="99" s="1"/>
  <c r="BC32" i="95"/>
  <c r="BD41" i="95" s="1"/>
  <c r="BF41" i="95" s="1"/>
  <c r="AT33" i="99"/>
  <c r="BQ37" i="99" s="1"/>
  <c r="Y60" i="87"/>
  <c r="Y62" i="87" s="1"/>
  <c r="AA62" i="87" s="1"/>
  <c r="BC34" i="95"/>
  <c r="BD43" i="95" s="1"/>
  <c r="BF43" i="95" s="1"/>
  <c r="BF31" i="107"/>
  <c r="BC35" i="95"/>
  <c r="D24" i="95" s="1"/>
  <c r="D44" i="84"/>
  <c r="W8" i="84" s="1" a="1"/>
  <c r="W8" i="84" s="1"/>
  <c r="D13" i="83" s="1"/>
  <c r="B13" i="83" s="1"/>
  <c r="I60" i="88"/>
  <c r="I62" i="88" s="1"/>
  <c r="K62" i="88" s="1"/>
  <c r="BF58" i="102"/>
  <c r="BF32" i="107"/>
  <c r="I60" i="87"/>
  <c r="I62" i="87" s="1"/>
  <c r="K62" i="87" s="1"/>
  <c r="F61" i="87"/>
  <c r="BF31" i="102"/>
  <c r="X51" i="89"/>
  <c r="X50" i="89"/>
  <c r="X52" i="89"/>
  <c r="X53" i="89"/>
  <c r="D43" i="84"/>
  <c r="AB34" i="102"/>
  <c r="AD6" i="102"/>
  <c r="AB37" i="91"/>
  <c r="AW33" i="113"/>
  <c r="V61" i="88"/>
  <c r="AB36" i="102"/>
  <c r="H43" i="84"/>
  <c r="AW31" i="113"/>
  <c r="I60" i="97"/>
  <c r="I62" i="97" s="1"/>
  <c r="DJ11" i="83"/>
  <c r="DK11" i="83" s="1"/>
  <c r="DJ14" i="83"/>
  <c r="DK14" i="83" s="1"/>
  <c r="DJ10" i="83"/>
  <c r="DK10" i="83" s="1"/>
  <c r="DK4" i="83" s="1" a="1"/>
  <c r="DK4" i="83" s="1"/>
  <c r="DJ12" i="83"/>
  <c r="DK12" i="83" s="1"/>
  <c r="B2" i="115"/>
  <c r="DJ13" i="83"/>
  <c r="DK13" i="83" s="1"/>
  <c r="AN11" i="83"/>
  <c r="AU11" i="83"/>
  <c r="AL11" i="83"/>
  <c r="AJ11" i="83"/>
  <c r="H37" i="82"/>
  <c r="AY11" i="83"/>
  <c r="F37" i="82"/>
  <c r="G52" i="116" s="1"/>
  <c r="AP11" i="83"/>
  <c r="N44" i="82"/>
  <c r="AW11" i="83"/>
  <c r="AS11" i="83"/>
  <c r="F61" i="97"/>
  <c r="D96" i="97"/>
  <c r="D97" i="97" s="1"/>
  <c r="V61" i="97"/>
  <c r="AD8" i="102"/>
  <c r="F45" i="84" s="1"/>
  <c r="Y9" i="84" s="1" a="1"/>
  <c r="Y9" i="84" s="1"/>
  <c r="F14" i="83" s="1"/>
  <c r="AL14" i="83" s="1"/>
  <c r="D45" i="84"/>
  <c r="W9" i="84" s="1" a="1"/>
  <c r="W9" i="84" s="1"/>
  <c r="D14" i="83" s="1"/>
  <c r="AJ14" i="83" s="1"/>
  <c r="AW32" i="113"/>
  <c r="BQ36" i="113" s="1"/>
  <c r="M30" i="93"/>
  <c r="M31" i="93" s="1"/>
  <c r="E41" i="93" s="1"/>
  <c r="F53" i="116"/>
  <c r="F36" i="116" s="1"/>
  <c r="AB36" i="106"/>
  <c r="H55" i="84"/>
  <c r="C9" i="95"/>
  <c r="V35" i="99"/>
  <c r="W34" i="94"/>
  <c r="C19" i="98"/>
  <c r="AB34" i="91"/>
  <c r="M79" i="84"/>
  <c r="AF7" i="84" s="1" a="1"/>
  <c r="AF7" i="84" s="1"/>
  <c r="O12" i="83" s="1"/>
  <c r="AS12" i="83" s="1"/>
  <c r="D12" i="93"/>
  <c r="C12" i="93"/>
  <c r="AB34" i="106"/>
  <c r="D55" i="84"/>
  <c r="AU40" i="99"/>
  <c r="AW40" i="99" s="1"/>
  <c r="C9" i="99"/>
  <c r="AU38" i="99"/>
  <c r="AW38" i="99" s="1"/>
  <c r="AU39" i="99"/>
  <c r="AW39" i="99" s="1"/>
  <c r="BV38" i="94" a="1"/>
  <c r="BV38" i="94" s="1"/>
  <c r="V35" i="98"/>
  <c r="T95" i="87"/>
  <c r="X49" i="87"/>
  <c r="C19" i="95"/>
  <c r="M48" i="97"/>
  <c r="M18" i="83"/>
  <c r="AS18" i="83"/>
  <c r="AB37" i="106"/>
  <c r="J55" i="84"/>
  <c r="D79" i="84"/>
  <c r="AB34" i="90"/>
  <c r="M15" i="83"/>
  <c r="AS15" i="83"/>
  <c r="V35" i="95"/>
  <c r="BH58" i="106"/>
  <c r="BH30" i="106"/>
  <c r="BH33" i="106"/>
  <c r="BH60" i="106"/>
  <c r="BH32" i="106"/>
  <c r="BH31" i="106"/>
  <c r="BH59" i="106"/>
  <c r="BH61" i="106"/>
  <c r="I6" i="124"/>
  <c r="AC119" i="116"/>
  <c r="AL119" i="116" s="1"/>
  <c r="AL121" i="116" s="1"/>
  <c r="AL122" i="116" s="1"/>
  <c r="M7" i="116" s="1"/>
  <c r="J3" i="109"/>
  <c r="J3" i="106"/>
  <c r="J3" i="112"/>
  <c r="E4" i="108"/>
  <c r="I6" i="105"/>
  <c r="J3" i="98"/>
  <c r="E4" i="104"/>
  <c r="J3" i="94"/>
  <c r="J3" i="102"/>
  <c r="F91" i="82"/>
  <c r="J3" i="90"/>
  <c r="CX11" i="83"/>
  <c r="T10" i="82"/>
  <c r="CR16" i="83"/>
  <c r="CR17" i="83" s="1"/>
  <c r="AD11" i="94"/>
  <c r="F72" i="84" s="1"/>
  <c r="AD10" i="94"/>
  <c r="F71" i="84" s="1"/>
  <c r="AD8" i="94"/>
  <c r="F69" i="84" s="1"/>
  <c r="AU31" i="112"/>
  <c r="AU30" i="112"/>
  <c r="AU32" i="112"/>
  <c r="AU33" i="112"/>
  <c r="M47" i="87"/>
  <c r="V37" i="99"/>
  <c r="BK41" i="99"/>
  <c r="BK38" i="99"/>
  <c r="BK40" i="99"/>
  <c r="BK42" i="99"/>
  <c r="BK36" i="99"/>
  <c r="D9" i="99"/>
  <c r="BK37" i="99"/>
  <c r="BK39" i="99"/>
  <c r="BV43" i="94" a="1"/>
  <c r="BV43" i="94" s="1"/>
  <c r="X48" i="88"/>
  <c r="X50" i="88"/>
  <c r="X47" i="88"/>
  <c r="BF59" i="106"/>
  <c r="BF31" i="106"/>
  <c r="BF30" i="106"/>
  <c r="BF58" i="106"/>
  <c r="BF33" i="106"/>
  <c r="BF60" i="106"/>
  <c r="BF32" i="106"/>
  <c r="BF61" i="106"/>
  <c r="V37" i="98"/>
  <c r="BV42" i="95" a="1"/>
  <c r="BV42" i="95" s="1"/>
  <c r="BV38" i="95" a="1"/>
  <c r="BV38" i="95" s="1"/>
  <c r="BV40" i="95" a="1"/>
  <c r="BV40" i="95" s="1"/>
  <c r="D14" i="95"/>
  <c r="BV43" i="95" a="1"/>
  <c r="BV43" i="95" s="1"/>
  <c r="BV39" i="95" a="1"/>
  <c r="BV39" i="95" s="1"/>
  <c r="BV41" i="95" a="1"/>
  <c r="BV41" i="95" s="1"/>
  <c r="BV44" i="95" a="1"/>
  <c r="BV44" i="95" s="1"/>
  <c r="M16" i="83"/>
  <c r="AS16" i="83"/>
  <c r="E27" i="116"/>
  <c r="E25" i="116"/>
  <c r="H24" i="116"/>
  <c r="H33" i="116" s="1"/>
  <c r="G24" i="116"/>
  <c r="G33" i="116" s="1"/>
  <c r="F24" i="116"/>
  <c r="E24" i="116"/>
  <c r="G20" i="116" a="1"/>
  <c r="G20" i="116" s="1"/>
  <c r="E28" i="116"/>
  <c r="E26" i="116"/>
  <c r="E30" i="116"/>
  <c r="E29" i="116"/>
  <c r="V37" i="95"/>
  <c r="C9" i="98"/>
  <c r="D96" i="87"/>
  <c r="D97" i="87" s="1"/>
  <c r="BV39" i="94" a="1"/>
  <c r="BV39" i="94" s="1"/>
  <c r="W36" i="94"/>
  <c r="AB36" i="91"/>
  <c r="O79" i="84"/>
  <c r="AH7" i="84" s="1" a="1"/>
  <c r="AH7" i="84" s="1"/>
  <c r="Q12" i="83" s="1"/>
  <c r="AU12" i="83" s="1"/>
  <c r="M14" i="83"/>
  <c r="AS14" i="83"/>
  <c r="V35" i="94"/>
  <c r="W37" i="94"/>
  <c r="E99" i="89"/>
  <c r="E98" i="89"/>
  <c r="G104" i="89" s="1"/>
  <c r="X50" i="87"/>
  <c r="X48" i="87"/>
  <c r="D14" i="98"/>
  <c r="E109" i="97" a="1"/>
  <c r="E109" i="97" s="1"/>
  <c r="AB35" i="106"/>
  <c r="F55" i="84"/>
  <c r="M13" i="83"/>
  <c r="AS13" i="83"/>
  <c r="AB39" i="91"/>
  <c r="S79" i="84"/>
  <c r="AL7" i="84" s="1" a="1"/>
  <c r="AL7" i="84" s="1"/>
  <c r="U12" i="83" s="1"/>
  <c r="AY12" i="83" s="1"/>
  <c r="C19" i="99"/>
  <c r="V38" i="95"/>
  <c r="M17" i="83"/>
  <c r="AS17" i="83"/>
  <c r="V106" i="88"/>
  <c r="V105" i="88"/>
  <c r="V104" i="88"/>
  <c r="V102" i="88"/>
  <c r="V103" i="88"/>
  <c r="T95" i="88"/>
  <c r="C6" i="117"/>
  <c r="J3" i="113"/>
  <c r="J3" i="107"/>
  <c r="E5" i="108"/>
  <c r="J3" i="110"/>
  <c r="J3" i="103"/>
  <c r="E5" i="104"/>
  <c r="C6" i="100"/>
  <c r="J3" i="95"/>
  <c r="J3" i="91"/>
  <c r="J3" i="92"/>
  <c r="J3" i="99"/>
  <c r="T11" i="82"/>
  <c r="C7" i="118" s="1"/>
  <c r="CX15" i="83"/>
  <c r="CS16" i="83"/>
  <c r="CS17" i="83" s="1"/>
  <c r="AW31" i="112"/>
  <c r="AW30" i="112"/>
  <c r="AW33" i="112"/>
  <c r="AW32" i="112"/>
  <c r="BF33" i="103"/>
  <c r="BF34" i="103"/>
  <c r="BZ41" i="103" s="1"/>
  <c r="BF32" i="103"/>
  <c r="BF31" i="103"/>
  <c r="BF30" i="103"/>
  <c r="H33" i="118"/>
  <c r="H43" i="118"/>
  <c r="H25" i="118"/>
  <c r="H34" i="118"/>
  <c r="H44" i="118"/>
  <c r="H35" i="118"/>
  <c r="H26" i="118"/>
  <c r="H46" i="118"/>
  <c r="H37" i="118"/>
  <c r="H50" i="118"/>
  <c r="H20" i="118"/>
  <c r="H38" i="118"/>
  <c r="H48" i="118"/>
  <c r="H30" i="118"/>
  <c r="H36" i="118"/>
  <c r="H28" i="118"/>
  <c r="H41" i="118"/>
  <c r="H23" i="118"/>
  <c r="H22" i="118"/>
  <c r="H49" i="118"/>
  <c r="H21" i="118"/>
  <c r="H27" i="118"/>
  <c r="H24" i="118"/>
  <c r="H45" i="118"/>
  <c r="H32" i="118"/>
  <c r="H29" i="118"/>
  <c r="H39" i="118"/>
  <c r="H31" i="118"/>
  <c r="H47" i="118"/>
  <c r="H42" i="118"/>
  <c r="H19" i="118"/>
  <c r="H40" i="118"/>
  <c r="M50" i="97"/>
  <c r="S116" i="89" a="1"/>
  <c r="AA7" i="84" l="1" a="1"/>
  <c r="AA7" i="84" s="1"/>
  <c r="H12" i="83" s="1"/>
  <c r="AN12" i="83" s="1"/>
  <c r="D111" i="87"/>
  <c r="D113" i="87" s="1"/>
  <c r="BT40" i="94"/>
  <c r="AU40" i="98"/>
  <c r="AW40" i="98" s="1"/>
  <c r="AD12" i="94"/>
  <c r="F73" i="84" s="1"/>
  <c r="Z52" i="97" a="1"/>
  <c r="BM39" i="98" a="1"/>
  <c r="BM39" i="98" s="1"/>
  <c r="BM40" i="98" a="1"/>
  <c r="BM40" i="98" s="1"/>
  <c r="BZ39" i="94"/>
  <c r="BV40" i="94" a="1"/>
  <c r="BV40" i="94" s="1"/>
  <c r="BV41" i="94" a="1"/>
  <c r="BV41" i="94" s="1"/>
  <c r="BV44" i="94" a="1"/>
  <c r="BV44" i="94" s="1"/>
  <c r="BV42" i="94" a="1"/>
  <c r="BV42" i="94" s="1"/>
  <c r="AD6" i="94"/>
  <c r="AD7" i="94"/>
  <c r="F68" i="84" s="1"/>
  <c r="W35" i="94"/>
  <c r="AJ16" i="83"/>
  <c r="BM36" i="113"/>
  <c r="CB38" i="107"/>
  <c r="BM41" i="113"/>
  <c r="BM38" i="113"/>
  <c r="AW40" i="113"/>
  <c r="AY40" i="113" s="1"/>
  <c r="AU43" i="98"/>
  <c r="AW43" i="98" s="1"/>
  <c r="BM37" i="113"/>
  <c r="BM42" i="113"/>
  <c r="AW38" i="113"/>
  <c r="AY38" i="113" s="1"/>
  <c r="BM40" i="113"/>
  <c r="AW39" i="113"/>
  <c r="AY39" i="113" s="1"/>
  <c r="BT42" i="94"/>
  <c r="BD40" i="94"/>
  <c r="BF40" i="94" s="1"/>
  <c r="AJ15" i="83"/>
  <c r="BX39" i="102"/>
  <c r="BS40" i="113"/>
  <c r="BM41" i="98" a="1"/>
  <c r="BM41" i="98" s="1"/>
  <c r="BM37" i="98" a="1"/>
  <c r="BM37" i="98" s="1"/>
  <c r="BM36" i="98" a="1"/>
  <c r="BM36" i="98" s="1"/>
  <c r="AU42" i="98"/>
  <c r="AW42" i="98" s="1"/>
  <c r="BM42" i="98" a="1"/>
  <c r="BM42" i="98" s="1"/>
  <c r="BM38" i="98" a="1"/>
  <c r="BM38" i="98" s="1"/>
  <c r="CB38" i="102"/>
  <c r="CD36" i="103"/>
  <c r="BK41" i="98"/>
  <c r="AU38" i="98"/>
  <c r="AW38" i="98" s="1"/>
  <c r="AU39" i="98"/>
  <c r="AW39" i="98" s="1"/>
  <c r="BK36" i="98"/>
  <c r="D9" i="98"/>
  <c r="AB9" i="98" s="1"/>
  <c r="D10" i="84" s="1"/>
  <c r="BK40" i="98"/>
  <c r="BK39" i="98"/>
  <c r="BK37" i="98"/>
  <c r="BK42" i="98"/>
  <c r="BK38" i="98"/>
  <c r="BO36" i="113" a="1"/>
  <c r="BO36" i="113" s="1"/>
  <c r="BZ39" i="107"/>
  <c r="CD40" i="107"/>
  <c r="CD37" i="102"/>
  <c r="B17" i="83"/>
  <c r="BT38" i="94"/>
  <c r="BH38" i="107"/>
  <c r="BJ38" i="107" s="1"/>
  <c r="BZ40" i="94"/>
  <c r="BD43" i="94"/>
  <c r="BF43" i="94" s="1"/>
  <c r="Z52" i="88" a="1"/>
  <c r="Z52" i="88" s="1"/>
  <c r="BZ42" i="95"/>
  <c r="CD39" i="102"/>
  <c r="BH39" i="102"/>
  <c r="BJ39" i="102" s="1"/>
  <c r="BH40" i="102"/>
  <c r="BJ40" i="102" s="1"/>
  <c r="CD36" i="102"/>
  <c r="D19" i="98"/>
  <c r="AF9" i="98" s="1"/>
  <c r="H10" i="84" s="1"/>
  <c r="BQ38" i="113"/>
  <c r="CB41" i="107"/>
  <c r="AJ18" i="83"/>
  <c r="BX37" i="107"/>
  <c r="BX41" i="107"/>
  <c r="BH42" i="107"/>
  <c r="BJ42" i="107" s="1"/>
  <c r="BH41" i="107"/>
  <c r="BJ41" i="107" s="1"/>
  <c r="CB37" i="102"/>
  <c r="BH40" i="107"/>
  <c r="BJ40" i="107" s="1"/>
  <c r="BO40" i="98"/>
  <c r="CB39" i="107"/>
  <c r="BX39" i="107"/>
  <c r="CB36" i="107"/>
  <c r="CB40" i="107"/>
  <c r="BZ38" i="102"/>
  <c r="BX36" i="107"/>
  <c r="BQ37" i="113"/>
  <c r="BQ40" i="113"/>
  <c r="BQ41" i="113"/>
  <c r="BX40" i="107"/>
  <c r="BO37" i="98"/>
  <c r="BX38" i="107"/>
  <c r="BQ39" i="113"/>
  <c r="BO38" i="98"/>
  <c r="CB37" i="107"/>
  <c r="AW43" i="113"/>
  <c r="AY43" i="113" s="1"/>
  <c r="BO36" i="98"/>
  <c r="AW42" i="113"/>
  <c r="AY42" i="113" s="1"/>
  <c r="CD38" i="102"/>
  <c r="Q24" i="94"/>
  <c r="BH43" i="107"/>
  <c r="BJ43" i="107" s="1"/>
  <c r="BO41" i="98"/>
  <c r="BO39" i="98"/>
  <c r="BX42" i="107"/>
  <c r="AW41" i="113"/>
  <c r="AY41" i="113" s="1"/>
  <c r="Q26" i="94"/>
  <c r="BD42" i="94"/>
  <c r="BF42" i="94" s="1"/>
  <c r="CD40" i="102"/>
  <c r="BX36" i="102"/>
  <c r="CB40" i="102"/>
  <c r="BT43" i="94"/>
  <c r="W7" i="84" a="1"/>
  <c r="W7" i="84" s="1"/>
  <c r="D12" i="83" s="1"/>
  <c r="B12" i="83" s="1"/>
  <c r="C9" i="94"/>
  <c r="AB12" i="94" s="1"/>
  <c r="D73" i="84" s="1"/>
  <c r="BQ38" i="98"/>
  <c r="BD41" i="94"/>
  <c r="BF41" i="94" s="1"/>
  <c r="BQ40" i="98"/>
  <c r="BM40" i="99" a="1"/>
  <c r="BM40" i="99" s="1"/>
  <c r="BD44" i="94"/>
  <c r="BF44" i="94" s="1"/>
  <c r="BQ37" i="98"/>
  <c r="BQ39" i="98"/>
  <c r="BQ36" i="98"/>
  <c r="BZ39" i="95"/>
  <c r="BS39" i="113"/>
  <c r="K72" i="82"/>
  <c r="BX43" i="94"/>
  <c r="BZ42" i="94"/>
  <c r="K73" i="82"/>
  <c r="BX41" i="94"/>
  <c r="K71" i="82"/>
  <c r="M12" i="83"/>
  <c r="CD38" i="107"/>
  <c r="K67" i="82"/>
  <c r="K69" i="82"/>
  <c r="BT39" i="95"/>
  <c r="CD37" i="107"/>
  <c r="K68" i="82"/>
  <c r="BZ41" i="94"/>
  <c r="BX42" i="94"/>
  <c r="BT41" i="94"/>
  <c r="CD39" i="107"/>
  <c r="BX37" i="102"/>
  <c r="CD36" i="107"/>
  <c r="BZ37" i="102"/>
  <c r="K74" i="82"/>
  <c r="D9" i="95"/>
  <c r="AB9" i="95" s="1"/>
  <c r="M70" i="84" s="1"/>
  <c r="BT39" i="94"/>
  <c r="BZ41" i="102"/>
  <c r="C19" i="94"/>
  <c r="AF10" i="94" s="1"/>
  <c r="H71" i="84" s="1"/>
  <c r="BX38" i="102"/>
  <c r="BZ40" i="95"/>
  <c r="BT44" i="95"/>
  <c r="AJ13" i="83"/>
  <c r="BX38" i="94"/>
  <c r="BZ42" i="106"/>
  <c r="BZ39" i="102"/>
  <c r="CB36" i="102"/>
  <c r="BH42" i="102"/>
  <c r="BJ42" i="102" s="1"/>
  <c r="BX41" i="95"/>
  <c r="BZ37" i="107"/>
  <c r="CB39" i="102"/>
  <c r="BX38" i="95"/>
  <c r="BX43" i="95"/>
  <c r="BZ38" i="107"/>
  <c r="BH43" i="102"/>
  <c r="BJ43" i="102" s="1"/>
  <c r="BS39" i="112"/>
  <c r="BZ36" i="102"/>
  <c r="BX42" i="102"/>
  <c r="BZ36" i="107"/>
  <c r="BZ42" i="102"/>
  <c r="BX40" i="95"/>
  <c r="BO37" i="113" a="1"/>
  <c r="BO37" i="113" s="1"/>
  <c r="BM41" i="99" a="1"/>
  <c r="BM41" i="99" s="1"/>
  <c r="BO39" i="113" a="1"/>
  <c r="BO39" i="113" s="1"/>
  <c r="BO42" i="113" a="1"/>
  <c r="BO42" i="113" s="1"/>
  <c r="BO41" i="113" a="1"/>
  <c r="BO41" i="113" s="1"/>
  <c r="BZ41" i="95"/>
  <c r="BO40" i="113" a="1"/>
  <c r="BO40" i="113" s="1"/>
  <c r="BD44" i="95"/>
  <c r="BF44" i="95" s="1"/>
  <c r="BZ41" i="107"/>
  <c r="BH41" i="102"/>
  <c r="BJ41" i="102" s="1"/>
  <c r="BX40" i="102"/>
  <c r="BZ40" i="102"/>
  <c r="C24" i="94"/>
  <c r="BZ38" i="94"/>
  <c r="BX39" i="95"/>
  <c r="BZ40" i="107"/>
  <c r="BX42" i="95"/>
  <c r="BZ42" i="107"/>
  <c r="BM38" i="99" a="1"/>
  <c r="BM38" i="99" s="1"/>
  <c r="D19" i="95"/>
  <c r="AF11" i="95" s="1"/>
  <c r="Q72" i="84" s="1"/>
  <c r="BM39" i="99" a="1"/>
  <c r="BM39" i="99" s="1"/>
  <c r="BX41" i="102"/>
  <c r="BX40" i="94"/>
  <c r="BX39" i="94"/>
  <c r="BD45" i="95"/>
  <c r="BF45" i="95" s="1"/>
  <c r="V38" i="94"/>
  <c r="BZ38" i="95"/>
  <c r="BO38" i="113" a="1"/>
  <c r="BO38" i="113" s="1"/>
  <c r="BT44" i="94"/>
  <c r="CB41" i="102"/>
  <c r="BT40" i="95"/>
  <c r="BT38" i="95"/>
  <c r="Q23" i="95"/>
  <c r="Q24" i="95"/>
  <c r="BX39" i="106"/>
  <c r="Q25" i="95"/>
  <c r="BQ39" i="99"/>
  <c r="D19" i="99"/>
  <c r="AF8" i="99" s="1"/>
  <c r="Q9" i="84" s="1"/>
  <c r="BD42" i="95"/>
  <c r="BF42" i="95" s="1"/>
  <c r="BQ40" i="99"/>
  <c r="BO39" i="99"/>
  <c r="BQ38" i="99"/>
  <c r="BO41" i="99"/>
  <c r="BD40" i="95"/>
  <c r="BF40" i="95" s="1"/>
  <c r="AU41" i="99"/>
  <c r="AW41" i="99" s="1"/>
  <c r="BS37" i="113"/>
  <c r="D24" i="99"/>
  <c r="W37" i="99" s="1"/>
  <c r="BO40" i="99"/>
  <c r="BM42" i="99" a="1"/>
  <c r="BM42" i="99" s="1"/>
  <c r="T31" i="93" a="1"/>
  <c r="T31" i="93" s="1"/>
  <c r="AU43" i="99"/>
  <c r="AW43" i="99" s="1"/>
  <c r="BS36" i="113"/>
  <c r="BQ36" i="99"/>
  <c r="BO38" i="99"/>
  <c r="BM37" i="99" a="1"/>
  <c r="BM37" i="99" s="1"/>
  <c r="BT43" i="95"/>
  <c r="BT41" i="95"/>
  <c r="BT42" i="95"/>
  <c r="AU42" i="99"/>
  <c r="AW42" i="99" s="1"/>
  <c r="BS38" i="113"/>
  <c r="BO36" i="99"/>
  <c r="D14" i="99"/>
  <c r="AD8" i="99" s="1"/>
  <c r="O9" i="84" s="1"/>
  <c r="D111" i="97"/>
  <c r="D113" i="97" s="1"/>
  <c r="BQ36" i="112"/>
  <c r="BM42" i="112"/>
  <c r="BZ38" i="103"/>
  <c r="B14" i="83"/>
  <c r="BO41" i="112" a="1"/>
  <c r="BO41" i="112" s="1"/>
  <c r="BX36" i="103"/>
  <c r="AB35" i="102"/>
  <c r="AB38" i="102"/>
  <c r="F43" i="84"/>
  <c r="Y7" i="84" s="1" a="1"/>
  <c r="Y7" i="84" s="1"/>
  <c r="F12" i="83" s="1"/>
  <c r="AL12" i="83" s="1"/>
  <c r="K62" i="97"/>
  <c r="CD38" i="106"/>
  <c r="Z52" i="87" a="1"/>
  <c r="Z52" i="87" s="1"/>
  <c r="BS38" i="112"/>
  <c r="B3" i="115"/>
  <c r="D4" i="115"/>
  <c r="E4" i="115"/>
  <c r="B28" i="115"/>
  <c r="B30" i="115" s="1"/>
  <c r="BZ37" i="106"/>
  <c r="AL37" i="112"/>
  <c r="AL37" i="109"/>
  <c r="AO37" i="106"/>
  <c r="AP37" i="102"/>
  <c r="AS37" i="94"/>
  <c r="AI37" i="98"/>
  <c r="AS37" i="90"/>
  <c r="AS37" i="91"/>
  <c r="CT36" i="83"/>
  <c r="CY12" i="83"/>
  <c r="DC12" i="83" s="1"/>
  <c r="AB11" i="99"/>
  <c r="M12" i="84" s="1"/>
  <c r="AB10" i="99"/>
  <c r="M11" i="84" s="1"/>
  <c r="AB8" i="99"/>
  <c r="M9" i="84" s="1"/>
  <c r="AB12" i="99"/>
  <c r="M13" i="84" s="1"/>
  <c r="AB7" i="99"/>
  <c r="M8" i="84" s="1"/>
  <c r="AB9" i="99"/>
  <c r="M10" i="84" s="1"/>
  <c r="W34" i="99"/>
  <c r="AB6" i="99"/>
  <c r="BH41" i="106"/>
  <c r="BJ41" i="106" s="1"/>
  <c r="BH42" i="106"/>
  <c r="BJ42" i="106" s="1"/>
  <c r="BH43" i="106"/>
  <c r="BJ43" i="106" s="1"/>
  <c r="CD37" i="103"/>
  <c r="BX37" i="106"/>
  <c r="V36" i="99"/>
  <c r="CB37" i="106"/>
  <c r="BX40" i="106"/>
  <c r="BM37" i="112"/>
  <c r="BO36" i="112" a="1"/>
  <c r="BO36" i="112" s="1"/>
  <c r="I7" i="124"/>
  <c r="P44" i="124"/>
  <c r="P48" i="124"/>
  <c r="Z52" i="97"/>
  <c r="AA52" i="97"/>
  <c r="BX38" i="106"/>
  <c r="BM36" i="112"/>
  <c r="BX40" i="103"/>
  <c r="BO40" i="112" a="1"/>
  <c r="BO40" i="112" s="1"/>
  <c r="CD40" i="103"/>
  <c r="BS37" i="112"/>
  <c r="CD38" i="103"/>
  <c r="BQ37" i="112"/>
  <c r="BM40" i="112"/>
  <c r="CB38" i="106"/>
  <c r="AL36" i="113"/>
  <c r="AL36" i="110"/>
  <c r="AO36" i="107"/>
  <c r="AP36" i="103"/>
  <c r="AS36" i="92"/>
  <c r="AI36" i="99"/>
  <c r="AS36" i="95"/>
  <c r="CX16" i="83"/>
  <c r="DB16" i="83" s="1"/>
  <c r="CS20" i="83"/>
  <c r="CS37" i="83" s="1"/>
  <c r="CS19" i="83"/>
  <c r="CS36" i="83" s="1"/>
  <c r="BX41" i="106"/>
  <c r="W21" i="102"/>
  <c r="U29" i="102"/>
  <c r="BM41" i="112"/>
  <c r="BZ40" i="103"/>
  <c r="BO42" i="112" a="1"/>
  <c r="BO42" i="112" s="1"/>
  <c r="BH41" i="103"/>
  <c r="BJ41" i="103" s="1"/>
  <c r="BH43" i="103"/>
  <c r="BJ43" i="103" s="1"/>
  <c r="BH42" i="103"/>
  <c r="BJ42" i="103" s="1"/>
  <c r="CB39" i="103"/>
  <c r="CB38" i="103"/>
  <c r="BM38" i="112"/>
  <c r="BO38" i="112" a="1"/>
  <c r="BO38" i="112" s="1"/>
  <c r="CY14" i="83"/>
  <c r="DC14" i="83" s="1"/>
  <c r="DB15" i="83"/>
  <c r="W21" i="94"/>
  <c r="U29" i="94"/>
  <c r="BX38" i="103"/>
  <c r="BO37" i="112" a="1"/>
  <c r="BO37" i="112" s="1"/>
  <c r="CB36" i="103"/>
  <c r="CB41" i="106"/>
  <c r="AL36" i="112"/>
  <c r="AO36" i="106"/>
  <c r="AL36" i="109"/>
  <c r="AP36" i="102"/>
  <c r="AS36" i="91"/>
  <c r="AI36" i="98"/>
  <c r="AS36" i="94"/>
  <c r="CX12" i="83"/>
  <c r="DB12" i="83" s="1"/>
  <c r="AS36" i="90"/>
  <c r="CR19" i="83"/>
  <c r="CR36" i="83" s="1"/>
  <c r="CR20" i="83"/>
  <c r="CR37" i="83" s="1"/>
  <c r="V34" i="99"/>
  <c r="CY10" i="83"/>
  <c r="DC10" i="83" s="1"/>
  <c r="DB11" i="83"/>
  <c r="C17" i="118"/>
  <c r="BZ36" i="106"/>
  <c r="AD12" i="98"/>
  <c r="F13" i="84" s="1"/>
  <c r="AD8" i="98"/>
  <c r="F9" i="84" s="1"/>
  <c r="AD10" i="98"/>
  <c r="F11" i="84" s="1"/>
  <c r="AD7" i="98"/>
  <c r="F8" i="84" s="1"/>
  <c r="AD6" i="98"/>
  <c r="AD11" i="98"/>
  <c r="F12" i="84" s="1"/>
  <c r="W35" i="98"/>
  <c r="AD9" i="98"/>
  <c r="F10" i="84" s="1"/>
  <c r="F4" i="104"/>
  <c r="BX37" i="103"/>
  <c r="BO39" i="112" a="1"/>
  <c r="BO39" i="112" s="1"/>
  <c r="V34" i="98"/>
  <c r="BZ36" i="103"/>
  <c r="CB36" i="106"/>
  <c r="CD39" i="103"/>
  <c r="W35" i="95"/>
  <c r="AD7" i="95"/>
  <c r="O68" i="84" s="1"/>
  <c r="AD9" i="95"/>
  <c r="O70" i="84" s="1"/>
  <c r="AD12" i="95"/>
  <c r="O73" i="84" s="1"/>
  <c r="AD11" i="95"/>
  <c r="O72" i="84" s="1"/>
  <c r="AD10" i="95"/>
  <c r="O71" i="84" s="1"/>
  <c r="AD8" i="95"/>
  <c r="O69" i="84" s="1"/>
  <c r="AD6" i="95"/>
  <c r="W21" i="98"/>
  <c r="U29" i="98"/>
  <c r="Y36" i="98" s="1"/>
  <c r="BZ37" i="103"/>
  <c r="M8" i="116"/>
  <c r="O27" i="83" s="1"/>
  <c r="AN6" i="102"/>
  <c r="AN14" i="102" s="1"/>
  <c r="O26" i="83"/>
  <c r="O36" i="83" s="1"/>
  <c r="O38" i="83" s="1"/>
  <c r="F7" i="116"/>
  <c r="BX42" i="103"/>
  <c r="U29" i="103"/>
  <c r="U29" i="107"/>
  <c r="AW42" i="112"/>
  <c r="AY42" i="112" s="1"/>
  <c r="AW41" i="112"/>
  <c r="AY41" i="112" s="1"/>
  <c r="AW43" i="112"/>
  <c r="AY43" i="112" s="1"/>
  <c r="BQ38" i="112"/>
  <c r="U29" i="113"/>
  <c r="CB39" i="106"/>
  <c r="CD36" i="106"/>
  <c r="P44" i="105"/>
  <c r="I7" i="105"/>
  <c r="P48" i="105"/>
  <c r="BX39" i="103"/>
  <c r="AB35" i="94"/>
  <c r="F67" i="84"/>
  <c r="BS40" i="112"/>
  <c r="BQ40" i="112"/>
  <c r="BS36" i="112"/>
  <c r="C6" i="118"/>
  <c r="S9" i="82" a="1"/>
  <c r="S9" i="82" s="1"/>
  <c r="T19" i="82"/>
  <c r="C18" i="118" s="1"/>
  <c r="T13" i="82"/>
  <c r="U109" i="88" a="1"/>
  <c r="U109" i="88" s="1"/>
  <c r="T111" i="88" s="1"/>
  <c r="T113" i="88" s="1"/>
  <c r="U29" i="99"/>
  <c r="Y36" i="99" s="1"/>
  <c r="BZ41" i="106"/>
  <c r="BZ40" i="106"/>
  <c r="W21" i="92"/>
  <c r="U29" i="92"/>
  <c r="BZ39" i="106"/>
  <c r="CD40" i="106"/>
  <c r="F4" i="108"/>
  <c r="BZ39" i="103"/>
  <c r="W21" i="109"/>
  <c r="U29" i="109"/>
  <c r="CB41" i="103"/>
  <c r="G105" i="89"/>
  <c r="G107" i="89"/>
  <c r="G106" i="89"/>
  <c r="G109" i="89"/>
  <c r="G108" i="89"/>
  <c r="G111" i="89"/>
  <c r="G110" i="89"/>
  <c r="W21" i="110"/>
  <c r="U29" i="110"/>
  <c r="BH40" i="106"/>
  <c r="BJ40" i="106" s="1"/>
  <c r="BH38" i="106"/>
  <c r="BJ38" i="106" s="1"/>
  <c r="BH39" i="106"/>
  <c r="BJ39" i="106" s="1"/>
  <c r="V36" i="95"/>
  <c r="F34" i="116"/>
  <c r="F37" i="116" s="1"/>
  <c r="F33" i="116"/>
  <c r="BQ39" i="112"/>
  <c r="BX36" i="106"/>
  <c r="BQ41" i="112"/>
  <c r="W80" i="93"/>
  <c r="W82" i="93" s="1"/>
  <c r="U29" i="90"/>
  <c r="W21" i="90"/>
  <c r="U116" i="89"/>
  <c r="V116" i="89"/>
  <c r="T116" i="89"/>
  <c r="S116" i="89"/>
  <c r="AL37" i="113"/>
  <c r="AL37" i="110"/>
  <c r="AP37" i="103"/>
  <c r="AS37" i="95"/>
  <c r="AI37" i="99"/>
  <c r="CY16" i="83"/>
  <c r="DC16" i="83" s="1"/>
  <c r="AS37" i="92"/>
  <c r="AO37" i="107"/>
  <c r="CU36" i="83"/>
  <c r="BH38" i="103"/>
  <c r="BJ38" i="103" s="1"/>
  <c r="BH39" i="103"/>
  <c r="BJ39" i="103" s="1"/>
  <c r="BH40" i="103"/>
  <c r="BJ40" i="103" s="1"/>
  <c r="W21" i="91"/>
  <c r="U29" i="91"/>
  <c r="BZ38" i="106"/>
  <c r="CD39" i="106"/>
  <c r="W23" i="112"/>
  <c r="U29" i="112"/>
  <c r="BX41" i="103"/>
  <c r="CB40" i="103"/>
  <c r="D124" i="89" a="1"/>
  <c r="D124" i="89" s="1"/>
  <c r="D123" i="89"/>
  <c r="D120" i="89"/>
  <c r="BZ42" i="103"/>
  <c r="AH7" i="95"/>
  <c r="S68" i="84" s="1"/>
  <c r="AH6" i="95"/>
  <c r="AH9" i="95"/>
  <c r="S70" i="84" s="1"/>
  <c r="AH10" i="95"/>
  <c r="S71" i="84" s="1"/>
  <c r="W37" i="95"/>
  <c r="AH8" i="95"/>
  <c r="S69" i="84" s="1"/>
  <c r="AW38" i="112"/>
  <c r="AY38" i="112" s="1"/>
  <c r="AW40" i="112"/>
  <c r="AY40" i="112" s="1"/>
  <c r="AW39" i="112"/>
  <c r="AY39" i="112" s="1"/>
  <c r="CB40" i="106"/>
  <c r="W37" i="98"/>
  <c r="AH8" i="98"/>
  <c r="J9" i="84" s="1"/>
  <c r="AH6" i="98"/>
  <c r="AH10" i="98"/>
  <c r="J11" i="84" s="1"/>
  <c r="AH9" i="98"/>
  <c r="J10" i="84" s="1"/>
  <c r="AH7" i="98"/>
  <c r="J8" i="84" s="1"/>
  <c r="V34" i="95"/>
  <c r="BX42" i="106"/>
  <c r="BM39" i="112"/>
  <c r="V36" i="98"/>
  <c r="CD37" i="106"/>
  <c r="W21" i="95"/>
  <c r="U29" i="95"/>
  <c r="Y36" i="95" s="1"/>
  <c r="W21" i="106"/>
  <c r="U29" i="106"/>
  <c r="CB37" i="103"/>
  <c r="W34" i="98" l="1"/>
  <c r="Y34" i="94"/>
  <c r="Z34" i="94" s="1"/>
  <c r="AB10" i="98"/>
  <c r="D11" i="84" s="1"/>
  <c r="AB6" i="98"/>
  <c r="AB7" i="98"/>
  <c r="D8" i="84" s="1"/>
  <c r="AB8" i="98"/>
  <c r="D9" i="84" s="1"/>
  <c r="W36" i="98"/>
  <c r="Z36" i="98" s="1"/>
  <c r="AB12" i="98"/>
  <c r="D13" i="84" s="1"/>
  <c r="AB11" i="98"/>
  <c r="D12" i="84" s="1"/>
  <c r="AF10" i="98"/>
  <c r="H11" i="84" s="1"/>
  <c r="AF6" i="98"/>
  <c r="AB36" i="98" s="1"/>
  <c r="AF11" i="98"/>
  <c r="H12" i="84" s="1"/>
  <c r="AA52" i="88"/>
  <c r="V63" i="88" s="1"/>
  <c r="V64" i="88" s="1"/>
  <c r="Y64" i="88" s="1"/>
  <c r="Y65" i="88" s="1"/>
  <c r="DV23" i="83" s="1"/>
  <c r="Y34" i="98"/>
  <c r="AA34" i="98" s="1"/>
  <c r="AF8" i="98"/>
  <c r="H9" i="84" s="1"/>
  <c r="AF7" i="98"/>
  <c r="H8" i="84" s="1"/>
  <c r="AB6" i="94"/>
  <c r="AB34" i="94" s="1"/>
  <c r="AB11" i="94"/>
  <c r="D72" i="84" s="1"/>
  <c r="V36" i="94"/>
  <c r="AB12" i="95"/>
  <c r="M73" i="84" s="1"/>
  <c r="AB8" i="94"/>
  <c r="D69" i="84" s="1"/>
  <c r="AJ12" i="83"/>
  <c r="W34" i="95"/>
  <c r="AB11" i="95"/>
  <c r="M72" i="84" s="1"/>
  <c r="AB7" i="94"/>
  <c r="D68" i="84" s="1"/>
  <c r="AF9" i="94"/>
  <c r="H70" i="84" s="1"/>
  <c r="AB6" i="95"/>
  <c r="M67" i="84" s="1"/>
  <c r="AB8" i="95"/>
  <c r="M69" i="84" s="1"/>
  <c r="AB10" i="95"/>
  <c r="M71" i="84" s="1"/>
  <c r="AF7" i="94"/>
  <c r="H68" i="84" s="1"/>
  <c r="AB10" i="94"/>
  <c r="D71" i="84" s="1"/>
  <c r="AB9" i="94"/>
  <c r="D70" i="84" s="1"/>
  <c r="AB7" i="95"/>
  <c r="M68" i="84" s="1"/>
  <c r="AF6" i="94"/>
  <c r="H67" i="84" s="1"/>
  <c r="V34" i="94"/>
  <c r="AF8" i="94"/>
  <c r="H69" i="84" s="1"/>
  <c r="AF7" i="99"/>
  <c r="Q8" i="84" s="1"/>
  <c r="AH7" i="99"/>
  <c r="S8" i="84" s="1"/>
  <c r="AF9" i="99"/>
  <c r="Q10" i="84" s="1"/>
  <c r="AF7" i="95"/>
  <c r="Q68" i="84" s="1"/>
  <c r="AF11" i="99"/>
  <c r="Q12" i="84" s="1"/>
  <c r="W36" i="99"/>
  <c r="Z36" i="99" s="1"/>
  <c r="AF10" i="99"/>
  <c r="Q11" i="84" s="1"/>
  <c r="AF11" i="94"/>
  <c r="H72" i="84" s="1"/>
  <c r="AF10" i="95"/>
  <c r="Q71" i="84" s="1"/>
  <c r="AF6" i="95"/>
  <c r="Q67" i="84" s="1"/>
  <c r="AF9" i="95"/>
  <c r="Q70" i="84" s="1"/>
  <c r="AF8" i="95"/>
  <c r="Q69" i="84" s="1"/>
  <c r="AD11" i="99"/>
  <c r="O12" i="84" s="1"/>
  <c r="AH7" i="94"/>
  <c r="J68" i="84" s="1"/>
  <c r="AH9" i="94"/>
  <c r="J70" i="84" s="1"/>
  <c r="AH8" i="94"/>
  <c r="J69" i="84" s="1"/>
  <c r="AH6" i="94"/>
  <c r="AH10" i="94"/>
  <c r="J71" i="84" s="1"/>
  <c r="V37" i="94"/>
  <c r="W36" i="95"/>
  <c r="AA36" i="95" s="1"/>
  <c r="Y34" i="95"/>
  <c r="AF6" i="99"/>
  <c r="AB36" i="99" s="1"/>
  <c r="AD9" i="99"/>
  <c r="O10" i="84" s="1"/>
  <c r="AH9" i="99"/>
  <c r="S10" i="84" s="1"/>
  <c r="W35" i="99"/>
  <c r="AD6" i="99"/>
  <c r="O7" i="84" s="1"/>
  <c r="AH8" i="99"/>
  <c r="S9" i="84" s="1"/>
  <c r="AD12" i="99"/>
  <c r="O13" i="84" s="1"/>
  <c r="AH10" i="99"/>
  <c r="S11" i="84" s="1"/>
  <c r="AH6" i="99"/>
  <c r="S7" i="84" s="1"/>
  <c r="AD10" i="99"/>
  <c r="O11" i="84" s="1"/>
  <c r="T118" i="89"/>
  <c r="T120" i="89" s="1"/>
  <c r="AD7" i="99"/>
  <c r="O8" i="84" s="1"/>
  <c r="E123" i="89"/>
  <c r="AA52" i="87"/>
  <c r="V63" i="87" s="1"/>
  <c r="V64" i="87" s="1"/>
  <c r="Y64" i="87" s="1"/>
  <c r="Y65" i="87" s="1"/>
  <c r="DV29" i="83" s="1"/>
  <c r="Z54" i="115" a="1"/>
  <c r="Z54" i="115" s="1"/>
  <c r="G48" i="118" s="1"/>
  <c r="Z30" i="115" a="1"/>
  <c r="Z30" i="115" s="1"/>
  <c r="G24" i="118" s="1"/>
  <c r="Z38" i="115" a="1"/>
  <c r="Z38" i="115" s="1"/>
  <c r="G32" i="118" s="1"/>
  <c r="Z60" i="115" a="1"/>
  <c r="Z60" i="115" s="1"/>
  <c r="Z13" i="115" a="1"/>
  <c r="Z13" i="115" s="1"/>
  <c r="G7" i="118" s="1"/>
  <c r="Z84" i="115" a="1"/>
  <c r="Z84" i="115" s="1"/>
  <c r="Z67" i="115" a="1"/>
  <c r="Z67" i="115" s="1"/>
  <c r="Z76" i="115" a="1"/>
  <c r="Z76" i="115" s="1"/>
  <c r="Z43" i="115" a="1"/>
  <c r="Z43" i="115" s="1"/>
  <c r="G37" i="118" s="1"/>
  <c r="Z14" i="115" a="1"/>
  <c r="Z14" i="115" s="1"/>
  <c r="G8" i="118" s="1"/>
  <c r="Z78" i="115" a="1"/>
  <c r="Z78" i="115" s="1"/>
  <c r="Z9" i="115" a="1"/>
  <c r="Z9" i="115" s="1"/>
  <c r="Z17" i="115" a="1"/>
  <c r="Z17" i="115" s="1"/>
  <c r="G11" i="118" s="1"/>
  <c r="Z11" i="115" a="1"/>
  <c r="Z11" i="115" s="1"/>
  <c r="Z32" i="115" a="1"/>
  <c r="Z32" i="115" s="1"/>
  <c r="G26" i="118" s="1"/>
  <c r="Z73" i="115" a="1"/>
  <c r="Z73" i="115" s="1"/>
  <c r="Z49" i="115" a="1"/>
  <c r="Z49" i="115" s="1"/>
  <c r="G43" i="118" s="1"/>
  <c r="Z51" i="115" a="1"/>
  <c r="Z51" i="115" s="1"/>
  <c r="G45" i="118" s="1"/>
  <c r="Z68" i="115" a="1"/>
  <c r="Z68" i="115" s="1"/>
  <c r="Z41" i="115" a="1"/>
  <c r="Z41" i="115" s="1"/>
  <c r="G35" i="118" s="1"/>
  <c r="Z36" i="115" a="1"/>
  <c r="Z36" i="115" s="1"/>
  <c r="G30" i="118" s="1"/>
  <c r="Z61" i="115" a="1"/>
  <c r="Z61" i="115" s="1"/>
  <c r="Z23" i="115" a="1"/>
  <c r="Z23" i="115" s="1"/>
  <c r="G17" i="118" s="1"/>
  <c r="Z20" i="115" a="1"/>
  <c r="Z20" i="115" s="1"/>
  <c r="G14" i="118" s="1"/>
  <c r="Z25" i="115" a="1"/>
  <c r="Z25" i="115" s="1"/>
  <c r="G19" i="118" s="1"/>
  <c r="Z8" i="115" a="1"/>
  <c r="Z8" i="115" s="1"/>
  <c r="Z16" i="115" a="1"/>
  <c r="Z16" i="115" s="1"/>
  <c r="G10" i="118" s="1"/>
  <c r="Z3" i="115" a="1"/>
  <c r="Z3" i="115" s="1"/>
  <c r="Z46" i="115" a="1"/>
  <c r="Z46" i="115" s="1"/>
  <c r="G40" i="118" s="1"/>
  <c r="Z70" i="115" a="1"/>
  <c r="Z70" i="115" s="1"/>
  <c r="Z65" i="115" a="1"/>
  <c r="Z65" i="115" s="1"/>
  <c r="Z12" i="115" a="1"/>
  <c r="Z12" i="115" s="1"/>
  <c r="G6" i="118" s="1"/>
  <c r="Z58" i="115" a="1"/>
  <c r="Z58" i="115" s="1"/>
  <c r="Z15" i="115" a="1"/>
  <c r="Z15" i="115" s="1"/>
  <c r="G9" i="118" s="1"/>
  <c r="Z35" i="115" a="1"/>
  <c r="Z35" i="115" s="1"/>
  <c r="G29" i="118" s="1"/>
  <c r="Z22" i="115" a="1"/>
  <c r="Z22" i="115" s="1"/>
  <c r="G16" i="118" s="1"/>
  <c r="Z29" i="115" a="1"/>
  <c r="Z29" i="115" s="1"/>
  <c r="G23" i="118" s="1"/>
  <c r="Z55" i="115" a="1"/>
  <c r="Z55" i="115" s="1"/>
  <c r="G49" i="118" s="1"/>
  <c r="Z75" i="115" a="1"/>
  <c r="Z75" i="115" s="1"/>
  <c r="Z44" i="115" a="1"/>
  <c r="Z44" i="115" s="1"/>
  <c r="G38" i="118" s="1"/>
  <c r="Z77" i="115" a="1"/>
  <c r="Z77" i="115" s="1"/>
  <c r="Z34" i="115" a="1"/>
  <c r="Z34" i="115" s="1"/>
  <c r="G28" i="118" s="1"/>
  <c r="Z28" i="115" a="1"/>
  <c r="Z28" i="115" s="1"/>
  <c r="G22" i="118" s="1"/>
  <c r="Z82" i="115" a="1"/>
  <c r="Z82" i="115" s="1"/>
  <c r="Z63" i="115" a="1"/>
  <c r="Z63" i="115" s="1"/>
  <c r="Z39" i="115" a="1"/>
  <c r="Z39" i="115" s="1"/>
  <c r="G33" i="118" s="1"/>
  <c r="Z69" i="115" a="1"/>
  <c r="Z69" i="115" s="1"/>
  <c r="Z45" i="115" a="1"/>
  <c r="Z45" i="115" s="1"/>
  <c r="G39" i="118" s="1"/>
  <c r="Z64" i="115" a="1"/>
  <c r="Z64" i="115" s="1"/>
  <c r="Z7" i="115" a="1"/>
  <c r="Z7" i="115" s="1"/>
  <c r="Z48" i="115" a="1"/>
  <c r="Z48" i="115" s="1"/>
  <c r="G42" i="118" s="1"/>
  <c r="Z33" i="115" a="1"/>
  <c r="Z33" i="115" s="1"/>
  <c r="G27" i="118" s="1"/>
  <c r="Z74" i="115" a="1"/>
  <c r="Z74" i="115" s="1"/>
  <c r="Z40" i="115" a="1"/>
  <c r="Z40" i="115" s="1"/>
  <c r="G34" i="118" s="1"/>
  <c r="Z79" i="115" a="1"/>
  <c r="Z79" i="115" s="1"/>
  <c r="B31" i="115" a="1"/>
  <c r="B31" i="115" s="1"/>
  <c r="Z59" i="115" a="1"/>
  <c r="Z59" i="115" s="1"/>
  <c r="Z53" i="115" a="1"/>
  <c r="Z53" i="115" s="1"/>
  <c r="G47" i="118" s="1"/>
  <c r="Z72" i="115" a="1"/>
  <c r="Z72" i="115" s="1"/>
  <c r="Z4" i="115" a="1"/>
  <c r="Z4" i="115" s="1"/>
  <c r="Z81" i="115" a="1"/>
  <c r="Z81" i="115" s="1"/>
  <c r="Z37" i="115" a="1"/>
  <c r="Z37" i="115" s="1"/>
  <c r="G31" i="118" s="1"/>
  <c r="Z21" i="115" a="1"/>
  <c r="Z21" i="115" s="1"/>
  <c r="G15" i="118" s="1"/>
  <c r="Z26" i="115" a="1"/>
  <c r="Z26" i="115" s="1"/>
  <c r="G20" i="118" s="1"/>
  <c r="Z62" i="115" a="1"/>
  <c r="Z62" i="115" s="1"/>
  <c r="Z42" i="115" a="1"/>
  <c r="Z42" i="115" s="1"/>
  <c r="G36" i="118" s="1"/>
  <c r="Z71" i="115" a="1"/>
  <c r="Z71" i="115" s="1"/>
  <c r="Z24" i="115" a="1"/>
  <c r="Z24" i="115" s="1"/>
  <c r="G18" i="118" s="1"/>
  <c r="Z18" i="115" a="1"/>
  <c r="Z18" i="115" s="1"/>
  <c r="G12" i="118" s="1"/>
  <c r="Z31" i="115" a="1"/>
  <c r="Z31" i="115" s="1"/>
  <c r="G25" i="118" s="1"/>
  <c r="Z57" i="115" a="1"/>
  <c r="Z57" i="115" s="1"/>
  <c r="Z47" i="115" a="1"/>
  <c r="Z47" i="115" s="1"/>
  <c r="G41" i="118" s="1"/>
  <c r="Z83" i="115" a="1"/>
  <c r="Z83" i="115" s="1"/>
  <c r="Z80" i="115" a="1"/>
  <c r="Z80" i="115" s="1"/>
  <c r="Z56" i="115" a="1"/>
  <c r="Z56" i="115" s="1"/>
  <c r="G50" i="118" s="1"/>
  <c r="Z6" i="115" a="1"/>
  <c r="Z6" i="115" s="1"/>
  <c r="Z5" i="115" a="1"/>
  <c r="Z5" i="115" s="1"/>
  <c r="Z10" i="115" a="1"/>
  <c r="Z10" i="115" s="1"/>
  <c r="Z52" i="115" a="1"/>
  <c r="Z52" i="115" s="1"/>
  <c r="G46" i="118" s="1"/>
  <c r="Z19" i="115" a="1"/>
  <c r="Z19" i="115" s="1"/>
  <c r="G13" i="118" s="1"/>
  <c r="Z66" i="115" a="1"/>
  <c r="Z66" i="115" s="1"/>
  <c r="Z50" i="115" a="1"/>
  <c r="Z50" i="115" s="1"/>
  <c r="G44" i="118" s="1"/>
  <c r="Z27" i="115" a="1"/>
  <c r="Z27" i="115" s="1"/>
  <c r="G21" i="118" s="1"/>
  <c r="D7" i="115" a="1"/>
  <c r="D7" i="115" s="1"/>
  <c r="E44" i="116" a="1"/>
  <c r="E44" i="116" s="1"/>
  <c r="E43" i="116"/>
  <c r="Y36" i="109"/>
  <c r="Y34" i="109"/>
  <c r="Y35" i="109"/>
  <c r="Y37" i="109"/>
  <c r="Y34" i="99"/>
  <c r="Z34" i="99" s="1"/>
  <c r="Y40" i="91"/>
  <c r="P22" i="91"/>
  <c r="Y35" i="91"/>
  <c r="Y39" i="91"/>
  <c r="Y37" i="91"/>
  <c r="Y38" i="91"/>
  <c r="Y36" i="91"/>
  <c r="Y41" i="91"/>
  <c r="Y34" i="91"/>
  <c r="C8" i="118"/>
  <c r="D67" i="84"/>
  <c r="I12" i="124"/>
  <c r="D57" i="83"/>
  <c r="D58" i="83" s="1"/>
  <c r="F92" i="82" s="1"/>
  <c r="P22" i="94"/>
  <c r="Y37" i="94"/>
  <c r="Y38" i="94"/>
  <c r="Y35" i="94"/>
  <c r="Y36" i="94"/>
  <c r="D116" i="89" a="1"/>
  <c r="Y36" i="106"/>
  <c r="Y37" i="106"/>
  <c r="Y34" i="106"/>
  <c r="Y35" i="106"/>
  <c r="Y35" i="92"/>
  <c r="Y38" i="92"/>
  <c r="Y36" i="92"/>
  <c r="Y37" i="92"/>
  <c r="Y34" i="92"/>
  <c r="P21" i="92"/>
  <c r="C21" i="100"/>
  <c r="C22" i="100" s="1"/>
  <c r="F25" i="100" s="1"/>
  <c r="Y37" i="99"/>
  <c r="AA37" i="99" s="1"/>
  <c r="Y35" i="99"/>
  <c r="Y35" i="98"/>
  <c r="AA35" i="98" s="1"/>
  <c r="Y37" i="98"/>
  <c r="Z37" i="98" s="1"/>
  <c r="AB35" i="98"/>
  <c r="F7" i="84"/>
  <c r="AB37" i="98"/>
  <c r="J7" i="84"/>
  <c r="E124" i="89"/>
  <c r="Y37" i="102"/>
  <c r="Y36" i="102"/>
  <c r="Y34" i="102"/>
  <c r="Y35" i="102"/>
  <c r="AB34" i="99"/>
  <c r="M7" i="84"/>
  <c r="AB37" i="95"/>
  <c r="S67" i="84"/>
  <c r="Y35" i="90"/>
  <c r="Y37" i="90"/>
  <c r="Y41" i="90"/>
  <c r="Y39" i="90"/>
  <c r="P22" i="90"/>
  <c r="Y36" i="90"/>
  <c r="Y38" i="90"/>
  <c r="Y40" i="90"/>
  <c r="Y34" i="90"/>
  <c r="Y37" i="110"/>
  <c r="Y34" i="110"/>
  <c r="Y35" i="110"/>
  <c r="Y36" i="110"/>
  <c r="Y35" i="113"/>
  <c r="Y37" i="113"/>
  <c r="Y36" i="113"/>
  <c r="Y34" i="113"/>
  <c r="V63" i="97"/>
  <c r="V64" i="97" s="1"/>
  <c r="Y64" i="97" s="1"/>
  <c r="Y65" i="97" s="1"/>
  <c r="DV25" i="83" s="1"/>
  <c r="DV26" i="83" s="1"/>
  <c r="Y36" i="103"/>
  <c r="Y38" i="103"/>
  <c r="Y34" i="103"/>
  <c r="Y35" i="103"/>
  <c r="Y37" i="103"/>
  <c r="AB35" i="95"/>
  <c r="O67" i="84"/>
  <c r="Y34" i="107"/>
  <c r="Y35" i="107"/>
  <c r="Y37" i="107"/>
  <c r="Y36" i="107"/>
  <c r="Y37" i="112"/>
  <c r="Y35" i="112"/>
  <c r="Y36" i="112"/>
  <c r="Y34" i="112"/>
  <c r="P21" i="95"/>
  <c r="Y37" i="95"/>
  <c r="Z37" i="95" s="1"/>
  <c r="Y38" i="95"/>
  <c r="Y35" i="95"/>
  <c r="Z35" i="95" s="1"/>
  <c r="I12" i="105"/>
  <c r="AB34" i="98"/>
  <c r="D7" i="84"/>
  <c r="AA34" i="94" l="1"/>
  <c r="AC34" i="94" s="1"/>
  <c r="AV34" i="94" s="1"/>
  <c r="CX27" i="83" s="1"/>
  <c r="H7" i="84"/>
  <c r="AA36" i="99"/>
  <c r="AC36" i="99" s="1"/>
  <c r="AA36" i="98"/>
  <c r="AC36" i="98" s="1"/>
  <c r="Z34" i="98"/>
  <c r="AC34" i="98" s="1"/>
  <c r="AL34" i="98" s="1"/>
  <c r="CX22" i="83" s="1"/>
  <c r="Z34" i="95"/>
  <c r="AA34" i="95"/>
  <c r="AB34" i="95"/>
  <c r="AB36" i="94"/>
  <c r="AB35" i="99"/>
  <c r="AB36" i="95"/>
  <c r="AB37" i="94"/>
  <c r="J67" i="84"/>
  <c r="AA35" i="99"/>
  <c r="Z36" i="95"/>
  <c r="AC36" i="95" s="1"/>
  <c r="AD36" i="95" s="1"/>
  <c r="Q7" i="84"/>
  <c r="Z35" i="98"/>
  <c r="AC35" i="98" s="1"/>
  <c r="AF35" i="98" s="1"/>
  <c r="AB37" i="99"/>
  <c r="E125" i="89"/>
  <c r="AA37" i="98"/>
  <c r="AC37" i="98" s="1"/>
  <c r="U45" i="118"/>
  <c r="AK49" i="82" s="1"/>
  <c r="Y45" i="118"/>
  <c r="AH49" i="82"/>
  <c r="Y49" i="118"/>
  <c r="AH53" i="82"/>
  <c r="U49" i="118"/>
  <c r="AK53" i="82" s="1"/>
  <c r="U47" i="118"/>
  <c r="AK51" i="82" s="1"/>
  <c r="AH51" i="82"/>
  <c r="Y47" i="118"/>
  <c r="Y29" i="118"/>
  <c r="U29" i="118"/>
  <c r="AK33" i="82" s="1"/>
  <c r="AH33" i="82"/>
  <c r="U27" i="118"/>
  <c r="AK31" i="82" s="1"/>
  <c r="Y27" i="118"/>
  <c r="AH31" i="82"/>
  <c r="AA37" i="95"/>
  <c r="AC37" i="95" s="1"/>
  <c r="Z37" i="99"/>
  <c r="AC37" i="99" s="1"/>
  <c r="AG37" i="99" s="1"/>
  <c r="U42" i="118"/>
  <c r="AK46" i="82" s="1"/>
  <c r="AH46" i="82"/>
  <c r="Y42" i="118"/>
  <c r="Y40" i="118"/>
  <c r="U40" i="118"/>
  <c r="AK44" i="82" s="1"/>
  <c r="AH44" i="82"/>
  <c r="Y46" i="118"/>
  <c r="AH50" i="82"/>
  <c r="U46" i="118"/>
  <c r="AK50" i="82" s="1"/>
  <c r="Y8" i="118"/>
  <c r="U8" i="118"/>
  <c r="AK12" i="82" s="1"/>
  <c r="AH12" i="82"/>
  <c r="U41" i="118"/>
  <c r="AK45" i="82" s="1"/>
  <c r="AH45" i="82"/>
  <c r="Y41" i="118"/>
  <c r="Y38" i="118"/>
  <c r="U38" i="118"/>
  <c r="AK42" i="82" s="1"/>
  <c r="AH42" i="82"/>
  <c r="Z35" i="99"/>
  <c r="Y16" i="118"/>
  <c r="U16" i="118"/>
  <c r="AK20" i="82" s="1"/>
  <c r="AH20" i="82"/>
  <c r="AH14" i="82"/>
  <c r="U10" i="118"/>
  <c r="AK14" i="82" s="1"/>
  <c r="Y10" i="118"/>
  <c r="AH11" i="82"/>
  <c r="U7" i="118"/>
  <c r="AK11" i="82" s="1"/>
  <c r="Y7" i="118"/>
  <c r="Y25" i="118"/>
  <c r="U25" i="118"/>
  <c r="AK29" i="82" s="1"/>
  <c r="AH29" i="82"/>
  <c r="U39" i="118"/>
  <c r="AK43" i="82" s="1"/>
  <c r="Y39" i="118"/>
  <c r="AH43" i="82"/>
  <c r="Y32" i="118"/>
  <c r="AH36" i="82"/>
  <c r="U32" i="118"/>
  <c r="AK36" i="82" s="1"/>
  <c r="Y43" i="118"/>
  <c r="U43" i="118"/>
  <c r="AK47" i="82" s="1"/>
  <c r="AH47" i="82"/>
  <c r="U11" i="118"/>
  <c r="AK15" i="82" s="1"/>
  <c r="AH15" i="82"/>
  <c r="Y11" i="118"/>
  <c r="Y34" i="118"/>
  <c r="AH38" i="82"/>
  <c r="U34" i="118"/>
  <c r="AK38" i="82" s="1"/>
  <c r="AA35" i="95"/>
  <c r="AC35" i="95" s="1"/>
  <c r="U18" i="118"/>
  <c r="AK22" i="82" s="1"/>
  <c r="AH22" i="82"/>
  <c r="Y18" i="118"/>
  <c r="U33" i="118"/>
  <c r="AK37" i="82" s="1"/>
  <c r="AH37" i="82"/>
  <c r="Y33" i="118"/>
  <c r="U14" i="118"/>
  <c r="AK18" i="82" s="1"/>
  <c r="AH18" i="82"/>
  <c r="Y14" i="118"/>
  <c r="Y24" i="118"/>
  <c r="U24" i="118"/>
  <c r="AK28" i="82" s="1"/>
  <c r="AH28" i="82"/>
  <c r="U44" i="118"/>
  <c r="AK48" i="82" s="1"/>
  <c r="Y44" i="118"/>
  <c r="AH48" i="82"/>
  <c r="AH23" i="82"/>
  <c r="Y19" i="118"/>
  <c r="U19" i="118"/>
  <c r="AK23" i="82" s="1"/>
  <c r="U17" i="118"/>
  <c r="AK21" i="82" s="1"/>
  <c r="Y17" i="118"/>
  <c r="AH21" i="82"/>
  <c r="U48" i="118"/>
  <c r="AK52" i="82" s="1"/>
  <c r="AH52" i="82"/>
  <c r="Y48" i="118"/>
  <c r="U31" i="118"/>
  <c r="AK35" i="82" s="1"/>
  <c r="AH35" i="82"/>
  <c r="Y31" i="118"/>
  <c r="Y21" i="118"/>
  <c r="U21" i="118"/>
  <c r="AK25" i="82" s="1"/>
  <c r="AH25" i="82"/>
  <c r="U23" i="118"/>
  <c r="AK27" i="82" s="1"/>
  <c r="AH27" i="82"/>
  <c r="Y23" i="118"/>
  <c r="AH17" i="82"/>
  <c r="Y13" i="118"/>
  <c r="U13" i="118"/>
  <c r="AK17" i="82" s="1"/>
  <c r="Y37" i="118"/>
  <c r="U37" i="118"/>
  <c r="AK41" i="82" s="1"/>
  <c r="AH41" i="82"/>
  <c r="Y36" i="118"/>
  <c r="U36" i="118"/>
  <c r="AK40" i="82" s="1"/>
  <c r="AH40" i="82"/>
  <c r="Y22" i="118"/>
  <c r="U22" i="118"/>
  <c r="AK26" i="82" s="1"/>
  <c r="AH26" i="82"/>
  <c r="U30" i="118"/>
  <c r="AK34" i="82" s="1"/>
  <c r="AH34" i="82"/>
  <c r="Y30" i="118"/>
  <c r="AH30" i="82"/>
  <c r="U26" i="118"/>
  <c r="AK30" i="82" s="1"/>
  <c r="Y26" i="118"/>
  <c r="AH13" i="82"/>
  <c r="Y9" i="118"/>
  <c r="U9" i="118"/>
  <c r="AK13" i="82" s="1"/>
  <c r="U6" i="118"/>
  <c r="AH10" i="82"/>
  <c r="Y6" i="118"/>
  <c r="U50" i="118"/>
  <c r="AK54" i="82" s="1"/>
  <c r="AH54" i="82"/>
  <c r="Y50" i="118"/>
  <c r="Y12" i="118"/>
  <c r="U12" i="118"/>
  <c r="AK16" i="82" s="1"/>
  <c r="AH16" i="82"/>
  <c r="Y20" i="118"/>
  <c r="U20" i="118"/>
  <c r="AK24" i="82" s="1"/>
  <c r="AH24" i="82"/>
  <c r="AH32" i="82"/>
  <c r="Y28" i="118"/>
  <c r="U28" i="118"/>
  <c r="AK32" i="82" s="1"/>
  <c r="AH39" i="82"/>
  <c r="U35" i="118"/>
  <c r="AK39" i="82" s="1"/>
  <c r="Y35" i="118"/>
  <c r="U15" i="118"/>
  <c r="AK19" i="82" s="1"/>
  <c r="AH19" i="82"/>
  <c r="Y15" i="118"/>
  <c r="Z35" i="112"/>
  <c r="AA35" i="112"/>
  <c r="Z37" i="92"/>
  <c r="AA37" i="92"/>
  <c r="AA38" i="92"/>
  <c r="Z38" i="92"/>
  <c r="Z34" i="109"/>
  <c r="AA34" i="109"/>
  <c r="AA34" i="110"/>
  <c r="Z34" i="110"/>
  <c r="Z37" i="102"/>
  <c r="AA37" i="102"/>
  <c r="P27" i="118"/>
  <c r="P19" i="118"/>
  <c r="P46" i="118"/>
  <c r="P37" i="118"/>
  <c r="P20" i="118"/>
  <c r="P38" i="118"/>
  <c r="P28" i="118"/>
  <c r="P47" i="118"/>
  <c r="P6" i="118"/>
  <c r="P21" i="118"/>
  <c r="P7" i="118"/>
  <c r="P30" i="118"/>
  <c r="P23" i="118"/>
  <c r="P15" i="118"/>
  <c r="P18" i="118"/>
  <c r="P49" i="118"/>
  <c r="P39" i="118"/>
  <c r="P36" i="118"/>
  <c r="P44" i="118"/>
  <c r="P31" i="118"/>
  <c r="P13" i="118"/>
  <c r="P10" i="118"/>
  <c r="P26" i="118"/>
  <c r="P16" i="118"/>
  <c r="P42" i="118"/>
  <c r="P34" i="118"/>
  <c r="P35" i="118"/>
  <c r="P40" i="118"/>
  <c r="P43" i="118"/>
  <c r="P32" i="118"/>
  <c r="P8" i="118"/>
  <c r="P29" i="118"/>
  <c r="P48" i="118"/>
  <c r="P12" i="118"/>
  <c r="P25" i="118"/>
  <c r="P11" i="118"/>
  <c r="P50" i="118"/>
  <c r="P22" i="118"/>
  <c r="P14" i="118"/>
  <c r="P9" i="118"/>
  <c r="P3" i="118"/>
  <c r="P17" i="118"/>
  <c r="P33" i="118"/>
  <c r="P45" i="118"/>
  <c r="P41" i="118"/>
  <c r="P24" i="118"/>
  <c r="AA34" i="99"/>
  <c r="AC34" i="99" s="1"/>
  <c r="AA37" i="113"/>
  <c r="Z37" i="113"/>
  <c r="AA35" i="102"/>
  <c r="Z35" i="102"/>
  <c r="AA34" i="91"/>
  <c r="Z34" i="91"/>
  <c r="DV27" i="83"/>
  <c r="DV36" i="83" s="1"/>
  <c r="AA34" i="92"/>
  <c r="Z34" i="92"/>
  <c r="AA36" i="107"/>
  <c r="Z36" i="107"/>
  <c r="Z36" i="110"/>
  <c r="AA36" i="110"/>
  <c r="Q34" i="105"/>
  <c r="T27" i="105" s="1"/>
  <c r="Q18" i="105"/>
  <c r="T25" i="105" s="1"/>
  <c r="Q26" i="105"/>
  <c r="T26" i="105" s="1"/>
  <c r="Q11" i="105"/>
  <c r="T24" i="105" s="1"/>
  <c r="AA41" i="91"/>
  <c r="Z41" i="91"/>
  <c r="AA36" i="92"/>
  <c r="Z36" i="92"/>
  <c r="Z34" i="113"/>
  <c r="AA34" i="113"/>
  <c r="AA37" i="107"/>
  <c r="Z37" i="107"/>
  <c r="AA36" i="102"/>
  <c r="Z36" i="102"/>
  <c r="AA38" i="94"/>
  <c r="Z38" i="94"/>
  <c r="AA36" i="91"/>
  <c r="Z36" i="91"/>
  <c r="AA37" i="109"/>
  <c r="Z37" i="109"/>
  <c r="AA35" i="113"/>
  <c r="Z35" i="113"/>
  <c r="Z36" i="90"/>
  <c r="AA36" i="90"/>
  <c r="AA35" i="106"/>
  <c r="Z35" i="106"/>
  <c r="AA37" i="94"/>
  <c r="Z37" i="94"/>
  <c r="AA38" i="91"/>
  <c r="Z38" i="91"/>
  <c r="Z37" i="112"/>
  <c r="AA37" i="112"/>
  <c r="AA34" i="107"/>
  <c r="Z34" i="107"/>
  <c r="Z34" i="106"/>
  <c r="AA34" i="106"/>
  <c r="AA37" i="91"/>
  <c r="Z37" i="91"/>
  <c r="Z34" i="102"/>
  <c r="AA34" i="102"/>
  <c r="AA35" i="110"/>
  <c r="Z35" i="110"/>
  <c r="Z36" i="109"/>
  <c r="AA36" i="109"/>
  <c r="AA34" i="90"/>
  <c r="Z34" i="90"/>
  <c r="AA40" i="90"/>
  <c r="Z40" i="90"/>
  <c r="AA38" i="90"/>
  <c r="Z38" i="90"/>
  <c r="AA35" i="103"/>
  <c r="Z35" i="103"/>
  <c r="AA37" i="106"/>
  <c r="Z37" i="106"/>
  <c r="AA39" i="91"/>
  <c r="Z39" i="91"/>
  <c r="Z36" i="113"/>
  <c r="AA36" i="113"/>
  <c r="AA35" i="92"/>
  <c r="Z35" i="92"/>
  <c r="Z35" i="109"/>
  <c r="AA35" i="109"/>
  <c r="AA35" i="107"/>
  <c r="Z35" i="107"/>
  <c r="Z38" i="95"/>
  <c r="AA38" i="95"/>
  <c r="AA34" i="103"/>
  <c r="Z34" i="103"/>
  <c r="AA41" i="90"/>
  <c r="Z41" i="90"/>
  <c r="AA36" i="106"/>
  <c r="Z36" i="106"/>
  <c r="Q34" i="124"/>
  <c r="T27" i="124" s="1"/>
  <c r="Q26" i="124"/>
  <c r="T26" i="124" s="1"/>
  <c r="Q18" i="124"/>
  <c r="T25" i="124" s="1"/>
  <c r="Z35" i="91"/>
  <c r="AA35" i="91"/>
  <c r="Z36" i="94"/>
  <c r="AA36" i="94"/>
  <c r="AA37" i="110"/>
  <c r="Z37" i="110"/>
  <c r="AA37" i="103"/>
  <c r="Z37" i="103"/>
  <c r="E116" i="89"/>
  <c r="G116" i="89"/>
  <c r="F116" i="89"/>
  <c r="D116" i="89"/>
  <c r="Z35" i="94"/>
  <c r="AA35" i="94"/>
  <c r="Z39" i="90"/>
  <c r="AA39" i="90"/>
  <c r="Z34" i="112"/>
  <c r="AA34" i="112"/>
  <c r="AA38" i="103"/>
  <c r="Z38" i="103"/>
  <c r="AA37" i="90"/>
  <c r="Z37" i="90"/>
  <c r="Z36" i="112"/>
  <c r="AA36" i="112"/>
  <c r="AA36" i="103"/>
  <c r="Z36" i="103"/>
  <c r="AA35" i="90"/>
  <c r="Z35" i="90"/>
  <c r="AA40" i="91"/>
  <c r="Z40" i="91"/>
  <c r="AF34" i="94" l="1"/>
  <c r="AJ34" i="94"/>
  <c r="AM34" i="94" s="1"/>
  <c r="AE34" i="94"/>
  <c r="AG34" i="94"/>
  <c r="AC35" i="110"/>
  <c r="AJ36" i="110" s="1"/>
  <c r="AC34" i="95"/>
  <c r="AJ34" i="95" s="1"/>
  <c r="AM34" i="95" s="1"/>
  <c r="AC34" i="92"/>
  <c r="AE34" i="92" s="1"/>
  <c r="AC37" i="103"/>
  <c r="AD37" i="103" s="1"/>
  <c r="AE36" i="95"/>
  <c r="AF36" i="95"/>
  <c r="AG36" i="95"/>
  <c r="AC40" i="90"/>
  <c r="AM40" i="90" s="1"/>
  <c r="AG34" i="98"/>
  <c r="AJ36" i="95"/>
  <c r="AM37" i="95" s="1"/>
  <c r="AF34" i="98"/>
  <c r="AC36" i="91"/>
  <c r="AM36" i="91" s="1"/>
  <c r="AC37" i="106"/>
  <c r="K76" i="106" s="1"/>
  <c r="AC37" i="107"/>
  <c r="AD37" i="107" s="1"/>
  <c r="AC35" i="102"/>
  <c r="K67" i="102" s="1"/>
  <c r="AD34" i="98"/>
  <c r="Q10" i="98" a="1"/>
  <c r="R10" i="98" s="1"/>
  <c r="AC38" i="91"/>
  <c r="AM38" i="91" s="1"/>
  <c r="AC35" i="99"/>
  <c r="AD35" i="99" s="1"/>
  <c r="AD34" i="94"/>
  <c r="AS34" i="94"/>
  <c r="CV27" i="83" s="1"/>
  <c r="AI34" i="98"/>
  <c r="CV22" i="83" s="1"/>
  <c r="AC37" i="109"/>
  <c r="AG37" i="109" s="1"/>
  <c r="AD35" i="98"/>
  <c r="AG35" i="98"/>
  <c r="AC34" i="103"/>
  <c r="K62" i="103" s="1"/>
  <c r="AC37" i="112"/>
  <c r="AG37" i="112" s="1"/>
  <c r="AC34" i="113"/>
  <c r="AJ34" i="113" s="1"/>
  <c r="AC41" i="90"/>
  <c r="AM41" i="90" s="1"/>
  <c r="AC35" i="103"/>
  <c r="AD35" i="103" s="1"/>
  <c r="AD37" i="98"/>
  <c r="AF37" i="98"/>
  <c r="AG37" i="98"/>
  <c r="E118" i="89"/>
  <c r="E120" i="89" s="1"/>
  <c r="AC36" i="102"/>
  <c r="K72" i="102" s="1"/>
  <c r="AC34" i="91"/>
  <c r="AV34" i="91" s="1"/>
  <c r="CY28" i="83" s="1"/>
  <c r="AC35" i="106"/>
  <c r="K67" i="106" s="1"/>
  <c r="AC36" i="92"/>
  <c r="AG36" i="92" s="1"/>
  <c r="Q9" i="98" a="1"/>
  <c r="R9" i="98" s="1"/>
  <c r="AC37" i="91"/>
  <c r="AH36" i="91" s="1"/>
  <c r="AC36" i="113"/>
  <c r="AF36" i="113" s="1"/>
  <c r="Y51" i="118"/>
  <c r="AC37" i="92"/>
  <c r="AE37" i="92" s="1"/>
  <c r="AC39" i="91"/>
  <c r="AM39" i="91" s="1"/>
  <c r="AC36" i="106"/>
  <c r="AJ37" i="106" s="1"/>
  <c r="AF37" i="95"/>
  <c r="AE37" i="95"/>
  <c r="AD37" i="95"/>
  <c r="AG37" i="95"/>
  <c r="AJ37" i="95"/>
  <c r="AM38" i="95" s="1"/>
  <c r="AE35" i="95"/>
  <c r="AG35" i="95"/>
  <c r="AF35" i="95"/>
  <c r="AD35" i="95"/>
  <c r="AJ35" i="95"/>
  <c r="AM36" i="95" s="1"/>
  <c r="AK10" i="82"/>
  <c r="AK55" i="82" s="1"/>
  <c r="U4" i="118"/>
  <c r="AD37" i="99"/>
  <c r="AC35" i="107"/>
  <c r="U67" i="107" s="1"/>
  <c r="AF37" i="99"/>
  <c r="AC34" i="110"/>
  <c r="AF34" i="110" s="1"/>
  <c r="AC35" i="94"/>
  <c r="AG35" i="94" s="1"/>
  <c r="AC35" i="90"/>
  <c r="AM35" i="90" s="1"/>
  <c r="AC36" i="107"/>
  <c r="U72" i="107" s="1"/>
  <c r="AC36" i="103"/>
  <c r="AE36" i="103" s="1"/>
  <c r="AC38" i="92"/>
  <c r="AJ38" i="92" s="1"/>
  <c r="AM35" i="92" s="1"/>
  <c r="AC37" i="94"/>
  <c r="AJ37" i="94" s="1"/>
  <c r="AM38" i="94" s="1"/>
  <c r="AC38" i="94"/>
  <c r="AE38" i="94" s="1"/>
  <c r="AI34" i="99"/>
  <c r="CW22" i="83" s="1"/>
  <c r="AG34" i="99"/>
  <c r="AF34" i="99"/>
  <c r="AD34" i="99"/>
  <c r="AL34" i="99"/>
  <c r="CY22" i="83" s="1"/>
  <c r="AC34" i="106"/>
  <c r="AC34" i="109"/>
  <c r="AC34" i="102"/>
  <c r="AC39" i="90"/>
  <c r="AC40" i="91"/>
  <c r="AC37" i="110"/>
  <c r="AC38" i="90"/>
  <c r="AC37" i="113"/>
  <c r="AC36" i="110"/>
  <c r="AG36" i="99"/>
  <c r="AF36" i="99"/>
  <c r="AD36" i="99"/>
  <c r="AC35" i="112"/>
  <c r="AC38" i="95"/>
  <c r="AC36" i="109"/>
  <c r="AF36" i="98"/>
  <c r="AG36" i="98"/>
  <c r="AD36" i="98"/>
  <c r="AC36" i="90"/>
  <c r="AC36" i="94"/>
  <c r="AC35" i="113"/>
  <c r="AC41" i="91"/>
  <c r="AC34" i="112"/>
  <c r="AC36" i="112"/>
  <c r="AC35" i="91"/>
  <c r="AC35" i="109"/>
  <c r="S31" i="105" a="1"/>
  <c r="S29" i="105" a="1"/>
  <c r="S29" i="105" s="1"/>
  <c r="AC37" i="90"/>
  <c r="S31" i="124" a="1"/>
  <c r="S29" i="124" a="1"/>
  <c r="S29" i="124" s="1"/>
  <c r="AC35" i="92"/>
  <c r="AC34" i="90"/>
  <c r="AC34" i="107"/>
  <c r="AC38" i="103"/>
  <c r="AC37" i="102"/>
  <c r="AV34" i="95" l="1"/>
  <c r="CY27" i="83" s="1"/>
  <c r="AF35" i="110"/>
  <c r="AD35" i="110"/>
  <c r="AS34" i="95"/>
  <c r="CW27" i="83" s="1"/>
  <c r="AG35" i="110"/>
  <c r="AF34" i="95"/>
  <c r="AG34" i="95"/>
  <c r="P6" i="95" s="1" a="1"/>
  <c r="P6" i="95" s="1"/>
  <c r="AE34" i="95"/>
  <c r="AD34" i="95"/>
  <c r="U76" i="103"/>
  <c r="AV34" i="92"/>
  <c r="AF34" i="92"/>
  <c r="AG34" i="92"/>
  <c r="AL37" i="103"/>
  <c r="AD34" i="92"/>
  <c r="K77" i="103"/>
  <c r="U75" i="103"/>
  <c r="K76" i="103"/>
  <c r="K75" i="103"/>
  <c r="AJ34" i="92"/>
  <c r="AM34" i="92" s="1"/>
  <c r="Q10" i="92" s="1" a="1"/>
  <c r="AJ38" i="103"/>
  <c r="AS34" i="92"/>
  <c r="AE37" i="103"/>
  <c r="U77" i="107"/>
  <c r="U75" i="107"/>
  <c r="AL37" i="107"/>
  <c r="AD36" i="91"/>
  <c r="AH35" i="91"/>
  <c r="AJ35" i="91" s="1"/>
  <c r="U65" i="102"/>
  <c r="U77" i="103"/>
  <c r="K75" i="107"/>
  <c r="K75" i="106"/>
  <c r="AD37" i="106"/>
  <c r="AE37" i="106"/>
  <c r="K76" i="107"/>
  <c r="AL37" i="106"/>
  <c r="U76" i="106"/>
  <c r="AJ38" i="107"/>
  <c r="K66" i="102"/>
  <c r="AF35" i="102" s="1"/>
  <c r="U76" i="107"/>
  <c r="AE37" i="107"/>
  <c r="K77" i="106"/>
  <c r="AF37" i="106" s="1"/>
  <c r="AD40" i="90"/>
  <c r="K65" i="102"/>
  <c r="AE40" i="90"/>
  <c r="U67" i="102"/>
  <c r="AL35" i="102"/>
  <c r="K77" i="107"/>
  <c r="U75" i="106"/>
  <c r="U77" i="106"/>
  <c r="AJ38" i="106"/>
  <c r="U66" i="102"/>
  <c r="AJ36" i="102"/>
  <c r="AE35" i="102"/>
  <c r="Q9" i="99" a="1"/>
  <c r="R9" i="99" s="1"/>
  <c r="AF35" i="99"/>
  <c r="P5" i="99" s="1" a="1"/>
  <c r="P5" i="99" s="1"/>
  <c r="AG35" i="99"/>
  <c r="P6" i="99" s="1" a="1"/>
  <c r="Q6" i="99" s="1"/>
  <c r="Q10" i="99" a="1"/>
  <c r="Q10" i="99" s="1"/>
  <c r="AE36" i="102"/>
  <c r="AE38" i="91"/>
  <c r="AD38" i="91"/>
  <c r="Q10" i="98"/>
  <c r="AD35" i="102"/>
  <c r="AF37" i="109"/>
  <c r="AD37" i="109"/>
  <c r="AL34" i="113"/>
  <c r="CW24" i="83" s="1"/>
  <c r="AJ36" i="103"/>
  <c r="AJ38" i="109"/>
  <c r="K66" i="103"/>
  <c r="AJ34" i="103"/>
  <c r="AD37" i="94"/>
  <c r="AD41" i="90"/>
  <c r="AF37" i="94"/>
  <c r="AE41" i="90"/>
  <c r="K70" i="102"/>
  <c r="K71" i="102"/>
  <c r="AF36" i="102" s="1"/>
  <c r="U72" i="102"/>
  <c r="AG37" i="94"/>
  <c r="AE37" i="94"/>
  <c r="AD34" i="91"/>
  <c r="AO34" i="113"/>
  <c r="CY24" i="83" s="1"/>
  <c r="AS34" i="91"/>
  <c r="CW28" i="83" s="1"/>
  <c r="AG34" i="113"/>
  <c r="AE34" i="103"/>
  <c r="AH34" i="91"/>
  <c r="AI34" i="91" s="1"/>
  <c r="AF34" i="113"/>
  <c r="U60" i="103"/>
  <c r="U70" i="102"/>
  <c r="AD36" i="102"/>
  <c r="AE34" i="113"/>
  <c r="U61" i="103"/>
  <c r="AD34" i="113"/>
  <c r="AD34" i="103"/>
  <c r="AL36" i="102"/>
  <c r="AM34" i="91"/>
  <c r="AO34" i="91" s="1"/>
  <c r="K61" i="103"/>
  <c r="AF34" i="103" s="1"/>
  <c r="AJ36" i="92"/>
  <c r="AM37" i="92" s="1"/>
  <c r="U71" i="102"/>
  <c r="AD36" i="92"/>
  <c r="AJ37" i="102"/>
  <c r="AD35" i="106"/>
  <c r="AF37" i="112"/>
  <c r="U66" i="106"/>
  <c r="AL35" i="103"/>
  <c r="K60" i="103"/>
  <c r="AE35" i="107"/>
  <c r="AD37" i="112"/>
  <c r="AJ36" i="106"/>
  <c r="K67" i="103"/>
  <c r="U62" i="103"/>
  <c r="U67" i="106"/>
  <c r="AJ39" i="112"/>
  <c r="AE35" i="103"/>
  <c r="AL34" i="103"/>
  <c r="U66" i="103"/>
  <c r="U65" i="106"/>
  <c r="AE36" i="92"/>
  <c r="AF36" i="92"/>
  <c r="K65" i="106"/>
  <c r="AE35" i="106"/>
  <c r="AL35" i="106"/>
  <c r="K66" i="106"/>
  <c r="AF35" i="106" s="1"/>
  <c r="U67" i="103"/>
  <c r="K66" i="107"/>
  <c r="U65" i="107"/>
  <c r="K65" i="103"/>
  <c r="K67" i="107"/>
  <c r="K65" i="107"/>
  <c r="AJ36" i="107"/>
  <c r="AD35" i="107"/>
  <c r="AL35" i="107"/>
  <c r="AG36" i="113"/>
  <c r="AD37" i="91"/>
  <c r="AD36" i="113"/>
  <c r="Q9" i="102" a="1"/>
  <c r="R9" i="102" s="1"/>
  <c r="Q9" i="98"/>
  <c r="AM37" i="91"/>
  <c r="U65" i="103"/>
  <c r="AJ37" i="113"/>
  <c r="Q9" i="106" a="1"/>
  <c r="R9" i="106" s="1"/>
  <c r="AL34" i="110"/>
  <c r="CW23" i="83" s="1"/>
  <c r="AJ37" i="103"/>
  <c r="AG37" i="92"/>
  <c r="AE36" i="106"/>
  <c r="AD36" i="106"/>
  <c r="U72" i="106"/>
  <c r="U70" i="103"/>
  <c r="AF37" i="92"/>
  <c r="K70" i="106"/>
  <c r="K71" i="106"/>
  <c r="T33" i="82"/>
  <c r="AG6" i="118"/>
  <c r="K72" i="103"/>
  <c r="AD38" i="92"/>
  <c r="AD37" i="92"/>
  <c r="U71" i="106"/>
  <c r="AD36" i="103"/>
  <c r="AE38" i="92"/>
  <c r="AJ37" i="92"/>
  <c r="AM38" i="92" s="1"/>
  <c r="U70" i="106"/>
  <c r="AJ38" i="94"/>
  <c r="AM35" i="94" s="1"/>
  <c r="Q10" i="94" s="1" a="1"/>
  <c r="Q10" i="94" s="1"/>
  <c r="AL36" i="106"/>
  <c r="U71" i="103"/>
  <c r="AJ34" i="110"/>
  <c r="K72" i="106"/>
  <c r="K70" i="103"/>
  <c r="AD39" i="91"/>
  <c r="AL36" i="103"/>
  <c r="AH37" i="91"/>
  <c r="AJ37" i="91" s="1"/>
  <c r="U72" i="103"/>
  <c r="Q9" i="103" a="1"/>
  <c r="R9" i="103" s="1"/>
  <c r="K71" i="103"/>
  <c r="AD38" i="94"/>
  <c r="AD35" i="94"/>
  <c r="AD35" i="90"/>
  <c r="AL36" i="107"/>
  <c r="AJ35" i="94"/>
  <c r="AM36" i="94" s="1"/>
  <c r="K71" i="107"/>
  <c r="AE35" i="90"/>
  <c r="U71" i="107"/>
  <c r="AG36" i="107" s="1"/>
  <c r="AE35" i="94"/>
  <c r="K72" i="107"/>
  <c r="K70" i="107"/>
  <c r="Q9" i="107" a="1"/>
  <c r="Q9" i="107" s="1"/>
  <c r="AE36" i="107"/>
  <c r="U70" i="107"/>
  <c r="AF35" i="94"/>
  <c r="AD36" i="107"/>
  <c r="AJ37" i="107"/>
  <c r="AO34" i="110"/>
  <c r="CY23" i="83" s="1"/>
  <c r="AG34" i="110"/>
  <c r="U66" i="107"/>
  <c r="AG35" i="107" s="1"/>
  <c r="AD34" i="110"/>
  <c r="AL34" i="109"/>
  <c r="CV23" i="83" s="1"/>
  <c r="AD34" i="109"/>
  <c r="AJ34" i="109"/>
  <c r="AF34" i="109"/>
  <c r="AG34" i="109"/>
  <c r="AO34" i="109"/>
  <c r="CX23" i="83" s="1"/>
  <c r="AM41" i="91"/>
  <c r="AE41" i="91"/>
  <c r="AD41" i="91"/>
  <c r="R12" i="113" a="1"/>
  <c r="AJ35" i="113"/>
  <c r="AD35" i="113"/>
  <c r="AG35" i="113"/>
  <c r="AF35" i="113"/>
  <c r="Q14" i="113"/>
  <c r="AL29" i="113"/>
  <c r="AI36" i="91"/>
  <c r="AJ36" i="91"/>
  <c r="AH37" i="90"/>
  <c r="AM39" i="90"/>
  <c r="AD39" i="90"/>
  <c r="Q11" i="102" a="1"/>
  <c r="AL34" i="102"/>
  <c r="AJ34" i="102"/>
  <c r="U61" i="102"/>
  <c r="AE34" i="102"/>
  <c r="K62" i="102"/>
  <c r="AD34" i="102"/>
  <c r="K61" i="102"/>
  <c r="U62" i="102"/>
  <c r="K60" i="102"/>
  <c r="U60" i="102"/>
  <c r="AJ36" i="94"/>
  <c r="AM37" i="94" s="1"/>
  <c r="AG36" i="94"/>
  <c r="AE36" i="94"/>
  <c r="AF36" i="94"/>
  <c r="AD36" i="94"/>
  <c r="T31" i="105"/>
  <c r="U31" i="105"/>
  <c r="S31" i="105"/>
  <c r="R13" i="113" a="1"/>
  <c r="AH36" i="90"/>
  <c r="AM37" i="90"/>
  <c r="AD37" i="90"/>
  <c r="AM38" i="90"/>
  <c r="AE38" i="90"/>
  <c r="AD38" i="90"/>
  <c r="AL34" i="112"/>
  <c r="CV24" i="83" s="1"/>
  <c r="R13" i="112" a="1"/>
  <c r="AJ34" i="112"/>
  <c r="AD34" i="112"/>
  <c r="AF34" i="112"/>
  <c r="AG34" i="112"/>
  <c r="AO34" i="112"/>
  <c r="CX24" i="83" s="1"/>
  <c r="R12" i="112" a="1"/>
  <c r="AJ35" i="112"/>
  <c r="AG35" i="112"/>
  <c r="AF35" i="112"/>
  <c r="AD35" i="112"/>
  <c r="Q14" i="112"/>
  <c r="AL29" i="112"/>
  <c r="Q11" i="106" a="1"/>
  <c r="AO34" i="106"/>
  <c r="CV26" i="83" s="1"/>
  <c r="AL34" i="106"/>
  <c r="AJ34" i="106"/>
  <c r="U60" i="106"/>
  <c r="K62" i="106"/>
  <c r="K61" i="106"/>
  <c r="U61" i="106"/>
  <c r="K60" i="106"/>
  <c r="AE34" i="106"/>
  <c r="U62" i="106"/>
  <c r="AD34" i="106"/>
  <c r="AR34" i="106"/>
  <c r="CX26" i="83" s="1"/>
  <c r="K76" i="102"/>
  <c r="AJ38" i="102"/>
  <c r="U76" i="102"/>
  <c r="AD37" i="102"/>
  <c r="K75" i="102"/>
  <c r="U75" i="102"/>
  <c r="U77" i="102"/>
  <c r="K77" i="102"/>
  <c r="AL37" i="102"/>
  <c r="AE37" i="102"/>
  <c r="Q9" i="109" a="1"/>
  <c r="AJ36" i="109"/>
  <c r="AD35" i="109"/>
  <c r="AG35" i="109"/>
  <c r="AF35" i="109"/>
  <c r="AM40" i="91"/>
  <c r="AE40" i="91"/>
  <c r="AD40" i="91"/>
  <c r="AH35" i="90"/>
  <c r="AM36" i="90"/>
  <c r="AD36" i="90"/>
  <c r="AJ39" i="113"/>
  <c r="AF37" i="113"/>
  <c r="AD37" i="113"/>
  <c r="AG37" i="113"/>
  <c r="AM35" i="91"/>
  <c r="AD35" i="91"/>
  <c r="AE35" i="91"/>
  <c r="AJ37" i="109"/>
  <c r="AD36" i="109"/>
  <c r="AF36" i="109"/>
  <c r="AG36" i="109"/>
  <c r="AP34" i="103"/>
  <c r="CW25" i="83" s="1"/>
  <c r="AD38" i="103"/>
  <c r="AS34" i="103"/>
  <c r="CY25" i="83" s="1"/>
  <c r="AJ37" i="112"/>
  <c r="AF36" i="112"/>
  <c r="AD36" i="112"/>
  <c r="AG36" i="112"/>
  <c r="AJ38" i="110"/>
  <c r="AD37" i="110"/>
  <c r="AG37" i="110"/>
  <c r="AF37" i="110"/>
  <c r="AO34" i="107"/>
  <c r="CW26" i="83" s="1"/>
  <c r="AJ34" i="107"/>
  <c r="AE34" i="107"/>
  <c r="Q11" i="107" a="1"/>
  <c r="U61" i="107"/>
  <c r="AD34" i="107"/>
  <c r="K60" i="107"/>
  <c r="U60" i="107"/>
  <c r="K61" i="107"/>
  <c r="U62" i="107"/>
  <c r="AL34" i="107"/>
  <c r="K62" i="107"/>
  <c r="AR34" i="107"/>
  <c r="CY26" i="83" s="1"/>
  <c r="U31" i="124"/>
  <c r="T31" i="124"/>
  <c r="S31" i="124"/>
  <c r="Q9" i="110" a="1"/>
  <c r="AS34" i="90"/>
  <c r="CV28" i="83" s="1"/>
  <c r="AM34" i="90"/>
  <c r="AO34" i="90" s="1"/>
  <c r="AH34" i="90"/>
  <c r="AD34" i="90"/>
  <c r="AV34" i="90"/>
  <c r="CX28" i="83" s="1"/>
  <c r="AJ38" i="95"/>
  <c r="AM35" i="95" s="1"/>
  <c r="AE38" i="95"/>
  <c r="AD38" i="95"/>
  <c r="AF35" i="92"/>
  <c r="AJ35" i="92"/>
  <c r="AM36" i="92" s="1"/>
  <c r="AE35" i="92"/>
  <c r="AD35" i="92"/>
  <c r="AG35" i="92"/>
  <c r="AJ37" i="110"/>
  <c r="AG36" i="110"/>
  <c r="AD36" i="110"/>
  <c r="AF36" i="110"/>
  <c r="AL36" i="98" l="1"/>
  <c r="CZ22" i="83" s="1"/>
  <c r="W9" i="98"/>
  <c r="AG35" i="102"/>
  <c r="AG37" i="103"/>
  <c r="Q9" i="99"/>
  <c r="Q6" i="95"/>
  <c r="W6" i="95" s="1"/>
  <c r="AF37" i="103"/>
  <c r="AI35" i="91"/>
  <c r="AG37" i="107"/>
  <c r="AG37" i="106"/>
  <c r="R10" i="99"/>
  <c r="AF37" i="107"/>
  <c r="CY36" i="83" a="1"/>
  <c r="CY36" i="83" s="1"/>
  <c r="AG36" i="102"/>
  <c r="P13" i="107" a="1"/>
  <c r="R13" i="107" s="1"/>
  <c r="P13" i="103" a="1"/>
  <c r="R13" i="103" s="1"/>
  <c r="AG35" i="103"/>
  <c r="CW36" i="83" a="1"/>
  <c r="CW36" i="83" s="1"/>
  <c r="P14" i="103" a="1"/>
  <c r="R14" i="103" s="1"/>
  <c r="AF36" i="103"/>
  <c r="AJ38" i="113"/>
  <c r="AF35" i="103"/>
  <c r="AJ34" i="91"/>
  <c r="P6" i="91" s="1" a="1"/>
  <c r="Q6" i="91" s="1"/>
  <c r="AG35" i="106"/>
  <c r="P8" i="113" a="1"/>
  <c r="Q8" i="113" s="1"/>
  <c r="AG34" i="103"/>
  <c r="AJ38" i="112"/>
  <c r="AF35" i="107"/>
  <c r="AF36" i="106"/>
  <c r="P8" i="112" a="1"/>
  <c r="P8" i="112" s="1"/>
  <c r="AI37" i="91"/>
  <c r="P5" i="91" s="1" a="1"/>
  <c r="P5" i="91" s="1"/>
  <c r="Q9" i="102"/>
  <c r="AJ35" i="102" s="1"/>
  <c r="Q10" i="102" s="1" a="1"/>
  <c r="Q5" i="99"/>
  <c r="W5" i="99" s="1"/>
  <c r="P2" i="106" a="1"/>
  <c r="R2" i="106" s="1"/>
  <c r="AG36" i="106"/>
  <c r="Q9" i="106"/>
  <c r="AW33" i="106" s="1"/>
  <c r="AJ36" i="113"/>
  <c r="P14" i="106" a="1"/>
  <c r="R14" i="106" s="1"/>
  <c r="P14" i="107" a="1"/>
  <c r="S14" i="107" s="1"/>
  <c r="R10" i="94"/>
  <c r="S10" i="94" s="1"/>
  <c r="P5" i="112" a="1"/>
  <c r="P5" i="112" s="1"/>
  <c r="Q9" i="94" a="1"/>
  <c r="R9" i="94" s="1"/>
  <c r="P2" i="107" a="1"/>
  <c r="Q2" i="107" s="1"/>
  <c r="P13" i="92" a="1"/>
  <c r="R13" i="92" s="1"/>
  <c r="Q9" i="103"/>
  <c r="AJ35" i="103" s="1"/>
  <c r="P6" i="99"/>
  <c r="W6" i="99" s="1"/>
  <c r="AG36" i="103"/>
  <c r="Q9" i="92" a="1"/>
  <c r="Q9" i="92" s="1"/>
  <c r="P5" i="92" a="1"/>
  <c r="P5" i="92" s="1"/>
  <c r="R9" i="107"/>
  <c r="AX33" i="107" s="1"/>
  <c r="P2" i="102" a="1"/>
  <c r="P2" i="102" s="1"/>
  <c r="P13" i="106" a="1"/>
  <c r="R13" i="106" s="1"/>
  <c r="P5" i="109" a="1"/>
  <c r="P5" i="109" s="1"/>
  <c r="Q9" i="90" a="1"/>
  <c r="Q9" i="90" s="1"/>
  <c r="AF36" i="107"/>
  <c r="P6" i="112" a="1"/>
  <c r="Q6" i="112" s="1"/>
  <c r="P6" i="113" a="1"/>
  <c r="Q6" i="113" s="1"/>
  <c r="P9" i="112" a="1"/>
  <c r="Q9" i="112" s="1"/>
  <c r="S22" i="124"/>
  <c r="I13" i="124" s="1"/>
  <c r="I17" i="124" s="1"/>
  <c r="AF34" i="102"/>
  <c r="AF34" i="106"/>
  <c r="P6" i="109" a="1"/>
  <c r="Q6" i="109" s="1"/>
  <c r="S22" i="105"/>
  <c r="I13" i="105" s="1"/>
  <c r="I17" i="105" s="1"/>
  <c r="P14" i="102" a="1"/>
  <c r="S14" i="102" s="1"/>
  <c r="Q11" i="106"/>
  <c r="S11" i="106"/>
  <c r="AY35" i="106" s="1"/>
  <c r="R11" i="106"/>
  <c r="AX35" i="106" s="1"/>
  <c r="P13" i="102" a="1"/>
  <c r="AF37" i="102"/>
  <c r="AF34" i="107"/>
  <c r="R13" i="112"/>
  <c r="S13" i="112"/>
  <c r="AG34" i="102"/>
  <c r="Y9" i="98"/>
  <c r="W10" i="98"/>
  <c r="D23" i="83" s="1"/>
  <c r="E23" i="83"/>
  <c r="C4" i="101" s="1"/>
  <c r="AI35" i="90"/>
  <c r="AJ35" i="90"/>
  <c r="AG34" i="107"/>
  <c r="P6" i="107" s="1" a="1"/>
  <c r="AG34" i="106"/>
  <c r="P9" i="113" a="1"/>
  <c r="AX33" i="106"/>
  <c r="R11" i="102"/>
  <c r="Q11" i="102"/>
  <c r="S11" i="102"/>
  <c r="P5" i="113" a="1"/>
  <c r="S13" i="113"/>
  <c r="R13" i="113"/>
  <c r="Q9" i="95" a="1"/>
  <c r="Q10" i="95" a="1"/>
  <c r="AJ36" i="112"/>
  <c r="AW33" i="107"/>
  <c r="S12" i="112"/>
  <c r="R12" i="112"/>
  <c r="AJ37" i="90"/>
  <c r="AI37" i="90"/>
  <c r="S12" i="113"/>
  <c r="R12" i="113"/>
  <c r="R9" i="110"/>
  <c r="Q9" i="110"/>
  <c r="S11" i="107"/>
  <c r="AY35" i="107" s="1"/>
  <c r="R11" i="107"/>
  <c r="AX35" i="107" s="1"/>
  <c r="Q11" i="107"/>
  <c r="Q9" i="91" a="1"/>
  <c r="AG37" i="102"/>
  <c r="AJ34" i="90"/>
  <c r="AI34" i="90"/>
  <c r="R9" i="109"/>
  <c r="Q9" i="109"/>
  <c r="AJ36" i="90"/>
  <c r="AI36" i="90"/>
  <c r="R10" i="92"/>
  <c r="Q10" i="92"/>
  <c r="AL36" i="99" l="1"/>
  <c r="DA22" i="83" s="1"/>
  <c r="AL44" i="95"/>
  <c r="AZ28" i="83" s="1"/>
  <c r="BC28" i="83"/>
  <c r="W9" i="99"/>
  <c r="H23" i="83" s="1"/>
  <c r="C5" i="101" s="1"/>
  <c r="C16" i="101" s="1"/>
  <c r="F16" i="101" s="1"/>
  <c r="P13" i="103"/>
  <c r="AM44" i="95"/>
  <c r="BA28" i="83" s="1"/>
  <c r="AK44" i="95"/>
  <c r="AY28" i="83" s="1"/>
  <c r="AF44" i="95"/>
  <c r="AT28" i="83" s="1"/>
  <c r="AH44" i="95"/>
  <c r="AV28" i="83" s="1"/>
  <c r="Q14" i="103"/>
  <c r="P14" i="103"/>
  <c r="P13" i="107"/>
  <c r="Q13" i="107"/>
  <c r="S14" i="103"/>
  <c r="AI44" i="95"/>
  <c r="AW28" i="83" s="1"/>
  <c r="P5" i="103" a="1"/>
  <c r="Q5" i="103" s="1"/>
  <c r="AJ44" i="95"/>
  <c r="AX28" i="83" s="1"/>
  <c r="AG44" i="95"/>
  <c r="AU28" i="83" s="1"/>
  <c r="Q13" i="103"/>
  <c r="P5" i="106" a="1"/>
  <c r="Q5" i="106" s="1"/>
  <c r="P8" i="113"/>
  <c r="S8" i="113" s="1"/>
  <c r="T9" i="102"/>
  <c r="AS39" i="102"/>
  <c r="P6" i="103" a="1"/>
  <c r="Q6" i="103" s="1"/>
  <c r="Q8" i="112"/>
  <c r="S8" i="112" s="1"/>
  <c r="AJ35" i="106"/>
  <c r="Q10" i="106" s="1" a="1"/>
  <c r="Q10" i="106" s="1"/>
  <c r="AW34" i="106" s="1"/>
  <c r="P6" i="106" a="1"/>
  <c r="Q6" i="106" s="1"/>
  <c r="AJ35" i="107"/>
  <c r="Q10" i="107" s="1" a="1"/>
  <c r="P13" i="92"/>
  <c r="Q13" i="92"/>
  <c r="T9" i="106"/>
  <c r="P6" i="112"/>
  <c r="S6" i="112" s="1"/>
  <c r="P2" i="106"/>
  <c r="Q2" i="106"/>
  <c r="S14" i="106"/>
  <c r="Q5" i="112"/>
  <c r="S5" i="112" s="1"/>
  <c r="R9" i="90"/>
  <c r="AO30" i="90" s="1"/>
  <c r="P14" i="107"/>
  <c r="I25" i="124"/>
  <c r="E26" i="124" s="1" a="1"/>
  <c r="E26" i="124" s="1"/>
  <c r="R2" i="107"/>
  <c r="P2" i="107"/>
  <c r="Q5" i="91"/>
  <c r="W5" i="91" s="1"/>
  <c r="AS29" i="83" s="1"/>
  <c r="Q5" i="109"/>
  <c r="W5" i="109" s="1"/>
  <c r="Q14" i="107"/>
  <c r="AS39" i="103"/>
  <c r="R14" i="107"/>
  <c r="T9" i="103"/>
  <c r="P14" i="106"/>
  <c r="Q9" i="94"/>
  <c r="S9" i="94" s="1"/>
  <c r="Q14" i="106"/>
  <c r="AK44" i="99"/>
  <c r="AY23" i="83" s="1"/>
  <c r="AH44" i="99"/>
  <c r="AV23" i="83" s="1"/>
  <c r="AF44" i="99"/>
  <c r="AT23" i="83" s="1"/>
  <c r="AI44" i="99"/>
  <c r="AW23" i="83" s="1"/>
  <c r="AG44" i="99"/>
  <c r="AU23" i="83" s="1"/>
  <c r="BC23" i="83"/>
  <c r="AM44" i="99"/>
  <c r="BA23" i="83" s="1"/>
  <c r="AJ44" i="99"/>
  <c r="AX23" i="83" s="1"/>
  <c r="AL44" i="99"/>
  <c r="AZ23" i="83" s="1"/>
  <c r="R9" i="92"/>
  <c r="S9" i="92" s="1"/>
  <c r="P5" i="102" a="1"/>
  <c r="Q5" i="102" s="1"/>
  <c r="AO44" i="95" a="1"/>
  <c r="Q2" i="102"/>
  <c r="P13" i="106"/>
  <c r="Q13" i="106"/>
  <c r="R2" i="102"/>
  <c r="Q5" i="92"/>
  <c r="W5" i="92" s="1"/>
  <c r="T9" i="107"/>
  <c r="P5" i="90" a="1"/>
  <c r="P5" i="90" s="1"/>
  <c r="AJ35" i="109"/>
  <c r="Q10" i="109" s="1" a="1"/>
  <c r="I25" i="105"/>
  <c r="I27" i="105" s="1"/>
  <c r="P6" i="109"/>
  <c r="W6" i="109" s="1"/>
  <c r="AH44" i="109" s="1"/>
  <c r="R24" i="83" s="1"/>
  <c r="P14" i="102"/>
  <c r="Q14" i="102"/>
  <c r="R14" i="102"/>
  <c r="P6" i="91"/>
  <c r="W6" i="91" s="1"/>
  <c r="P9" i="112"/>
  <c r="S9" i="112" s="1"/>
  <c r="P6" i="90" a="1"/>
  <c r="Q6" i="90" s="1"/>
  <c r="P5" i="107" a="1"/>
  <c r="P5" i="107" s="1"/>
  <c r="P6" i="113"/>
  <c r="S6" i="113" s="1"/>
  <c r="S14" i="112"/>
  <c r="AN29" i="112"/>
  <c r="AW35" i="106"/>
  <c r="AZ35" i="106" s="1"/>
  <c r="T11" i="106"/>
  <c r="Q10" i="103" a="1"/>
  <c r="S10" i="92"/>
  <c r="AJ35" i="110"/>
  <c r="W10" i="99"/>
  <c r="G23" i="83" s="1"/>
  <c r="R14" i="112"/>
  <c r="AM29" i="112"/>
  <c r="P9" i="113"/>
  <c r="Q9" i="113"/>
  <c r="Q5" i="113"/>
  <c r="P5" i="113"/>
  <c r="R10" i="102"/>
  <c r="Q10" i="102"/>
  <c r="R10" i="95"/>
  <c r="Q10" i="95"/>
  <c r="Q6" i="107"/>
  <c r="P6" i="107"/>
  <c r="R9" i="91"/>
  <c r="Q9" i="91"/>
  <c r="F17" i="124"/>
  <c r="E17" i="124"/>
  <c r="K43" i="83"/>
  <c r="I18" i="124"/>
  <c r="R14" i="113"/>
  <c r="AM29" i="113"/>
  <c r="T11" i="102"/>
  <c r="AS41" i="102"/>
  <c r="Q9" i="95"/>
  <c r="R9" i="95"/>
  <c r="AZ33" i="107"/>
  <c r="E17" i="105"/>
  <c r="F17" i="105"/>
  <c r="J43" i="83"/>
  <c r="I18" i="105"/>
  <c r="R13" i="102"/>
  <c r="Q13" i="102"/>
  <c r="P13" i="102"/>
  <c r="AJ43" i="99"/>
  <c r="AN23" i="83" s="1"/>
  <c r="AI43" i="99"/>
  <c r="AM23" i="83" s="1"/>
  <c r="AH43" i="99"/>
  <c r="AL23" i="83" s="1"/>
  <c r="AG43" i="99"/>
  <c r="AK23" i="83" s="1"/>
  <c r="AF43" i="99"/>
  <c r="AM43" i="99"/>
  <c r="AQ23" i="83" s="1"/>
  <c r="AL43" i="99"/>
  <c r="AP23" i="83" s="1"/>
  <c r="AK43" i="99"/>
  <c r="AO23" i="83" s="1"/>
  <c r="AS23" i="83"/>
  <c r="AN29" i="113"/>
  <c r="S14" i="113"/>
  <c r="T11" i="107"/>
  <c r="AW35" i="107"/>
  <c r="AZ35" i="107" s="1"/>
  <c r="AZ33" i="106"/>
  <c r="P6" i="102" a="1"/>
  <c r="P16" i="103" l="1"/>
  <c r="O43" i="83" a="1"/>
  <c r="O43" i="83" s="1"/>
  <c r="P16" i="107"/>
  <c r="AO44" i="95"/>
  <c r="AP44" i="95" s="1"/>
  <c r="P17" i="103"/>
  <c r="AN44" i="95" a="1"/>
  <c r="AN44" i="95" s="1"/>
  <c r="BB28" i="83" s="1"/>
  <c r="P5" i="103"/>
  <c r="W5" i="103" s="1"/>
  <c r="AS36" i="102"/>
  <c r="CZ25" i="83" s="1"/>
  <c r="W9" i="102"/>
  <c r="Y9" i="102" s="1"/>
  <c r="P5" i="106"/>
  <c r="W5" i="106" s="1"/>
  <c r="AM43" i="106" s="1"/>
  <c r="AG27" i="83" s="1"/>
  <c r="P6" i="106"/>
  <c r="W6" i="106" s="1"/>
  <c r="P6" i="103"/>
  <c r="W6" i="103" s="1"/>
  <c r="BC26" i="83" s="1"/>
  <c r="W9" i="94"/>
  <c r="C4" i="96" s="1"/>
  <c r="AV36" i="94"/>
  <c r="CZ27" i="83" s="1"/>
  <c r="AO35" i="90"/>
  <c r="Q10" i="90" s="1" a="1"/>
  <c r="Y24" i="83"/>
  <c r="S9" i="90"/>
  <c r="W9" i="92"/>
  <c r="Y9" i="92" s="1"/>
  <c r="W9" i="106"/>
  <c r="W10" i="106" s="1"/>
  <c r="D27" i="83" s="1"/>
  <c r="AV36" i="92"/>
  <c r="W13" i="92"/>
  <c r="W14" i="92" s="1"/>
  <c r="AP35" i="94"/>
  <c r="W2" i="106"/>
  <c r="AN8" i="106" s="1"/>
  <c r="R10" i="106"/>
  <c r="T10" i="106" s="1"/>
  <c r="W2" i="107"/>
  <c r="AN9" i="106" s="1"/>
  <c r="P17" i="107"/>
  <c r="P18" i="107" s="1"/>
  <c r="W13" i="107" s="1"/>
  <c r="W14" i="107" s="1"/>
  <c r="I27" i="83" s="1"/>
  <c r="W8" i="112"/>
  <c r="P6" i="90"/>
  <c r="W6" i="90" s="1"/>
  <c r="Y29" i="83" s="1"/>
  <c r="F25" i="124"/>
  <c r="P16" i="106"/>
  <c r="I27" i="124"/>
  <c r="I29" i="124" s="1"/>
  <c r="K53" i="83" s="1"/>
  <c r="P5" i="102"/>
  <c r="W5" i="102" s="1"/>
  <c r="AG43" i="102" s="1"/>
  <c r="AA26" i="83" s="1"/>
  <c r="P17" i="106"/>
  <c r="K49" i="83"/>
  <c r="AR36" i="107"/>
  <c r="DA26" i="83" s="1"/>
  <c r="AN44" i="99" a="1"/>
  <c r="AN44" i="99" s="1"/>
  <c r="BB23" i="83" s="1"/>
  <c r="AI44" i="109"/>
  <c r="S24" i="83" s="1"/>
  <c r="AJ44" i="109"/>
  <c r="T24" i="83" s="1"/>
  <c r="Q5" i="90"/>
  <c r="W5" i="90" s="1"/>
  <c r="AI29" i="83" s="1"/>
  <c r="AM44" i="109"/>
  <c r="W24" i="83" s="1"/>
  <c r="F25" i="105"/>
  <c r="AF44" i="109"/>
  <c r="P24" i="83" s="1"/>
  <c r="J49" i="83"/>
  <c r="O49" i="83" s="1" a="1"/>
  <c r="O49" i="83" s="1"/>
  <c r="AK44" i="109"/>
  <c r="U24" i="83" s="1"/>
  <c r="W2" i="102"/>
  <c r="AN8" i="102" s="1"/>
  <c r="AG44" i="109"/>
  <c r="Q24" i="83" s="1"/>
  <c r="E26" i="105" a="1"/>
  <c r="E26" i="105" s="1"/>
  <c r="AR36" i="106"/>
  <c r="CZ26" i="83" s="1"/>
  <c r="W9" i="107"/>
  <c r="H27" i="83" s="1"/>
  <c r="AO44" i="99" a="1"/>
  <c r="AO44" i="99" s="1"/>
  <c r="AP44" i="99" s="1"/>
  <c r="S9" i="95"/>
  <c r="S5" i="113"/>
  <c r="W5" i="113" s="1"/>
  <c r="AL44" i="109"/>
  <c r="V24" i="83" s="1"/>
  <c r="AP35" i="92"/>
  <c r="AO36" i="113"/>
  <c r="DA24" i="83" s="1"/>
  <c r="W12" i="113"/>
  <c r="AE45" i="113" s="1"/>
  <c r="AO36" i="112"/>
  <c r="CZ24" i="83" s="1"/>
  <c r="W12" i="112"/>
  <c r="AE48" i="112" s="1"/>
  <c r="Q5" i="107"/>
  <c r="W5" i="107" s="1"/>
  <c r="P17" i="102"/>
  <c r="C15" i="101"/>
  <c r="F15" i="101" s="1"/>
  <c r="C33" i="101" s="1"/>
  <c r="Q10" i="110" a="1"/>
  <c r="R10" i="103"/>
  <c r="Q10" i="103"/>
  <c r="T10" i="102"/>
  <c r="AS40" i="102"/>
  <c r="Q6" i="102"/>
  <c r="P6" i="102"/>
  <c r="AM43" i="109"/>
  <c r="AG24" i="83" s="1"/>
  <c r="AL43" i="109"/>
  <c r="AF24" i="83" s="1"/>
  <c r="AI43" i="109"/>
  <c r="AC24" i="83" s="1"/>
  <c r="AF43" i="109"/>
  <c r="AG43" i="109"/>
  <c r="AA24" i="83" s="1"/>
  <c r="AK43" i="109"/>
  <c r="AE24" i="83" s="1"/>
  <c r="AJ43" i="109"/>
  <c r="AD24" i="83" s="1"/>
  <c r="AH43" i="109"/>
  <c r="AB24" i="83" s="1"/>
  <c r="AI24" i="83"/>
  <c r="I21" i="105"/>
  <c r="I19" i="105"/>
  <c r="J45" i="83" s="1"/>
  <c r="I20" i="105"/>
  <c r="J46" i="83" s="1"/>
  <c r="J44" i="83"/>
  <c r="I21" i="124"/>
  <c r="I20" i="124"/>
  <c r="K46" i="83" s="1"/>
  <c r="I19" i="124"/>
  <c r="K45" i="83" s="1"/>
  <c r="K44" i="83"/>
  <c r="R10" i="109"/>
  <c r="Q10" i="109"/>
  <c r="I30" i="105"/>
  <c r="I29" i="105"/>
  <c r="J53" i="83" s="1"/>
  <c r="I28" i="105"/>
  <c r="J52" i="83" s="1"/>
  <c r="J51" i="83"/>
  <c r="BC29" i="83"/>
  <c r="AO43" i="99" a="1"/>
  <c r="AO43" i="99" s="1"/>
  <c r="AP43" i="99" s="1"/>
  <c r="AN43" i="99" a="1"/>
  <c r="AN43" i="99" s="1"/>
  <c r="AR23" i="83" s="1"/>
  <c r="AJ23" i="83"/>
  <c r="AO35" i="91"/>
  <c r="AN28" i="91"/>
  <c r="S9" i="91"/>
  <c r="AP35" i="95"/>
  <c r="W5" i="112"/>
  <c r="R10" i="107"/>
  <c r="Q10" i="107"/>
  <c r="AW34" i="107" s="1"/>
  <c r="S9" i="113"/>
  <c r="W8" i="113" s="1"/>
  <c r="AL43" i="92"/>
  <c r="AK43" i="92"/>
  <c r="AJ43" i="92"/>
  <c r="AI43" i="92"/>
  <c r="AH43" i="92"/>
  <c r="AG43" i="92"/>
  <c r="AF43" i="92"/>
  <c r="AM43" i="92"/>
  <c r="P16" i="102"/>
  <c r="W6" i="107"/>
  <c r="S10" i="95"/>
  <c r="W9" i="95"/>
  <c r="AV36" i="95"/>
  <c r="DA27" i="83" s="1"/>
  <c r="P18" i="103" l="1"/>
  <c r="W13" i="103" s="1"/>
  <c r="W16" i="102" s="1"/>
  <c r="W10" i="102"/>
  <c r="D26" i="83" s="1"/>
  <c r="O46" i="83" a="1"/>
  <c r="O46" i="83" s="1"/>
  <c r="O44" i="83" a="1"/>
  <c r="O44" i="83" s="1"/>
  <c r="O45" i="83" a="1"/>
  <c r="O45" i="83" s="1"/>
  <c r="O53" i="83" a="1"/>
  <c r="O53" i="83" s="1"/>
  <c r="E26" i="83"/>
  <c r="W14" i="103"/>
  <c r="I26" i="83" s="1"/>
  <c r="AG43" i="106"/>
  <c r="AA27" i="83" s="1"/>
  <c r="AF43" i="106"/>
  <c r="Z27" i="83" s="1"/>
  <c r="AJ43" i="106"/>
  <c r="AD27" i="83" s="1"/>
  <c r="AI27" i="83"/>
  <c r="AK43" i="106"/>
  <c r="AE27" i="83" s="1"/>
  <c r="AI43" i="106"/>
  <c r="AC27" i="83" s="1"/>
  <c r="AH43" i="106"/>
  <c r="AB27" i="83" s="1"/>
  <c r="AL43" i="106"/>
  <c r="AF27" i="83" s="1"/>
  <c r="AH44" i="103"/>
  <c r="AV26" i="83" s="1"/>
  <c r="AG44" i="103"/>
  <c r="AU26" i="83" s="1"/>
  <c r="W10" i="94"/>
  <c r="D28" i="83" s="1"/>
  <c r="Y9" i="94"/>
  <c r="AF44" i="103"/>
  <c r="AT26" i="83" s="1"/>
  <c r="AI44" i="103"/>
  <c r="AW26" i="83" s="1"/>
  <c r="AJ44" i="103"/>
  <c r="AX26" i="83" s="1"/>
  <c r="AM44" i="103"/>
  <c r="BA26" i="83" s="1"/>
  <c r="AK44" i="103"/>
  <c r="AY26" i="83" s="1"/>
  <c r="E28" i="83"/>
  <c r="AL44" i="103"/>
  <c r="AZ26" i="83" s="1"/>
  <c r="AN43" i="106" a="1"/>
  <c r="E20" i="105"/>
  <c r="I30" i="124"/>
  <c r="K54" i="83" s="1"/>
  <c r="AX34" i="106"/>
  <c r="AZ34" i="106" s="1"/>
  <c r="AH43" i="102"/>
  <c r="AB26" i="83" s="1"/>
  <c r="AJ43" i="102"/>
  <c r="AD26" i="83" s="1"/>
  <c r="AL43" i="102"/>
  <c r="AF26" i="83" s="1"/>
  <c r="E27" i="83"/>
  <c r="AK43" i="102"/>
  <c r="AE26" i="83" s="1"/>
  <c r="AM43" i="102"/>
  <c r="AG26" i="83" s="1"/>
  <c r="Y9" i="106"/>
  <c r="W10" i="92"/>
  <c r="AI43" i="102"/>
  <c r="AC26" i="83" s="1"/>
  <c r="K51" i="83"/>
  <c r="O51" i="83" s="1" a="1"/>
  <c r="O51" i="83" s="1"/>
  <c r="P18" i="106"/>
  <c r="W13" i="106" s="1"/>
  <c r="W14" i="106" s="1"/>
  <c r="F27" i="83" s="1"/>
  <c r="K27" i="83" s="1"/>
  <c r="L27" i="83" s="1"/>
  <c r="E29" i="124"/>
  <c r="Y11" i="113"/>
  <c r="I28" i="124"/>
  <c r="K52" i="83" s="1"/>
  <c r="O52" i="83" s="1" a="1"/>
  <c r="O52" i="83" s="1"/>
  <c r="AE54" i="113"/>
  <c r="AE46" i="113"/>
  <c r="AI26" i="83"/>
  <c r="AE48" i="113"/>
  <c r="AE47" i="113"/>
  <c r="AE53" i="113"/>
  <c r="AF43" i="102"/>
  <c r="Z26" i="83" s="1"/>
  <c r="W13" i="113"/>
  <c r="G25" i="83" s="1"/>
  <c r="AE51" i="113"/>
  <c r="AE45" i="112"/>
  <c r="AE46" i="112"/>
  <c r="Y12" i="112"/>
  <c r="AE52" i="113"/>
  <c r="W16" i="106"/>
  <c r="E25" i="83"/>
  <c r="AE47" i="112"/>
  <c r="Y9" i="107"/>
  <c r="W10" i="107"/>
  <c r="G27" i="83" s="1"/>
  <c r="AO44" i="109" a="1"/>
  <c r="AO44" i="109" s="1"/>
  <c r="AP44" i="109" s="1"/>
  <c r="P18" i="102"/>
  <c r="W13" i="102" s="1"/>
  <c r="W14" i="102" s="1"/>
  <c r="W13" i="112"/>
  <c r="D25" i="83" s="1"/>
  <c r="AN44" i="109" a="1"/>
  <c r="AN44" i="109" s="1"/>
  <c r="X24" i="83" s="1"/>
  <c r="AE52" i="112"/>
  <c r="AE54" i="112"/>
  <c r="AE53" i="112"/>
  <c r="AE51" i="112"/>
  <c r="H25" i="83"/>
  <c r="AJ43" i="107"/>
  <c r="AN27" i="83" s="1"/>
  <c r="AS27" i="83"/>
  <c r="AI43" i="107"/>
  <c r="AM27" i="83" s="1"/>
  <c r="AH43" i="107"/>
  <c r="AL27" i="83" s="1"/>
  <c r="AG43" i="107"/>
  <c r="AK27" i="83" s="1"/>
  <c r="AM43" i="107"/>
  <c r="AQ27" i="83" s="1"/>
  <c r="AL43" i="107"/>
  <c r="AP27" i="83" s="1"/>
  <c r="AK43" i="107"/>
  <c r="AO27" i="83" s="1"/>
  <c r="AF43" i="107"/>
  <c r="AJ27" i="83" s="1"/>
  <c r="AN12" i="106"/>
  <c r="AN17" i="106" s="1"/>
  <c r="E19" i="105"/>
  <c r="W6" i="102"/>
  <c r="AK44" i="102" s="1"/>
  <c r="U26" i="83" s="1"/>
  <c r="E29" i="105"/>
  <c r="AN43" i="92" a="1"/>
  <c r="AN43" i="92" s="1"/>
  <c r="AO43" i="92" a="1"/>
  <c r="AO43" i="92" s="1"/>
  <c r="AP43" i="92" s="1"/>
  <c r="I22" i="105"/>
  <c r="E21" i="105" s="1"/>
  <c r="J47" i="83"/>
  <c r="AI43" i="103"/>
  <c r="AM26" i="83" s="1"/>
  <c r="AH43" i="103"/>
  <c r="AL26" i="83" s="1"/>
  <c r="AG43" i="103"/>
  <c r="AK26" i="83" s="1"/>
  <c r="AF43" i="103"/>
  <c r="AM43" i="103"/>
  <c r="AQ26" i="83" s="1"/>
  <c r="AL43" i="103"/>
  <c r="AP26" i="83" s="1"/>
  <c r="AJ43" i="103"/>
  <c r="AN26" i="83" s="1"/>
  <c r="AK43" i="103"/>
  <c r="AO26" i="83" s="1"/>
  <c r="AS26" i="83"/>
  <c r="E28" i="105"/>
  <c r="Q10" i="91" a="1"/>
  <c r="E19" i="124"/>
  <c r="E20" i="124"/>
  <c r="AH44" i="107"/>
  <c r="AV27" i="83" s="1"/>
  <c r="AG44" i="107"/>
  <c r="AU27" i="83" s="1"/>
  <c r="AF44" i="107"/>
  <c r="AM44" i="107"/>
  <c r="BA27" i="83" s="1"/>
  <c r="AL44" i="107"/>
  <c r="AZ27" i="83" s="1"/>
  <c r="AJ44" i="107"/>
  <c r="AX27" i="83" s="1"/>
  <c r="AK44" i="107"/>
  <c r="AY27" i="83" s="1"/>
  <c r="AI44" i="107"/>
  <c r="AW27" i="83" s="1"/>
  <c r="BC27" i="83"/>
  <c r="R10" i="90"/>
  <c r="Q10" i="90"/>
  <c r="I22" i="124"/>
  <c r="E21" i="124" s="1"/>
  <c r="K47" i="83"/>
  <c r="T10" i="103"/>
  <c r="AS40" i="103"/>
  <c r="Q10" i="110"/>
  <c r="R10" i="110"/>
  <c r="AM44" i="106"/>
  <c r="W27" i="83" s="1"/>
  <c r="AL44" i="106"/>
  <c r="V27" i="83" s="1"/>
  <c r="AK44" i="106"/>
  <c r="U27" i="83" s="1"/>
  <c r="AJ44" i="106"/>
  <c r="T27" i="83" s="1"/>
  <c r="AH44" i="106"/>
  <c r="R27" i="83" s="1"/>
  <c r="AF44" i="106"/>
  <c r="AI44" i="106"/>
  <c r="S27" i="83" s="1"/>
  <c r="AG44" i="106"/>
  <c r="Q27" i="83" s="1"/>
  <c r="Y27" i="83"/>
  <c r="W9" i="109"/>
  <c r="AO36" i="109"/>
  <c r="CZ23" i="83" s="1"/>
  <c r="I31" i="105"/>
  <c r="E30" i="105" s="1"/>
  <c r="J54" i="83"/>
  <c r="AN43" i="109" a="1"/>
  <c r="AN43" i="109" s="1"/>
  <c r="AH24" i="83" s="1"/>
  <c r="AO43" i="109" a="1"/>
  <c r="AO43" i="109" s="1"/>
  <c r="AP43" i="109" s="1"/>
  <c r="Z24" i="83"/>
  <c r="AX34" i="107"/>
  <c r="AZ34" i="107" s="1"/>
  <c r="T10" i="107"/>
  <c r="W10" i="95"/>
  <c r="G28" i="83" s="1"/>
  <c r="C5" i="96"/>
  <c r="Y9" i="95"/>
  <c r="H28" i="83"/>
  <c r="E28" i="124" l="1"/>
  <c r="O54" i="83" a="1"/>
  <c r="O54" i="83" s="1"/>
  <c r="O47" i="83" a="1"/>
  <c r="O47" i="83" s="1"/>
  <c r="AN43" i="106"/>
  <c r="AH27" i="83" s="1"/>
  <c r="AO43" i="106" a="1"/>
  <c r="AO43" i="106" s="1"/>
  <c r="AP43" i="106" s="1"/>
  <c r="AN44" i="103" a="1"/>
  <c r="AN44" i="103" s="1"/>
  <c r="BB26" i="83" s="1"/>
  <c r="AO44" i="103" a="1"/>
  <c r="AO44" i="103" s="1"/>
  <c r="AP44" i="103" s="1"/>
  <c r="I31" i="124"/>
  <c r="E30" i="124" s="1"/>
  <c r="E22" i="105"/>
  <c r="J48" i="83" s="1"/>
  <c r="W19" i="102"/>
  <c r="W22" i="102" s="1"/>
  <c r="W19" i="106"/>
  <c r="W22" i="106" s="1"/>
  <c r="AN43" i="102" a="1"/>
  <c r="AN43" i="102" s="1"/>
  <c r="AH26" i="83" s="1"/>
  <c r="AN11" i="106"/>
  <c r="AN16" i="106" s="1"/>
  <c r="AN18" i="106" s="1"/>
  <c r="CI26" i="83" s="1"/>
  <c r="CI36" i="83" s="1" a="1"/>
  <c r="CI36" i="83" s="1"/>
  <c r="AO43" i="102" a="1"/>
  <c r="AO43" i="102" s="1"/>
  <c r="AP43" i="102" s="1"/>
  <c r="AE49" i="112"/>
  <c r="V49" i="112" s="1"/>
  <c r="AD55" i="112" s="1"/>
  <c r="AD43" i="112" s="1"/>
  <c r="AO43" i="112" s="1"/>
  <c r="W25" i="83" s="1"/>
  <c r="AE49" i="113"/>
  <c r="V49" i="113" s="1"/>
  <c r="AC49" i="113" s="1"/>
  <c r="AC42" i="113" s="1"/>
  <c r="AN42" i="113" s="1"/>
  <c r="AP25" i="83" s="1"/>
  <c r="AE55" i="112"/>
  <c r="V55" i="112" s="1"/>
  <c r="AE55" i="113"/>
  <c r="V55" i="113" s="1"/>
  <c r="AN43" i="107" a="1"/>
  <c r="AN43" i="107" s="1"/>
  <c r="AR27" i="83" s="1"/>
  <c r="AF44" i="102"/>
  <c r="P26" i="83" s="1"/>
  <c r="AO43" i="107" a="1"/>
  <c r="AO43" i="107" s="1"/>
  <c r="AP43" i="107" s="1"/>
  <c r="AM44" i="102"/>
  <c r="W26" i="83" s="1"/>
  <c r="E31" i="105"/>
  <c r="J55" i="83" s="1"/>
  <c r="Y26" i="83"/>
  <c r="AL44" i="102"/>
  <c r="V26" i="83" s="1"/>
  <c r="AG44" i="102"/>
  <c r="Q26" i="83" s="1"/>
  <c r="AH44" i="102"/>
  <c r="R26" i="83" s="1"/>
  <c r="AI44" i="102"/>
  <c r="S26" i="83" s="1"/>
  <c r="AJ44" i="102"/>
  <c r="T26" i="83" s="1"/>
  <c r="E22" i="124"/>
  <c r="K48" i="83" s="1"/>
  <c r="W10" i="109"/>
  <c r="D24" i="83" s="1"/>
  <c r="Y9" i="109"/>
  <c r="E24" i="83"/>
  <c r="C4" i="111" s="1"/>
  <c r="Q10" i="91"/>
  <c r="R10" i="91"/>
  <c r="F26" i="83"/>
  <c r="AN11" i="102"/>
  <c r="AN16" i="102" s="1"/>
  <c r="C15" i="96"/>
  <c r="F15" i="96" s="1"/>
  <c r="C16" i="96"/>
  <c r="F16" i="96" s="1"/>
  <c r="W9" i="110"/>
  <c r="AO36" i="110"/>
  <c r="DA23" i="83" s="1"/>
  <c r="AO44" i="106" a="1"/>
  <c r="AO44" i="106" s="1"/>
  <c r="AP44" i="106" s="1"/>
  <c r="AN44" i="106" a="1"/>
  <c r="AN44" i="106" s="1"/>
  <c r="X27" i="83" s="1"/>
  <c r="P27" i="83"/>
  <c r="AO44" i="107" a="1"/>
  <c r="AO44" i="107" s="1"/>
  <c r="AP44" i="107" s="1"/>
  <c r="AN44" i="107" a="1"/>
  <c r="AN44" i="107" s="1"/>
  <c r="BB27" i="83" s="1"/>
  <c r="AT27" i="83"/>
  <c r="AO43" i="103" a="1"/>
  <c r="AO43" i="103" s="1"/>
  <c r="AP43" i="103" s="1"/>
  <c r="AN43" i="103" a="1"/>
  <c r="AN43" i="103" s="1"/>
  <c r="AR26" i="83" s="1"/>
  <c r="AJ26" i="83"/>
  <c r="S10" i="90"/>
  <c r="W9" i="90"/>
  <c r="AV36" i="90"/>
  <c r="CZ28" i="83" s="1"/>
  <c r="CZ36" i="83" s="1" a="1"/>
  <c r="CZ36" i="83" s="1"/>
  <c r="E31" i="124" l="1"/>
  <c r="K55" i="83" s="1"/>
  <c r="O48" i="83" a="1"/>
  <c r="O48" i="83" s="1"/>
  <c r="P45" i="83" s="1"/>
  <c r="M90" i="82" s="1"/>
  <c r="Z55" i="113"/>
  <c r="Z43" i="113" s="1"/>
  <c r="AK43" i="113" s="1"/>
  <c r="AW25" i="83" s="1"/>
  <c r="AB49" i="113"/>
  <c r="AB42" i="113" s="1"/>
  <c r="AM42" i="113" s="1"/>
  <c r="AO25" i="83" s="1"/>
  <c r="AA49" i="113"/>
  <c r="AA42" i="113" s="1"/>
  <c r="AL42" i="113" s="1"/>
  <c r="AN25" i="83" s="1"/>
  <c r="AB55" i="113"/>
  <c r="AB43" i="113" s="1"/>
  <c r="AM43" i="113" s="1"/>
  <c r="AY25" i="83" s="1"/>
  <c r="AA55" i="113"/>
  <c r="AA43" i="113" s="1"/>
  <c r="AL43" i="113" s="1"/>
  <c r="AX25" i="83" s="1"/>
  <c r="Z55" i="112"/>
  <c r="Z43" i="112" s="1"/>
  <c r="AK43" i="112" s="1"/>
  <c r="S25" i="83" s="1"/>
  <c r="AB55" i="112"/>
  <c r="AB43" i="112" s="1"/>
  <c r="AM43" i="112" s="1"/>
  <c r="U25" i="83" s="1"/>
  <c r="AD49" i="112"/>
  <c r="AD42" i="112" s="1"/>
  <c r="AO42" i="112" s="1"/>
  <c r="AG25" i="83" s="1"/>
  <c r="Z49" i="112"/>
  <c r="Z42" i="112" s="1"/>
  <c r="AK42" i="112" s="1"/>
  <c r="AC25" i="83" s="1"/>
  <c r="X55" i="113"/>
  <c r="X43" i="113" s="1"/>
  <c r="AI43" i="113" s="1"/>
  <c r="AU25" i="83" s="1"/>
  <c r="Y55" i="113"/>
  <c r="Y43" i="113" s="1"/>
  <c r="AJ43" i="113" s="1"/>
  <c r="AV25" i="83" s="1"/>
  <c r="Z49" i="113"/>
  <c r="Z42" i="113" s="1"/>
  <c r="AK42" i="113" s="1"/>
  <c r="AM25" i="83" s="1"/>
  <c r="Y49" i="112"/>
  <c r="Y42" i="112" s="1"/>
  <c r="AJ42" i="112" s="1"/>
  <c r="AB25" i="83" s="1"/>
  <c r="Y55" i="112"/>
  <c r="Y43" i="112" s="1"/>
  <c r="AJ43" i="112" s="1"/>
  <c r="R25" i="83" s="1"/>
  <c r="W49" i="112"/>
  <c r="W42" i="112" s="1"/>
  <c r="AH42" i="112" s="1"/>
  <c r="Z25" i="83" s="1"/>
  <c r="AC55" i="112"/>
  <c r="AC43" i="112" s="1"/>
  <c r="AN43" i="112" s="1"/>
  <c r="V25" i="83" s="1"/>
  <c r="X49" i="113"/>
  <c r="X42" i="113" s="1"/>
  <c r="AI42" i="113" s="1"/>
  <c r="AK25" i="83" s="1"/>
  <c r="AA55" i="112"/>
  <c r="AA43" i="112" s="1"/>
  <c r="AL43" i="112" s="1"/>
  <c r="T25" i="83" s="1"/>
  <c r="W49" i="113"/>
  <c r="W42" i="113" s="1"/>
  <c r="AH42" i="113" s="1"/>
  <c r="AJ25" i="83" s="1"/>
  <c r="W55" i="113"/>
  <c r="W43" i="113" s="1"/>
  <c r="AH43" i="113" s="1"/>
  <c r="AT25" i="83" s="1"/>
  <c r="X55" i="112"/>
  <c r="X43" i="112" s="1"/>
  <c r="AI43" i="112" s="1"/>
  <c r="Q25" i="83" s="1"/>
  <c r="W55" i="112"/>
  <c r="W43" i="112" s="1"/>
  <c r="AH43" i="112" s="1"/>
  <c r="P25" i="83" s="1"/>
  <c r="AC55" i="113"/>
  <c r="AC43" i="113" s="1"/>
  <c r="AN43" i="113" s="1"/>
  <c r="AZ25" i="83" s="1"/>
  <c r="AD55" i="113"/>
  <c r="AD43" i="113" s="1"/>
  <c r="AO43" i="113" s="1"/>
  <c r="BA25" i="83" s="1"/>
  <c r="Y49" i="113"/>
  <c r="Y42" i="113" s="1"/>
  <c r="AJ42" i="113" s="1"/>
  <c r="AL25" i="83" s="1"/>
  <c r="AD49" i="113"/>
  <c r="AD42" i="113" s="1"/>
  <c r="AO42" i="113" s="1"/>
  <c r="AQ25" i="83" s="1"/>
  <c r="AA49" i="112"/>
  <c r="AA42" i="112" s="1"/>
  <c r="AL42" i="112" s="1"/>
  <c r="AD25" i="83" s="1"/>
  <c r="AC49" i="112"/>
  <c r="AC42" i="112" s="1"/>
  <c r="AN42" i="112" s="1"/>
  <c r="AF25" i="83" s="1"/>
  <c r="AB49" i="112"/>
  <c r="AB42" i="112" s="1"/>
  <c r="AM42" i="112" s="1"/>
  <c r="AE25" i="83" s="1"/>
  <c r="X49" i="112"/>
  <c r="X42" i="112" s="1"/>
  <c r="AI42" i="112" s="1"/>
  <c r="AA25" i="83" s="1"/>
  <c r="AN44" i="102" a="1"/>
  <c r="AN44" i="102" s="1"/>
  <c r="X26" i="83" s="1"/>
  <c r="AO44" i="102" a="1"/>
  <c r="AO44" i="102" s="1"/>
  <c r="AP44" i="102" s="1"/>
  <c r="K26" i="83"/>
  <c r="W53" i="90"/>
  <c r="W52" i="90"/>
  <c r="W10" i="90"/>
  <c r="D29" i="83" s="1"/>
  <c r="D36" i="83" s="1"/>
  <c r="W47" i="90"/>
  <c r="W48" i="90"/>
  <c r="W46" i="90"/>
  <c r="W54" i="90"/>
  <c r="Y9" i="90"/>
  <c r="W51" i="90"/>
  <c r="W45" i="90"/>
  <c r="C4" i="93"/>
  <c r="E4" i="93" s="1"/>
  <c r="E29" i="83"/>
  <c r="E36" i="83" s="1"/>
  <c r="S10" i="91"/>
  <c r="AV36" i="91"/>
  <c r="DA28" i="83" s="1"/>
  <c r="W9" i="91"/>
  <c r="Y9" i="110"/>
  <c r="W10" i="110"/>
  <c r="G24" i="83" s="1"/>
  <c r="H24" i="83"/>
  <c r="C5" i="111" s="1"/>
  <c r="C15" i="111" s="1"/>
  <c r="F15" i="111" s="1"/>
  <c r="C33" i="96"/>
  <c r="P46" i="83" l="1"/>
  <c r="M91" i="82" s="1"/>
  <c r="M60" i="83" a="1"/>
  <c r="M60" i="83" s="1"/>
  <c r="M64" i="83" s="1"/>
  <c r="H93" i="82" s="1"/>
  <c r="P44" i="83"/>
  <c r="M89" i="82" s="1"/>
  <c r="P43" i="83"/>
  <c r="M88" i="82" s="1"/>
  <c r="P47" i="83"/>
  <c r="M92" i="82" s="1"/>
  <c r="P42" i="83"/>
  <c r="M87" i="82" s="1"/>
  <c r="AQ43" i="112" a="1"/>
  <c r="AQ43" i="112" s="1"/>
  <c r="AP47" i="112" s="1"/>
  <c r="AQ43" i="113" a="1"/>
  <c r="AQ43" i="113" s="1"/>
  <c r="BC25" i="83" s="1"/>
  <c r="BC36" i="83" s="1"/>
  <c r="AP43" i="112" a="1"/>
  <c r="AP43" i="112" s="1"/>
  <c r="X25" i="83" s="1"/>
  <c r="AP43" i="113" a="1"/>
  <c r="AP43" i="113" s="1"/>
  <c r="BB25" i="83" s="1"/>
  <c r="AQ42" i="112" a="1"/>
  <c r="AQ42" i="112" s="1"/>
  <c r="AI25" i="83" s="1"/>
  <c r="AP42" i="112" a="1"/>
  <c r="AP42" i="112" s="1"/>
  <c r="AH25" i="83" s="1"/>
  <c r="AQ42" i="113" a="1"/>
  <c r="AQ42" i="113" s="1"/>
  <c r="AP42" i="113" a="1"/>
  <c r="AP42" i="113" s="1"/>
  <c r="AR25" i="83" s="1"/>
  <c r="E38" i="83"/>
  <c r="D38" i="83" a="1"/>
  <c r="D38" i="83" s="1"/>
  <c r="E40" i="82" s="1"/>
  <c r="W49" i="90"/>
  <c r="AB49" i="90" s="1"/>
  <c r="AK45" i="90" s="1"/>
  <c r="AD29" i="83" s="1"/>
  <c r="W55" i="90"/>
  <c r="C16" i="111"/>
  <c r="F16" i="111" s="1"/>
  <c r="C33" i="111"/>
  <c r="L26" i="83"/>
  <c r="W54" i="91"/>
  <c r="W53" i="91"/>
  <c r="W52" i="91"/>
  <c r="W48" i="91"/>
  <c r="W47" i="91"/>
  <c r="C5" i="93"/>
  <c r="E5" i="93" s="1"/>
  <c r="C16" i="93" s="1"/>
  <c r="F16" i="93" s="1"/>
  <c r="W46" i="91"/>
  <c r="Y9" i="91"/>
  <c r="W45" i="91"/>
  <c r="W10" i="91"/>
  <c r="G29" i="83" s="1"/>
  <c r="H29" i="83"/>
  <c r="W51" i="91"/>
  <c r="AP46" i="112" l="1"/>
  <c r="Y25" i="83"/>
  <c r="AR43" i="113"/>
  <c r="AS25" i="83"/>
  <c r="AS36" i="83" s="1"/>
  <c r="AR42" i="113"/>
  <c r="AD55" i="90"/>
  <c r="AM51" i="90" s="1"/>
  <c r="V29" i="83" s="1"/>
  <c r="AE55" i="90"/>
  <c r="AN51" i="90" s="1"/>
  <c r="W29" i="83" s="1"/>
  <c r="AD49" i="90"/>
  <c r="AM45" i="90" s="1"/>
  <c r="AF29" i="83" s="1"/>
  <c r="W49" i="91"/>
  <c r="AE49" i="91" s="1"/>
  <c r="AN45" i="91" s="1"/>
  <c r="AQ29" i="83" s="1"/>
  <c r="AQ36" i="83" s="1"/>
  <c r="AE49" i="90"/>
  <c r="AN45" i="90" s="1"/>
  <c r="AG29" i="83" s="1"/>
  <c r="Y55" i="90"/>
  <c r="AH51" i="90" s="1"/>
  <c r="Q29" i="83" s="1"/>
  <c r="Z55" i="90"/>
  <c r="AI51" i="90" s="1"/>
  <c r="R29" i="83" s="1"/>
  <c r="X55" i="90"/>
  <c r="AG51" i="90" s="1"/>
  <c r="P29" i="83" s="1"/>
  <c r="AC49" i="90"/>
  <c r="AL45" i="90" s="1"/>
  <c r="AE29" i="83" s="1"/>
  <c r="X49" i="90"/>
  <c r="AG45" i="90" s="1"/>
  <c r="Y49" i="90"/>
  <c r="AH45" i="90" s="1"/>
  <c r="AA29" i="83" s="1"/>
  <c r="AA55" i="90"/>
  <c r="AJ51" i="90" s="1"/>
  <c r="S29" i="83" s="1"/>
  <c r="C4" i="104"/>
  <c r="E42" i="82"/>
  <c r="C4" i="114"/>
  <c r="C4" i="108"/>
  <c r="Z49" i="90"/>
  <c r="AI45" i="90" s="1"/>
  <c r="AB29" i="83" s="1"/>
  <c r="AB55" i="90"/>
  <c r="AK51" i="90" s="1"/>
  <c r="T29" i="83" s="1"/>
  <c r="AC55" i="90"/>
  <c r="AL51" i="90" s="1"/>
  <c r="U29" i="83" s="1"/>
  <c r="AA49" i="90"/>
  <c r="AJ45" i="90" s="1"/>
  <c r="AC29" i="83" s="1"/>
  <c r="C15" i="93"/>
  <c r="F15" i="93" s="1"/>
  <c r="W55" i="91"/>
  <c r="X49" i="91" l="1"/>
  <c r="AG45" i="91" s="1"/>
  <c r="AJ29" i="83" s="1"/>
  <c r="AJ36" i="83" s="1"/>
  <c r="AE55" i="91"/>
  <c r="AN51" i="91" s="1"/>
  <c r="BA29" i="83" s="1"/>
  <c r="BA36" i="83" s="1"/>
  <c r="AD55" i="91"/>
  <c r="AM51" i="91" s="1"/>
  <c r="AZ29" i="83" s="1"/>
  <c r="AZ36" i="83" s="1"/>
  <c r="Z49" i="91"/>
  <c r="AI45" i="91" s="1"/>
  <c r="AL29" i="83" s="1"/>
  <c r="AL36" i="83" s="1"/>
  <c r="X55" i="91"/>
  <c r="AG51" i="91" s="1"/>
  <c r="Y49" i="91"/>
  <c r="AH45" i="91" s="1"/>
  <c r="AK29" i="83" s="1"/>
  <c r="AK36" i="83" s="1"/>
  <c r="AA49" i="91"/>
  <c r="AJ45" i="91" s="1"/>
  <c r="AM29" i="83" s="1"/>
  <c r="AM36" i="83" s="1"/>
  <c r="Y55" i="91"/>
  <c r="AH51" i="91" s="1"/>
  <c r="AU29" i="83" s="1"/>
  <c r="AU36" i="83" s="1"/>
  <c r="Z55" i="91"/>
  <c r="AI51" i="91" s="1"/>
  <c r="AV29" i="83" s="1"/>
  <c r="AV36" i="83" s="1"/>
  <c r="AB49" i="91"/>
  <c r="AK45" i="91" s="1"/>
  <c r="AN29" i="83" s="1"/>
  <c r="AN36" i="83" s="1"/>
  <c r="AB55" i="91"/>
  <c r="AK51" i="91" s="1"/>
  <c r="AX29" i="83" s="1"/>
  <c r="AX36" i="83" s="1"/>
  <c r="AA55" i="91"/>
  <c r="AJ51" i="91" s="1"/>
  <c r="AW29" i="83" s="1"/>
  <c r="AW36" i="83" s="1"/>
  <c r="AC55" i="91"/>
  <c r="AL51" i="91" s="1"/>
  <c r="AY29" i="83" s="1"/>
  <c r="AY36" i="83" s="1"/>
  <c r="AC49" i="91"/>
  <c r="AL45" i="91" s="1"/>
  <c r="AO29" i="83" s="1"/>
  <c r="AO36" i="83" s="1"/>
  <c r="AD49" i="91"/>
  <c r="AM45" i="91" s="1"/>
  <c r="AP29" i="83" s="1"/>
  <c r="AP36" i="83" s="1"/>
  <c r="AP45" i="90" a="1"/>
  <c r="AP45" i="90" s="1"/>
  <c r="AQ45" i="90" s="1"/>
  <c r="Z29" i="83"/>
  <c r="AO45" i="90" a="1"/>
  <c r="AO45" i="90" s="1"/>
  <c r="AH29" i="83" s="1"/>
  <c r="AO51" i="90" a="1"/>
  <c r="AO51" i="90" s="1"/>
  <c r="X29" i="83" s="1"/>
  <c r="AP51" i="90" a="1"/>
  <c r="AP51" i="90" s="1"/>
  <c r="AQ51" i="90" s="1"/>
  <c r="C33" i="93"/>
  <c r="AP51" i="91" l="1" a="1"/>
  <c r="AP51" i="91" s="1"/>
  <c r="AQ51" i="91" s="1"/>
  <c r="AO51" i="91" a="1"/>
  <c r="AO51" i="91" s="1"/>
  <c r="BB29" i="83" s="1"/>
  <c r="BB36" i="83" s="1"/>
  <c r="AT29" i="83"/>
  <c r="AT36" i="83" s="1"/>
  <c r="AP45" i="91" a="1"/>
  <c r="AP45" i="91" s="1"/>
  <c r="AQ45" i="91" s="1"/>
  <c r="AO45" i="91" a="1"/>
  <c r="AO45" i="91" s="1"/>
  <c r="AR29" i="83" s="1"/>
  <c r="AR36" i="83" s="1"/>
  <c r="B1" i="53" l="1"/>
  <c r="C7" i="81"/>
  <c r="AE77" i="19"/>
  <c r="AF77" i="19"/>
  <c r="AC77" i="19"/>
  <c r="W74" i="77" a="1"/>
  <c r="W74" i="77" s="1"/>
  <c r="T24" i="77" s="1"/>
  <c r="L14" i="77" s="1"/>
  <c r="O71" i="77" a="1"/>
  <c r="O71" i="77" s="1"/>
  <c r="L21" i="77" s="1"/>
  <c r="P71" i="77" a="1"/>
  <c r="P71" i="77" s="1"/>
  <c r="M21" i="77" s="1"/>
  <c r="Q71" i="77" a="1"/>
  <c r="Q71" i="77" s="1"/>
  <c r="N21" i="77" s="1"/>
  <c r="R71" i="77" a="1"/>
  <c r="R71" i="77" s="1"/>
  <c r="O21" i="77" s="1"/>
  <c r="S71" i="77" a="1"/>
  <c r="S71" i="77" s="1"/>
  <c r="P21" i="77" s="1"/>
  <c r="T71" i="77" a="1"/>
  <c r="T71" i="77" s="1"/>
  <c r="Q21" i="77" s="1"/>
  <c r="U71" i="77" a="1"/>
  <c r="U71" i="77" s="1"/>
  <c r="R21" i="77" s="1"/>
  <c r="V71" i="77" a="1"/>
  <c r="V71" i="77" s="1"/>
  <c r="S21" i="77" s="1"/>
  <c r="W71" i="77" a="1"/>
  <c r="W71" i="77" s="1"/>
  <c r="T21" i="77" s="1"/>
  <c r="L11" i="77" s="1"/>
  <c r="O72" i="77" a="1"/>
  <c r="O72" i="77" s="1"/>
  <c r="L22" i="77" s="1"/>
  <c r="P72" i="77" a="1"/>
  <c r="P72" i="77" s="1"/>
  <c r="M22" i="77" s="1"/>
  <c r="Q72" i="77" a="1"/>
  <c r="Q72" i="77" s="1"/>
  <c r="N22" i="77" s="1"/>
  <c r="R72" i="77" a="1"/>
  <c r="R72" i="77" s="1"/>
  <c r="O22" i="77" s="1"/>
  <c r="S72" i="77" a="1"/>
  <c r="S72" i="77" s="1"/>
  <c r="P22" i="77" s="1"/>
  <c r="T72" i="77" a="1"/>
  <c r="T72" i="77" s="1"/>
  <c r="Q22" i="77" s="1"/>
  <c r="U72" i="77" a="1"/>
  <c r="U72" i="77" s="1"/>
  <c r="R22" i="77" s="1"/>
  <c r="V72" i="77" a="1"/>
  <c r="V72" i="77" s="1"/>
  <c r="S22" i="77" s="1"/>
  <c r="W72" i="77" a="1"/>
  <c r="W72" i="77" s="1"/>
  <c r="T22" i="77" s="1"/>
  <c r="L12" i="77" s="1"/>
  <c r="O73" i="77" a="1"/>
  <c r="O73" i="77" s="1"/>
  <c r="L23" i="77" s="1"/>
  <c r="P73" i="77" a="1"/>
  <c r="P73" i="77" s="1"/>
  <c r="M23" i="77" s="1"/>
  <c r="Q73" i="77" a="1"/>
  <c r="Q73" i="77" s="1"/>
  <c r="N23" i="77" s="1"/>
  <c r="R73" i="77" a="1"/>
  <c r="R73" i="77" s="1"/>
  <c r="O23" i="77" s="1"/>
  <c r="S73" i="77" a="1"/>
  <c r="S73" i="77" s="1"/>
  <c r="P23" i="77" s="1"/>
  <c r="T73" i="77" a="1"/>
  <c r="T73" i="77" s="1"/>
  <c r="Q23" i="77" s="1"/>
  <c r="U73" i="77" a="1"/>
  <c r="U73" i="77" s="1"/>
  <c r="R23" i="77" s="1"/>
  <c r="V73" i="77" a="1"/>
  <c r="V73" i="77" s="1"/>
  <c r="S23" i="77" s="1"/>
  <c r="W73" i="77" a="1"/>
  <c r="W73" i="77" s="1"/>
  <c r="T23" i="77" s="1"/>
  <c r="L13" i="77" s="1"/>
  <c r="O74" i="77" a="1"/>
  <c r="O74" i="77" s="1"/>
  <c r="L24" i="77" s="1"/>
  <c r="P74" i="77" a="1"/>
  <c r="P74" i="77" s="1"/>
  <c r="M24" i="77" s="1"/>
  <c r="Q74" i="77" a="1"/>
  <c r="Q74" i="77" s="1"/>
  <c r="N24" i="77" s="1"/>
  <c r="R74" i="77" a="1"/>
  <c r="R74" i="77" s="1"/>
  <c r="O24" i="77" s="1"/>
  <c r="S74" i="77" a="1"/>
  <c r="S74" i="77" s="1"/>
  <c r="P24" i="77" s="1"/>
  <c r="T74" i="77" a="1"/>
  <c r="T74" i="77" s="1"/>
  <c r="Q24" i="77" s="1"/>
  <c r="U74" i="77" a="1"/>
  <c r="U74" i="77" s="1"/>
  <c r="R24" i="77" s="1"/>
  <c r="V74" i="77" a="1"/>
  <c r="V74" i="77" s="1"/>
  <c r="S24" i="77" s="1"/>
  <c r="N74" i="77" a="1"/>
  <c r="N74" i="77" s="1"/>
  <c r="K24" i="77" s="1"/>
  <c r="N73" i="77" a="1"/>
  <c r="N73" i="77" s="1"/>
  <c r="K23" i="77" s="1"/>
  <c r="N72" i="77" a="1"/>
  <c r="N72" i="77" s="1"/>
  <c r="K22" i="77" s="1"/>
  <c r="N71" i="77" a="1"/>
  <c r="N71" i="77" s="1"/>
  <c r="K21" i="77" s="1"/>
  <c r="AB55" i="77"/>
  <c r="AB56" i="77"/>
  <c r="AB57" i="77"/>
  <c r="AB58" i="77"/>
  <c r="AB59" i="77"/>
  <c r="AB60" i="77"/>
  <c r="AB61" i="77"/>
  <c r="AB62" i="77"/>
  <c r="AB63" i="77"/>
  <c r="AB64" i="77"/>
  <c r="AB65" i="77"/>
  <c r="AB66" i="77"/>
  <c r="AB67" i="77"/>
  <c r="AB68" i="77"/>
  <c r="AB69" i="77"/>
  <c r="AB54" i="77"/>
  <c r="Z55" i="77"/>
  <c r="Z56" i="77"/>
  <c r="Z57" i="77"/>
  <c r="Z58" i="77"/>
  <c r="Z59" i="77"/>
  <c r="Z60" i="77"/>
  <c r="Z61" i="77"/>
  <c r="Z62" i="77"/>
  <c r="Z63" i="77"/>
  <c r="Z64" i="77"/>
  <c r="Z65" i="77"/>
  <c r="Z66" i="77"/>
  <c r="Z67" i="77"/>
  <c r="Z68" i="77"/>
  <c r="Z69" i="77"/>
  <c r="Z54" i="77"/>
  <c r="Y55" i="77"/>
  <c r="Y56" i="77"/>
  <c r="Y57" i="77"/>
  <c r="Y58" i="77"/>
  <c r="Y59" i="77"/>
  <c r="Y60" i="77"/>
  <c r="Y61" i="77"/>
  <c r="Y62" i="77"/>
  <c r="Y63" i="77"/>
  <c r="Y64" i="77"/>
  <c r="Y65" i="77"/>
  <c r="Y66" i="77"/>
  <c r="Y67" i="77"/>
  <c r="Y68" i="77"/>
  <c r="Y69" i="77"/>
  <c r="Y54" i="77"/>
  <c r="AC64" i="77" l="1"/>
  <c r="AC58" i="77"/>
  <c r="AC69" i="77"/>
  <c r="AC68" i="77"/>
  <c r="AC66" i="77"/>
  <c r="AC61" i="77"/>
  <c r="AC60" i="77"/>
  <c r="AA54" i="77"/>
  <c r="AC67" i="77"/>
  <c r="AC65" i="77"/>
  <c r="AC63" i="77"/>
  <c r="AC62" i="77"/>
  <c r="AC59" i="77"/>
  <c r="AA55" i="77"/>
  <c r="AA69" i="77"/>
  <c r="AA68" i="77"/>
  <c r="AA67" i="77"/>
  <c r="AA66" i="77"/>
  <c r="AA65" i="77"/>
  <c r="AA64" i="77"/>
  <c r="AA63" i="77"/>
  <c r="AA62" i="77"/>
  <c r="AA61" i="77"/>
  <c r="AA60" i="77"/>
  <c r="AA59" i="77"/>
  <c r="AA58" i="77"/>
  <c r="AA57" i="77"/>
  <c r="AA56" i="77"/>
  <c r="C12" i="77" a="1"/>
  <c r="C12" i="77" s="1"/>
  <c r="D12" i="77" l="1"/>
  <c r="X61" i="78" l="1" a="1"/>
  <c r="X61" i="78" s="1"/>
  <c r="X60" i="78" a="1"/>
  <c r="X60" i="78" s="1"/>
  <c r="K152" i="78"/>
  <c r="K153" i="78"/>
  <c r="C152" i="78"/>
  <c r="C153" i="78"/>
  <c r="K151" i="78"/>
  <c r="C151" i="78"/>
  <c r="C177" i="78"/>
  <c r="C178" i="78"/>
  <c r="C179" i="78"/>
  <c r="K177" i="78"/>
  <c r="K178" i="78"/>
  <c r="K179" i="78"/>
  <c r="K176" i="78"/>
  <c r="C176" i="78"/>
  <c r="C133" i="78"/>
  <c r="C134" i="78"/>
  <c r="K133" i="78"/>
  <c r="K134" i="78"/>
  <c r="K132" i="78"/>
  <c r="C132" i="78"/>
  <c r="K101" i="78"/>
  <c r="K102" i="78"/>
  <c r="C101" i="78"/>
  <c r="C102" i="78"/>
  <c r="K100" i="78"/>
  <c r="C100" i="78"/>
  <c r="K149" i="78"/>
  <c r="K150" i="78"/>
  <c r="K148" i="78"/>
  <c r="C149" i="78"/>
  <c r="C150" i="78"/>
  <c r="C148" i="78"/>
  <c r="C130" i="78"/>
  <c r="C131" i="78"/>
  <c r="K130" i="78"/>
  <c r="K131" i="78"/>
  <c r="K129" i="78"/>
  <c r="C129" i="78"/>
  <c r="K97" i="78"/>
  <c r="K98" i="78"/>
  <c r="K99" i="78"/>
  <c r="C97" i="78"/>
  <c r="C98" i="78"/>
  <c r="C99" i="78"/>
  <c r="K96" i="78"/>
  <c r="C96" i="78"/>
  <c r="AD61" i="78" a="1"/>
  <c r="AD61" i="78" s="1"/>
  <c r="Z61" i="78" l="1"/>
  <c r="Y61" i="78"/>
  <c r="Z60" i="78"/>
  <c r="Y60" i="78"/>
  <c r="AF61" i="78"/>
  <c r="AE61" i="78"/>
  <c r="R60" i="78" l="1" a="1"/>
  <c r="S60" i="78" s="1"/>
  <c r="X62" i="78" a="1"/>
  <c r="X62" i="78" s="1"/>
  <c r="Z62" i="78" l="1"/>
  <c r="R60" i="78"/>
  <c r="Y62" i="78"/>
  <c r="T60" i="78"/>
  <c r="R60" i="75" l="1" a="1"/>
  <c r="R60" i="75" s="1"/>
  <c r="X60" i="75" a="1"/>
  <c r="X60" i="75" s="1"/>
  <c r="C9" i="75" s="1"/>
  <c r="X61" i="75" a="1"/>
  <c r="Y61" i="75" s="1"/>
  <c r="D13" i="75" s="1"/>
  <c r="AD61" i="75" a="1"/>
  <c r="AD61" i="75" s="1"/>
  <c r="X62" i="75" a="1"/>
  <c r="Z62" i="75" s="1"/>
  <c r="E17" i="75" s="1"/>
  <c r="X64" i="75" a="1"/>
  <c r="X64" i="75" s="1"/>
  <c r="C23" i="75" s="1"/>
  <c r="CM28" i="9" a="1"/>
  <c r="CM28" i="9" s="1"/>
  <c r="K166" i="75"/>
  <c r="K167" i="75"/>
  <c r="K168" i="75"/>
  <c r="K165" i="75"/>
  <c r="C166" i="75"/>
  <c r="C167" i="75"/>
  <c r="C168" i="75"/>
  <c r="C165" i="75"/>
  <c r="K141" i="75"/>
  <c r="K142" i="75"/>
  <c r="K143" i="75"/>
  <c r="C141" i="75"/>
  <c r="C142" i="75"/>
  <c r="C143" i="75"/>
  <c r="K140" i="75"/>
  <c r="C140" i="75"/>
  <c r="K125" i="75"/>
  <c r="K126" i="75"/>
  <c r="K127" i="75"/>
  <c r="C125" i="75"/>
  <c r="C126" i="75"/>
  <c r="C127" i="75"/>
  <c r="K124" i="75"/>
  <c r="C124" i="75"/>
  <c r="K97" i="75"/>
  <c r="K98" i="75"/>
  <c r="K99" i="75"/>
  <c r="C97" i="75"/>
  <c r="C98" i="75"/>
  <c r="C99" i="75"/>
  <c r="K96" i="75"/>
  <c r="C96" i="75"/>
  <c r="R6" i="78"/>
  <c r="R5" i="78"/>
  <c r="X61" i="75" l="1"/>
  <c r="C13" i="75" s="1"/>
  <c r="Z60" i="75"/>
  <c r="E9" i="75" s="1"/>
  <c r="Y62" i="75"/>
  <c r="D17" i="75" s="1"/>
  <c r="Y60" i="75"/>
  <c r="D9" i="75" s="1"/>
  <c r="X62" i="75"/>
  <c r="C17" i="75" s="1"/>
  <c r="AF61" i="75"/>
  <c r="T60" i="75"/>
  <c r="Z61" i="75"/>
  <c r="E13" i="75" s="1"/>
  <c r="AE61" i="75"/>
  <c r="S60" i="75"/>
  <c r="Z64" i="75"/>
  <c r="E23" i="75" s="1"/>
  <c r="Y64" i="75"/>
  <c r="D23" i="75" s="1"/>
  <c r="AD67" i="78" l="1" a="1"/>
  <c r="AD67" i="78" s="1"/>
  <c r="X67" i="78" a="1"/>
  <c r="X67" i="78" s="1"/>
  <c r="C32" i="78" s="1"/>
  <c r="V41" i="78" s="1"/>
  <c r="X67" i="75" a="1"/>
  <c r="X67" i="75" s="1"/>
  <c r="AD67" i="75" a="1"/>
  <c r="AD67" i="75" s="1"/>
  <c r="C32" i="75" l="1"/>
  <c r="V41" i="75" s="1"/>
  <c r="Y67" i="78"/>
  <c r="D32" i="78" s="1"/>
  <c r="AF67" i="75"/>
  <c r="AE67" i="75"/>
  <c r="AF67" i="78"/>
  <c r="AE67" i="78"/>
  <c r="Z67" i="78"/>
  <c r="E32" i="78" s="1"/>
  <c r="X41" i="78" s="1"/>
  <c r="Z67" i="75"/>
  <c r="Y67" i="75"/>
  <c r="D32" i="75" s="1"/>
  <c r="E32" i="75" l="1"/>
  <c r="X41" i="75" s="1"/>
  <c r="AP7" i="78"/>
  <c r="W41" i="78"/>
  <c r="AP9" i="78"/>
  <c r="AP8" i="78"/>
  <c r="AP6" i="78"/>
  <c r="W41" i="75"/>
  <c r="O10" i="9"/>
  <c r="Q10" i="9"/>
  <c r="S10" i="9"/>
  <c r="U10" i="9"/>
  <c r="F10" i="9"/>
  <c r="H10" i="9"/>
  <c r="J10" i="9"/>
  <c r="D10" i="9"/>
  <c r="N85" i="79"/>
  <c r="L85" i="79"/>
  <c r="P84" i="79"/>
  <c r="N84" i="79"/>
  <c r="L84" i="79"/>
  <c r="R83" i="79"/>
  <c r="P83" i="79"/>
  <c r="N83" i="79"/>
  <c r="L83" i="79"/>
  <c r="R82" i="79"/>
  <c r="P82" i="79"/>
  <c r="N82" i="79"/>
  <c r="L82" i="79"/>
  <c r="R81" i="79"/>
  <c r="P81" i="79"/>
  <c r="N81" i="79"/>
  <c r="L81" i="79"/>
  <c r="R80" i="79"/>
  <c r="P80" i="79"/>
  <c r="N80" i="79"/>
  <c r="L80" i="79"/>
  <c r="R79" i="79"/>
  <c r="P79" i="79"/>
  <c r="N79" i="79"/>
  <c r="L79" i="79"/>
  <c r="R77" i="79"/>
  <c r="P77" i="79"/>
  <c r="N77" i="79"/>
  <c r="L77" i="79"/>
  <c r="AJ11" i="75"/>
  <c r="AF12" i="75"/>
  <c r="F85" i="79" s="1"/>
  <c r="I83" i="79"/>
  <c r="I82" i="79"/>
  <c r="I81" i="79"/>
  <c r="I80" i="79"/>
  <c r="I79" i="79"/>
  <c r="I77" i="79"/>
  <c r="G84" i="79"/>
  <c r="G83" i="79"/>
  <c r="G82" i="79"/>
  <c r="G81" i="79"/>
  <c r="G80" i="79"/>
  <c r="G79" i="79"/>
  <c r="G77" i="79"/>
  <c r="E85" i="79"/>
  <c r="E84" i="79"/>
  <c r="E83" i="79"/>
  <c r="E82" i="79"/>
  <c r="E81" i="79"/>
  <c r="E80" i="79"/>
  <c r="E79" i="79"/>
  <c r="E77" i="79"/>
  <c r="M88" i="79"/>
  <c r="D88" i="79"/>
  <c r="N73" i="79"/>
  <c r="L73" i="79"/>
  <c r="P72" i="79"/>
  <c r="N72" i="79"/>
  <c r="L72" i="79"/>
  <c r="R71" i="79"/>
  <c r="P71" i="79"/>
  <c r="N71" i="79"/>
  <c r="L71" i="79"/>
  <c r="R70" i="79"/>
  <c r="P70" i="79"/>
  <c r="N70" i="79"/>
  <c r="L70" i="79"/>
  <c r="R69" i="79"/>
  <c r="P69" i="79"/>
  <c r="N69" i="79"/>
  <c r="L69" i="79"/>
  <c r="R68" i="79"/>
  <c r="P68" i="79"/>
  <c r="N68" i="79"/>
  <c r="L68" i="79"/>
  <c r="R67" i="79"/>
  <c r="P67" i="79"/>
  <c r="N67" i="79"/>
  <c r="L67" i="79"/>
  <c r="R65" i="79"/>
  <c r="P65" i="79"/>
  <c r="N65" i="79"/>
  <c r="L65" i="79"/>
  <c r="N61" i="79"/>
  <c r="L61" i="79"/>
  <c r="P60" i="79"/>
  <c r="N60" i="79"/>
  <c r="L60" i="79"/>
  <c r="R59" i="79"/>
  <c r="P59" i="79"/>
  <c r="N59" i="79"/>
  <c r="L59" i="79"/>
  <c r="R58" i="79"/>
  <c r="P58" i="79"/>
  <c r="N58" i="79"/>
  <c r="L58" i="79"/>
  <c r="R57" i="79"/>
  <c r="P57" i="79"/>
  <c r="N57" i="79"/>
  <c r="L57" i="79"/>
  <c r="R56" i="79"/>
  <c r="P56" i="79"/>
  <c r="N56" i="79"/>
  <c r="L56" i="79"/>
  <c r="R55" i="79"/>
  <c r="P55" i="79"/>
  <c r="N55" i="79"/>
  <c r="L55" i="79"/>
  <c r="R53" i="79"/>
  <c r="P53" i="79"/>
  <c r="N53" i="79"/>
  <c r="L53" i="79"/>
  <c r="L49" i="79"/>
  <c r="P48" i="79"/>
  <c r="L48" i="79"/>
  <c r="R47" i="79"/>
  <c r="P47" i="79"/>
  <c r="L47" i="79"/>
  <c r="R46" i="79"/>
  <c r="P46" i="79"/>
  <c r="L46" i="79"/>
  <c r="R45" i="79"/>
  <c r="P45" i="79"/>
  <c r="L45" i="79"/>
  <c r="R44" i="79"/>
  <c r="P44" i="79"/>
  <c r="L44" i="79"/>
  <c r="R43" i="79"/>
  <c r="P43" i="79"/>
  <c r="L43" i="79"/>
  <c r="R41" i="79"/>
  <c r="P41" i="79"/>
  <c r="N41" i="79"/>
  <c r="L41" i="79"/>
  <c r="N37" i="79"/>
  <c r="L37" i="79"/>
  <c r="P36" i="79"/>
  <c r="N36" i="79"/>
  <c r="L36" i="79"/>
  <c r="R35" i="79"/>
  <c r="P35" i="79"/>
  <c r="N35" i="79"/>
  <c r="L35" i="79"/>
  <c r="R34" i="79"/>
  <c r="P34" i="79"/>
  <c r="N34" i="79"/>
  <c r="L34" i="79"/>
  <c r="R33" i="79"/>
  <c r="P33" i="79"/>
  <c r="N33" i="79"/>
  <c r="L33" i="79"/>
  <c r="R32" i="79"/>
  <c r="P32" i="79"/>
  <c r="N32" i="79"/>
  <c r="L32" i="79"/>
  <c r="R31" i="79"/>
  <c r="P31" i="79"/>
  <c r="N31" i="79"/>
  <c r="L31" i="79"/>
  <c r="R29" i="79"/>
  <c r="P29" i="79"/>
  <c r="N29" i="79"/>
  <c r="L29" i="79"/>
  <c r="N25" i="79"/>
  <c r="L25" i="79"/>
  <c r="P24" i="79"/>
  <c r="N24" i="79"/>
  <c r="L24" i="79"/>
  <c r="R23" i="79"/>
  <c r="P23" i="79"/>
  <c r="N23" i="79"/>
  <c r="L23" i="79"/>
  <c r="R22" i="79"/>
  <c r="P22" i="79"/>
  <c r="N22" i="79"/>
  <c r="L22" i="79"/>
  <c r="R21" i="79"/>
  <c r="P21" i="79"/>
  <c r="N21" i="79"/>
  <c r="L21" i="79"/>
  <c r="R20" i="79"/>
  <c r="P20" i="79"/>
  <c r="N20" i="79"/>
  <c r="L20" i="79"/>
  <c r="R19" i="79"/>
  <c r="P19" i="79"/>
  <c r="N19" i="79"/>
  <c r="L19" i="79"/>
  <c r="R17" i="79"/>
  <c r="P17" i="79"/>
  <c r="N17" i="79"/>
  <c r="L17" i="79"/>
  <c r="N13" i="79"/>
  <c r="L13" i="79"/>
  <c r="P12" i="79"/>
  <c r="N12" i="79"/>
  <c r="L12" i="79"/>
  <c r="R11" i="79"/>
  <c r="P11" i="79"/>
  <c r="N11" i="79"/>
  <c r="L11" i="79"/>
  <c r="R10" i="79"/>
  <c r="P10" i="79"/>
  <c r="N10" i="79"/>
  <c r="L10" i="79"/>
  <c r="R9" i="79"/>
  <c r="P9" i="79"/>
  <c r="N9" i="79"/>
  <c r="L9" i="79"/>
  <c r="R8" i="79"/>
  <c r="P8" i="79"/>
  <c r="N8" i="79"/>
  <c r="L8" i="79"/>
  <c r="R7" i="79"/>
  <c r="P7" i="79"/>
  <c r="N7" i="79"/>
  <c r="L7" i="79"/>
  <c r="R5" i="79"/>
  <c r="P5" i="79"/>
  <c r="N5" i="79"/>
  <c r="L5" i="79"/>
  <c r="C77" i="79"/>
  <c r="I65" i="79"/>
  <c r="G65" i="79"/>
  <c r="E65" i="79"/>
  <c r="C65" i="79"/>
  <c r="I53" i="79"/>
  <c r="G53" i="79"/>
  <c r="E53" i="79"/>
  <c r="C53" i="79"/>
  <c r="I41" i="79"/>
  <c r="G41" i="79"/>
  <c r="E41" i="79"/>
  <c r="C41" i="79"/>
  <c r="I29" i="79"/>
  <c r="G29" i="79"/>
  <c r="E29" i="79"/>
  <c r="C29" i="79"/>
  <c r="I17" i="79"/>
  <c r="G17" i="79"/>
  <c r="E17" i="79"/>
  <c r="C17" i="79"/>
  <c r="M75" i="79"/>
  <c r="M76" i="79" s="1"/>
  <c r="M63" i="79"/>
  <c r="M64" i="79" s="1"/>
  <c r="M51" i="79"/>
  <c r="M52" i="79" s="1"/>
  <c r="M39" i="79"/>
  <c r="M40" i="79" s="1"/>
  <c r="M27" i="79"/>
  <c r="M28" i="79" s="1"/>
  <c r="M15" i="79"/>
  <c r="M16" i="79" s="1"/>
  <c r="M3" i="79"/>
  <c r="M4" i="79" s="1"/>
  <c r="C85" i="79"/>
  <c r="C84" i="79"/>
  <c r="C83" i="79"/>
  <c r="C82" i="79"/>
  <c r="C81" i="79"/>
  <c r="C80" i="79"/>
  <c r="C79" i="79"/>
  <c r="E73" i="79"/>
  <c r="C73" i="79"/>
  <c r="G72" i="79"/>
  <c r="E72" i="79"/>
  <c r="C72" i="79"/>
  <c r="I71" i="79"/>
  <c r="G71" i="79"/>
  <c r="E71" i="79"/>
  <c r="C71" i="79"/>
  <c r="I70" i="79"/>
  <c r="G70" i="79"/>
  <c r="E70" i="79"/>
  <c r="C70" i="79"/>
  <c r="I69" i="79"/>
  <c r="G69" i="79"/>
  <c r="E69" i="79"/>
  <c r="C69" i="79"/>
  <c r="I68" i="79"/>
  <c r="G68" i="79"/>
  <c r="E68" i="79"/>
  <c r="C68" i="79"/>
  <c r="I67" i="79"/>
  <c r="G67" i="79"/>
  <c r="E67" i="79"/>
  <c r="C67" i="79"/>
  <c r="E61" i="79"/>
  <c r="C61" i="79"/>
  <c r="G60" i="79"/>
  <c r="E60" i="79"/>
  <c r="C60" i="79"/>
  <c r="I59" i="79"/>
  <c r="G59" i="79"/>
  <c r="E59" i="79"/>
  <c r="C59" i="79"/>
  <c r="I58" i="79"/>
  <c r="G58" i="79"/>
  <c r="E58" i="79"/>
  <c r="C58" i="79"/>
  <c r="I57" i="79"/>
  <c r="G57" i="79"/>
  <c r="E57" i="79"/>
  <c r="C57" i="79"/>
  <c r="I56" i="79"/>
  <c r="G56" i="79"/>
  <c r="E56" i="79"/>
  <c r="C56" i="79"/>
  <c r="I55" i="79"/>
  <c r="G55" i="79"/>
  <c r="E55" i="79"/>
  <c r="C55" i="79"/>
  <c r="E49" i="79"/>
  <c r="G48" i="79"/>
  <c r="E48" i="79"/>
  <c r="I47" i="79"/>
  <c r="G47" i="79"/>
  <c r="E47" i="79"/>
  <c r="I46" i="79"/>
  <c r="G46" i="79"/>
  <c r="E46" i="79"/>
  <c r="I45" i="79"/>
  <c r="G45" i="79"/>
  <c r="E45" i="79"/>
  <c r="I44" i="79"/>
  <c r="G44" i="79"/>
  <c r="E44" i="79"/>
  <c r="I43" i="79"/>
  <c r="G43" i="79"/>
  <c r="E43" i="79"/>
  <c r="C43" i="79"/>
  <c r="E37" i="79"/>
  <c r="C37" i="79"/>
  <c r="G36" i="79"/>
  <c r="E36" i="79"/>
  <c r="C36" i="79"/>
  <c r="I35" i="79"/>
  <c r="G35" i="79"/>
  <c r="E35" i="79"/>
  <c r="C35" i="79"/>
  <c r="I34" i="79"/>
  <c r="G34" i="79"/>
  <c r="E34" i="79"/>
  <c r="C34" i="79"/>
  <c r="I33" i="79"/>
  <c r="G33" i="79"/>
  <c r="E33" i="79"/>
  <c r="C33" i="79"/>
  <c r="I32" i="79"/>
  <c r="G32" i="79"/>
  <c r="E32" i="79"/>
  <c r="C32" i="79"/>
  <c r="I31" i="79"/>
  <c r="G31" i="79"/>
  <c r="E31" i="79"/>
  <c r="C31" i="79"/>
  <c r="D75" i="79"/>
  <c r="D76" i="79" s="1"/>
  <c r="D63" i="79"/>
  <c r="D64" i="79" s="1"/>
  <c r="D51" i="79"/>
  <c r="D52" i="79" s="1"/>
  <c r="D39" i="79"/>
  <c r="D40" i="79" s="1"/>
  <c r="D27" i="79"/>
  <c r="D28" i="79" s="1"/>
  <c r="D15" i="79"/>
  <c r="D16" i="79" s="1"/>
  <c r="D3" i="79"/>
  <c r="D4" i="79" s="1"/>
  <c r="E25" i="79"/>
  <c r="C25" i="79"/>
  <c r="G24" i="79"/>
  <c r="E24" i="79"/>
  <c r="C24" i="79"/>
  <c r="I23" i="79"/>
  <c r="G23" i="79"/>
  <c r="E23" i="79"/>
  <c r="C23" i="79"/>
  <c r="I22" i="79"/>
  <c r="G22" i="79"/>
  <c r="E22" i="79"/>
  <c r="C22" i="79"/>
  <c r="I21" i="79"/>
  <c r="G21" i="79"/>
  <c r="E21" i="79"/>
  <c r="C21" i="79"/>
  <c r="I20" i="79"/>
  <c r="G20" i="79"/>
  <c r="E20" i="79"/>
  <c r="C20" i="79"/>
  <c r="I19" i="79"/>
  <c r="G19" i="79"/>
  <c r="E19" i="79"/>
  <c r="C19" i="79"/>
  <c r="I5" i="79"/>
  <c r="G5" i="79"/>
  <c r="E5" i="79"/>
  <c r="C5" i="79"/>
  <c r="I11" i="79"/>
  <c r="I10" i="79"/>
  <c r="I9" i="79"/>
  <c r="I8" i="79"/>
  <c r="I7" i="79"/>
  <c r="G12" i="79"/>
  <c r="G11" i="79"/>
  <c r="G10" i="79"/>
  <c r="G9" i="79"/>
  <c r="G8" i="79"/>
  <c r="G7" i="79"/>
  <c r="E13" i="79"/>
  <c r="E12" i="79"/>
  <c r="E11" i="79"/>
  <c r="E10" i="79"/>
  <c r="E9" i="79"/>
  <c r="E8" i="79"/>
  <c r="E7" i="79"/>
  <c r="C13" i="79"/>
  <c r="C12" i="79"/>
  <c r="C11" i="79"/>
  <c r="C10" i="79"/>
  <c r="C9" i="79"/>
  <c r="C8" i="79"/>
  <c r="C7" i="79"/>
  <c r="D17" i="78"/>
  <c r="E17" i="78"/>
  <c r="D13" i="78"/>
  <c r="E13" i="78"/>
  <c r="D9" i="78"/>
  <c r="E9" i="78"/>
  <c r="C17" i="78"/>
  <c r="C13" i="78"/>
  <c r="C9" i="78"/>
  <c r="X65" i="78" a="1"/>
  <c r="X65" i="78" s="1"/>
  <c r="C26" i="78" s="1"/>
  <c r="AP9" i="75" l="1"/>
  <c r="AP6" i="75"/>
  <c r="AP8" i="75"/>
  <c r="AP7" i="75"/>
  <c r="AB11" i="78"/>
  <c r="M84" i="79" s="1"/>
  <c r="AF12" i="78"/>
  <c r="O85" i="79" s="1"/>
  <c r="AD6" i="78"/>
  <c r="AD8" i="78"/>
  <c r="AD10" i="78"/>
  <c r="AF6" i="78"/>
  <c r="O79" i="79" s="1"/>
  <c r="AB10" i="78"/>
  <c r="M83" i="79" s="1"/>
  <c r="AD12" i="78"/>
  <c r="AB8" i="78"/>
  <c r="M81" i="79" s="1"/>
  <c r="AF10" i="78"/>
  <c r="O83" i="79" s="1"/>
  <c r="AB6" i="78"/>
  <c r="M79" i="79" s="1"/>
  <c r="AF8" i="78"/>
  <c r="O81" i="79" s="1"/>
  <c r="AD11" i="78"/>
  <c r="AF11" i="78"/>
  <c r="O84" i="79" s="1"/>
  <c r="AB9" i="78"/>
  <c r="M82" i="79" s="1"/>
  <c r="AD9" i="78"/>
  <c r="AB7" i="78"/>
  <c r="M80" i="79" s="1"/>
  <c r="AF9" i="78"/>
  <c r="O82" i="79" s="1"/>
  <c r="AB12" i="78"/>
  <c r="M85" i="79" s="1"/>
  <c r="AD7" i="78"/>
  <c r="AF7" i="78"/>
  <c r="O80" i="79" s="1"/>
  <c r="Z65" i="78"/>
  <c r="E26" i="78" s="1"/>
  <c r="Y65" i="78"/>
  <c r="D26" i="78" s="1"/>
  <c r="AL8" i="78" l="1"/>
  <c r="S81" i="79" s="1"/>
  <c r="AL10" i="78"/>
  <c r="S83" i="79" s="1"/>
  <c r="AL7" i="78"/>
  <c r="S80" i="79" s="1"/>
  <c r="AL6" i="78"/>
  <c r="S79" i="79" s="1"/>
  <c r="AL9" i="78"/>
  <c r="S82" i="79" s="1"/>
  <c r="X66" i="75" a="1"/>
  <c r="Z66" i="75" s="1"/>
  <c r="E29" i="75" s="1"/>
  <c r="X65" i="75" a="1"/>
  <c r="Z65" i="75" s="1"/>
  <c r="E26" i="75" s="1"/>
  <c r="X63" i="75" a="1"/>
  <c r="Z63" i="75" s="1"/>
  <c r="E20" i="75" s="1"/>
  <c r="X66" i="78" a="1"/>
  <c r="Z66" i="78" s="1"/>
  <c r="E29" i="78" s="1"/>
  <c r="X40" i="78" s="1"/>
  <c r="X64" i="78" a="1"/>
  <c r="X64" i="78" s="1"/>
  <c r="C23" i="78" s="1"/>
  <c r="V38" i="78" s="1"/>
  <c r="X63" i="78" a="1"/>
  <c r="X63" i="78" s="1"/>
  <c r="C20" i="78" s="1"/>
  <c r="V37" i="78" s="1"/>
  <c r="L3" i="78"/>
  <c r="R75" i="78" a="1"/>
  <c r="T75" i="78" s="1"/>
  <c r="H75" i="78" a="1"/>
  <c r="J75" i="78" s="1"/>
  <c r="R70" i="78" a="1"/>
  <c r="T70" i="78" s="1"/>
  <c r="H70" i="78" a="1"/>
  <c r="J70" i="78" s="1"/>
  <c r="R65" i="78" a="1"/>
  <c r="T65" i="78" s="1"/>
  <c r="H65" i="78" a="1"/>
  <c r="J65" i="78" s="1"/>
  <c r="H60" i="78" a="1"/>
  <c r="J60" i="78" s="1"/>
  <c r="AD66" i="78" a="1"/>
  <c r="AF66" i="78" s="1"/>
  <c r="AD64" i="78" a="1"/>
  <c r="AF64" i="78" s="1"/>
  <c r="X39" i="78"/>
  <c r="W39" i="78"/>
  <c r="V39" i="78"/>
  <c r="X36" i="78"/>
  <c r="W36" i="78"/>
  <c r="V36" i="78"/>
  <c r="X35" i="78"/>
  <c r="W35" i="78"/>
  <c r="V35" i="78"/>
  <c r="X34" i="78"/>
  <c r="W34" i="78"/>
  <c r="V34" i="78"/>
  <c r="AB36" i="78"/>
  <c r="AB35" i="78"/>
  <c r="AB34" i="78"/>
  <c r="AD66" i="75" a="1"/>
  <c r="AD66" i="75" s="1"/>
  <c r="AD64" i="75" a="1"/>
  <c r="AD64" i="75" s="1"/>
  <c r="AB39" i="78" l="1"/>
  <c r="X63" i="75"/>
  <c r="C20" i="75" s="1"/>
  <c r="Y63" i="75"/>
  <c r="D20" i="75" s="1"/>
  <c r="X65" i="75"/>
  <c r="C26" i="75" s="1"/>
  <c r="Y65" i="75"/>
  <c r="D26" i="75" s="1"/>
  <c r="X66" i="75"/>
  <c r="C29" i="75" s="1"/>
  <c r="Y66" i="75"/>
  <c r="D29" i="75" s="1"/>
  <c r="Y66" i="78"/>
  <c r="D29" i="78" s="1"/>
  <c r="X66" i="78"/>
  <c r="C29" i="78" s="1"/>
  <c r="V40" i="78" s="1"/>
  <c r="Z64" i="78"/>
  <c r="E23" i="78" s="1"/>
  <c r="X38" i="78" s="1"/>
  <c r="Y64" i="78"/>
  <c r="D23" i="78" s="1"/>
  <c r="Y63" i="78"/>
  <c r="D20" i="78" s="1"/>
  <c r="Z63" i="78"/>
  <c r="E20" i="78" s="1"/>
  <c r="X37" i="78" s="1"/>
  <c r="H60" i="78"/>
  <c r="H70" i="78"/>
  <c r="I60" i="78"/>
  <c r="I70" i="78"/>
  <c r="AD64" i="78"/>
  <c r="R70" i="78"/>
  <c r="AE64" i="78"/>
  <c r="S70" i="78"/>
  <c r="H65" i="78"/>
  <c r="H75" i="78"/>
  <c r="I65" i="78"/>
  <c r="I75" i="78"/>
  <c r="AD66" i="78"/>
  <c r="R65" i="78"/>
  <c r="R75" i="78"/>
  <c r="AE66" i="78"/>
  <c r="S65" i="78"/>
  <c r="S75" i="78"/>
  <c r="AF66" i="75"/>
  <c r="AE66" i="75"/>
  <c r="AF64" i="75"/>
  <c r="AE64" i="75"/>
  <c r="AN9" i="75" l="1"/>
  <c r="AH11" i="75"/>
  <c r="H84" i="79" s="1"/>
  <c r="AL10" i="75"/>
  <c r="J83" i="79" s="1"/>
  <c r="Q25" i="78"/>
  <c r="Q26" i="78"/>
  <c r="AH7" i="78"/>
  <c r="Q80" i="79" s="1"/>
  <c r="AH9" i="78"/>
  <c r="Q82" i="79" s="1"/>
  <c r="AH6" i="78"/>
  <c r="AH11" i="78"/>
  <c r="Q84" i="79" s="1"/>
  <c r="AH10" i="78"/>
  <c r="Q83" i="79" s="1"/>
  <c r="AH8" i="78"/>
  <c r="Q81" i="79" s="1"/>
  <c r="W37" i="78"/>
  <c r="AN9" i="78"/>
  <c r="AN7" i="78"/>
  <c r="AB41" i="78" s="1"/>
  <c r="AN8" i="78"/>
  <c r="AN6" i="78"/>
  <c r="AB40" i="78" s="1"/>
  <c r="AJ7" i="78"/>
  <c r="AJ6" i="78"/>
  <c r="AB38" i="78" s="1"/>
  <c r="AJ9" i="78"/>
  <c r="AJ11" i="78"/>
  <c r="AJ10" i="78"/>
  <c r="AJ8" i="78"/>
  <c r="W38" i="78"/>
  <c r="Q24" i="78"/>
  <c r="W40" i="78"/>
  <c r="Q79" i="79" l="1"/>
  <c r="AB37" i="78"/>
  <c r="AN7" i="75"/>
  <c r="AB41" i="75" s="1"/>
  <c r="AN8" i="75"/>
  <c r="AL7" i="75"/>
  <c r="J80" i="79" s="1"/>
  <c r="AL8" i="75"/>
  <c r="J81" i="79" s="1"/>
  <c r="AL9" i="75"/>
  <c r="J82" i="79" s="1"/>
  <c r="AJ7" i="75"/>
  <c r="AJ8" i="75"/>
  <c r="AJ9" i="75"/>
  <c r="AJ10" i="75"/>
  <c r="AN6" i="75"/>
  <c r="AB40" i="75" s="1"/>
  <c r="AL6" i="75"/>
  <c r="AJ6" i="75"/>
  <c r="AB38" i="75" s="1"/>
  <c r="W38" i="75"/>
  <c r="X38" i="75"/>
  <c r="W39" i="75"/>
  <c r="X39" i="75"/>
  <c r="W40" i="75"/>
  <c r="X40" i="75"/>
  <c r="W37" i="75"/>
  <c r="V40" i="75"/>
  <c r="V39" i="75"/>
  <c r="V38" i="75"/>
  <c r="R29" i="77"/>
  <c r="Q29" i="77"/>
  <c r="P29" i="77"/>
  <c r="O29" i="77"/>
  <c r="N29" i="77"/>
  <c r="M29" i="77"/>
  <c r="L29" i="77"/>
  <c r="K29" i="77"/>
  <c r="R28" i="77"/>
  <c r="Q28" i="77"/>
  <c r="P28" i="77"/>
  <c r="O28" i="77"/>
  <c r="N28" i="77"/>
  <c r="M28" i="77"/>
  <c r="L28" i="77"/>
  <c r="K28" i="77"/>
  <c r="R27" i="77"/>
  <c r="Q27" i="77"/>
  <c r="P27" i="77"/>
  <c r="O27" i="77"/>
  <c r="N27" i="77"/>
  <c r="M27" i="77"/>
  <c r="L27" i="77"/>
  <c r="K27" i="77"/>
  <c r="R26" i="77"/>
  <c r="Q26" i="77"/>
  <c r="P26" i="77"/>
  <c r="O26" i="77"/>
  <c r="N26" i="77"/>
  <c r="M26" i="77"/>
  <c r="L26" i="77"/>
  <c r="K26" i="77"/>
  <c r="R75" i="76" a="1"/>
  <c r="T75" i="76" s="1"/>
  <c r="H75" i="76" a="1"/>
  <c r="J75" i="76" s="1"/>
  <c r="R70" i="76" a="1"/>
  <c r="T70" i="76" s="1"/>
  <c r="H70" i="76" a="1"/>
  <c r="J70" i="76" s="1"/>
  <c r="R65" i="76" a="1"/>
  <c r="T65" i="76" s="1"/>
  <c r="H65" i="76" a="1"/>
  <c r="J65" i="76" s="1"/>
  <c r="R60" i="76" a="1"/>
  <c r="T60" i="76" s="1"/>
  <c r="H60" i="76" a="1"/>
  <c r="J60" i="76" s="1"/>
  <c r="X55" i="76" a="1"/>
  <c r="Z55" i="76" s="1"/>
  <c r="X54" i="76" a="1"/>
  <c r="Z54" i="76" s="1"/>
  <c r="X53" i="76" a="1"/>
  <c r="Z53" i="76" s="1"/>
  <c r="X52" i="76" a="1"/>
  <c r="Z52" i="76" s="1"/>
  <c r="X51" i="76" a="1"/>
  <c r="Z51" i="76" s="1"/>
  <c r="X38" i="76"/>
  <c r="W38" i="76"/>
  <c r="V38" i="76"/>
  <c r="X37" i="76"/>
  <c r="W37" i="76"/>
  <c r="V37" i="76"/>
  <c r="X36" i="76"/>
  <c r="W36" i="76"/>
  <c r="V36" i="76"/>
  <c r="X35" i="76"/>
  <c r="W35" i="76"/>
  <c r="V35" i="76"/>
  <c r="X34" i="76"/>
  <c r="W34" i="76"/>
  <c r="V34" i="76"/>
  <c r="Q25" i="76"/>
  <c r="Q24" i="76"/>
  <c r="Q23" i="76"/>
  <c r="AD12" i="76"/>
  <c r="AB12" i="76"/>
  <c r="AF11" i="76"/>
  <c r="AD11" i="76"/>
  <c r="AB11" i="76"/>
  <c r="AH10" i="76"/>
  <c r="AF10" i="76"/>
  <c r="AD10" i="76"/>
  <c r="AB10" i="76"/>
  <c r="AH9" i="76"/>
  <c r="AF9" i="76"/>
  <c r="AD9" i="76"/>
  <c r="AB9" i="76"/>
  <c r="AH8" i="76"/>
  <c r="AF8" i="76"/>
  <c r="AD8" i="76"/>
  <c r="AB8" i="76"/>
  <c r="AH7" i="76"/>
  <c r="AF7" i="76"/>
  <c r="AD7" i="76"/>
  <c r="AB7" i="76"/>
  <c r="AH6" i="76"/>
  <c r="AB37" i="76" s="1"/>
  <c r="AF6" i="76"/>
  <c r="AB36" i="76" s="1"/>
  <c r="AD6" i="76"/>
  <c r="AB35" i="76" s="1"/>
  <c r="AB6" i="76"/>
  <c r="AB34" i="76" s="1"/>
  <c r="L3" i="76"/>
  <c r="R75" i="75" a="1"/>
  <c r="T75" i="75" s="1"/>
  <c r="H75" i="75" a="1"/>
  <c r="J75" i="75" s="1"/>
  <c r="R70" i="75" a="1"/>
  <c r="T70" i="75" s="1"/>
  <c r="H70" i="75" a="1"/>
  <c r="J70" i="75" s="1"/>
  <c r="R65" i="75" a="1"/>
  <c r="T65" i="75" s="1"/>
  <c r="H65" i="75" a="1"/>
  <c r="J65" i="75" s="1"/>
  <c r="H60" i="75" a="1"/>
  <c r="J60" i="75" s="1"/>
  <c r="X37" i="75"/>
  <c r="V37" i="75"/>
  <c r="X36" i="75"/>
  <c r="W36" i="75"/>
  <c r="V36" i="75"/>
  <c r="X35" i="75"/>
  <c r="W35" i="75"/>
  <c r="V35" i="75"/>
  <c r="X34" i="75"/>
  <c r="W34" i="75"/>
  <c r="V34" i="75"/>
  <c r="Q26" i="75"/>
  <c r="Q25" i="75"/>
  <c r="Q24" i="75"/>
  <c r="AD12" i="75"/>
  <c r="AB12" i="75"/>
  <c r="D85" i="79" s="1"/>
  <c r="AF11" i="75"/>
  <c r="F84" i="79" s="1"/>
  <c r="AD11" i="75"/>
  <c r="AB11" i="75"/>
  <c r="D84" i="79" s="1"/>
  <c r="AH10" i="75"/>
  <c r="H83" i="79" s="1"/>
  <c r="AF10" i="75"/>
  <c r="F83" i="79" s="1"/>
  <c r="AD10" i="75"/>
  <c r="AB10" i="75"/>
  <c r="D83" i="79" s="1"/>
  <c r="AH9" i="75"/>
  <c r="H82" i="79" s="1"/>
  <c r="AF9" i="75"/>
  <c r="F82" i="79" s="1"/>
  <c r="AD9" i="75"/>
  <c r="AB9" i="75"/>
  <c r="D82" i="79" s="1"/>
  <c r="AH8" i="75"/>
  <c r="H81" i="79" s="1"/>
  <c r="AF8" i="75"/>
  <c r="F81" i="79" s="1"/>
  <c r="AD8" i="75"/>
  <c r="AB8" i="75"/>
  <c r="D81" i="79" s="1"/>
  <c r="AH7" i="75"/>
  <c r="H80" i="79" s="1"/>
  <c r="AF7" i="75"/>
  <c r="F80" i="79" s="1"/>
  <c r="AD7" i="75"/>
  <c r="AB7" i="75"/>
  <c r="D80" i="79" s="1"/>
  <c r="AH6" i="75"/>
  <c r="AF6" i="75"/>
  <c r="AD6" i="75"/>
  <c r="AB35" i="75" s="1"/>
  <c r="AB6" i="75"/>
  <c r="L3" i="75"/>
  <c r="W81" i="77" s="1"/>
  <c r="W7" i="9" a="1"/>
  <c r="W7" i="9" s="1"/>
  <c r="U17" i="2" a="1"/>
  <c r="U17" i="2" s="1"/>
  <c r="U18" i="51" a="1"/>
  <c r="U18" i="51" s="1"/>
  <c r="B4" i="71"/>
  <c r="B16" i="62" s="1" a="1"/>
  <c r="B16" i="62" s="1"/>
  <c r="B1" i="71" a="1"/>
  <c r="B1" i="71" s="1"/>
  <c r="B4" i="39"/>
  <c r="M74" i="69" a="1"/>
  <c r="M74" i="69" s="1"/>
  <c r="N88" i="69" s="1"/>
  <c r="M73" i="69" a="1"/>
  <c r="M73" i="69" s="1"/>
  <c r="N87" i="69" s="1"/>
  <c r="M72" i="69" a="1"/>
  <c r="M72" i="69" s="1"/>
  <c r="N83" i="69" s="1"/>
  <c r="M71" i="69" a="1"/>
  <c r="M71" i="69" s="1"/>
  <c r="N82" i="69" s="1"/>
  <c r="M70" i="69" a="1"/>
  <c r="M70" i="69" s="1"/>
  <c r="M56" i="68" a="1"/>
  <c r="M56" i="68" s="1"/>
  <c r="N70" i="68" s="1"/>
  <c r="M55" i="68" a="1"/>
  <c r="M55" i="68" s="1"/>
  <c r="N69" i="68" s="1"/>
  <c r="M54" i="68" a="1"/>
  <c r="M54" i="68" s="1"/>
  <c r="N65" i="68" s="1"/>
  <c r="M53" i="68" a="1"/>
  <c r="M53" i="68" s="1"/>
  <c r="N64" i="68" s="1"/>
  <c r="M52" i="68" a="1"/>
  <c r="M52" i="68" s="1"/>
  <c r="N68" i="68" s="1"/>
  <c r="H81" i="51" a="1"/>
  <c r="H81" i="51" s="1"/>
  <c r="H106" i="51" s="1"/>
  <c r="H119" i="51" a="1"/>
  <c r="H119" i="51" s="1"/>
  <c r="H111" i="51" a="1"/>
  <c r="H111" i="51" s="1"/>
  <c r="C119" i="51" a="1"/>
  <c r="C119" i="51" s="1"/>
  <c r="C118" i="51" a="1"/>
  <c r="C118" i="51" s="1"/>
  <c r="C112" i="51" a="1"/>
  <c r="C112" i="51" s="1"/>
  <c r="C106" i="51" a="1"/>
  <c r="C106" i="51" s="1"/>
  <c r="H123" i="51"/>
  <c r="H94" i="51" a="1"/>
  <c r="H94" i="51" s="1"/>
  <c r="H102" i="51" s="1"/>
  <c r="H93" i="51" a="1"/>
  <c r="H93" i="51" s="1"/>
  <c r="H101" i="51" s="1"/>
  <c r="H92" i="51" a="1"/>
  <c r="H92" i="51" s="1"/>
  <c r="H100" i="51" s="1"/>
  <c r="H91" i="51" a="1"/>
  <c r="H91" i="51" s="1"/>
  <c r="H99" i="51" s="1"/>
  <c r="H90" i="51" a="1"/>
  <c r="H90" i="51" s="1"/>
  <c r="H98" i="51" s="1"/>
  <c r="H89" i="51" a="1"/>
  <c r="H89" i="51" s="1"/>
  <c r="H97" i="51" s="1"/>
  <c r="H96" i="51" a="1"/>
  <c r="H96" i="51" s="1"/>
  <c r="H88" i="51" a="1"/>
  <c r="H88" i="51" s="1"/>
  <c r="C94" i="51" a="1"/>
  <c r="C94" i="51" s="1"/>
  <c r="C93" i="51" a="1"/>
  <c r="C93" i="51" s="1"/>
  <c r="C117" i="51" s="1"/>
  <c r="C91" i="51" a="1"/>
  <c r="C91" i="51" s="1"/>
  <c r="C115" i="51" s="1"/>
  <c r="C90" i="51" a="1"/>
  <c r="C90" i="51" s="1"/>
  <c r="C114" i="51" s="1"/>
  <c r="C89" i="51" a="1"/>
  <c r="C89" i="51" s="1"/>
  <c r="C113" i="51" s="1"/>
  <c r="C88" i="51" a="1"/>
  <c r="C88" i="51" s="1"/>
  <c r="C111" i="51" s="1"/>
  <c r="C87" i="51" a="1"/>
  <c r="C87" i="51" s="1"/>
  <c r="C110" i="51" s="1"/>
  <c r="C86" i="51" a="1"/>
  <c r="C86" i="51" s="1"/>
  <c r="C109" i="51" s="1"/>
  <c r="C81" i="51" a="1"/>
  <c r="C81" i="51" s="1"/>
  <c r="C83" i="51" a="1"/>
  <c r="C83" i="51" s="1"/>
  <c r="AK4" i="58" a="1"/>
  <c r="AK4" i="58" s="1"/>
  <c r="AF4" i="51" s="1"/>
  <c r="E8" i="51" s="1"/>
  <c r="AK5" i="58" a="1"/>
  <c r="AK5" i="58" s="1"/>
  <c r="AF5" i="51" s="1"/>
  <c r="AK2" i="58" a="1"/>
  <c r="AK2" i="58" s="1"/>
  <c r="AF2" i="51" s="1"/>
  <c r="E55" i="58" a="1"/>
  <c r="E55" i="58" s="1"/>
  <c r="E53" i="58" a="1"/>
  <c r="E53" i="58" s="1"/>
  <c r="E51" i="58" a="1"/>
  <c r="E51" i="58" s="1"/>
  <c r="E48" i="58" a="1"/>
  <c r="E48" i="58" s="1"/>
  <c r="E46" i="58" a="1"/>
  <c r="E46" i="58" s="1"/>
  <c r="E44" i="58" a="1"/>
  <c r="E44" i="58" s="1"/>
  <c r="E42" i="58" a="1"/>
  <c r="E42" i="58" s="1"/>
  <c r="E40" i="58" a="1"/>
  <c r="E40" i="58" s="1"/>
  <c r="E38" i="58" a="1"/>
  <c r="E38" i="58" s="1"/>
  <c r="E35" i="58" a="1"/>
  <c r="E35" i="58" s="1"/>
  <c r="E33" i="58" a="1"/>
  <c r="E33" i="58" s="1"/>
  <c r="E31" i="58" a="1"/>
  <c r="E31" i="58" s="1"/>
  <c r="E29" i="58" a="1"/>
  <c r="E29" i="58" s="1"/>
  <c r="E26" i="58" a="1"/>
  <c r="E26" i="58" s="1"/>
  <c r="E24" i="58" a="1"/>
  <c r="E24" i="58" s="1"/>
  <c r="E21" i="58" a="1"/>
  <c r="E21" i="58" s="1"/>
  <c r="E19" i="58" a="1"/>
  <c r="E19" i="58" s="1"/>
  <c r="E17" i="58" a="1"/>
  <c r="E17" i="58" s="1"/>
  <c r="E15" i="58" a="1"/>
  <c r="E15" i="58" s="1"/>
  <c r="X10" i="58" a="1"/>
  <c r="X10" i="58" s="1"/>
  <c r="R10" i="58" a="1"/>
  <c r="R10" i="58" s="1"/>
  <c r="N10" i="58" a="1"/>
  <c r="N10" i="58" s="1"/>
  <c r="L10" i="58" a="1"/>
  <c r="L10" i="58" s="1"/>
  <c r="H10" i="58" a="1"/>
  <c r="H10" i="58" s="1"/>
  <c r="E50" i="58" a="1"/>
  <c r="E50" i="58" s="1"/>
  <c r="E37" i="58" a="1"/>
  <c r="E37" i="58" s="1"/>
  <c r="E28" i="58" a="1"/>
  <c r="E28" i="58" s="1"/>
  <c r="E23" i="58" a="1"/>
  <c r="E23" i="58" s="1"/>
  <c r="E14" i="58" a="1"/>
  <c r="E14" i="58" s="1"/>
  <c r="E12" i="58" a="1"/>
  <c r="E12" i="58" s="1"/>
  <c r="E10" i="58" a="1"/>
  <c r="E10" i="58" s="1"/>
  <c r="E7" i="58" a="1"/>
  <c r="E7" i="58" s="1"/>
  <c r="E6" i="58" a="1"/>
  <c r="E6" i="58" s="1"/>
  <c r="E4" i="58" a="1"/>
  <c r="E4" i="58" s="1"/>
  <c r="E3" i="58" a="1"/>
  <c r="E3" i="58" s="1"/>
  <c r="W5" i="70"/>
  <c r="A30" i="54" s="1"/>
  <c r="W6" i="70"/>
  <c r="A31" i="54" s="1"/>
  <c r="Y6" i="70"/>
  <c r="C31" i="54" s="1"/>
  <c r="Z6" i="70"/>
  <c r="D31" i="54" s="1"/>
  <c r="AH6" i="70"/>
  <c r="L31" i="54" s="1"/>
  <c r="AI6" i="70"/>
  <c r="M31" i="54" s="1"/>
  <c r="AM6" i="70"/>
  <c r="Q31" i="54" s="1"/>
  <c r="W7" i="70"/>
  <c r="A32" i="54" s="1"/>
  <c r="X7" i="70"/>
  <c r="B32" i="54" s="1"/>
  <c r="Y7" i="70"/>
  <c r="C32" i="54" s="1"/>
  <c r="Z7" i="70"/>
  <c r="D32" i="54" s="1"/>
  <c r="AA7" i="70"/>
  <c r="E32" i="54" s="1"/>
  <c r="AB7" i="70"/>
  <c r="F32" i="54" s="1"/>
  <c r="AH7" i="70"/>
  <c r="L32" i="54" s="1"/>
  <c r="AI7" i="70"/>
  <c r="M32" i="54" s="1"/>
  <c r="AL7" i="70"/>
  <c r="P32" i="54" s="1"/>
  <c r="AM7" i="70"/>
  <c r="Q32" i="54" s="1"/>
  <c r="AO7" i="70"/>
  <c r="S32" i="54" s="1"/>
  <c r="W8" i="70"/>
  <c r="A33" i="54" s="1"/>
  <c r="X8" i="70"/>
  <c r="B33" i="54" s="1"/>
  <c r="Y8" i="70"/>
  <c r="C33" i="54" s="1"/>
  <c r="Z8" i="70"/>
  <c r="D33" i="54" s="1"/>
  <c r="AA8" i="70"/>
  <c r="E33" i="54" s="1"/>
  <c r="AB8" i="70"/>
  <c r="F33" i="54" s="1"/>
  <c r="AC8" i="70"/>
  <c r="G33" i="54" s="1"/>
  <c r="AE8" i="70"/>
  <c r="I33" i="54" s="1"/>
  <c r="AG8" i="70"/>
  <c r="K33" i="54" s="1"/>
  <c r="AH8" i="70"/>
  <c r="L33" i="54" s="1"/>
  <c r="AI8" i="70"/>
  <c r="M33" i="54" s="1"/>
  <c r="AL8" i="70"/>
  <c r="P33" i="54" s="1"/>
  <c r="AM8" i="70"/>
  <c r="Q33" i="54" s="1"/>
  <c r="AO8" i="70"/>
  <c r="S33" i="54" s="1"/>
  <c r="W9" i="70"/>
  <c r="A34" i="54" s="1"/>
  <c r="X9" i="70"/>
  <c r="B34" i="54" s="1"/>
  <c r="Y9" i="70"/>
  <c r="C34" i="54" s="1"/>
  <c r="Z9" i="70"/>
  <c r="D34" i="54" s="1"/>
  <c r="AA9" i="70"/>
  <c r="E34" i="54" s="1"/>
  <c r="AB9" i="70"/>
  <c r="F34" i="54" s="1"/>
  <c r="AC9" i="70"/>
  <c r="G34" i="54" s="1"/>
  <c r="AE9" i="70"/>
  <c r="I34" i="54" s="1"/>
  <c r="AF9" i="70"/>
  <c r="J34" i="54" s="1"/>
  <c r="AG9" i="70"/>
  <c r="K34" i="54" s="1"/>
  <c r="AH9" i="70"/>
  <c r="L34" i="54" s="1"/>
  <c r="AI9" i="70"/>
  <c r="M34" i="54" s="1"/>
  <c r="AK9" i="70"/>
  <c r="O34" i="54" s="1"/>
  <c r="AL9" i="70"/>
  <c r="P34" i="54" s="1"/>
  <c r="AM9" i="70"/>
  <c r="Q34" i="54" s="1"/>
  <c r="AN9" i="70"/>
  <c r="R34" i="54" s="1"/>
  <c r="AO9" i="70"/>
  <c r="S34" i="54" s="1"/>
  <c r="W10" i="70"/>
  <c r="A35" i="54" s="1"/>
  <c r="X10" i="70"/>
  <c r="B35" i="54" s="1"/>
  <c r="Y10" i="70"/>
  <c r="C35" i="54" s="1"/>
  <c r="Z10" i="70"/>
  <c r="D35" i="54" s="1"/>
  <c r="AA10" i="70"/>
  <c r="E35" i="54" s="1"/>
  <c r="AB10" i="70"/>
  <c r="F35" i="54" s="1"/>
  <c r="AC10" i="70"/>
  <c r="G35" i="54" s="1"/>
  <c r="AD10" i="70"/>
  <c r="H35" i="54" s="1"/>
  <c r="AE10" i="70"/>
  <c r="I35" i="54" s="1"/>
  <c r="AF10" i="70"/>
  <c r="J35" i="54" s="1"/>
  <c r="AG10" i="70"/>
  <c r="K35" i="54" s="1"/>
  <c r="AH10" i="70"/>
  <c r="L35" i="54" s="1"/>
  <c r="AI10" i="70"/>
  <c r="M35" i="54" s="1"/>
  <c r="AK10" i="70"/>
  <c r="O35" i="54" s="1"/>
  <c r="AL10" i="70"/>
  <c r="P35" i="54" s="1"/>
  <c r="AM10" i="70"/>
  <c r="Q35" i="54" s="1"/>
  <c r="AN10" i="70"/>
  <c r="R35" i="54" s="1"/>
  <c r="AO10" i="70"/>
  <c r="S35" i="54" s="1"/>
  <c r="W11" i="70"/>
  <c r="A36" i="54" s="1"/>
  <c r="X11" i="70"/>
  <c r="B36" i="54" s="1"/>
  <c r="Y11" i="70"/>
  <c r="C36" i="54" s="1"/>
  <c r="Z11" i="70"/>
  <c r="D36" i="54" s="1"/>
  <c r="AA11" i="70"/>
  <c r="E36" i="54" s="1"/>
  <c r="AB11" i="70"/>
  <c r="F36" i="54" s="1"/>
  <c r="AC11" i="70"/>
  <c r="G36" i="54" s="1"/>
  <c r="AD11" i="70"/>
  <c r="H36" i="54" s="1"/>
  <c r="AE11" i="70"/>
  <c r="I36" i="54" s="1"/>
  <c r="AF11" i="70"/>
  <c r="J36" i="54" s="1"/>
  <c r="AG11" i="70"/>
  <c r="K36" i="54" s="1"/>
  <c r="AH11" i="70"/>
  <c r="L36" i="54" s="1"/>
  <c r="AI11" i="70"/>
  <c r="M36" i="54" s="1"/>
  <c r="AK11" i="70"/>
  <c r="O36" i="54" s="1"/>
  <c r="AL11" i="70"/>
  <c r="P36" i="54" s="1"/>
  <c r="AM11" i="70"/>
  <c r="Q36" i="54" s="1"/>
  <c r="AN11" i="70"/>
  <c r="R36" i="54" s="1"/>
  <c r="AO11" i="70"/>
  <c r="S36" i="54" s="1"/>
  <c r="C1" i="70"/>
  <c r="AF5" i="70" s="1"/>
  <c r="J30" i="54" s="1"/>
  <c r="J52" i="54" s="1"/>
  <c r="AD74" i="67" a="1"/>
  <c r="AD74" i="67" s="1"/>
  <c r="BQ83" i="46" s="1"/>
  <c r="AD74" i="66" a="1"/>
  <c r="AD74" i="66" s="1"/>
  <c r="BN83" i="46" s="1"/>
  <c r="Q64" i="65" a="1"/>
  <c r="Q64" i="65" s="1"/>
  <c r="BK83" i="46" s="1"/>
  <c r="E22" i="69"/>
  <c r="X90" i="67" s="1"/>
  <c r="AI102" i="67" s="1"/>
  <c r="E21" i="69"/>
  <c r="X89" i="67" s="1"/>
  <c r="AI101" i="67" s="1"/>
  <c r="E16" i="69"/>
  <c r="X86" i="67" s="1"/>
  <c r="AC86" i="67" s="1"/>
  <c r="E15" i="69"/>
  <c r="Z85" i="67" s="1"/>
  <c r="E14" i="69"/>
  <c r="X85" i="67" s="1"/>
  <c r="AC85" i="67" s="1"/>
  <c r="J42" i="69"/>
  <c r="E42" i="69"/>
  <c r="E20" i="68"/>
  <c r="U26" i="68" s="1"/>
  <c r="E19" i="68"/>
  <c r="E15" i="68"/>
  <c r="I15" i="68" s="1"/>
  <c r="E14" i="68"/>
  <c r="Q64" i="64" a="1"/>
  <c r="Q64" i="64" s="1"/>
  <c r="BH83" i="46" s="1"/>
  <c r="J35" i="68"/>
  <c r="E35" i="68"/>
  <c r="AI112" i="67"/>
  <c r="AC112" i="67"/>
  <c r="X112" i="67"/>
  <c r="E108" i="67"/>
  <c r="E107" i="67"/>
  <c r="E106" i="67"/>
  <c r="H100" i="67"/>
  <c r="D100" i="67"/>
  <c r="H99" i="67"/>
  <c r="D99" i="67"/>
  <c r="H98" i="67"/>
  <c r="D98" i="67"/>
  <c r="H97" i="67"/>
  <c r="D97" i="67"/>
  <c r="O106" i="67" s="1"/>
  <c r="O112" i="67" s="1"/>
  <c r="O118" i="67" s="1"/>
  <c r="H93" i="67"/>
  <c r="D93" i="67"/>
  <c r="H92" i="67"/>
  <c r="D92" i="67"/>
  <c r="H91" i="67"/>
  <c r="D91" i="67"/>
  <c r="H90" i="67"/>
  <c r="D90" i="67"/>
  <c r="O105" i="67" s="1"/>
  <c r="O111" i="67" s="1"/>
  <c r="O117" i="67" s="1"/>
  <c r="H86" i="67"/>
  <c r="D86" i="67"/>
  <c r="H85" i="67"/>
  <c r="D85" i="67"/>
  <c r="H84" i="67"/>
  <c r="D84" i="67"/>
  <c r="H83" i="67"/>
  <c r="D83" i="67"/>
  <c r="O104" i="67" s="1"/>
  <c r="O110" i="67" s="1"/>
  <c r="O116" i="67" s="1"/>
  <c r="Q76" i="67"/>
  <c r="Q77" i="67" s="1"/>
  <c r="P76" i="67"/>
  <c r="P77" i="67" s="1"/>
  <c r="O76" i="67"/>
  <c r="O77" i="67" s="1"/>
  <c r="N76" i="67"/>
  <c r="N77" i="67" s="1"/>
  <c r="M76" i="67"/>
  <c r="M77" i="67" s="1"/>
  <c r="L76" i="67"/>
  <c r="L77" i="67" s="1"/>
  <c r="K76" i="67"/>
  <c r="K78" i="67" s="1"/>
  <c r="J76" i="67"/>
  <c r="J77" i="67" s="1"/>
  <c r="I76" i="67"/>
  <c r="I78" i="67" s="1"/>
  <c r="H76" i="67"/>
  <c r="H78" i="67" s="1"/>
  <c r="G76" i="67"/>
  <c r="G77" i="67" s="1"/>
  <c r="F76" i="67"/>
  <c r="E76" i="67"/>
  <c r="E77" i="67" s="1"/>
  <c r="D76" i="67"/>
  <c r="D78" i="67" s="1"/>
  <c r="AK74" i="67" a="1"/>
  <c r="AL74" i="67" s="1"/>
  <c r="AM74" i="67" s="1"/>
  <c r="Q71" i="67"/>
  <c r="P71" i="67"/>
  <c r="O71" i="67"/>
  <c r="N71" i="67"/>
  <c r="M71" i="67"/>
  <c r="L71" i="67"/>
  <c r="K71" i="67"/>
  <c r="J71" i="67"/>
  <c r="I71" i="67"/>
  <c r="H71" i="67"/>
  <c r="G71" i="67"/>
  <c r="F71" i="67"/>
  <c r="E71" i="67"/>
  <c r="D71" i="67"/>
  <c r="Q69" i="67"/>
  <c r="E85" i="67" s="1"/>
  <c r="P69" i="67"/>
  <c r="E92" i="67" s="1"/>
  <c r="O69" i="67"/>
  <c r="E99" i="67" s="1"/>
  <c r="N69" i="67"/>
  <c r="E86" i="67" s="1"/>
  <c r="M69" i="67"/>
  <c r="E93" i="67" s="1"/>
  <c r="L69" i="67"/>
  <c r="E100" i="67" s="1"/>
  <c r="K69" i="67"/>
  <c r="E83" i="67" s="1"/>
  <c r="J69" i="67"/>
  <c r="E90" i="67" s="1"/>
  <c r="I69" i="67"/>
  <c r="E97" i="67" s="1"/>
  <c r="H69" i="67"/>
  <c r="G69" i="67"/>
  <c r="E84" i="67" s="1"/>
  <c r="F69" i="67"/>
  <c r="E91" i="67" s="1"/>
  <c r="E69" i="67"/>
  <c r="D69" i="67"/>
  <c r="Q67" i="67"/>
  <c r="P67" i="67"/>
  <c r="O67" i="67"/>
  <c r="N67" i="67"/>
  <c r="M67" i="67"/>
  <c r="L67" i="67"/>
  <c r="K67" i="67"/>
  <c r="J67" i="67"/>
  <c r="I67" i="67"/>
  <c r="H67" i="67"/>
  <c r="G67" i="67"/>
  <c r="F67" i="67"/>
  <c r="E67" i="67"/>
  <c r="D67" i="67"/>
  <c r="Q66" i="67"/>
  <c r="P66" i="67"/>
  <c r="O66" i="67"/>
  <c r="N66" i="67"/>
  <c r="M66" i="67"/>
  <c r="L66" i="67"/>
  <c r="K66" i="67"/>
  <c r="J66" i="67"/>
  <c r="I66" i="67"/>
  <c r="H66" i="67"/>
  <c r="G66" i="67"/>
  <c r="F66" i="67"/>
  <c r="E66" i="67"/>
  <c r="D66" i="67"/>
  <c r="Q65" i="67"/>
  <c r="P65" i="67"/>
  <c r="O65" i="67"/>
  <c r="N65" i="67"/>
  <c r="M65" i="67"/>
  <c r="L65" i="67"/>
  <c r="K65" i="67"/>
  <c r="J65" i="67"/>
  <c r="I65" i="67"/>
  <c r="H65" i="67"/>
  <c r="G65" i="67"/>
  <c r="F65" i="67"/>
  <c r="E65" i="67"/>
  <c r="D65" i="67"/>
  <c r="Q64" i="67"/>
  <c r="P64" i="67"/>
  <c r="O64" i="67"/>
  <c r="N64" i="67"/>
  <c r="M64" i="67"/>
  <c r="L64" i="67"/>
  <c r="K64" i="67"/>
  <c r="J64" i="67"/>
  <c r="I64" i="67"/>
  <c r="H64" i="67"/>
  <c r="G64" i="67"/>
  <c r="F64" i="67"/>
  <c r="E64" i="67"/>
  <c r="D64" i="67"/>
  <c r="Q63" i="67"/>
  <c r="G85" i="67" s="1"/>
  <c r="P63" i="67"/>
  <c r="G92" i="67" s="1"/>
  <c r="O63" i="67"/>
  <c r="G99" i="67" s="1"/>
  <c r="N63" i="67"/>
  <c r="G86" i="67" s="1"/>
  <c r="M63" i="67"/>
  <c r="G93" i="67" s="1"/>
  <c r="L63" i="67"/>
  <c r="G100" i="67" s="1"/>
  <c r="K63" i="67"/>
  <c r="G83" i="67" s="1"/>
  <c r="J63" i="67"/>
  <c r="G90" i="67" s="1"/>
  <c r="I63" i="67"/>
  <c r="G97" i="67" s="1"/>
  <c r="H63" i="67"/>
  <c r="G63" i="67"/>
  <c r="G84" i="67" s="1"/>
  <c r="F63" i="67"/>
  <c r="G91" i="67" s="1"/>
  <c r="E63" i="67"/>
  <c r="D63" i="67"/>
  <c r="Q60" i="67"/>
  <c r="AP26" i="67" s="1"/>
  <c r="P60" i="67"/>
  <c r="AO26" i="67" s="1"/>
  <c r="O60" i="67"/>
  <c r="AN26" i="67" s="1"/>
  <c r="N60" i="67"/>
  <c r="AM26" i="67" s="1"/>
  <c r="M60" i="67"/>
  <c r="AL26" i="67" s="1"/>
  <c r="L60" i="67"/>
  <c r="AK26" i="67" s="1"/>
  <c r="K60" i="67"/>
  <c r="AJ26" i="67" s="1"/>
  <c r="J60" i="67"/>
  <c r="AI26" i="67" s="1"/>
  <c r="I60" i="67"/>
  <c r="AH26" i="67" s="1"/>
  <c r="H60" i="67"/>
  <c r="AG26" i="67" s="1"/>
  <c r="G60" i="67"/>
  <c r="AF26" i="67" s="1"/>
  <c r="F60" i="67"/>
  <c r="AE26" i="67" s="1"/>
  <c r="E60" i="67"/>
  <c r="AD26" i="67" s="1"/>
  <c r="D60" i="67"/>
  <c r="AC26" i="67" s="1"/>
  <c r="Q56" i="67"/>
  <c r="AP18" i="67" s="1"/>
  <c r="P56" i="67"/>
  <c r="O56" i="67"/>
  <c r="AN18" i="67" s="1"/>
  <c r="N56" i="67"/>
  <c r="AM18" i="67" s="1"/>
  <c r="M56" i="67"/>
  <c r="AL18" i="67" s="1"/>
  <c r="L56" i="67"/>
  <c r="K56" i="67"/>
  <c r="J56" i="67"/>
  <c r="I56" i="67"/>
  <c r="AH18" i="67" s="1"/>
  <c r="H56" i="67"/>
  <c r="AG18" i="67" s="1"/>
  <c r="G56" i="67"/>
  <c r="AF18" i="67" s="1"/>
  <c r="F56" i="67"/>
  <c r="AE18" i="67" s="1"/>
  <c r="E56" i="67"/>
  <c r="D56" i="67"/>
  <c r="AC18" i="67" s="1"/>
  <c r="Q55" i="67"/>
  <c r="AP17" i="67" s="1"/>
  <c r="P55" i="67"/>
  <c r="AO17" i="67" s="1"/>
  <c r="O55" i="67"/>
  <c r="AN17" i="67" s="1"/>
  <c r="N55" i="67"/>
  <c r="M55" i="67"/>
  <c r="AL17" i="67" s="1"/>
  <c r="L55" i="67"/>
  <c r="AK17" i="67" s="1"/>
  <c r="K55" i="67"/>
  <c r="AJ17" i="67" s="1"/>
  <c r="J55" i="67"/>
  <c r="AI17" i="67" s="1"/>
  <c r="I55" i="67"/>
  <c r="H55" i="67"/>
  <c r="G55" i="67"/>
  <c r="AF17" i="67" s="1"/>
  <c r="F55" i="67"/>
  <c r="E55" i="67"/>
  <c r="AD17" i="67" s="1"/>
  <c r="D55" i="67"/>
  <c r="AC17" i="67" s="1"/>
  <c r="V49" i="67"/>
  <c r="U49" i="67"/>
  <c r="T49" i="67"/>
  <c r="S49" i="67"/>
  <c r="R49" i="67"/>
  <c r="Q49" i="67"/>
  <c r="P49" i="67"/>
  <c r="O49" i="67"/>
  <c r="N49" i="67"/>
  <c r="M49" i="67"/>
  <c r="L49" i="67"/>
  <c r="K49" i="67"/>
  <c r="J49" i="67"/>
  <c r="I49" i="67"/>
  <c r="H49" i="67"/>
  <c r="G49" i="67"/>
  <c r="F49" i="67"/>
  <c r="E49" i="67"/>
  <c r="D49" i="67"/>
  <c r="V48" i="67"/>
  <c r="U48" i="67"/>
  <c r="T48" i="67"/>
  <c r="S48" i="67"/>
  <c r="R48" i="67"/>
  <c r="Q48" i="67"/>
  <c r="P48" i="67"/>
  <c r="O48" i="67"/>
  <c r="N48" i="67"/>
  <c r="M48" i="67"/>
  <c r="L48" i="67"/>
  <c r="K48" i="67"/>
  <c r="J48" i="67"/>
  <c r="I48" i="67"/>
  <c r="H48" i="67"/>
  <c r="G48" i="67"/>
  <c r="F48" i="67"/>
  <c r="E48" i="67"/>
  <c r="D48" i="67"/>
  <c r="Q40" i="67"/>
  <c r="P40" i="67"/>
  <c r="O40" i="67"/>
  <c r="N40" i="67"/>
  <c r="M40" i="67"/>
  <c r="L40" i="67"/>
  <c r="K40" i="67"/>
  <c r="J40" i="67"/>
  <c r="I40" i="67"/>
  <c r="H40" i="67"/>
  <c r="G40" i="67"/>
  <c r="F40" i="67"/>
  <c r="E40" i="67"/>
  <c r="D40" i="67"/>
  <c r="AP14" i="67"/>
  <c r="AO14" i="67"/>
  <c r="AN14" i="67"/>
  <c r="AM14" i="67"/>
  <c r="AL14" i="67"/>
  <c r="AK14" i="67"/>
  <c r="AJ14" i="67"/>
  <c r="AI14" i="67"/>
  <c r="AH14" i="67"/>
  <c r="AG14" i="67"/>
  <c r="AF14" i="67"/>
  <c r="AE14" i="67"/>
  <c r="AD14" i="67"/>
  <c r="AC14" i="67"/>
  <c r="AP13" i="67"/>
  <c r="AO13" i="67"/>
  <c r="AN13" i="67"/>
  <c r="AM13" i="67"/>
  <c r="AL13" i="67"/>
  <c r="AK13" i="67"/>
  <c r="AJ13" i="67"/>
  <c r="AI13" i="67"/>
  <c r="AH13" i="67"/>
  <c r="AG13" i="67"/>
  <c r="AF13" i="67"/>
  <c r="AE13" i="67"/>
  <c r="AD13" i="67"/>
  <c r="AC13" i="67"/>
  <c r="AP9" i="67"/>
  <c r="AO9" i="67"/>
  <c r="AN9" i="67"/>
  <c r="AM9" i="67"/>
  <c r="AL9" i="67"/>
  <c r="AK9" i="67"/>
  <c r="AJ9" i="67"/>
  <c r="AI9" i="67"/>
  <c r="AH9" i="67"/>
  <c r="AG9" i="67"/>
  <c r="AF9" i="67"/>
  <c r="AE9" i="67"/>
  <c r="AD9" i="67"/>
  <c r="AC9" i="67"/>
  <c r="AP8" i="67"/>
  <c r="AO8" i="67"/>
  <c r="AN8" i="67"/>
  <c r="AM8" i="67"/>
  <c r="AL8" i="67"/>
  <c r="AK8" i="67"/>
  <c r="AJ8" i="67"/>
  <c r="AI8" i="67"/>
  <c r="AH8" i="67"/>
  <c r="AG8" i="67"/>
  <c r="AF8" i="67"/>
  <c r="AE8" i="67"/>
  <c r="AD8" i="67"/>
  <c r="AC8" i="67"/>
  <c r="AP6" i="67"/>
  <c r="AO6" i="67"/>
  <c r="AN6" i="67"/>
  <c r="AM6" i="67"/>
  <c r="AL6" i="67"/>
  <c r="AK6" i="67"/>
  <c r="AJ6" i="67"/>
  <c r="AI6" i="67"/>
  <c r="AH6" i="67"/>
  <c r="AG6" i="67"/>
  <c r="AF6" i="67"/>
  <c r="AE6" i="67"/>
  <c r="AD6" i="67"/>
  <c r="AC6" i="67"/>
  <c r="AP5" i="67"/>
  <c r="AO5" i="67"/>
  <c r="AN5" i="67"/>
  <c r="AM5" i="67"/>
  <c r="AL5" i="67"/>
  <c r="AK5" i="67"/>
  <c r="AJ5" i="67"/>
  <c r="AI5" i="67"/>
  <c r="AH5" i="67"/>
  <c r="AG5" i="67"/>
  <c r="AF5" i="67"/>
  <c r="AE5" i="67"/>
  <c r="AD5" i="67"/>
  <c r="AC5" i="67"/>
  <c r="AP4" i="67"/>
  <c r="AO4" i="67"/>
  <c r="AN4" i="67"/>
  <c r="AM4" i="67"/>
  <c r="AL4" i="67"/>
  <c r="AK4" i="67"/>
  <c r="AJ4" i="67"/>
  <c r="AI4" i="67"/>
  <c r="AH4" i="67"/>
  <c r="AG4" i="67"/>
  <c r="AF4" i="67"/>
  <c r="AE4" i="67"/>
  <c r="AD4" i="67"/>
  <c r="AC4" i="67"/>
  <c r="AP3" i="67"/>
  <c r="AO3" i="67"/>
  <c r="AN3" i="67"/>
  <c r="AM3" i="67"/>
  <c r="AL3" i="67"/>
  <c r="AK3" i="67"/>
  <c r="AJ3" i="67"/>
  <c r="AI3" i="67"/>
  <c r="AH3" i="67"/>
  <c r="AG3" i="67"/>
  <c r="AF3" i="67"/>
  <c r="AE3" i="67"/>
  <c r="AD3" i="67"/>
  <c r="AC3" i="67"/>
  <c r="N116" i="66"/>
  <c r="N117" i="66" s="1"/>
  <c r="N118" i="66" s="1"/>
  <c r="AI112" i="66"/>
  <c r="AC112" i="66"/>
  <c r="X112" i="66"/>
  <c r="N110" i="66"/>
  <c r="N111" i="66" s="1"/>
  <c r="N112" i="66" s="1"/>
  <c r="N104" i="66"/>
  <c r="N105" i="66" s="1"/>
  <c r="N106" i="66" s="1"/>
  <c r="H100" i="66"/>
  <c r="D100" i="66"/>
  <c r="H99" i="66"/>
  <c r="D99" i="66"/>
  <c r="H98" i="66"/>
  <c r="D98" i="66"/>
  <c r="H97" i="66"/>
  <c r="D97" i="66"/>
  <c r="O106" i="66" s="1"/>
  <c r="O112" i="66" s="1"/>
  <c r="O118" i="66" s="1"/>
  <c r="H93" i="66"/>
  <c r="D93" i="66"/>
  <c r="H92" i="66"/>
  <c r="D92" i="66"/>
  <c r="H91" i="66"/>
  <c r="D91" i="66"/>
  <c r="H90" i="66"/>
  <c r="D90" i="66"/>
  <c r="O105" i="66" s="1"/>
  <c r="O111" i="66" s="1"/>
  <c r="O117" i="66" s="1"/>
  <c r="H86" i="66"/>
  <c r="D86" i="66"/>
  <c r="H85" i="66"/>
  <c r="D85" i="66"/>
  <c r="H84" i="66"/>
  <c r="D84" i="66"/>
  <c r="H83" i="66"/>
  <c r="D83" i="66"/>
  <c r="O104" i="66" s="1"/>
  <c r="O110" i="66" s="1"/>
  <c r="O116" i="66" s="1"/>
  <c r="Q76" i="66"/>
  <c r="Q78" i="66" s="1"/>
  <c r="P76" i="66"/>
  <c r="P78" i="66" s="1"/>
  <c r="O76" i="66"/>
  <c r="O77" i="66" s="1"/>
  <c r="N76" i="66"/>
  <c r="M76" i="66"/>
  <c r="M77" i="66" s="1"/>
  <c r="L76" i="66"/>
  <c r="L77" i="66" s="1"/>
  <c r="K76" i="66"/>
  <c r="K78" i="66" s="1"/>
  <c r="J76" i="66"/>
  <c r="J78" i="66" s="1"/>
  <c r="I76" i="66"/>
  <c r="I78" i="66" s="1"/>
  <c r="H76" i="66"/>
  <c r="H78" i="66" s="1"/>
  <c r="G76" i="66"/>
  <c r="G78" i="66" s="1"/>
  <c r="F76" i="66"/>
  <c r="F78" i="66" s="1"/>
  <c r="E76" i="66"/>
  <c r="E77" i="66" s="1"/>
  <c r="D76" i="66"/>
  <c r="AK74" i="66" a="1"/>
  <c r="AL74" i="66" s="1"/>
  <c r="AM74" i="66" s="1"/>
  <c r="Q71" i="66"/>
  <c r="P71" i="66"/>
  <c r="O71" i="66"/>
  <c r="N71" i="66"/>
  <c r="M71" i="66"/>
  <c r="L71" i="66"/>
  <c r="K71" i="66"/>
  <c r="J71" i="66"/>
  <c r="I71" i="66"/>
  <c r="H71" i="66"/>
  <c r="G71" i="66"/>
  <c r="F71" i="66"/>
  <c r="E71" i="66"/>
  <c r="D71" i="66"/>
  <c r="Q69" i="66"/>
  <c r="E85" i="66" s="1"/>
  <c r="P69" i="66"/>
  <c r="E92" i="66" s="1"/>
  <c r="O69" i="66"/>
  <c r="E99" i="66" s="1"/>
  <c r="N69" i="66"/>
  <c r="E86" i="66" s="1"/>
  <c r="M69" i="66"/>
  <c r="E93" i="66" s="1"/>
  <c r="L69" i="66"/>
  <c r="E100" i="66" s="1"/>
  <c r="K69" i="66"/>
  <c r="E83" i="66" s="1"/>
  <c r="J69" i="66"/>
  <c r="E90" i="66" s="1"/>
  <c r="I69" i="66"/>
  <c r="E97" i="66" s="1"/>
  <c r="H69" i="66"/>
  <c r="G69" i="66"/>
  <c r="E84" i="66" s="1"/>
  <c r="F69" i="66"/>
  <c r="E91" i="66" s="1"/>
  <c r="E69" i="66"/>
  <c r="E98" i="66" s="1"/>
  <c r="D69" i="66"/>
  <c r="Q67" i="66"/>
  <c r="P67" i="66"/>
  <c r="O67" i="66"/>
  <c r="N67" i="66"/>
  <c r="M67" i="66"/>
  <c r="L67" i="66"/>
  <c r="K67" i="66"/>
  <c r="J67" i="66"/>
  <c r="I67" i="66"/>
  <c r="H67" i="66"/>
  <c r="G67" i="66"/>
  <c r="F67" i="66"/>
  <c r="E67" i="66"/>
  <c r="D67" i="66"/>
  <c r="Q66" i="66"/>
  <c r="P66" i="66"/>
  <c r="O66" i="66"/>
  <c r="N66" i="66"/>
  <c r="M66" i="66"/>
  <c r="L66" i="66"/>
  <c r="K66" i="66"/>
  <c r="J66" i="66"/>
  <c r="I66" i="66"/>
  <c r="H66" i="66"/>
  <c r="G66" i="66"/>
  <c r="F66" i="66"/>
  <c r="E66" i="66"/>
  <c r="D66" i="66"/>
  <c r="Q65" i="66"/>
  <c r="P65" i="66"/>
  <c r="O65" i="66"/>
  <c r="N65" i="66"/>
  <c r="M65" i="66"/>
  <c r="L65" i="66"/>
  <c r="K65" i="66"/>
  <c r="J65" i="66"/>
  <c r="I65" i="66"/>
  <c r="H65" i="66"/>
  <c r="G65" i="66"/>
  <c r="F65" i="66"/>
  <c r="E65" i="66"/>
  <c r="D65" i="66"/>
  <c r="Q64" i="66"/>
  <c r="P64" i="66"/>
  <c r="O64" i="66"/>
  <c r="N64" i="66"/>
  <c r="M64" i="66"/>
  <c r="L64" i="66"/>
  <c r="K64" i="66"/>
  <c r="J64" i="66"/>
  <c r="I64" i="66"/>
  <c r="H64" i="66"/>
  <c r="G64" i="66"/>
  <c r="F64" i="66"/>
  <c r="E64" i="66"/>
  <c r="D64" i="66"/>
  <c r="Q63" i="66"/>
  <c r="G85" i="66" s="1"/>
  <c r="P63" i="66"/>
  <c r="G92" i="66" s="1"/>
  <c r="O63" i="66"/>
  <c r="G99" i="66" s="1"/>
  <c r="N63" i="66"/>
  <c r="G86" i="66" s="1"/>
  <c r="M63" i="66"/>
  <c r="G93" i="66" s="1"/>
  <c r="L63" i="66"/>
  <c r="G100" i="66" s="1"/>
  <c r="K63" i="66"/>
  <c r="G83" i="66" s="1"/>
  <c r="J63" i="66"/>
  <c r="G90" i="66" s="1"/>
  <c r="I63" i="66"/>
  <c r="G97" i="66" s="1"/>
  <c r="H63" i="66"/>
  <c r="G63" i="66"/>
  <c r="G84" i="66" s="1"/>
  <c r="F63" i="66"/>
  <c r="G91" i="66" s="1"/>
  <c r="E63" i="66"/>
  <c r="G98" i="66" s="1"/>
  <c r="D63" i="66"/>
  <c r="Q60" i="66"/>
  <c r="AM26" i="66" s="1"/>
  <c r="P60" i="66"/>
  <c r="AL26" i="66" s="1"/>
  <c r="O60" i="66"/>
  <c r="AK26" i="66" s="1"/>
  <c r="N60" i="66"/>
  <c r="AP26" i="66" s="1"/>
  <c r="M60" i="66"/>
  <c r="AO26" i="66" s="1"/>
  <c r="L60" i="66"/>
  <c r="AN26" i="66" s="1"/>
  <c r="K60" i="66"/>
  <c r="AJ26" i="66" s="1"/>
  <c r="J60" i="66"/>
  <c r="AI26" i="66" s="1"/>
  <c r="I60" i="66"/>
  <c r="AH26" i="66" s="1"/>
  <c r="H60" i="66"/>
  <c r="AG26" i="66" s="1"/>
  <c r="G60" i="66"/>
  <c r="AF26" i="66" s="1"/>
  <c r="F60" i="66"/>
  <c r="AE26" i="66" s="1"/>
  <c r="E60" i="66"/>
  <c r="AD26" i="66" s="1"/>
  <c r="D60" i="66"/>
  <c r="AC26" i="66" s="1"/>
  <c r="Q56" i="66"/>
  <c r="AM18" i="66" s="1"/>
  <c r="P56" i="66"/>
  <c r="O56" i="66"/>
  <c r="N56" i="66"/>
  <c r="M56" i="66"/>
  <c r="L56" i="66"/>
  <c r="AN18" i="66" s="1"/>
  <c r="K56" i="66"/>
  <c r="AJ18" i="66" s="1"/>
  <c r="J56" i="66"/>
  <c r="AI18" i="66" s="1"/>
  <c r="I56" i="66"/>
  <c r="H56" i="66"/>
  <c r="AG18" i="66" s="1"/>
  <c r="G56" i="66"/>
  <c r="AF18" i="66" s="1"/>
  <c r="F56" i="66"/>
  <c r="E56" i="66"/>
  <c r="AD18" i="66" s="1"/>
  <c r="D56" i="66"/>
  <c r="AC18" i="66" s="1"/>
  <c r="Q55" i="66"/>
  <c r="P55" i="66"/>
  <c r="O55" i="66"/>
  <c r="AK17" i="66" s="1"/>
  <c r="N55" i="66"/>
  <c r="AP17" i="66" s="1"/>
  <c r="M55" i="66"/>
  <c r="AO17" i="66" s="1"/>
  <c r="L55" i="66"/>
  <c r="AN17" i="66" s="1"/>
  <c r="K55" i="66"/>
  <c r="J55" i="66"/>
  <c r="AI17" i="66" s="1"/>
  <c r="I55" i="66"/>
  <c r="AH17" i="66" s="1"/>
  <c r="H55" i="66"/>
  <c r="AG17" i="66" s="1"/>
  <c r="G55" i="66"/>
  <c r="F55" i="66"/>
  <c r="AE17" i="66" s="1"/>
  <c r="E55" i="66"/>
  <c r="AD17" i="66" s="1"/>
  <c r="D55" i="66"/>
  <c r="Q49" i="66"/>
  <c r="P49" i="66"/>
  <c r="O49" i="66"/>
  <c r="N49" i="66"/>
  <c r="M49" i="66"/>
  <c r="L49" i="66"/>
  <c r="K49" i="66"/>
  <c r="J49" i="66"/>
  <c r="I49" i="66"/>
  <c r="H49" i="66"/>
  <c r="G49" i="66"/>
  <c r="F49" i="66"/>
  <c r="E49" i="66"/>
  <c r="D49" i="66"/>
  <c r="Q48" i="66"/>
  <c r="P48" i="66"/>
  <c r="O48" i="66"/>
  <c r="N48" i="66"/>
  <c r="M48" i="66"/>
  <c r="L48" i="66"/>
  <c r="K48" i="66"/>
  <c r="J48" i="66"/>
  <c r="I48" i="66"/>
  <c r="H48" i="66"/>
  <c r="G48" i="66"/>
  <c r="F48" i="66"/>
  <c r="E48" i="66"/>
  <c r="D48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P9" i="66"/>
  <c r="AO9" i="66"/>
  <c r="AN9" i="66"/>
  <c r="AM9" i="66"/>
  <c r="AL9" i="66"/>
  <c r="AK9" i="66"/>
  <c r="AJ9" i="66"/>
  <c r="AI9" i="66"/>
  <c r="AH9" i="66"/>
  <c r="AG9" i="66"/>
  <c r="AF9" i="66"/>
  <c r="AE9" i="66"/>
  <c r="AD9" i="66"/>
  <c r="AC9" i="66"/>
  <c r="AP8" i="66"/>
  <c r="AO8" i="66"/>
  <c r="AN8" i="66"/>
  <c r="AM8" i="66"/>
  <c r="AL8" i="66"/>
  <c r="AK8" i="66"/>
  <c r="AJ8" i="66"/>
  <c r="AI8" i="66"/>
  <c r="AH8" i="66"/>
  <c r="AG8" i="66"/>
  <c r="AF8" i="66"/>
  <c r="AE8" i="66"/>
  <c r="AD8" i="66"/>
  <c r="AC8" i="66"/>
  <c r="AP6" i="66"/>
  <c r="AO6" i="66"/>
  <c r="AN6" i="66"/>
  <c r="AM6" i="66"/>
  <c r="AL6" i="66"/>
  <c r="AK6" i="66"/>
  <c r="AJ6" i="66"/>
  <c r="AI6" i="66"/>
  <c r="AH6" i="66"/>
  <c r="AG6" i="66"/>
  <c r="AF6" i="66"/>
  <c r="AE6" i="66"/>
  <c r="AD6" i="66"/>
  <c r="AC6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P4" i="66"/>
  <c r="AO4" i="66"/>
  <c r="AN4" i="66"/>
  <c r="AM4" i="66"/>
  <c r="AL4" i="66"/>
  <c r="AK4" i="66"/>
  <c r="AJ4" i="66"/>
  <c r="AI4" i="66"/>
  <c r="AH4" i="66"/>
  <c r="AG4" i="66"/>
  <c r="AF4" i="66"/>
  <c r="AE4" i="66"/>
  <c r="AD4" i="66"/>
  <c r="AC4" i="66"/>
  <c r="AP3" i="66"/>
  <c r="AO3" i="66"/>
  <c r="AN3" i="66"/>
  <c r="AM3" i="66"/>
  <c r="AL3" i="66"/>
  <c r="AK3" i="66"/>
  <c r="AJ3" i="66"/>
  <c r="AI3" i="66"/>
  <c r="AH3" i="66"/>
  <c r="AG3" i="66"/>
  <c r="AF3" i="66"/>
  <c r="AE3" i="66"/>
  <c r="AD3" i="66"/>
  <c r="AC3" i="66"/>
  <c r="S81" i="65" a="1"/>
  <c r="T81" i="65" s="1"/>
  <c r="U81" i="65" s="1"/>
  <c r="N63" i="65"/>
  <c r="S31" i="65" s="1"/>
  <c r="M63" i="65"/>
  <c r="S36" i="65" s="1"/>
  <c r="L63" i="65"/>
  <c r="S41" i="65" s="1"/>
  <c r="K63" i="65"/>
  <c r="S29" i="65" s="1"/>
  <c r="J63" i="65"/>
  <c r="S35" i="65" s="1"/>
  <c r="I63" i="65"/>
  <c r="S40" i="65" s="1"/>
  <c r="H63" i="65"/>
  <c r="G63" i="65"/>
  <c r="S30" i="65" s="1"/>
  <c r="F63" i="65"/>
  <c r="S34" i="65" s="1"/>
  <c r="E63" i="65"/>
  <c r="S39" i="65" s="1"/>
  <c r="D63" i="65"/>
  <c r="N62" i="65"/>
  <c r="M62" i="65"/>
  <c r="L62" i="65"/>
  <c r="K62" i="65"/>
  <c r="J62" i="65"/>
  <c r="I62" i="65"/>
  <c r="H62" i="65"/>
  <c r="G62" i="65"/>
  <c r="F62" i="65"/>
  <c r="E62" i="65"/>
  <c r="D62" i="65"/>
  <c r="N61" i="65"/>
  <c r="M61" i="65"/>
  <c r="L61" i="65"/>
  <c r="K61" i="65"/>
  <c r="J61" i="65"/>
  <c r="I61" i="65"/>
  <c r="H61" i="65"/>
  <c r="G61" i="65"/>
  <c r="F61" i="65"/>
  <c r="E61" i="65"/>
  <c r="D61" i="65"/>
  <c r="N60" i="65"/>
  <c r="M60" i="65"/>
  <c r="L60" i="65"/>
  <c r="K60" i="65"/>
  <c r="J60" i="65"/>
  <c r="I60" i="65"/>
  <c r="H60" i="65"/>
  <c r="G60" i="65"/>
  <c r="F60" i="65"/>
  <c r="E60" i="65"/>
  <c r="D60" i="65"/>
  <c r="S47" i="65"/>
  <c r="S46" i="65"/>
  <c r="S45" i="65"/>
  <c r="N45" i="65"/>
  <c r="M45" i="65"/>
  <c r="L45" i="65"/>
  <c r="K45" i="65"/>
  <c r="J45" i="65"/>
  <c r="I45" i="65"/>
  <c r="H45" i="65"/>
  <c r="G45" i="65"/>
  <c r="F45" i="65"/>
  <c r="E45" i="65"/>
  <c r="D45" i="65"/>
  <c r="N44" i="65"/>
  <c r="M44" i="65"/>
  <c r="L44" i="65"/>
  <c r="K44" i="65"/>
  <c r="J44" i="65"/>
  <c r="I44" i="65"/>
  <c r="H44" i="65"/>
  <c r="G44" i="65"/>
  <c r="F44" i="65"/>
  <c r="E44" i="65"/>
  <c r="D44" i="65"/>
  <c r="AB41" i="65"/>
  <c r="U41" i="65"/>
  <c r="T41" i="65"/>
  <c r="AB40" i="65"/>
  <c r="U40" i="65"/>
  <c r="T40" i="65"/>
  <c r="AB39" i="65"/>
  <c r="U39" i="65"/>
  <c r="T39" i="65"/>
  <c r="AB36" i="65"/>
  <c r="U36" i="65"/>
  <c r="T36" i="65"/>
  <c r="AB35" i="65"/>
  <c r="U35" i="65"/>
  <c r="T35" i="65"/>
  <c r="AB34" i="65"/>
  <c r="U34" i="65"/>
  <c r="T34" i="65"/>
  <c r="AB31" i="65"/>
  <c r="U31" i="65"/>
  <c r="T31" i="65"/>
  <c r="P31" i="65"/>
  <c r="AB30" i="65"/>
  <c r="U30" i="65"/>
  <c r="T30" i="65"/>
  <c r="AB29" i="65"/>
  <c r="U29" i="65"/>
  <c r="T29" i="65"/>
  <c r="Y24" i="65"/>
  <c r="T24" i="65"/>
  <c r="S81" i="64" a="1"/>
  <c r="T81" i="64" s="1"/>
  <c r="U81" i="64" s="1"/>
  <c r="N63" i="64"/>
  <c r="M63" i="64"/>
  <c r="L63" i="64"/>
  <c r="K63" i="64"/>
  <c r="J63" i="64"/>
  <c r="I63" i="64"/>
  <c r="H63" i="64"/>
  <c r="G63" i="64"/>
  <c r="F63" i="64"/>
  <c r="E63" i="64"/>
  <c r="D63" i="64"/>
  <c r="N62" i="64"/>
  <c r="S30" i="64" s="1"/>
  <c r="AA38" i="64" s="1"/>
  <c r="M62" i="64"/>
  <c r="S35" i="64" s="1"/>
  <c r="AA39" i="64" s="1"/>
  <c r="L62" i="64"/>
  <c r="S40" i="64" s="1"/>
  <c r="AA40" i="64" s="1"/>
  <c r="K62" i="64"/>
  <c r="S29" i="64" s="1"/>
  <c r="AA33" i="64" s="1"/>
  <c r="J62" i="64"/>
  <c r="S34" i="64" s="1"/>
  <c r="AA34" i="64" s="1"/>
  <c r="I62" i="64"/>
  <c r="S39" i="64" s="1"/>
  <c r="AA35" i="64" s="1"/>
  <c r="H62" i="64"/>
  <c r="G62" i="64"/>
  <c r="S28" i="64" s="1"/>
  <c r="F62" i="64"/>
  <c r="S33" i="64" s="1"/>
  <c r="AA29" i="64" s="1"/>
  <c r="E62" i="64"/>
  <c r="S38" i="64" s="1"/>
  <c r="AA30" i="64" s="1"/>
  <c r="D62" i="64"/>
  <c r="N61" i="64"/>
  <c r="M61" i="64"/>
  <c r="L61" i="64"/>
  <c r="K61" i="64"/>
  <c r="J61" i="64"/>
  <c r="I61" i="64"/>
  <c r="H61" i="64"/>
  <c r="G61" i="64"/>
  <c r="F61" i="64"/>
  <c r="E61" i="64"/>
  <c r="D61" i="64"/>
  <c r="N60" i="64"/>
  <c r="M60" i="64"/>
  <c r="L60" i="64"/>
  <c r="K60" i="64"/>
  <c r="J60" i="64"/>
  <c r="I60" i="64"/>
  <c r="H60" i="64"/>
  <c r="G60" i="64"/>
  <c r="F60" i="64"/>
  <c r="E60" i="64"/>
  <c r="D60" i="64"/>
  <c r="N45" i="64"/>
  <c r="M45" i="64"/>
  <c r="L45" i="64"/>
  <c r="K45" i="64"/>
  <c r="J45" i="64"/>
  <c r="I45" i="64"/>
  <c r="H45" i="64"/>
  <c r="G45" i="64"/>
  <c r="F45" i="64"/>
  <c r="E45" i="64"/>
  <c r="D45" i="64"/>
  <c r="N44" i="64"/>
  <c r="M44" i="64"/>
  <c r="L44" i="64"/>
  <c r="K44" i="64"/>
  <c r="J44" i="64"/>
  <c r="I44" i="64"/>
  <c r="H44" i="64"/>
  <c r="G44" i="64"/>
  <c r="F44" i="64"/>
  <c r="E44" i="64"/>
  <c r="D44" i="64"/>
  <c r="AB40" i="64"/>
  <c r="U40" i="64"/>
  <c r="T40" i="64"/>
  <c r="AC40" i="64" s="1"/>
  <c r="AB39" i="64"/>
  <c r="U39" i="64"/>
  <c r="T39" i="64"/>
  <c r="AC35" i="64" s="1"/>
  <c r="AB38" i="64"/>
  <c r="U38" i="64"/>
  <c r="T38" i="64"/>
  <c r="AC30" i="64" s="1"/>
  <c r="AB35" i="64"/>
  <c r="U35" i="64"/>
  <c r="T35" i="64"/>
  <c r="AC39" i="64" s="1"/>
  <c r="N35" i="64"/>
  <c r="M35" i="64"/>
  <c r="L35" i="64"/>
  <c r="K35" i="64"/>
  <c r="J35" i="64"/>
  <c r="I35" i="64"/>
  <c r="H35" i="64"/>
  <c r="G35" i="64"/>
  <c r="F35" i="64"/>
  <c r="E35" i="64"/>
  <c r="D35" i="64"/>
  <c r="AB34" i="64"/>
  <c r="U34" i="64"/>
  <c r="T34" i="64"/>
  <c r="AC34" i="64" s="1"/>
  <c r="AB33" i="64"/>
  <c r="U33" i="64"/>
  <c r="T33" i="64"/>
  <c r="AC29" i="64" s="1"/>
  <c r="P31" i="64"/>
  <c r="AB30" i="64"/>
  <c r="U30" i="64"/>
  <c r="T30" i="64"/>
  <c r="AC38" i="64" s="1"/>
  <c r="AB29" i="64"/>
  <c r="U29" i="64"/>
  <c r="T29" i="64"/>
  <c r="AC33" i="64" s="1"/>
  <c r="AB28" i="64"/>
  <c r="U28" i="64"/>
  <c r="T28" i="64"/>
  <c r="AC28" i="64" s="1"/>
  <c r="Y23" i="64"/>
  <c r="T23" i="64"/>
  <c r="C5" i="51" a="1"/>
  <c r="C5" i="51" s="1"/>
  <c r="R7" i="51" s="1"/>
  <c r="C4" i="51" a="1"/>
  <c r="C4" i="51" s="1"/>
  <c r="R6" i="51" s="1"/>
  <c r="AN6" i="46"/>
  <c r="AN7" i="21"/>
  <c r="AN14" i="21" s="1"/>
  <c r="C74" i="51" a="1"/>
  <c r="C74" i="51" s="1"/>
  <c r="C72" i="51" a="1"/>
  <c r="C72" i="51" s="1"/>
  <c r="C71" i="51" a="1"/>
  <c r="C71" i="51" s="1"/>
  <c r="Z22" i="61" a="1"/>
  <c r="Z22" i="61" s="1"/>
  <c r="Z20" i="61" a="1"/>
  <c r="Z20" i="61" s="1"/>
  <c r="Z19" i="61" a="1"/>
  <c r="Z19" i="61" s="1"/>
  <c r="Z18" i="61" a="1"/>
  <c r="Z18" i="61" s="1"/>
  <c r="AD17" i="61" a="1"/>
  <c r="AD17" i="61" s="1"/>
  <c r="Z17" i="61" a="1"/>
  <c r="Z17" i="61" s="1"/>
  <c r="Z16" i="61" a="1"/>
  <c r="Z16" i="61" s="1"/>
  <c r="AD15" i="61" a="1"/>
  <c r="AD15" i="61" s="1"/>
  <c r="Z15" i="61" a="1"/>
  <c r="Z15" i="61" s="1"/>
  <c r="Z14" i="61" a="1"/>
  <c r="Z14" i="61" s="1"/>
  <c r="Z13" i="61" a="1"/>
  <c r="Z13" i="61" s="1"/>
  <c r="Z12" i="61" a="1"/>
  <c r="Z12" i="61" s="1"/>
  <c r="Z11" i="61" a="1"/>
  <c r="Z11" i="61" s="1"/>
  <c r="AJ10" i="61" a="1"/>
  <c r="AJ10" i="61" s="1"/>
  <c r="AI10" i="61" a="1"/>
  <c r="AI10" i="61" s="1"/>
  <c r="Z10" i="61" a="1"/>
  <c r="Z10" i="61" s="1"/>
  <c r="BR56" i="46"/>
  <c r="BR53" i="46"/>
  <c r="BR54" i="46"/>
  <c r="BR55" i="46"/>
  <c r="BR52" i="46"/>
  <c r="BH66" i="47"/>
  <c r="BH65" i="47"/>
  <c r="BH64" i="47"/>
  <c r="BH63" i="47"/>
  <c r="BN20" i="47" a="1"/>
  <c r="BO20" i="47" s="1"/>
  <c r="BM20" i="47" s="1"/>
  <c r="BK20" i="47" a="1"/>
  <c r="BL20" i="47" s="1"/>
  <c r="BJ20" i="47" s="1"/>
  <c r="BH20" i="47" a="1"/>
  <c r="BH20" i="47" s="1"/>
  <c r="BQ6" i="47"/>
  <c r="BQ5" i="47"/>
  <c r="BQ4" i="47"/>
  <c r="BH64" i="46"/>
  <c r="BH65" i="46"/>
  <c r="BH66" i="46"/>
  <c r="BH63" i="46"/>
  <c r="BN20" i="46" a="1"/>
  <c r="BN20" i="46" s="1"/>
  <c r="BK20" i="46" a="1"/>
  <c r="BL20" i="46" s="1"/>
  <c r="BJ20" i="46" s="1"/>
  <c r="BH20" i="46" a="1"/>
  <c r="BH20" i="46" s="1"/>
  <c r="BQ6" i="46"/>
  <c r="BQ5" i="46"/>
  <c r="BQ4" i="46"/>
  <c r="AJ10" i="67" l="1"/>
  <c r="L50" i="66"/>
  <c r="L51" i="66" s="1"/>
  <c r="P57" i="66"/>
  <c r="AL19" i="66" s="1"/>
  <c r="L68" i="66"/>
  <c r="F100" i="66" s="1"/>
  <c r="I57" i="67"/>
  <c r="AH19" i="67" s="1"/>
  <c r="E68" i="67"/>
  <c r="AE74" i="67"/>
  <c r="AF74" i="67" s="1"/>
  <c r="BP83" i="46" s="1"/>
  <c r="BK94" i="46" s="1"/>
  <c r="BR94" i="46" s="1"/>
  <c r="AI15" i="67"/>
  <c r="AI10" i="66"/>
  <c r="O68" i="67"/>
  <c r="F98" i="67" s="1"/>
  <c r="AG7" i="67"/>
  <c r="AL7" i="67"/>
  <c r="K46" i="65"/>
  <c r="K47" i="65" s="1"/>
  <c r="P50" i="66"/>
  <c r="P51" i="66" s="1"/>
  <c r="AH10" i="67"/>
  <c r="AH10" i="66"/>
  <c r="AO15" i="67"/>
  <c r="K68" i="66"/>
  <c r="F83" i="66" s="1"/>
  <c r="F77" i="66"/>
  <c r="F72" i="66" s="1"/>
  <c r="AE22" i="66" s="1"/>
  <c r="AE23" i="66" s="1"/>
  <c r="M68" i="67"/>
  <c r="F93" i="67" s="1"/>
  <c r="AN7" i="67"/>
  <c r="D50" i="66"/>
  <c r="D51" i="66" s="1"/>
  <c r="J58" i="66"/>
  <c r="AI25" i="66" s="1"/>
  <c r="F68" i="66"/>
  <c r="F91" i="66" s="1"/>
  <c r="O50" i="67"/>
  <c r="O51" i="67" s="1"/>
  <c r="F46" i="65"/>
  <c r="F47" i="65" s="1"/>
  <c r="E68" i="66"/>
  <c r="F98" i="66" s="1"/>
  <c r="AD15" i="67"/>
  <c r="AF15" i="67"/>
  <c r="M57" i="67"/>
  <c r="AL19" i="67" s="1"/>
  <c r="G46" i="65"/>
  <c r="G47" i="65" s="1"/>
  <c r="H46" i="65"/>
  <c r="H47" i="65" s="1"/>
  <c r="M46" i="65"/>
  <c r="M47" i="65" s="1"/>
  <c r="AG7" i="66"/>
  <c r="H68" i="66"/>
  <c r="D58" i="67"/>
  <c r="AC25" i="67" s="1"/>
  <c r="E78" i="67"/>
  <c r="E72" i="67" s="1"/>
  <c r="AD22" i="67" s="1"/>
  <c r="AD23" i="67" s="1"/>
  <c r="G50" i="67"/>
  <c r="G51" i="67" s="1"/>
  <c r="H50" i="67"/>
  <c r="H51" i="67" s="1"/>
  <c r="AK7" i="66"/>
  <c r="F68" i="67"/>
  <c r="F91" i="67" s="1"/>
  <c r="H77" i="66"/>
  <c r="H72" i="66" s="1"/>
  <c r="AG22" i="66" s="1"/>
  <c r="AG23" i="66" s="1"/>
  <c r="I77" i="66"/>
  <c r="I72" i="66" s="1"/>
  <c r="AH22" i="66" s="1"/>
  <c r="AH23" i="66" s="1"/>
  <c r="F58" i="67"/>
  <c r="AE25" i="67" s="1"/>
  <c r="G58" i="66"/>
  <c r="AF25" i="66" s="1"/>
  <c r="AC10" i="66"/>
  <c r="O50" i="66"/>
  <c r="O51" i="66" s="1"/>
  <c r="P77" i="66"/>
  <c r="P72" i="66" s="1"/>
  <c r="AL22" i="66" s="1"/>
  <c r="AL23" i="66" s="1"/>
  <c r="AF7" i="67"/>
  <c r="AI20" i="66"/>
  <c r="Q77" i="66"/>
  <c r="Q72" i="66" s="1"/>
  <c r="AM22" i="66" s="1"/>
  <c r="AM23" i="66" s="1"/>
  <c r="S46" i="64"/>
  <c r="Q50" i="66"/>
  <c r="Q51" i="66" s="1"/>
  <c r="D57" i="66"/>
  <c r="AC19" i="66" s="1"/>
  <c r="P68" i="66"/>
  <c r="F92" i="66" s="1"/>
  <c r="AL15" i="67"/>
  <c r="R50" i="67"/>
  <c r="L46" i="64"/>
  <c r="L47" i="64" s="1"/>
  <c r="I46" i="65"/>
  <c r="I47" i="65" s="1"/>
  <c r="AJ10" i="66"/>
  <c r="AL10" i="66"/>
  <c r="E57" i="66"/>
  <c r="AD19" i="66" s="1"/>
  <c r="Q68" i="66"/>
  <c r="F85" i="66" s="1"/>
  <c r="AL10" i="67"/>
  <c r="AM15" i="67"/>
  <c r="F50" i="67"/>
  <c r="F51" i="67" s="1"/>
  <c r="V50" i="67"/>
  <c r="K68" i="67"/>
  <c r="F83" i="67" s="1"/>
  <c r="M46" i="64"/>
  <c r="M47" i="64" s="1"/>
  <c r="AK10" i="67"/>
  <c r="AJ7" i="66"/>
  <c r="I58" i="66"/>
  <c r="AH25" i="66" s="1"/>
  <c r="M58" i="67"/>
  <c r="AL25" i="67" s="1"/>
  <c r="D68" i="66"/>
  <c r="I50" i="67"/>
  <c r="I51" i="67" s="1"/>
  <c r="M78" i="67"/>
  <c r="M72" i="67" s="1"/>
  <c r="AL22" i="67" s="1"/>
  <c r="AL23" i="67" s="1"/>
  <c r="AP10" i="66"/>
  <c r="AP10" i="67"/>
  <c r="J50" i="67"/>
  <c r="J51" i="67" s="1"/>
  <c r="E58" i="67"/>
  <c r="AD25" i="67" s="1"/>
  <c r="G50" i="66"/>
  <c r="G51" i="66" s="1"/>
  <c r="J57" i="66"/>
  <c r="AI19" i="66" s="1"/>
  <c r="AM7" i="67"/>
  <c r="K50" i="67"/>
  <c r="K51" i="67" s="1"/>
  <c r="AL17" i="66"/>
  <c r="AG15" i="67"/>
  <c r="AE10" i="67"/>
  <c r="AF10" i="66"/>
  <c r="AD7" i="67"/>
  <c r="AC7" i="66"/>
  <c r="AE7" i="67"/>
  <c r="AK15" i="67"/>
  <c r="I46" i="64"/>
  <c r="I47" i="64" s="1"/>
  <c r="E46" i="65"/>
  <c r="E47" i="65" s="1"/>
  <c r="AG20" i="66"/>
  <c r="AO7" i="67"/>
  <c r="S50" i="67"/>
  <c r="AL20" i="67"/>
  <c r="K46" i="64"/>
  <c r="K47" i="64" s="1"/>
  <c r="L46" i="65"/>
  <c r="L47" i="65" s="1"/>
  <c r="E50" i="67"/>
  <c r="E51" i="67" s="1"/>
  <c r="U50" i="67"/>
  <c r="R65" i="76"/>
  <c r="S45" i="64"/>
  <c r="AH7" i="66"/>
  <c r="AD20" i="66"/>
  <c r="I50" i="66"/>
  <c r="I51" i="66" s="1"/>
  <c r="J77" i="66"/>
  <c r="J72" i="66" s="1"/>
  <c r="AI22" i="66" s="1"/>
  <c r="AI23" i="66" s="1"/>
  <c r="AC10" i="67"/>
  <c r="O57" i="67"/>
  <c r="AN19" i="67" s="1"/>
  <c r="Q58" i="67"/>
  <c r="AP25" i="67" s="1"/>
  <c r="I70" i="76"/>
  <c r="I68" i="67"/>
  <c r="F97" i="67" s="1"/>
  <c r="G98" i="67"/>
  <c r="AD10" i="67"/>
  <c r="AF10" i="67"/>
  <c r="AE15" i="67"/>
  <c r="AN20" i="67"/>
  <c r="O58" i="67"/>
  <c r="AN25" i="67" s="1"/>
  <c r="D77" i="67"/>
  <c r="D72" i="67" s="1"/>
  <c r="AC22" i="67" s="1"/>
  <c r="AC23" i="67" s="1"/>
  <c r="F46" i="64"/>
  <c r="F47" i="64" s="1"/>
  <c r="AL7" i="66"/>
  <c r="AN10" i="66"/>
  <c r="M50" i="66"/>
  <c r="M51" i="66" s="1"/>
  <c r="P58" i="66"/>
  <c r="AL25" i="66" s="1"/>
  <c r="L68" i="67"/>
  <c r="F100" i="67" s="1"/>
  <c r="H50" i="66"/>
  <c r="H51" i="66" s="1"/>
  <c r="N46" i="65"/>
  <c r="N47" i="65" s="1"/>
  <c r="AM7" i="66"/>
  <c r="AO10" i="66"/>
  <c r="O57" i="66"/>
  <c r="AK19" i="66" s="1"/>
  <c r="AN7" i="66"/>
  <c r="G57" i="66"/>
  <c r="AF19" i="66" s="1"/>
  <c r="J68" i="66"/>
  <c r="F90" i="66" s="1"/>
  <c r="AI10" i="67"/>
  <c r="E57" i="67"/>
  <c r="AD19" i="67" s="1"/>
  <c r="J78" i="67"/>
  <c r="J72" i="67" s="1"/>
  <c r="AI22" i="67" s="1"/>
  <c r="AI23" i="67" s="1"/>
  <c r="I57" i="66"/>
  <c r="AH19" i="66" s="1"/>
  <c r="G68" i="67"/>
  <c r="F84" i="67" s="1"/>
  <c r="E46" i="64"/>
  <c r="E47" i="64" s="1"/>
  <c r="AP7" i="66"/>
  <c r="AF17" i="66"/>
  <c r="AF20" i="66" s="1"/>
  <c r="AK7" i="67"/>
  <c r="N78" i="67"/>
  <c r="N72" i="67" s="1"/>
  <c r="AM22" i="67" s="1"/>
  <c r="AM23" i="67" s="1"/>
  <c r="E58" i="66"/>
  <c r="AD25" i="66" s="1"/>
  <c r="M50" i="67"/>
  <c r="M51" i="67" s="1"/>
  <c r="F58" i="66"/>
  <c r="AE25" i="66" s="1"/>
  <c r="AM10" i="67"/>
  <c r="Q50" i="67"/>
  <c r="Q51" i="67" s="1"/>
  <c r="K57" i="67"/>
  <c r="AJ19" i="67" s="1"/>
  <c r="D68" i="67"/>
  <c r="AE10" i="66"/>
  <c r="D46" i="65"/>
  <c r="D47" i="65" s="1"/>
  <c r="AK10" i="66"/>
  <c r="AO10" i="67"/>
  <c r="G58" i="67"/>
  <c r="AF25" i="67" s="1"/>
  <c r="H68" i="67"/>
  <c r="AO7" i="66"/>
  <c r="AM10" i="66"/>
  <c r="D58" i="66"/>
  <c r="AC25" i="66" s="1"/>
  <c r="H57" i="66"/>
  <c r="AG19" i="66" s="1"/>
  <c r="AC7" i="67"/>
  <c r="L58" i="67"/>
  <c r="AK25" i="67" s="1"/>
  <c r="N58" i="67"/>
  <c r="AM25" i="67" s="1"/>
  <c r="L78" i="67"/>
  <c r="L72" i="67" s="1"/>
  <c r="AK22" i="67" s="1"/>
  <c r="AK23" i="67" s="1"/>
  <c r="AH18" i="66"/>
  <c r="AH20" i="66" s="1"/>
  <c r="J50" i="66"/>
  <c r="J51" i="66" s="1"/>
  <c r="K77" i="66"/>
  <c r="K72" i="66" s="1"/>
  <c r="AJ22" i="66" s="1"/>
  <c r="AJ23" i="66" s="1"/>
  <c r="AP15" i="67"/>
  <c r="AD18" i="67"/>
  <c r="AD20" i="67" s="1"/>
  <c r="D50" i="67"/>
  <c r="D51" i="67" s="1"/>
  <c r="T50" i="67"/>
  <c r="O78" i="67"/>
  <c r="O72" i="67" s="1"/>
  <c r="AN22" i="67" s="1"/>
  <c r="AN23" i="67" s="1"/>
  <c r="N68" i="67"/>
  <c r="F86" i="67" s="1"/>
  <c r="AF20" i="67"/>
  <c r="X51" i="76"/>
  <c r="R75" i="76"/>
  <c r="J46" i="65"/>
  <c r="J47" i="65" s="1"/>
  <c r="G46" i="64"/>
  <c r="G47" i="64" s="1"/>
  <c r="AE7" i="66"/>
  <c r="AL18" i="66"/>
  <c r="I68" i="66"/>
  <c r="F97" i="66" s="1"/>
  <c r="AI7" i="67"/>
  <c r="AG10" i="67"/>
  <c r="AC15" i="67"/>
  <c r="D57" i="67"/>
  <c r="AC19" i="67" s="1"/>
  <c r="P68" i="67"/>
  <c r="F92" i="67" s="1"/>
  <c r="K30" i="77"/>
  <c r="K31" i="77" s="1"/>
  <c r="C41" i="77" s="1"/>
  <c r="H46" i="64"/>
  <c r="H47" i="64" s="1"/>
  <c r="AD7" i="66"/>
  <c r="AF7" i="66"/>
  <c r="N50" i="66"/>
  <c r="N51" i="66" s="1"/>
  <c r="AJ7" i="67"/>
  <c r="Q57" i="67"/>
  <c r="AP19" i="67" s="1"/>
  <c r="Q68" i="67"/>
  <c r="F85" i="67" s="1"/>
  <c r="L30" i="77"/>
  <c r="L31" i="77" s="1"/>
  <c r="D41" i="77" s="1"/>
  <c r="AJ18" i="67"/>
  <c r="AJ20" i="67" s="1"/>
  <c r="AC20" i="67"/>
  <c r="F57" i="67"/>
  <c r="AE19" i="67" s="1"/>
  <c r="M30" i="77"/>
  <c r="M31" i="77" s="1"/>
  <c r="E41" i="77" s="1"/>
  <c r="J46" i="64"/>
  <c r="J47" i="64" s="1"/>
  <c r="S81" i="65"/>
  <c r="L78" i="66"/>
  <c r="L72" i="66" s="1"/>
  <c r="AK18" i="67"/>
  <c r="AK20" i="67" s="1"/>
  <c r="G57" i="67"/>
  <c r="AF19" i="67" s="1"/>
  <c r="H77" i="67"/>
  <c r="H72" i="67" s="1"/>
  <c r="AG22" i="67" s="1"/>
  <c r="AG23" i="67" s="1"/>
  <c r="N30" i="77"/>
  <c r="N31" i="77" s="1"/>
  <c r="F41" i="77" s="1"/>
  <c r="AI7" i="66"/>
  <c r="AG10" i="66"/>
  <c r="AN20" i="66"/>
  <c r="N57" i="66"/>
  <c r="AP19" i="66" s="1"/>
  <c r="M68" i="66"/>
  <c r="F93" i="66" s="1"/>
  <c r="M78" i="66"/>
  <c r="M72" i="66" s="1"/>
  <c r="AO22" i="66" s="1"/>
  <c r="AO23" i="66" s="1"/>
  <c r="AE17" i="67"/>
  <c r="AE20" i="67" s="1"/>
  <c r="N50" i="67"/>
  <c r="N51" i="67" s="1"/>
  <c r="L57" i="67"/>
  <c r="AK19" i="67" s="1"/>
  <c r="X55" i="76"/>
  <c r="AN15" i="67"/>
  <c r="G68" i="66"/>
  <c r="F84" i="66" s="1"/>
  <c r="O58" i="66"/>
  <c r="AK25" i="66" s="1"/>
  <c r="N68" i="66"/>
  <c r="F86" i="66" s="1"/>
  <c r="AH15" i="67"/>
  <c r="K77" i="67"/>
  <c r="K72" i="67" s="1"/>
  <c r="AJ22" i="67" s="1"/>
  <c r="AJ23" i="67" s="1"/>
  <c r="AH17" i="67"/>
  <c r="AH20" i="67" s="1"/>
  <c r="AP20" i="67"/>
  <c r="P50" i="67"/>
  <c r="P51" i="67" s="1"/>
  <c r="Q30" i="77"/>
  <c r="Q31" i="77" s="1"/>
  <c r="I41" i="77" s="1"/>
  <c r="F50" i="66"/>
  <c r="F51" i="66" s="1"/>
  <c r="AP7" i="67"/>
  <c r="P30" i="77"/>
  <c r="P31" i="77" s="1"/>
  <c r="H41" i="77" s="1"/>
  <c r="O30" i="77"/>
  <c r="O31" i="77" s="1"/>
  <c r="G41" i="77" s="1"/>
  <c r="R30" i="77"/>
  <c r="R31" i="77" s="1"/>
  <c r="J41" i="77" s="1"/>
  <c r="AB34" i="75"/>
  <c r="D79" i="79"/>
  <c r="AB36" i="75"/>
  <c r="F79" i="79"/>
  <c r="AB37" i="75"/>
  <c r="H79" i="79"/>
  <c r="AB39" i="75"/>
  <c r="J79" i="79"/>
  <c r="H60" i="75"/>
  <c r="H70" i="75"/>
  <c r="I60" i="75"/>
  <c r="I70" i="75"/>
  <c r="Y51" i="76"/>
  <c r="Y55" i="76"/>
  <c r="S65" i="76"/>
  <c r="S75" i="76"/>
  <c r="R70" i="75"/>
  <c r="X52" i="76"/>
  <c r="H60" i="76"/>
  <c r="H70" i="76"/>
  <c r="S70" i="75"/>
  <c r="Y52" i="76"/>
  <c r="I60" i="76"/>
  <c r="H65" i="75"/>
  <c r="H75" i="75"/>
  <c r="X53" i="76"/>
  <c r="R60" i="76"/>
  <c r="R70" i="76"/>
  <c r="I65" i="75"/>
  <c r="I75" i="75"/>
  <c r="Y53" i="76"/>
  <c r="S60" i="76"/>
  <c r="S70" i="76"/>
  <c r="R65" i="75"/>
  <c r="R75" i="75"/>
  <c r="X54" i="76"/>
  <c r="H65" i="76"/>
  <c r="H75" i="76"/>
  <c r="S65" i="75"/>
  <c r="S75" i="75"/>
  <c r="Y54" i="76"/>
  <c r="I65" i="76"/>
  <c r="I75" i="76"/>
  <c r="B18" i="62" a="1"/>
  <c r="B18" i="62" s="1"/>
  <c r="B20" i="62" a="1"/>
  <c r="B20" i="62" s="1"/>
  <c r="B8" i="62" a="1"/>
  <c r="B8" i="62" s="1"/>
  <c r="B9" i="62" a="1"/>
  <c r="B9" i="62" s="1"/>
  <c r="B7" i="62" a="1"/>
  <c r="B7" i="62" s="1"/>
  <c r="B17" i="62" a="1"/>
  <c r="B17" i="62" s="1"/>
  <c r="B21" i="62" a="1"/>
  <c r="B21" i="62" s="1"/>
  <c r="B10" i="62" a="1"/>
  <c r="B10" i="62" s="1"/>
  <c r="B19" i="62" a="1"/>
  <c r="B19" i="62" s="1"/>
  <c r="B12" i="62" a="1"/>
  <c r="B12" i="62" s="1"/>
  <c r="B13" i="62" a="1"/>
  <c r="B13" i="62" s="1"/>
  <c r="B14" i="62" a="1"/>
  <c r="B14" i="62" s="1"/>
  <c r="B22" i="62" a="1"/>
  <c r="B22" i="62" s="1"/>
  <c r="B23" i="62" a="1"/>
  <c r="B23" i="62" s="1"/>
  <c r="B11" i="62" a="1"/>
  <c r="B11" i="62" s="1"/>
  <c r="B15" i="62" a="1"/>
  <c r="B15" i="62" s="1"/>
  <c r="N86" i="69"/>
  <c r="N81" i="69"/>
  <c r="N63" i="68"/>
  <c r="H112" i="51"/>
  <c r="H120" i="51" s="1"/>
  <c r="H114" i="51"/>
  <c r="H122" i="51" s="1"/>
  <c r="H113" i="51"/>
  <c r="H121" i="51" s="1"/>
  <c r="H116" i="51"/>
  <c r="H124" i="51" s="1"/>
  <c r="H117" i="51"/>
  <c r="H125" i="51" s="1"/>
  <c r="AA4" i="70"/>
  <c r="E29" i="54" s="1"/>
  <c r="E2" i="54" s="1"/>
  <c r="AE5" i="70"/>
  <c r="I30" i="54" s="1"/>
  <c r="I3" i="54" s="1"/>
  <c r="AB6" i="70"/>
  <c r="F31" i="54" s="1"/>
  <c r="F4" i="54" s="1"/>
  <c r="W4" i="70"/>
  <c r="A29" i="54" s="1"/>
  <c r="A2" i="54" s="1"/>
  <c r="Z4" i="70"/>
  <c r="D29" i="54" s="1"/>
  <c r="D2" i="54" s="1"/>
  <c r="AK8" i="70"/>
  <c r="O33" i="54" s="1"/>
  <c r="O44" i="54" s="1"/>
  <c r="AN7" i="70"/>
  <c r="R32" i="54" s="1"/>
  <c r="R43" i="54" s="1"/>
  <c r="AA6" i="70"/>
  <c r="E31" i="54" s="1"/>
  <c r="E4" i="54" s="1"/>
  <c r="AD5" i="70"/>
  <c r="H30" i="54" s="1"/>
  <c r="AO4" i="70"/>
  <c r="S29" i="54" s="1"/>
  <c r="S2" i="54" s="1"/>
  <c r="Y4" i="70"/>
  <c r="C29" i="54" s="1"/>
  <c r="C2" i="54" s="1"/>
  <c r="AJ8" i="70"/>
  <c r="N33" i="54" s="1"/>
  <c r="N6" i="54" s="1"/>
  <c r="AC5" i="70"/>
  <c r="G30" i="54" s="1"/>
  <c r="G3" i="54" s="1"/>
  <c r="AN4" i="70"/>
  <c r="R29" i="54" s="1"/>
  <c r="X4" i="70"/>
  <c r="B29" i="54" s="1"/>
  <c r="B2" i="54" s="1"/>
  <c r="AO6" i="70"/>
  <c r="S31" i="54" s="1"/>
  <c r="S4" i="54" s="1"/>
  <c r="AB5" i="70"/>
  <c r="F30" i="54" s="1"/>
  <c r="F3" i="54" s="1"/>
  <c r="AM4" i="70"/>
  <c r="Q29" i="54" s="1"/>
  <c r="Q51" i="54" s="1"/>
  <c r="AK7" i="70"/>
  <c r="O32" i="54" s="1"/>
  <c r="O43" i="54" s="1"/>
  <c r="AN6" i="70"/>
  <c r="R31" i="54" s="1"/>
  <c r="R42" i="54" s="1"/>
  <c r="X6" i="70"/>
  <c r="B31" i="54" s="1"/>
  <c r="B4" i="54" s="1"/>
  <c r="AA5" i="70"/>
  <c r="E30" i="54" s="1"/>
  <c r="E3" i="54" s="1"/>
  <c r="AL4" i="70"/>
  <c r="P29" i="54" s="1"/>
  <c r="P2" i="54" s="1"/>
  <c r="AD9" i="70"/>
  <c r="H34" i="54" s="1"/>
  <c r="H64" i="54" s="1"/>
  <c r="AJ7" i="70"/>
  <c r="N32" i="54" s="1"/>
  <c r="N5" i="54" s="1"/>
  <c r="Z5" i="70"/>
  <c r="D30" i="54" s="1"/>
  <c r="D3" i="54" s="1"/>
  <c r="AK4" i="70"/>
  <c r="O29" i="54" s="1"/>
  <c r="AF8" i="70"/>
  <c r="J33" i="54" s="1"/>
  <c r="J64" i="54" s="1"/>
  <c r="AL6" i="70"/>
  <c r="P31" i="54" s="1"/>
  <c r="P4" i="54" s="1"/>
  <c r="AO5" i="70"/>
  <c r="S30" i="54" s="1"/>
  <c r="S3" i="54" s="1"/>
  <c r="Y5" i="70"/>
  <c r="C30" i="54" s="1"/>
  <c r="C3" i="54" s="1"/>
  <c r="AJ4" i="70"/>
  <c r="N29" i="54" s="1"/>
  <c r="N2" i="54" s="1"/>
  <c r="AK6" i="70"/>
  <c r="O31" i="54" s="1"/>
  <c r="O42" i="54" s="1"/>
  <c r="AN5" i="70"/>
  <c r="R30" i="54" s="1"/>
  <c r="R41" i="54" s="1"/>
  <c r="X5" i="70"/>
  <c r="B30" i="54" s="1"/>
  <c r="B3" i="54" s="1"/>
  <c r="AI4" i="70"/>
  <c r="M29" i="54" s="1"/>
  <c r="M2" i="54" s="1"/>
  <c r="AD8" i="70"/>
  <c r="H33" i="54" s="1"/>
  <c r="H53" i="54" s="1"/>
  <c r="AG7" i="70"/>
  <c r="K32" i="54" s="1"/>
  <c r="K5" i="54" s="1"/>
  <c r="AJ6" i="70"/>
  <c r="N31" i="54" s="1"/>
  <c r="N4" i="54" s="1"/>
  <c r="AM5" i="70"/>
  <c r="Q30" i="54" s="1"/>
  <c r="Q40" i="54" s="1"/>
  <c r="AH4" i="70"/>
  <c r="L29" i="54" s="1"/>
  <c r="L2" i="54" s="1"/>
  <c r="AJ11" i="70"/>
  <c r="N36" i="54" s="1"/>
  <c r="N9" i="54" s="1"/>
  <c r="AF7" i="70"/>
  <c r="J32" i="54" s="1"/>
  <c r="J53" i="54" s="1"/>
  <c r="AL5" i="70"/>
  <c r="P30" i="54" s="1"/>
  <c r="P3" i="54" s="1"/>
  <c r="AG4" i="70"/>
  <c r="K29" i="54" s="1"/>
  <c r="K2" i="54" s="1"/>
  <c r="AE7" i="70"/>
  <c r="I32" i="54" s="1"/>
  <c r="I5" i="54" s="1"/>
  <c r="AK5" i="70"/>
  <c r="O30" i="54" s="1"/>
  <c r="O41" i="54" s="1"/>
  <c r="AF4" i="70"/>
  <c r="J29" i="54" s="1"/>
  <c r="AD7" i="70"/>
  <c r="H32" i="54" s="1"/>
  <c r="H63" i="54" s="1"/>
  <c r="AG6" i="70"/>
  <c r="K31" i="54" s="1"/>
  <c r="K4" i="54" s="1"/>
  <c r="AJ5" i="70"/>
  <c r="N30" i="54" s="1"/>
  <c r="N3" i="54" s="1"/>
  <c r="AE4" i="70"/>
  <c r="I29" i="54" s="1"/>
  <c r="I2" i="54" s="1"/>
  <c r="AJ10" i="70"/>
  <c r="N35" i="54" s="1"/>
  <c r="N8" i="54" s="1"/>
  <c r="AC7" i="70"/>
  <c r="G32" i="54" s="1"/>
  <c r="G5" i="54" s="1"/>
  <c r="AF6" i="70"/>
  <c r="J31" i="54" s="1"/>
  <c r="J63" i="54" s="1"/>
  <c r="AI5" i="70"/>
  <c r="M30" i="54" s="1"/>
  <c r="M3" i="54" s="1"/>
  <c r="AD4" i="70"/>
  <c r="H29" i="54" s="1"/>
  <c r="AE6" i="70"/>
  <c r="I31" i="54" s="1"/>
  <c r="I4" i="54" s="1"/>
  <c r="AH5" i="70"/>
  <c r="L30" i="54" s="1"/>
  <c r="L3" i="54" s="1"/>
  <c r="AC4" i="70"/>
  <c r="G29" i="54" s="1"/>
  <c r="G2" i="54" s="1"/>
  <c r="AN8" i="70"/>
  <c r="R33" i="54" s="1"/>
  <c r="R44" i="54" s="1"/>
  <c r="AD6" i="70"/>
  <c r="H31" i="54" s="1"/>
  <c r="H52" i="54" s="1"/>
  <c r="AG5" i="70"/>
  <c r="K30" i="54" s="1"/>
  <c r="K3" i="54" s="1"/>
  <c r="AB4" i="70"/>
  <c r="F29" i="54" s="1"/>
  <c r="F2" i="54" s="1"/>
  <c r="AJ9" i="70"/>
  <c r="N34" i="54" s="1"/>
  <c r="N7" i="54" s="1"/>
  <c r="AC6" i="70"/>
  <c r="G31" i="54" s="1"/>
  <c r="G4" i="54" s="1"/>
  <c r="I14" i="69"/>
  <c r="I16" i="69"/>
  <c r="AE74" i="66"/>
  <c r="AF74" i="66" s="1"/>
  <c r="BM83" i="46" s="1"/>
  <c r="BJ89" i="46" s="1"/>
  <c r="BQ89" i="46" s="1"/>
  <c r="R64" i="65"/>
  <c r="S64" i="65" s="1"/>
  <c r="BJ83" i="46" s="1"/>
  <c r="X85" i="66"/>
  <c r="AC85" i="66" s="1"/>
  <c r="Z85" i="66"/>
  <c r="U20" i="69"/>
  <c r="X90" i="66"/>
  <c r="AI102" i="66" s="1"/>
  <c r="X89" i="66"/>
  <c r="AI101" i="66" s="1"/>
  <c r="X86" i="66"/>
  <c r="AC86" i="66" s="1"/>
  <c r="T10" i="64"/>
  <c r="T10" i="65" s="1"/>
  <c r="AG85" i="67"/>
  <c r="AA85" i="67"/>
  <c r="AA86" i="67"/>
  <c r="AE85" i="67"/>
  <c r="X93" i="67" s="1"/>
  <c r="AD93" i="67" s="1"/>
  <c r="AE93" i="67" s="1"/>
  <c r="AB90" i="67"/>
  <c r="X101" i="67"/>
  <c r="X107" i="67" s="1"/>
  <c r="X91" i="67"/>
  <c r="AC102" i="67"/>
  <c r="X92" i="67"/>
  <c r="G14" i="69"/>
  <c r="I22" i="69"/>
  <c r="G16" i="69"/>
  <c r="U29" i="69"/>
  <c r="I21" i="69"/>
  <c r="U17" i="68"/>
  <c r="T9" i="64"/>
  <c r="T9" i="65" s="1"/>
  <c r="T6" i="64"/>
  <c r="X6" i="64" s="1"/>
  <c r="T6" i="65"/>
  <c r="V6" i="65" s="1"/>
  <c r="G15" i="68"/>
  <c r="I20" i="68"/>
  <c r="T5" i="64"/>
  <c r="G14" i="68"/>
  <c r="I14" i="68"/>
  <c r="T5" i="65"/>
  <c r="X5" i="65" s="1"/>
  <c r="I19" i="68"/>
  <c r="R64" i="64"/>
  <c r="S64" i="64" s="1"/>
  <c r="BG83" i="46" s="1"/>
  <c r="W28" i="64" a="1"/>
  <c r="AA28" i="64"/>
  <c r="S44" i="64" s="1"/>
  <c r="J58" i="67"/>
  <c r="AI25" i="67" s="1"/>
  <c r="AI18" i="67"/>
  <c r="AI20" i="67" s="1"/>
  <c r="E50" i="66"/>
  <c r="E51" i="66" s="1"/>
  <c r="O68" i="66"/>
  <c r="F99" i="66" s="1"/>
  <c r="N77" i="66"/>
  <c r="N78" i="66"/>
  <c r="J57" i="67"/>
  <c r="AI19" i="67" s="1"/>
  <c r="J68" i="67"/>
  <c r="F90" i="67" s="1"/>
  <c r="AJ15" i="67"/>
  <c r="AD10" i="66"/>
  <c r="D46" i="64"/>
  <c r="D47" i="64" s="1"/>
  <c r="N57" i="67"/>
  <c r="AM19" i="67" s="1"/>
  <c r="AM17" i="67"/>
  <c r="AM20" i="67" s="1"/>
  <c r="P58" i="67"/>
  <c r="AO25" i="67" s="1"/>
  <c r="AO18" i="67"/>
  <c r="AO20" i="67" s="1"/>
  <c r="AH7" i="67"/>
  <c r="H57" i="67"/>
  <c r="AG19" i="67" s="1"/>
  <c r="H58" i="67"/>
  <c r="AG25" i="67" s="1"/>
  <c r="AG17" i="67"/>
  <c r="AG20" i="67" s="1"/>
  <c r="Q57" i="66"/>
  <c r="AM19" i="66" s="1"/>
  <c r="AM17" i="66"/>
  <c r="AM20" i="66" s="1"/>
  <c r="K50" i="66"/>
  <c r="K51" i="66" s="1"/>
  <c r="D77" i="66"/>
  <c r="D78" i="66"/>
  <c r="L50" i="67"/>
  <c r="L51" i="67" s="1"/>
  <c r="P57" i="67"/>
  <c r="AO19" i="67" s="1"/>
  <c r="K57" i="66"/>
  <c r="AJ19" i="66" s="1"/>
  <c r="K58" i="66"/>
  <c r="AJ25" i="66" s="1"/>
  <c r="AJ17" i="66"/>
  <c r="AJ20" i="66" s="1"/>
  <c r="AO18" i="66"/>
  <c r="AO20" i="66" s="1"/>
  <c r="M58" i="66"/>
  <c r="AO25" i="66" s="1"/>
  <c r="Q58" i="66"/>
  <c r="AM25" i="66" s="1"/>
  <c r="F77" i="67"/>
  <c r="F78" i="67"/>
  <c r="N46" i="64"/>
  <c r="N47" i="64" s="1"/>
  <c r="AN10" i="67"/>
  <c r="AN12" i="67" s="1"/>
  <c r="F57" i="66"/>
  <c r="AE19" i="66" s="1"/>
  <c r="H58" i="66"/>
  <c r="AG25" i="66" s="1"/>
  <c r="G77" i="66"/>
  <c r="G72" i="66" s="1"/>
  <c r="AF22" i="66" s="1"/>
  <c r="AF23" i="66" s="1"/>
  <c r="I77" i="67"/>
  <c r="I72" i="67" s="1"/>
  <c r="AH22" i="67" s="1"/>
  <c r="AH23" i="67" s="1"/>
  <c r="AK18" i="66"/>
  <c r="AK20" i="66" s="1"/>
  <c r="S81" i="64"/>
  <c r="L58" i="66"/>
  <c r="AN25" i="66" s="1"/>
  <c r="I58" i="67"/>
  <c r="AH25" i="67" s="1"/>
  <c r="P78" i="67"/>
  <c r="P72" i="67" s="1"/>
  <c r="AO22" i="67" s="1"/>
  <c r="AO23" i="67" s="1"/>
  <c r="L57" i="66"/>
  <c r="AN19" i="66" s="1"/>
  <c r="N58" i="66"/>
  <c r="AP25" i="66" s="1"/>
  <c r="O78" i="66"/>
  <c r="O72" i="66" s="1"/>
  <c r="AK22" i="66" s="1"/>
  <c r="AK23" i="66" s="1"/>
  <c r="K58" i="67"/>
  <c r="AJ25" i="67" s="1"/>
  <c r="Q78" i="67"/>
  <c r="Q72" i="67" s="1"/>
  <c r="AP22" i="67" s="1"/>
  <c r="AP23" i="67" s="1"/>
  <c r="AP18" i="66"/>
  <c r="AP20" i="66" s="1"/>
  <c r="M57" i="66"/>
  <c r="AO19" i="66" s="1"/>
  <c r="E98" i="67"/>
  <c r="AK74" i="67"/>
  <c r="AC17" i="66"/>
  <c r="AC20" i="66" s="1"/>
  <c r="AE18" i="66"/>
  <c r="AE20" i="66" s="1"/>
  <c r="AK74" i="66"/>
  <c r="E78" i="66"/>
  <c r="E72" i="66" s="1"/>
  <c r="AD22" i="66" s="1"/>
  <c r="AD23" i="66" s="1"/>
  <c r="G78" i="67"/>
  <c r="G72" i="67" s="1"/>
  <c r="AF22" i="67" s="1"/>
  <c r="AF23" i="67" s="1"/>
  <c r="BI20" i="47"/>
  <c r="BG20" i="47" s="1"/>
  <c r="BK20" i="47"/>
  <c r="BI35" i="47" s="1"/>
  <c r="BN20" i="47"/>
  <c r="BJ37" i="47" s="1"/>
  <c r="BO20" i="46"/>
  <c r="BM20" i="46" s="1"/>
  <c r="BK20" i="46"/>
  <c r="BI39" i="46" s="1"/>
  <c r="BI20" i="46"/>
  <c r="BG20" i="46" s="1"/>
  <c r="F99" i="67" l="1"/>
  <c r="AL11" i="66"/>
  <c r="AF29" i="67"/>
  <c r="BK90" i="46"/>
  <c r="BR90" i="46" s="1"/>
  <c r="BK95" i="46"/>
  <c r="BR95" i="46" s="1"/>
  <c r="AE11" i="66"/>
  <c r="AP12" i="66"/>
  <c r="BK93" i="46"/>
  <c r="BR93" i="46" s="1"/>
  <c r="AJ11" i="67"/>
  <c r="AI11" i="66"/>
  <c r="AD29" i="66"/>
  <c r="AD12" i="66"/>
  <c r="AL12" i="67"/>
  <c r="AH11" i="67"/>
  <c r="AN12" i="66"/>
  <c r="AP11" i="67"/>
  <c r="AC12" i="67"/>
  <c r="BK92" i="46"/>
  <c r="BR92" i="46" s="1"/>
  <c r="BJ41" i="47"/>
  <c r="BK91" i="46"/>
  <c r="BR91" i="46" s="1"/>
  <c r="BK88" i="46"/>
  <c r="BR88" i="46" s="1"/>
  <c r="BK89" i="46"/>
  <c r="BR89" i="46" s="1"/>
  <c r="AF12" i="67"/>
  <c r="AD12" i="67"/>
  <c r="AE29" i="66"/>
  <c r="AO11" i="67"/>
  <c r="AG12" i="66"/>
  <c r="AI12" i="67"/>
  <c r="AJ11" i="66"/>
  <c r="AM12" i="67"/>
  <c r="AG29" i="66"/>
  <c r="AL12" i="66"/>
  <c r="AC11" i="66"/>
  <c r="AH12" i="66"/>
  <c r="AM11" i="66"/>
  <c r="AF11" i="66"/>
  <c r="AF12" i="66"/>
  <c r="AG12" i="67"/>
  <c r="AK12" i="66"/>
  <c r="AP29" i="67"/>
  <c r="AE12" i="66"/>
  <c r="AK11" i="67"/>
  <c r="AJ12" i="66"/>
  <c r="AE12" i="67"/>
  <c r="AG11" i="66"/>
  <c r="AM29" i="67"/>
  <c r="AI29" i="67"/>
  <c r="BJ40" i="47"/>
  <c r="AM29" i="66"/>
  <c r="AC12" i="66"/>
  <c r="AI11" i="67"/>
  <c r="BJ39" i="47"/>
  <c r="BJ38" i="47"/>
  <c r="AK12" i="67"/>
  <c r="AM11" i="67"/>
  <c r="AP11" i="66"/>
  <c r="AL11" i="67"/>
  <c r="BJ36" i="47"/>
  <c r="AH11" i="66"/>
  <c r="BJ42" i="47"/>
  <c r="AL29" i="67"/>
  <c r="AI29" i="66"/>
  <c r="AM12" i="66"/>
  <c r="AO11" i="66"/>
  <c r="AL20" i="66"/>
  <c r="AL29" i="66" s="1"/>
  <c r="AF11" i="67"/>
  <c r="AG11" i="67"/>
  <c r="AC29" i="67"/>
  <c r="BJ35" i="47"/>
  <c r="BM35" i="47" s="1"/>
  <c r="BJ91" i="46"/>
  <c r="BQ91" i="46" s="1"/>
  <c r="AD11" i="67"/>
  <c r="BJ93" i="46"/>
  <c r="BQ93" i="46" s="1"/>
  <c r="AJ29" i="67"/>
  <c r="AH29" i="67"/>
  <c r="D72" i="66"/>
  <c r="AC22" i="66" s="1"/>
  <c r="AC23" i="66" s="1"/>
  <c r="AC29" i="66" s="1"/>
  <c r="AE11" i="67"/>
  <c r="BJ92" i="46"/>
  <c r="BQ92" i="46" s="1"/>
  <c r="AN11" i="67"/>
  <c r="AK11" i="66"/>
  <c r="AN11" i="66"/>
  <c r="AC11" i="67"/>
  <c r="AO12" i="66"/>
  <c r="AP12" i="67"/>
  <c r="AD29" i="67"/>
  <c r="BI40" i="47"/>
  <c r="AN29" i="67"/>
  <c r="AF29" i="66"/>
  <c r="AO12" i="67"/>
  <c r="AH29" i="66"/>
  <c r="L73" i="66"/>
  <c r="AN22" i="66"/>
  <c r="AN23" i="66" s="1"/>
  <c r="AN29" i="66" s="1"/>
  <c r="BI39" i="47"/>
  <c r="BI40" i="46"/>
  <c r="AI12" i="66"/>
  <c r="BH89" i="46"/>
  <c r="BM89" i="46" s="1"/>
  <c r="BH90" i="46"/>
  <c r="BM90" i="46" s="1"/>
  <c r="BH91" i="46"/>
  <c r="BM91" i="46" s="1"/>
  <c r="BH92" i="46"/>
  <c r="BM92" i="46" s="1"/>
  <c r="BH93" i="46"/>
  <c r="BM93" i="46" s="1"/>
  <c r="BH94" i="46"/>
  <c r="BM94" i="46" s="1"/>
  <c r="BH95" i="46"/>
  <c r="BM95" i="46" s="1"/>
  <c r="BH88" i="46"/>
  <c r="BM88" i="46" s="1"/>
  <c r="AJ29" i="66"/>
  <c r="BI90" i="46"/>
  <c r="BI93" i="46"/>
  <c r="BI89" i="46"/>
  <c r="BI92" i="46"/>
  <c r="BI91" i="46"/>
  <c r="BI94" i="46"/>
  <c r="BI95" i="46"/>
  <c r="BI88" i="46"/>
  <c r="BI35" i="46"/>
  <c r="AO29" i="66"/>
  <c r="BI36" i="46"/>
  <c r="BJ90" i="46"/>
  <c r="BQ90" i="46" s="1"/>
  <c r="BI38" i="46"/>
  <c r="BI42" i="46"/>
  <c r="BH38" i="46"/>
  <c r="BH36" i="46"/>
  <c r="BH37" i="46"/>
  <c r="BH42" i="46"/>
  <c r="BH39" i="46"/>
  <c r="BL39" i="46" s="1"/>
  <c r="BH40" i="46"/>
  <c r="BH41" i="46"/>
  <c r="BH35" i="46"/>
  <c r="BI37" i="46"/>
  <c r="AK29" i="67"/>
  <c r="BJ94" i="46"/>
  <c r="BQ94" i="46" s="1"/>
  <c r="BI37" i="47"/>
  <c r="BM37" i="47" s="1"/>
  <c r="AJ12" i="67"/>
  <c r="BJ88" i="46"/>
  <c r="BQ88" i="46" s="1"/>
  <c r="BI41" i="46"/>
  <c r="BJ38" i="46"/>
  <c r="BJ36" i="46"/>
  <c r="BJ37" i="46"/>
  <c r="BJ39" i="46"/>
  <c r="BM39" i="46" s="1"/>
  <c r="BJ40" i="46"/>
  <c r="BJ41" i="46"/>
  <c r="BJ42" i="46"/>
  <c r="BJ35" i="46"/>
  <c r="BJ95" i="46"/>
  <c r="BQ95" i="46" s="1"/>
  <c r="BI42" i="47"/>
  <c r="T31" i="77" a="1"/>
  <c r="T31" i="77" s="1"/>
  <c r="AG85" i="66"/>
  <c r="G15" i="69" s="1"/>
  <c r="X5" i="64"/>
  <c r="V5" i="64"/>
  <c r="H40" i="54"/>
  <c r="H42" i="54"/>
  <c r="H41" i="54"/>
  <c r="J2" i="54"/>
  <c r="J62" i="54"/>
  <c r="J51" i="54"/>
  <c r="J41" i="54"/>
  <c r="J42" i="54"/>
  <c r="J40" i="54"/>
  <c r="R53" i="54"/>
  <c r="R52" i="54"/>
  <c r="R54" i="54"/>
  <c r="R55" i="54"/>
  <c r="R2" i="54"/>
  <c r="R51" i="54"/>
  <c r="R40" i="54"/>
  <c r="O54" i="54"/>
  <c r="O52" i="54"/>
  <c r="O53" i="54"/>
  <c r="O55" i="54"/>
  <c r="O51" i="54"/>
  <c r="O2" i="54"/>
  <c r="O40" i="54"/>
  <c r="H51" i="54"/>
  <c r="H62" i="54"/>
  <c r="AE85" i="66"/>
  <c r="X93" i="66" s="1"/>
  <c r="E24" i="69" s="1"/>
  <c r="AA85" i="66"/>
  <c r="AC102" i="66"/>
  <c r="X91" i="66"/>
  <c r="X101" i="66"/>
  <c r="X107" i="66" s="1"/>
  <c r="X92" i="66"/>
  <c r="AB90" i="66"/>
  <c r="AA86" i="66"/>
  <c r="X11" i="65"/>
  <c r="V6" i="64"/>
  <c r="X6" i="65"/>
  <c r="AB91" i="67"/>
  <c r="X12" i="64"/>
  <c r="X11" i="64"/>
  <c r="V5" i="65"/>
  <c r="N72" i="66"/>
  <c r="AP22" i="66" s="1"/>
  <c r="AP23" i="66" s="1"/>
  <c r="AP29" i="66" s="1"/>
  <c r="AO29" i="67"/>
  <c r="AK29" i="66"/>
  <c r="F72" i="67"/>
  <c r="AE22" i="67" s="1"/>
  <c r="AE23" i="67" s="1"/>
  <c r="AE29" i="67" s="1"/>
  <c r="AG29" i="67"/>
  <c r="AH12" i="67"/>
  <c r="AD11" i="66"/>
  <c r="X28" i="64"/>
  <c r="Y28" i="64" s="1"/>
  <c r="W28" i="64"/>
  <c r="BI38" i="47"/>
  <c r="BH42" i="47"/>
  <c r="BH41" i="47"/>
  <c r="BH39" i="47"/>
  <c r="BH35" i="47"/>
  <c r="BH38" i="47"/>
  <c r="BH36" i="47"/>
  <c r="BH40" i="47"/>
  <c r="BH37" i="47"/>
  <c r="BL37" i="47" s="1"/>
  <c r="BI36" i="47"/>
  <c r="BI41" i="47"/>
  <c r="BM41" i="47" l="1"/>
  <c r="BL41" i="47"/>
  <c r="BL38" i="47"/>
  <c r="BL35" i="47"/>
  <c r="BM38" i="47"/>
  <c r="BL36" i="47"/>
  <c r="BL40" i="47"/>
  <c r="BL42" i="47"/>
  <c r="BM39" i="47"/>
  <c r="BL40" i="46"/>
  <c r="BM36" i="46"/>
  <c r="BL36" i="46"/>
  <c r="BL39" i="47"/>
  <c r="BM38" i="46"/>
  <c r="BL38" i="46"/>
  <c r="BM40" i="47"/>
  <c r="BM42" i="47"/>
  <c r="BM36" i="47"/>
  <c r="BL41" i="46"/>
  <c r="BL42" i="46"/>
  <c r="BO89" i="46"/>
  <c r="BM42" i="46"/>
  <c r="BM37" i="46"/>
  <c r="BL35" i="46"/>
  <c r="BL37" i="46"/>
  <c r="BO88" i="46"/>
  <c r="BO95" i="46"/>
  <c r="BO94" i="46"/>
  <c r="BO91" i="46"/>
  <c r="BM35" i="46"/>
  <c r="BO92" i="46"/>
  <c r="BM41" i="46"/>
  <c r="BO93" i="46"/>
  <c r="BM40" i="46"/>
  <c r="BO90" i="46"/>
  <c r="Z81" i="66"/>
  <c r="AD93" i="66"/>
  <c r="AE93" i="66" s="1"/>
  <c r="AB91" i="66"/>
  <c r="C79" i="54" a="1"/>
  <c r="C79" i="54" s="1"/>
  <c r="C81" i="54" a="1"/>
  <c r="C81" i="54" s="1"/>
  <c r="C83" i="54" a="1"/>
  <c r="C83" i="54" s="1"/>
  <c r="C85" i="54" a="1"/>
  <c r="C85" i="54" s="1"/>
  <c r="C87" i="54" a="1"/>
  <c r="C87" i="54" s="1"/>
  <c r="C89" i="54" a="1"/>
  <c r="C89" i="54" s="1"/>
  <c r="C91" i="54" a="1"/>
  <c r="C91" i="54" s="1"/>
  <c r="C95" i="54" a="1"/>
  <c r="C95" i="54" s="1"/>
  <c r="C99" i="54" a="1"/>
  <c r="C99" i="54" s="1"/>
  <c r="C101" i="54" a="1"/>
  <c r="C101" i="54" s="1"/>
  <c r="C103" i="54" a="1"/>
  <c r="C103" i="54" s="1"/>
  <c r="C105" i="54" a="1"/>
  <c r="C105" i="54" s="1"/>
  <c r="C107" i="54" a="1"/>
  <c r="C107" i="54" s="1"/>
  <c r="C109" i="54" a="1"/>
  <c r="C109" i="54" s="1"/>
  <c r="C115" i="54" a="1"/>
  <c r="C115" i="54" s="1"/>
  <c r="M23" i="52"/>
  <c r="G31" i="63"/>
  <c r="R31" i="63"/>
  <c r="Q31" i="63"/>
  <c r="P31" i="63"/>
  <c r="O31" i="63"/>
  <c r="N31" i="63"/>
  <c r="M31" i="63"/>
  <c r="L31" i="63"/>
  <c r="K31" i="63"/>
  <c r="J31" i="63"/>
  <c r="I31" i="63"/>
  <c r="H31" i="63"/>
  <c r="H23" i="63"/>
  <c r="H25" i="63" s="1"/>
  <c r="R25" i="63"/>
  <c r="Q25" i="63"/>
  <c r="P25" i="63"/>
  <c r="O25" i="63"/>
  <c r="N25" i="63"/>
  <c r="M25" i="63"/>
  <c r="L25" i="63"/>
  <c r="K25" i="63"/>
  <c r="J25" i="63"/>
  <c r="I25" i="63"/>
  <c r="G25" i="63"/>
  <c r="H18" i="63"/>
  <c r="H20" i="63" s="1"/>
  <c r="R20" i="63"/>
  <c r="Q20" i="63"/>
  <c r="P20" i="63"/>
  <c r="O20" i="63"/>
  <c r="N20" i="63"/>
  <c r="M20" i="63"/>
  <c r="L20" i="63"/>
  <c r="K20" i="63"/>
  <c r="J20" i="63"/>
  <c r="I20" i="63"/>
  <c r="G20" i="63"/>
  <c r="H4" i="63"/>
  <c r="H6" i="63" s="1"/>
  <c r="H13" i="63"/>
  <c r="H15" i="63" s="1"/>
  <c r="R15" i="63"/>
  <c r="Q15" i="63"/>
  <c r="P15" i="63"/>
  <c r="O15" i="63"/>
  <c r="N15" i="63"/>
  <c r="M15" i="63"/>
  <c r="L15" i="63"/>
  <c r="K15" i="63"/>
  <c r="J15" i="63"/>
  <c r="I15" i="63"/>
  <c r="G15" i="63"/>
  <c r="J6" i="63"/>
  <c r="K6" i="63"/>
  <c r="L6" i="63"/>
  <c r="M6" i="63"/>
  <c r="N6" i="63"/>
  <c r="O6" i="63"/>
  <c r="P6" i="63"/>
  <c r="Q6" i="63"/>
  <c r="R6" i="63"/>
  <c r="I6" i="63"/>
  <c r="G6" i="63"/>
  <c r="BN45" i="47" l="1" a="1"/>
  <c r="BO45" i="47" s="1"/>
  <c r="BM44" i="47" a="1"/>
  <c r="BO44" i="47" s="1"/>
  <c r="BM44" i="46" a="1"/>
  <c r="BM44" i="46" s="1"/>
  <c r="BN45" i="46" a="1"/>
  <c r="D91" i="54"/>
  <c r="N12" i="58" s="1"/>
  <c r="AL12" i="58"/>
  <c r="D101" i="54"/>
  <c r="S12" i="58" s="1"/>
  <c r="AL17" i="58"/>
  <c r="AG17" i="51" s="1"/>
  <c r="D85" i="54"/>
  <c r="K12" i="58" s="1"/>
  <c r="AL9" i="58"/>
  <c r="AG9" i="51" s="1"/>
  <c r="D83" i="54"/>
  <c r="J12" i="58" s="1"/>
  <c r="AL8" i="58"/>
  <c r="AG8" i="51" s="1"/>
  <c r="D107" i="54"/>
  <c r="V12" i="58" s="1"/>
  <c r="AL20" i="58"/>
  <c r="AG20" i="51" s="1"/>
  <c r="D109" i="54"/>
  <c r="W12" i="58" s="1"/>
  <c r="AL21" i="58"/>
  <c r="AG21" i="51" s="1"/>
  <c r="D105" i="54"/>
  <c r="U12" i="58" s="1"/>
  <c r="AL19" i="58"/>
  <c r="AG19" i="51" s="1"/>
  <c r="D79" i="54"/>
  <c r="H12" i="58" s="1"/>
  <c r="AL6" i="58"/>
  <c r="AG6" i="51" s="1"/>
  <c r="D115" i="54"/>
  <c r="Z12" i="58" s="1"/>
  <c r="AL24" i="58"/>
  <c r="AG24" i="51" s="1"/>
  <c r="D81" i="54"/>
  <c r="I12" i="58" s="1"/>
  <c r="AL7" i="58"/>
  <c r="AG7" i="51" s="1"/>
  <c r="D95" i="54"/>
  <c r="P12" i="58" s="1"/>
  <c r="AL14" i="58"/>
  <c r="D89" i="54"/>
  <c r="M12" i="58" s="1"/>
  <c r="AL11" i="58"/>
  <c r="AG11" i="51" s="1"/>
  <c r="D87" i="54"/>
  <c r="L12" i="58" s="1"/>
  <c r="AL10" i="58"/>
  <c r="AG10" i="51" s="1"/>
  <c r="D103" i="54"/>
  <c r="T12" i="58" s="1"/>
  <c r="AL18" i="58"/>
  <c r="AG18" i="51" s="1"/>
  <c r="D99" i="54"/>
  <c r="AL16" i="58"/>
  <c r="AG16" i="51" s="1"/>
  <c r="M99" i="46" a="1"/>
  <c r="M99" i="46" s="1"/>
  <c r="M98" i="46" a="1"/>
  <c r="M98" i="46" s="1"/>
  <c r="M113" i="47" a="1"/>
  <c r="M113" i="47" s="1"/>
  <c r="M111" i="47" a="1"/>
  <c r="M111" i="47" s="1"/>
  <c r="M110" i="47" a="1"/>
  <c r="M110" i="47" s="1"/>
  <c r="M109" i="47" a="1"/>
  <c r="M109" i="47" s="1"/>
  <c r="M102" i="47" a="1"/>
  <c r="M102" i="47" s="1"/>
  <c r="M100" i="47" a="1"/>
  <c r="M100" i="47" s="1"/>
  <c r="M99" i="47" a="1"/>
  <c r="M99" i="47" s="1"/>
  <c r="M98" i="47" a="1"/>
  <c r="M98" i="47" s="1"/>
  <c r="M113" i="46" a="1"/>
  <c r="M113" i="46" s="1"/>
  <c r="M111" i="46" a="1"/>
  <c r="M111" i="46" s="1"/>
  <c r="M110" i="46" a="1"/>
  <c r="M110" i="46" s="1"/>
  <c r="M109" i="46" a="1"/>
  <c r="M109" i="46" s="1"/>
  <c r="M100" i="46" a="1"/>
  <c r="M100" i="46" s="1"/>
  <c r="M102" i="46" a="1"/>
  <c r="M102" i="46" s="1"/>
  <c r="BN44" i="47" l="1"/>
  <c r="BI57" i="47" s="1"/>
  <c r="BM44" i="47"/>
  <c r="BH57" i="47" s="1"/>
  <c r="BN45" i="47"/>
  <c r="BI66" i="47" s="1"/>
  <c r="BN44" i="46"/>
  <c r="BI59" i="46" s="1"/>
  <c r="BO44" i="46"/>
  <c r="BH56" i="46"/>
  <c r="BH59" i="46"/>
  <c r="BH57" i="46"/>
  <c r="BH58" i="46"/>
  <c r="BN45" i="46"/>
  <c r="BO45" i="46"/>
  <c r="AG14" i="51"/>
  <c r="N77" i="69"/>
  <c r="AG12" i="51"/>
  <c r="N59" i="68"/>
  <c r="BJ56" i="47"/>
  <c r="BJ58" i="47"/>
  <c r="BJ57" i="47"/>
  <c r="BJ59" i="47"/>
  <c r="BJ65" i="47"/>
  <c r="BJ64" i="47"/>
  <c r="BJ63" i="47"/>
  <c r="BJ66" i="47"/>
  <c r="R12" i="58"/>
  <c r="K112" i="46"/>
  <c r="J112" i="46"/>
  <c r="I112" i="46"/>
  <c r="H112" i="46"/>
  <c r="G112" i="46"/>
  <c r="F112" i="46"/>
  <c r="E112" i="46"/>
  <c r="D112" i="46"/>
  <c r="K101" i="46"/>
  <c r="J101" i="46"/>
  <c r="I101" i="46"/>
  <c r="H101" i="46"/>
  <c r="G101" i="46"/>
  <c r="F101" i="46"/>
  <c r="E101" i="46"/>
  <c r="D101" i="46"/>
  <c r="K112" i="47"/>
  <c r="J112" i="47"/>
  <c r="I112" i="47"/>
  <c r="H112" i="47"/>
  <c r="G112" i="47"/>
  <c r="F112" i="47"/>
  <c r="E112" i="47"/>
  <c r="D112" i="47"/>
  <c r="E101" i="47"/>
  <c r="F101" i="47"/>
  <c r="G101" i="47"/>
  <c r="H101" i="47"/>
  <c r="I101" i="47"/>
  <c r="J101" i="47"/>
  <c r="K101" i="47"/>
  <c r="D101" i="47"/>
  <c r="BH59" i="47" l="1"/>
  <c r="BH56" i="47"/>
  <c r="BI58" i="47"/>
  <c r="BI59" i="47"/>
  <c r="BI56" i="47"/>
  <c r="BU55" i="46"/>
  <c r="BH58" i="47"/>
  <c r="BI63" i="47"/>
  <c r="BI64" i="47"/>
  <c r="BI65" i="47"/>
  <c r="BU54" i="46"/>
  <c r="BI57" i="46"/>
  <c r="BI56" i="46"/>
  <c r="BI58" i="46"/>
  <c r="BU56" i="46"/>
  <c r="BU53" i="46"/>
  <c r="BJ56" i="46"/>
  <c r="BJ58" i="46"/>
  <c r="BJ59" i="46"/>
  <c r="BJ57" i="46"/>
  <c r="BU52" i="46"/>
  <c r="M101" i="47" a="1"/>
  <c r="M101" i="47" s="1"/>
  <c r="M112" i="46" a="1"/>
  <c r="M112" i="46" s="1"/>
  <c r="M112" i="47" a="1"/>
  <c r="M112" i="47" s="1"/>
  <c r="BJ66" i="46"/>
  <c r="BJ63" i="46"/>
  <c r="BJ65" i="46"/>
  <c r="BJ64" i="46"/>
  <c r="BI63" i="46"/>
  <c r="BI64" i="46"/>
  <c r="BI65" i="46"/>
  <c r="BI66" i="46"/>
  <c r="M101" i="46" a="1"/>
  <c r="M101" i="46" s="1"/>
  <c r="BS55" i="46" l="1"/>
  <c r="BT55" i="46" s="1"/>
  <c r="BV55" i="46" s="1"/>
  <c r="BS53" i="46"/>
  <c r="BT53" i="46" s="1"/>
  <c r="BV53" i="46" s="1"/>
  <c r="BS54" i="46"/>
  <c r="BT54" i="46" s="1"/>
  <c r="BV54" i="46" s="1"/>
  <c r="BS52" i="46"/>
  <c r="BT52" i="46" s="1"/>
  <c r="BV52" i="46" s="1"/>
  <c r="BS56" i="46"/>
  <c r="BT56" i="46" s="1"/>
  <c r="BV56" i="46" s="1"/>
  <c r="K4" i="34"/>
  <c r="J4" i="34"/>
  <c r="I4" i="34"/>
  <c r="H4" i="34"/>
  <c r="G4" i="34"/>
  <c r="F4" i="34"/>
  <c r="E4" i="34"/>
  <c r="D4" i="34"/>
  <c r="K4" i="53"/>
  <c r="J4" i="53"/>
  <c r="I4" i="53"/>
  <c r="H4" i="53"/>
  <c r="G4" i="53"/>
  <c r="F4" i="53"/>
  <c r="E4" i="53"/>
  <c r="D4" i="53"/>
  <c r="F54" i="60"/>
  <c r="W55" i="51"/>
  <c r="W54" i="51"/>
  <c r="W53" i="51"/>
  <c r="W52" i="51"/>
  <c r="W51" i="51"/>
  <c r="W50" i="51"/>
  <c r="W49" i="51"/>
  <c r="W48" i="51"/>
  <c r="W47" i="51"/>
  <c r="W46" i="51"/>
  <c r="W45" i="51"/>
  <c r="W44" i="51"/>
  <c r="W43" i="51"/>
  <c r="W42" i="51"/>
  <c r="W41" i="51"/>
  <c r="W40" i="51"/>
  <c r="W39" i="51"/>
  <c r="W38" i="51"/>
  <c r="W37" i="51"/>
  <c r="W36" i="51"/>
  <c r="W35" i="51"/>
  <c r="W34" i="51"/>
  <c r="W33" i="51"/>
  <c r="W32" i="51"/>
  <c r="W31" i="51"/>
  <c r="W30" i="51"/>
  <c r="W29" i="51"/>
  <c r="W28" i="51"/>
  <c r="W27" i="51"/>
  <c r="W26" i="51"/>
  <c r="W25" i="51"/>
  <c r="W24" i="51"/>
  <c r="W23" i="51"/>
  <c r="W22" i="51"/>
  <c r="W21" i="51"/>
  <c r="W20" i="51"/>
  <c r="W19" i="51"/>
  <c r="W18" i="51"/>
  <c r="W17" i="51"/>
  <c r="W16" i="51"/>
  <c r="W15" i="51"/>
  <c r="W14" i="51"/>
  <c r="W13" i="51"/>
  <c r="W12" i="51"/>
  <c r="W11" i="51"/>
  <c r="C25" i="61" a="1"/>
  <c r="C25" i="61" s="1"/>
  <c r="C24" i="61" a="1"/>
  <c r="C24" i="61" s="1"/>
  <c r="C23" i="61" a="1"/>
  <c r="C23" i="61" s="1"/>
  <c r="C20" i="61" a="1"/>
  <c r="C20" i="61" s="1"/>
  <c r="C19" i="61" a="1"/>
  <c r="C19" i="61" s="1"/>
  <c r="C18" i="61" a="1"/>
  <c r="C18" i="61" s="1"/>
  <c r="C17" i="61" a="1"/>
  <c r="C17" i="61" s="1"/>
  <c r="C14" i="61" a="1"/>
  <c r="C14" i="61" s="1"/>
  <c r="C13" i="61" a="1"/>
  <c r="C13" i="61" s="1"/>
  <c r="C12" i="61" a="1"/>
  <c r="C12" i="61" s="1"/>
  <c r="C11" i="61" a="1"/>
  <c r="C11" i="61" s="1"/>
  <c r="C8" i="61" a="1"/>
  <c r="C8" i="61" s="1"/>
  <c r="C7" i="61" a="1"/>
  <c r="C7" i="61" s="1"/>
  <c r="BY16" i="52" a="1"/>
  <c r="BY16" i="52" s="1"/>
  <c r="BW16" i="52" a="1"/>
  <c r="BW16" i="52" s="1"/>
  <c r="BY15" i="52" a="1"/>
  <c r="BY15" i="52" s="1"/>
  <c r="BW15" i="52" a="1"/>
  <c r="BW15" i="52" s="1"/>
  <c r="B45" i="60"/>
  <c r="C41" i="60"/>
  <c r="C40" i="60"/>
  <c r="AC5" i="52"/>
  <c r="B33" i="60" a="1"/>
  <c r="B33" i="60" s="1"/>
  <c r="B32" i="60" a="1"/>
  <c r="B32" i="60" s="1"/>
  <c r="AZ14" i="46"/>
  <c r="C7" i="51" a="1"/>
  <c r="C7" i="51" s="1"/>
  <c r="X54" i="47" a="1"/>
  <c r="X54" i="47" s="1"/>
  <c r="X53" i="47" a="1"/>
  <c r="X53" i="47" s="1"/>
  <c r="X52" i="47" a="1"/>
  <c r="X52" i="47" s="1"/>
  <c r="X54" i="46" a="1"/>
  <c r="X54" i="46" s="1"/>
  <c r="X53" i="46" a="1"/>
  <c r="X53" i="46" s="1"/>
  <c r="X51" i="46" a="1"/>
  <c r="X51" i="46" s="1"/>
  <c r="Z54" i="47" l="1"/>
  <c r="Y54" i="47"/>
  <c r="Z53" i="47"/>
  <c r="Y53" i="47"/>
  <c r="Z52" i="47"/>
  <c r="Y52" i="47"/>
  <c r="Y54" i="46"/>
  <c r="Z54" i="46"/>
  <c r="Z53" i="46"/>
  <c r="Y53" i="46"/>
  <c r="Z51" i="46"/>
  <c r="Y51" i="46"/>
  <c r="Q23" i="61" l="1"/>
  <c r="P23" i="61"/>
  <c r="O23" i="61"/>
  <c r="N23" i="61"/>
  <c r="M23" i="61"/>
  <c r="I17" i="61"/>
  <c r="T14" i="61"/>
  <c r="T13" i="61"/>
  <c r="T12" i="61"/>
  <c r="T11" i="61"/>
  <c r="I11" i="61"/>
  <c r="T10" i="61"/>
  <c r="T9" i="61"/>
  <c r="T8" i="61"/>
  <c r="T7" i="61"/>
  <c r="I7" i="61"/>
  <c r="H25" i="59"/>
  <c r="H26" i="59"/>
  <c r="H27" i="59"/>
  <c r="H28" i="59"/>
  <c r="H29" i="59"/>
  <c r="H30" i="59"/>
  <c r="H24" i="59"/>
  <c r="G25" i="59"/>
  <c r="G26" i="59"/>
  <c r="G27" i="59"/>
  <c r="G28" i="59"/>
  <c r="G29" i="59"/>
  <c r="G30" i="59"/>
  <c r="G24" i="59"/>
  <c r="E25" i="59"/>
  <c r="E26" i="59"/>
  <c r="E27" i="59"/>
  <c r="E28" i="59"/>
  <c r="E29" i="59"/>
  <c r="E30" i="59"/>
  <c r="E24" i="59"/>
  <c r="C16" i="60" l="1"/>
  <c r="C15" i="60"/>
  <c r="C11" i="60"/>
  <c r="C5" i="60"/>
  <c r="DI24" i="52"/>
  <c r="DI25" i="52"/>
  <c r="DI26" i="52"/>
  <c r="DI27" i="52"/>
  <c r="DI28" i="52"/>
  <c r="DI23" i="52"/>
  <c r="H34" i="59"/>
  <c r="G34" i="59"/>
  <c r="W27" i="59"/>
  <c r="W28" i="59"/>
  <c r="W29" i="59"/>
  <c r="W26" i="59"/>
  <c r="AR17" i="59" l="1"/>
  <c r="AS17" i="59"/>
  <c r="AT17" i="59"/>
  <c r="AU17" i="59"/>
  <c r="AR30" i="59"/>
  <c r="AS30" i="59"/>
  <c r="AT30" i="59"/>
  <c r="AU30" i="59"/>
  <c r="AR42" i="59"/>
  <c r="AS42" i="59"/>
  <c r="AT42" i="59"/>
  <c r="AU42" i="59"/>
  <c r="AR54" i="59"/>
  <c r="AS54" i="59"/>
  <c r="AT54" i="59"/>
  <c r="AU54" i="59"/>
  <c r="F52" i="59"/>
  <c r="AI12" i="48"/>
  <c r="AJ12" i="48"/>
  <c r="AK12" i="48"/>
  <c r="AL12" i="48"/>
  <c r="AM12" i="48"/>
  <c r="AN12" i="48"/>
  <c r="AO12" i="48"/>
  <c r="AP12" i="48"/>
  <c r="AI13" i="48"/>
  <c r="AJ13" i="48"/>
  <c r="AK13" i="48"/>
  <c r="AL13" i="48"/>
  <c r="AM13" i="48"/>
  <c r="AN13" i="48"/>
  <c r="AO13" i="48"/>
  <c r="AP13" i="48"/>
  <c r="AI14" i="48"/>
  <c r="AJ14" i="48"/>
  <c r="AK14" i="48"/>
  <c r="AL14" i="48"/>
  <c r="AM14" i="48"/>
  <c r="AN14" i="48"/>
  <c r="AO14" i="48"/>
  <c r="AP14" i="48"/>
  <c r="AI15" i="48"/>
  <c r="AJ15" i="48"/>
  <c r="AK15" i="48"/>
  <c r="AL15" i="48"/>
  <c r="AM15" i="48"/>
  <c r="AN15" i="48"/>
  <c r="AO15" i="48"/>
  <c r="AP15" i="48"/>
  <c r="AI16" i="48"/>
  <c r="AJ16" i="48"/>
  <c r="AK16" i="48"/>
  <c r="AL16" i="48"/>
  <c r="AM16" i="48"/>
  <c r="AN16" i="48"/>
  <c r="AO16" i="48"/>
  <c r="AP16" i="48"/>
  <c r="AI17" i="48"/>
  <c r="AJ17" i="48"/>
  <c r="AK17" i="48"/>
  <c r="AL17" i="48"/>
  <c r="AM17" i="48"/>
  <c r="AN17" i="48"/>
  <c r="AO17" i="48"/>
  <c r="AP17" i="48"/>
  <c r="AI18" i="48"/>
  <c r="AJ18" i="48"/>
  <c r="AK18" i="48"/>
  <c r="AL18" i="48"/>
  <c r="AM18" i="48"/>
  <c r="AN18" i="48"/>
  <c r="AO18" i="48"/>
  <c r="AP18" i="48"/>
  <c r="AI19" i="48"/>
  <c r="AJ19" i="48"/>
  <c r="AK19" i="48"/>
  <c r="AL19" i="48"/>
  <c r="AM19" i="48"/>
  <c r="AN19" i="48"/>
  <c r="AO19" i="48"/>
  <c r="AP19" i="48"/>
  <c r="AI20" i="48"/>
  <c r="AJ20" i="48"/>
  <c r="AK20" i="48"/>
  <c r="AL20" i="48"/>
  <c r="AM20" i="48"/>
  <c r="AN20" i="48"/>
  <c r="AO20" i="48"/>
  <c r="AP20" i="48"/>
  <c r="AI21" i="48"/>
  <c r="AJ21" i="48"/>
  <c r="AK21" i="48"/>
  <c r="AL21" i="48"/>
  <c r="AM21" i="48"/>
  <c r="AN21" i="48"/>
  <c r="AO21" i="48"/>
  <c r="AP21" i="48"/>
  <c r="L37" i="48"/>
  <c r="M37" i="48"/>
  <c r="N37" i="48"/>
  <c r="O37" i="48"/>
  <c r="L38" i="48"/>
  <c r="M38" i="48"/>
  <c r="N38" i="48"/>
  <c r="O38" i="48"/>
  <c r="L32" i="48"/>
  <c r="M32" i="48"/>
  <c r="N32" i="48"/>
  <c r="O32" i="48"/>
  <c r="L33" i="48"/>
  <c r="M33" i="48"/>
  <c r="N33" i="48"/>
  <c r="O33" i="48"/>
  <c r="L34" i="48"/>
  <c r="M34" i="48"/>
  <c r="N34" i="48"/>
  <c r="O34" i="48"/>
  <c r="L35" i="48"/>
  <c r="M35" i="48"/>
  <c r="N35" i="48"/>
  <c r="O35" i="48"/>
  <c r="L36" i="48"/>
  <c r="M36" i="48"/>
  <c r="N36" i="48"/>
  <c r="O36" i="48"/>
  <c r="P37" i="48" l="1"/>
  <c r="P32" i="48"/>
  <c r="P35" i="48"/>
  <c r="P38" i="48"/>
  <c r="P34" i="48"/>
  <c r="P36" i="48"/>
  <c r="P33" i="48"/>
  <c r="J57" i="60" l="1"/>
  <c r="B52" i="60"/>
  <c r="W64" i="51" s="1"/>
  <c r="C37" i="60"/>
  <c r="C38" i="60" s="1"/>
  <c r="C35" i="60" a="1"/>
  <c r="C35" i="60" s="1"/>
  <c r="C13" i="60"/>
  <c r="M26" i="60"/>
  <c r="E165" i="59" a="1"/>
  <c r="G165" i="59" s="1"/>
  <c r="F143" i="59"/>
  <c r="F169" i="59" s="1"/>
  <c r="F142" i="59"/>
  <c r="F168" i="59" s="1"/>
  <c r="F141" i="59"/>
  <c r="F167" i="59" s="1"/>
  <c r="E139" i="59" a="1"/>
  <c r="I139" i="59" s="1"/>
  <c r="AV136" i="59"/>
  <c r="AV135" i="59"/>
  <c r="AV134" i="59"/>
  <c r="AV133" i="59"/>
  <c r="AV132" i="59"/>
  <c r="AV131" i="59"/>
  <c r="AV130" i="59"/>
  <c r="AX114" i="59"/>
  <c r="E113" i="59" a="1"/>
  <c r="I113" i="59" s="1"/>
  <c r="AJ108" i="59"/>
  <c r="AJ107" i="59"/>
  <c r="AJ106" i="59"/>
  <c r="AJ105" i="59"/>
  <c r="AJ104" i="59"/>
  <c r="AJ103" i="59"/>
  <c r="AO102" i="59"/>
  <c r="AO103" i="59" s="1"/>
  <c r="AO104" i="59" s="1"/>
  <c r="AJ102" i="59"/>
  <c r="AJ101" i="59"/>
  <c r="S12" i="54"/>
  <c r="R12" i="54"/>
  <c r="Q12" i="54"/>
  <c r="P12" i="54"/>
  <c r="O12" i="54"/>
  <c r="N12" i="54"/>
  <c r="M12" i="54"/>
  <c r="L12" i="54"/>
  <c r="K12" i="54"/>
  <c r="J12" i="54"/>
  <c r="M78" i="69" s="1"/>
  <c r="I12" i="54"/>
  <c r="M77" i="69" s="1"/>
  <c r="H12" i="54"/>
  <c r="M60" i="68" s="1"/>
  <c r="G12" i="54"/>
  <c r="F12" i="54"/>
  <c r="F13" i="54" s="1"/>
  <c r="C120" i="54" s="1"/>
  <c r="E12" i="54"/>
  <c r="D12" i="54"/>
  <c r="C12" i="54"/>
  <c r="B12" i="54"/>
  <c r="B25" i="54" s="1"/>
  <c r="A12" i="54"/>
  <c r="M59" i="68" l="1"/>
  <c r="M74" i="68" s="1" a="1"/>
  <c r="M74" i="68" s="1"/>
  <c r="D11" i="68" s="1"/>
  <c r="G25" i="54"/>
  <c r="C125" i="54" s="1"/>
  <c r="N92" i="69" a="1"/>
  <c r="N92" i="69" s="1"/>
  <c r="U35" i="69" s="1"/>
  <c r="M92" i="69" a="1"/>
  <c r="M92" i="69" s="1"/>
  <c r="D11" i="69" s="1"/>
  <c r="J4" i="54"/>
  <c r="N8" i="69"/>
  <c r="R8" i="69" s="1" a="1"/>
  <c r="R8" i="69" s="1"/>
  <c r="H5" i="54"/>
  <c r="N8" i="68"/>
  <c r="R8" i="68" s="1" a="1"/>
  <c r="R8" i="68" s="1"/>
  <c r="O4" i="54"/>
  <c r="O3" i="54"/>
  <c r="O17" i="54"/>
  <c r="O16" i="54"/>
  <c r="O18" i="54"/>
  <c r="O5" i="54"/>
  <c r="O19" i="54"/>
  <c r="O6" i="54"/>
  <c r="R4" i="54"/>
  <c r="R5" i="54"/>
  <c r="R6" i="54"/>
  <c r="R3" i="54"/>
  <c r="C113" i="54" s="1" a="1"/>
  <c r="C113" i="54" s="1"/>
  <c r="R16" i="54"/>
  <c r="R17" i="54" s="1"/>
  <c r="R18" i="54" s="1"/>
  <c r="R19" i="54" s="1"/>
  <c r="AN5" i="46"/>
  <c r="AN14" i="46" s="1"/>
  <c r="E13" i="54"/>
  <c r="C119" i="54" s="1"/>
  <c r="B122" i="54" s="1"/>
  <c r="BG31" i="47" a="1"/>
  <c r="BG31" i="47" s="1"/>
  <c r="BH68" i="47"/>
  <c r="BH68" i="46"/>
  <c r="BG31" i="46" a="1"/>
  <c r="BG31" i="46" s="1"/>
  <c r="Q2" i="54"/>
  <c r="C111" i="54" s="1" a="1"/>
  <c r="C111" i="54" s="1"/>
  <c r="Q15" i="54"/>
  <c r="M10" i="60"/>
  <c r="M14" i="60"/>
  <c r="M17" i="60"/>
  <c r="AW116" i="59" a="1"/>
  <c r="AW116" i="59" s="1"/>
  <c r="M30" i="60"/>
  <c r="M35" i="60"/>
  <c r="M7" i="60"/>
  <c r="M44" i="60"/>
  <c r="H165" i="59"/>
  <c r="I165" i="59"/>
  <c r="M49" i="60"/>
  <c r="K57" i="60" a="1"/>
  <c r="K57" i="60" s="1"/>
  <c r="M22" i="60"/>
  <c r="M27" i="60"/>
  <c r="M40" i="60"/>
  <c r="E139" i="59"/>
  <c r="M32" i="60"/>
  <c r="M36" i="60"/>
  <c r="C42" i="60"/>
  <c r="C12" i="60" s="1"/>
  <c r="M50" i="60"/>
  <c r="F139" i="59"/>
  <c r="M11" i="60"/>
  <c r="M18" i="60"/>
  <c r="M45" i="60"/>
  <c r="G139" i="59"/>
  <c r="M23" i="60"/>
  <c r="M28" i="60"/>
  <c r="H139" i="59"/>
  <c r="M8" i="60"/>
  <c r="M41" i="60"/>
  <c r="J56" i="60"/>
  <c r="E113" i="59"/>
  <c r="M15" i="60"/>
  <c r="M37" i="60"/>
  <c r="M46" i="60"/>
  <c r="F113" i="59"/>
  <c r="M19" i="60"/>
  <c r="M29" i="60"/>
  <c r="M33" i="60"/>
  <c r="G113" i="59"/>
  <c r="M12" i="60"/>
  <c r="M24" i="60"/>
  <c r="H113" i="59"/>
  <c r="M42" i="60"/>
  <c r="M47" i="60"/>
  <c r="M34" i="60"/>
  <c r="M38" i="60"/>
  <c r="M3" i="60"/>
  <c r="M6" i="60"/>
  <c r="M9" i="60"/>
  <c r="M16" i="60"/>
  <c r="M20" i="60"/>
  <c r="M25" i="60"/>
  <c r="E165" i="59"/>
  <c r="M43" i="60"/>
  <c r="M48" i="60"/>
  <c r="F165" i="59"/>
  <c r="M13" i="60"/>
  <c r="M31" i="60"/>
  <c r="M39" i="60"/>
  <c r="M21" i="60"/>
  <c r="J16" i="54"/>
  <c r="J17" i="54"/>
  <c r="J3" i="54"/>
  <c r="H17" i="54"/>
  <c r="H15" i="54"/>
  <c r="H16" i="54"/>
  <c r="H4" i="54"/>
  <c r="H3" i="54"/>
  <c r="H7" i="54"/>
  <c r="H2" i="54"/>
  <c r="H6" i="54"/>
  <c r="N74" i="68" l="1" a="1"/>
  <c r="N74" i="68" s="1"/>
  <c r="U32" i="68" s="1"/>
  <c r="H8" i="58"/>
  <c r="AK3" i="58" s="1"/>
  <c r="AF3" i="51" s="1"/>
  <c r="C8" i="51"/>
  <c r="H86" i="51"/>
  <c r="E58" i="69"/>
  <c r="H109" i="51"/>
  <c r="BH100" i="46"/>
  <c r="BH99" i="46"/>
  <c r="BJ99" i="46" s="1"/>
  <c r="BS94" i="46" s="1"/>
  <c r="F9" i="69"/>
  <c r="U11" i="69" s="1" a="1"/>
  <c r="U11" i="69" s="1"/>
  <c r="E9" i="69"/>
  <c r="X6" i="69" s="1" a="1"/>
  <c r="X6" i="69" s="1"/>
  <c r="C97" i="54" a="1"/>
  <c r="C97" i="54" s="1"/>
  <c r="AL15" i="58" s="1"/>
  <c r="J51" i="68"/>
  <c r="E51" i="68"/>
  <c r="E9" i="68"/>
  <c r="X6" i="68" s="1" a="1"/>
  <c r="X6" i="68" s="1"/>
  <c r="F9" i="68"/>
  <c r="U11" i="68" s="1" a="1"/>
  <c r="U11" i="68" s="1"/>
  <c r="C93" i="54" a="1"/>
  <c r="C93" i="54" s="1"/>
  <c r="D93" i="54" s="1"/>
  <c r="O12" i="58" s="1"/>
  <c r="AL23" i="58"/>
  <c r="AG23" i="51" s="1"/>
  <c r="D113" i="54"/>
  <c r="Y12" i="58" s="1"/>
  <c r="D111" i="54"/>
  <c r="AL22" i="58"/>
  <c r="AG22" i="51" s="1"/>
  <c r="BI73" i="47"/>
  <c r="D19" i="47" s="1"/>
  <c r="BJ71" i="47"/>
  <c r="E9" i="47" s="1"/>
  <c r="BJ72" i="47"/>
  <c r="E14" i="47" s="1"/>
  <c r="BJ73" i="47"/>
  <c r="E19" i="47" s="1"/>
  <c r="BJ74" i="47"/>
  <c r="E24" i="47" s="1"/>
  <c r="BI74" i="47"/>
  <c r="D24" i="47" s="1"/>
  <c r="BH72" i="47"/>
  <c r="C14" i="47" s="1"/>
  <c r="BH73" i="47"/>
  <c r="C19" i="47" s="1"/>
  <c r="BH74" i="47"/>
  <c r="C24" i="47" s="1"/>
  <c r="BH71" i="47"/>
  <c r="C9" i="47" s="1"/>
  <c r="BI71" i="47"/>
  <c r="D9" i="47" s="1"/>
  <c r="BI72" i="47"/>
  <c r="D14" i="47" s="1"/>
  <c r="BJ73" i="46"/>
  <c r="BH74" i="46"/>
  <c r="BI74" i="46"/>
  <c r="BJ74" i="46"/>
  <c r="BI71" i="46"/>
  <c r="BJ71" i="46"/>
  <c r="BH71" i="46"/>
  <c r="BH72" i="46"/>
  <c r="BI72" i="46"/>
  <c r="BJ72" i="46"/>
  <c r="BH73" i="46"/>
  <c r="BI73" i="46"/>
  <c r="AY116" i="59"/>
  <c r="AX116" i="59"/>
  <c r="K56" i="60" a="1"/>
  <c r="K56" i="60" s="1"/>
  <c r="F170" i="59"/>
  <c r="H18" i="60"/>
  <c r="H11" i="60"/>
  <c r="H14" i="60"/>
  <c r="H7" i="60"/>
  <c r="H17" i="60"/>
  <c r="H10" i="60"/>
  <c r="H13" i="60"/>
  <c r="H16" i="60"/>
  <c r="H9" i="60"/>
  <c r="H6" i="60"/>
  <c r="H3" i="60"/>
  <c r="H12" i="60"/>
  <c r="H15" i="60"/>
  <c r="H8" i="60"/>
  <c r="F144" i="59"/>
  <c r="AG15" i="51" l="1"/>
  <c r="N78" i="69"/>
  <c r="V11" i="69"/>
  <c r="O11" i="69" s="1"/>
  <c r="C107" i="51" s="1"/>
  <c r="J58" i="69"/>
  <c r="D10" i="68"/>
  <c r="G25" i="69"/>
  <c r="E25" i="69"/>
  <c r="U7" i="69"/>
  <c r="V7" i="69"/>
  <c r="V6" i="69"/>
  <c r="V11" i="68"/>
  <c r="O11" i="68" s="1"/>
  <c r="C84" i="51" s="1"/>
  <c r="BS92" i="46"/>
  <c r="BS93" i="46"/>
  <c r="BS91" i="46"/>
  <c r="BS90" i="46"/>
  <c r="BS89" i="46"/>
  <c r="BJ100" i="46"/>
  <c r="BT89" i="46" s="1"/>
  <c r="BK100" i="46"/>
  <c r="BS95" i="46"/>
  <c r="BS88" i="46"/>
  <c r="U6" i="69"/>
  <c r="E40" i="69"/>
  <c r="J40" i="69" s="1"/>
  <c r="C20" i="69"/>
  <c r="T7" i="69"/>
  <c r="T6" i="69"/>
  <c r="D10" i="69"/>
  <c r="V35" i="69" s="1"/>
  <c r="M35" i="69" s="1"/>
  <c r="C124" i="51" s="1"/>
  <c r="D97" i="54"/>
  <c r="Q12" i="58" s="1"/>
  <c r="V6" i="68"/>
  <c r="U6" i="68"/>
  <c r="U7" i="68"/>
  <c r="V7" i="68"/>
  <c r="T6" i="68"/>
  <c r="T7" i="68"/>
  <c r="C18" i="68"/>
  <c r="J33" i="68"/>
  <c r="E33" i="68"/>
  <c r="AL13" i="58"/>
  <c r="X12" i="58"/>
  <c r="CL22" i="52"/>
  <c r="H45" i="60"/>
  <c r="H50" i="60"/>
  <c r="H36" i="60"/>
  <c r="H32" i="60"/>
  <c r="H40" i="60"/>
  <c r="H27" i="60"/>
  <c r="H22" i="60"/>
  <c r="H49" i="60"/>
  <c r="H44" i="60"/>
  <c r="H35" i="60"/>
  <c r="H26" i="60"/>
  <c r="H21" i="60"/>
  <c r="H39" i="60"/>
  <c r="H31" i="60"/>
  <c r="H48" i="60"/>
  <c r="H43" i="60"/>
  <c r="H25" i="60"/>
  <c r="H20" i="60"/>
  <c r="H38" i="60"/>
  <c r="H34" i="60"/>
  <c r="H30" i="60"/>
  <c r="H47" i="60"/>
  <c r="H42" i="60"/>
  <c r="H24" i="60"/>
  <c r="H41" i="60"/>
  <c r="H33" i="60"/>
  <c r="H29" i="60"/>
  <c r="H19" i="60"/>
  <c r="H46" i="60"/>
  <c r="H37" i="60"/>
  <c r="H28" i="60"/>
  <c r="H23" i="60"/>
  <c r="AG13" i="51" l="1"/>
  <c r="N60" i="68"/>
  <c r="BT94" i="46"/>
  <c r="BU94" i="46" s="1"/>
  <c r="BT90" i="46"/>
  <c r="BU90" i="46" s="1"/>
  <c r="BT92" i="46"/>
  <c r="BU92" i="46" s="1"/>
  <c r="BT93" i="46"/>
  <c r="BU93" i="46" s="1"/>
  <c r="BT95" i="46"/>
  <c r="BU95" i="46" s="1"/>
  <c r="BT91" i="46"/>
  <c r="BU91" i="46" s="1"/>
  <c r="BT88" i="46"/>
  <c r="BU88" i="46" s="1"/>
  <c r="BU89" i="46"/>
  <c r="V32" i="68"/>
  <c r="E53" i="68"/>
  <c r="O13" i="68" s="1"/>
  <c r="D90" i="51" s="1"/>
  <c r="B75" i="54"/>
  <c r="B76" i="54"/>
  <c r="AL4" i="58" s="1"/>
  <c r="E60" i="69"/>
  <c r="O15" i="69" s="1"/>
  <c r="D114" i="51" s="1"/>
  <c r="J60" i="69"/>
  <c r="O16" i="69" s="1"/>
  <c r="D115" i="51" s="1"/>
  <c r="J53" i="68"/>
  <c r="O14" i="68" s="1"/>
  <c r="D91" i="51" s="1"/>
  <c r="R74" i="51" a="1"/>
  <c r="R74" i="51" s="1"/>
  <c r="R72" i="51" a="1"/>
  <c r="R72" i="51" s="1"/>
  <c r="R71" i="51" a="1"/>
  <c r="R71" i="51" s="1"/>
  <c r="C67" i="51" a="1"/>
  <c r="C67" i="51" s="1"/>
  <c r="C66" i="51" a="1"/>
  <c r="C66" i="51" s="1"/>
  <c r="W62" i="51" a="1"/>
  <c r="W62" i="51" s="1"/>
  <c r="D64" i="51" a="1"/>
  <c r="D64" i="51" s="1"/>
  <c r="W60" i="51" a="1"/>
  <c r="W60" i="51" s="1"/>
  <c r="C63" i="51" a="1"/>
  <c r="C63" i="51" s="1"/>
  <c r="W58" i="51" a="1"/>
  <c r="W58" i="51" s="1"/>
  <c r="C61" i="51" a="1"/>
  <c r="C61" i="51" s="1"/>
  <c r="Z56" i="51" a="1"/>
  <c r="Z56" i="51" s="1"/>
  <c r="C60" i="51" a="1"/>
  <c r="C60" i="51" s="1"/>
  <c r="C59" i="51" a="1"/>
  <c r="C59" i="51" s="1"/>
  <c r="C58" i="51" a="1"/>
  <c r="C58" i="51" s="1"/>
  <c r="D56" i="51" a="1"/>
  <c r="D56" i="51" s="1"/>
  <c r="C56" i="51" a="1"/>
  <c r="C56" i="51" s="1"/>
  <c r="C55" i="51" a="1"/>
  <c r="C55" i="51" s="1"/>
  <c r="C53" i="51" a="1"/>
  <c r="C53" i="51" s="1"/>
  <c r="J52" i="51" a="1"/>
  <c r="J52" i="51" s="1"/>
  <c r="J51" i="51" a="1"/>
  <c r="J51" i="51" s="1"/>
  <c r="C51" i="51" a="1"/>
  <c r="C51" i="51" s="1"/>
  <c r="C50" i="51" a="1"/>
  <c r="C50" i="51" s="1"/>
  <c r="J49" i="51" a="1"/>
  <c r="J49" i="51" s="1"/>
  <c r="C48" i="51" a="1"/>
  <c r="C48" i="51" s="1"/>
  <c r="J47" i="51" a="1"/>
  <c r="J47" i="51" s="1"/>
  <c r="C47" i="51" a="1"/>
  <c r="C47" i="51" s="1"/>
  <c r="G46" i="51" a="1"/>
  <c r="G46" i="51" s="1"/>
  <c r="E46" i="51" a="1"/>
  <c r="E46" i="51" s="1"/>
  <c r="J45" i="51" a="1"/>
  <c r="J45" i="51" s="1"/>
  <c r="J44" i="51" a="1"/>
  <c r="J44" i="51" s="1"/>
  <c r="C44" i="51" a="1"/>
  <c r="C44" i="51" s="1"/>
  <c r="C42" i="51" a="1"/>
  <c r="C42" i="51" s="1"/>
  <c r="J41" i="51" a="1"/>
  <c r="J41" i="51" s="1"/>
  <c r="R36" i="51" a="1"/>
  <c r="R36" i="51" s="1"/>
  <c r="J40" i="51" a="1"/>
  <c r="J40" i="51" s="1"/>
  <c r="C40" i="51" a="1"/>
  <c r="C40" i="51" s="1"/>
  <c r="R35" i="51" a="1"/>
  <c r="R35" i="51" s="1"/>
  <c r="R34" i="51" a="1"/>
  <c r="R34" i="51" s="1"/>
  <c r="R32" i="51" a="1"/>
  <c r="R32" i="51" s="1"/>
  <c r="R30" i="51" a="1"/>
  <c r="R30" i="51" s="1"/>
  <c r="R29" i="51" a="1"/>
  <c r="R29" i="51" s="1"/>
  <c r="R28" i="51" a="1"/>
  <c r="R28" i="51" s="1"/>
  <c r="R27" i="51" a="1"/>
  <c r="R27" i="51" s="1"/>
  <c r="R26" i="51" a="1"/>
  <c r="R26" i="51" s="1"/>
  <c r="R24" i="51" a="1"/>
  <c r="R24" i="51" s="1"/>
  <c r="R23" i="51" a="1"/>
  <c r="R23" i="51" s="1"/>
  <c r="R22" i="51" a="1"/>
  <c r="R22" i="51" s="1"/>
  <c r="R19" i="51" a="1"/>
  <c r="R19" i="51" s="1"/>
  <c r="R18" i="51" a="1"/>
  <c r="R18" i="51" s="1"/>
  <c r="R16" i="51" a="1"/>
  <c r="R16" i="51" s="1"/>
  <c r="R13" i="51" a="1"/>
  <c r="R13" i="51" s="1"/>
  <c r="R12" i="51" a="1"/>
  <c r="R12" i="51" s="1"/>
  <c r="R11" i="51" a="1"/>
  <c r="R11" i="51" s="1"/>
  <c r="Z9" i="51" a="1"/>
  <c r="Z9" i="51" s="1"/>
  <c r="Y9" i="51" a="1"/>
  <c r="Y9" i="51" s="1"/>
  <c r="X9" i="51" a="1"/>
  <c r="X9" i="51" s="1"/>
  <c r="W9" i="51" a="1"/>
  <c r="W9" i="51" s="1"/>
  <c r="R9" i="51" a="1"/>
  <c r="R9" i="51" s="1"/>
  <c r="X7" i="51" a="1"/>
  <c r="X7" i="51" s="1"/>
  <c r="R4" i="51" a="1"/>
  <c r="R4" i="51" s="1"/>
  <c r="R3" i="51" a="1"/>
  <c r="R3" i="51" s="1"/>
  <c r="C3" i="51" a="1"/>
  <c r="C3" i="51" s="1"/>
  <c r="O2" i="51" a="1"/>
  <c r="O2" i="51" s="1"/>
  <c r="M21" i="53" a="1"/>
  <c r="M21" i="53" s="1"/>
  <c r="M20" i="53" a="1"/>
  <c r="M20" i="53" s="1"/>
  <c r="M18" i="53" a="1"/>
  <c r="M18" i="53" s="1"/>
  <c r="G41" i="51" s="1"/>
  <c r="M17" i="53" a="1"/>
  <c r="M17" i="53" s="1"/>
  <c r="E41" i="51" s="1"/>
  <c r="M16" i="53" a="1"/>
  <c r="M16" i="53" s="1"/>
  <c r="M14" i="53" a="1"/>
  <c r="M14" i="53" s="1"/>
  <c r="M13" i="53" a="1"/>
  <c r="M13" i="53" s="1"/>
  <c r="M12" i="53" a="1"/>
  <c r="M12" i="53" s="1"/>
  <c r="M10" i="53" a="1"/>
  <c r="M10" i="53" s="1"/>
  <c r="M9" i="53" a="1"/>
  <c r="M9" i="53" s="1"/>
  <c r="M8" i="53" a="1"/>
  <c r="M8" i="53" s="1"/>
  <c r="M7" i="53" a="1"/>
  <c r="M7" i="53" s="1"/>
  <c r="M6" i="53" a="1"/>
  <c r="M6" i="53" s="1"/>
  <c r="V5" i="53"/>
  <c r="M5" i="53" a="1"/>
  <c r="M5" i="53" s="1"/>
  <c r="L3" i="47"/>
  <c r="H84" i="47" s="1"/>
  <c r="L3" i="46"/>
  <c r="H84" i="46" s="1"/>
  <c r="O127" i="51" l="1"/>
  <c r="AH57" i="58"/>
  <c r="BH105" i="46" a="1"/>
  <c r="BH105" i="46" s="1"/>
  <c r="BH110" i="46" s="1"/>
  <c r="C14" i="46" s="1"/>
  <c r="R32" i="68"/>
  <c r="M32" i="68"/>
  <c r="C101" i="51" s="1"/>
  <c r="AG4" i="51"/>
  <c r="F8" i="51" s="1"/>
  <c r="V6" i="53"/>
  <c r="F50" i="59" s="1"/>
  <c r="F49" i="59"/>
  <c r="L41" i="51"/>
  <c r="L48" i="51"/>
  <c r="M41" i="51"/>
  <c r="M48" i="51"/>
  <c r="C24" i="52"/>
  <c r="BB14" i="52" s="1"/>
  <c r="C25" i="52"/>
  <c r="BB15" i="52" s="1"/>
  <c r="C26" i="52"/>
  <c r="CR25" i="52" s="1"/>
  <c r="C27" i="52"/>
  <c r="CR26" i="52" s="1"/>
  <c r="C28" i="52"/>
  <c r="CR27" i="52" s="1"/>
  <c r="C23" i="52"/>
  <c r="BB13" i="52" s="1"/>
  <c r="CM34" i="52"/>
  <c r="BC18" i="52"/>
  <c r="BN17" i="52"/>
  <c r="BF17" i="52"/>
  <c r="BM16" i="52"/>
  <c r="BC16" i="52"/>
  <c r="BF14" i="52"/>
  <c r="CM19" i="52"/>
  <c r="DN18" i="52"/>
  <c r="BJ18" i="52"/>
  <c r="BI18" i="52"/>
  <c r="BH18" i="52"/>
  <c r="BG18" i="52"/>
  <c r="BF18" i="52"/>
  <c r="BE18" i="52"/>
  <c r="BD18" i="52"/>
  <c r="BM17" i="52"/>
  <c r="BL17" i="52"/>
  <c r="BK17" i="52"/>
  <c r="BJ17" i="52"/>
  <c r="BI17" i="52"/>
  <c r="BH17" i="52"/>
  <c r="BG17" i="52"/>
  <c r="BE17" i="52"/>
  <c r="BD17" i="52"/>
  <c r="BC17" i="52"/>
  <c r="BN16" i="52"/>
  <c r="BL16" i="52"/>
  <c r="BK16" i="52"/>
  <c r="BJ16" i="52"/>
  <c r="BI16" i="52"/>
  <c r="BH16" i="52"/>
  <c r="BG16" i="52"/>
  <c r="BF16" i="52"/>
  <c r="BE16" i="52"/>
  <c r="BD16" i="52"/>
  <c r="CY15" i="52"/>
  <c r="DC15" i="52" s="1"/>
  <c r="BJ15" i="52"/>
  <c r="BI15" i="52"/>
  <c r="BH15" i="52"/>
  <c r="BG15" i="52"/>
  <c r="BF15" i="52"/>
  <c r="BE15" i="52"/>
  <c r="BD15" i="52"/>
  <c r="BC15" i="52"/>
  <c r="BJ14" i="52"/>
  <c r="BI14" i="52"/>
  <c r="BH14" i="52"/>
  <c r="BG14" i="52"/>
  <c r="BE14" i="52"/>
  <c r="BD14" i="52"/>
  <c r="BC14" i="52"/>
  <c r="CY11" i="52"/>
  <c r="DC11" i="52" s="1"/>
  <c r="CR11" i="52"/>
  <c r="W7" i="52" a="1"/>
  <c r="W7" i="52" s="1"/>
  <c r="C6" i="52" s="1"/>
  <c r="DH5" i="52"/>
  <c r="AC8" i="52"/>
  <c r="DH4" i="52"/>
  <c r="T19" i="51"/>
  <c r="BB10" i="46"/>
  <c r="BC10" i="46"/>
  <c r="BA11" i="46"/>
  <c r="BB11" i="46"/>
  <c r="BB8" i="46"/>
  <c r="BA8" i="46"/>
  <c r="BA9" i="46"/>
  <c r="BB9" i="46"/>
  <c r="BC9" i="46"/>
  <c r="BA10" i="46"/>
  <c r="BC11" i="46"/>
  <c r="BC8" i="46"/>
  <c r="M54" i="52" l="1" a="1"/>
  <c r="M54" i="52" s="1"/>
  <c r="M60" i="52" s="1" a="1"/>
  <c r="M60" i="52" s="1"/>
  <c r="M62" i="52" a="1"/>
  <c r="M62" i="52" s="1"/>
  <c r="BH112" i="46"/>
  <c r="C24" i="46" s="1"/>
  <c r="BH109" i="46"/>
  <c r="C9" i="46" s="1"/>
  <c r="BH111" i="46"/>
  <c r="C19" i="46" s="1"/>
  <c r="BI105" i="46"/>
  <c r="BJ105" i="46"/>
  <c r="BJ112" i="46" s="1"/>
  <c r="E24" i="46" s="1"/>
  <c r="M47" i="52" a="1"/>
  <c r="M47" i="52" s="1"/>
  <c r="M59" i="52" s="1" a="1"/>
  <c r="M59" i="52" s="1"/>
  <c r="BW17" i="52"/>
  <c r="I14" i="52"/>
  <c r="AO14" i="52" s="1"/>
  <c r="F3" i="59"/>
  <c r="CR24" i="52"/>
  <c r="CR22" i="52"/>
  <c r="G12" i="52"/>
  <c r="AM12" i="52" s="1"/>
  <c r="C18" i="52"/>
  <c r="AI18" i="52" s="1"/>
  <c r="I15" i="52"/>
  <c r="AO15" i="52" s="1"/>
  <c r="C17" i="52"/>
  <c r="AI17" i="52" s="1"/>
  <c r="G15" i="52"/>
  <c r="AM15" i="52" s="1"/>
  <c r="C16" i="52"/>
  <c r="AI16" i="52" s="1"/>
  <c r="E15" i="52"/>
  <c r="AK15" i="52" s="1"/>
  <c r="C15" i="52"/>
  <c r="AI15" i="52" s="1"/>
  <c r="P10" i="52"/>
  <c r="AT10" i="52" s="1"/>
  <c r="P14" i="52"/>
  <c r="AT14" i="52" s="1"/>
  <c r="N15" i="52"/>
  <c r="AR15" i="52" s="1"/>
  <c r="R14" i="52"/>
  <c r="AV14" i="52" s="1"/>
  <c r="N16" i="52"/>
  <c r="AR16" i="52" s="1"/>
  <c r="T14" i="52"/>
  <c r="AX14" i="52" s="1"/>
  <c r="P15" i="52"/>
  <c r="AT15" i="52" s="1"/>
  <c r="R15" i="52"/>
  <c r="AV15" i="52" s="1"/>
  <c r="N10" i="52"/>
  <c r="AR10" i="52" s="1"/>
  <c r="R11" i="52"/>
  <c r="AV11" i="52" s="1"/>
  <c r="P16" i="52"/>
  <c r="AT16" i="52" s="1"/>
  <c r="R17" i="52"/>
  <c r="AV17" i="52" s="1"/>
  <c r="R10" i="52"/>
  <c r="AV10" i="52" s="1"/>
  <c r="P11" i="52"/>
  <c r="AT11" i="52" s="1"/>
  <c r="U11" i="52"/>
  <c r="R12" i="52"/>
  <c r="AV12" i="52" s="1"/>
  <c r="P18" i="52"/>
  <c r="AT18" i="52" s="1"/>
  <c r="N12" i="52"/>
  <c r="AR12" i="52" s="1"/>
  <c r="T10" i="52"/>
  <c r="AX10" i="52" s="1"/>
  <c r="N17" i="52"/>
  <c r="AR17" i="52" s="1"/>
  <c r="O11" i="52"/>
  <c r="N18" i="52"/>
  <c r="AR18" i="52" s="1"/>
  <c r="R16" i="52"/>
  <c r="AV16" i="52" s="1"/>
  <c r="P12" i="52"/>
  <c r="AT12" i="52" s="1"/>
  <c r="N13" i="52"/>
  <c r="AR13" i="52" s="1"/>
  <c r="Q11" i="52"/>
  <c r="T15" i="52"/>
  <c r="AX15" i="52" s="1"/>
  <c r="S11" i="52"/>
  <c r="T16" i="52"/>
  <c r="AX16" i="52" s="1"/>
  <c r="T12" i="52"/>
  <c r="AX12" i="52" s="1"/>
  <c r="P17" i="52"/>
  <c r="AT17" i="52" s="1"/>
  <c r="T13" i="52"/>
  <c r="AX13" i="52" s="1"/>
  <c r="T11" i="52"/>
  <c r="AX11" i="52" s="1"/>
  <c r="N11" i="52"/>
  <c r="AR11" i="52" s="1"/>
  <c r="R13" i="52"/>
  <c r="AV13" i="52" s="1"/>
  <c r="P13" i="52"/>
  <c r="AT13" i="52" s="1"/>
  <c r="N14" i="52"/>
  <c r="AR14" i="52" s="1"/>
  <c r="C14" i="52"/>
  <c r="AI14" i="52" s="1"/>
  <c r="G14" i="52"/>
  <c r="AM14" i="52" s="1"/>
  <c r="C13" i="52"/>
  <c r="AI13" i="52" s="1"/>
  <c r="E14" i="52"/>
  <c r="AK14" i="52" s="1"/>
  <c r="C10" i="52"/>
  <c r="AI10" i="52" s="1"/>
  <c r="I13" i="52"/>
  <c r="AO13" i="52" s="1"/>
  <c r="I10" i="52"/>
  <c r="AO10" i="52" s="1"/>
  <c r="G13" i="52"/>
  <c r="AM13" i="52" s="1"/>
  <c r="G10" i="52"/>
  <c r="AM10" i="52" s="1"/>
  <c r="E13" i="52"/>
  <c r="AK13" i="52" s="1"/>
  <c r="BL14" i="52" a="1"/>
  <c r="BL14" i="52" s="1"/>
  <c r="E10" i="52"/>
  <c r="AK10" i="52" s="1"/>
  <c r="I12" i="52"/>
  <c r="AO12" i="52" s="1"/>
  <c r="G17" i="52"/>
  <c r="AM17" i="52" s="1"/>
  <c r="E12" i="52"/>
  <c r="AK12" i="52" s="1"/>
  <c r="E17" i="52"/>
  <c r="AK17" i="52" s="1"/>
  <c r="E18" i="52"/>
  <c r="AK18" i="52" s="1"/>
  <c r="BK15" i="52" a="1"/>
  <c r="BK15" i="52" s="1"/>
  <c r="I16" i="52"/>
  <c r="AO16" i="52" s="1"/>
  <c r="G16" i="52"/>
  <c r="AM16" i="52" s="1"/>
  <c r="C12" i="52"/>
  <c r="AI12" i="52" s="1"/>
  <c r="E16" i="52"/>
  <c r="AK16" i="52" s="1"/>
  <c r="CR23" i="52"/>
  <c r="AC11" i="52"/>
  <c r="DG5" i="52"/>
  <c r="CT20" i="52"/>
  <c r="AD2" i="51"/>
  <c r="M64" i="52"/>
  <c r="M53" i="52" a="1"/>
  <c r="M53" i="52" s="1"/>
  <c r="M63" i="52"/>
  <c r="M43" i="52" a="1"/>
  <c r="M43" i="52" s="1"/>
  <c r="J11" i="52"/>
  <c r="M46" i="52" a="1"/>
  <c r="M46" i="52" s="1"/>
  <c r="DN35" i="52"/>
  <c r="DN37" i="52" s="1"/>
  <c r="I11" i="52"/>
  <c r="AO11" i="52" s="1"/>
  <c r="BY17" i="52"/>
  <c r="H11" i="52"/>
  <c r="M49" i="52" a="1"/>
  <c r="M49" i="52" s="1"/>
  <c r="G11" i="52"/>
  <c r="AM11" i="52" s="1"/>
  <c r="M52" i="52" a="1"/>
  <c r="M52" i="52" s="1"/>
  <c r="DI35" i="52"/>
  <c r="O35" i="52"/>
  <c r="F11" i="52"/>
  <c r="M42" i="52" a="1"/>
  <c r="M42" i="52" s="1"/>
  <c r="N35" i="52"/>
  <c r="N37" i="52" s="1"/>
  <c r="F36" i="61" s="1"/>
  <c r="E11" i="52"/>
  <c r="AK11" i="52" s="1"/>
  <c r="BD3" i="52"/>
  <c r="M45" i="52" a="1"/>
  <c r="M45" i="52" s="1"/>
  <c r="M35" i="52"/>
  <c r="M37" i="52" s="1"/>
  <c r="AA13" i="61" s="1"/>
  <c r="D11" i="52"/>
  <c r="D57" i="52"/>
  <c r="CM35" i="52" a="1"/>
  <c r="CM35" i="52" s="1"/>
  <c r="C11" i="52"/>
  <c r="AI11" i="52" s="1"/>
  <c r="M50" i="52" a="1"/>
  <c r="M50" i="52" s="1"/>
  <c r="M48" i="52" a="1"/>
  <c r="M48" i="52" s="1"/>
  <c r="N48" i="52" s="1"/>
  <c r="M51" i="52" a="1"/>
  <c r="M51" i="52" s="1"/>
  <c r="CL35" i="52" a="1"/>
  <c r="CL35" i="52" s="1"/>
  <c r="CL37" i="52" s="1"/>
  <c r="J35" i="52"/>
  <c r="M44" i="52" a="1"/>
  <c r="M44" i="52" s="1"/>
  <c r="M41" i="52" a="1"/>
  <c r="M41" i="52" s="1"/>
  <c r="BL18" i="52" a="1"/>
  <c r="BL18" i="52" s="1"/>
  <c r="BK18" i="52" a="1"/>
  <c r="BK18" i="52" s="1"/>
  <c r="BL15" i="52" a="1"/>
  <c r="BL15" i="52" s="1"/>
  <c r="BK14" i="52" a="1"/>
  <c r="BK14" i="52" s="1"/>
  <c r="DC35" i="52"/>
  <c r="AC7" i="52"/>
  <c r="O62" i="49"/>
  <c r="P47" i="49" a="1"/>
  <c r="S47" i="49" s="1"/>
  <c r="P43" i="49" a="1"/>
  <c r="Q43" i="49" s="1"/>
  <c r="R43" i="49" s="1"/>
  <c r="P36" i="49" a="1"/>
  <c r="P36" i="49" s="1"/>
  <c r="P28" i="49" a="1"/>
  <c r="P28" i="49" s="1"/>
  <c r="T24" i="49"/>
  <c r="P20" i="49" a="1"/>
  <c r="P20" i="49" s="1"/>
  <c r="I11" i="49"/>
  <c r="I26" i="49" s="1"/>
  <c r="I10" i="49"/>
  <c r="I16" i="49" s="1"/>
  <c r="E18" i="49" s="1" a="1"/>
  <c r="E18" i="49" s="1"/>
  <c r="I9" i="49"/>
  <c r="I8" i="49"/>
  <c r="O31" i="48"/>
  <c r="N31" i="48"/>
  <c r="M31" i="48"/>
  <c r="L31" i="48"/>
  <c r="O30" i="48"/>
  <c r="N30" i="48"/>
  <c r="M30" i="48"/>
  <c r="L30" i="48"/>
  <c r="O29" i="48"/>
  <c r="N29" i="48"/>
  <c r="M29" i="48"/>
  <c r="L29" i="48"/>
  <c r="O28" i="48"/>
  <c r="N28" i="48"/>
  <c r="M28" i="48"/>
  <c r="L28" i="48"/>
  <c r="O27" i="48"/>
  <c r="N27" i="48"/>
  <c r="M27" i="48"/>
  <c r="L27" i="48"/>
  <c r="O26" i="48"/>
  <c r="N26" i="48"/>
  <c r="M26" i="48"/>
  <c r="L26" i="48"/>
  <c r="O25" i="48"/>
  <c r="N25" i="48"/>
  <c r="M25" i="48"/>
  <c r="L25" i="48"/>
  <c r="O24" i="48"/>
  <c r="N24" i="48"/>
  <c r="M24" i="48"/>
  <c r="L24" i="48"/>
  <c r="O23" i="48"/>
  <c r="N23" i="48"/>
  <c r="M23" i="48"/>
  <c r="L23" i="48"/>
  <c r="AP11" i="48"/>
  <c r="AO11" i="48"/>
  <c r="AN11" i="48"/>
  <c r="AM11" i="48"/>
  <c r="AL11" i="48"/>
  <c r="AK11" i="48"/>
  <c r="AJ11" i="48"/>
  <c r="AI11" i="48"/>
  <c r="AP10" i="48"/>
  <c r="AO10" i="48"/>
  <c r="AN10" i="48"/>
  <c r="AM10" i="48"/>
  <c r="AL10" i="48"/>
  <c r="AK10" i="48"/>
  <c r="AJ10" i="48"/>
  <c r="AI10" i="48"/>
  <c r="AP9" i="48"/>
  <c r="AO9" i="48"/>
  <c r="AN9" i="48"/>
  <c r="AM9" i="48"/>
  <c r="AL9" i="48"/>
  <c r="AK9" i="48"/>
  <c r="AJ9" i="48"/>
  <c r="AI9" i="48"/>
  <c r="AP8" i="48"/>
  <c r="AO8" i="48"/>
  <c r="AN8" i="48"/>
  <c r="AM8" i="48"/>
  <c r="AL8" i="48"/>
  <c r="AK8" i="48"/>
  <c r="AJ8" i="48"/>
  <c r="AI8" i="48"/>
  <c r="AP7" i="48"/>
  <c r="AO7" i="48"/>
  <c r="AN7" i="48"/>
  <c r="AM7" i="48"/>
  <c r="AL7" i="48"/>
  <c r="AK7" i="48"/>
  <c r="AJ7" i="48"/>
  <c r="AI7" i="48"/>
  <c r="AP6" i="48"/>
  <c r="AO6" i="48"/>
  <c r="AN6" i="48"/>
  <c r="AM6" i="48"/>
  <c r="AL6" i="48"/>
  <c r="AK6" i="48"/>
  <c r="AJ6" i="48"/>
  <c r="AI6" i="48"/>
  <c r="R77" i="47" a="1"/>
  <c r="S77" i="47" s="1"/>
  <c r="H77" i="47" a="1"/>
  <c r="H77" i="47" s="1"/>
  <c r="R76" i="47" a="1"/>
  <c r="S76" i="47" s="1"/>
  <c r="H76" i="47" a="1"/>
  <c r="H76" i="47" s="1"/>
  <c r="R75" i="47" a="1"/>
  <c r="T75" i="47" s="1"/>
  <c r="H75" i="47" a="1"/>
  <c r="J75" i="47" s="1"/>
  <c r="R72" i="47" a="1"/>
  <c r="S72" i="47" s="1"/>
  <c r="H72" i="47" a="1"/>
  <c r="I72" i="47" s="1"/>
  <c r="R71" i="47" a="1"/>
  <c r="S71" i="47" s="1"/>
  <c r="H71" i="47" a="1"/>
  <c r="I71" i="47" s="1"/>
  <c r="R70" i="47" a="1"/>
  <c r="S70" i="47" s="1"/>
  <c r="H70" i="47" a="1"/>
  <c r="J70" i="47" s="1"/>
  <c r="R67" i="47" a="1"/>
  <c r="S67" i="47" s="1"/>
  <c r="H67" i="47" a="1"/>
  <c r="I67" i="47" s="1"/>
  <c r="R66" i="47" a="1"/>
  <c r="R66" i="47" s="1"/>
  <c r="H66" i="47" a="1"/>
  <c r="I66" i="47" s="1"/>
  <c r="R65" i="47" a="1"/>
  <c r="S65" i="47" s="1"/>
  <c r="H65" i="47" a="1"/>
  <c r="J65" i="47" s="1"/>
  <c r="R62" i="47" a="1"/>
  <c r="S62" i="47" s="1"/>
  <c r="H62" i="47" a="1"/>
  <c r="I62" i="47" s="1"/>
  <c r="R61" i="47" a="1"/>
  <c r="S61" i="47" s="1"/>
  <c r="H61" i="47" a="1"/>
  <c r="I61" i="47" s="1"/>
  <c r="R60" i="47" a="1"/>
  <c r="T60" i="47" s="1"/>
  <c r="H60" i="47" a="1"/>
  <c r="J60" i="47" s="1"/>
  <c r="X51" i="47" a="1"/>
  <c r="Z51" i="47" s="1"/>
  <c r="X37" i="47"/>
  <c r="W37" i="47"/>
  <c r="V37" i="47"/>
  <c r="X36" i="47"/>
  <c r="W36" i="47"/>
  <c r="V36" i="47"/>
  <c r="X35" i="47"/>
  <c r="W35" i="47"/>
  <c r="V35" i="47"/>
  <c r="X34" i="47"/>
  <c r="W34" i="47"/>
  <c r="V34" i="47"/>
  <c r="AD12" i="47"/>
  <c r="AB12" i="47"/>
  <c r="AF11" i="47"/>
  <c r="AD11" i="47"/>
  <c r="AB11" i="47"/>
  <c r="AH10" i="47"/>
  <c r="AF10" i="47"/>
  <c r="AD10" i="47"/>
  <c r="AB10" i="47"/>
  <c r="AH9" i="47"/>
  <c r="AF9" i="47"/>
  <c r="AD9" i="47"/>
  <c r="AB9" i="47"/>
  <c r="AH8" i="47"/>
  <c r="AF8" i="47"/>
  <c r="AD8" i="47"/>
  <c r="AB8" i="47"/>
  <c r="AH7" i="47"/>
  <c r="AF7" i="47"/>
  <c r="AD7" i="47"/>
  <c r="AB7" i="47"/>
  <c r="AH6" i="47"/>
  <c r="AF6" i="47"/>
  <c r="AD6" i="47"/>
  <c r="AB6" i="47"/>
  <c r="R77" i="46" a="1"/>
  <c r="S77" i="46" s="1"/>
  <c r="H77" i="46" a="1"/>
  <c r="I77" i="46" s="1"/>
  <c r="R76" i="46" a="1"/>
  <c r="R76" i="46" s="1"/>
  <c r="H76" i="46" a="1"/>
  <c r="I76" i="46" s="1"/>
  <c r="R75" i="46" a="1"/>
  <c r="T75" i="46" s="1"/>
  <c r="H75" i="46" a="1"/>
  <c r="J75" i="46" s="1"/>
  <c r="R72" i="46" a="1"/>
  <c r="S72" i="46" s="1"/>
  <c r="H72" i="46" a="1"/>
  <c r="I72" i="46" s="1"/>
  <c r="R71" i="46" a="1"/>
  <c r="S71" i="46" s="1"/>
  <c r="H71" i="46" a="1"/>
  <c r="I71" i="46" s="1"/>
  <c r="R70" i="46" a="1"/>
  <c r="R70" i="46" s="1"/>
  <c r="H70" i="46" a="1"/>
  <c r="J70" i="46" s="1"/>
  <c r="R67" i="46" a="1"/>
  <c r="S67" i="46" s="1"/>
  <c r="H67" i="46" a="1"/>
  <c r="H67" i="46" s="1"/>
  <c r="R66" i="46" a="1"/>
  <c r="S66" i="46" s="1"/>
  <c r="H66" i="46" a="1"/>
  <c r="I66" i="46" s="1"/>
  <c r="R65" i="46" a="1"/>
  <c r="T65" i="46" s="1"/>
  <c r="H65" i="46" a="1"/>
  <c r="I65" i="46" s="1"/>
  <c r="R62" i="46" a="1"/>
  <c r="S62" i="46" s="1"/>
  <c r="H62" i="46" a="1"/>
  <c r="I62" i="46" s="1"/>
  <c r="R61" i="46" a="1"/>
  <c r="S61" i="46" s="1"/>
  <c r="H61" i="46" a="1"/>
  <c r="I61" i="46" s="1"/>
  <c r="R60" i="46" a="1"/>
  <c r="T60" i="46" s="1"/>
  <c r="H60" i="46" a="1"/>
  <c r="J60" i="46" s="1"/>
  <c r="X52" i="46" a="1"/>
  <c r="Z52" i="46" s="1"/>
  <c r="BC17" i="46"/>
  <c r="N50" i="52" l="1"/>
  <c r="N49" i="52"/>
  <c r="N53" i="52"/>
  <c r="N51" i="52"/>
  <c r="N52" i="52"/>
  <c r="BJ109" i="46"/>
  <c r="E9" i="46" s="1"/>
  <c r="X34" i="46" s="1"/>
  <c r="BJ111" i="46"/>
  <c r="E19" i="46" s="1"/>
  <c r="BJ110" i="46"/>
  <c r="E14" i="46" s="1"/>
  <c r="BI110" i="46"/>
  <c r="D14" i="46" s="1"/>
  <c r="BI109" i="46"/>
  <c r="D9" i="46" s="1"/>
  <c r="BI111" i="46"/>
  <c r="D19" i="46" s="1"/>
  <c r="BI112" i="46"/>
  <c r="D24" i="46" s="1"/>
  <c r="AK6" i="52"/>
  <c r="AK5" i="52"/>
  <c r="N44" i="52"/>
  <c r="N43" i="52"/>
  <c r="N41" i="52"/>
  <c r="N46" i="52"/>
  <c r="N45" i="52"/>
  <c r="N42" i="52"/>
  <c r="O37" i="52"/>
  <c r="BD4" i="52"/>
  <c r="F63" i="51" s="1" a="1"/>
  <c r="F63" i="51" s="1"/>
  <c r="F6" i="51" a="1"/>
  <c r="F6" i="51" s="1"/>
  <c r="AP23" i="48"/>
  <c r="AP24" i="48" s="1"/>
  <c r="J50" i="48" s="1"/>
  <c r="AN23" i="48"/>
  <c r="AN24" i="48" s="1"/>
  <c r="H50" i="48" s="1"/>
  <c r="AO23" i="48"/>
  <c r="AO24" i="48" s="1"/>
  <c r="I50" i="48" s="1"/>
  <c r="AJ23" i="48"/>
  <c r="AJ24" i="48" s="1"/>
  <c r="D50" i="48" s="1"/>
  <c r="AK23" i="48"/>
  <c r="AK24" i="48" s="1"/>
  <c r="E50" i="48" s="1"/>
  <c r="AL23" i="48"/>
  <c r="AL24" i="48" s="1"/>
  <c r="F50" i="48" s="1"/>
  <c r="AM23" i="48"/>
  <c r="AM24" i="48" s="1"/>
  <c r="G50" i="48" s="1"/>
  <c r="AI23" i="48"/>
  <c r="AI24" i="48" s="1"/>
  <c r="C50" i="48" s="1"/>
  <c r="P24" i="48"/>
  <c r="P28" i="48"/>
  <c r="P31" i="48"/>
  <c r="P23" i="48"/>
  <c r="P27" i="48"/>
  <c r="P29" i="48"/>
  <c r="P26" i="48"/>
  <c r="BN14" i="52"/>
  <c r="BM14" i="52"/>
  <c r="CM37" i="52" a="1"/>
  <c r="CM37" i="52" s="1"/>
  <c r="P25" i="48"/>
  <c r="P30" i="48"/>
  <c r="Q47" i="49"/>
  <c r="BA18" i="46"/>
  <c r="V35" i="46" s="1"/>
  <c r="I77" i="47"/>
  <c r="R67" i="47"/>
  <c r="R70" i="47"/>
  <c r="T70" i="47"/>
  <c r="R77" i="47"/>
  <c r="AB35" i="47"/>
  <c r="T65" i="47"/>
  <c r="AB37" i="47"/>
  <c r="AB34" i="47"/>
  <c r="S66" i="47"/>
  <c r="AB36" i="47"/>
  <c r="S75" i="47"/>
  <c r="H67" i="47"/>
  <c r="I76" i="47"/>
  <c r="I60" i="47"/>
  <c r="R76" i="47"/>
  <c r="H70" i="47"/>
  <c r="S70" i="46"/>
  <c r="R77" i="46"/>
  <c r="R71" i="46"/>
  <c r="R72" i="46"/>
  <c r="S65" i="46"/>
  <c r="S75" i="46"/>
  <c r="S76" i="46"/>
  <c r="R66" i="46"/>
  <c r="R67" i="46"/>
  <c r="H77" i="46"/>
  <c r="H76" i="46"/>
  <c r="H70" i="46"/>
  <c r="I70" i="46"/>
  <c r="I67" i="46"/>
  <c r="H66" i="46"/>
  <c r="H65" i="46"/>
  <c r="J65" i="46"/>
  <c r="H60" i="46"/>
  <c r="H62" i="46"/>
  <c r="H61" i="46"/>
  <c r="BN15" i="52"/>
  <c r="BM15" i="52"/>
  <c r="H43" i="51"/>
  <c r="F43" i="51"/>
  <c r="N50" i="51"/>
  <c r="M11" i="52"/>
  <c r="DB14" i="52"/>
  <c r="AC13" i="52"/>
  <c r="AC10" i="52"/>
  <c r="B11" i="52"/>
  <c r="AD15" i="52"/>
  <c r="G43" i="51" s="1"/>
  <c r="G33" i="51" s="1"/>
  <c r="AC15" i="52"/>
  <c r="E43" i="51" s="1"/>
  <c r="CT19" i="52"/>
  <c r="DB10" i="52"/>
  <c r="DG4" i="52"/>
  <c r="B2" i="62" s="1"/>
  <c r="BN18" i="52"/>
  <c r="BM18" i="52"/>
  <c r="E25" i="49"/>
  <c r="BB18" i="46"/>
  <c r="T70" i="46"/>
  <c r="H61" i="47"/>
  <c r="H65" i="47"/>
  <c r="R72" i="47"/>
  <c r="BC18" i="46"/>
  <c r="I65" i="47"/>
  <c r="R61" i="46"/>
  <c r="H71" i="46"/>
  <c r="H75" i="46"/>
  <c r="R65" i="46"/>
  <c r="I75" i="46"/>
  <c r="R61" i="47"/>
  <c r="H71" i="47"/>
  <c r="H75" i="47"/>
  <c r="P43" i="49"/>
  <c r="R65" i="47"/>
  <c r="I75" i="47"/>
  <c r="BA19" i="46"/>
  <c r="I60" i="46"/>
  <c r="X51" i="47"/>
  <c r="H60" i="47"/>
  <c r="BB19" i="46"/>
  <c r="Y51" i="47"/>
  <c r="BC19" i="46"/>
  <c r="R75" i="46"/>
  <c r="H62" i="47"/>
  <c r="R71" i="47"/>
  <c r="BA20" i="46"/>
  <c r="X52" i="46"/>
  <c r="R75" i="47"/>
  <c r="P47" i="49"/>
  <c r="BA17" i="46"/>
  <c r="BB20" i="46"/>
  <c r="Y52" i="46"/>
  <c r="R60" i="46"/>
  <c r="H66" i="47"/>
  <c r="BB17" i="46"/>
  <c r="BC20" i="46"/>
  <c r="X37" i="46" s="1"/>
  <c r="S60" i="46"/>
  <c r="R62" i="46"/>
  <c r="H72" i="46"/>
  <c r="R60" i="47"/>
  <c r="I70" i="47"/>
  <c r="R47" i="49"/>
  <c r="S60" i="47"/>
  <c r="R62" i="47"/>
  <c r="H72" i="47"/>
  <c r="X36" i="46" l="1"/>
  <c r="X35" i="46"/>
  <c r="B3" i="62"/>
  <c r="E4" i="62"/>
  <c r="B28" i="62"/>
  <c r="B30" i="62" s="1"/>
  <c r="D4" i="62"/>
  <c r="J3" i="47"/>
  <c r="BG23" i="47" s="1"/>
  <c r="E5" i="48"/>
  <c r="E33" i="51"/>
  <c r="DJ11" i="52"/>
  <c r="DK11" i="52" s="1"/>
  <c r="DJ13" i="52"/>
  <c r="DK13" i="52" s="1"/>
  <c r="DJ14" i="52"/>
  <c r="DK14" i="52" s="1"/>
  <c r="DJ12" i="52"/>
  <c r="DK12" i="52" s="1"/>
  <c r="DJ10" i="52"/>
  <c r="DK10" i="52" s="1"/>
  <c r="DK4" i="52" s="1" a="1"/>
  <c r="DK4" i="52" s="1"/>
  <c r="AN11" i="52"/>
  <c r="H42" i="51"/>
  <c r="F42" i="51"/>
  <c r="G52" i="59" s="1"/>
  <c r="AL11" i="52"/>
  <c r="AJ11" i="52"/>
  <c r="AY11" i="52"/>
  <c r="AP11" i="52"/>
  <c r="AW11" i="52"/>
  <c r="AU11" i="52"/>
  <c r="N49" i="51"/>
  <c r="AS11" i="52"/>
  <c r="T12" i="51"/>
  <c r="C7" i="60" s="1"/>
  <c r="CX15" i="52"/>
  <c r="CS16" i="52"/>
  <c r="AO36" i="47" s="1"/>
  <c r="V36" i="46"/>
  <c r="AD8" i="46"/>
  <c r="F14" i="52" s="1"/>
  <c r="AL14" i="52" s="1"/>
  <c r="AD9" i="46"/>
  <c r="F15" i="52" s="1"/>
  <c r="AL15" i="52" s="1"/>
  <c r="AD7" i="46"/>
  <c r="F13" i="52" s="1"/>
  <c r="AL13" i="52" s="1"/>
  <c r="AD11" i="46"/>
  <c r="F17" i="52" s="1"/>
  <c r="AL17" i="52" s="1"/>
  <c r="W35" i="46"/>
  <c r="AD10" i="46"/>
  <c r="F16" i="52" s="1"/>
  <c r="AL16" i="52" s="1"/>
  <c r="AD6" i="46"/>
  <c r="AD12" i="46"/>
  <c r="F18" i="52" s="1"/>
  <c r="AL18" i="52" s="1"/>
  <c r="AB11" i="46"/>
  <c r="D17" i="52" s="1"/>
  <c r="AB8" i="46"/>
  <c r="D14" i="52" s="1"/>
  <c r="AB9" i="46"/>
  <c r="D15" i="52" s="1"/>
  <c r="AB7" i="46"/>
  <c r="D13" i="52" s="1"/>
  <c r="W34" i="46"/>
  <c r="AB10" i="46"/>
  <c r="D16" i="52" s="1"/>
  <c r="AB6" i="46"/>
  <c r="AB12" i="46"/>
  <c r="D18" i="52" s="1"/>
  <c r="AH9" i="46"/>
  <c r="J15" i="52" s="1"/>
  <c r="AP15" i="52" s="1"/>
  <c r="AH7" i="46"/>
  <c r="J13" i="52" s="1"/>
  <c r="AP13" i="52" s="1"/>
  <c r="W37" i="46"/>
  <c r="AH10" i="46"/>
  <c r="J16" i="52" s="1"/>
  <c r="AP16" i="52" s="1"/>
  <c r="AH6" i="46"/>
  <c r="AH8" i="46"/>
  <c r="J14" i="52" s="1"/>
  <c r="AP14" i="52" s="1"/>
  <c r="AF9" i="46"/>
  <c r="H15" i="52" s="1"/>
  <c r="AN15" i="52" s="1"/>
  <c r="W36" i="46"/>
  <c r="AF7" i="46"/>
  <c r="H13" i="52" s="1"/>
  <c r="AN13" i="52" s="1"/>
  <c r="AF10" i="46"/>
  <c r="H16" i="52" s="1"/>
  <c r="AN16" i="52" s="1"/>
  <c r="AF6" i="46"/>
  <c r="AF8" i="46"/>
  <c r="H14" i="52" s="1"/>
  <c r="AN14" i="52" s="1"/>
  <c r="AF11" i="46"/>
  <c r="H17" i="52" s="1"/>
  <c r="AN17" i="52" s="1"/>
  <c r="V34" i="46"/>
  <c r="V37" i="46"/>
  <c r="F52" i="19"/>
  <c r="C25" i="15" a="1"/>
  <c r="C25" i="15" s="1"/>
  <c r="C24" i="15" a="1"/>
  <c r="C24" i="15" s="1"/>
  <c r="C23" i="15" a="1"/>
  <c r="C23" i="15" s="1"/>
  <c r="C20" i="15" a="1"/>
  <c r="C20" i="15" s="1"/>
  <c r="C19" i="15" a="1"/>
  <c r="C19" i="15" s="1"/>
  <c r="C18" i="15" a="1"/>
  <c r="C18" i="15" s="1"/>
  <c r="C17" i="15" a="1"/>
  <c r="C17" i="15" s="1"/>
  <c r="C14" i="15" a="1"/>
  <c r="C14" i="15" s="1"/>
  <c r="C13" i="15" a="1"/>
  <c r="C13" i="15" s="1"/>
  <c r="C12" i="15" a="1"/>
  <c r="C12" i="15" s="1"/>
  <c r="C11" i="15" a="1"/>
  <c r="C11" i="15" s="1"/>
  <c r="C8" i="15" a="1"/>
  <c r="C8" i="15" s="1"/>
  <c r="C7" i="15" a="1"/>
  <c r="C7" i="15" s="1"/>
  <c r="B33" i="35" a="1"/>
  <c r="B33" i="35" s="1"/>
  <c r="B32" i="35" a="1"/>
  <c r="B32" i="35" s="1"/>
  <c r="H100" i="2" a="1"/>
  <c r="H100" i="2" s="1"/>
  <c r="H99" i="2" a="1"/>
  <c r="H99" i="2" s="1"/>
  <c r="C99" i="2" a="1"/>
  <c r="C99" i="2" s="1"/>
  <c r="H98" i="2" a="1"/>
  <c r="H98" i="2" s="1"/>
  <c r="H97" i="2" a="1"/>
  <c r="H97" i="2" s="1"/>
  <c r="H96" i="2" a="1"/>
  <c r="H96" i="2" s="1"/>
  <c r="H95" i="2" a="1"/>
  <c r="H95" i="2" s="1"/>
  <c r="H94" i="2" a="1"/>
  <c r="H94" i="2" s="1"/>
  <c r="H92" i="2" a="1"/>
  <c r="H92" i="2" s="1"/>
  <c r="C92" i="2" a="1"/>
  <c r="C92" i="2" s="1"/>
  <c r="H91" i="2" a="1"/>
  <c r="H91" i="2" s="1"/>
  <c r="C91" i="2" a="1"/>
  <c r="C91" i="2" s="1"/>
  <c r="H90" i="2" a="1"/>
  <c r="H90" i="2" s="1"/>
  <c r="H89" i="2" a="1"/>
  <c r="H89" i="2" s="1"/>
  <c r="C89" i="2" a="1"/>
  <c r="C89" i="2" s="1"/>
  <c r="H88" i="2" a="1"/>
  <c r="H88" i="2" s="1"/>
  <c r="C88" i="2" a="1"/>
  <c r="C88" i="2" s="1"/>
  <c r="H87" i="2" a="1"/>
  <c r="H87" i="2" s="1"/>
  <c r="C87" i="2" a="1"/>
  <c r="C87" i="2" s="1"/>
  <c r="H86" i="2" a="1"/>
  <c r="H86" i="2" s="1"/>
  <c r="C86" i="2" a="1"/>
  <c r="C86" i="2" s="1"/>
  <c r="C85" i="2" a="1"/>
  <c r="C85" i="2" s="1"/>
  <c r="C84" i="2" a="1"/>
  <c r="C84" i="2" s="1"/>
  <c r="C82" i="2" a="1"/>
  <c r="C82" i="2" s="1"/>
  <c r="R73" i="2" a="1"/>
  <c r="R73" i="2" s="1"/>
  <c r="C78" i="2" a="1"/>
  <c r="C78" i="2" s="1"/>
  <c r="R71" i="2" a="1"/>
  <c r="R71" i="2" s="1"/>
  <c r="C76" i="2" a="1"/>
  <c r="C76" i="2" s="1"/>
  <c r="R70" i="2" a="1"/>
  <c r="R70" i="2" s="1"/>
  <c r="C75" i="2" a="1"/>
  <c r="C75" i="2" s="1"/>
  <c r="C74" i="2" a="1"/>
  <c r="C74" i="2" s="1"/>
  <c r="G73" i="2" a="1"/>
  <c r="G73" i="2" s="1"/>
  <c r="C73" i="2" a="1"/>
  <c r="C73" i="2" s="1"/>
  <c r="C72" i="2" a="1"/>
  <c r="C72" i="2" s="1"/>
  <c r="G71" i="2" a="1"/>
  <c r="G71" i="2" s="1"/>
  <c r="C71" i="2" a="1"/>
  <c r="C71" i="2" s="1"/>
  <c r="C70" i="2" a="1"/>
  <c r="C70" i="2" s="1"/>
  <c r="C69" i="2" a="1"/>
  <c r="C69" i="2" s="1"/>
  <c r="C68" i="2" a="1"/>
  <c r="C68" i="2" s="1"/>
  <c r="C67" i="2" a="1"/>
  <c r="C67" i="2" s="1"/>
  <c r="M66" i="2" a="1"/>
  <c r="M66" i="2" s="1"/>
  <c r="L66" i="2" a="1"/>
  <c r="L66" i="2" s="1"/>
  <c r="C66" i="2" a="1"/>
  <c r="C66" i="2" s="1"/>
  <c r="C64" i="2" a="1"/>
  <c r="C64" i="2" s="1"/>
  <c r="C63" i="2" a="1"/>
  <c r="C63" i="2" s="1"/>
  <c r="C62" i="2" a="1"/>
  <c r="C62" i="2" s="1"/>
  <c r="D60" i="2" a="1"/>
  <c r="D60" i="2" s="1"/>
  <c r="W61" i="2" a="1"/>
  <c r="W61" i="2" s="1"/>
  <c r="C59" i="2" a="1"/>
  <c r="C59" i="2" s="1"/>
  <c r="W59" i="2" a="1"/>
  <c r="W59" i="2" s="1"/>
  <c r="W57" i="2" a="1"/>
  <c r="W57" i="2" s="1"/>
  <c r="C56" i="2" a="1"/>
  <c r="C56" i="2" s="1"/>
  <c r="Z55" i="2" a="1"/>
  <c r="Z55" i="2" s="1"/>
  <c r="C55" i="2" a="1"/>
  <c r="C55" i="2" s="1"/>
  <c r="C54" i="2" a="1"/>
  <c r="C54" i="2" s="1"/>
  <c r="C53" i="2" a="1"/>
  <c r="C53" i="2" s="1"/>
  <c r="D51" i="2" a="1"/>
  <c r="D51" i="2" s="1"/>
  <c r="C51" i="2" a="1"/>
  <c r="C51" i="2" s="1"/>
  <c r="C50" i="2" a="1"/>
  <c r="C50" i="2" s="1"/>
  <c r="C48" i="2" a="1"/>
  <c r="C48" i="2" s="1"/>
  <c r="J47" i="2" a="1"/>
  <c r="J47" i="2" s="1"/>
  <c r="J46" i="2" a="1"/>
  <c r="J46" i="2" s="1"/>
  <c r="C46" i="2" a="1"/>
  <c r="C46" i="2" s="1"/>
  <c r="C45" i="2" a="1"/>
  <c r="C45" i="2" s="1"/>
  <c r="J44" i="2" a="1"/>
  <c r="J44" i="2" s="1"/>
  <c r="C43" i="2" a="1"/>
  <c r="C43" i="2" s="1"/>
  <c r="J42" i="2" a="1"/>
  <c r="J42" i="2" s="1"/>
  <c r="C42" i="2" a="1"/>
  <c r="C42" i="2" s="1"/>
  <c r="G41" i="2" a="1"/>
  <c r="G41" i="2" s="1"/>
  <c r="E41" i="2" a="1"/>
  <c r="E41" i="2" s="1"/>
  <c r="J40" i="2" a="1"/>
  <c r="J40" i="2" s="1"/>
  <c r="J39" i="2" a="1"/>
  <c r="J39" i="2" s="1"/>
  <c r="C39" i="2" a="1"/>
  <c r="C39" i="2" s="1"/>
  <c r="C37" i="2" a="1"/>
  <c r="C37" i="2" s="1"/>
  <c r="J36" i="2" a="1"/>
  <c r="J36" i="2" s="1"/>
  <c r="R35" i="2" a="1"/>
  <c r="R35" i="2" s="1"/>
  <c r="J35" i="2" a="1"/>
  <c r="J35" i="2" s="1"/>
  <c r="C35" i="2" a="1"/>
  <c r="C35" i="2" s="1"/>
  <c r="R34" i="2" a="1"/>
  <c r="R34" i="2" s="1"/>
  <c r="R33" i="2" a="1"/>
  <c r="R33" i="2" s="1"/>
  <c r="R31" i="2" a="1"/>
  <c r="R31" i="2" s="1"/>
  <c r="R29" i="2" a="1"/>
  <c r="R29" i="2" s="1"/>
  <c r="R28" i="2" a="1"/>
  <c r="R28" i="2" s="1"/>
  <c r="R27" i="2" a="1"/>
  <c r="R27" i="2" s="1"/>
  <c r="R26" i="2" a="1"/>
  <c r="R26" i="2" s="1"/>
  <c r="R25" i="2" a="1"/>
  <c r="R25" i="2" s="1"/>
  <c r="R23" i="2" a="1"/>
  <c r="R23" i="2" s="1"/>
  <c r="R22" i="2" a="1"/>
  <c r="R22" i="2" s="1"/>
  <c r="R21" i="2" a="1"/>
  <c r="R21" i="2" s="1"/>
  <c r="R18" i="2" a="1"/>
  <c r="R18" i="2" s="1"/>
  <c r="R17" i="2" a="1"/>
  <c r="R17" i="2" s="1"/>
  <c r="R15" i="2" a="1"/>
  <c r="R15" i="2" s="1"/>
  <c r="R12" i="2" a="1"/>
  <c r="R12" i="2" s="1"/>
  <c r="R11" i="2" a="1"/>
  <c r="R11" i="2" s="1"/>
  <c r="R10" i="2" a="1"/>
  <c r="R10" i="2" s="1"/>
  <c r="Z9" i="2" a="1"/>
  <c r="Z9" i="2" s="1"/>
  <c r="Y9" i="2" a="1"/>
  <c r="Y9" i="2" s="1"/>
  <c r="X9" i="2" a="1"/>
  <c r="X9" i="2" s="1"/>
  <c r="W9" i="2" a="1"/>
  <c r="W9" i="2" s="1"/>
  <c r="R9" i="2" a="1"/>
  <c r="R9" i="2" s="1"/>
  <c r="X7" i="2" a="1"/>
  <c r="X7" i="2" s="1"/>
  <c r="C7" i="2" a="1"/>
  <c r="C7" i="2" s="1"/>
  <c r="C5" i="2" a="1"/>
  <c r="C5" i="2" s="1"/>
  <c r="R4" i="2" a="1"/>
  <c r="R4" i="2" s="1"/>
  <c r="C4" i="2" a="1"/>
  <c r="C4" i="2" s="1"/>
  <c r="R3" i="2" a="1"/>
  <c r="R3" i="2" s="1"/>
  <c r="C3" i="2" a="1"/>
  <c r="C3" i="2" s="1"/>
  <c r="O2" i="2" a="1"/>
  <c r="O2" i="2" s="1"/>
  <c r="CM27" i="9" a="1"/>
  <c r="CM27" i="9" s="1"/>
  <c r="CM24" i="9" a="1"/>
  <c r="CM24" i="9" s="1"/>
  <c r="CM23" i="9" a="1"/>
  <c r="CM23" i="9" s="1"/>
  <c r="CM22" i="9" a="1"/>
  <c r="CM22" i="9" s="1"/>
  <c r="BY16" i="9" a="1"/>
  <c r="BY16" i="9" s="1"/>
  <c r="BW16" i="9" a="1"/>
  <c r="BW16" i="9" s="1"/>
  <c r="BY15" i="9" a="1"/>
  <c r="BY15" i="9" s="1"/>
  <c r="BW15" i="9" a="1"/>
  <c r="BW15" i="9" s="1"/>
  <c r="M21" i="34" a="1"/>
  <c r="M21" i="34" s="1"/>
  <c r="M20" i="34" a="1"/>
  <c r="M20" i="34" s="1"/>
  <c r="M18" i="34" a="1"/>
  <c r="M18" i="34" s="1"/>
  <c r="M17" i="34" a="1"/>
  <c r="M17" i="34" s="1"/>
  <c r="M16" i="34" a="1"/>
  <c r="M16" i="34" s="1"/>
  <c r="M14" i="34" a="1"/>
  <c r="M14" i="34" s="1"/>
  <c r="M13" i="34" a="1"/>
  <c r="M13" i="34" s="1"/>
  <c r="M12" i="34" a="1"/>
  <c r="M12" i="34" s="1"/>
  <c r="M10" i="34" a="1"/>
  <c r="M10" i="34" s="1"/>
  <c r="M9" i="34" a="1"/>
  <c r="M9" i="34" s="1"/>
  <c r="M8" i="34" a="1"/>
  <c r="M8" i="34" s="1"/>
  <c r="M7" i="34" a="1"/>
  <c r="M7" i="34" s="1"/>
  <c r="M6" i="34" a="1"/>
  <c r="M6" i="34" s="1"/>
  <c r="M5" i="34" a="1"/>
  <c r="M5" i="34" s="1"/>
  <c r="H86" i="47" l="1"/>
  <c r="AR11" i="47"/>
  <c r="AR12" i="47"/>
  <c r="AR10" i="47"/>
  <c r="J3" i="46"/>
  <c r="BG23" i="46" s="1"/>
  <c r="AR119" i="59"/>
  <c r="U29" i="47"/>
  <c r="Y36" i="47" s="1"/>
  <c r="Z36" i="47" s="1"/>
  <c r="Z76" i="62" a="1"/>
  <c r="Z76" i="62" s="1"/>
  <c r="Z18" i="62" a="1"/>
  <c r="Z18" i="62" s="1"/>
  <c r="G12" i="60" s="1"/>
  <c r="X17" i="51" s="1"/>
  <c r="Z11" i="62" a="1"/>
  <c r="Z11" i="62" s="1"/>
  <c r="Z80" i="62" a="1"/>
  <c r="Z80" i="62" s="1"/>
  <c r="Z39" i="62" a="1"/>
  <c r="Z39" i="62" s="1"/>
  <c r="G33" i="60" s="1"/>
  <c r="X38" i="51" s="1"/>
  <c r="Z24" i="62" a="1"/>
  <c r="Z24" i="62" s="1"/>
  <c r="G18" i="60" s="1"/>
  <c r="X23" i="51" s="1"/>
  <c r="Z68" i="62" a="1"/>
  <c r="Z68" i="62" s="1"/>
  <c r="Z14" i="62" a="1"/>
  <c r="Z14" i="62" s="1"/>
  <c r="G8" i="60" s="1"/>
  <c r="X13" i="51" s="1"/>
  <c r="Z4" i="62" a="1"/>
  <c r="Z4" i="62" s="1"/>
  <c r="Z72" i="62" a="1"/>
  <c r="Z72" i="62" s="1"/>
  <c r="Z31" i="62" a="1"/>
  <c r="Z31" i="62" s="1"/>
  <c r="G25" i="60" s="1"/>
  <c r="X30" i="51" s="1"/>
  <c r="Z77" i="62" a="1"/>
  <c r="Z77" i="62" s="1"/>
  <c r="Z60" i="62" a="1"/>
  <c r="Z60" i="62" s="1"/>
  <c r="Z10" i="62" a="1"/>
  <c r="Z10" i="62" s="1"/>
  <c r="Z81" i="62" a="1"/>
  <c r="Z81" i="62" s="1"/>
  <c r="Z64" i="62" a="1"/>
  <c r="Z64" i="62" s="1"/>
  <c r="Z25" i="62" a="1"/>
  <c r="Z25" i="62" s="1"/>
  <c r="G19" i="60" s="1"/>
  <c r="X24" i="51" s="1"/>
  <c r="Z48" i="62" a="1"/>
  <c r="Z48" i="62" s="1"/>
  <c r="G42" i="60" s="1"/>
  <c r="X47" i="51" s="1"/>
  <c r="Z16" i="62" a="1"/>
  <c r="Z16" i="62" s="1"/>
  <c r="G10" i="60" s="1"/>
  <c r="X15" i="51" s="1"/>
  <c r="Z54" i="62" a="1"/>
  <c r="Z54" i="62" s="1"/>
  <c r="G48" i="60" s="1"/>
  <c r="X53" i="51" s="1"/>
  <c r="Z43" i="62" a="1"/>
  <c r="Z43" i="62" s="1"/>
  <c r="G37" i="60" s="1"/>
  <c r="X42" i="51" s="1"/>
  <c r="Z34" i="62" a="1"/>
  <c r="Z34" i="62" s="1"/>
  <c r="G28" i="60" s="1"/>
  <c r="X33" i="51" s="1"/>
  <c r="Z9" i="62" a="1"/>
  <c r="Z9" i="62" s="1"/>
  <c r="Z46" i="62" a="1"/>
  <c r="Z46" i="62" s="1"/>
  <c r="G40" i="60" s="1"/>
  <c r="X45" i="51" s="1"/>
  <c r="Z52" i="62" a="1"/>
  <c r="Z52" i="62" s="1"/>
  <c r="G46" i="60" s="1"/>
  <c r="X51" i="51" s="1"/>
  <c r="Z19" i="62" a="1"/>
  <c r="Z19" i="62" s="1"/>
  <c r="G13" i="60" s="1"/>
  <c r="X18" i="51" s="1"/>
  <c r="Z73" i="62" a="1"/>
  <c r="Z73" i="62" s="1"/>
  <c r="Z56" i="62" a="1"/>
  <c r="Z56" i="62" s="1"/>
  <c r="G50" i="60" s="1"/>
  <c r="X55" i="51" s="1"/>
  <c r="Z20" i="62" a="1"/>
  <c r="Z20" i="62" s="1"/>
  <c r="G14" i="60" s="1"/>
  <c r="X19" i="51" s="1"/>
  <c r="Z7" i="62" a="1"/>
  <c r="Z7" i="62" s="1"/>
  <c r="Z44" i="62" a="1"/>
  <c r="Z44" i="62" s="1"/>
  <c r="G38" i="60" s="1"/>
  <c r="X43" i="51" s="1"/>
  <c r="Z36" i="62" a="1"/>
  <c r="Z36" i="62" s="1"/>
  <c r="G30" i="60" s="1"/>
  <c r="X35" i="51" s="1"/>
  <c r="Z28" i="62" a="1"/>
  <c r="Z28" i="62" s="1"/>
  <c r="G22" i="60" s="1"/>
  <c r="X27" i="51" s="1"/>
  <c r="Z57" i="62" a="1"/>
  <c r="Z57" i="62" s="1"/>
  <c r="Z40" i="62" a="1"/>
  <c r="Z40" i="62" s="1"/>
  <c r="G34" i="60" s="1"/>
  <c r="X39" i="51" s="1"/>
  <c r="Z12" i="62" a="1"/>
  <c r="Z12" i="62" s="1"/>
  <c r="G6" i="60" s="1"/>
  <c r="X11" i="51" s="1"/>
  <c r="Z59" i="62" a="1"/>
  <c r="Z59" i="62" s="1"/>
  <c r="Z62" i="62" a="1"/>
  <c r="Z62" i="62" s="1"/>
  <c r="Z42" i="62" a="1"/>
  <c r="Z42" i="62" s="1"/>
  <c r="G36" i="60" s="1"/>
  <c r="X41" i="51" s="1"/>
  <c r="Z13" i="62" a="1"/>
  <c r="Z13" i="62" s="1"/>
  <c r="G7" i="60" s="1"/>
  <c r="X12" i="51" s="1"/>
  <c r="Z71" i="62" a="1"/>
  <c r="Z71" i="62" s="1"/>
  <c r="Z29" i="62" a="1"/>
  <c r="Z29" i="62" s="1"/>
  <c r="G23" i="60" s="1"/>
  <c r="X28" i="51" s="1"/>
  <c r="Z15" i="62" a="1"/>
  <c r="Z15" i="62" s="1"/>
  <c r="G9" i="60" s="1"/>
  <c r="X14" i="51" s="1"/>
  <c r="Z49" i="62" a="1"/>
  <c r="Z49" i="62" s="1"/>
  <c r="G43" i="60" s="1"/>
  <c r="X48" i="51" s="1"/>
  <c r="Z32" i="62" a="1"/>
  <c r="Z32" i="62" s="1"/>
  <c r="G26" i="60" s="1"/>
  <c r="X31" i="51" s="1"/>
  <c r="Z8" i="62" a="1"/>
  <c r="Z8" i="62" s="1"/>
  <c r="Z45" i="62" a="1"/>
  <c r="Z45" i="62" s="1"/>
  <c r="G39" i="60" s="1"/>
  <c r="X44" i="51" s="1"/>
  <c r="Z82" i="62" a="1"/>
  <c r="Z82" i="62" s="1"/>
  <c r="Z41" i="62" a="1"/>
  <c r="Z41" i="62" s="1"/>
  <c r="G35" i="60" s="1"/>
  <c r="X40" i="51" s="1"/>
  <c r="Z26" i="62" a="1"/>
  <c r="Z26" i="62" s="1"/>
  <c r="G20" i="60" s="1"/>
  <c r="X25" i="51" s="1"/>
  <c r="Z69" i="62" a="1"/>
  <c r="Z69" i="62" s="1"/>
  <c r="Z75" i="62" a="1"/>
  <c r="Z75" i="62" s="1"/>
  <c r="Z66" i="62" a="1"/>
  <c r="Z66" i="62" s="1"/>
  <c r="Z27" i="62" a="1"/>
  <c r="Z27" i="62" s="1"/>
  <c r="G21" i="60" s="1"/>
  <c r="X26" i="51" s="1"/>
  <c r="Z78" i="62" a="1"/>
  <c r="Z78" i="62" s="1"/>
  <c r="Z67" i="62" a="1"/>
  <c r="Z67" i="62" s="1"/>
  <c r="Z58" i="62" a="1"/>
  <c r="Z58" i="62" s="1"/>
  <c r="Z21" i="62" a="1"/>
  <c r="Z21" i="62" s="1"/>
  <c r="G15" i="60" s="1"/>
  <c r="X20" i="51" s="1"/>
  <c r="Z53" i="62" a="1"/>
  <c r="Z53" i="62" s="1"/>
  <c r="G47" i="60" s="1"/>
  <c r="X52" i="51" s="1"/>
  <c r="Z70" i="62" a="1"/>
  <c r="Z70" i="62" s="1"/>
  <c r="Z51" i="62" a="1"/>
  <c r="Z51" i="62" s="1"/>
  <c r="G45" i="60" s="1"/>
  <c r="X50" i="51" s="1"/>
  <c r="Z63" i="62" a="1"/>
  <c r="Z63" i="62" s="1"/>
  <c r="Z83" i="62" a="1"/>
  <c r="Z83" i="62" s="1"/>
  <c r="Z74" i="62" a="1"/>
  <c r="Z74" i="62" s="1"/>
  <c r="Z33" i="62" a="1"/>
  <c r="Z33" i="62" s="1"/>
  <c r="G27" i="60" s="1"/>
  <c r="X32" i="51" s="1"/>
  <c r="Z23" i="62" a="1"/>
  <c r="Z23" i="62" s="1"/>
  <c r="G17" i="60" s="1"/>
  <c r="X22" i="51" s="1"/>
  <c r="Z37" i="62" a="1"/>
  <c r="Z37" i="62" s="1"/>
  <c r="G31" i="60" s="1"/>
  <c r="X36" i="51" s="1"/>
  <c r="Z50" i="62" a="1"/>
  <c r="Z50" i="62" s="1"/>
  <c r="G44" i="60" s="1"/>
  <c r="X49" i="51" s="1"/>
  <c r="Z17" i="62" a="1"/>
  <c r="Z17" i="62" s="1"/>
  <c r="G11" i="60" s="1"/>
  <c r="X16" i="51" s="1"/>
  <c r="Z79" i="62" a="1"/>
  <c r="Z79" i="62" s="1"/>
  <c r="Z35" i="62" a="1"/>
  <c r="Z35" i="62" s="1"/>
  <c r="G29" i="60" s="1"/>
  <c r="X34" i="51" s="1"/>
  <c r="Z6" i="62" a="1"/>
  <c r="Z6" i="62" s="1"/>
  <c r="Z5" i="62" a="1"/>
  <c r="Z5" i="62" s="1"/>
  <c r="Z55" i="62" a="1"/>
  <c r="Z55" i="62" s="1"/>
  <c r="G49" i="60" s="1"/>
  <c r="X54" i="51" s="1"/>
  <c r="Z38" i="62" a="1"/>
  <c r="Z38" i="62" s="1"/>
  <c r="G32" i="60" s="1"/>
  <c r="X37" i="51" s="1"/>
  <c r="Z84" i="62" a="1"/>
  <c r="Z84" i="62" s="1"/>
  <c r="Z22" i="62" a="1"/>
  <c r="Z22" i="62" s="1"/>
  <c r="G16" i="60" s="1"/>
  <c r="X21" i="51" s="1"/>
  <c r="Z30" i="62" a="1"/>
  <c r="Z30" i="62" s="1"/>
  <c r="G24" i="60" s="1"/>
  <c r="X29" i="51" s="1"/>
  <c r="Z61" i="62" a="1"/>
  <c r="Z61" i="62" s="1"/>
  <c r="Z47" i="62" a="1"/>
  <c r="Z47" i="62" s="1"/>
  <c r="G41" i="60" s="1"/>
  <c r="X46" i="51" s="1"/>
  <c r="Z65" i="62" a="1"/>
  <c r="Z65" i="62" s="1"/>
  <c r="E4" i="48"/>
  <c r="CR16" i="52"/>
  <c r="CX12" i="52" s="1"/>
  <c r="DB12" i="52" s="1"/>
  <c r="T11" i="51"/>
  <c r="C6" i="60" s="1"/>
  <c r="CX11" i="52"/>
  <c r="CY10" i="52" s="1"/>
  <c r="DC10" i="52" s="1"/>
  <c r="F93" i="51"/>
  <c r="B16" i="52"/>
  <c r="AJ16" i="52"/>
  <c r="B15" i="52"/>
  <c r="AJ15" i="52"/>
  <c r="B14" i="52"/>
  <c r="AJ14" i="52"/>
  <c r="B17" i="52"/>
  <c r="AJ17" i="52"/>
  <c r="AB36" i="46"/>
  <c r="H12" i="52"/>
  <c r="AN12" i="52" s="1"/>
  <c r="AB35" i="46"/>
  <c r="F12" i="52"/>
  <c r="AL12" i="52" s="1"/>
  <c r="AJ13" i="52"/>
  <c r="B13" i="52"/>
  <c r="AB37" i="46"/>
  <c r="J12" i="52"/>
  <c r="AP12" i="52" s="1"/>
  <c r="B18" i="52"/>
  <c r="AJ18" i="52"/>
  <c r="AB34" i="46"/>
  <c r="D12" i="52"/>
  <c r="CX16" i="52"/>
  <c r="DB16" i="52" s="1"/>
  <c r="CS20" i="52"/>
  <c r="CS36" i="52" s="1"/>
  <c r="CS19" i="52"/>
  <c r="CS35" i="52" s="1"/>
  <c r="CY14" i="52"/>
  <c r="DC14" i="52" s="1"/>
  <c r="DB15" i="52"/>
  <c r="CS17" i="52"/>
  <c r="AO37" i="47" s="1"/>
  <c r="V5" i="34"/>
  <c r="DN18" i="9"/>
  <c r="DN27" i="9" s="1"/>
  <c r="B45" i="35"/>
  <c r="B52" i="35" s="1"/>
  <c r="C37" i="35"/>
  <c r="AG11" i="35"/>
  <c r="F54" i="35"/>
  <c r="J56" i="35" s="1"/>
  <c r="K56" i="35" s="1" a="1"/>
  <c r="K56" i="35" s="1"/>
  <c r="C40" i="35"/>
  <c r="C41" i="35"/>
  <c r="DN25" i="9"/>
  <c r="AF54" i="19"/>
  <c r="AE54" i="19"/>
  <c r="AD54" i="19"/>
  <c r="AC54" i="19"/>
  <c r="AF42" i="19"/>
  <c r="AE42" i="19"/>
  <c r="AD42" i="19"/>
  <c r="AC42" i="19"/>
  <c r="AD30" i="19"/>
  <c r="AE30" i="19"/>
  <c r="AF30" i="19"/>
  <c r="AC30" i="19"/>
  <c r="AD17" i="19"/>
  <c r="AE17" i="19"/>
  <c r="AF17" i="19"/>
  <c r="AC17" i="19"/>
  <c r="DH5" i="9"/>
  <c r="DH4" i="9"/>
  <c r="E13" i="68" l="1"/>
  <c r="F117" i="51"/>
  <c r="E13" i="69" s="1"/>
  <c r="AR14" i="47"/>
  <c r="AN9" i="46" s="1"/>
  <c r="H86" i="46"/>
  <c r="AR10" i="46"/>
  <c r="AR12" i="46"/>
  <c r="AR11" i="46"/>
  <c r="W21" i="46"/>
  <c r="Y37" i="47"/>
  <c r="Z37" i="47" s="1"/>
  <c r="Y34" i="47"/>
  <c r="Z34" i="47" s="1"/>
  <c r="Y35" i="47"/>
  <c r="Z35" i="47" s="1"/>
  <c r="AA36" i="47"/>
  <c r="AC36" i="47" s="1"/>
  <c r="K70" i="47" s="1"/>
  <c r="F53" i="59"/>
  <c r="F36" i="59" s="1"/>
  <c r="U29" i="46"/>
  <c r="Y35" i="46" s="1"/>
  <c r="AA35" i="46" s="1"/>
  <c r="T20" i="51"/>
  <c r="C18" i="60" s="1"/>
  <c r="T14" i="51"/>
  <c r="DB11" i="52"/>
  <c r="CR19" i="52"/>
  <c r="CR35" i="52" s="1"/>
  <c r="CR20" i="52"/>
  <c r="CR36" i="52" s="1"/>
  <c r="AO36" i="46"/>
  <c r="CR17" i="52"/>
  <c r="AO37" i="46" s="1"/>
  <c r="B12" i="52"/>
  <c r="AJ12" i="52"/>
  <c r="W63" i="2"/>
  <c r="CU35" i="52"/>
  <c r="CY16" i="52"/>
  <c r="DC16" i="52" s="1"/>
  <c r="V6" i="34"/>
  <c r="F49" i="19"/>
  <c r="C35" i="35" a="1"/>
  <c r="C35" i="35" s="1"/>
  <c r="C42" i="35"/>
  <c r="C12" i="35" s="1"/>
  <c r="DN26" i="9"/>
  <c r="C38" i="35"/>
  <c r="J57" i="35"/>
  <c r="K57" i="35" s="1" a="1"/>
  <c r="K57" i="35" s="1"/>
  <c r="AC5" i="9"/>
  <c r="AC8" i="9" s="1"/>
  <c r="W38" i="26"/>
  <c r="X38" i="26"/>
  <c r="V38" i="26"/>
  <c r="X84" i="67" l="1"/>
  <c r="AM85" i="67" s="1"/>
  <c r="X84" i="66"/>
  <c r="AM85" i="66" s="1"/>
  <c r="E28" i="69"/>
  <c r="U12" i="69" s="1"/>
  <c r="V12" i="69" s="1"/>
  <c r="T4" i="64"/>
  <c r="T4" i="65"/>
  <c r="AC4" i="65" s="1"/>
  <c r="AR14" i="46"/>
  <c r="AN8" i="46" s="1"/>
  <c r="C8" i="60"/>
  <c r="AA35" i="47"/>
  <c r="AC35" i="47" s="1"/>
  <c r="AL35" i="47" s="1"/>
  <c r="AA37" i="47"/>
  <c r="AC37" i="47" s="1"/>
  <c r="U76" i="47" s="1"/>
  <c r="U70" i="47"/>
  <c r="AA34" i="47"/>
  <c r="AC34" i="47" s="1"/>
  <c r="AD34" i="47" s="1"/>
  <c r="AL36" i="47"/>
  <c r="K71" i="47"/>
  <c r="U71" i="47"/>
  <c r="K72" i="47"/>
  <c r="AF36" i="47" s="1"/>
  <c r="AE36" i="47"/>
  <c r="Y34" i="46"/>
  <c r="AA34" i="46" s="1"/>
  <c r="U72" i="47"/>
  <c r="AJ37" i="47"/>
  <c r="AD36" i="47"/>
  <c r="Y37" i="46"/>
  <c r="Z37" i="46" s="1"/>
  <c r="Z35" i="46"/>
  <c r="AC35" i="46" s="1"/>
  <c r="AJ36" i="46" s="1"/>
  <c r="Y36" i="46"/>
  <c r="Z36" i="46" s="1"/>
  <c r="CT35" i="52"/>
  <c r="CY12" i="52"/>
  <c r="DC12" i="52" s="1"/>
  <c r="F50" i="19"/>
  <c r="AC11" i="9"/>
  <c r="N45" i="2" s="1"/>
  <c r="DG5" i="9"/>
  <c r="CT20" i="9"/>
  <c r="AC7" i="9"/>
  <c r="DG4" i="9" s="1"/>
  <c r="B2" i="42" s="1"/>
  <c r="CY15" i="9"/>
  <c r="DC15" i="9" s="1"/>
  <c r="CY11" i="9"/>
  <c r="DC11" i="9" s="1"/>
  <c r="Q38" i="69" l="1"/>
  <c r="Q39" i="69" s="1"/>
  <c r="D106" i="66"/>
  <c r="D107" i="66" s="1"/>
  <c r="D108" i="66" s="1"/>
  <c r="X95" i="66"/>
  <c r="D106" i="67"/>
  <c r="D107" i="67" s="1"/>
  <c r="D108" i="67" s="1"/>
  <c r="X95" i="67"/>
  <c r="R45" i="65"/>
  <c r="R46" i="65" s="1"/>
  <c r="R47" i="65" s="1"/>
  <c r="T13" i="65"/>
  <c r="T13" i="64"/>
  <c r="AC4" i="64"/>
  <c r="R44" i="64"/>
  <c r="AG36" i="47"/>
  <c r="AJ36" i="47"/>
  <c r="U65" i="47"/>
  <c r="AD35" i="47"/>
  <c r="AE35" i="47"/>
  <c r="U66" i="47"/>
  <c r="K66" i="47"/>
  <c r="K67" i="47"/>
  <c r="K65" i="47"/>
  <c r="U67" i="47"/>
  <c r="U75" i="47"/>
  <c r="K75" i="47"/>
  <c r="K77" i="47"/>
  <c r="U77" i="47"/>
  <c r="Q9" i="47" a="1"/>
  <c r="Q9" i="47" s="1"/>
  <c r="AW33" i="47" s="1"/>
  <c r="AJ38" i="47"/>
  <c r="K76" i="47"/>
  <c r="AL37" i="47"/>
  <c r="AE37" i="47"/>
  <c r="AD37" i="47"/>
  <c r="Z34" i="46"/>
  <c r="AC34" i="46" s="1"/>
  <c r="H85" i="46" s="1"/>
  <c r="K60" i="47"/>
  <c r="U60" i="47"/>
  <c r="K62" i="47"/>
  <c r="K61" i="47"/>
  <c r="U61" i="47"/>
  <c r="AJ34" i="47"/>
  <c r="U62" i="47"/>
  <c r="AO34" i="47"/>
  <c r="CW22" i="52" s="1"/>
  <c r="H85" i="47"/>
  <c r="AL34" i="47"/>
  <c r="AE34" i="47"/>
  <c r="AL35" i="46"/>
  <c r="AD35" i="46"/>
  <c r="K65" i="46"/>
  <c r="K67" i="46"/>
  <c r="U67" i="46"/>
  <c r="U65" i="46"/>
  <c r="K66" i="46"/>
  <c r="AE35" i="46"/>
  <c r="U66" i="46"/>
  <c r="AA36" i="46"/>
  <c r="AC36" i="46" s="1"/>
  <c r="AJ37" i="46" s="1"/>
  <c r="AA37" i="46"/>
  <c r="AC37" i="46" s="1"/>
  <c r="U76" i="46" s="1"/>
  <c r="F38" i="2"/>
  <c r="B3" i="42"/>
  <c r="B28" i="42"/>
  <c r="B30" i="42" s="1"/>
  <c r="D4" i="42"/>
  <c r="E4" i="42"/>
  <c r="H38" i="2"/>
  <c r="DJ14" i="9"/>
  <c r="DK14" i="9" s="1"/>
  <c r="DJ11" i="9"/>
  <c r="DK11" i="9" s="1"/>
  <c r="DJ12" i="9"/>
  <c r="DK12" i="9" s="1"/>
  <c r="DJ10" i="9"/>
  <c r="DK10" i="9" s="1"/>
  <c r="DJ13" i="9"/>
  <c r="DK13" i="9" s="1"/>
  <c r="CT19" i="9"/>
  <c r="DB14" i="9"/>
  <c r="DB10" i="9"/>
  <c r="M11" i="9"/>
  <c r="B11" i="9"/>
  <c r="AC15" i="9"/>
  <c r="E38" i="2" s="1"/>
  <c r="AC13" i="9"/>
  <c r="AC10" i="9"/>
  <c r="N44" i="2" s="1"/>
  <c r="AD15" i="9"/>
  <c r="G38" i="2" s="1"/>
  <c r="G33" i="2" s="1"/>
  <c r="C6" i="81" s="1"/>
  <c r="CR27" i="9"/>
  <c r="CR26" i="9"/>
  <c r="CR25" i="9"/>
  <c r="CR24" i="9"/>
  <c r="CR23" i="9"/>
  <c r="CR22" i="9"/>
  <c r="CR11" i="9"/>
  <c r="J3" i="76" l="1"/>
  <c r="U29" i="76" s="1"/>
  <c r="J3" i="78"/>
  <c r="P15" i="47" a="1"/>
  <c r="R15" i="47" s="1"/>
  <c r="E23" i="68"/>
  <c r="U12" i="68" s="1"/>
  <c r="V12" i="68" s="1"/>
  <c r="Q35" i="68"/>
  <c r="Q36" i="68" s="1"/>
  <c r="R45" i="64"/>
  <c r="T44" i="64"/>
  <c r="AF35" i="47"/>
  <c r="P14" i="47" a="1"/>
  <c r="R14" i="47" s="1"/>
  <c r="AG35" i="47"/>
  <c r="AG37" i="47"/>
  <c r="AF37" i="47"/>
  <c r="R9" i="47"/>
  <c r="T9" i="47" s="1"/>
  <c r="AG34" i="47"/>
  <c r="AF34" i="47"/>
  <c r="AG35" i="46"/>
  <c r="AF35" i="46"/>
  <c r="U77" i="46"/>
  <c r="K76" i="46"/>
  <c r="AJ38" i="46"/>
  <c r="AL37" i="46"/>
  <c r="K70" i="46"/>
  <c r="AE36" i="46"/>
  <c r="K77" i="46"/>
  <c r="U75" i="46"/>
  <c r="K75" i="46"/>
  <c r="AD37" i="46"/>
  <c r="U70" i="46"/>
  <c r="K72" i="46"/>
  <c r="K71" i="46"/>
  <c r="AD36" i="46"/>
  <c r="Q9" i="46" a="1"/>
  <c r="Q9" i="46" s="1"/>
  <c r="AW33" i="46" s="1"/>
  <c r="U71" i="46"/>
  <c r="U72" i="46"/>
  <c r="AL36" i="46"/>
  <c r="AE37" i="46"/>
  <c r="U62" i="46"/>
  <c r="K62" i="46"/>
  <c r="AO34" i="46"/>
  <c r="CV22" i="52" s="1"/>
  <c r="AJ34" i="46"/>
  <c r="K61" i="46"/>
  <c r="AL34" i="46"/>
  <c r="AE34" i="46"/>
  <c r="AD34" i="46"/>
  <c r="U61" i="46"/>
  <c r="K60" i="46"/>
  <c r="U60" i="46"/>
  <c r="CX15" i="9"/>
  <c r="CY14" i="9" s="1"/>
  <c r="DC14" i="9" s="1"/>
  <c r="E33" i="2"/>
  <c r="F53" i="19"/>
  <c r="F36" i="19" s="1"/>
  <c r="Z5" i="42" a="1"/>
  <c r="Z5" i="42" s="1"/>
  <c r="Z21" i="42" a="1"/>
  <c r="Z21" i="42" s="1"/>
  <c r="Z37" i="42" a="1"/>
  <c r="Z37" i="42" s="1"/>
  <c r="Z53" i="42" a="1"/>
  <c r="Z53" i="42" s="1"/>
  <c r="Z69" i="42" a="1"/>
  <c r="Z69" i="42" s="1"/>
  <c r="Z4" i="42" a="1"/>
  <c r="Z4" i="42" s="1"/>
  <c r="Z83" i="42" a="1"/>
  <c r="Z83" i="42" s="1"/>
  <c r="Z6" i="42" a="1"/>
  <c r="Z6" i="42" s="1"/>
  <c r="Z22" i="42" a="1"/>
  <c r="Z22" i="42" s="1"/>
  <c r="Z38" i="42" a="1"/>
  <c r="Z38" i="42" s="1"/>
  <c r="Z54" i="42" a="1"/>
  <c r="Z54" i="42" s="1"/>
  <c r="Z70" i="42" a="1"/>
  <c r="Z70" i="42" s="1"/>
  <c r="Z67" i="42" a="1"/>
  <c r="Z67" i="42" s="1"/>
  <c r="Z7" i="42" a="1"/>
  <c r="Z7" i="42" s="1"/>
  <c r="Z23" i="42" a="1"/>
  <c r="Z23" i="42" s="1"/>
  <c r="Z39" i="42" a="1"/>
  <c r="Z39" i="42" s="1"/>
  <c r="Z55" i="42" a="1"/>
  <c r="Z55" i="42" s="1"/>
  <c r="Z71" i="42" a="1"/>
  <c r="Z71" i="42" s="1"/>
  <c r="Z20" i="42" a="1"/>
  <c r="Z20" i="42" s="1"/>
  <c r="Z8" i="42" a="1"/>
  <c r="Z8" i="42" s="1"/>
  <c r="Z24" i="42" a="1"/>
  <c r="Z24" i="42" s="1"/>
  <c r="Z40" i="42" a="1"/>
  <c r="Z40" i="42" s="1"/>
  <c r="Z56" i="42" a="1"/>
  <c r="Z56" i="42" s="1"/>
  <c r="Z72" i="42" a="1"/>
  <c r="Z72" i="42" s="1"/>
  <c r="Z35" i="42" a="1"/>
  <c r="Z35" i="42" s="1"/>
  <c r="Z9" i="42" a="1"/>
  <c r="Z9" i="42" s="1"/>
  <c r="Z25" i="42" a="1"/>
  <c r="Z25" i="42" s="1"/>
  <c r="Z41" i="42" a="1"/>
  <c r="Z41" i="42" s="1"/>
  <c r="Z57" i="42" a="1"/>
  <c r="Z57" i="42" s="1"/>
  <c r="Z73" i="42" a="1"/>
  <c r="Z73" i="42" s="1"/>
  <c r="Z51" i="42" a="1"/>
  <c r="Z51" i="42" s="1"/>
  <c r="Z10" i="42" a="1"/>
  <c r="Z10" i="42" s="1"/>
  <c r="Z26" i="42" a="1"/>
  <c r="Z26" i="42" s="1"/>
  <c r="Z42" i="42" a="1"/>
  <c r="Z42" i="42" s="1"/>
  <c r="Z58" i="42" a="1"/>
  <c r="Z58" i="42" s="1"/>
  <c r="Z74" i="42" a="1"/>
  <c r="Z74" i="42" s="1"/>
  <c r="Z19" i="42" a="1"/>
  <c r="Z19" i="42" s="1"/>
  <c r="Z11" i="42" a="1"/>
  <c r="Z11" i="42" s="1"/>
  <c r="Z27" i="42" a="1"/>
  <c r="Z27" i="42" s="1"/>
  <c r="Z43" i="42" a="1"/>
  <c r="Z43" i="42" s="1"/>
  <c r="Z59" i="42" a="1"/>
  <c r="Z59" i="42" s="1"/>
  <c r="Z75" i="42" a="1"/>
  <c r="Z75" i="42" s="1"/>
  <c r="Z82" i="42" a="1"/>
  <c r="Z82" i="42" s="1"/>
  <c r="Z68" i="42" a="1"/>
  <c r="Z68" i="42" s="1"/>
  <c r="Z12" i="42" a="1"/>
  <c r="Z12" i="42" s="1"/>
  <c r="Z28" i="42" a="1"/>
  <c r="Z28" i="42" s="1"/>
  <c r="Z44" i="42" a="1"/>
  <c r="Z44" i="42" s="1"/>
  <c r="Z60" i="42" a="1"/>
  <c r="Z60" i="42" s="1"/>
  <c r="Z76" i="42" a="1"/>
  <c r="Z76" i="42" s="1"/>
  <c r="Z36" i="42" a="1"/>
  <c r="Z36" i="42" s="1"/>
  <c r="Z13" i="42" a="1"/>
  <c r="Z13" i="42" s="1"/>
  <c r="Z29" i="42" a="1"/>
  <c r="Z29" i="42" s="1"/>
  <c r="Z45" i="42" a="1"/>
  <c r="Z45" i="42" s="1"/>
  <c r="Z61" i="42" a="1"/>
  <c r="Z61" i="42" s="1"/>
  <c r="Z77" i="42" a="1"/>
  <c r="Z77" i="42" s="1"/>
  <c r="Z84" i="42" a="1"/>
  <c r="Z84" i="42" s="1"/>
  <c r="Z14" i="42" a="1"/>
  <c r="Z14" i="42" s="1"/>
  <c r="Z30" i="42" a="1"/>
  <c r="Z30" i="42" s="1"/>
  <c r="Z46" i="42" a="1"/>
  <c r="Z46" i="42" s="1"/>
  <c r="Z62" i="42" a="1"/>
  <c r="Z62" i="42" s="1"/>
  <c r="Z78" i="42" a="1"/>
  <c r="Z78" i="42" s="1"/>
  <c r="Z50" i="42" a="1"/>
  <c r="Z50" i="42" s="1"/>
  <c r="Z52" i="42" a="1"/>
  <c r="Z52" i="42" s="1"/>
  <c r="Z15" i="42" a="1"/>
  <c r="Z15" i="42" s="1"/>
  <c r="Z31" i="42" a="1"/>
  <c r="Z31" i="42" s="1"/>
  <c r="Z47" i="42" a="1"/>
  <c r="Z47" i="42" s="1"/>
  <c r="Z63" i="42" a="1"/>
  <c r="Z63" i="42" s="1"/>
  <c r="Z79" i="42" a="1"/>
  <c r="Z79" i="42" s="1"/>
  <c r="Z34" i="42" a="1"/>
  <c r="Z34" i="42" s="1"/>
  <c r="Z16" i="42" a="1"/>
  <c r="Z16" i="42" s="1"/>
  <c r="Z32" i="42" a="1"/>
  <c r="Z32" i="42" s="1"/>
  <c r="Z48" i="42" a="1"/>
  <c r="Z48" i="42" s="1"/>
  <c r="Z64" i="42" a="1"/>
  <c r="Z64" i="42" s="1"/>
  <c r="Z80" i="42" a="1"/>
  <c r="Z80" i="42" s="1"/>
  <c r="Z18" i="42" a="1"/>
  <c r="Z18" i="42" s="1"/>
  <c r="Z17" i="42" a="1"/>
  <c r="Z17" i="42" s="1"/>
  <c r="Z33" i="42" a="1"/>
  <c r="Z33" i="42" s="1"/>
  <c r="Z49" i="42" a="1"/>
  <c r="Z49" i="42" s="1"/>
  <c r="Z65" i="42" a="1"/>
  <c r="Z65" i="42" s="1"/>
  <c r="Z81" i="42" a="1"/>
  <c r="Z81" i="42" s="1"/>
  <c r="Z66" i="42" a="1"/>
  <c r="Z66" i="42" s="1"/>
  <c r="DK4" i="9" a="1"/>
  <c r="DK4" i="9" s="1"/>
  <c r="AN11" i="9"/>
  <c r="AL11" i="9"/>
  <c r="AJ11" i="9"/>
  <c r="AY11" i="9"/>
  <c r="AW11" i="9"/>
  <c r="AU11" i="9"/>
  <c r="AS11" i="9"/>
  <c r="AP11" i="9"/>
  <c r="H37" i="2"/>
  <c r="F37" i="2"/>
  <c r="CS16" i="9"/>
  <c r="AS36" i="76" s="1"/>
  <c r="DC36" i="9"/>
  <c r="U29" i="78" l="1"/>
  <c r="Y41" i="78" s="1"/>
  <c r="Y37" i="76"/>
  <c r="Y35" i="76"/>
  <c r="Y34" i="76"/>
  <c r="Y36" i="76"/>
  <c r="Y38" i="76"/>
  <c r="P21" i="76"/>
  <c r="AW119" i="59"/>
  <c r="AW121" i="59" s="1"/>
  <c r="AW122" i="59" s="1"/>
  <c r="J3" i="75"/>
  <c r="W80" i="77" s="1"/>
  <c r="W82" i="77" s="1"/>
  <c r="S15" i="47"/>
  <c r="Q15" i="47"/>
  <c r="P15" i="47"/>
  <c r="T45" i="64"/>
  <c r="R46" i="64"/>
  <c r="T46" i="64" s="1"/>
  <c r="P6" i="47" a="1"/>
  <c r="Q6" i="47" s="1"/>
  <c r="P5" i="47" a="1"/>
  <c r="Q5" i="47" s="1"/>
  <c r="P14" i="47"/>
  <c r="Q14" i="47"/>
  <c r="AJ35" i="47"/>
  <c r="Q10" i="47" s="1" a="1"/>
  <c r="R10" i="47" s="1"/>
  <c r="AX34" i="47" s="1"/>
  <c r="AX33" i="47"/>
  <c r="AZ33" i="47" s="1"/>
  <c r="AG37" i="46"/>
  <c r="AG34" i="46"/>
  <c r="AF37" i="46"/>
  <c r="AF36" i="46"/>
  <c r="AF34" i="46"/>
  <c r="P14" i="46" a="1"/>
  <c r="R14" i="46" s="1"/>
  <c r="R9" i="46"/>
  <c r="AJ35" i="46" s="1"/>
  <c r="Q10" i="46" s="1" a="1"/>
  <c r="AG36" i="46"/>
  <c r="G16" i="35"/>
  <c r="G26" i="35"/>
  <c r="G21" i="35"/>
  <c r="G50" i="35"/>
  <c r="G19" i="35"/>
  <c r="G29" i="35"/>
  <c r="G14" i="35"/>
  <c r="G12" i="35"/>
  <c r="G10" i="35"/>
  <c r="G28" i="35"/>
  <c r="G41" i="35"/>
  <c r="G36" i="35"/>
  <c r="G15" i="35"/>
  <c r="G30" i="35"/>
  <c r="G25" i="35"/>
  <c r="G20" i="35"/>
  <c r="G49" i="35"/>
  <c r="G35" i="35"/>
  <c r="G48" i="35"/>
  <c r="G32" i="35"/>
  <c r="G18" i="35"/>
  <c r="G47" i="35"/>
  <c r="DB15" i="9"/>
  <c r="G7" i="35"/>
  <c r="G31" i="35"/>
  <c r="G9" i="35"/>
  <c r="G33" i="35"/>
  <c r="G42" i="35"/>
  <c r="G38" i="35"/>
  <c r="G45" i="35"/>
  <c r="G17" i="35"/>
  <c r="G39" i="35"/>
  <c r="G43" i="35"/>
  <c r="G44" i="35"/>
  <c r="G22" i="35"/>
  <c r="G11" i="35"/>
  <c r="G40" i="35"/>
  <c r="G24" i="35"/>
  <c r="G8" i="35"/>
  <c r="G37" i="35"/>
  <c r="G34" i="35"/>
  <c r="G13" i="35"/>
  <c r="G23" i="35"/>
  <c r="G46" i="35"/>
  <c r="G52" i="19"/>
  <c r="G27" i="35"/>
  <c r="G6" i="35"/>
  <c r="CX11" i="9"/>
  <c r="CY10" i="9" s="1"/>
  <c r="DC10" i="9" s="1"/>
  <c r="F4" i="48"/>
  <c r="I6" i="49"/>
  <c r="AR34" i="47"/>
  <c r="CY22" i="52" s="1"/>
  <c r="CR16" i="9"/>
  <c r="CX16" i="9"/>
  <c r="DB16" i="9" s="1"/>
  <c r="CS19" i="9"/>
  <c r="CS36" i="9" s="1"/>
  <c r="CS20" i="9"/>
  <c r="CS37" i="9" s="1"/>
  <c r="AO36" i="22"/>
  <c r="AL36" i="14"/>
  <c r="AS36" i="30"/>
  <c r="AI36" i="1"/>
  <c r="AP36" i="26"/>
  <c r="CS17" i="9"/>
  <c r="AS37" i="76" s="1"/>
  <c r="AL36" i="8"/>
  <c r="C11" i="35"/>
  <c r="C5" i="35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B4" i="38"/>
  <c r="Z1" i="41"/>
  <c r="Y1" i="41"/>
  <c r="X1" i="41"/>
  <c r="W1" i="41"/>
  <c r="V1" i="41"/>
  <c r="U1" i="41"/>
  <c r="T1" i="41"/>
  <c r="S1" i="41"/>
  <c r="R1" i="41"/>
  <c r="Q1" i="41"/>
  <c r="P1" i="41"/>
  <c r="O1" i="41"/>
  <c r="N1" i="41"/>
  <c r="M1" i="41"/>
  <c r="L1" i="41"/>
  <c r="B903" i="36" s="1" a="1"/>
  <c r="B903" i="36" s="1"/>
  <c r="K1" i="41"/>
  <c r="B813" i="36" s="1" a="1"/>
  <c r="B813" i="36" s="1"/>
  <c r="J1" i="41"/>
  <c r="B723" i="36" s="1" a="1"/>
  <c r="B723" i="36" s="1"/>
  <c r="I1" i="41"/>
  <c r="B633" i="36" s="1" a="1"/>
  <c r="B633" i="36" s="1"/>
  <c r="A1" i="41" a="1"/>
  <c r="A1" i="41" s="1"/>
  <c r="A1" i="40" a="1"/>
  <c r="A1" i="40" s="1"/>
  <c r="B1" i="39" a="1"/>
  <c r="B1" i="39" s="1"/>
  <c r="A44" i="41" s="1"/>
  <c r="B1" i="38" a="1"/>
  <c r="B1" i="38" s="1"/>
  <c r="A31" i="40" s="1"/>
  <c r="C16" i="35"/>
  <c r="C15" i="35"/>
  <c r="A1" i="36" a="1"/>
  <c r="A1" i="36" s="1"/>
  <c r="C13" i="35"/>
  <c r="Z41" i="78" l="1"/>
  <c r="AA41" i="78"/>
  <c r="W21" i="75"/>
  <c r="W21" i="78"/>
  <c r="AS36" i="75"/>
  <c r="AS36" i="78"/>
  <c r="Y38" i="78"/>
  <c r="P22" i="78"/>
  <c r="Y37" i="78"/>
  <c r="Y39" i="78"/>
  <c r="Y36" i="78"/>
  <c r="Y40" i="78"/>
  <c r="Y34" i="78"/>
  <c r="Y35" i="78"/>
  <c r="AA38" i="76"/>
  <c r="Z38" i="76"/>
  <c r="Z36" i="76"/>
  <c r="AA36" i="76"/>
  <c r="Z34" i="76"/>
  <c r="AA34" i="76"/>
  <c r="Z35" i="76"/>
  <c r="AA35" i="76"/>
  <c r="AA37" i="76"/>
  <c r="Z37" i="76"/>
  <c r="U29" i="75"/>
  <c r="P18" i="47"/>
  <c r="P5" i="47"/>
  <c r="W5" i="47" s="1"/>
  <c r="P6" i="47"/>
  <c r="W6" i="47" s="1"/>
  <c r="P17" i="47"/>
  <c r="Q10" i="47"/>
  <c r="AW34" i="47" s="1"/>
  <c r="AZ34" i="47" s="1"/>
  <c r="X3" i="62"/>
  <c r="W3" i="62"/>
  <c r="V3" i="62"/>
  <c r="U3" i="62"/>
  <c r="M3" i="62"/>
  <c r="T3" i="62"/>
  <c r="N3" i="62"/>
  <c r="S3" i="62"/>
  <c r="R3" i="62"/>
  <c r="Q3" i="62"/>
  <c r="P3" i="62"/>
  <c r="O3" i="62"/>
  <c r="T9" i="46"/>
  <c r="AX33" i="46"/>
  <c r="P6" i="46" a="1"/>
  <c r="P6" i="46" s="1"/>
  <c r="Q14" i="46"/>
  <c r="P14" i="46"/>
  <c r="P5" i="46" a="1"/>
  <c r="Q5" i="46" s="1"/>
  <c r="U40" i="60"/>
  <c r="AA45" i="51" s="1"/>
  <c r="U18" i="60"/>
  <c r="AA23" i="51" s="1"/>
  <c r="U29" i="60"/>
  <c r="AA34" i="51" s="1"/>
  <c r="U46" i="60"/>
  <c r="AA51" i="51" s="1"/>
  <c r="U11" i="60"/>
  <c r="AA16" i="51" s="1"/>
  <c r="U42" i="60"/>
  <c r="AA47" i="51" s="1"/>
  <c r="U32" i="60"/>
  <c r="AA37" i="51" s="1"/>
  <c r="U38" i="60"/>
  <c r="AA43" i="51" s="1"/>
  <c r="DB11" i="9"/>
  <c r="U15" i="60"/>
  <c r="AA20" i="51" s="1"/>
  <c r="U19" i="60"/>
  <c r="AA24" i="51" s="1"/>
  <c r="U33" i="60"/>
  <c r="AA38" i="51" s="1"/>
  <c r="U36" i="60"/>
  <c r="AA41" i="51" s="1"/>
  <c r="U48" i="60"/>
  <c r="AA53" i="51" s="1"/>
  <c r="U13" i="60"/>
  <c r="AA18" i="51" s="1"/>
  <c r="U44" i="60"/>
  <c r="AA49" i="51" s="1"/>
  <c r="U35" i="60"/>
  <c r="AA40" i="51" s="1"/>
  <c r="U41" i="60"/>
  <c r="AA46" i="51" s="1"/>
  <c r="U34" i="60"/>
  <c r="AA39" i="51" s="1"/>
  <c r="U43" i="60"/>
  <c r="AA48" i="51" s="1"/>
  <c r="U50" i="60"/>
  <c r="AA55" i="51" s="1"/>
  <c r="U22" i="60"/>
  <c r="AA27" i="51" s="1"/>
  <c r="U9" i="60"/>
  <c r="AA14" i="51" s="1"/>
  <c r="U31" i="60"/>
  <c r="AA36" i="51" s="1"/>
  <c r="U49" i="60"/>
  <c r="AA54" i="51" s="1"/>
  <c r="U28" i="60"/>
  <c r="AA33" i="51" s="1"/>
  <c r="U37" i="60"/>
  <c r="AA42" i="51" s="1"/>
  <c r="U39" i="60"/>
  <c r="AA44" i="51" s="1"/>
  <c r="U21" i="60"/>
  <c r="AA26" i="51" s="1"/>
  <c r="U23" i="60"/>
  <c r="AA28" i="51" s="1"/>
  <c r="U7" i="60"/>
  <c r="AA12" i="51" s="1"/>
  <c r="U20" i="60"/>
  <c r="AA25" i="51" s="1"/>
  <c r="U10" i="60"/>
  <c r="AA15" i="51" s="1"/>
  <c r="U6" i="60"/>
  <c r="AA11" i="51" s="1"/>
  <c r="U8" i="60"/>
  <c r="AA13" i="51" s="1"/>
  <c r="U17" i="60"/>
  <c r="AA22" i="51" s="1"/>
  <c r="U26" i="60"/>
  <c r="AA31" i="51" s="1"/>
  <c r="U25" i="60"/>
  <c r="AA30" i="51" s="1"/>
  <c r="U12" i="60"/>
  <c r="AA17" i="51" s="1"/>
  <c r="U27" i="60"/>
  <c r="AA32" i="51" s="1"/>
  <c r="U24" i="60"/>
  <c r="AA29" i="51" s="1"/>
  <c r="U45" i="60"/>
  <c r="AA50" i="51" s="1"/>
  <c r="U47" i="60"/>
  <c r="AA52" i="51" s="1"/>
  <c r="U16" i="60"/>
  <c r="AA21" i="51" s="1"/>
  <c r="U30" i="60"/>
  <c r="AA35" i="51" s="1"/>
  <c r="U14" i="60"/>
  <c r="AA19" i="51" s="1"/>
  <c r="CR19" i="9"/>
  <c r="CR36" i="9" s="1"/>
  <c r="AI36" i="3"/>
  <c r="I7" i="49"/>
  <c r="P48" i="49"/>
  <c r="P44" i="49"/>
  <c r="AO37" i="22"/>
  <c r="R10" i="46"/>
  <c r="Q10" i="46"/>
  <c r="AW34" i="46" s="1"/>
  <c r="AO36" i="21"/>
  <c r="CX12" i="9"/>
  <c r="DB12" i="9" s="1"/>
  <c r="AP36" i="25"/>
  <c r="AL36" i="6"/>
  <c r="AL36" i="10"/>
  <c r="CR17" i="9"/>
  <c r="AS36" i="29"/>
  <c r="CR20" i="9"/>
  <c r="CR37" i="9" s="1"/>
  <c r="H1" i="41"/>
  <c r="B2" i="40"/>
  <c r="H2" i="41"/>
  <c r="G2" i="41"/>
  <c r="F2" i="41"/>
  <c r="E2" i="41"/>
  <c r="D2" i="41"/>
  <c r="C2" i="41"/>
  <c r="B5" i="41"/>
  <c r="B4" i="41"/>
  <c r="B3" i="41"/>
  <c r="B2" i="41"/>
  <c r="B23" i="42" a="1"/>
  <c r="B23" i="42" s="1"/>
  <c r="X3" i="42" s="1"/>
  <c r="B7" i="42" a="1"/>
  <c r="B7" i="42" s="1"/>
  <c r="B22" i="42" a="1"/>
  <c r="B22" i="42" s="1"/>
  <c r="W3" i="42" s="1"/>
  <c r="B21" i="42" a="1"/>
  <c r="B21" i="42" s="1"/>
  <c r="V3" i="42" s="1"/>
  <c r="B20" i="42" a="1"/>
  <c r="B20" i="42" s="1"/>
  <c r="U3" i="42" s="1"/>
  <c r="B19" i="42" a="1"/>
  <c r="B19" i="42" s="1"/>
  <c r="T3" i="42" s="1"/>
  <c r="B18" i="42" a="1"/>
  <c r="B18" i="42" s="1"/>
  <c r="S3" i="42" s="1"/>
  <c r="B17" i="42" a="1"/>
  <c r="B17" i="42" s="1"/>
  <c r="R3" i="42" s="1"/>
  <c r="B16" i="42" a="1"/>
  <c r="B16" i="42" s="1"/>
  <c r="Q3" i="42" s="1"/>
  <c r="B15" i="42" a="1"/>
  <c r="B15" i="42" s="1"/>
  <c r="P3" i="42" s="1"/>
  <c r="B14" i="42" a="1"/>
  <c r="B14" i="42" s="1"/>
  <c r="O3" i="42" s="1"/>
  <c r="B13" i="42" a="1"/>
  <c r="B13" i="42" s="1"/>
  <c r="N3" i="42" s="1"/>
  <c r="B12" i="42" a="1"/>
  <c r="B12" i="42" s="1"/>
  <c r="M3" i="42" s="1"/>
  <c r="B8" i="42" a="1"/>
  <c r="B8" i="42" s="1"/>
  <c r="B11" i="42" a="1"/>
  <c r="B11" i="42" s="1"/>
  <c r="L3" i="42" s="1"/>
  <c r="B10" i="42" a="1"/>
  <c r="B10" i="42" s="1"/>
  <c r="B9" i="42" a="1"/>
  <c r="B9" i="42" s="1"/>
  <c r="M44" i="35"/>
  <c r="CY16" i="9"/>
  <c r="DC16" i="9" s="1"/>
  <c r="AS37" i="30"/>
  <c r="AL37" i="14"/>
  <c r="AL37" i="8"/>
  <c r="AP37" i="26"/>
  <c r="CU36" i="9"/>
  <c r="AI37" i="1"/>
  <c r="C1" i="41"/>
  <c r="D1" i="41"/>
  <c r="E1" i="41"/>
  <c r="F1" i="41"/>
  <c r="G1" i="41"/>
  <c r="M6" i="35"/>
  <c r="M32" i="35"/>
  <c r="M43" i="35"/>
  <c r="M8" i="35"/>
  <c r="M9" i="35"/>
  <c r="M17" i="35"/>
  <c r="M12" i="35"/>
  <c r="M18" i="35"/>
  <c r="M45" i="35"/>
  <c r="M11" i="35"/>
  <c r="M49" i="35"/>
  <c r="M25" i="35"/>
  <c r="M47" i="35"/>
  <c r="M35" i="35"/>
  <c r="M40" i="35"/>
  <c r="M23" i="35"/>
  <c r="M50" i="35"/>
  <c r="M38" i="35"/>
  <c r="M26" i="35"/>
  <c r="M21" i="35"/>
  <c r="M48" i="35"/>
  <c r="M36" i="35"/>
  <c r="M41" i="35"/>
  <c r="M29" i="35"/>
  <c r="M24" i="35"/>
  <c r="M19" i="35"/>
  <c r="M16" i="35"/>
  <c r="M13" i="35"/>
  <c r="M10" i="35"/>
  <c r="M7" i="35"/>
  <c r="M3" i="35"/>
  <c r="M46" i="35"/>
  <c r="M34" i="35"/>
  <c r="M27" i="35"/>
  <c r="M22" i="35"/>
  <c r="M39" i="35"/>
  <c r="M42" i="35"/>
  <c r="M30" i="35"/>
  <c r="M28" i="35"/>
  <c r="M33" i="35"/>
  <c r="H17" i="35"/>
  <c r="H14" i="35"/>
  <c r="H11" i="35"/>
  <c r="H8" i="35"/>
  <c r="H18" i="35"/>
  <c r="H15" i="35"/>
  <c r="H12" i="35"/>
  <c r="H9" i="35"/>
  <c r="H6" i="35"/>
  <c r="H16" i="35"/>
  <c r="H13" i="35"/>
  <c r="H10" i="35"/>
  <c r="H7" i="35"/>
  <c r="H3" i="35"/>
  <c r="M15" i="35"/>
  <c r="M31" i="35"/>
  <c r="M14" i="35"/>
  <c r="M20" i="35"/>
  <c r="M37" i="35"/>
  <c r="AC41" i="78" l="1"/>
  <c r="AM41" i="78" s="1"/>
  <c r="P22" i="75"/>
  <c r="Y41" i="75"/>
  <c r="AC34" i="76"/>
  <c r="AF34" i="76" s="1"/>
  <c r="AC36" i="76"/>
  <c r="AD36" i="76" s="1"/>
  <c r="Z35" i="78"/>
  <c r="AA35" i="78"/>
  <c r="AS37" i="75"/>
  <c r="AS37" i="78"/>
  <c r="Z34" i="78"/>
  <c r="AA34" i="78"/>
  <c r="Z40" i="78"/>
  <c r="AA40" i="78"/>
  <c r="Z36" i="78"/>
  <c r="AA36" i="78"/>
  <c r="Z39" i="78"/>
  <c r="AA39" i="78"/>
  <c r="AA37" i="78"/>
  <c r="Z37" i="78"/>
  <c r="Z38" i="78"/>
  <c r="AA38" i="78"/>
  <c r="Y40" i="75"/>
  <c r="Y39" i="75"/>
  <c r="Y38" i="75"/>
  <c r="Y37" i="75"/>
  <c r="AC37" i="76"/>
  <c r="AC35" i="76"/>
  <c r="AC38" i="76"/>
  <c r="Y35" i="75"/>
  <c r="Y34" i="75"/>
  <c r="Y36" i="75"/>
  <c r="P19" i="47"/>
  <c r="P20" i="47" s="1"/>
  <c r="W13" i="47" s="1"/>
  <c r="W16" i="46" s="1"/>
  <c r="T10" i="47"/>
  <c r="L3" i="62"/>
  <c r="D7" i="62" a="1"/>
  <c r="D7" i="62" s="1"/>
  <c r="Q6" i="46"/>
  <c r="W6" i="46" s="1"/>
  <c r="P17" i="46"/>
  <c r="P5" i="46"/>
  <c r="W5" i="46" s="1"/>
  <c r="B543" i="36" a="1"/>
  <c r="B543" i="36" s="1"/>
  <c r="U4" i="60"/>
  <c r="T10" i="46"/>
  <c r="AO37" i="21"/>
  <c r="I12" i="49"/>
  <c r="AR34" i="46"/>
  <c r="CX22" i="52" s="1"/>
  <c r="AZ33" i="46"/>
  <c r="AX34" i="46"/>
  <c r="AZ34" i="46" s="1"/>
  <c r="AL37" i="6"/>
  <c r="AS37" i="29"/>
  <c r="AI37" i="3"/>
  <c r="CY12" i="9"/>
  <c r="DC12" i="9" s="1"/>
  <c r="AL37" i="10"/>
  <c r="AP37" i="25"/>
  <c r="CT36" i="9"/>
  <c r="B31" i="42" a="1"/>
  <c r="B31" i="42" s="1"/>
  <c r="Z3" i="42" a="1"/>
  <c r="Z3" i="42" s="1"/>
  <c r="D7" i="42" a="1"/>
  <c r="B273" i="36" a="1"/>
  <c r="B273" i="36" s="1"/>
  <c r="B93" i="36" a="1"/>
  <c r="B93" i="36" s="1"/>
  <c r="B453" i="36" a="1"/>
  <c r="B453" i="36" s="1"/>
  <c r="B363" i="36" a="1"/>
  <c r="B363" i="36" s="1"/>
  <c r="B183" i="36" a="1"/>
  <c r="B183" i="36" s="1"/>
  <c r="B1" i="41"/>
  <c r="H46" i="35"/>
  <c r="H34" i="35"/>
  <c r="H27" i="35"/>
  <c r="H22" i="35"/>
  <c r="H39" i="35"/>
  <c r="H49" i="35"/>
  <c r="H37" i="35"/>
  <c r="H25" i="35"/>
  <c r="H20" i="35"/>
  <c r="H47" i="35"/>
  <c r="H35" i="35"/>
  <c r="H40" i="35"/>
  <c r="H28" i="35"/>
  <c r="H23" i="35"/>
  <c r="H26" i="35"/>
  <c r="H45" i="35"/>
  <c r="H33" i="35"/>
  <c r="H21" i="35"/>
  <c r="H50" i="35"/>
  <c r="H38" i="35"/>
  <c r="H41" i="35"/>
  <c r="H29" i="35"/>
  <c r="H24" i="35"/>
  <c r="H19" i="35"/>
  <c r="H48" i="35"/>
  <c r="H43" i="35"/>
  <c r="H31" i="35"/>
  <c r="H44" i="35"/>
  <c r="H42" i="35"/>
  <c r="H36" i="35"/>
  <c r="H30" i="35"/>
  <c r="H32" i="35"/>
  <c r="C14" i="60"/>
  <c r="C14" i="35"/>
  <c r="D7" i="42" l="1"/>
  <c r="AJ36" i="76"/>
  <c r="AM37" i="76" s="1"/>
  <c r="AG36" i="76"/>
  <c r="AE41" i="78"/>
  <c r="AD41" i="78"/>
  <c r="AF36" i="76"/>
  <c r="AE36" i="76"/>
  <c r="AA41" i="75"/>
  <c r="Z41" i="75"/>
  <c r="AC37" i="78"/>
  <c r="AM37" i="78" s="1"/>
  <c r="AC35" i="78"/>
  <c r="AM35" i="78" s="1"/>
  <c r="AV34" i="76"/>
  <c r="AJ34" i="76"/>
  <c r="AM34" i="76" s="1"/>
  <c r="AD34" i="76"/>
  <c r="AG34" i="76"/>
  <c r="AE34" i="76"/>
  <c r="AS34" i="76"/>
  <c r="AC40" i="78"/>
  <c r="AE40" i="78" s="1"/>
  <c r="AC36" i="78"/>
  <c r="AC39" i="78"/>
  <c r="AH37" i="78" s="1"/>
  <c r="AC34" i="78"/>
  <c r="AH34" i="78" s="1"/>
  <c r="AC38" i="78"/>
  <c r="Z38" i="75"/>
  <c r="AA38" i="75"/>
  <c r="AA34" i="75"/>
  <c r="Z34" i="75"/>
  <c r="AA39" i="75"/>
  <c r="Z39" i="75"/>
  <c r="Z40" i="75"/>
  <c r="AA40" i="75"/>
  <c r="AJ38" i="76"/>
  <c r="AM35" i="76" s="1"/>
  <c r="AD38" i="76"/>
  <c r="AE38" i="76"/>
  <c r="AD35" i="76"/>
  <c r="AG35" i="76"/>
  <c r="AF35" i="76"/>
  <c r="AE35" i="76"/>
  <c r="AJ35" i="76"/>
  <c r="AM36" i="76" s="1"/>
  <c r="AJ37" i="76"/>
  <c r="AM38" i="76" s="1"/>
  <c r="AG37" i="76"/>
  <c r="AF37" i="76"/>
  <c r="AD37" i="76"/>
  <c r="AE37" i="76"/>
  <c r="AA36" i="75"/>
  <c r="Z36" i="75"/>
  <c r="AA37" i="75"/>
  <c r="Z37" i="75"/>
  <c r="AA35" i="75"/>
  <c r="Z35" i="75"/>
  <c r="W14" i="47"/>
  <c r="I23" i="52" s="1"/>
  <c r="I35" i="52" s="1"/>
  <c r="B31" i="62" a="1"/>
  <c r="B31" i="62" s="1"/>
  <c r="Z3" i="62" a="1"/>
  <c r="Z3" i="62" s="1"/>
  <c r="Y23" i="52"/>
  <c r="AI23" i="52"/>
  <c r="C19" i="60"/>
  <c r="F3" i="60" s="1"/>
  <c r="Q26" i="49"/>
  <c r="T26" i="49" s="1"/>
  <c r="Q34" i="49"/>
  <c r="T27" i="49" s="1"/>
  <c r="Q18" i="49"/>
  <c r="T25" i="49" s="1"/>
  <c r="B3" i="36" a="1"/>
  <c r="B3" i="36" s="1"/>
  <c r="C19" i="35"/>
  <c r="F3" i="35" s="1"/>
  <c r="AI34" i="78" l="1"/>
  <c r="AJ34" i="78"/>
  <c r="AD37" i="78"/>
  <c r="AH36" i="78"/>
  <c r="AE35" i="78"/>
  <c r="AI37" i="78"/>
  <c r="AJ37" i="78"/>
  <c r="AD35" i="78"/>
  <c r="AD36" i="78"/>
  <c r="AH35" i="78"/>
  <c r="AC41" i="75"/>
  <c r="AM41" i="75" s="1"/>
  <c r="AM36" i="78"/>
  <c r="Q10" i="76" a="1"/>
  <c r="Q10" i="76" s="1"/>
  <c r="AD40" i="78"/>
  <c r="AM40" i="78"/>
  <c r="Q9" i="76" a="1"/>
  <c r="Q9" i="76" s="1"/>
  <c r="AM38" i="78"/>
  <c r="AD38" i="78"/>
  <c r="AE38" i="78"/>
  <c r="AD34" i="78"/>
  <c r="AS34" i="78"/>
  <c r="CW28" i="9" s="1"/>
  <c r="AM34" i="78"/>
  <c r="AO34" i="78" s="1"/>
  <c r="AV34" i="78"/>
  <c r="CY28" i="9" s="1"/>
  <c r="AM39" i="78"/>
  <c r="AD39" i="78"/>
  <c r="AC34" i="75"/>
  <c r="AH34" i="75" s="1"/>
  <c r="AC38" i="75"/>
  <c r="AM38" i="75" s="1"/>
  <c r="AC39" i="75"/>
  <c r="AH37" i="75" s="1"/>
  <c r="AC40" i="75"/>
  <c r="AE40" i="75" s="1"/>
  <c r="AC37" i="75"/>
  <c r="AC36" i="75"/>
  <c r="AC35" i="75"/>
  <c r="AN12" i="46"/>
  <c r="AN17" i="46" s="1"/>
  <c r="L3" i="60"/>
  <c r="S31" i="49" a="1"/>
  <c r="S29" i="49" a="1"/>
  <c r="S29" i="49" s="1"/>
  <c r="X34" i="2"/>
  <c r="X20" i="2"/>
  <c r="X53" i="2"/>
  <c r="X17" i="2"/>
  <c r="X19" i="2"/>
  <c r="X30" i="2"/>
  <c r="X24" i="2"/>
  <c r="X21" i="2"/>
  <c r="X27" i="2"/>
  <c r="X25" i="2"/>
  <c r="X51" i="2"/>
  <c r="X47" i="2"/>
  <c r="X50" i="2"/>
  <c r="X38" i="2"/>
  <c r="X37" i="2"/>
  <c r="X44" i="2"/>
  <c r="X36" i="2"/>
  <c r="X32" i="2"/>
  <c r="X23" i="2"/>
  <c r="X49" i="2"/>
  <c r="X31" i="2"/>
  <c r="X41" i="2"/>
  <c r="X48" i="2"/>
  <c r="X12" i="2"/>
  <c r="X22" i="2"/>
  <c r="X39" i="2"/>
  <c r="X42" i="2"/>
  <c r="X54" i="2"/>
  <c r="X46" i="2"/>
  <c r="X16" i="2"/>
  <c r="X45" i="2"/>
  <c r="X52" i="2"/>
  <c r="X10" i="2"/>
  <c r="X15" i="2"/>
  <c r="X14" i="2"/>
  <c r="X28" i="2"/>
  <c r="X13" i="2"/>
  <c r="X40" i="2"/>
  <c r="X26" i="2"/>
  <c r="X35" i="2"/>
  <c r="X11" i="2"/>
  <c r="X33" i="2"/>
  <c r="X29" i="2"/>
  <c r="X18" i="2"/>
  <c r="X43" i="2"/>
  <c r="U8" i="35"/>
  <c r="U21" i="35"/>
  <c r="U14" i="35"/>
  <c r="U23" i="35"/>
  <c r="U7" i="35"/>
  <c r="U46" i="35"/>
  <c r="U38" i="35"/>
  <c r="U20" i="35"/>
  <c r="U28" i="35"/>
  <c r="U10" i="35"/>
  <c r="U45" i="35"/>
  <c r="U33" i="35"/>
  <c r="U9" i="35"/>
  <c r="U37" i="35"/>
  <c r="U40" i="35"/>
  <c r="U13" i="35"/>
  <c r="U34" i="35"/>
  <c r="U17" i="35"/>
  <c r="U50" i="35"/>
  <c r="U35" i="35"/>
  <c r="U16" i="35"/>
  <c r="U27" i="35"/>
  <c r="U25" i="35"/>
  <c r="U11" i="35"/>
  <c r="U47" i="35"/>
  <c r="U19" i="35"/>
  <c r="U31" i="35"/>
  <c r="U22" i="35"/>
  <c r="U39" i="35"/>
  <c r="U30" i="35"/>
  <c r="U24" i="35"/>
  <c r="U43" i="35"/>
  <c r="U26" i="35"/>
  <c r="U42" i="35"/>
  <c r="U29" i="35"/>
  <c r="U6" i="35"/>
  <c r="U36" i="35"/>
  <c r="U49" i="35"/>
  <c r="U41" i="35"/>
  <c r="U12" i="35"/>
  <c r="U48" i="35"/>
  <c r="U32" i="35"/>
  <c r="U15" i="35"/>
  <c r="U18" i="35"/>
  <c r="U44" i="35"/>
  <c r="L3" i="35"/>
  <c r="Q9" i="78" l="1" a="1"/>
  <c r="R9" i="78" s="1"/>
  <c r="AJ35" i="78"/>
  <c r="AI35" i="78"/>
  <c r="AI36" i="78"/>
  <c r="AJ36" i="78"/>
  <c r="AM36" i="75"/>
  <c r="AH35" i="75"/>
  <c r="AJ34" i="75"/>
  <c r="AI34" i="75"/>
  <c r="AJ37" i="75"/>
  <c r="AI37" i="75"/>
  <c r="AM37" i="75"/>
  <c r="AH36" i="75"/>
  <c r="AE41" i="75"/>
  <c r="AD41" i="75"/>
  <c r="AM34" i="75"/>
  <c r="AO34" i="75" s="1"/>
  <c r="R10" i="76"/>
  <c r="S10" i="76" s="1"/>
  <c r="R9" i="76"/>
  <c r="AE38" i="75"/>
  <c r="AD38" i="75"/>
  <c r="AM39" i="75"/>
  <c r="AD39" i="75"/>
  <c r="AE35" i="75"/>
  <c r="AM35" i="75"/>
  <c r="AM40" i="75"/>
  <c r="AD40" i="75"/>
  <c r="AD37" i="75"/>
  <c r="AD35" i="75"/>
  <c r="AS34" i="75"/>
  <c r="CV28" i="9" s="1"/>
  <c r="AV34" i="75"/>
  <c r="CX28" i="9" s="1"/>
  <c r="AD34" i="75"/>
  <c r="AD36" i="75"/>
  <c r="AA12" i="2"/>
  <c r="AA43" i="2"/>
  <c r="AA48" i="2"/>
  <c r="AA22" i="2"/>
  <c r="AA26" i="2"/>
  <c r="AA37" i="2"/>
  <c r="AA49" i="2"/>
  <c r="AA14" i="2"/>
  <c r="AA17" i="2"/>
  <c r="AA41" i="2"/>
  <c r="AA13" i="2"/>
  <c r="AA35" i="2"/>
  <c r="AA23" i="2"/>
  <c r="AA32" i="2"/>
  <c r="AA19" i="2"/>
  <c r="AA36" i="2"/>
  <c r="AA52" i="2"/>
  <c r="AA16" i="2"/>
  <c r="AA42" i="2"/>
  <c r="AA44" i="2"/>
  <c r="AA29" i="2"/>
  <c r="AA53" i="2"/>
  <c r="AA31" i="2"/>
  <c r="AA50" i="2"/>
  <c r="AA34" i="2"/>
  <c r="AA51" i="2"/>
  <c r="AA15" i="2"/>
  <c r="AA24" i="2"/>
  <c r="AA11" i="2"/>
  <c r="AA20" i="2"/>
  <c r="AA10" i="2"/>
  <c r="AA39" i="2"/>
  <c r="AA27" i="2"/>
  <c r="AA45" i="2"/>
  <c r="AA40" i="2"/>
  <c r="AA33" i="2"/>
  <c r="AA54" i="2"/>
  <c r="AA18" i="2"/>
  <c r="AA30" i="2"/>
  <c r="AA38" i="2"/>
  <c r="AA47" i="2"/>
  <c r="AA28" i="2"/>
  <c r="AA46" i="2"/>
  <c r="AA21" i="2"/>
  <c r="AA25" i="2"/>
  <c r="T31" i="49"/>
  <c r="U31" i="49"/>
  <c r="S31" i="49"/>
  <c r="U4" i="35"/>
  <c r="W9" i="76" l="1"/>
  <c r="Y9" i="76" s="1"/>
  <c r="Q9" i="78"/>
  <c r="S9" i="78" s="1"/>
  <c r="AV36" i="76"/>
  <c r="AJ36" i="75"/>
  <c r="AI36" i="75"/>
  <c r="AJ35" i="75"/>
  <c r="AI35" i="75"/>
  <c r="S9" i="76"/>
  <c r="Q9" i="75" a="1"/>
  <c r="Q9" i="75" s="1"/>
  <c r="AP35" i="76"/>
  <c r="S22" i="49"/>
  <c r="I13" i="49" s="1"/>
  <c r="I25" i="49" s="1"/>
  <c r="AA56" i="51"/>
  <c r="M43" i="2"/>
  <c r="L43" i="2"/>
  <c r="O102" i="2"/>
  <c r="Q25" i="30"/>
  <c r="Q24" i="30"/>
  <c r="Q23" i="30"/>
  <c r="Q25" i="29"/>
  <c r="Q26" i="29"/>
  <c r="Q24" i="29"/>
  <c r="W10" i="76" l="1"/>
  <c r="P5" i="75" a="1"/>
  <c r="P5" i="75" s="1"/>
  <c r="P6" i="75" a="1"/>
  <c r="P6" i="75" s="1"/>
  <c r="R9" i="75"/>
  <c r="AN28" i="78"/>
  <c r="AO35" i="78"/>
  <c r="Q10" i="78" s="1" a="1"/>
  <c r="I17" i="49"/>
  <c r="F17" i="49" s="1"/>
  <c r="F25" i="49"/>
  <c r="E26" i="49" a="1"/>
  <c r="E26" i="49" s="1"/>
  <c r="I27" i="49"/>
  <c r="AK5" i="9"/>
  <c r="AK6" i="9"/>
  <c r="L36" i="2"/>
  <c r="E36" i="2"/>
  <c r="M36" i="2"/>
  <c r="G36" i="2"/>
  <c r="BW17" i="9"/>
  <c r="C6" i="9"/>
  <c r="O55" i="9" l="1" a="1"/>
  <c r="O55" i="9" s="1"/>
  <c r="BD3" i="9"/>
  <c r="O50" i="9" a="1"/>
  <c r="O50" i="9" s="1"/>
  <c r="O42" i="9" a="1"/>
  <c r="O42" i="9" s="1"/>
  <c r="W2" i="79"/>
  <c r="AI10" i="79" s="1" a="1"/>
  <c r="AI10" i="79" s="1"/>
  <c r="R15" i="9" s="1"/>
  <c r="Q5" i="75"/>
  <c r="W5" i="75" s="1"/>
  <c r="AI29" i="9" s="1"/>
  <c r="Q6" i="75"/>
  <c r="W6" i="75" s="1"/>
  <c r="Y29" i="9" s="1"/>
  <c r="CJ36" i="9" a="1"/>
  <c r="CJ36" i="9" s="1"/>
  <c r="DN36" i="9"/>
  <c r="DN38" i="9" s="1"/>
  <c r="DI36" i="9"/>
  <c r="J36" i="9"/>
  <c r="N36" i="9"/>
  <c r="S9" i="75"/>
  <c r="Q10" i="78"/>
  <c r="R10" i="78"/>
  <c r="AO35" i="75"/>
  <c r="AO30" i="75"/>
  <c r="I18" i="49"/>
  <c r="I19" i="49" s="1"/>
  <c r="E19" i="49" s="1"/>
  <c r="E17" i="49"/>
  <c r="F4" i="59"/>
  <c r="O7" i="59"/>
  <c r="N7" i="59"/>
  <c r="F7" i="59"/>
  <c r="O6" i="59"/>
  <c r="F6" i="59"/>
  <c r="F5" i="59"/>
  <c r="N6" i="59"/>
  <c r="F20" i="59"/>
  <c r="I30" i="49"/>
  <c r="I31" i="49" s="1"/>
  <c r="E30" i="49" s="1"/>
  <c r="I29" i="49"/>
  <c r="E29" i="49" s="1"/>
  <c r="I28" i="49"/>
  <c r="E28" i="49" s="1"/>
  <c r="BY17" i="9"/>
  <c r="X55" i="29" a="1"/>
  <c r="X55" i="29" s="1"/>
  <c r="V6" i="79" l="1" a="1"/>
  <c r="V6" i="79" s="1"/>
  <c r="C11" i="9" s="1"/>
  <c r="AI8" i="79" a="1"/>
  <c r="AI8" i="79" s="1"/>
  <c r="R13" i="9" s="1"/>
  <c r="AI11" i="79" a="1"/>
  <c r="AI11" i="79" s="1"/>
  <c r="R16" i="9" s="1"/>
  <c r="AG6" i="79" a="1"/>
  <c r="AG6" i="79" s="1"/>
  <c r="P11" i="9" s="1"/>
  <c r="AG7" i="79" a="1"/>
  <c r="AG7" i="79" s="1"/>
  <c r="P12" i="9" s="1"/>
  <c r="AB7" i="79" a="1"/>
  <c r="AB7" i="79" s="1"/>
  <c r="I12" i="9" s="1"/>
  <c r="AB5" i="79" a="1"/>
  <c r="AB5" i="79" s="1"/>
  <c r="I10" i="9" s="1"/>
  <c r="Z7" i="79" a="1"/>
  <c r="Z7" i="79" s="1"/>
  <c r="G12" i="9" s="1"/>
  <c r="AE6" i="79" a="1"/>
  <c r="AE6" i="79" s="1"/>
  <c r="N11" i="9" s="1"/>
  <c r="X10" i="79" a="1"/>
  <c r="X10" i="79" s="1"/>
  <c r="E15" i="9" s="1"/>
  <c r="AG5" i="79" a="1"/>
  <c r="AG5" i="79" s="1"/>
  <c r="P10" i="9" s="1"/>
  <c r="AE13" i="79" a="1"/>
  <c r="AE13" i="79" s="1"/>
  <c r="N18" i="9" s="1"/>
  <c r="AI7" i="79" a="1"/>
  <c r="AI7" i="79" s="1"/>
  <c r="R12" i="9" s="1"/>
  <c r="AC6" i="79" a="1"/>
  <c r="AC6" i="79" s="1"/>
  <c r="J11" i="9" s="1"/>
  <c r="AK12" i="79" a="1"/>
  <c r="AK12" i="79" s="1"/>
  <c r="AL13" i="79" a="1"/>
  <c r="AL13" i="79" s="1"/>
  <c r="AB8" i="79" a="1"/>
  <c r="AB8" i="79" s="1"/>
  <c r="I13" i="9" s="1"/>
  <c r="AE4" i="79" a="1"/>
  <c r="AE4" i="79" s="1"/>
  <c r="AI5" i="79" a="1"/>
  <c r="AI5" i="79" s="1"/>
  <c r="R10" i="9" s="1"/>
  <c r="AL6" i="79" a="1"/>
  <c r="AL6" i="79" s="1"/>
  <c r="U11" i="9" s="1"/>
  <c r="W6" i="79" a="1"/>
  <c r="W6" i="79" s="1"/>
  <c r="D11" i="9" s="1"/>
  <c r="X8" i="79" a="1"/>
  <c r="X8" i="79" s="1"/>
  <c r="E13" i="9" s="1"/>
  <c r="X12" i="79" a="1"/>
  <c r="X12" i="79" s="1"/>
  <c r="E17" i="9" s="1"/>
  <c r="AK10" i="79" a="1"/>
  <c r="AK10" i="79" s="1"/>
  <c r="T15" i="9" s="1"/>
  <c r="Y6" i="79" a="1"/>
  <c r="Y6" i="79" s="1"/>
  <c r="F11" i="9" s="1"/>
  <c r="AJ6" i="79" a="1"/>
  <c r="AJ6" i="79" s="1"/>
  <c r="S11" i="9" s="1"/>
  <c r="AK7" i="79" a="1"/>
  <c r="AK7" i="79" s="1"/>
  <c r="T12" i="9" s="1"/>
  <c r="Z6" i="79" a="1"/>
  <c r="Z6" i="79" s="1"/>
  <c r="G11" i="9" s="1"/>
  <c r="AE9" i="79" a="1"/>
  <c r="AE9" i="79" s="1"/>
  <c r="N14" i="9" s="1"/>
  <c r="AI6" i="79" a="1"/>
  <c r="AI6" i="79" s="1"/>
  <c r="R11" i="9" s="1"/>
  <c r="W4" i="79" a="1"/>
  <c r="W4" i="79" s="1"/>
  <c r="Z10" i="79" a="1"/>
  <c r="Z10" i="79" s="1"/>
  <c r="G15" i="9" s="1"/>
  <c r="AB9" i="79" a="1"/>
  <c r="AB9" i="79" s="1"/>
  <c r="I14" i="9" s="1"/>
  <c r="AE11" i="79" a="1"/>
  <c r="AE11" i="79" s="1"/>
  <c r="N16" i="9" s="1"/>
  <c r="AB10" i="79" a="1"/>
  <c r="AB10" i="79" s="1"/>
  <c r="I15" i="9" s="1"/>
  <c r="X9" i="79" a="1"/>
  <c r="X9" i="79" s="1"/>
  <c r="E14" i="9" s="1"/>
  <c r="AF6" i="79" a="1"/>
  <c r="AF6" i="79" s="1"/>
  <c r="O11" i="9" s="1"/>
  <c r="Z5" i="79" a="1"/>
  <c r="Z5" i="79" s="1"/>
  <c r="G10" i="9" s="1"/>
  <c r="V12" i="79" a="1"/>
  <c r="V12" i="79" s="1"/>
  <c r="C17" i="9" s="1"/>
  <c r="AB11" i="79" a="1"/>
  <c r="AB11" i="79" s="1"/>
  <c r="I16" i="9" s="1"/>
  <c r="V5" i="79" a="1"/>
  <c r="V5" i="79" s="1"/>
  <c r="C10" i="9" s="1"/>
  <c r="Z12" i="79" a="1"/>
  <c r="Z12" i="79" s="1"/>
  <c r="G17" i="9" s="1"/>
  <c r="AK8" i="79" a="1"/>
  <c r="AK8" i="79" s="1"/>
  <c r="T13" i="9" s="1"/>
  <c r="AE8" i="79" a="1"/>
  <c r="AE8" i="79" s="1"/>
  <c r="N13" i="9" s="1"/>
  <c r="AK9" i="79" a="1"/>
  <c r="AK9" i="79" s="1"/>
  <c r="T14" i="9" s="1"/>
  <c r="Z11" i="79" a="1"/>
  <c r="Z11" i="79" s="1"/>
  <c r="G16" i="9" s="1"/>
  <c r="X7" i="79" a="1"/>
  <c r="X7" i="79" s="1"/>
  <c r="E12" i="9" s="1"/>
  <c r="AF4" i="79" a="1"/>
  <c r="AF4" i="79" s="1"/>
  <c r="AG12" i="79" a="1"/>
  <c r="AG12" i="79" s="1"/>
  <c r="P17" i="9" s="1"/>
  <c r="V8" i="79" a="1"/>
  <c r="V8" i="79" s="1"/>
  <c r="C13" i="9" s="1"/>
  <c r="AK13" i="79" a="1"/>
  <c r="AK13" i="79" s="1"/>
  <c r="V13" i="79" a="1"/>
  <c r="V13" i="79" s="1"/>
  <c r="C18" i="9" s="1"/>
  <c r="AG10" i="79" a="1"/>
  <c r="AG10" i="79" s="1"/>
  <c r="P15" i="9" s="1"/>
  <c r="AL12" i="79" a="1"/>
  <c r="AL12" i="79" s="1"/>
  <c r="X6" i="79" a="1"/>
  <c r="X6" i="79" s="1"/>
  <c r="E11" i="9" s="1"/>
  <c r="AI9" i="79" a="1"/>
  <c r="AI9" i="79" s="1"/>
  <c r="R14" i="9" s="1"/>
  <c r="AE5" i="79" a="1"/>
  <c r="AE5" i="79" s="1"/>
  <c r="N10" i="9" s="1"/>
  <c r="AK6" i="79" a="1"/>
  <c r="AK6" i="79" s="1"/>
  <c r="T11" i="9" s="1"/>
  <c r="AH6" i="79" a="1"/>
  <c r="AH6" i="79" s="1"/>
  <c r="Q11" i="9" s="1"/>
  <c r="AE10" i="79" a="1"/>
  <c r="AE10" i="79" s="1"/>
  <c r="N15" i="9" s="1"/>
  <c r="Z8" i="79" a="1"/>
  <c r="Z8" i="79" s="1"/>
  <c r="G13" i="9" s="1"/>
  <c r="Z9" i="79" a="1"/>
  <c r="Z9" i="79" s="1"/>
  <c r="G14" i="9" s="1"/>
  <c r="X13" i="79" a="1"/>
  <c r="X13" i="79" s="1"/>
  <c r="E18" i="9" s="1"/>
  <c r="AK5" i="79" a="1"/>
  <c r="AK5" i="79" s="1"/>
  <c r="T10" i="9" s="1"/>
  <c r="AI12" i="79" a="1"/>
  <c r="AI12" i="79" s="1"/>
  <c r="R17" i="9" s="1"/>
  <c r="X5" i="79" a="1"/>
  <c r="X5" i="79" s="1"/>
  <c r="E10" i="9" s="1"/>
  <c r="V11" i="79" a="1"/>
  <c r="V11" i="79" s="1"/>
  <c r="C16" i="9" s="1"/>
  <c r="AA6" i="79" a="1"/>
  <c r="AA6" i="79" s="1"/>
  <c r="H11" i="9" s="1"/>
  <c r="X11" i="79" a="1"/>
  <c r="X11" i="79" s="1"/>
  <c r="E16" i="9" s="1"/>
  <c r="V7" i="79" a="1"/>
  <c r="V7" i="79" s="1"/>
  <c r="C12" i="9" s="1"/>
  <c r="AE7" i="79" a="1"/>
  <c r="AE7" i="79" s="1"/>
  <c r="N12" i="9" s="1"/>
  <c r="AG11" i="79" a="1"/>
  <c r="AG11" i="79" s="1"/>
  <c r="P16" i="9" s="1"/>
  <c r="V9" i="79" a="1"/>
  <c r="V9" i="79" s="1"/>
  <c r="C14" i="9" s="1"/>
  <c r="AG13" i="79" a="1"/>
  <c r="AG13" i="79" s="1"/>
  <c r="P18" i="9" s="1"/>
  <c r="AB6" i="79" a="1"/>
  <c r="AB6" i="79" s="1"/>
  <c r="I11" i="9" s="1"/>
  <c r="AI13" i="79" a="1"/>
  <c r="AI13" i="79" s="1"/>
  <c r="AJ13" i="79" a="1"/>
  <c r="AJ13" i="79" s="1"/>
  <c r="AG9" i="79" a="1"/>
  <c r="AG9" i="79" s="1"/>
  <c r="P14" i="9" s="1"/>
  <c r="AK11" i="79" a="1"/>
  <c r="AK11" i="79" s="1"/>
  <c r="T16" i="9" s="1"/>
  <c r="V10" i="79" a="1"/>
  <c r="V10" i="79" s="1"/>
  <c r="C15" i="9" s="1"/>
  <c r="AE12" i="79" a="1"/>
  <c r="AE12" i="79" s="1"/>
  <c r="N17" i="9" s="1"/>
  <c r="AG8" i="79" a="1"/>
  <c r="AG8" i="79" s="1"/>
  <c r="P13" i="9" s="1"/>
  <c r="V4" i="79" a="1"/>
  <c r="V4" i="79" s="1"/>
  <c r="W9" i="78"/>
  <c r="C5" i="77" s="1"/>
  <c r="E5" i="77" s="1"/>
  <c r="AV36" i="78"/>
  <c r="DA28" i="9" s="1"/>
  <c r="S10" i="78"/>
  <c r="Q10" i="75" a="1"/>
  <c r="I21" i="49"/>
  <c r="I22" i="49" s="1"/>
  <c r="E21" i="49" s="1"/>
  <c r="I20" i="49"/>
  <c r="E20" i="49" s="1"/>
  <c r="S10" i="51" a="1"/>
  <c r="S10" i="51" s="1"/>
  <c r="E31" i="49"/>
  <c r="G33" i="59"/>
  <c r="G20" i="59" a="1"/>
  <c r="G20" i="59" s="1"/>
  <c r="H33" i="59"/>
  <c r="Z55" i="29"/>
  <c r="Y55" i="29"/>
  <c r="W52" i="78" l="1"/>
  <c r="W53" i="78"/>
  <c r="H29" i="9"/>
  <c r="W48" i="78"/>
  <c r="W51" i="78"/>
  <c r="W10" i="78"/>
  <c r="G29" i="9" s="1"/>
  <c r="Y9" i="78"/>
  <c r="W45" i="78"/>
  <c r="W47" i="78"/>
  <c r="W54" i="78"/>
  <c r="W46" i="78"/>
  <c r="R10" i="75"/>
  <c r="Q10" i="75"/>
  <c r="E22" i="49"/>
  <c r="F33" i="59"/>
  <c r="F34" i="59"/>
  <c r="F37" i="59" s="1"/>
  <c r="L26" i="31"/>
  <c r="M26" i="31"/>
  <c r="N26" i="31"/>
  <c r="O26" i="31"/>
  <c r="P26" i="31"/>
  <c r="Q26" i="31"/>
  <c r="R26" i="31"/>
  <c r="L27" i="31"/>
  <c r="M27" i="31"/>
  <c r="N27" i="31"/>
  <c r="O27" i="31"/>
  <c r="P27" i="31"/>
  <c r="Q27" i="31"/>
  <c r="R27" i="31"/>
  <c r="L28" i="31"/>
  <c r="M28" i="31"/>
  <c r="N28" i="31"/>
  <c r="O28" i="31"/>
  <c r="P28" i="31"/>
  <c r="Q28" i="31"/>
  <c r="R28" i="31"/>
  <c r="L29" i="31"/>
  <c r="M29" i="31"/>
  <c r="N29" i="31"/>
  <c r="O29" i="31"/>
  <c r="P29" i="31"/>
  <c r="Q29" i="31"/>
  <c r="R29" i="31"/>
  <c r="K27" i="31"/>
  <c r="K28" i="31"/>
  <c r="K29" i="31"/>
  <c r="K26" i="31"/>
  <c r="C12" i="31" a="1"/>
  <c r="C12" i="31" s="1"/>
  <c r="W49" i="78" l="1"/>
  <c r="X49" i="78" s="1"/>
  <c r="W55" i="78"/>
  <c r="W9" i="75"/>
  <c r="AV36" i="75"/>
  <c r="CZ28" i="9" s="1"/>
  <c r="S10" i="75"/>
  <c r="M30" i="31"/>
  <c r="M31" i="31" s="1"/>
  <c r="E39" i="31" s="1"/>
  <c r="R30" i="31"/>
  <c r="R31" i="31" s="1"/>
  <c r="J39" i="31" s="1"/>
  <c r="N30" i="31"/>
  <c r="N31" i="31" s="1"/>
  <c r="F39" i="31" s="1"/>
  <c r="Q30" i="31"/>
  <c r="Q31" i="31" s="1"/>
  <c r="I39" i="31" s="1"/>
  <c r="L30" i="31"/>
  <c r="L31" i="31" s="1"/>
  <c r="D39" i="31" s="1"/>
  <c r="P30" i="31"/>
  <c r="P31" i="31" s="1"/>
  <c r="H39" i="31" s="1"/>
  <c r="O30" i="31"/>
  <c r="O31" i="31" s="1"/>
  <c r="G39" i="31" s="1"/>
  <c r="K30" i="31"/>
  <c r="K31" i="31" s="1"/>
  <c r="F44" i="59" a="1"/>
  <c r="F44" i="59" s="1"/>
  <c r="G43" i="59"/>
  <c r="F43" i="59"/>
  <c r="E43" i="59"/>
  <c r="G44" i="59" a="1"/>
  <c r="G44" i="59" s="1"/>
  <c r="E44" i="59" a="1"/>
  <c r="E44" i="59" s="1"/>
  <c r="D12" i="31"/>
  <c r="AC55" i="78" l="1"/>
  <c r="AB49" i="78"/>
  <c r="AE55" i="78"/>
  <c r="AD55" i="78"/>
  <c r="Y49" i="78"/>
  <c r="AD49" i="78"/>
  <c r="AB55" i="78"/>
  <c r="AA55" i="78"/>
  <c r="Y55" i="78"/>
  <c r="AC49" i="78"/>
  <c r="AE49" i="78"/>
  <c r="Z55" i="78"/>
  <c r="X55" i="78"/>
  <c r="Z49" i="78"/>
  <c r="AA49" i="78"/>
  <c r="W54" i="75"/>
  <c r="W53" i="75"/>
  <c r="W52" i="75"/>
  <c r="W51" i="75"/>
  <c r="E29" i="9"/>
  <c r="W48" i="75"/>
  <c r="W47" i="75"/>
  <c r="W46" i="75"/>
  <c r="W45" i="75"/>
  <c r="C4" i="77"/>
  <c r="E4" i="77" s="1"/>
  <c r="W10" i="75"/>
  <c r="D29" i="9" s="1"/>
  <c r="Y9" i="75"/>
  <c r="T31" i="31" a="1"/>
  <c r="T31" i="31" s="1"/>
  <c r="F39" i="59"/>
  <c r="G39" i="59" s="1"/>
  <c r="F38" i="59"/>
  <c r="G38" i="59" s="1"/>
  <c r="C39" i="31"/>
  <c r="R60" i="29" a="1"/>
  <c r="R60" i="29" s="1"/>
  <c r="R65" i="29" a="1"/>
  <c r="S65" i="29" s="1"/>
  <c r="R70" i="29" a="1"/>
  <c r="R70" i="29" s="1"/>
  <c r="R75" i="29" a="1"/>
  <c r="R75" i="29" s="1"/>
  <c r="C16" i="77" l="1"/>
  <c r="F16" i="77" s="1"/>
  <c r="C15" i="77"/>
  <c r="W55" i="75"/>
  <c r="W49" i="75"/>
  <c r="N5" i="59"/>
  <c r="N4" i="59"/>
  <c r="DK23" i="52" s="1"/>
  <c r="O5" i="59"/>
  <c r="O4" i="59"/>
  <c r="DL23" i="52" s="1"/>
  <c r="T60" i="29"/>
  <c r="S60" i="29"/>
  <c r="R65" i="29"/>
  <c r="T65" i="29"/>
  <c r="S70" i="29"/>
  <c r="T70" i="29"/>
  <c r="S75" i="29"/>
  <c r="T75" i="29"/>
  <c r="F15" i="77" l="1"/>
  <c r="C33" i="77" s="1"/>
  <c r="AE55" i="75"/>
  <c r="AC55" i="75"/>
  <c r="AD55" i="75"/>
  <c r="AB55" i="75"/>
  <c r="Y49" i="75"/>
  <c r="AH45" i="75" s="1"/>
  <c r="AA29" i="9" s="1"/>
  <c r="AA55" i="75"/>
  <c r="Y55" i="75"/>
  <c r="AH51" i="75" s="1"/>
  <c r="Q29" i="9" s="1"/>
  <c r="AB49" i="75"/>
  <c r="AA49" i="75"/>
  <c r="Z49" i="75"/>
  <c r="X49" i="75"/>
  <c r="AG45" i="75" s="1"/>
  <c r="Z55" i="75"/>
  <c r="X55" i="75"/>
  <c r="AG51" i="75" s="1"/>
  <c r="AE49" i="75"/>
  <c r="AD49" i="75"/>
  <c r="AC49" i="75"/>
  <c r="X51" i="30" a="1"/>
  <c r="X51" i="30" s="1"/>
  <c r="X55" i="30" a="1"/>
  <c r="Z55" i="30" s="1"/>
  <c r="X54" i="30" a="1"/>
  <c r="Z54" i="30" s="1"/>
  <c r="X53" i="30" a="1"/>
  <c r="Z53" i="30" s="1"/>
  <c r="X52" i="30" a="1"/>
  <c r="Z52" i="30" s="1"/>
  <c r="X38" i="30"/>
  <c r="W38" i="30"/>
  <c r="V38" i="30"/>
  <c r="X51" i="29" a="1"/>
  <c r="X51" i="29" s="1"/>
  <c r="X53" i="29" a="1"/>
  <c r="X53" i="29" s="1"/>
  <c r="X54" i="29" a="1"/>
  <c r="X54" i="29" s="1"/>
  <c r="X52" i="29" a="1"/>
  <c r="X52" i="29" s="1"/>
  <c r="W38" i="29"/>
  <c r="X38" i="29"/>
  <c r="V38" i="29"/>
  <c r="P29" i="9" l="1"/>
  <c r="Z29" i="9"/>
  <c r="AI51" i="75"/>
  <c r="AI45" i="75"/>
  <c r="AB29" i="9" s="1"/>
  <c r="Z51" i="30"/>
  <c r="Y51" i="30"/>
  <c r="X52" i="30"/>
  <c r="X54" i="30"/>
  <c r="Y52" i="30"/>
  <c r="Y54" i="30"/>
  <c r="X53" i="30"/>
  <c r="X55" i="30"/>
  <c r="Y53" i="30"/>
  <c r="Y55" i="30"/>
  <c r="Z51" i="29"/>
  <c r="Y51" i="29"/>
  <c r="Z53" i="29"/>
  <c r="Y53" i="29"/>
  <c r="Z54" i="29"/>
  <c r="Y54" i="29"/>
  <c r="Z52" i="29"/>
  <c r="Y52" i="29"/>
  <c r="R29" i="9" l="1"/>
  <c r="AJ51" i="75"/>
  <c r="S29" i="9" s="1"/>
  <c r="AJ45" i="75"/>
  <c r="AC29" i="9" s="1"/>
  <c r="AX10" i="9"/>
  <c r="AV10" i="9"/>
  <c r="AT10" i="9"/>
  <c r="AR10" i="9"/>
  <c r="AT12" i="9"/>
  <c r="AV12" i="9"/>
  <c r="AX12" i="9"/>
  <c r="AT13" i="9"/>
  <c r="AV13" i="9"/>
  <c r="AX13" i="9"/>
  <c r="AT14" i="9"/>
  <c r="AV14" i="9"/>
  <c r="AX14" i="9"/>
  <c r="AT15" i="9"/>
  <c r="AV15" i="9"/>
  <c r="AX15" i="9"/>
  <c r="AT16" i="9"/>
  <c r="AV16" i="9"/>
  <c r="AX16" i="9"/>
  <c r="AT17" i="9"/>
  <c r="AV17" i="9"/>
  <c r="AT18" i="9"/>
  <c r="AR13" i="9"/>
  <c r="AR14" i="9"/>
  <c r="AR15" i="9"/>
  <c r="AR16" i="9"/>
  <c r="AR17" i="9"/>
  <c r="AR18" i="9"/>
  <c r="AR12" i="9"/>
  <c r="AO10" i="9"/>
  <c r="AM10" i="9"/>
  <c r="AK10" i="9"/>
  <c r="AI10" i="9"/>
  <c r="AK12" i="9"/>
  <c r="AM12" i="9"/>
  <c r="AO12" i="9"/>
  <c r="AK13" i="9"/>
  <c r="AM13" i="9"/>
  <c r="AO13" i="9"/>
  <c r="AK14" i="9"/>
  <c r="AM14" i="9"/>
  <c r="AO14" i="9"/>
  <c r="AK15" i="9"/>
  <c r="AM15" i="9"/>
  <c r="AO15" i="9"/>
  <c r="AK16" i="9"/>
  <c r="AM16" i="9"/>
  <c r="AO16" i="9"/>
  <c r="AK17" i="9"/>
  <c r="AM17" i="9"/>
  <c r="AK18" i="9"/>
  <c r="AI13" i="9"/>
  <c r="AI14" i="9"/>
  <c r="AI15" i="9"/>
  <c r="AI16" i="9"/>
  <c r="AI17" i="9"/>
  <c r="AI18" i="9"/>
  <c r="AI12" i="9"/>
  <c r="M28" i="9"/>
  <c r="F6" i="2" a="1"/>
  <c r="F6" i="2" s="1"/>
  <c r="R75" i="30" a="1"/>
  <c r="T75" i="30" s="1"/>
  <c r="H75" i="30" a="1"/>
  <c r="J75" i="30" s="1"/>
  <c r="R70" i="30" a="1"/>
  <c r="R70" i="30" s="1"/>
  <c r="H70" i="30" a="1"/>
  <c r="J70" i="30" s="1"/>
  <c r="R65" i="30" a="1"/>
  <c r="R65" i="30" s="1"/>
  <c r="H65" i="30" a="1"/>
  <c r="J65" i="30" s="1"/>
  <c r="R60" i="30" a="1"/>
  <c r="T60" i="30" s="1"/>
  <c r="H60" i="30" a="1"/>
  <c r="J60" i="30" s="1"/>
  <c r="X37" i="30"/>
  <c r="W37" i="30"/>
  <c r="V37" i="30"/>
  <c r="X36" i="30"/>
  <c r="W36" i="30"/>
  <c r="V36" i="30"/>
  <c r="X35" i="30"/>
  <c r="W35" i="30"/>
  <c r="V35" i="30"/>
  <c r="X34" i="30"/>
  <c r="W34" i="30"/>
  <c r="V34" i="30"/>
  <c r="AD12" i="30"/>
  <c r="O73" i="79" s="1"/>
  <c r="AB12" i="30"/>
  <c r="M73" i="79" s="1"/>
  <c r="AF11" i="30"/>
  <c r="Q72" i="79" s="1"/>
  <c r="AD11" i="30"/>
  <c r="O72" i="79" s="1"/>
  <c r="AB11" i="30"/>
  <c r="M72" i="79" s="1"/>
  <c r="AH10" i="30"/>
  <c r="S71" i="79" s="1"/>
  <c r="AF10" i="30"/>
  <c r="Q71" i="79" s="1"/>
  <c r="AD10" i="30"/>
  <c r="O71" i="79" s="1"/>
  <c r="AB10" i="30"/>
  <c r="M71" i="79" s="1"/>
  <c r="AH9" i="30"/>
  <c r="S70" i="79" s="1"/>
  <c r="AF9" i="30"/>
  <c r="Q70" i="79" s="1"/>
  <c r="AD9" i="30"/>
  <c r="O70" i="79" s="1"/>
  <c r="AB9" i="30"/>
  <c r="M70" i="79" s="1"/>
  <c r="AH8" i="30"/>
  <c r="S69" i="79" s="1"/>
  <c r="AF8" i="30"/>
  <c r="Q69" i="79" s="1"/>
  <c r="AD8" i="30"/>
  <c r="O69" i="79" s="1"/>
  <c r="AB8" i="30"/>
  <c r="M69" i="79" s="1"/>
  <c r="AH7" i="30"/>
  <c r="S68" i="79" s="1"/>
  <c r="AF7" i="30"/>
  <c r="Q68" i="79" s="1"/>
  <c r="AD7" i="30"/>
  <c r="O68" i="79" s="1"/>
  <c r="AB7" i="30"/>
  <c r="M68" i="79" s="1"/>
  <c r="AH6" i="30"/>
  <c r="AF6" i="30"/>
  <c r="AD6" i="30"/>
  <c r="O67" i="79" s="1"/>
  <c r="AB6" i="30"/>
  <c r="L3" i="30"/>
  <c r="J3" i="30"/>
  <c r="H75" i="29" a="1"/>
  <c r="J75" i="29" s="1"/>
  <c r="H70" i="29" a="1"/>
  <c r="J70" i="29" s="1"/>
  <c r="H65" i="29" a="1"/>
  <c r="J65" i="29" s="1"/>
  <c r="H60" i="29" a="1"/>
  <c r="J60" i="29" s="1"/>
  <c r="X37" i="29"/>
  <c r="W37" i="29"/>
  <c r="V37" i="29"/>
  <c r="X36" i="29"/>
  <c r="W36" i="29"/>
  <c r="V36" i="29"/>
  <c r="X35" i="29"/>
  <c r="W35" i="29"/>
  <c r="V35" i="29"/>
  <c r="X34" i="29"/>
  <c r="W34" i="29"/>
  <c r="V34" i="29"/>
  <c r="AD12" i="29"/>
  <c r="F73" i="79" s="1"/>
  <c r="AB12" i="29"/>
  <c r="D73" i="79" s="1"/>
  <c r="AF11" i="29"/>
  <c r="H72" i="79" s="1"/>
  <c r="AD11" i="29"/>
  <c r="F72" i="79" s="1"/>
  <c r="AB11" i="29"/>
  <c r="D72" i="79" s="1"/>
  <c r="AH10" i="29"/>
  <c r="J71" i="79" s="1"/>
  <c r="AF10" i="29"/>
  <c r="H71" i="79" s="1"/>
  <c r="AD10" i="29"/>
  <c r="F71" i="79" s="1"/>
  <c r="AB10" i="29"/>
  <c r="D71" i="79" s="1"/>
  <c r="AH9" i="29"/>
  <c r="J70" i="79" s="1"/>
  <c r="AF9" i="29"/>
  <c r="H70" i="79" s="1"/>
  <c r="AD9" i="29"/>
  <c r="F70" i="79" s="1"/>
  <c r="AB9" i="29"/>
  <c r="D70" i="79" s="1"/>
  <c r="AH8" i="29"/>
  <c r="J69" i="79" s="1"/>
  <c r="AF8" i="29"/>
  <c r="H69" i="79" s="1"/>
  <c r="AD8" i="29"/>
  <c r="F69" i="79" s="1"/>
  <c r="AB8" i="29"/>
  <c r="D69" i="79" s="1"/>
  <c r="AH7" i="29"/>
  <c r="J68" i="79" s="1"/>
  <c r="AF7" i="29"/>
  <c r="H68" i="79" s="1"/>
  <c r="AD7" i="29"/>
  <c r="F68" i="79" s="1"/>
  <c r="AB7" i="29"/>
  <c r="D68" i="79" s="1"/>
  <c r="AH6" i="29"/>
  <c r="AF6" i="29"/>
  <c r="AD6" i="29"/>
  <c r="AB6" i="29"/>
  <c r="L3" i="29"/>
  <c r="J3" i="29"/>
  <c r="AB34" i="30" l="1"/>
  <c r="M67" i="79"/>
  <c r="AB36" i="30"/>
  <c r="Q67" i="79"/>
  <c r="AB37" i="30"/>
  <c r="S67" i="79"/>
  <c r="AB34" i="29"/>
  <c r="D67" i="79"/>
  <c r="AB35" i="29"/>
  <c r="F67" i="79"/>
  <c r="AB36" i="29"/>
  <c r="H67" i="79"/>
  <c r="AB37" i="29"/>
  <c r="J67" i="79"/>
  <c r="AK51" i="75"/>
  <c r="T29" i="9" s="1"/>
  <c r="AK45" i="75"/>
  <c r="S60" i="30"/>
  <c r="I75" i="29"/>
  <c r="I60" i="29"/>
  <c r="U29" i="29"/>
  <c r="U29" i="30"/>
  <c r="W21" i="29"/>
  <c r="AB35" i="30"/>
  <c r="S65" i="30"/>
  <c r="S70" i="30"/>
  <c r="H60" i="29"/>
  <c r="H60" i="30"/>
  <c r="T65" i="30"/>
  <c r="T70" i="30"/>
  <c r="R75" i="30"/>
  <c r="I60" i="30"/>
  <c r="S75" i="30"/>
  <c r="H65" i="29"/>
  <c r="H70" i="29"/>
  <c r="H65" i="30"/>
  <c r="H70" i="30"/>
  <c r="I65" i="29"/>
  <c r="I70" i="29"/>
  <c r="I65" i="30"/>
  <c r="I70" i="30"/>
  <c r="H75" i="29"/>
  <c r="R60" i="30"/>
  <c r="H75" i="30"/>
  <c r="I75" i="30"/>
  <c r="I6" i="24"/>
  <c r="AL51" i="75" l="1"/>
  <c r="AD29" i="9"/>
  <c r="AL45" i="75"/>
  <c r="AE29" i="9" s="1"/>
  <c r="Y35" i="29"/>
  <c r="AA35" i="29" s="1"/>
  <c r="P22" i="29"/>
  <c r="Y37" i="30"/>
  <c r="AA37" i="30" s="1"/>
  <c r="P21" i="30"/>
  <c r="Y38" i="29"/>
  <c r="AA38" i="29" s="1"/>
  <c r="Y36" i="29"/>
  <c r="AA36" i="29" s="1"/>
  <c r="Y37" i="29"/>
  <c r="Z37" i="29" s="1"/>
  <c r="Y34" i="29"/>
  <c r="AA34" i="29" s="1"/>
  <c r="Y34" i="30"/>
  <c r="Z34" i="30" s="1"/>
  <c r="Y36" i="30"/>
  <c r="AA36" i="30" s="1"/>
  <c r="Y35" i="30"/>
  <c r="Y38" i="30"/>
  <c r="M27" i="9"/>
  <c r="I10" i="24"/>
  <c r="I16" i="24" s="1"/>
  <c r="K41" i="52" s="1"/>
  <c r="U29" i="9" l="1"/>
  <c r="AN51" i="75"/>
  <c r="W29" i="9" s="1"/>
  <c r="AM51" i="75"/>
  <c r="V29" i="9" s="1"/>
  <c r="AN45" i="75"/>
  <c r="AM45" i="75"/>
  <c r="AF29" i="9" s="1"/>
  <c r="Z37" i="30"/>
  <c r="AC37" i="30" s="1"/>
  <c r="AG37" i="30" s="1"/>
  <c r="Z36" i="29"/>
  <c r="AC36" i="29" s="1"/>
  <c r="AJ36" i="29" s="1"/>
  <c r="AM37" i="29" s="1"/>
  <c r="Z35" i="29"/>
  <c r="AC35" i="29" s="1"/>
  <c r="AG35" i="29" s="1"/>
  <c r="AA34" i="30"/>
  <c r="AC34" i="30" s="1"/>
  <c r="AA37" i="29"/>
  <c r="AC37" i="29" s="1"/>
  <c r="AD37" i="29" s="1"/>
  <c r="Z34" i="29"/>
  <c r="AC34" i="29" s="1"/>
  <c r="Z38" i="29"/>
  <c r="AC38" i="29" s="1"/>
  <c r="AJ38" i="29" s="1"/>
  <c r="AM35" i="29" s="1"/>
  <c r="Z36" i="30"/>
  <c r="AC36" i="30" s="1"/>
  <c r="AJ36" i="30" s="1"/>
  <c r="AM37" i="30" s="1"/>
  <c r="Z38" i="30"/>
  <c r="AA38" i="30"/>
  <c r="AA35" i="30"/>
  <c r="Z35" i="30"/>
  <c r="CM35" i="9"/>
  <c r="CM19" i="9"/>
  <c r="AU14" i="25"/>
  <c r="AU14" i="21"/>
  <c r="J8" i="2" s="1" a="1"/>
  <c r="J8" i="2" s="1"/>
  <c r="P47" i="28" a="1"/>
  <c r="Q47" i="28" s="1"/>
  <c r="P32" i="28" a="1"/>
  <c r="P24" i="28" a="1"/>
  <c r="P16" i="28" a="1"/>
  <c r="P9" i="28" a="1"/>
  <c r="AO45" i="75" l="1" a="1"/>
  <c r="AO45" i="75" s="1"/>
  <c r="AH29" i="9" s="1"/>
  <c r="AP51" i="75" a="1"/>
  <c r="AP51" i="75" s="1"/>
  <c r="AQ51" i="75" s="1"/>
  <c r="AP45" i="75" a="1"/>
  <c r="AP45" i="75" s="1"/>
  <c r="AQ45" i="75" s="1"/>
  <c r="AO51" i="75" a="1"/>
  <c r="AO51" i="75" s="1"/>
  <c r="X29" i="9" s="1"/>
  <c r="AG29" i="9"/>
  <c r="M63" i="9" a="1"/>
  <c r="M63" i="9" s="1"/>
  <c r="CM26" i="9" a="1"/>
  <c r="CM26" i="9" s="1"/>
  <c r="CM25" i="9" a="1"/>
  <c r="CM25" i="9" s="1"/>
  <c r="AF34" i="30"/>
  <c r="AS34" i="30"/>
  <c r="AV34" i="30"/>
  <c r="AS34" i="29"/>
  <c r="AV34" i="29"/>
  <c r="AD35" i="29"/>
  <c r="AF35" i="29"/>
  <c r="AJ35" i="29"/>
  <c r="AM36" i="29" s="1"/>
  <c r="AD36" i="29"/>
  <c r="AE36" i="29"/>
  <c r="AF36" i="29"/>
  <c r="AG36" i="29"/>
  <c r="AC38" i="30"/>
  <c r="AJ38" i="30" s="1"/>
  <c r="AM35" i="30" s="1"/>
  <c r="AE36" i="30"/>
  <c r="AD37" i="30"/>
  <c r="AE37" i="30"/>
  <c r="AF37" i="30"/>
  <c r="AJ37" i="30"/>
  <c r="AM38" i="30" s="1"/>
  <c r="AG34" i="30"/>
  <c r="AF37" i="29"/>
  <c r="AJ34" i="29"/>
  <c r="AM34" i="29" s="1"/>
  <c r="Q10" i="29" s="1" a="1"/>
  <c r="Q10" i="29" s="1"/>
  <c r="AG34" i="29"/>
  <c r="AD34" i="29"/>
  <c r="AJ37" i="29"/>
  <c r="AM38" i="29" s="1"/>
  <c r="AG37" i="29"/>
  <c r="AF34" i="29"/>
  <c r="AE34" i="30"/>
  <c r="AD34" i="30"/>
  <c r="AJ34" i="30"/>
  <c r="AM34" i="30" s="1"/>
  <c r="AF36" i="30"/>
  <c r="AE34" i="29"/>
  <c r="AE38" i="29"/>
  <c r="AD38" i="29"/>
  <c r="AD36" i="30"/>
  <c r="AG36" i="30"/>
  <c r="AC35" i="30"/>
  <c r="AD35" i="30" s="1"/>
  <c r="CL26" i="9"/>
  <c r="CL36" i="9" s="1" a="1"/>
  <c r="CL36" i="9" s="1"/>
  <c r="CL25" i="9"/>
  <c r="R47" i="28"/>
  <c r="S47" i="28"/>
  <c r="P47" i="28"/>
  <c r="Q9" i="28"/>
  <c r="P9" i="28"/>
  <c r="Q24" i="28"/>
  <c r="P24" i="28"/>
  <c r="Q32" i="28"/>
  <c r="P32" i="28"/>
  <c r="P16" i="28"/>
  <c r="Q16" i="28"/>
  <c r="CM36" i="9" l="1" a="1"/>
  <c r="CM36" i="9" s="1"/>
  <c r="CX27" i="9"/>
  <c r="CV27" i="9"/>
  <c r="CY27" i="9"/>
  <c r="CW27" i="9"/>
  <c r="CL38" i="9"/>
  <c r="C9" i="2" s="1"/>
  <c r="Q9" i="29" a="1"/>
  <c r="Q9" i="29" s="1"/>
  <c r="P6" i="29" a="1"/>
  <c r="Q6" i="29" s="1"/>
  <c r="AD38" i="30"/>
  <c r="AE38" i="30"/>
  <c r="R10" i="29"/>
  <c r="AE35" i="30"/>
  <c r="AG35" i="30"/>
  <c r="AF35" i="30"/>
  <c r="AJ35" i="30"/>
  <c r="Q10" i="30" a="1"/>
  <c r="AC7" i="26"/>
  <c r="N44" i="79" s="1"/>
  <c r="AC8" i="26"/>
  <c r="N45" i="79" s="1"/>
  <c r="AC9" i="26"/>
  <c r="N46" i="79" s="1"/>
  <c r="AC10" i="26"/>
  <c r="N47" i="79" s="1"/>
  <c r="AC11" i="26"/>
  <c r="N48" i="79" s="1"/>
  <c r="AC12" i="26"/>
  <c r="N49" i="79" s="1"/>
  <c r="AC6" i="26"/>
  <c r="N43" i="79" s="1"/>
  <c r="AB7" i="26"/>
  <c r="AB8" i="26"/>
  <c r="AB9" i="26"/>
  <c r="AB10" i="26"/>
  <c r="AB11" i="26"/>
  <c r="AB12" i="26"/>
  <c r="AB6" i="26"/>
  <c r="AD6" i="26" l="1"/>
  <c r="M43" i="79"/>
  <c r="AD10" i="26"/>
  <c r="O47" i="79" s="1"/>
  <c r="M47" i="79"/>
  <c r="AD12" i="26"/>
  <c r="O49" i="79" s="1"/>
  <c r="M49" i="79"/>
  <c r="AD9" i="26"/>
  <c r="O46" i="79" s="1"/>
  <c r="M46" i="79"/>
  <c r="AD8" i="26"/>
  <c r="O45" i="79" s="1"/>
  <c r="M45" i="79"/>
  <c r="AD11" i="26"/>
  <c r="O48" i="79" s="1"/>
  <c r="M48" i="79"/>
  <c r="AD7" i="26"/>
  <c r="O44" i="79" s="1"/>
  <c r="M44" i="79"/>
  <c r="CM38" i="9" a="1"/>
  <c r="CM38" i="9" s="1"/>
  <c r="C10" i="2" s="1"/>
  <c r="R9" i="29"/>
  <c r="AV36" i="29" s="1"/>
  <c r="S10" i="29"/>
  <c r="P6" i="29"/>
  <c r="W6" i="29" s="1"/>
  <c r="Y28" i="9" s="1"/>
  <c r="R10" i="30"/>
  <c r="Q10" i="30"/>
  <c r="AA7" i="25"/>
  <c r="C44" i="79" s="1"/>
  <c r="AA8" i="25"/>
  <c r="C45" i="79" s="1"/>
  <c r="AA9" i="25"/>
  <c r="C46" i="79" s="1"/>
  <c r="AA10" i="25"/>
  <c r="C47" i="79" s="1"/>
  <c r="AA11" i="25"/>
  <c r="C48" i="79" s="1"/>
  <c r="AA12" i="25"/>
  <c r="C49" i="79" s="1"/>
  <c r="AW27" i="25"/>
  <c r="AB38" i="26" l="1"/>
  <c r="O43" i="79"/>
  <c r="CZ27" i="9"/>
  <c r="AP35" i="29"/>
  <c r="S9" i="29"/>
  <c r="W9" i="29"/>
  <c r="W10" i="29" s="1"/>
  <c r="D28" i="9" s="1"/>
  <c r="AI44" i="29"/>
  <c r="S28" i="9" s="1"/>
  <c r="AG44" i="29"/>
  <c r="Q28" i="9" s="1"/>
  <c r="AM44" i="29"/>
  <c r="W28" i="9" s="1"/>
  <c r="AF44" i="29"/>
  <c r="AJ44" i="29"/>
  <c r="T28" i="9" s="1"/>
  <c r="AH44" i="29"/>
  <c r="R28" i="9" s="1"/>
  <c r="AK44" i="29"/>
  <c r="U28" i="9" s="1"/>
  <c r="AL44" i="29"/>
  <c r="V28" i="9" s="1"/>
  <c r="S10" i="30"/>
  <c r="AV27" i="25"/>
  <c r="AX27" i="25"/>
  <c r="L8" i="19"/>
  <c r="M26" i="9"/>
  <c r="I10" i="28"/>
  <c r="I16" i="28" s="1"/>
  <c r="J41" i="52" s="1"/>
  <c r="I9" i="28"/>
  <c r="I8" i="28"/>
  <c r="I6" i="28"/>
  <c r="P48" i="28" s="1"/>
  <c r="O26" i="27"/>
  <c r="N26" i="27"/>
  <c r="M26" i="27"/>
  <c r="L26" i="27"/>
  <c r="O25" i="27"/>
  <c r="N25" i="27"/>
  <c r="M25" i="27"/>
  <c r="L25" i="27"/>
  <c r="O24" i="27"/>
  <c r="N24" i="27"/>
  <c r="M24" i="27"/>
  <c r="L24" i="27"/>
  <c r="O23" i="27"/>
  <c r="N23" i="27"/>
  <c r="M23" i="27"/>
  <c r="L23" i="27"/>
  <c r="O22" i="27"/>
  <c r="N22" i="27"/>
  <c r="M22" i="27"/>
  <c r="L22" i="27"/>
  <c r="O21" i="27"/>
  <c r="N21" i="27"/>
  <c r="M21" i="27"/>
  <c r="L21" i="27"/>
  <c r="O20" i="27"/>
  <c r="N20" i="27"/>
  <c r="M20" i="27"/>
  <c r="L20" i="27"/>
  <c r="O19" i="27"/>
  <c r="N19" i="27"/>
  <c r="M19" i="27"/>
  <c r="L19" i="27"/>
  <c r="O18" i="27"/>
  <c r="N18" i="27"/>
  <c r="M18" i="27"/>
  <c r="L18" i="27"/>
  <c r="AP14" i="27"/>
  <c r="AO14" i="27"/>
  <c r="AN14" i="27"/>
  <c r="AM14" i="27"/>
  <c r="AL14" i="27"/>
  <c r="AK14" i="27"/>
  <c r="AJ14" i="27"/>
  <c r="AI14" i="27"/>
  <c r="AP13" i="27"/>
  <c r="AO13" i="27"/>
  <c r="AN13" i="27"/>
  <c r="AM13" i="27"/>
  <c r="AL13" i="27"/>
  <c r="AK13" i="27"/>
  <c r="AJ13" i="27"/>
  <c r="AI13" i="27"/>
  <c r="AP12" i="27"/>
  <c r="AO12" i="27"/>
  <c r="AN12" i="27"/>
  <c r="AM12" i="27"/>
  <c r="AL12" i="27"/>
  <c r="AK12" i="27"/>
  <c r="AJ12" i="27"/>
  <c r="AI12" i="27"/>
  <c r="AP11" i="27"/>
  <c r="AO11" i="27"/>
  <c r="AN11" i="27"/>
  <c r="AM11" i="27"/>
  <c r="AL11" i="27"/>
  <c r="AK11" i="27"/>
  <c r="AJ11" i="27"/>
  <c r="AI11" i="27"/>
  <c r="AP10" i="27"/>
  <c r="AO10" i="27"/>
  <c r="AN10" i="27"/>
  <c r="AM10" i="27"/>
  <c r="AL10" i="27"/>
  <c r="AK10" i="27"/>
  <c r="AJ10" i="27"/>
  <c r="AI10" i="27"/>
  <c r="AP9" i="27"/>
  <c r="AO9" i="27"/>
  <c r="AN9" i="27"/>
  <c r="AM9" i="27"/>
  <c r="AL9" i="27"/>
  <c r="AK9" i="27"/>
  <c r="AJ9" i="27"/>
  <c r="AI9" i="27"/>
  <c r="AP8" i="27"/>
  <c r="AO8" i="27"/>
  <c r="AN8" i="27"/>
  <c r="AM8" i="27"/>
  <c r="AL8" i="27"/>
  <c r="AK8" i="27"/>
  <c r="AJ8" i="27"/>
  <c r="AI8" i="27"/>
  <c r="AP7" i="27"/>
  <c r="AO7" i="27"/>
  <c r="AN7" i="27"/>
  <c r="AM7" i="27"/>
  <c r="AL7" i="27"/>
  <c r="AK7" i="27"/>
  <c r="AJ7" i="27"/>
  <c r="AI7" i="27"/>
  <c r="AP6" i="27"/>
  <c r="AO6" i="27"/>
  <c r="AN6" i="27"/>
  <c r="AM6" i="27"/>
  <c r="AL6" i="27"/>
  <c r="AK6" i="27"/>
  <c r="AJ6" i="27"/>
  <c r="AI6" i="27"/>
  <c r="E5" i="27"/>
  <c r="E4" i="27"/>
  <c r="R77" i="26" a="1"/>
  <c r="S77" i="26" s="1"/>
  <c r="H77" i="26" a="1"/>
  <c r="R76" i="26" a="1"/>
  <c r="S76" i="26" s="1"/>
  <c r="H76" i="26" a="1"/>
  <c r="R75" i="26" a="1"/>
  <c r="T75" i="26" s="1"/>
  <c r="H75" i="26" a="1"/>
  <c r="J75" i="26" s="1"/>
  <c r="R72" i="26" a="1"/>
  <c r="R72" i="26" s="1"/>
  <c r="H72" i="26" a="1"/>
  <c r="I72" i="26" s="1"/>
  <c r="R71" i="26" a="1"/>
  <c r="S71" i="26" s="1"/>
  <c r="H71" i="26" a="1"/>
  <c r="I71" i="26" s="1"/>
  <c r="R70" i="26" a="1"/>
  <c r="R70" i="26" s="1"/>
  <c r="H70" i="26" a="1"/>
  <c r="J70" i="26" s="1"/>
  <c r="R67" i="26" a="1"/>
  <c r="H67" i="26" a="1"/>
  <c r="R66" i="26" a="1"/>
  <c r="H66" i="26" a="1"/>
  <c r="R65" i="26" a="1"/>
  <c r="T65" i="26" s="1"/>
  <c r="H65" i="26" a="1"/>
  <c r="J65" i="26" s="1"/>
  <c r="R62" i="26" a="1"/>
  <c r="S62" i="26" s="1"/>
  <c r="H62" i="26" a="1"/>
  <c r="H62" i="26" s="1"/>
  <c r="R61" i="26" a="1"/>
  <c r="S61" i="26" s="1"/>
  <c r="H61" i="26" a="1"/>
  <c r="H61" i="26" s="1"/>
  <c r="R60" i="26" a="1"/>
  <c r="T60" i="26" s="1"/>
  <c r="H60" i="26" a="1"/>
  <c r="AN55" i="26" a="1"/>
  <c r="AN54" i="26" a="1"/>
  <c r="X54" i="26" a="1"/>
  <c r="AN53" i="26" a="1"/>
  <c r="X53" i="26" a="1"/>
  <c r="AN52" i="26" a="1"/>
  <c r="X52" i="26" a="1"/>
  <c r="X51" i="26" a="1"/>
  <c r="X37" i="26"/>
  <c r="W37" i="26"/>
  <c r="V37" i="26"/>
  <c r="X36" i="26"/>
  <c r="W36" i="26"/>
  <c r="V36" i="26"/>
  <c r="X35" i="26"/>
  <c r="W35" i="26"/>
  <c r="V35" i="26"/>
  <c r="AB34" i="26"/>
  <c r="X34" i="26"/>
  <c r="W34" i="26"/>
  <c r="V34" i="26"/>
  <c r="AF11" i="26"/>
  <c r="Q48" i="79" s="1"/>
  <c r="AH10" i="26"/>
  <c r="S47" i="79" s="1"/>
  <c r="AF10" i="26"/>
  <c r="Q47" i="79" s="1"/>
  <c r="AH9" i="26"/>
  <c r="S46" i="79" s="1"/>
  <c r="AF9" i="26"/>
  <c r="Q46" i="79" s="1"/>
  <c r="AH8" i="26"/>
  <c r="S45" i="79" s="1"/>
  <c r="AF8" i="26"/>
  <c r="Q45" i="79" s="1"/>
  <c r="AH7" i="26"/>
  <c r="S44" i="79" s="1"/>
  <c r="AF7" i="26"/>
  <c r="Q44" i="79" s="1"/>
  <c r="AH6" i="26"/>
  <c r="AF6" i="26"/>
  <c r="AB35" i="26"/>
  <c r="L3" i="26"/>
  <c r="J3" i="26"/>
  <c r="R77" i="25" a="1"/>
  <c r="R77" i="25" s="1"/>
  <c r="H77" i="25" a="1"/>
  <c r="I77" i="25" s="1"/>
  <c r="R76" i="25" a="1"/>
  <c r="R76" i="25" s="1"/>
  <c r="H76" i="25" a="1"/>
  <c r="I76" i="25" s="1"/>
  <c r="R75" i="25" a="1"/>
  <c r="S75" i="25" s="1"/>
  <c r="H75" i="25" a="1"/>
  <c r="H75" i="25" s="1"/>
  <c r="R72" i="25" a="1"/>
  <c r="R72" i="25" s="1"/>
  <c r="H72" i="25" a="1"/>
  <c r="H72" i="25" s="1"/>
  <c r="R71" i="25" a="1"/>
  <c r="S71" i="25" s="1"/>
  <c r="H71" i="25" a="1"/>
  <c r="H71" i="25" s="1"/>
  <c r="R70" i="25" a="1"/>
  <c r="T70" i="25" s="1"/>
  <c r="H70" i="25" a="1"/>
  <c r="R67" i="25" a="1"/>
  <c r="S67" i="25" s="1"/>
  <c r="H67" i="25" a="1"/>
  <c r="H67" i="25" s="1"/>
  <c r="R66" i="25" a="1"/>
  <c r="S66" i="25" s="1"/>
  <c r="H66" i="25" a="1"/>
  <c r="H66" i="25" s="1"/>
  <c r="R65" i="25" a="1"/>
  <c r="T65" i="25" s="1"/>
  <c r="H65" i="25" a="1"/>
  <c r="J65" i="25" s="1"/>
  <c r="R62" i="25" a="1"/>
  <c r="R62" i="25" s="1"/>
  <c r="H62" i="25" a="1"/>
  <c r="H62" i="25" s="1"/>
  <c r="R61" i="25" a="1"/>
  <c r="R61" i="25" s="1"/>
  <c r="H61" i="25" a="1"/>
  <c r="I61" i="25" s="1"/>
  <c r="R60" i="25" a="1"/>
  <c r="S60" i="25" s="1"/>
  <c r="H60" i="25" a="1"/>
  <c r="J60" i="25" s="1"/>
  <c r="AN55" i="25" a="1"/>
  <c r="AP55" i="25" s="1"/>
  <c r="AN54" i="25" a="1"/>
  <c r="AO54" i="25" s="1"/>
  <c r="X54" i="25" a="1"/>
  <c r="Z54" i="25" s="1"/>
  <c r="AN53" i="25" a="1"/>
  <c r="AN53" i="25" s="1"/>
  <c r="X53" i="25" a="1"/>
  <c r="Z53" i="25" s="1"/>
  <c r="AN52" i="25" a="1"/>
  <c r="AP52" i="25" s="1"/>
  <c r="X52" i="25" a="1"/>
  <c r="Z52" i="25" s="1"/>
  <c r="X51" i="25" a="1"/>
  <c r="Z51" i="25" s="1"/>
  <c r="AX20" i="25"/>
  <c r="E24" i="25" s="1"/>
  <c r="X37" i="25" s="1"/>
  <c r="AW20" i="25"/>
  <c r="D24" i="25" s="1"/>
  <c r="AV20" i="25"/>
  <c r="C24" i="25" s="1"/>
  <c r="AX19" i="25"/>
  <c r="E19" i="25" s="1"/>
  <c r="X36" i="25" s="1"/>
  <c r="AW19" i="25"/>
  <c r="D19" i="25" s="1"/>
  <c r="AV19" i="25"/>
  <c r="C19" i="25" s="1"/>
  <c r="AX18" i="25"/>
  <c r="E14" i="25" s="1"/>
  <c r="X35" i="25" s="1"/>
  <c r="AW18" i="25"/>
  <c r="D14" i="25" s="1"/>
  <c r="AV18" i="25"/>
  <c r="C14" i="25" s="1"/>
  <c r="V35" i="25" s="1"/>
  <c r="AX17" i="25"/>
  <c r="E9" i="25" s="1"/>
  <c r="X34" i="25" s="1"/>
  <c r="AW17" i="25"/>
  <c r="D9" i="25" s="1"/>
  <c r="AV17" i="25"/>
  <c r="C9" i="25" s="1"/>
  <c r="L3" i="25"/>
  <c r="J3" i="25"/>
  <c r="AB37" i="26" l="1"/>
  <c r="S43" i="79"/>
  <c r="AB36" i="26"/>
  <c r="Q43" i="79"/>
  <c r="AP16" i="27"/>
  <c r="AP17" i="27" s="1"/>
  <c r="J39" i="27" s="1"/>
  <c r="AM16" i="27"/>
  <c r="AM17" i="27" s="1"/>
  <c r="G39" i="27" s="1"/>
  <c r="AL16" i="27"/>
  <c r="AL17" i="27" s="1"/>
  <c r="F39" i="27" s="1"/>
  <c r="P21" i="27"/>
  <c r="P25" i="27"/>
  <c r="P26" i="27"/>
  <c r="AK16" i="27"/>
  <c r="AK17" i="27" s="1"/>
  <c r="E39" i="27" s="1"/>
  <c r="P20" i="27"/>
  <c r="P24" i="27"/>
  <c r="AN16" i="27"/>
  <c r="AN17" i="27" s="1"/>
  <c r="H39" i="27" s="1"/>
  <c r="S70" i="25"/>
  <c r="R62" i="26"/>
  <c r="P22" i="27"/>
  <c r="I65" i="26"/>
  <c r="AO16" i="27"/>
  <c r="AO17" i="27" s="1"/>
  <c r="I39" i="27" s="1"/>
  <c r="P19" i="27"/>
  <c r="R66" i="25"/>
  <c r="AO53" i="25"/>
  <c r="H65" i="25"/>
  <c r="H72" i="26"/>
  <c r="R65" i="25"/>
  <c r="AN55" i="25"/>
  <c r="S65" i="25"/>
  <c r="S72" i="25"/>
  <c r="S72" i="26"/>
  <c r="R65" i="26"/>
  <c r="P23" i="27"/>
  <c r="H60" i="25"/>
  <c r="I75" i="25"/>
  <c r="R60" i="26"/>
  <c r="H75" i="26"/>
  <c r="I60" i="25"/>
  <c r="J75" i="25"/>
  <c r="S60" i="26"/>
  <c r="I75" i="26"/>
  <c r="P28" i="9"/>
  <c r="AO44" i="29" a="1"/>
  <c r="AO44" i="29" s="1"/>
  <c r="AP44" i="29" s="1"/>
  <c r="AN44" i="29" a="1"/>
  <c r="AN44" i="29" s="1"/>
  <c r="X28" i="9" s="1"/>
  <c r="X52" i="25"/>
  <c r="AI16" i="27"/>
  <c r="AI17" i="27" s="1"/>
  <c r="C39" i="27" s="1"/>
  <c r="R60" i="25"/>
  <c r="AN52" i="25"/>
  <c r="T60" i="25"/>
  <c r="R75" i="26"/>
  <c r="AJ16" i="27"/>
  <c r="AJ17" i="27" s="1"/>
  <c r="D39" i="27" s="1"/>
  <c r="AO52" i="25"/>
  <c r="S76" i="25"/>
  <c r="R61" i="26"/>
  <c r="H71" i="26"/>
  <c r="H77" i="25"/>
  <c r="Y53" i="25"/>
  <c r="I62" i="25"/>
  <c r="R70" i="25"/>
  <c r="I62" i="26"/>
  <c r="P18" i="27"/>
  <c r="Y9" i="29"/>
  <c r="C4" i="31"/>
  <c r="E28" i="9"/>
  <c r="E18" i="28" a="1"/>
  <c r="E18" i="28" s="1"/>
  <c r="J42" i="9"/>
  <c r="AB12" i="25"/>
  <c r="D49" i="79" s="1"/>
  <c r="AB11" i="25"/>
  <c r="D48" i="79" s="1"/>
  <c r="AB9" i="25"/>
  <c r="D46" i="79" s="1"/>
  <c r="U29" i="26"/>
  <c r="F4" i="27"/>
  <c r="AB6" i="25"/>
  <c r="D43" i="79" s="1"/>
  <c r="AB8" i="25"/>
  <c r="D45" i="79" s="1"/>
  <c r="AB7" i="25"/>
  <c r="D44" i="79" s="1"/>
  <c r="AB10" i="25"/>
  <c r="D47" i="79" s="1"/>
  <c r="U29" i="25"/>
  <c r="AH9" i="25"/>
  <c r="J46" i="79" s="1"/>
  <c r="V36" i="25"/>
  <c r="AF6" i="25"/>
  <c r="H43" i="79" s="1"/>
  <c r="AF9" i="25"/>
  <c r="H46" i="79" s="1"/>
  <c r="AF7" i="25"/>
  <c r="H44" i="79" s="1"/>
  <c r="AF10" i="25"/>
  <c r="H47" i="79" s="1"/>
  <c r="AF8" i="25"/>
  <c r="H45" i="79" s="1"/>
  <c r="W36" i="25"/>
  <c r="AF11" i="25"/>
  <c r="H48" i="79" s="1"/>
  <c r="W35" i="25"/>
  <c r="V34" i="25"/>
  <c r="V37" i="25"/>
  <c r="AH7" i="25"/>
  <c r="J44" i="79" s="1"/>
  <c r="AH6" i="25"/>
  <c r="J43" i="79" s="1"/>
  <c r="AN53" i="26"/>
  <c r="AP53" i="26"/>
  <c r="AH8" i="25"/>
  <c r="J45" i="79" s="1"/>
  <c r="AH10" i="25"/>
  <c r="J47" i="79" s="1"/>
  <c r="W34" i="25"/>
  <c r="X51" i="25"/>
  <c r="AP53" i="25"/>
  <c r="S61" i="25"/>
  <c r="I67" i="25"/>
  <c r="R71" i="25"/>
  <c r="H76" i="25"/>
  <c r="AO53" i="26"/>
  <c r="I76" i="26"/>
  <c r="H76" i="26"/>
  <c r="Y51" i="25"/>
  <c r="X51" i="26"/>
  <c r="Z51" i="26"/>
  <c r="Z54" i="26"/>
  <c r="Y54" i="26"/>
  <c r="X54" i="26"/>
  <c r="X54" i="25"/>
  <c r="AO55" i="25"/>
  <c r="I65" i="25"/>
  <c r="I66" i="25"/>
  <c r="R67" i="25"/>
  <c r="S77" i="25"/>
  <c r="Y51" i="26"/>
  <c r="AN54" i="26"/>
  <c r="AP54" i="26"/>
  <c r="I66" i="26"/>
  <c r="H66" i="26"/>
  <c r="I77" i="26"/>
  <c r="H77" i="26"/>
  <c r="X53" i="25"/>
  <c r="Y54" i="25"/>
  <c r="I72" i="25"/>
  <c r="Z52" i="26"/>
  <c r="Y52" i="26"/>
  <c r="X52" i="26"/>
  <c r="AO54" i="26"/>
  <c r="S66" i="26"/>
  <c r="R66" i="26"/>
  <c r="W37" i="25"/>
  <c r="AN52" i="26"/>
  <c r="AP52" i="26"/>
  <c r="AP55" i="26"/>
  <c r="AO55" i="26"/>
  <c r="AN55" i="26"/>
  <c r="I67" i="26"/>
  <c r="H67" i="26"/>
  <c r="AP54" i="25"/>
  <c r="AN54" i="25"/>
  <c r="H61" i="25"/>
  <c r="R75" i="25"/>
  <c r="AO52" i="26"/>
  <c r="H60" i="26"/>
  <c r="J60" i="26"/>
  <c r="I61" i="26"/>
  <c r="S67" i="26"/>
  <c r="R67" i="26"/>
  <c r="Y52" i="25"/>
  <c r="J70" i="25"/>
  <c r="H70" i="25"/>
  <c r="I71" i="25"/>
  <c r="S62" i="25"/>
  <c r="I70" i="25"/>
  <c r="T75" i="25"/>
  <c r="Z53" i="26"/>
  <c r="Y53" i="26"/>
  <c r="X53" i="26"/>
  <c r="I60" i="26"/>
  <c r="H65" i="26"/>
  <c r="S70" i="26"/>
  <c r="R71" i="26"/>
  <c r="T70" i="26"/>
  <c r="H70" i="26"/>
  <c r="S75" i="26"/>
  <c r="R76" i="26"/>
  <c r="R77" i="26"/>
  <c r="I7" i="28"/>
  <c r="I12" i="28" s="1"/>
  <c r="I70" i="26"/>
  <c r="S65" i="26"/>
  <c r="Y37" i="26" l="1"/>
  <c r="AA37" i="26" s="1"/>
  <c r="Y38" i="26"/>
  <c r="Y34" i="25"/>
  <c r="Z34" i="25" s="1"/>
  <c r="AD6" i="25"/>
  <c r="AD9" i="25"/>
  <c r="F46" i="79" s="1"/>
  <c r="AD11" i="25"/>
  <c r="F48" i="79" s="1"/>
  <c r="AD10" i="25"/>
  <c r="F47" i="79" s="1"/>
  <c r="AD12" i="25"/>
  <c r="F49" i="79" s="1"/>
  <c r="AD7" i="25"/>
  <c r="F44" i="79" s="1"/>
  <c r="AD8" i="25"/>
  <c r="F45" i="79" s="1"/>
  <c r="Y34" i="26"/>
  <c r="AA34" i="26" s="1"/>
  <c r="Y35" i="26"/>
  <c r="AA35" i="26" s="1"/>
  <c r="Y36" i="26"/>
  <c r="AB37" i="25"/>
  <c r="AB36" i="25"/>
  <c r="AB34" i="25"/>
  <c r="Y37" i="25"/>
  <c r="AA37" i="25" s="1"/>
  <c r="Y36" i="25"/>
  <c r="Z36" i="25" s="1"/>
  <c r="Y35" i="25"/>
  <c r="Z35" i="25" s="1"/>
  <c r="T24" i="24"/>
  <c r="AB38" i="25" l="1"/>
  <c r="F43" i="79"/>
  <c r="AA34" i="25"/>
  <c r="AC34" i="25" s="1"/>
  <c r="Z37" i="26"/>
  <c r="AC37" i="26" s="1"/>
  <c r="U77" i="26" s="1"/>
  <c r="Z38" i="26"/>
  <c r="AA38" i="26"/>
  <c r="AB35" i="25"/>
  <c r="Z35" i="26"/>
  <c r="AC35" i="26" s="1"/>
  <c r="AE35" i="26" s="1"/>
  <c r="Z34" i="26"/>
  <c r="AC34" i="26" s="1"/>
  <c r="AA36" i="26"/>
  <c r="Z36" i="26"/>
  <c r="AA35" i="25"/>
  <c r="AC35" i="25" s="1"/>
  <c r="AA36" i="25"/>
  <c r="AC36" i="25" s="1"/>
  <c r="AD36" i="25" s="1"/>
  <c r="Z37" i="25"/>
  <c r="AC37" i="25" s="1"/>
  <c r="AI114" i="19"/>
  <c r="AG132" i="19"/>
  <c r="AG133" i="19"/>
  <c r="AG134" i="19"/>
  <c r="AG135" i="19"/>
  <c r="AG136" i="19"/>
  <c r="AG131" i="19"/>
  <c r="AG130" i="19"/>
  <c r="AH116" i="19" l="1" a="1"/>
  <c r="AJ116" i="19" s="1"/>
  <c r="AC38" i="26"/>
  <c r="AD34" i="25"/>
  <c r="AC36" i="26"/>
  <c r="Q9" i="26" s="1" a="1"/>
  <c r="Q9" i="26" s="1"/>
  <c r="U66" i="26"/>
  <c r="U75" i="26"/>
  <c r="K77" i="26"/>
  <c r="U76" i="26"/>
  <c r="AG37" i="26" s="1"/>
  <c r="K76" i="26"/>
  <c r="AD37" i="26"/>
  <c r="AD35" i="26"/>
  <c r="AL37" i="26"/>
  <c r="K75" i="26"/>
  <c r="AE37" i="26"/>
  <c r="AJ38" i="26"/>
  <c r="AJ36" i="26"/>
  <c r="K66" i="26"/>
  <c r="U67" i="26"/>
  <c r="K65" i="26"/>
  <c r="K67" i="26"/>
  <c r="U65" i="26"/>
  <c r="AL35" i="26"/>
  <c r="K61" i="26"/>
  <c r="K62" i="26"/>
  <c r="AJ34" i="26"/>
  <c r="K60" i="26"/>
  <c r="U60" i="26"/>
  <c r="U62" i="26"/>
  <c r="U61" i="26"/>
  <c r="AE34" i="26"/>
  <c r="AL34" i="26"/>
  <c r="AD34" i="26"/>
  <c r="U60" i="25"/>
  <c r="AL34" i="25"/>
  <c r="U61" i="25"/>
  <c r="AJ34" i="25"/>
  <c r="U62" i="25"/>
  <c r="K60" i="25"/>
  <c r="K61" i="25"/>
  <c r="AE34" i="25"/>
  <c r="K62" i="25"/>
  <c r="K70" i="25"/>
  <c r="U70" i="25"/>
  <c r="K72" i="25"/>
  <c r="K71" i="25"/>
  <c r="AJ37" i="25"/>
  <c r="U72" i="25"/>
  <c r="AE36" i="25"/>
  <c r="U71" i="25"/>
  <c r="AL36" i="25"/>
  <c r="K75" i="25"/>
  <c r="AL37" i="25"/>
  <c r="AJ38" i="25"/>
  <c r="U77" i="25"/>
  <c r="U76" i="25"/>
  <c r="K77" i="25"/>
  <c r="AE37" i="25"/>
  <c r="AD37" i="25"/>
  <c r="K76" i="25"/>
  <c r="U75" i="25"/>
  <c r="Q9" i="25" a="1"/>
  <c r="AJ36" i="25"/>
  <c r="U65" i="25"/>
  <c r="K66" i="25"/>
  <c r="AD35" i="25"/>
  <c r="AE35" i="25"/>
  <c r="K67" i="25"/>
  <c r="U66" i="25"/>
  <c r="K65" i="25"/>
  <c r="AL35" i="25"/>
  <c r="U67" i="25"/>
  <c r="AH116" i="19" l="1"/>
  <c r="AI116" i="19"/>
  <c r="AD38" i="26"/>
  <c r="AP34" i="26"/>
  <c r="AS34" i="26"/>
  <c r="AF37" i="26"/>
  <c r="U71" i="26"/>
  <c r="U72" i="26"/>
  <c r="U70" i="26"/>
  <c r="AE36" i="26"/>
  <c r="P14" i="26" s="1" a="1"/>
  <c r="R14" i="26" s="1"/>
  <c r="K72" i="26"/>
  <c r="K71" i="26"/>
  <c r="AL36" i="26"/>
  <c r="P2" i="26" s="1" a="1"/>
  <c r="K70" i="26"/>
  <c r="AD36" i="26"/>
  <c r="AJ37" i="26"/>
  <c r="R9" i="26"/>
  <c r="AG35" i="26"/>
  <c r="AF35" i="26"/>
  <c r="AF34" i="26"/>
  <c r="AG34" i="26"/>
  <c r="AG36" i="25"/>
  <c r="AG34" i="25"/>
  <c r="AF34" i="25"/>
  <c r="AF36" i="25"/>
  <c r="AG35" i="25"/>
  <c r="P13" i="25" a="1"/>
  <c r="P13" i="25" s="1"/>
  <c r="AF37" i="25"/>
  <c r="P2" i="25" a="1"/>
  <c r="P2" i="25" s="1"/>
  <c r="AG37" i="25"/>
  <c r="AF35" i="25"/>
  <c r="Q9" i="25"/>
  <c r="R9" i="25"/>
  <c r="CY25" i="9" l="1"/>
  <c r="CW25" i="9"/>
  <c r="AS39" i="25"/>
  <c r="T9" i="26"/>
  <c r="AS39" i="26"/>
  <c r="P13" i="26" a="1"/>
  <c r="Q13" i="26" s="1"/>
  <c r="AG36" i="26"/>
  <c r="P6" i="26" s="1" a="1"/>
  <c r="Q6" i="26" s="1"/>
  <c r="AF36" i="26"/>
  <c r="P5" i="26" s="1" a="1"/>
  <c r="P5" i="26" s="1"/>
  <c r="AJ35" i="26"/>
  <c r="P14" i="26"/>
  <c r="S14" i="26"/>
  <c r="Q14" i="26"/>
  <c r="Q2" i="26"/>
  <c r="R2" i="26"/>
  <c r="P2" i="26"/>
  <c r="T9" i="25"/>
  <c r="R13" i="25"/>
  <c r="Q13" i="25"/>
  <c r="Q2" i="25"/>
  <c r="R2" i="25"/>
  <c r="AJ35" i="25"/>
  <c r="AV20" i="21"/>
  <c r="C24" i="21" s="1"/>
  <c r="AW20" i="21"/>
  <c r="D24" i="21" s="1"/>
  <c r="AX20" i="21"/>
  <c r="E24" i="21" s="1"/>
  <c r="AW17" i="21"/>
  <c r="D9" i="21" s="1"/>
  <c r="AX17" i="21"/>
  <c r="E9" i="21" s="1"/>
  <c r="AW18" i="21"/>
  <c r="D14" i="21" s="1"/>
  <c r="AX18" i="21"/>
  <c r="E14" i="21" s="1"/>
  <c r="AW19" i="21"/>
  <c r="D19" i="21" s="1"/>
  <c r="AX19" i="21"/>
  <c r="E19" i="21" s="1"/>
  <c r="AV18" i="21"/>
  <c r="C14" i="21" s="1"/>
  <c r="AV19" i="21"/>
  <c r="C19" i="21" s="1"/>
  <c r="AV17" i="21"/>
  <c r="C9" i="21" s="1"/>
  <c r="Q10" i="26" l="1" a="1"/>
  <c r="Q10" i="26" s="1"/>
  <c r="R13" i="26"/>
  <c r="P13" i="26"/>
  <c r="W2" i="26"/>
  <c r="AN9" i="25" s="1"/>
  <c r="P17" i="26"/>
  <c r="Q5" i="26"/>
  <c r="W5" i="26" s="1"/>
  <c r="AJ43" i="26" s="1"/>
  <c r="AN26" i="9" s="1"/>
  <c r="P6" i="26"/>
  <c r="W6" i="26" s="1"/>
  <c r="AJ44" i="26" s="1"/>
  <c r="AX26" i="9" s="1"/>
  <c r="P16" i="25"/>
  <c r="W2" i="25"/>
  <c r="AN8" i="25" s="1"/>
  <c r="Q10" i="25" a="1"/>
  <c r="I9" i="24"/>
  <c r="I8" i="24"/>
  <c r="AN55" i="22" a="1"/>
  <c r="AP55" i="22" s="1"/>
  <c r="AN54" i="22" a="1"/>
  <c r="AP54" i="22" s="1"/>
  <c r="AN53" i="22" a="1"/>
  <c r="AO53" i="22" s="1"/>
  <c r="R10" i="26" l="1"/>
  <c r="AS40" i="26" s="1"/>
  <c r="P16" i="26"/>
  <c r="P18" i="26" s="1"/>
  <c r="W13" i="26" s="1"/>
  <c r="W16" i="25" s="1"/>
  <c r="BC26" i="9"/>
  <c r="AS26" i="9"/>
  <c r="AL43" i="26"/>
  <c r="AP26" i="9" s="1"/>
  <c r="AK43" i="26"/>
  <c r="AO26" i="9" s="1"/>
  <c r="AH43" i="26"/>
  <c r="AL26" i="9" s="1"/>
  <c r="AF43" i="26"/>
  <c r="AI43" i="26"/>
  <c r="AM26" i="9" s="1"/>
  <c r="AG43" i="26"/>
  <c r="AK26" i="9" s="1"/>
  <c r="AM43" i="26"/>
  <c r="AQ26" i="9" s="1"/>
  <c r="AF44" i="26"/>
  <c r="AL44" i="26"/>
  <c r="AZ26" i="9" s="1"/>
  <c r="AM44" i="26"/>
  <c r="BA26" i="9" s="1"/>
  <c r="AH44" i="26"/>
  <c r="AV26" i="9" s="1"/>
  <c r="AG44" i="26"/>
  <c r="AU26" i="9" s="1"/>
  <c r="AI44" i="26"/>
  <c r="AW26" i="9" s="1"/>
  <c r="AK44" i="26"/>
  <c r="AY26" i="9" s="1"/>
  <c r="R10" i="25"/>
  <c r="Q10" i="25"/>
  <c r="AO55" i="22"/>
  <c r="AN55" i="22"/>
  <c r="AO54" i="22"/>
  <c r="AN54" i="22"/>
  <c r="AP53" i="22"/>
  <c r="AN53" i="22"/>
  <c r="AT26" i="9" l="1"/>
  <c r="AN44" i="26" a="1"/>
  <c r="AN44" i="26" s="1"/>
  <c r="BB26" i="9" s="1"/>
  <c r="AO44" i="26" a="1"/>
  <c r="AO44" i="26" s="1"/>
  <c r="AP44" i="26" s="1"/>
  <c r="AJ26" i="9"/>
  <c r="AN43" i="26" a="1"/>
  <c r="AN43" i="26" s="1"/>
  <c r="AR26" i="9" s="1"/>
  <c r="AO43" i="26" a="1"/>
  <c r="AO43" i="26" s="1"/>
  <c r="AP43" i="26" s="1"/>
  <c r="T10" i="26"/>
  <c r="AS40" i="25"/>
  <c r="W14" i="26"/>
  <c r="AN12" i="25" s="1"/>
  <c r="AN17" i="25" s="1"/>
  <c r="T10" i="25"/>
  <c r="AN52" i="22" a="1"/>
  <c r="AP52" i="22" s="1"/>
  <c r="I26" i="9" l="1"/>
  <c r="AN52" i="22"/>
  <c r="AO52" i="22"/>
  <c r="AN53" i="21" l="1" a="1"/>
  <c r="AN53" i="21" s="1"/>
  <c r="AN52" i="21" a="1"/>
  <c r="AP52" i="21" s="1"/>
  <c r="AN55" i="21" a="1"/>
  <c r="AP55" i="21" s="1"/>
  <c r="AN54" i="21" a="1"/>
  <c r="AP54" i="21" s="1"/>
  <c r="AP53" i="21" l="1"/>
  <c r="AO53" i="21"/>
  <c r="AO52" i="21"/>
  <c r="AN52" i="21"/>
  <c r="AO55" i="21"/>
  <c r="AN54" i="21"/>
  <c r="AO54" i="21"/>
  <c r="AN55" i="21"/>
  <c r="G82" i="2" l="1"/>
  <c r="F91" i="2" l="1"/>
  <c r="O62" i="24"/>
  <c r="P47" i="24" a="1"/>
  <c r="P20" i="24" a="1"/>
  <c r="P20" i="24" s="1"/>
  <c r="E18" i="24" l="1" a="1"/>
  <c r="E18" i="24" s="1"/>
  <c r="K42" i="9"/>
  <c r="P28" i="24" a="1"/>
  <c r="P28" i="24" s="1"/>
  <c r="P36" i="24" a="1"/>
  <c r="P36" i="24" s="1"/>
  <c r="I7" i="24"/>
  <c r="P47" i="24"/>
  <c r="S47" i="24"/>
  <c r="R47" i="24"/>
  <c r="Q47" i="24"/>
  <c r="I12" i="24" l="1"/>
  <c r="D56" i="52"/>
  <c r="D57" i="9"/>
  <c r="D58" i="9" s="1"/>
  <c r="P48" i="24"/>
  <c r="F92" i="2" l="1"/>
  <c r="AC119" i="19" l="1"/>
  <c r="U109" i="19"/>
  <c r="U108" i="19"/>
  <c r="U107" i="19"/>
  <c r="U106" i="19"/>
  <c r="U105" i="19"/>
  <c r="U104" i="19"/>
  <c r="Z102" i="19"/>
  <c r="Z103" i="19" s="1"/>
  <c r="Z104" i="19" s="1"/>
  <c r="U103" i="19"/>
  <c r="U102" i="19"/>
  <c r="AH119" i="19" l="1"/>
  <c r="AH121" i="19" s="1"/>
  <c r="AH122" i="19" s="1"/>
  <c r="M7" i="19" s="1"/>
  <c r="CJ22" i="52" s="1"/>
  <c r="CJ35" i="52" s="1" a="1"/>
  <c r="CJ35" i="52" s="1"/>
  <c r="R77" i="22" a="1"/>
  <c r="R77" i="22" s="1"/>
  <c r="R72" i="22" a="1"/>
  <c r="S72" i="22" s="1"/>
  <c r="R67" i="22" a="1"/>
  <c r="R67" i="22" s="1"/>
  <c r="R62" i="22" a="1"/>
  <c r="R62" i="22" s="1"/>
  <c r="H77" i="22" a="1"/>
  <c r="I77" i="22" s="1"/>
  <c r="H72" i="22" a="1"/>
  <c r="H72" i="22" s="1"/>
  <c r="H67" i="22" a="1"/>
  <c r="H67" i="22" s="1"/>
  <c r="H62" i="22" a="1"/>
  <c r="H62" i="22" s="1"/>
  <c r="R77" i="21" a="1"/>
  <c r="S77" i="21" s="1"/>
  <c r="R72" i="21" a="1"/>
  <c r="R72" i="21" s="1"/>
  <c r="R67" i="21" a="1"/>
  <c r="S67" i="21" s="1"/>
  <c r="R62" i="21" a="1"/>
  <c r="S62" i="21" s="1"/>
  <c r="H77" i="21" a="1"/>
  <c r="I77" i="21" s="1"/>
  <c r="H72" i="21" a="1"/>
  <c r="I72" i="21" s="1"/>
  <c r="H67" i="21" a="1"/>
  <c r="I67" i="21" s="1"/>
  <c r="H62" i="21" a="1"/>
  <c r="H62" i="21" s="1"/>
  <c r="O26" i="9" l="1"/>
  <c r="O36" i="9" s="1"/>
  <c r="AN6" i="25"/>
  <c r="AN14" i="25" s="1"/>
  <c r="M8" i="19"/>
  <c r="O27" i="9" s="1"/>
  <c r="S77" i="22"/>
  <c r="R72" i="22"/>
  <c r="S67" i="22"/>
  <c r="S62" i="22"/>
  <c r="H77" i="22"/>
  <c r="I72" i="22"/>
  <c r="I67" i="22"/>
  <c r="I62" i="22"/>
  <c r="R77" i="21"/>
  <c r="S72" i="21"/>
  <c r="R67" i="21"/>
  <c r="R62" i="21"/>
  <c r="H77" i="21"/>
  <c r="H72" i="21"/>
  <c r="H67" i="21"/>
  <c r="I62" i="21"/>
  <c r="AP6" i="23"/>
  <c r="AP7" i="23"/>
  <c r="AP8" i="23"/>
  <c r="AP9" i="23"/>
  <c r="AP10" i="23"/>
  <c r="AP11" i="23"/>
  <c r="AP12" i="23"/>
  <c r="AP13" i="23"/>
  <c r="AP14" i="23"/>
  <c r="AJ6" i="23"/>
  <c r="AK6" i="23"/>
  <c r="AL6" i="23"/>
  <c r="AM6" i="23"/>
  <c r="AN6" i="23"/>
  <c r="AO6" i="23"/>
  <c r="AJ7" i="23"/>
  <c r="AK7" i="23"/>
  <c r="AL7" i="23"/>
  <c r="AM7" i="23"/>
  <c r="AN7" i="23"/>
  <c r="AO7" i="23"/>
  <c r="AJ8" i="23"/>
  <c r="AK8" i="23"/>
  <c r="AL8" i="23"/>
  <c r="AM8" i="23"/>
  <c r="AN8" i="23"/>
  <c r="AO8" i="23"/>
  <c r="AJ9" i="23"/>
  <c r="AK9" i="23"/>
  <c r="AL9" i="23"/>
  <c r="AM9" i="23"/>
  <c r="AN9" i="23"/>
  <c r="AO9" i="23"/>
  <c r="AJ10" i="23"/>
  <c r="AK10" i="23"/>
  <c r="AL10" i="23"/>
  <c r="AM10" i="23"/>
  <c r="AN10" i="23"/>
  <c r="AO10" i="23"/>
  <c r="AJ11" i="23"/>
  <c r="AK11" i="23"/>
  <c r="AL11" i="23"/>
  <c r="AM11" i="23"/>
  <c r="AN11" i="23"/>
  <c r="AO11" i="23"/>
  <c r="AJ12" i="23"/>
  <c r="AK12" i="23"/>
  <c r="AL12" i="23"/>
  <c r="AM12" i="23"/>
  <c r="AN12" i="23"/>
  <c r="AO12" i="23"/>
  <c r="AJ13" i="23"/>
  <c r="AK13" i="23"/>
  <c r="AL13" i="23"/>
  <c r="AM13" i="23"/>
  <c r="AN13" i="23"/>
  <c r="AO13" i="23"/>
  <c r="AJ14" i="23"/>
  <c r="AK14" i="23"/>
  <c r="AL14" i="23"/>
  <c r="AM14" i="23"/>
  <c r="AN14" i="23"/>
  <c r="AO14" i="23"/>
  <c r="AI7" i="23"/>
  <c r="AI8" i="23"/>
  <c r="AI9" i="23"/>
  <c r="AI10" i="23"/>
  <c r="AI11" i="23"/>
  <c r="AI12" i="23"/>
  <c r="AI13" i="23"/>
  <c r="AI14" i="23"/>
  <c r="AI6" i="23"/>
  <c r="AJ16" i="23" l="1"/>
  <c r="AJ17" i="23" s="1"/>
  <c r="D39" i="23" s="1"/>
  <c r="AL16" i="23"/>
  <c r="AL17" i="23" s="1"/>
  <c r="F39" i="23" s="1"/>
  <c r="AK16" i="23"/>
  <c r="AK17" i="23" s="1"/>
  <c r="E39" i="23" s="1"/>
  <c r="AP16" i="23"/>
  <c r="AP17" i="23" s="1"/>
  <c r="J39" i="23" s="1"/>
  <c r="AI16" i="23"/>
  <c r="AI17" i="23" s="1"/>
  <c r="C39" i="23" s="1"/>
  <c r="AO16" i="23"/>
  <c r="AO17" i="23" s="1"/>
  <c r="I39" i="23" s="1"/>
  <c r="AN16" i="23"/>
  <c r="AN17" i="23" s="1"/>
  <c r="H39" i="23" s="1"/>
  <c r="AM16" i="23"/>
  <c r="AM17" i="23" s="1"/>
  <c r="G39" i="23" s="1"/>
  <c r="E5" i="23"/>
  <c r="E4" i="23"/>
  <c r="O26" i="23"/>
  <c r="N26" i="23"/>
  <c r="M26" i="23"/>
  <c r="L26" i="23"/>
  <c r="O25" i="23"/>
  <c r="N25" i="23"/>
  <c r="M25" i="23"/>
  <c r="L25" i="23"/>
  <c r="O24" i="23"/>
  <c r="N24" i="23"/>
  <c r="M24" i="23"/>
  <c r="L24" i="23"/>
  <c r="O23" i="23"/>
  <c r="N23" i="23"/>
  <c r="M23" i="23"/>
  <c r="L23" i="23"/>
  <c r="O22" i="23"/>
  <c r="N22" i="23"/>
  <c r="M22" i="23"/>
  <c r="L22" i="23"/>
  <c r="O21" i="23"/>
  <c r="N21" i="23"/>
  <c r="M21" i="23"/>
  <c r="L21" i="23"/>
  <c r="O20" i="23"/>
  <c r="N20" i="23"/>
  <c r="M20" i="23"/>
  <c r="L20" i="23"/>
  <c r="O19" i="23"/>
  <c r="N19" i="23"/>
  <c r="M19" i="23"/>
  <c r="L19" i="23"/>
  <c r="O18" i="23"/>
  <c r="N18" i="23"/>
  <c r="M18" i="23"/>
  <c r="L18" i="23"/>
  <c r="P25" i="23" l="1"/>
  <c r="P21" i="23"/>
  <c r="P18" i="23"/>
  <c r="P22" i="23"/>
  <c r="P20" i="23"/>
  <c r="P26" i="23"/>
  <c r="P19" i="23"/>
  <c r="P24" i="23"/>
  <c r="P23" i="23"/>
  <c r="F4" i="23"/>
  <c r="L3" i="22"/>
  <c r="J3" i="22"/>
  <c r="L3" i="21"/>
  <c r="J3" i="21"/>
  <c r="AX11" i="9"/>
  <c r="AV11" i="9"/>
  <c r="AT11" i="9"/>
  <c r="AR11" i="9"/>
  <c r="AO11" i="9"/>
  <c r="AM11" i="9"/>
  <c r="AK11" i="9"/>
  <c r="AI11" i="9"/>
  <c r="X51" i="22" l="1" a="1"/>
  <c r="X51" i="22" s="1"/>
  <c r="CJ26" i="9" l="1"/>
  <c r="Z51" i="22"/>
  <c r="Y51" i="22"/>
  <c r="R76" i="22" l="1" a="1"/>
  <c r="R76" i="22" s="1"/>
  <c r="H76" i="22" a="1"/>
  <c r="I76" i="22" s="1"/>
  <c r="R75" i="22" a="1"/>
  <c r="T75" i="22" s="1"/>
  <c r="H75" i="22" a="1"/>
  <c r="H75" i="22" s="1"/>
  <c r="R71" i="22" a="1"/>
  <c r="S71" i="22" s="1"/>
  <c r="H71" i="22" a="1"/>
  <c r="H71" i="22" s="1"/>
  <c r="R70" i="22" a="1"/>
  <c r="T70" i="22" s="1"/>
  <c r="H70" i="22" a="1"/>
  <c r="J70" i="22" s="1"/>
  <c r="R66" i="22" a="1"/>
  <c r="S66" i="22" s="1"/>
  <c r="H66" i="22" a="1"/>
  <c r="H66" i="22" s="1"/>
  <c r="R65" i="22" a="1"/>
  <c r="T65" i="22" s="1"/>
  <c r="H65" i="22" a="1"/>
  <c r="J65" i="22" s="1"/>
  <c r="R61" i="22" a="1"/>
  <c r="R61" i="22" s="1"/>
  <c r="H61" i="22" a="1"/>
  <c r="I61" i="22" s="1"/>
  <c r="R60" i="22" a="1"/>
  <c r="T60" i="22" s="1"/>
  <c r="H60" i="22" a="1"/>
  <c r="J60" i="22" s="1"/>
  <c r="X54" i="22" a="1"/>
  <c r="Z54" i="22" s="1"/>
  <c r="X53" i="22" a="1"/>
  <c r="Z53" i="22" s="1"/>
  <c r="X52" i="22" a="1"/>
  <c r="Z52" i="22" s="1"/>
  <c r="X37" i="22"/>
  <c r="W37" i="22"/>
  <c r="V37" i="22"/>
  <c r="X36" i="22"/>
  <c r="W36" i="22"/>
  <c r="V36" i="22"/>
  <c r="X35" i="22"/>
  <c r="W35" i="22"/>
  <c r="V35" i="22"/>
  <c r="X34" i="22"/>
  <c r="W34" i="22"/>
  <c r="V34" i="22"/>
  <c r="U29" i="22"/>
  <c r="Y36" i="22" s="1"/>
  <c r="AD12" i="22"/>
  <c r="AB12" i="22"/>
  <c r="M61" i="79" s="1"/>
  <c r="AF11" i="22"/>
  <c r="AD11" i="22"/>
  <c r="AB11" i="22"/>
  <c r="M60" i="79" s="1"/>
  <c r="AH10" i="22"/>
  <c r="AF10" i="22"/>
  <c r="AD10" i="22"/>
  <c r="AB10" i="22"/>
  <c r="M59" i="79" s="1"/>
  <c r="AH9" i="22"/>
  <c r="AF9" i="22"/>
  <c r="AD9" i="22"/>
  <c r="AB9" i="22"/>
  <c r="M58" i="79" s="1"/>
  <c r="AH8" i="22"/>
  <c r="AF8" i="22"/>
  <c r="AD8" i="22"/>
  <c r="AB8" i="22"/>
  <c r="M57" i="79" s="1"/>
  <c r="AH7" i="22"/>
  <c r="AF7" i="22"/>
  <c r="AD7" i="22"/>
  <c r="AB7" i="22"/>
  <c r="M56" i="79" s="1"/>
  <c r="AH6" i="22"/>
  <c r="S55" i="79" s="1"/>
  <c r="AF6" i="22"/>
  <c r="Q55" i="79" s="1"/>
  <c r="AD6" i="22"/>
  <c r="O55" i="79" s="1"/>
  <c r="AB6" i="22"/>
  <c r="M55" i="79" s="1"/>
  <c r="O57" i="79" l="1"/>
  <c r="S57" i="79"/>
  <c r="Q58" i="79"/>
  <c r="Q57" i="79"/>
  <c r="O58" i="79"/>
  <c r="S58" i="79"/>
  <c r="O59" i="79"/>
  <c r="Q59" i="79"/>
  <c r="S59" i="79"/>
  <c r="O56" i="79"/>
  <c r="O60" i="79"/>
  <c r="Q56" i="79"/>
  <c r="Q60" i="79"/>
  <c r="S56" i="79"/>
  <c r="O61" i="79"/>
  <c r="AB34" i="22"/>
  <c r="AB35" i="22"/>
  <c r="AB36" i="22"/>
  <c r="AB37" i="22"/>
  <c r="R70" i="22"/>
  <c r="R71" i="22"/>
  <c r="I75" i="22"/>
  <c r="I70" i="22"/>
  <c r="R60" i="22"/>
  <c r="R65" i="22"/>
  <c r="S70" i="22"/>
  <c r="S61" i="22"/>
  <c r="S60" i="22"/>
  <c r="I66" i="22"/>
  <c r="I71" i="22"/>
  <c r="S76" i="22"/>
  <c r="AA36" i="22"/>
  <c r="Z36" i="22"/>
  <c r="Y35" i="22"/>
  <c r="X53" i="22"/>
  <c r="H60" i="22"/>
  <c r="S65" i="22"/>
  <c r="R66" i="22"/>
  <c r="J75" i="22"/>
  <c r="H76" i="22"/>
  <c r="Y53" i="22"/>
  <c r="I60" i="22"/>
  <c r="Y37" i="22"/>
  <c r="Z37" i="22" s="1"/>
  <c r="H61" i="22"/>
  <c r="H65" i="22"/>
  <c r="R75" i="22"/>
  <c r="Y34" i="22"/>
  <c r="Z34" i="22" s="1"/>
  <c r="I65" i="22"/>
  <c r="X52" i="22"/>
  <c r="X54" i="22"/>
  <c r="H70" i="22"/>
  <c r="S75" i="22"/>
  <c r="Y52" i="22"/>
  <c r="Y54" i="22"/>
  <c r="AC36" i="22" l="1"/>
  <c r="AA34" i="22"/>
  <c r="AC34" i="22" s="1"/>
  <c r="AA37" i="22"/>
  <c r="AC37" i="22" s="1"/>
  <c r="AL37" i="22" s="1"/>
  <c r="AA35" i="22"/>
  <c r="Z35" i="22"/>
  <c r="H76" i="21" a="1"/>
  <c r="I76" i="21" s="1"/>
  <c r="H71" i="21" a="1"/>
  <c r="H71" i="21" s="1"/>
  <c r="H66" i="21" a="1"/>
  <c r="I66" i="21" s="1"/>
  <c r="H61" i="21" a="1"/>
  <c r="H61" i="21" s="1"/>
  <c r="AO34" i="22" l="1"/>
  <c r="AR34" i="22"/>
  <c r="AL34" i="22"/>
  <c r="U72" i="22"/>
  <c r="AL36" i="22"/>
  <c r="K77" i="22"/>
  <c r="U77" i="22"/>
  <c r="K62" i="22"/>
  <c r="U62" i="22"/>
  <c r="AJ37" i="22"/>
  <c r="K72" i="22"/>
  <c r="U71" i="22"/>
  <c r="K70" i="22"/>
  <c r="AD36" i="22"/>
  <c r="AE36" i="22"/>
  <c r="U70" i="22"/>
  <c r="K71" i="22"/>
  <c r="AJ38" i="22"/>
  <c r="U76" i="22"/>
  <c r="K75" i="22"/>
  <c r="AD37" i="22"/>
  <c r="AE37" i="22"/>
  <c r="U75" i="22"/>
  <c r="K76" i="22"/>
  <c r="AJ34" i="22"/>
  <c r="U61" i="22"/>
  <c r="AD34" i="22"/>
  <c r="U60" i="22"/>
  <c r="K60" i="22"/>
  <c r="K61" i="22"/>
  <c r="AE34" i="22"/>
  <c r="AC35" i="22"/>
  <c r="AL35" i="22" s="1"/>
  <c r="H76" i="21"/>
  <c r="I71" i="21"/>
  <c r="H66" i="21"/>
  <c r="I61" i="21"/>
  <c r="CY26" i="9" l="1"/>
  <c r="CW26" i="9"/>
  <c r="AG36" i="22"/>
  <c r="AG34" i="22"/>
  <c r="AF37" i="22"/>
  <c r="AF34" i="22"/>
  <c r="K67" i="22"/>
  <c r="U67" i="22"/>
  <c r="AG37" i="22"/>
  <c r="AF36" i="22"/>
  <c r="AJ36" i="22"/>
  <c r="Q9" i="22" a="1"/>
  <c r="AD35" i="22"/>
  <c r="K66" i="22"/>
  <c r="U65" i="22"/>
  <c r="K65" i="22"/>
  <c r="AE35" i="22"/>
  <c r="U66" i="22"/>
  <c r="AF35" i="22" l="1"/>
  <c r="AG35" i="22"/>
  <c r="P6" i="22" s="1" a="1"/>
  <c r="Q6" i="22" s="1"/>
  <c r="R9" i="22"/>
  <c r="AX33" i="22" s="1"/>
  <c r="Q9" i="22"/>
  <c r="AW33" i="22" s="1"/>
  <c r="AZ33" i="22" l="1"/>
  <c r="AJ35" i="22"/>
  <c r="P6" i="22"/>
  <c r="W6" i="22" s="1"/>
  <c r="BC27" i="9" s="1"/>
  <c r="T9" i="22"/>
  <c r="Q10" i="22" l="1" a="1"/>
  <c r="Q10" i="22" s="1"/>
  <c r="AW34" i="22" s="1"/>
  <c r="AF44" i="22"/>
  <c r="AT27" i="9" s="1"/>
  <c r="AH44" i="22"/>
  <c r="AV27" i="9" s="1"/>
  <c r="AK44" i="22"/>
  <c r="AY27" i="9" s="1"/>
  <c r="AI44" i="22"/>
  <c r="AW27" i="9" s="1"/>
  <c r="AG44" i="22"/>
  <c r="AU27" i="9" s="1"/>
  <c r="AJ44" i="22"/>
  <c r="AX27" i="9" s="1"/>
  <c r="AL44" i="22"/>
  <c r="AZ27" i="9" s="1"/>
  <c r="AM44" i="22"/>
  <c r="BA27" i="9" s="1"/>
  <c r="AN44" i="22" l="1" a="1"/>
  <c r="AN44" i="22" s="1"/>
  <c r="BB27" i="9" s="1"/>
  <c r="R10" i="22"/>
  <c r="AX34" i="22" s="1"/>
  <c r="AZ34" i="22" s="1"/>
  <c r="AO44" i="22" a="1"/>
  <c r="AO44" i="22" s="1"/>
  <c r="AP44" i="22" s="1"/>
  <c r="T10" i="22" l="1"/>
  <c r="R76" i="21" a="1"/>
  <c r="R76" i="21" s="1"/>
  <c r="R71" i="21" a="1"/>
  <c r="S71" i="21" s="1"/>
  <c r="R66" i="21" a="1"/>
  <c r="S66" i="21" s="1"/>
  <c r="R61" i="21" a="1"/>
  <c r="S61" i="21" s="1"/>
  <c r="X54" i="21" a="1"/>
  <c r="X54" i="21" s="1"/>
  <c r="X53" i="21" a="1"/>
  <c r="X53" i="21" s="1"/>
  <c r="X52" i="21" a="1"/>
  <c r="X52" i="21" s="1"/>
  <c r="X51" i="21" a="1"/>
  <c r="Z51" i="21" s="1"/>
  <c r="X36" i="21"/>
  <c r="X35" i="21"/>
  <c r="X34" i="21"/>
  <c r="R75" i="21" a="1"/>
  <c r="T75" i="21" s="1"/>
  <c r="H75" i="21" a="1"/>
  <c r="J75" i="21" s="1"/>
  <c r="H70" i="21" a="1"/>
  <c r="J70" i="21" s="1"/>
  <c r="R65" i="21" a="1"/>
  <c r="R65" i="21" s="1"/>
  <c r="H65" i="21" a="1"/>
  <c r="J65" i="21" s="1"/>
  <c r="R60" i="21" a="1"/>
  <c r="T60" i="21" s="1"/>
  <c r="H60" i="21" a="1"/>
  <c r="J60" i="21" s="1"/>
  <c r="S76" i="21" l="1"/>
  <c r="R71" i="21"/>
  <c r="R66" i="21"/>
  <c r="R61" i="21"/>
  <c r="Z54" i="21"/>
  <c r="Y54" i="21"/>
  <c r="Z53" i="21"/>
  <c r="Y53" i="21"/>
  <c r="Z52" i="21"/>
  <c r="Y52" i="21"/>
  <c r="X51" i="21"/>
  <c r="Y51" i="21"/>
  <c r="U29" i="21"/>
  <c r="Y36" i="21" s="1"/>
  <c r="W37" i="21"/>
  <c r="X37" i="21"/>
  <c r="V37" i="21"/>
  <c r="V36" i="21"/>
  <c r="V35" i="21"/>
  <c r="V34" i="21"/>
  <c r="S65" i="21"/>
  <c r="H60" i="21"/>
  <c r="T65" i="21"/>
  <c r="R75" i="21"/>
  <c r="S75" i="21"/>
  <c r="I60" i="21"/>
  <c r="H65" i="21"/>
  <c r="H70" i="21"/>
  <c r="I65" i="21"/>
  <c r="I70" i="21"/>
  <c r="R60" i="21"/>
  <c r="H75" i="21"/>
  <c r="S60" i="21"/>
  <c r="I75" i="21"/>
  <c r="Y35" i="21" l="1"/>
  <c r="Y37" i="21"/>
  <c r="AH7" i="21"/>
  <c r="AH8" i="21"/>
  <c r="AH9" i="21"/>
  <c r="AH10" i="21"/>
  <c r="AH6" i="21"/>
  <c r="AF10" i="21"/>
  <c r="AF6" i="21"/>
  <c r="AF9" i="21"/>
  <c r="W36" i="21"/>
  <c r="Z36" i="21" s="1"/>
  <c r="AF7" i="21"/>
  <c r="AF11" i="21"/>
  <c r="AF8" i="21"/>
  <c r="AD9" i="21"/>
  <c r="AD6" i="21"/>
  <c r="AD11" i="21"/>
  <c r="AD12" i="21"/>
  <c r="AD7" i="21"/>
  <c r="AD8" i="21"/>
  <c r="W35" i="21"/>
  <c r="AD10" i="21"/>
  <c r="Y34" i="21"/>
  <c r="AB9" i="21"/>
  <c r="AB7" i="21"/>
  <c r="AB8" i="21"/>
  <c r="AB6" i="21"/>
  <c r="AB12" i="21"/>
  <c r="W34" i="21"/>
  <c r="AB10" i="21"/>
  <c r="AB11" i="21"/>
  <c r="H55" i="79" l="1"/>
  <c r="F55" i="79"/>
  <c r="H59" i="79"/>
  <c r="H60" i="79"/>
  <c r="J55" i="79"/>
  <c r="D60" i="79"/>
  <c r="D55" i="79"/>
  <c r="F59" i="79"/>
  <c r="J59" i="79"/>
  <c r="H57" i="79"/>
  <c r="D56" i="79"/>
  <c r="J58" i="79"/>
  <c r="D61" i="79"/>
  <c r="D57" i="79"/>
  <c r="F57" i="79"/>
  <c r="J57" i="79"/>
  <c r="F58" i="79"/>
  <c r="H56" i="79"/>
  <c r="H58" i="79"/>
  <c r="F56" i="79"/>
  <c r="J56" i="79"/>
  <c r="D59" i="79"/>
  <c r="D58" i="79"/>
  <c r="F61" i="79"/>
  <c r="F60" i="79"/>
  <c r="AB35" i="21"/>
  <c r="AB37" i="21"/>
  <c r="AB34" i="21"/>
  <c r="AB36" i="21"/>
  <c r="AA36" i="21"/>
  <c r="AC36" i="21" s="1"/>
  <c r="AL36" i="21" s="1"/>
  <c r="Z35" i="21"/>
  <c r="AA35" i="21"/>
  <c r="Z34" i="21"/>
  <c r="Z37" i="21"/>
  <c r="AA37" i="21"/>
  <c r="AA34" i="21"/>
  <c r="U72" i="21" l="1"/>
  <c r="K72" i="21"/>
  <c r="K70" i="21"/>
  <c r="K71" i="21"/>
  <c r="U71" i="21"/>
  <c r="AC35" i="21"/>
  <c r="AL35" i="21" s="1"/>
  <c r="AD36" i="21"/>
  <c r="AJ37" i="21"/>
  <c r="AC34" i="21"/>
  <c r="AC37" i="21"/>
  <c r="AL37" i="21" s="1"/>
  <c r="AO34" i="21" l="1"/>
  <c r="AR34" i="21"/>
  <c r="AL34" i="21"/>
  <c r="P2" i="21" s="1" a="1"/>
  <c r="AG36" i="21"/>
  <c r="AF36" i="21"/>
  <c r="U66" i="21"/>
  <c r="U67" i="21"/>
  <c r="K67" i="21"/>
  <c r="U77" i="21"/>
  <c r="K77" i="21"/>
  <c r="K62" i="21"/>
  <c r="U62" i="21"/>
  <c r="K61" i="21"/>
  <c r="K60" i="21"/>
  <c r="K66" i="21"/>
  <c r="K65" i="21"/>
  <c r="K76" i="21"/>
  <c r="K75" i="21"/>
  <c r="U60" i="21"/>
  <c r="U61" i="21"/>
  <c r="AJ36" i="21"/>
  <c r="U65" i="21"/>
  <c r="U75" i="21"/>
  <c r="U76" i="21"/>
  <c r="AD35" i="21"/>
  <c r="AE34" i="21"/>
  <c r="Q9" i="21" a="1"/>
  <c r="AJ34" i="21"/>
  <c r="AD34" i="21"/>
  <c r="AJ38" i="21"/>
  <c r="AD37" i="21"/>
  <c r="CX26" i="9" l="1"/>
  <c r="CV26" i="9"/>
  <c r="AG34" i="21"/>
  <c r="P2" i="21"/>
  <c r="Q2" i="21"/>
  <c r="R2" i="21"/>
  <c r="AF37" i="21"/>
  <c r="AF34" i="21"/>
  <c r="AF35" i="21"/>
  <c r="AG37" i="21"/>
  <c r="AG35" i="21"/>
  <c r="Q9" i="21"/>
  <c r="AW33" i="21" s="1"/>
  <c r="R9" i="21"/>
  <c r="AX33" i="21" s="1"/>
  <c r="AZ33" i="21" l="1"/>
  <c r="W2" i="21"/>
  <c r="AN8" i="21" s="1"/>
  <c r="P5" i="21" a="1"/>
  <c r="Q5" i="21" s="1"/>
  <c r="AJ35" i="21"/>
  <c r="T9" i="21"/>
  <c r="P5" i="21" l="1"/>
  <c r="W5" i="21" s="1"/>
  <c r="Q10" i="21" a="1"/>
  <c r="R10" i="21" s="1"/>
  <c r="AX34" i="21" s="1"/>
  <c r="AJ43" i="21" l="1"/>
  <c r="AD27" i="9" s="1"/>
  <c r="AI27" i="9"/>
  <c r="AK43" i="21"/>
  <c r="AE27" i="9" s="1"/>
  <c r="AH43" i="21"/>
  <c r="AB27" i="9" s="1"/>
  <c r="AI43" i="21"/>
  <c r="AC27" i="9" s="1"/>
  <c r="AL43" i="21"/>
  <c r="AF27" i="9" s="1"/>
  <c r="AG43" i="21"/>
  <c r="AA27" i="9" s="1"/>
  <c r="AM43" i="21"/>
  <c r="AG27" i="9" s="1"/>
  <c r="AF43" i="21"/>
  <c r="Z27" i="9" s="1"/>
  <c r="Q10" i="21"/>
  <c r="AO43" i="21" l="1" a="1"/>
  <c r="AO43" i="21" s="1"/>
  <c r="AP43" i="21" s="1"/>
  <c r="AN43" i="21" a="1"/>
  <c r="AN43" i="21" s="1"/>
  <c r="AH27" i="9" s="1"/>
  <c r="T10" i="21"/>
  <c r="AW34" i="21"/>
  <c r="AZ34" i="21" s="1"/>
  <c r="C58" i="2"/>
  <c r="C57" i="2"/>
  <c r="C7" i="20"/>
  <c r="C6" i="20"/>
  <c r="L3" i="1"/>
  <c r="J3" i="1"/>
  <c r="W21" i="76" s="1"/>
  <c r="K22" i="20"/>
  <c r="L22" i="20"/>
  <c r="J22" i="20"/>
  <c r="W21" i="30" l="1"/>
  <c r="W21" i="21"/>
  <c r="W21" i="25"/>
  <c r="C25" i="20" a="1"/>
  <c r="C25" i="20" s="1"/>
  <c r="BD4" i="9"/>
  <c r="F59" i="2" l="1" a="1"/>
  <c r="F59" i="2" s="1"/>
  <c r="D25" i="20"/>
  <c r="R6" i="2"/>
  <c r="R7" i="2"/>
  <c r="T18" i="2"/>
  <c r="AD2" i="2" l="1"/>
  <c r="T10" i="2" l="1"/>
  <c r="C6" i="35" l="1"/>
  <c r="F3" i="19"/>
  <c r="E166" i="19" a="1"/>
  <c r="E166" i="19" s="1"/>
  <c r="E140" i="19" a="1"/>
  <c r="G140" i="19" s="1"/>
  <c r="F143" i="19"/>
  <c r="F169" i="19" s="1"/>
  <c r="F142" i="19"/>
  <c r="F168" i="19" s="1"/>
  <c r="E114" i="19" a="1"/>
  <c r="I114" i="19" s="1"/>
  <c r="F7" i="19" l="1"/>
  <c r="F6" i="19"/>
  <c r="F5" i="19"/>
  <c r="F4" i="19"/>
  <c r="F20" i="19"/>
  <c r="G20" i="19" s="1" a="1"/>
  <c r="G20" i="19" s="1"/>
  <c r="F140" i="19"/>
  <c r="F114" i="19"/>
  <c r="H114" i="19"/>
  <c r="H140" i="19"/>
  <c r="F166" i="19"/>
  <c r="I140" i="19"/>
  <c r="G166" i="19"/>
  <c r="F144" i="19"/>
  <c r="F170" i="19" s="1"/>
  <c r="H166" i="19"/>
  <c r="E114" i="19"/>
  <c r="I166" i="19"/>
  <c r="G114" i="19"/>
  <c r="E140" i="19"/>
  <c r="F24" i="19" l="1"/>
  <c r="G29" i="19"/>
  <c r="G24" i="19"/>
  <c r="G33" i="19" s="1"/>
  <c r="H29" i="19"/>
  <c r="H24" i="19"/>
  <c r="H33" i="19" s="1"/>
  <c r="F30" i="19"/>
  <c r="F25" i="19"/>
  <c r="G30" i="19"/>
  <c r="G34" i="19" s="1"/>
  <c r="G25" i="19"/>
  <c r="H30" i="19"/>
  <c r="H34" i="19" s="1"/>
  <c r="H25" i="19"/>
  <c r="E25" i="19"/>
  <c r="F26" i="19"/>
  <c r="E26" i="19"/>
  <c r="E29" i="19"/>
  <c r="G26" i="19"/>
  <c r="E27" i="19"/>
  <c r="H26" i="19"/>
  <c r="E28" i="19"/>
  <c r="F27" i="19"/>
  <c r="H28" i="19"/>
  <c r="G27" i="19"/>
  <c r="E30" i="19"/>
  <c r="H27" i="19"/>
  <c r="F28" i="19"/>
  <c r="G28" i="19"/>
  <c r="F29" i="19"/>
  <c r="E24" i="19"/>
  <c r="F33" i="19" s="1"/>
  <c r="F171" i="19"/>
  <c r="F145" i="19"/>
  <c r="F34" i="19" l="1"/>
  <c r="F37" i="19" s="1"/>
  <c r="AA55" i="2"/>
  <c r="G43" i="19" l="1"/>
  <c r="G44" i="19" a="1"/>
  <c r="G44" i="19" s="1"/>
  <c r="E44" i="19" a="1"/>
  <c r="E44" i="19" s="1"/>
  <c r="F44" i="19" a="1"/>
  <c r="F44" i="19" s="1"/>
  <c r="F43" i="19"/>
  <c r="E43" i="19"/>
  <c r="N38" i="9"/>
  <c r="M25" i="9"/>
  <c r="M24" i="9"/>
  <c r="M23" i="9"/>
  <c r="M36" i="9" s="1"/>
  <c r="F36" i="15" l="1"/>
  <c r="F37" i="15" s="1"/>
  <c r="F37" i="61"/>
  <c r="M5" i="61" s="1"/>
  <c r="F38" i="19"/>
  <c r="G38" i="19" s="1"/>
  <c r="N10" i="19" s="1"/>
  <c r="DK29" i="9" s="1"/>
  <c r="F39" i="19"/>
  <c r="G39" i="19" s="1"/>
  <c r="O10" i="19" s="1"/>
  <c r="DL29" i="9" s="1"/>
  <c r="M38" i="9"/>
  <c r="D69" i="2" s="1"/>
  <c r="S5" i="61" l="1"/>
  <c r="T5" i="61" s="1"/>
  <c r="BR35" i="52" s="1"/>
  <c r="BQ35" i="52"/>
  <c r="O7" i="19"/>
  <c r="O4" i="19"/>
  <c r="N7" i="19"/>
  <c r="N4" i="19"/>
  <c r="O8" i="19"/>
  <c r="O6" i="19"/>
  <c r="N8" i="19"/>
  <c r="N6" i="19"/>
  <c r="O5" i="19"/>
  <c r="O9" i="19"/>
  <c r="N5" i="19"/>
  <c r="N9" i="19"/>
  <c r="F34" i="15"/>
  <c r="O38" i="9"/>
  <c r="BB14" i="9"/>
  <c r="BB15" i="9"/>
  <c r="BB13" i="9"/>
  <c r="DK24" i="9" l="1"/>
  <c r="DK27" i="9"/>
  <c r="DL24" i="9"/>
  <c r="DK28" i="9"/>
  <c r="DK25" i="9"/>
  <c r="DK26" i="9"/>
  <c r="DL25" i="9"/>
  <c r="DL28" i="9"/>
  <c r="DL27" i="9"/>
  <c r="DK23" i="9"/>
  <c r="DK35" i="52"/>
  <c r="DK37" i="52" s="1"/>
  <c r="T23" i="51" s="1"/>
  <c r="T24" i="51" s="1"/>
  <c r="DL23" i="9"/>
  <c r="DL35" i="52"/>
  <c r="DL37" i="52" s="1"/>
  <c r="T22" i="51" s="1"/>
  <c r="DL26" i="9"/>
  <c r="T14" i="15"/>
  <c r="T13" i="15"/>
  <c r="T12" i="15"/>
  <c r="T11" i="15"/>
  <c r="T10" i="15"/>
  <c r="T9" i="15"/>
  <c r="T8" i="15"/>
  <c r="T7" i="15"/>
  <c r="DL36" i="9" l="1"/>
  <c r="DL38" i="9" s="1"/>
  <c r="T21" i="2" s="1"/>
  <c r="DK36" i="9"/>
  <c r="DK38" i="9" s="1"/>
  <c r="T22" i="2" s="1"/>
  <c r="C10" i="60"/>
  <c r="C9" i="60"/>
  <c r="N23" i="15"/>
  <c r="O23" i="15"/>
  <c r="P23" i="15"/>
  <c r="Q23" i="15"/>
  <c r="M23" i="15"/>
  <c r="I17" i="15"/>
  <c r="I11" i="15"/>
  <c r="I7" i="15"/>
  <c r="C9" i="35" l="1"/>
  <c r="L3" i="14"/>
  <c r="L3" i="10"/>
  <c r="J3" i="10"/>
  <c r="L3" i="8"/>
  <c r="J3" i="6"/>
  <c r="L3" i="6"/>
  <c r="X88" i="14"/>
  <c r="Y88" i="14"/>
  <c r="X89" i="14"/>
  <c r="Y89" i="14"/>
  <c r="X90" i="14"/>
  <c r="Y90" i="14"/>
  <c r="Y87" i="14"/>
  <c r="X87" i="14"/>
  <c r="X80" i="14"/>
  <c r="Y80" i="14"/>
  <c r="X81" i="14"/>
  <c r="Y81" i="14"/>
  <c r="X82" i="14"/>
  <c r="Y82" i="14"/>
  <c r="Y79" i="14"/>
  <c r="X79" i="14"/>
  <c r="X72" i="14"/>
  <c r="Y72" i="14"/>
  <c r="X73" i="14"/>
  <c r="Y73" i="14"/>
  <c r="X74" i="14"/>
  <c r="Y74" i="14"/>
  <c r="Y71" i="14"/>
  <c r="X71" i="14"/>
  <c r="X64" i="14"/>
  <c r="Y64" i="14"/>
  <c r="X65" i="14"/>
  <c r="Y65" i="14"/>
  <c r="X66" i="14"/>
  <c r="Y66" i="14"/>
  <c r="Y63" i="14"/>
  <c r="X63" i="14"/>
  <c r="X37" i="14"/>
  <c r="X36" i="14"/>
  <c r="X35" i="14"/>
  <c r="V35" i="14"/>
  <c r="X34" i="14"/>
  <c r="Y85" i="14"/>
  <c r="X86" i="14"/>
  <c r="Y86" i="14"/>
  <c r="Y84" i="14"/>
  <c r="X84" i="14"/>
  <c r="X77" i="14"/>
  <c r="Y77" i="14"/>
  <c r="X78" i="14"/>
  <c r="Y78" i="14"/>
  <c r="Y76" i="14"/>
  <c r="X76" i="14"/>
  <c r="X69" i="14"/>
  <c r="Y69" i="14"/>
  <c r="X70" i="14"/>
  <c r="Y70" i="14"/>
  <c r="X68" i="14"/>
  <c r="X60" i="14"/>
  <c r="Y60" i="14"/>
  <c r="X61" i="14"/>
  <c r="Y61" i="14"/>
  <c r="X62" i="14"/>
  <c r="Y62" i="14"/>
  <c r="Y59" i="14"/>
  <c r="X59" i="14"/>
  <c r="X85" i="14"/>
  <c r="Y68" i="14"/>
  <c r="AI38" i="14"/>
  <c r="AI36" i="14"/>
  <c r="V36" i="14"/>
  <c r="W35" i="14"/>
  <c r="AI36" i="10"/>
  <c r="AI38" i="10"/>
  <c r="I75" i="14" l="1" a="1"/>
  <c r="J75" i="14" s="1"/>
  <c r="AH9" i="14"/>
  <c r="S34" i="79" s="1"/>
  <c r="I70" i="14" a="1"/>
  <c r="I70" i="14" s="1"/>
  <c r="AB12" i="14"/>
  <c r="M37" i="79" s="1"/>
  <c r="AF11" i="14"/>
  <c r="Q36" i="79" s="1"/>
  <c r="V37" i="14"/>
  <c r="AF9" i="14"/>
  <c r="Q34" i="79" s="1"/>
  <c r="AD6" i="14"/>
  <c r="O31" i="79" s="1"/>
  <c r="AB10" i="14"/>
  <c r="M35" i="79" s="1"/>
  <c r="AD12" i="14"/>
  <c r="O37" i="79" s="1"/>
  <c r="AD10" i="14"/>
  <c r="O35" i="79" s="1"/>
  <c r="AD7" i="14"/>
  <c r="O32" i="79" s="1"/>
  <c r="AD11" i="14"/>
  <c r="O36" i="79" s="1"/>
  <c r="AD9" i="14"/>
  <c r="O34" i="79" s="1"/>
  <c r="AB8" i="14"/>
  <c r="M33" i="79" s="1"/>
  <c r="V34" i="14"/>
  <c r="AF7" i="14"/>
  <c r="Q32" i="79" s="1"/>
  <c r="AD8" i="14"/>
  <c r="O33" i="79" s="1"/>
  <c r="AF10" i="14"/>
  <c r="Q35" i="79" s="1"/>
  <c r="W34" i="14"/>
  <c r="W37" i="14"/>
  <c r="AH7" i="14"/>
  <c r="S32" i="79" s="1"/>
  <c r="AF8" i="14"/>
  <c r="Q33" i="79" s="1"/>
  <c r="AH10" i="14"/>
  <c r="S35" i="79" s="1"/>
  <c r="AB6" i="14"/>
  <c r="M31" i="79" s="1"/>
  <c r="AH8" i="14"/>
  <c r="S33" i="79" s="1"/>
  <c r="AB9" i="14"/>
  <c r="M34" i="79" s="1"/>
  <c r="W36" i="14"/>
  <c r="AF6" i="14"/>
  <c r="Q31" i="79" s="1"/>
  <c r="AB11" i="14"/>
  <c r="M36" i="79" s="1"/>
  <c r="AH6" i="14"/>
  <c r="S31" i="79" s="1"/>
  <c r="AB7" i="14"/>
  <c r="M32" i="79" s="1"/>
  <c r="I75" i="14" l="1"/>
  <c r="J70" i="14"/>
  <c r="AB37" i="14"/>
  <c r="AB36" i="14"/>
  <c r="AB35" i="14"/>
  <c r="AB34" i="14"/>
  <c r="Y90" i="10" l="1"/>
  <c r="X90" i="10"/>
  <c r="Y89" i="10"/>
  <c r="X89" i="10"/>
  <c r="Y88" i="10"/>
  <c r="X88" i="10"/>
  <c r="Y87" i="10"/>
  <c r="X87" i="10"/>
  <c r="Y86" i="10"/>
  <c r="X86" i="10"/>
  <c r="Y85" i="10"/>
  <c r="X85" i="10"/>
  <c r="Y84" i="10"/>
  <c r="X84" i="10"/>
  <c r="Y82" i="10"/>
  <c r="X82" i="10"/>
  <c r="Y81" i="10"/>
  <c r="X81" i="10"/>
  <c r="Y80" i="10"/>
  <c r="X80" i="10"/>
  <c r="Y79" i="10"/>
  <c r="X79" i="10"/>
  <c r="Y78" i="10"/>
  <c r="X78" i="10"/>
  <c r="Y77" i="10"/>
  <c r="X77" i="10"/>
  <c r="Y76" i="10"/>
  <c r="X76" i="10"/>
  <c r="R75" i="10" a="1"/>
  <c r="T75" i="10" s="1"/>
  <c r="H75" i="10" a="1"/>
  <c r="J75" i="10" s="1"/>
  <c r="Y74" i="10"/>
  <c r="X74" i="10"/>
  <c r="Y73" i="10"/>
  <c r="X73" i="10"/>
  <c r="Y72" i="10"/>
  <c r="X72" i="10"/>
  <c r="Y71" i="10"/>
  <c r="X71" i="10"/>
  <c r="Y70" i="10"/>
  <c r="X70" i="10"/>
  <c r="R70" i="10" a="1"/>
  <c r="R70" i="10" s="1"/>
  <c r="H70" i="10" a="1"/>
  <c r="J70" i="10" s="1"/>
  <c r="Y69" i="10"/>
  <c r="X69" i="10"/>
  <c r="Y68" i="10"/>
  <c r="X68" i="10"/>
  <c r="Y66" i="10"/>
  <c r="X66" i="10"/>
  <c r="Y65" i="10"/>
  <c r="X65" i="10"/>
  <c r="R65" i="10" a="1"/>
  <c r="R65" i="10" s="1"/>
  <c r="H65" i="10" a="1"/>
  <c r="J65" i="10" s="1"/>
  <c r="Y64" i="10"/>
  <c r="X64" i="10"/>
  <c r="Y63" i="10"/>
  <c r="X63" i="10"/>
  <c r="Y62" i="10"/>
  <c r="X62" i="10"/>
  <c r="Y61" i="10"/>
  <c r="X61" i="10"/>
  <c r="Y60" i="10"/>
  <c r="X60" i="10"/>
  <c r="R60" i="10" a="1"/>
  <c r="T60" i="10" s="1"/>
  <c r="H60" i="10" a="1"/>
  <c r="I60" i="10" s="1"/>
  <c r="Y59" i="10"/>
  <c r="X59" i="10"/>
  <c r="X37" i="10"/>
  <c r="W37" i="10"/>
  <c r="V37" i="10"/>
  <c r="X36" i="10"/>
  <c r="W36" i="10"/>
  <c r="V36" i="10"/>
  <c r="X35" i="10"/>
  <c r="W35" i="10"/>
  <c r="V35" i="10"/>
  <c r="X34" i="10"/>
  <c r="W34" i="10"/>
  <c r="V34" i="10"/>
  <c r="AD12" i="10"/>
  <c r="F37" i="79" s="1"/>
  <c r="AB12" i="10"/>
  <c r="D37" i="79" s="1"/>
  <c r="AF11" i="10"/>
  <c r="H36" i="79" s="1"/>
  <c r="AD11" i="10"/>
  <c r="F36" i="79" s="1"/>
  <c r="AB11" i="10"/>
  <c r="D36" i="79" s="1"/>
  <c r="AH10" i="10"/>
  <c r="J35" i="79" s="1"/>
  <c r="AF10" i="10"/>
  <c r="H35" i="79" s="1"/>
  <c r="AD10" i="10"/>
  <c r="F35" i="79" s="1"/>
  <c r="AB10" i="10"/>
  <c r="D35" i="79" s="1"/>
  <c r="AH9" i="10"/>
  <c r="J34" i="79" s="1"/>
  <c r="AF9" i="10"/>
  <c r="H34" i="79" s="1"/>
  <c r="AD9" i="10"/>
  <c r="F34" i="79" s="1"/>
  <c r="AB9" i="10"/>
  <c r="D34" i="79" s="1"/>
  <c r="AH8" i="10"/>
  <c r="J33" i="79" s="1"/>
  <c r="AF8" i="10"/>
  <c r="H33" i="79" s="1"/>
  <c r="AD8" i="10"/>
  <c r="F33" i="79" s="1"/>
  <c r="AB8" i="10"/>
  <c r="D33" i="79" s="1"/>
  <c r="AH7" i="10"/>
  <c r="J32" i="79" s="1"/>
  <c r="AF7" i="10"/>
  <c r="H32" i="79" s="1"/>
  <c r="AD7" i="10"/>
  <c r="F32" i="79" s="1"/>
  <c r="AB7" i="10"/>
  <c r="D32" i="79" s="1"/>
  <c r="AH6" i="10"/>
  <c r="J31" i="79" s="1"/>
  <c r="AF6" i="10"/>
  <c r="H31" i="79" s="1"/>
  <c r="AD6" i="10"/>
  <c r="F31" i="79" s="1"/>
  <c r="AB6" i="10"/>
  <c r="D31" i="79" s="1"/>
  <c r="AB37" i="10" l="1"/>
  <c r="AB36" i="10"/>
  <c r="AB35" i="10"/>
  <c r="AB34" i="10"/>
  <c r="S70" i="10"/>
  <c r="S60" i="10"/>
  <c r="U29" i="10"/>
  <c r="Y35" i="10" s="1"/>
  <c r="Z35" i="10" s="1"/>
  <c r="I75" i="10"/>
  <c r="H60" i="10"/>
  <c r="T65" i="10"/>
  <c r="T70" i="10"/>
  <c r="R75" i="10"/>
  <c r="S65" i="10"/>
  <c r="S75" i="10"/>
  <c r="J60" i="10"/>
  <c r="H65" i="10"/>
  <c r="H70" i="10"/>
  <c r="I65" i="10"/>
  <c r="I70" i="10"/>
  <c r="R60" i="10"/>
  <c r="H75" i="10"/>
  <c r="Y61" i="8"/>
  <c r="Y62" i="8"/>
  <c r="X60" i="8"/>
  <c r="X61" i="8"/>
  <c r="X62" i="8"/>
  <c r="Y37" i="10" l="1"/>
  <c r="Z37" i="10" s="1"/>
  <c r="Y36" i="10"/>
  <c r="AA36" i="10" s="1"/>
  <c r="AA35" i="10"/>
  <c r="AC35" i="10" s="1"/>
  <c r="Y34" i="10"/>
  <c r="W37" i="8"/>
  <c r="X37" i="8"/>
  <c r="W36" i="8"/>
  <c r="X36" i="8"/>
  <c r="W35" i="8"/>
  <c r="X35" i="8"/>
  <c r="X34" i="8"/>
  <c r="Y86" i="8"/>
  <c r="Y78" i="8"/>
  <c r="X78" i="8"/>
  <c r="Y77" i="8"/>
  <c r="X77" i="8"/>
  <c r="X76" i="8"/>
  <c r="Y70" i="8"/>
  <c r="X59" i="8"/>
  <c r="Y88" i="8"/>
  <c r="Y82" i="8"/>
  <c r="X82" i="8"/>
  <c r="Y81" i="8"/>
  <c r="X80" i="8"/>
  <c r="Y79" i="8"/>
  <c r="X79" i="8"/>
  <c r="Y72" i="8"/>
  <c r="Y66" i="8"/>
  <c r="X66" i="8"/>
  <c r="Y65" i="8"/>
  <c r="X64" i="8"/>
  <c r="X63" i="8"/>
  <c r="X87" i="8"/>
  <c r="Y90" i="8"/>
  <c r="X90" i="8"/>
  <c r="Y89" i="8"/>
  <c r="X89" i="8"/>
  <c r="X86" i="8"/>
  <c r="Y76" i="8"/>
  <c r="X88" i="8"/>
  <c r="Y85" i="8"/>
  <c r="X85" i="8"/>
  <c r="Y87" i="8"/>
  <c r="Y84" i="8"/>
  <c r="X84" i="8"/>
  <c r="X74" i="8"/>
  <c r="Y73" i="8"/>
  <c r="X73" i="8"/>
  <c r="X81" i="8"/>
  <c r="Y71" i="8"/>
  <c r="X71" i="8"/>
  <c r="Y80" i="8"/>
  <c r="Y69" i="8"/>
  <c r="X69" i="8"/>
  <c r="Y74" i="8"/>
  <c r="X70" i="8"/>
  <c r="X72" i="8"/>
  <c r="X65" i="8"/>
  <c r="Y68" i="8"/>
  <c r="X68" i="8"/>
  <c r="Y64" i="8"/>
  <c r="Y60" i="8"/>
  <c r="Y63" i="8"/>
  <c r="Y59" i="8"/>
  <c r="AS34" i="10" l="1"/>
  <c r="Z36" i="10"/>
  <c r="AC36" i="10" s="1"/>
  <c r="AF36" i="10" s="1"/>
  <c r="AA37" i="10"/>
  <c r="AC37" i="10" s="1"/>
  <c r="AG37" i="10" s="1"/>
  <c r="Q14" i="10"/>
  <c r="Z34" i="10"/>
  <c r="AA34" i="10"/>
  <c r="AJ35" i="10"/>
  <c r="AD35" i="10"/>
  <c r="AG35" i="10"/>
  <c r="AF35" i="10"/>
  <c r="AH10" i="8"/>
  <c r="S23" i="79" s="1"/>
  <c r="V37" i="8"/>
  <c r="AD6" i="8"/>
  <c r="O19" i="79" s="1"/>
  <c r="AD8" i="8"/>
  <c r="O21" i="79" s="1"/>
  <c r="AD11" i="8"/>
  <c r="O24" i="79" s="1"/>
  <c r="V35" i="8"/>
  <c r="AD10" i="8"/>
  <c r="O23" i="79" s="1"/>
  <c r="AB8" i="8"/>
  <c r="M21" i="79" s="1"/>
  <c r="AB12" i="8"/>
  <c r="M25" i="79" s="1"/>
  <c r="AB11" i="8"/>
  <c r="M24" i="79" s="1"/>
  <c r="AB6" i="8"/>
  <c r="M19" i="79" s="1"/>
  <c r="AB7" i="8"/>
  <c r="M20" i="79" s="1"/>
  <c r="V34" i="8"/>
  <c r="AF6" i="8"/>
  <c r="Q19" i="79" s="1"/>
  <c r="AF8" i="8"/>
  <c r="Q21" i="79" s="1"/>
  <c r="W34" i="8"/>
  <c r="AF11" i="8"/>
  <c r="Q24" i="79" s="1"/>
  <c r="AH6" i="8"/>
  <c r="S19" i="79" s="1"/>
  <c r="AH8" i="8"/>
  <c r="S21" i="79" s="1"/>
  <c r="V36" i="8"/>
  <c r="H60" i="8" a="1"/>
  <c r="AB10" i="8"/>
  <c r="M23" i="79" s="1"/>
  <c r="AD7" i="8"/>
  <c r="O20" i="79" s="1"/>
  <c r="AF7" i="8"/>
  <c r="Q20" i="79" s="1"/>
  <c r="AF9" i="8"/>
  <c r="Q22" i="79" s="1"/>
  <c r="AF10" i="8"/>
  <c r="Q23" i="79" s="1"/>
  <c r="AB9" i="8"/>
  <c r="M22" i="79" s="1"/>
  <c r="AD12" i="8"/>
  <c r="O25" i="79" s="1"/>
  <c r="AD9" i="8"/>
  <c r="O22" i="79" s="1"/>
  <c r="AH7" i="8"/>
  <c r="S20" i="79" s="1"/>
  <c r="AH9" i="8"/>
  <c r="S22" i="79" s="1"/>
  <c r="AD36" i="10" l="1"/>
  <c r="AG36" i="10"/>
  <c r="AJ37" i="10"/>
  <c r="AJ36" i="10" s="1"/>
  <c r="AF37" i="10"/>
  <c r="AD37" i="10"/>
  <c r="R12" i="10" a="1"/>
  <c r="R12" i="10" s="1"/>
  <c r="AJ39" i="10"/>
  <c r="AC34" i="10"/>
  <c r="AB37" i="8"/>
  <c r="AB36" i="8"/>
  <c r="AB35" i="8"/>
  <c r="AB34" i="8"/>
  <c r="I60" i="8"/>
  <c r="J60" i="8"/>
  <c r="H60" i="8"/>
  <c r="AL34" i="10" l="1"/>
  <c r="AO34" i="10"/>
  <c r="AJ38" i="10"/>
  <c r="S12" i="10"/>
  <c r="AD34" i="10"/>
  <c r="AG34" i="10"/>
  <c r="P8" i="10" s="1" a="1"/>
  <c r="AJ34" i="10"/>
  <c r="AF34" i="10"/>
  <c r="P5" i="10" s="1" a="1"/>
  <c r="R13" i="10" a="1"/>
  <c r="CX24" i="9" l="1"/>
  <c r="CV24" i="9"/>
  <c r="Q8" i="10"/>
  <c r="P8" i="10"/>
  <c r="Q5" i="10"/>
  <c r="P5" i="10"/>
  <c r="R13" i="10"/>
  <c r="S13" i="10"/>
  <c r="S14" i="10" l="1"/>
  <c r="AU34" i="10"/>
  <c r="R14" i="10"/>
  <c r="AT34" i="10"/>
  <c r="S8" i="10"/>
  <c r="W12" i="10" l="1"/>
  <c r="AE52" i="10" s="1"/>
  <c r="AO36" i="10"/>
  <c r="CZ24" i="9" l="1"/>
  <c r="AE48" i="10"/>
  <c r="AE51" i="10"/>
  <c r="AE45" i="10"/>
  <c r="AE46" i="10"/>
  <c r="AE54" i="10"/>
  <c r="Y12" i="10"/>
  <c r="E25" i="9"/>
  <c r="W13" i="10"/>
  <c r="D25" i="9" s="1"/>
  <c r="AE53" i="10"/>
  <c r="AE47" i="10"/>
  <c r="AE49" i="10" l="1"/>
  <c r="V49" i="10" s="1"/>
  <c r="Z55" i="10" s="1"/>
  <c r="Z43" i="10" s="1"/>
  <c r="AE55" i="10"/>
  <c r="V55" i="10" s="1"/>
  <c r="W55" i="10" l="1"/>
  <c r="W43" i="10" s="1"/>
  <c r="AB49" i="10"/>
  <c r="AB42" i="10" s="1"/>
  <c r="Y55" i="10"/>
  <c r="Y43" i="10" s="1"/>
  <c r="AC55" i="10"/>
  <c r="AC43" i="10" s="1"/>
  <c r="AD49" i="10"/>
  <c r="AD42" i="10" s="1"/>
  <c r="Y49" i="10"/>
  <c r="Y42" i="10" s="1"/>
  <c r="AD55" i="10"/>
  <c r="AD43" i="10" s="1"/>
  <c r="X49" i="10"/>
  <c r="X42" i="10" s="1"/>
  <c r="AA55" i="10"/>
  <c r="AA43" i="10" s="1"/>
  <c r="AB55" i="10"/>
  <c r="AB43" i="10" s="1"/>
  <c r="AA49" i="10"/>
  <c r="AA42" i="10" s="1"/>
  <c r="AC49" i="10"/>
  <c r="AC42" i="10" s="1"/>
  <c r="W49" i="10"/>
  <c r="W42" i="10" s="1"/>
  <c r="Z49" i="10"/>
  <c r="Z42" i="10" s="1"/>
  <c r="X55" i="10"/>
  <c r="X43" i="10" s="1"/>
  <c r="Y85" i="6"/>
  <c r="X86" i="6"/>
  <c r="Y86" i="6"/>
  <c r="X84" i="6"/>
  <c r="X77" i="6"/>
  <c r="X78" i="6"/>
  <c r="X76" i="6"/>
  <c r="X69" i="6"/>
  <c r="X70" i="6"/>
  <c r="X60" i="6"/>
  <c r="X61" i="6"/>
  <c r="X62" i="6"/>
  <c r="X59" i="6"/>
  <c r="Y64" i="6"/>
  <c r="Y65" i="6"/>
  <c r="Y66" i="6"/>
  <c r="Y63" i="6"/>
  <c r="Y72" i="6"/>
  <c r="Y73" i="6"/>
  <c r="Y71" i="6"/>
  <c r="Y80" i="6"/>
  <c r="Y81" i="6"/>
  <c r="Y79" i="6"/>
  <c r="Y88" i="6"/>
  <c r="Y89" i="6"/>
  <c r="Y90" i="6"/>
  <c r="Y87" i="6"/>
  <c r="X88" i="6"/>
  <c r="X89" i="6"/>
  <c r="X87" i="6"/>
  <c r="X80" i="6"/>
  <c r="X81" i="6"/>
  <c r="X82" i="6"/>
  <c r="X79" i="6"/>
  <c r="X72" i="6"/>
  <c r="X73" i="6"/>
  <c r="X71" i="6"/>
  <c r="X64" i="6"/>
  <c r="X65" i="6"/>
  <c r="X66" i="6"/>
  <c r="X63" i="6"/>
  <c r="X37" i="6"/>
  <c r="X90" i="6"/>
  <c r="X85" i="6"/>
  <c r="Y84" i="6"/>
  <c r="Y82" i="6"/>
  <c r="Y74" i="6"/>
  <c r="X74" i="6"/>
  <c r="U29" i="6"/>
  <c r="H60" i="6" l="1" a="1"/>
  <c r="J60" i="6" s="1"/>
  <c r="X68" i="6"/>
  <c r="AH9" i="6"/>
  <c r="J22" i="79" s="1"/>
  <c r="AH10" i="6"/>
  <c r="J23" i="79" s="1"/>
  <c r="W37" i="6"/>
  <c r="AH8" i="6"/>
  <c r="J21" i="79" s="1"/>
  <c r="AH6" i="6"/>
  <c r="J19" i="79" s="1"/>
  <c r="V37" i="6"/>
  <c r="AH7" i="6"/>
  <c r="J20" i="79" s="1"/>
  <c r="Y37" i="6"/>
  <c r="L3" i="3"/>
  <c r="J3" i="3"/>
  <c r="X69" i="1"/>
  <c r="Y69" i="1"/>
  <c r="H60" i="6" l="1"/>
  <c r="I60" i="6"/>
  <c r="AB37" i="6"/>
  <c r="Z37" i="6"/>
  <c r="AA37" i="6"/>
  <c r="Y85" i="3"/>
  <c r="X85" i="3"/>
  <c r="Y84" i="3"/>
  <c r="X84" i="3"/>
  <c r="Y83" i="3"/>
  <c r="X83" i="3"/>
  <c r="Y77" i="3"/>
  <c r="X77" i="3"/>
  <c r="Y76" i="3"/>
  <c r="X76" i="3"/>
  <c r="Y75" i="3"/>
  <c r="Y69" i="3"/>
  <c r="H65" i="3" a="1"/>
  <c r="Y68" i="3"/>
  <c r="X68" i="3"/>
  <c r="Y67" i="3"/>
  <c r="X67" i="3"/>
  <c r="Y61" i="3"/>
  <c r="X61" i="3"/>
  <c r="X60" i="3"/>
  <c r="Y59" i="3"/>
  <c r="V34" i="3"/>
  <c r="Y89" i="3"/>
  <c r="X89" i="3"/>
  <c r="Y88" i="3"/>
  <c r="X88" i="3"/>
  <c r="X75" i="3"/>
  <c r="Y87" i="3"/>
  <c r="X87" i="3"/>
  <c r="Y86" i="3"/>
  <c r="X86" i="3"/>
  <c r="Y81" i="3"/>
  <c r="X81" i="3"/>
  <c r="Y80" i="3"/>
  <c r="X80" i="3"/>
  <c r="Y79" i="3"/>
  <c r="X79" i="3"/>
  <c r="Y78" i="3"/>
  <c r="X78" i="3"/>
  <c r="Y73" i="3"/>
  <c r="X73" i="3"/>
  <c r="Y72" i="3"/>
  <c r="X72" i="3"/>
  <c r="Y71" i="3"/>
  <c r="X71" i="3"/>
  <c r="Y70" i="3"/>
  <c r="X70" i="3"/>
  <c r="Y65" i="3"/>
  <c r="X65" i="3"/>
  <c r="Y64" i="3"/>
  <c r="X64" i="3"/>
  <c r="Y60" i="3"/>
  <c r="Y63" i="3"/>
  <c r="X63" i="3"/>
  <c r="Y62" i="3"/>
  <c r="X62" i="3"/>
  <c r="U29" i="3"/>
  <c r="W37" i="3"/>
  <c r="V37" i="3"/>
  <c r="X36" i="3"/>
  <c r="V36" i="3"/>
  <c r="X35" i="3"/>
  <c r="W35" i="3"/>
  <c r="V35" i="3"/>
  <c r="AC37" i="6" l="1"/>
  <c r="AJ38" i="6" s="1"/>
  <c r="H60" i="3" a="1"/>
  <c r="I60" i="3" s="1"/>
  <c r="AH9" i="3"/>
  <c r="J10" i="79" s="1"/>
  <c r="AC10" i="79" s="1" a="1"/>
  <c r="AC10" i="79" s="1"/>
  <c r="J15" i="9" s="1"/>
  <c r="AP15" i="9" s="1"/>
  <c r="Y37" i="3"/>
  <c r="AF7" i="3"/>
  <c r="H8" i="79" s="1"/>
  <c r="AD6" i="3"/>
  <c r="AF11" i="3"/>
  <c r="H12" i="79" s="1"/>
  <c r="AD8" i="3"/>
  <c r="F9" i="79" s="1"/>
  <c r="AH7" i="3"/>
  <c r="J8" i="79" s="1"/>
  <c r="AC8" i="79" s="1" a="1"/>
  <c r="AC8" i="79" s="1"/>
  <c r="J13" i="9" s="1"/>
  <c r="AP13" i="9" s="1"/>
  <c r="Y34" i="3"/>
  <c r="Y36" i="3"/>
  <c r="AB8" i="3"/>
  <c r="D9" i="79" s="1"/>
  <c r="AB11" i="3"/>
  <c r="D12" i="79" s="1"/>
  <c r="X59" i="3"/>
  <c r="H65" i="3"/>
  <c r="I65" i="3"/>
  <c r="Y35" i="3"/>
  <c r="AA35" i="3" s="1"/>
  <c r="AB12" i="3"/>
  <c r="D13" i="79" s="1"/>
  <c r="X37" i="3"/>
  <c r="X69" i="3"/>
  <c r="AF6" i="3"/>
  <c r="AD12" i="3"/>
  <c r="F13" i="79" s="1"/>
  <c r="AH6" i="3"/>
  <c r="J7" i="79" s="1"/>
  <c r="AC7" i="79" s="1" a="1"/>
  <c r="AC7" i="79" s="1"/>
  <c r="J12" i="9" s="1"/>
  <c r="AP12" i="9" s="1"/>
  <c r="AH8" i="3"/>
  <c r="J9" i="79" s="1"/>
  <c r="AC9" i="79" s="1" a="1"/>
  <c r="AC9" i="79" s="1"/>
  <c r="J14" i="9" s="1"/>
  <c r="AP14" i="9" s="1"/>
  <c r="AB9" i="3"/>
  <c r="D10" i="79" s="1"/>
  <c r="AD10" i="3"/>
  <c r="F11" i="79" s="1"/>
  <c r="AF8" i="3"/>
  <c r="H9" i="79" s="1"/>
  <c r="AB10" i="3"/>
  <c r="D11" i="79" s="1"/>
  <c r="AB7" i="3"/>
  <c r="D8" i="79" s="1"/>
  <c r="AD9" i="3"/>
  <c r="F10" i="79" s="1"/>
  <c r="AF10" i="3"/>
  <c r="H11" i="79" s="1"/>
  <c r="W34" i="3"/>
  <c r="W36" i="3"/>
  <c r="R60" i="3" a="1"/>
  <c r="AD7" i="3"/>
  <c r="F8" i="79" s="1"/>
  <c r="AF9" i="3"/>
  <c r="H10" i="79" s="1"/>
  <c r="AH10" i="3"/>
  <c r="J11" i="79" s="1"/>
  <c r="AC11" i="79" s="1" a="1"/>
  <c r="AC11" i="79" s="1"/>
  <c r="J16" i="9" s="1"/>
  <c r="AP16" i="9" s="1"/>
  <c r="X34" i="3"/>
  <c r="AD11" i="3"/>
  <c r="F12" i="79" s="1"/>
  <c r="AB6" i="3"/>
  <c r="Y84" i="1"/>
  <c r="Y85" i="1"/>
  <c r="Y86" i="1"/>
  <c r="Y87" i="1"/>
  <c r="Y88" i="1"/>
  <c r="Y89" i="1"/>
  <c r="Y90" i="1"/>
  <c r="X88" i="1"/>
  <c r="X89" i="1"/>
  <c r="X90" i="1"/>
  <c r="X87" i="1"/>
  <c r="X85" i="1"/>
  <c r="X86" i="1"/>
  <c r="X84" i="1"/>
  <c r="Y76" i="1"/>
  <c r="Y77" i="1"/>
  <c r="Y78" i="1"/>
  <c r="Y79" i="1"/>
  <c r="Y80" i="1"/>
  <c r="Y81" i="1"/>
  <c r="Y82" i="1"/>
  <c r="X80" i="1"/>
  <c r="X81" i="1"/>
  <c r="X82" i="1"/>
  <c r="X79" i="1"/>
  <c r="X77" i="1"/>
  <c r="X78" i="1"/>
  <c r="X76" i="1"/>
  <c r="Y72" i="1"/>
  <c r="Y73" i="1"/>
  <c r="Y74" i="1"/>
  <c r="Y71" i="1"/>
  <c r="Y68" i="1"/>
  <c r="Y70" i="1"/>
  <c r="Y67" i="1"/>
  <c r="X72" i="1"/>
  <c r="X73" i="1"/>
  <c r="X74" i="1"/>
  <c r="X71" i="1"/>
  <c r="X68" i="1"/>
  <c r="X70" i="1"/>
  <c r="X67" i="1"/>
  <c r="Y59" i="1"/>
  <c r="Y60" i="1"/>
  <c r="Y61" i="1"/>
  <c r="Y62" i="1"/>
  <c r="Y63" i="1"/>
  <c r="Y64" i="1"/>
  <c r="Y65" i="1"/>
  <c r="X63" i="1"/>
  <c r="X64" i="1"/>
  <c r="X65" i="1"/>
  <c r="X62" i="1"/>
  <c r="X60" i="1"/>
  <c r="X61" i="1"/>
  <c r="X59" i="1"/>
  <c r="AB34" i="3" l="1"/>
  <c r="D7" i="79"/>
  <c r="AB35" i="3"/>
  <c r="F7" i="79"/>
  <c r="AB36" i="3"/>
  <c r="H7" i="79"/>
  <c r="AB37" i="3"/>
  <c r="AD37" i="6"/>
  <c r="H60" i="3"/>
  <c r="AA37" i="3"/>
  <c r="Z35" i="3"/>
  <c r="AC35" i="3" s="1"/>
  <c r="AF35" i="3" s="1"/>
  <c r="AA36" i="3"/>
  <c r="Z36" i="3"/>
  <c r="T60" i="3"/>
  <c r="S60" i="3"/>
  <c r="R60" i="3"/>
  <c r="AA34" i="3"/>
  <c r="Z34" i="3"/>
  <c r="Z37" i="3"/>
  <c r="AC37" i="3" l="1"/>
  <c r="AD37" i="3" s="1"/>
  <c r="AC36" i="3"/>
  <c r="AD36" i="3" s="1"/>
  <c r="AC34" i="3"/>
  <c r="AI34" i="3" s="1"/>
  <c r="CV35" i="52" s="1" a="1"/>
  <c r="CV35" i="52" s="1"/>
  <c r="AD35" i="3"/>
  <c r="AF34" i="3" l="1"/>
  <c r="CV22" i="9"/>
  <c r="Q9" i="3" a="1"/>
  <c r="Q9" i="3" s="1"/>
  <c r="AD34" i="3"/>
  <c r="Q10" i="3" a="1"/>
  <c r="Q10" i="3" s="1"/>
  <c r="AG34" i="3"/>
  <c r="R9" i="3" l="1"/>
  <c r="R10" i="3"/>
  <c r="W9" i="3" l="1"/>
  <c r="W10" i="3" s="1"/>
  <c r="R60" i="1" a="1"/>
  <c r="T60" i="1" s="1"/>
  <c r="R65" i="1" a="1"/>
  <c r="T65" i="1" s="1"/>
  <c r="E23" i="9" l="1"/>
  <c r="D23" i="9"/>
  <c r="Y9" i="3"/>
  <c r="R60" i="1"/>
  <c r="S60" i="1"/>
  <c r="S65" i="1"/>
  <c r="R65" i="1"/>
  <c r="C4" i="4" l="1"/>
  <c r="AH7" i="1"/>
  <c r="AF9" i="1"/>
  <c r="AB9" i="1"/>
  <c r="AB6" i="1"/>
  <c r="W37" i="1"/>
  <c r="X37" i="1"/>
  <c r="AH6" i="1"/>
  <c r="W36" i="1"/>
  <c r="X36" i="1"/>
  <c r="W35" i="1"/>
  <c r="X35" i="1"/>
  <c r="W34" i="1"/>
  <c r="X34" i="1"/>
  <c r="U12" i="52" l="1"/>
  <c r="AY12" i="52" s="1"/>
  <c r="S7" i="79"/>
  <c r="AL7" i="79" s="1" a="1"/>
  <c r="AL7" i="79" s="1"/>
  <c r="U12" i="9" s="1"/>
  <c r="AY12" i="9" s="1"/>
  <c r="S15" i="52"/>
  <c r="AW15" i="52" s="1"/>
  <c r="Q10" i="79"/>
  <c r="AJ10" i="79" s="1" a="1"/>
  <c r="AJ10" i="79" s="1"/>
  <c r="S15" i="9" s="1"/>
  <c r="AW15" i="9" s="1"/>
  <c r="O12" i="52"/>
  <c r="M12" i="52" s="1"/>
  <c r="M7" i="79"/>
  <c r="AF7" i="79" s="1" a="1"/>
  <c r="AF7" i="79" s="1"/>
  <c r="O12" i="9" s="1"/>
  <c r="U13" i="52"/>
  <c r="AY13" i="52" s="1"/>
  <c r="S8" i="79"/>
  <c r="AL8" i="79" s="1" a="1"/>
  <c r="AL8" i="79" s="1"/>
  <c r="U13" i="9" s="1"/>
  <c r="AY13" i="9" s="1"/>
  <c r="O15" i="52"/>
  <c r="M15" i="52" s="1"/>
  <c r="M10" i="79"/>
  <c r="AF10" i="79" s="1" a="1"/>
  <c r="AF10" i="79" s="1"/>
  <c r="O15" i="9" s="1"/>
  <c r="AB34" i="1"/>
  <c r="AB37" i="1"/>
  <c r="AB11" i="1"/>
  <c r="AF8" i="1"/>
  <c r="AD8" i="1"/>
  <c r="V36" i="1"/>
  <c r="AB10" i="1"/>
  <c r="AF7" i="1"/>
  <c r="AD7" i="1"/>
  <c r="AB12" i="1"/>
  <c r="AF6" i="1"/>
  <c r="V34" i="1"/>
  <c r="AB8" i="1"/>
  <c r="AD6" i="1"/>
  <c r="AD9" i="1"/>
  <c r="V37" i="1"/>
  <c r="AB7" i="1"/>
  <c r="AD12" i="1"/>
  <c r="AH10" i="1"/>
  <c r="AF11" i="1"/>
  <c r="AD11" i="1"/>
  <c r="AH9" i="1"/>
  <c r="V35" i="1"/>
  <c r="AF10" i="1"/>
  <c r="AD10" i="1"/>
  <c r="AH8" i="1"/>
  <c r="AS15" i="9" l="1"/>
  <c r="M15" i="9"/>
  <c r="AS12" i="9"/>
  <c r="M12" i="9"/>
  <c r="AS12" i="52"/>
  <c r="AS15" i="52"/>
  <c r="O14" i="52"/>
  <c r="AS14" i="52" s="1"/>
  <c r="M9" i="79"/>
  <c r="AF9" i="79" s="1" a="1"/>
  <c r="AF9" i="79" s="1"/>
  <c r="O14" i="9" s="1"/>
  <c r="O13" i="52"/>
  <c r="M13" i="52" s="1"/>
  <c r="M8" i="79"/>
  <c r="AF8" i="79" s="1" a="1"/>
  <c r="AF8" i="79" s="1"/>
  <c r="O13" i="9" s="1"/>
  <c r="Q12" i="52"/>
  <c r="AU12" i="52" s="1"/>
  <c r="O7" i="79"/>
  <c r="AH7" i="79" s="1" a="1"/>
  <c r="AH7" i="79" s="1"/>
  <c r="Q12" i="9" s="1"/>
  <c r="AU12" i="9" s="1"/>
  <c r="S16" i="52"/>
  <c r="AW16" i="52" s="1"/>
  <c r="Q11" i="79"/>
  <c r="AJ11" i="79" s="1" a="1"/>
  <c r="AJ11" i="79" s="1"/>
  <c r="S16" i="9" s="1"/>
  <c r="AW16" i="9" s="1"/>
  <c r="Q18" i="52"/>
  <c r="AU18" i="52" s="1"/>
  <c r="O13" i="79"/>
  <c r="AH13" i="79" s="1" a="1"/>
  <c r="AH13" i="79" s="1"/>
  <c r="Q18" i="9" s="1"/>
  <c r="AU18" i="9" s="1"/>
  <c r="Q16" i="52"/>
  <c r="AU16" i="52" s="1"/>
  <c r="O11" i="79"/>
  <c r="AH11" i="79" s="1" a="1"/>
  <c r="AH11" i="79" s="1"/>
  <c r="Q16" i="9" s="1"/>
  <c r="AU16" i="9" s="1"/>
  <c r="Q17" i="52"/>
  <c r="AU17" i="52" s="1"/>
  <c r="O12" i="79"/>
  <c r="AH12" i="79" s="1" a="1"/>
  <c r="AH12" i="79" s="1"/>
  <c r="Q17" i="9" s="1"/>
  <c r="AU17" i="9" s="1"/>
  <c r="S12" i="52"/>
  <c r="AW12" i="52" s="1"/>
  <c r="Q7" i="79"/>
  <c r="AJ7" i="79" s="1" a="1"/>
  <c r="AJ7" i="79" s="1"/>
  <c r="S12" i="9" s="1"/>
  <c r="AW12" i="9" s="1"/>
  <c r="U14" i="52"/>
  <c r="AY14" i="52" s="1"/>
  <c r="S9" i="79"/>
  <c r="AL9" i="79" s="1" a="1"/>
  <c r="AL9" i="79" s="1"/>
  <c r="U14" i="9" s="1"/>
  <c r="AY14" i="9" s="1"/>
  <c r="Q13" i="52"/>
  <c r="AU13" i="52" s="1"/>
  <c r="O8" i="79"/>
  <c r="AH8" i="79" s="1" a="1"/>
  <c r="AH8" i="79" s="1"/>
  <c r="Q13" i="9" s="1"/>
  <c r="AU13" i="9" s="1"/>
  <c r="S13" i="52"/>
  <c r="AW13" i="52" s="1"/>
  <c r="Q8" i="79"/>
  <c r="AJ8" i="79" s="1" a="1"/>
  <c r="AJ8" i="79" s="1"/>
  <c r="S13" i="9" s="1"/>
  <c r="AW13" i="9" s="1"/>
  <c r="U15" i="52"/>
  <c r="AY15" i="52" s="1"/>
  <c r="S10" i="79"/>
  <c r="AL10" i="79" s="1" a="1"/>
  <c r="AL10" i="79" s="1"/>
  <c r="U15" i="9" s="1"/>
  <c r="AY15" i="9" s="1"/>
  <c r="S14" i="52"/>
  <c r="AW14" i="52" s="1"/>
  <c r="Q9" i="79"/>
  <c r="AJ9" i="79" s="1" a="1"/>
  <c r="AJ9" i="79" s="1"/>
  <c r="S14" i="9" s="1"/>
  <c r="AW14" i="9" s="1"/>
  <c r="Q15" i="52"/>
  <c r="AU15" i="52" s="1"/>
  <c r="O10" i="79"/>
  <c r="AH10" i="79" s="1" a="1"/>
  <c r="AH10" i="79" s="1"/>
  <c r="Q15" i="9" s="1"/>
  <c r="AU15" i="9" s="1"/>
  <c r="O18" i="52"/>
  <c r="AS18" i="52" s="1"/>
  <c r="M13" i="79"/>
  <c r="AF13" i="79" s="1" a="1"/>
  <c r="AF13" i="79" s="1"/>
  <c r="O18" i="9" s="1"/>
  <c r="O16" i="52"/>
  <c r="M16" i="52" s="1"/>
  <c r="M11" i="79"/>
  <c r="AF11" i="79" s="1" a="1"/>
  <c r="AF11" i="79" s="1"/>
  <c r="O16" i="9" s="1"/>
  <c r="Q14" i="52"/>
  <c r="AU14" i="52" s="1"/>
  <c r="O9" i="79"/>
  <c r="AH9" i="79" s="1" a="1"/>
  <c r="AH9" i="79" s="1"/>
  <c r="Q14" i="9" s="1"/>
  <c r="AU14" i="9" s="1"/>
  <c r="S17" i="52"/>
  <c r="AW17" i="52" s="1"/>
  <c r="Q12" i="79"/>
  <c r="AJ12" i="79" s="1" a="1"/>
  <c r="AJ12" i="79" s="1"/>
  <c r="S17" i="9" s="1"/>
  <c r="AW17" i="9" s="1"/>
  <c r="U16" i="52"/>
  <c r="AY16" i="52" s="1"/>
  <c r="S11" i="79"/>
  <c r="AL11" i="79" s="1" a="1"/>
  <c r="AL11" i="79" s="1"/>
  <c r="U16" i="9" s="1"/>
  <c r="AY16" i="9" s="1"/>
  <c r="O17" i="52"/>
  <c r="AS17" i="52" s="1"/>
  <c r="M12" i="79"/>
  <c r="AF12" i="79" s="1" a="1"/>
  <c r="AF12" i="79" s="1"/>
  <c r="O17" i="9" s="1"/>
  <c r="AB36" i="1"/>
  <c r="AB35" i="1"/>
  <c r="H65" i="1" a="1"/>
  <c r="AS13" i="52" l="1"/>
  <c r="M14" i="52"/>
  <c r="M17" i="9"/>
  <c r="AS17" i="9"/>
  <c r="M13" i="9"/>
  <c r="AS13" i="9"/>
  <c r="AS14" i="9"/>
  <c r="M14" i="9"/>
  <c r="AS18" i="9"/>
  <c r="M18" i="9"/>
  <c r="AS16" i="9"/>
  <c r="M16" i="9"/>
  <c r="M17" i="52"/>
  <c r="AS16" i="52"/>
  <c r="M18" i="52"/>
  <c r="I65" i="1"/>
  <c r="H65" i="1"/>
  <c r="H60" i="1" a="1"/>
  <c r="H60" i="1" l="1"/>
  <c r="I60" i="1"/>
  <c r="H75" i="1" l="1" a="1"/>
  <c r="H75" i="1" s="1"/>
  <c r="J75" i="1" l="1"/>
  <c r="I75" i="1"/>
  <c r="R70" i="1" a="1"/>
  <c r="R70" i="1" s="1"/>
  <c r="T70" i="1" l="1"/>
  <c r="S70" i="1"/>
  <c r="R75" i="1" a="1"/>
  <c r="T75" i="1" s="1"/>
  <c r="S75" i="1" l="1"/>
  <c r="R75" i="1"/>
  <c r="H70" i="1" a="1"/>
  <c r="I70" i="1" s="1"/>
  <c r="H70" i="1" l="1"/>
  <c r="J70" i="1"/>
  <c r="H75" i="3" l="1" a="1"/>
  <c r="H75" i="3" s="1"/>
  <c r="R75" i="3" a="1"/>
  <c r="R75" i="3" s="1"/>
  <c r="R70" i="3" a="1"/>
  <c r="R70" i="3" s="1"/>
  <c r="R65" i="3" a="1"/>
  <c r="T65" i="3" s="1"/>
  <c r="X51" i="3" a="1"/>
  <c r="Z51" i="3" s="1"/>
  <c r="X52" i="3" a="1"/>
  <c r="Z52" i="3" s="1"/>
  <c r="X53" i="3" a="1"/>
  <c r="X53" i="3" s="1"/>
  <c r="S65" i="3" l="1"/>
  <c r="T75" i="3"/>
  <c r="R65" i="3"/>
  <c r="S75" i="3"/>
  <c r="T70" i="3"/>
  <c r="S70" i="3"/>
  <c r="AG36" i="3" s="1"/>
  <c r="Y51" i="3"/>
  <c r="X51" i="3"/>
  <c r="Y53" i="3"/>
  <c r="X52" i="3"/>
  <c r="Y52" i="3"/>
  <c r="I75" i="3"/>
  <c r="J75" i="3"/>
  <c r="Z53" i="3"/>
  <c r="AG37" i="3" l="1"/>
  <c r="AG35" i="3"/>
  <c r="AE36" i="3"/>
  <c r="AF37" i="3"/>
  <c r="AE35" i="3"/>
  <c r="AE34" i="3"/>
  <c r="H70" i="3" a="1"/>
  <c r="J70" i="3" s="1"/>
  <c r="X54" i="3" a="1"/>
  <c r="Z54" i="3" s="1"/>
  <c r="P6" i="3" l="1" a="1"/>
  <c r="Q6" i="3" s="1"/>
  <c r="X54" i="3"/>
  <c r="Y54" i="3"/>
  <c r="H70" i="3"/>
  <c r="I70" i="3"/>
  <c r="P6" i="3" l="1"/>
  <c r="W6" i="3" s="1"/>
  <c r="Y23" i="9" s="1"/>
  <c r="Y35" i="52"/>
  <c r="AF36" i="3"/>
  <c r="P5" i="3" s="1" a="1"/>
  <c r="AE37" i="3"/>
  <c r="P13" i="3" s="1" a="1"/>
  <c r="AL44" i="3" l="1"/>
  <c r="AI44" i="3"/>
  <c r="S23" i="9" s="1"/>
  <c r="AJ44" i="3"/>
  <c r="T23" i="9" s="1"/>
  <c r="AK44" i="3"/>
  <c r="U23" i="9" s="1"/>
  <c r="AM44" i="3"/>
  <c r="W23" i="9" s="1"/>
  <c r="AF44" i="3"/>
  <c r="P23" i="9" s="1"/>
  <c r="AH44" i="3"/>
  <c r="R23" i="9" s="1"/>
  <c r="AG44" i="3"/>
  <c r="Q23" i="9" s="1"/>
  <c r="R13" i="3"/>
  <c r="P13" i="3"/>
  <c r="Q13" i="3"/>
  <c r="Q5" i="3"/>
  <c r="P5" i="3"/>
  <c r="X54" i="1" a="1"/>
  <c r="Z54" i="1" s="1"/>
  <c r="X52" i="1" a="1"/>
  <c r="Y52" i="1" s="1"/>
  <c r="AO44" i="3" l="1" a="1"/>
  <c r="AO44" i="3" s="1"/>
  <c r="AP44" i="3" s="1"/>
  <c r="V23" i="9"/>
  <c r="AN44" i="3" a="1"/>
  <c r="AN44" i="3" s="1"/>
  <c r="X23" i="9" s="1"/>
  <c r="W5" i="3"/>
  <c r="W13" i="3"/>
  <c r="Y54" i="1"/>
  <c r="X52" i="1"/>
  <c r="X54" i="1"/>
  <c r="Z52" i="1"/>
  <c r="AI23" i="9" l="1"/>
  <c r="AI35" i="52"/>
  <c r="AI43" i="3"/>
  <c r="W14" i="3"/>
  <c r="F23" i="9" s="1"/>
  <c r="AM43" i="3"/>
  <c r="AL43" i="3"/>
  <c r="AF43" i="3"/>
  <c r="AH43" i="3"/>
  <c r="AK43" i="3"/>
  <c r="AJ43" i="3"/>
  <c r="AG43" i="3"/>
  <c r="X53" i="1" a="1"/>
  <c r="X53" i="1" s="1"/>
  <c r="X51" i="1" a="1"/>
  <c r="Z51" i="1" s="1"/>
  <c r="AB23" i="9" l="1"/>
  <c r="AA23" i="9"/>
  <c r="AD23" i="9"/>
  <c r="AE23" i="9"/>
  <c r="Z23" i="9"/>
  <c r="AF23" i="9"/>
  <c r="AC23" i="9"/>
  <c r="AG23" i="9"/>
  <c r="AN43" i="3" a="1"/>
  <c r="AN43" i="3" s="1"/>
  <c r="AO43" i="3" a="1"/>
  <c r="AO43" i="3" s="1"/>
  <c r="AP43" i="3" s="1"/>
  <c r="Y53" i="1"/>
  <c r="Z53" i="1"/>
  <c r="X51" i="1"/>
  <c r="Y51" i="1"/>
  <c r="AH23" i="9" l="1"/>
  <c r="X36" i="6"/>
  <c r="W35" i="6" l="1"/>
  <c r="V34" i="6"/>
  <c r="Y34" i="6"/>
  <c r="X34" i="6"/>
  <c r="X35" i="6"/>
  <c r="AD6" i="6" l="1"/>
  <c r="F19" i="79" s="1"/>
  <c r="Y7" i="79" s="1" a="1"/>
  <c r="Y7" i="79" s="1"/>
  <c r="F12" i="9" s="1"/>
  <c r="AL12" i="9" s="1"/>
  <c r="V36" i="6"/>
  <c r="Y36" i="6"/>
  <c r="W34" i="6"/>
  <c r="AA34" i="6" s="1"/>
  <c r="AB10" i="6"/>
  <c r="D23" i="79" s="1"/>
  <c r="W11" i="79" s="1" a="1"/>
  <c r="W11" i="79" s="1"/>
  <c r="D16" i="9" s="1"/>
  <c r="AB12" i="6"/>
  <c r="D25" i="79" s="1"/>
  <c r="W13" i="79" s="1" a="1"/>
  <c r="W13" i="79" s="1"/>
  <c r="D18" i="9" s="1"/>
  <c r="AB7" i="6"/>
  <c r="D20" i="79" s="1"/>
  <c r="W8" i="79" s="1" a="1"/>
  <c r="W8" i="79" s="1"/>
  <c r="D13" i="9" s="1"/>
  <c r="AB9" i="6"/>
  <c r="D22" i="79" s="1"/>
  <c r="W10" i="79" s="1" a="1"/>
  <c r="W10" i="79" s="1"/>
  <c r="D15" i="9" s="1"/>
  <c r="AB11" i="6"/>
  <c r="D24" i="79" s="1"/>
  <c r="W12" i="79" s="1" a="1"/>
  <c r="W12" i="79" s="1"/>
  <c r="D17" i="9" s="1"/>
  <c r="AB6" i="6"/>
  <c r="D19" i="79" s="1"/>
  <c r="W7" i="79" s="1" a="1"/>
  <c r="W7" i="79" s="1"/>
  <c r="D12" i="9" s="1"/>
  <c r="AB8" i="6"/>
  <c r="D21" i="79" s="1"/>
  <c r="W9" i="79" s="1" a="1"/>
  <c r="W9" i="79" s="1"/>
  <c r="D14" i="9" s="1"/>
  <c r="V35" i="6"/>
  <c r="Y35" i="6"/>
  <c r="Z35" i="6" s="1"/>
  <c r="AD8" i="6"/>
  <c r="F21" i="79" s="1"/>
  <c r="Y9" i="79" s="1" a="1"/>
  <c r="Y9" i="79" s="1"/>
  <c r="F14" i="9" s="1"/>
  <c r="AL14" i="9" s="1"/>
  <c r="AD12" i="6"/>
  <c r="F25" i="79" s="1"/>
  <c r="Y13" i="79" s="1" a="1"/>
  <c r="Y13" i="79" s="1"/>
  <c r="F18" i="9" s="1"/>
  <c r="AL18" i="9" s="1"/>
  <c r="AD10" i="6"/>
  <c r="F23" i="79" s="1"/>
  <c r="Y11" i="79" s="1" a="1"/>
  <c r="Y11" i="79" s="1"/>
  <c r="F16" i="9" s="1"/>
  <c r="AL16" i="9" s="1"/>
  <c r="AD9" i="6"/>
  <c r="F22" i="79" s="1"/>
  <c r="Y10" i="79" s="1" a="1"/>
  <c r="Y10" i="79" s="1"/>
  <c r="F15" i="9" s="1"/>
  <c r="AL15" i="9" s="1"/>
  <c r="AD7" i="6"/>
  <c r="F20" i="79" s="1"/>
  <c r="Y8" i="79" s="1" a="1"/>
  <c r="Y8" i="79" s="1"/>
  <c r="F13" i="9" s="1"/>
  <c r="AL13" i="9" s="1"/>
  <c r="AF11" i="6"/>
  <c r="H24" i="79" s="1"/>
  <c r="AA12" i="79" s="1" a="1"/>
  <c r="AA12" i="79" s="1"/>
  <c r="H17" i="9" s="1"/>
  <c r="AN17" i="9" s="1"/>
  <c r="AF7" i="6"/>
  <c r="H20" i="79" s="1"/>
  <c r="AA8" i="79" s="1" a="1"/>
  <c r="AA8" i="79" s="1"/>
  <c r="H13" i="9" s="1"/>
  <c r="AN13" i="9" s="1"/>
  <c r="W36" i="6"/>
  <c r="AF9" i="6"/>
  <c r="H22" i="79" s="1"/>
  <c r="AA10" i="79" s="1" a="1"/>
  <c r="AA10" i="79" s="1"/>
  <c r="H15" i="9" s="1"/>
  <c r="AN15" i="9" s="1"/>
  <c r="AF10" i="6"/>
  <c r="H23" i="79" s="1"/>
  <c r="AA11" i="79" s="1" a="1"/>
  <c r="AA11" i="79" s="1"/>
  <c r="H16" i="9" s="1"/>
  <c r="AN16" i="9" s="1"/>
  <c r="AF6" i="6"/>
  <c r="H19" i="79" s="1"/>
  <c r="AA7" i="79" s="1" a="1"/>
  <c r="AA7" i="79" s="1"/>
  <c r="H12" i="9" s="1"/>
  <c r="AN12" i="9" s="1"/>
  <c r="AF8" i="6"/>
  <c r="H21" i="79" s="1"/>
  <c r="AA9" i="79" s="1" a="1"/>
  <c r="AA9" i="79" s="1"/>
  <c r="H14" i="9" s="1"/>
  <c r="AN14" i="9" s="1"/>
  <c r="AD11" i="6"/>
  <c r="F24" i="79" s="1"/>
  <c r="Y12" i="79" s="1" a="1"/>
  <c r="Y12" i="79" s="1"/>
  <c r="F17" i="9" s="1"/>
  <c r="AL17" i="9" s="1"/>
  <c r="AJ14" i="9" l="1"/>
  <c r="B14" i="9"/>
  <c r="AJ15" i="9"/>
  <c r="B15" i="9"/>
  <c r="B18" i="9"/>
  <c r="AJ18" i="9"/>
  <c r="B16" i="9"/>
  <c r="AJ16" i="9"/>
  <c r="AJ13" i="9"/>
  <c r="B13" i="9"/>
  <c r="B17" i="9"/>
  <c r="AJ17" i="9"/>
  <c r="AJ12" i="9"/>
  <c r="B12" i="9"/>
  <c r="AB35" i="6"/>
  <c r="Z36" i="6"/>
  <c r="Z34" i="6"/>
  <c r="AC34" i="6" s="1"/>
  <c r="AB36" i="6"/>
  <c r="AB34" i="6"/>
  <c r="AA35" i="6"/>
  <c r="AC35" i="6" s="1"/>
  <c r="AJ36" i="6" s="1"/>
  <c r="AA36" i="6"/>
  <c r="AJ34" i="6" l="1"/>
  <c r="AL34" i="6"/>
  <c r="AO34" i="6"/>
  <c r="AC36" i="6"/>
  <c r="Q9" i="6" s="1" a="1"/>
  <c r="AD35" i="6"/>
  <c r="AF34" i="6"/>
  <c r="AD34" i="6"/>
  <c r="CX23" i="9" l="1"/>
  <c r="CV23" i="9"/>
  <c r="AJ37" i="6"/>
  <c r="AD36" i="6"/>
  <c r="Q9" i="6"/>
  <c r="R9" i="6"/>
  <c r="AJ35" i="6" l="1"/>
  <c r="Q10" i="6" l="1" a="1"/>
  <c r="Q10" i="6" s="1"/>
  <c r="R10" i="6" l="1"/>
  <c r="AO36" i="6" s="1"/>
  <c r="CZ23" i="9" l="1"/>
  <c r="W9" i="6"/>
  <c r="W10" i="6" s="1"/>
  <c r="D24" i="9" s="1"/>
  <c r="Y9" i="6" l="1"/>
  <c r="E24" i="9"/>
  <c r="C4" i="7" s="1"/>
  <c r="Y76" i="6" l="1"/>
  <c r="Y68" i="6"/>
  <c r="Y69" i="6" l="1"/>
  <c r="Y77" i="6"/>
  <c r="Y78" i="6" l="1"/>
  <c r="Y70" i="6"/>
  <c r="Y59" i="6" l="1"/>
  <c r="Y60" i="6" l="1"/>
  <c r="Y61" i="6" l="1"/>
  <c r="Y62" i="6"/>
  <c r="X54" i="6" l="1" a="1"/>
  <c r="X54" i="6" s="1"/>
  <c r="X52" i="6" a="1"/>
  <c r="Z52" i="6" s="1"/>
  <c r="X51" i="6" a="1"/>
  <c r="X51" i="6" s="1"/>
  <c r="X53" i="6" a="1"/>
  <c r="X53" i="6" s="1"/>
  <c r="Z54" i="6" l="1"/>
  <c r="Y54" i="6"/>
  <c r="Y53" i="6"/>
  <c r="Z53" i="6"/>
  <c r="Y52" i="6"/>
  <c r="X52" i="6"/>
  <c r="AE35" i="6" s="1"/>
  <c r="Y51" i="6"/>
  <c r="Z51" i="6"/>
  <c r="AE37" i="6" l="1"/>
  <c r="AE36" i="6"/>
  <c r="AE34" i="6"/>
  <c r="P13" i="6" l="1" a="1"/>
  <c r="P13" i="6" s="1"/>
  <c r="Q13" i="6" l="1"/>
  <c r="R13" i="6"/>
  <c r="R60" i="6" a="1"/>
  <c r="T60" i="6" s="1"/>
  <c r="R65" i="6" a="1"/>
  <c r="T65" i="6" s="1"/>
  <c r="R70" i="6" a="1"/>
  <c r="T70" i="6" s="1"/>
  <c r="R75" i="6" a="1"/>
  <c r="R75" i="6" s="1"/>
  <c r="W13" i="6" l="1"/>
  <c r="W14" i="6" s="1"/>
  <c r="F24" i="9" s="1"/>
  <c r="R70" i="6"/>
  <c r="S70" i="6"/>
  <c r="S65" i="6"/>
  <c r="R65" i="6"/>
  <c r="R60" i="6"/>
  <c r="S60" i="6"/>
  <c r="S75" i="6"/>
  <c r="T75" i="6"/>
  <c r="AG35" i="6" l="1"/>
  <c r="AG37" i="6"/>
  <c r="AG36" i="6"/>
  <c r="AG34" i="6"/>
  <c r="P6" i="6" l="1" a="1"/>
  <c r="Q6" i="6" s="1"/>
  <c r="P6" i="6" l="1"/>
  <c r="W6" i="6" s="1"/>
  <c r="H70" i="6" a="1"/>
  <c r="J70" i="6" s="1"/>
  <c r="AM44" i="6" l="1"/>
  <c r="W24" i="9" s="1"/>
  <c r="Y24" i="9"/>
  <c r="AK44" i="6"/>
  <c r="U24" i="9" s="1"/>
  <c r="AI44" i="6"/>
  <c r="S24" i="9" s="1"/>
  <c r="AH44" i="6"/>
  <c r="R24" i="9" s="1"/>
  <c r="AL44" i="6"/>
  <c r="V24" i="9" s="1"/>
  <c r="AJ44" i="6"/>
  <c r="T24" i="9" s="1"/>
  <c r="AG44" i="6"/>
  <c r="Q24" i="9" s="1"/>
  <c r="AF44" i="6"/>
  <c r="P24" i="9" s="1"/>
  <c r="H70" i="6"/>
  <c r="I70" i="6"/>
  <c r="AN44" i="6" l="1" a="1"/>
  <c r="AN44" i="6" s="1"/>
  <c r="X24" i="9" s="1"/>
  <c r="AO44" i="6" a="1"/>
  <c r="AO44" i="6" s="1"/>
  <c r="AP44" i="6" s="1"/>
  <c r="AF36" i="6"/>
  <c r="H65" i="8" l="1" a="1"/>
  <c r="H65" i="8" s="1"/>
  <c r="H75" i="8" a="1"/>
  <c r="H75" i="8" s="1"/>
  <c r="R75" i="8" a="1"/>
  <c r="R75" i="8" s="1"/>
  <c r="R70" i="8" a="1"/>
  <c r="R70" i="8" s="1"/>
  <c r="R65" i="8" a="1"/>
  <c r="S65" i="8" s="1"/>
  <c r="X54" i="8" a="1"/>
  <c r="Y54" i="8" s="1"/>
  <c r="X52" i="8" a="1"/>
  <c r="Y52" i="8" s="1"/>
  <c r="X53" i="8" a="1"/>
  <c r="Z53" i="8" s="1"/>
  <c r="J75" i="8" l="1"/>
  <c r="J65" i="8"/>
  <c r="I65" i="8"/>
  <c r="I75" i="8"/>
  <c r="X53" i="8"/>
  <c r="Y53" i="8"/>
  <c r="X52" i="8"/>
  <c r="R65" i="8"/>
  <c r="T75" i="8"/>
  <c r="Z54" i="8"/>
  <c r="Z52" i="8"/>
  <c r="T65" i="8"/>
  <c r="S75" i="8"/>
  <c r="X54" i="8"/>
  <c r="T70" i="8"/>
  <c r="S70" i="8"/>
  <c r="H70" i="8" l="1" a="1"/>
  <c r="H70" i="8" s="1"/>
  <c r="J70" i="8" l="1"/>
  <c r="I70" i="8"/>
  <c r="R60" i="8" l="1" a="1"/>
  <c r="T60" i="8" s="1"/>
  <c r="H75" i="6" a="1"/>
  <c r="J75" i="6" s="1"/>
  <c r="I75" i="6" l="1"/>
  <c r="H75" i="6"/>
  <c r="S60" i="8"/>
  <c r="R60" i="8"/>
  <c r="AF37" i="6" l="1"/>
  <c r="X51" i="8" l="1" a="1"/>
  <c r="Z51" i="8" s="1"/>
  <c r="H65" i="6" a="1"/>
  <c r="J65" i="6" s="1"/>
  <c r="H65" i="6" l="1"/>
  <c r="I65" i="6"/>
  <c r="X51" i="8"/>
  <c r="Y51" i="8"/>
  <c r="AF35" i="6" l="1"/>
  <c r="P5" i="6" s="1" a="1"/>
  <c r="Q5" i="6" l="1"/>
  <c r="P5" i="6"/>
  <c r="W5" i="6" l="1"/>
  <c r="AH43" i="6" l="1"/>
  <c r="AB24" i="9" s="1"/>
  <c r="AI24" i="9"/>
  <c r="AI43" i="6"/>
  <c r="AC24" i="9" s="1"/>
  <c r="AG43" i="6"/>
  <c r="AA24" i="9" s="1"/>
  <c r="AM43" i="6"/>
  <c r="AG24" i="9" s="1"/>
  <c r="AK43" i="6"/>
  <c r="AE24" i="9" s="1"/>
  <c r="AF43" i="6"/>
  <c r="Z24" i="9" s="1"/>
  <c r="AL43" i="6"/>
  <c r="AF24" i="9" s="1"/>
  <c r="AJ43" i="6"/>
  <c r="AD24" i="9" s="1"/>
  <c r="AN43" i="6" l="1" a="1"/>
  <c r="AN43" i="6" s="1"/>
  <c r="AH24" i="9" s="1"/>
  <c r="AO43" i="6" a="1"/>
  <c r="AO43" i="6" s="1"/>
  <c r="AP43" i="6" s="1"/>
  <c r="AB84" i="10" l="1" a="1"/>
  <c r="AB84" i="10" s="1"/>
  <c r="AC84" i="10" l="1"/>
  <c r="AD84" i="10"/>
  <c r="S5" i="10"/>
  <c r="AE35" i="10" l="1"/>
  <c r="AJ42" i="10"/>
  <c r="AL42" i="10"/>
  <c r="AM42" i="10"/>
  <c r="AN42" i="10"/>
  <c r="AO42" i="10"/>
  <c r="AH42" i="10"/>
  <c r="AI42" i="10"/>
  <c r="AK42" i="10"/>
  <c r="AA25" i="9" l="1"/>
  <c r="Z25" i="9"/>
  <c r="AG25" i="9"/>
  <c r="AF25" i="9"/>
  <c r="AE25" i="9"/>
  <c r="AD25" i="9"/>
  <c r="AB25" i="9"/>
  <c r="AC25" i="9"/>
  <c r="AQ42" i="10" a="1"/>
  <c r="AQ42" i="10" s="1"/>
  <c r="AI25" i="9" s="1"/>
  <c r="AP42" i="10" a="1"/>
  <c r="AP42" i="10" s="1"/>
  <c r="AB85" i="10" a="1"/>
  <c r="AD85" i="10" s="1"/>
  <c r="AH25" i="9" l="1"/>
  <c r="AC85" i="10"/>
  <c r="AB85" i="10"/>
  <c r="AB83" i="10" a="1"/>
  <c r="AB83" i="10" s="1"/>
  <c r="AE36" i="10" l="1"/>
  <c r="AD83" i="10"/>
  <c r="AC83" i="10"/>
  <c r="AE34" i="10" l="1"/>
  <c r="P6" i="10" a="1"/>
  <c r="P6" i="10" s="1"/>
  <c r="P9" i="10" a="1"/>
  <c r="Q9" i="10" s="1"/>
  <c r="P9" i="10" l="1"/>
  <c r="S9" i="10" s="1"/>
  <c r="W8" i="10" s="1"/>
  <c r="Q6" i="10"/>
  <c r="S6" i="10" s="1"/>
  <c r="W5" i="10" s="1"/>
  <c r="AR42" i="10" s="1"/>
  <c r="AN43" i="10" l="1"/>
  <c r="AK43" i="10"/>
  <c r="AL43" i="10"/>
  <c r="AM43" i="10"/>
  <c r="AI43" i="10"/>
  <c r="AO43" i="10"/>
  <c r="AH43" i="10"/>
  <c r="P25" i="9" s="1"/>
  <c r="AJ43" i="10"/>
  <c r="R25" i="9" l="1"/>
  <c r="W25" i="9"/>
  <c r="Q25" i="9"/>
  <c r="U25" i="9"/>
  <c r="T25" i="9"/>
  <c r="S25" i="9"/>
  <c r="V25" i="9"/>
  <c r="AP43" i="10" a="1"/>
  <c r="AP43" i="10" s="1"/>
  <c r="AQ43" i="10" a="1"/>
  <c r="AQ43" i="10" s="1"/>
  <c r="R60" i="14" a="1"/>
  <c r="S60" i="14" s="1"/>
  <c r="R65" i="14" a="1"/>
  <c r="R65" i="14" s="1"/>
  <c r="AB83" i="14" a="1"/>
  <c r="AB83" i="14" s="1"/>
  <c r="AB84" i="14" a="1"/>
  <c r="AC84" i="14" s="1"/>
  <c r="AB85" i="14" a="1"/>
  <c r="AC85" i="14" s="1"/>
  <c r="AB86" i="14" a="1"/>
  <c r="AB86" i="14" s="1"/>
  <c r="AR43" i="10" l="1"/>
  <c r="Y25" i="9"/>
  <c r="X25" i="9"/>
  <c r="T65" i="14"/>
  <c r="S65" i="14"/>
  <c r="R60" i="14"/>
  <c r="T60" i="14"/>
  <c r="AD86" i="14"/>
  <c r="AC86" i="14"/>
  <c r="AB85" i="14"/>
  <c r="AD85" i="14"/>
  <c r="AD84" i="14"/>
  <c r="AB84" i="14"/>
  <c r="AC83" i="14"/>
  <c r="AD83" i="14"/>
  <c r="H60" i="14" l="1" a="1"/>
  <c r="H60" i="14" s="1"/>
  <c r="I60" i="14" l="1"/>
  <c r="J60" i="14"/>
  <c r="R70" i="14" l="1" a="1"/>
  <c r="R70" i="14" s="1"/>
  <c r="T70" i="14" l="1"/>
  <c r="S70" i="14"/>
  <c r="R75" i="14" l="1" a="1"/>
  <c r="T75" i="14" s="1"/>
  <c r="S75" i="14" l="1"/>
  <c r="R75" i="14"/>
  <c r="AB86" i="10" l="1" a="1"/>
  <c r="AB86" i="10" s="1"/>
  <c r="AD86" i="10" l="1"/>
  <c r="AC86" i="10"/>
  <c r="AE37" i="10" l="1"/>
  <c r="P18" i="10" s="1" a="1"/>
  <c r="Q18" i="10" s="1"/>
  <c r="P18" i="10" l="1"/>
  <c r="R18" i="10"/>
  <c r="W16" i="10" l="1"/>
  <c r="W17" i="10" l="1"/>
  <c r="F25" i="9"/>
  <c r="H65" i="14" a="1"/>
  <c r="J65" i="14" s="1"/>
  <c r="H65" i="14" l="1"/>
  <c r="I65" i="14"/>
  <c r="M5" i="15" l="1"/>
  <c r="BQ36" i="9" l="1"/>
  <c r="BQ38" i="9" s="1"/>
  <c r="I71" i="2" s="1"/>
  <c r="BQ37" i="52"/>
  <c r="AF15" i="61" s="1"/>
  <c r="S5" i="15"/>
  <c r="T5" i="15" s="1"/>
  <c r="BR36" i="9" l="1"/>
  <c r="BR38" i="9" s="1"/>
  <c r="I73" i="2" s="1"/>
  <c r="BR37" i="52"/>
  <c r="AF17" i="61" s="1"/>
  <c r="AH15" i="61" l="1"/>
  <c r="AH11" i="61"/>
  <c r="AH12" i="61"/>
  <c r="AH18" i="61"/>
  <c r="AH14" i="61"/>
  <c r="AH17" i="61"/>
  <c r="AH13" i="61"/>
  <c r="AH16" i="61"/>
  <c r="K68" i="2"/>
  <c r="K70" i="2"/>
  <c r="K67" i="2"/>
  <c r="K73" i="2"/>
  <c r="K71" i="2"/>
  <c r="K69" i="2"/>
  <c r="K72" i="2"/>
  <c r="K74" i="2"/>
  <c r="J3" i="8" l="1"/>
  <c r="W21" i="8" s="1"/>
  <c r="J3" i="14"/>
  <c r="T11" i="2"/>
  <c r="U29" i="1"/>
  <c r="S9" i="2" l="1" a="1"/>
  <c r="S9" i="2" s="1"/>
  <c r="C7" i="35"/>
  <c r="T13" i="2"/>
  <c r="U29" i="8"/>
  <c r="Y35" i="8" s="1"/>
  <c r="C21" i="20"/>
  <c r="C22" i="20" s="1"/>
  <c r="F25" i="20" s="1"/>
  <c r="Y36" i="1"/>
  <c r="Y37" i="1"/>
  <c r="Y35" i="1"/>
  <c r="Y34" i="1"/>
  <c r="T19" i="2"/>
  <c r="U29" i="14"/>
  <c r="W21" i="6"/>
  <c r="W23" i="10"/>
  <c r="W21" i="3"/>
  <c r="P25" i="60" l="1"/>
  <c r="P20" i="60"/>
  <c r="P16" i="60"/>
  <c r="P9" i="60"/>
  <c r="P6" i="60"/>
  <c r="P38" i="60"/>
  <c r="P34" i="60"/>
  <c r="P30" i="60"/>
  <c r="P3" i="60"/>
  <c r="P47" i="60"/>
  <c r="P42" i="60"/>
  <c r="P24" i="60"/>
  <c r="P12" i="60"/>
  <c r="P33" i="60"/>
  <c r="P29" i="60"/>
  <c r="P19" i="60"/>
  <c r="P46" i="60"/>
  <c r="P37" i="60"/>
  <c r="P15" i="60"/>
  <c r="P41" i="60"/>
  <c r="P8" i="60"/>
  <c r="P28" i="60"/>
  <c r="P23" i="60"/>
  <c r="P45" i="60"/>
  <c r="P18" i="60"/>
  <c r="P11" i="60"/>
  <c r="P50" i="60"/>
  <c r="P36" i="60"/>
  <c r="P32" i="60"/>
  <c r="P40" i="60"/>
  <c r="P27" i="60"/>
  <c r="P22" i="60"/>
  <c r="P14" i="60"/>
  <c r="P7" i="60"/>
  <c r="P31" i="60"/>
  <c r="P49" i="60"/>
  <c r="P44" i="60"/>
  <c r="P35" i="60"/>
  <c r="P17" i="60"/>
  <c r="P10" i="60"/>
  <c r="P13" i="60"/>
  <c r="P26" i="60"/>
  <c r="P21" i="60"/>
  <c r="P39" i="60"/>
  <c r="P48" i="60"/>
  <c r="P43" i="60"/>
  <c r="Y45" i="60"/>
  <c r="Y18" i="60"/>
  <c r="Y11" i="60"/>
  <c r="Y50" i="60"/>
  <c r="Y36" i="60"/>
  <c r="Y32" i="60"/>
  <c r="Y40" i="60"/>
  <c r="Y27" i="60"/>
  <c r="Y22" i="60"/>
  <c r="Y14" i="60"/>
  <c r="Y7" i="60"/>
  <c r="Y49" i="60"/>
  <c r="Y44" i="60"/>
  <c r="Y35" i="60"/>
  <c r="Y17" i="60"/>
  <c r="Y10" i="60"/>
  <c r="Y26" i="60"/>
  <c r="Y21" i="60"/>
  <c r="Y39" i="60"/>
  <c r="Y31" i="60"/>
  <c r="C17" i="60"/>
  <c r="Y13" i="60"/>
  <c r="Y48" i="60"/>
  <c r="Y43" i="60"/>
  <c r="Y25" i="60"/>
  <c r="Y20" i="60"/>
  <c r="Y16" i="60"/>
  <c r="Y9" i="60"/>
  <c r="Y6" i="60"/>
  <c r="Y38" i="60"/>
  <c r="Y34" i="60"/>
  <c r="Y30" i="60"/>
  <c r="Y47" i="60"/>
  <c r="Y42" i="60"/>
  <c r="Y24" i="60"/>
  <c r="Y12" i="60"/>
  <c r="Y33" i="60"/>
  <c r="Y29" i="60"/>
  <c r="Y19" i="60"/>
  <c r="Y46" i="60"/>
  <c r="Y37" i="60"/>
  <c r="Y15" i="60"/>
  <c r="Y41" i="60"/>
  <c r="Y28" i="60"/>
  <c r="Y8" i="60"/>
  <c r="Y23" i="60"/>
  <c r="C18" i="35"/>
  <c r="T23" i="2"/>
  <c r="C8" i="35"/>
  <c r="C17" i="35"/>
  <c r="Y7" i="35"/>
  <c r="Y45" i="35"/>
  <c r="Y34" i="35"/>
  <c r="Y25" i="35"/>
  <c r="Y39" i="35"/>
  <c r="Y29" i="35"/>
  <c r="Y48" i="35"/>
  <c r="Y46" i="35"/>
  <c r="Y33" i="35"/>
  <c r="Y17" i="35"/>
  <c r="Y11" i="35"/>
  <c r="Y30" i="35"/>
  <c r="Y6" i="35"/>
  <c r="Y32" i="35"/>
  <c r="Y8" i="35"/>
  <c r="Y38" i="35"/>
  <c r="Y9" i="35"/>
  <c r="Y50" i="35"/>
  <c r="Y47" i="35"/>
  <c r="Y24" i="35"/>
  <c r="Y36" i="35"/>
  <c r="Y15" i="35"/>
  <c r="Y23" i="35"/>
  <c r="Y13" i="35"/>
  <c r="Y22" i="35"/>
  <c r="Y12" i="35"/>
  <c r="Y21" i="35"/>
  <c r="Y20" i="35"/>
  <c r="Y37" i="35"/>
  <c r="Y35" i="35"/>
  <c r="Y19" i="35"/>
  <c r="Y43" i="35"/>
  <c r="Y49" i="35"/>
  <c r="Y18" i="35"/>
  <c r="Y14" i="35"/>
  <c r="Y28" i="35"/>
  <c r="Y40" i="35"/>
  <c r="Y16" i="35"/>
  <c r="Y31" i="35"/>
  <c r="Y26" i="35"/>
  <c r="Y41" i="35"/>
  <c r="Y44" i="35"/>
  <c r="Y10" i="35"/>
  <c r="Y27" i="35"/>
  <c r="Y42" i="35"/>
  <c r="Y36" i="8"/>
  <c r="AA36" i="8" s="1"/>
  <c r="Y34" i="8"/>
  <c r="Z34" i="8" s="1"/>
  <c r="Y37" i="8"/>
  <c r="AA37" i="8" s="1"/>
  <c r="Y37" i="14"/>
  <c r="Y35" i="14"/>
  <c r="Y36" i="14"/>
  <c r="Y34" i="14"/>
  <c r="AA37" i="1"/>
  <c r="Z37" i="1"/>
  <c r="AA34" i="1"/>
  <c r="Z34" i="1"/>
  <c r="AA35" i="1"/>
  <c r="Z35" i="1"/>
  <c r="AA36" i="1"/>
  <c r="Z36" i="1"/>
  <c r="AA35" i="8"/>
  <c r="Z35" i="8"/>
  <c r="Y51" i="60" l="1"/>
  <c r="C10" i="35"/>
  <c r="S25" i="35" s="1"/>
  <c r="P34" i="35"/>
  <c r="P50" i="35"/>
  <c r="P46" i="35"/>
  <c r="P14" i="35"/>
  <c r="P31" i="35"/>
  <c r="P35" i="35"/>
  <c r="P38" i="35"/>
  <c r="P39" i="35"/>
  <c r="P11" i="35"/>
  <c r="P21" i="35"/>
  <c r="P22" i="35"/>
  <c r="P30" i="35"/>
  <c r="P48" i="35"/>
  <c r="P41" i="35"/>
  <c r="P44" i="35"/>
  <c r="P45" i="35"/>
  <c r="P29" i="35"/>
  <c r="P33" i="35"/>
  <c r="P32" i="35"/>
  <c r="P24" i="35"/>
  <c r="P42" i="35"/>
  <c r="P18" i="35"/>
  <c r="P3" i="35"/>
  <c r="P10" i="35"/>
  <c r="P36" i="35"/>
  <c r="P28" i="35"/>
  <c r="P26" i="35"/>
  <c r="P19" i="35"/>
  <c r="P49" i="35"/>
  <c r="P15" i="35"/>
  <c r="P23" i="35"/>
  <c r="P20" i="35"/>
  <c r="P8" i="35"/>
  <c r="P16" i="35"/>
  <c r="P37" i="35"/>
  <c r="P12" i="35"/>
  <c r="P47" i="35"/>
  <c r="P7" i="35"/>
  <c r="P27" i="35"/>
  <c r="P13" i="35"/>
  <c r="P25" i="35"/>
  <c r="P9" i="35"/>
  <c r="P40" i="35"/>
  <c r="P6" i="35"/>
  <c r="P17" i="35"/>
  <c r="P43" i="35"/>
  <c r="Y51" i="35"/>
  <c r="AA34" i="8"/>
  <c r="AC34" i="8" s="1"/>
  <c r="Z36" i="8"/>
  <c r="AC36" i="8" s="1"/>
  <c r="AD36" i="8" s="1"/>
  <c r="Z37" i="8"/>
  <c r="AC37" i="8" s="1"/>
  <c r="AF37" i="8" s="1"/>
  <c r="AC35" i="8"/>
  <c r="AJ36" i="8" s="1"/>
  <c r="AC34" i="1"/>
  <c r="AC37" i="1"/>
  <c r="AF37" i="1" s="1"/>
  <c r="AC35" i="1"/>
  <c r="AC36" i="1"/>
  <c r="Z34" i="14"/>
  <c r="AA34" i="14"/>
  <c r="AA36" i="14"/>
  <c r="Z36" i="14"/>
  <c r="AA35" i="14"/>
  <c r="Z35" i="14"/>
  <c r="Z37" i="14"/>
  <c r="AA37" i="14"/>
  <c r="J24" i="35" l="1"/>
  <c r="R24" i="35" s="1"/>
  <c r="N24" i="35" s="1"/>
  <c r="AG6" i="60"/>
  <c r="T34" i="51"/>
  <c r="J3" i="35"/>
  <c r="R3" i="35" s="1"/>
  <c r="N3" i="35" s="1"/>
  <c r="J20" i="35"/>
  <c r="R20" i="35" s="1"/>
  <c r="J40" i="35"/>
  <c r="R40" i="35" s="1"/>
  <c r="S20" i="35"/>
  <c r="O20" i="35" s="1"/>
  <c r="J16" i="35"/>
  <c r="R16" i="35" s="1"/>
  <c r="Q16" i="35" s="1"/>
  <c r="K16" i="35" s="1"/>
  <c r="I16" i="35" s="1"/>
  <c r="J35" i="35"/>
  <c r="R35" i="35" s="1"/>
  <c r="Q35" i="35" s="1"/>
  <c r="K35" i="35" s="1"/>
  <c r="I35" i="35" s="1"/>
  <c r="J36" i="35"/>
  <c r="R36" i="35" s="1"/>
  <c r="N36" i="35" s="1"/>
  <c r="J7" i="35"/>
  <c r="R7" i="35" s="1"/>
  <c r="N7" i="35" s="1"/>
  <c r="S26" i="35"/>
  <c r="O26" i="35" s="1"/>
  <c r="S43" i="35"/>
  <c r="O43" i="35" s="1"/>
  <c r="J10" i="35"/>
  <c r="R10" i="35" s="1"/>
  <c r="N10" i="35" s="1"/>
  <c r="S29" i="35"/>
  <c r="T29" i="35" s="1"/>
  <c r="L29" i="35" s="1"/>
  <c r="J32" i="35"/>
  <c r="R32" i="35" s="1"/>
  <c r="J43" i="35"/>
  <c r="R43" i="35" s="1"/>
  <c r="J30" i="35"/>
  <c r="R30" i="35" s="1"/>
  <c r="Q30" i="35" s="1"/>
  <c r="K30" i="35" s="1"/>
  <c r="I30" i="35" s="1"/>
  <c r="S33" i="35"/>
  <c r="O33" i="35" s="1"/>
  <c r="S16" i="35"/>
  <c r="T16" i="35" s="1"/>
  <c r="L16" i="35" s="1"/>
  <c r="S6" i="35"/>
  <c r="T6" i="35" s="1"/>
  <c r="L6" i="35" s="1"/>
  <c r="S11" i="35"/>
  <c r="O11" i="35" s="1"/>
  <c r="J29" i="35"/>
  <c r="R29" i="35" s="1"/>
  <c r="S9" i="35"/>
  <c r="O9" i="35" s="1"/>
  <c r="J8" i="35"/>
  <c r="R8" i="35" s="1"/>
  <c r="N8" i="35" s="1"/>
  <c r="J25" i="35"/>
  <c r="R25" i="35" s="1"/>
  <c r="Q25" i="35" s="1"/>
  <c r="K25" i="35" s="1"/>
  <c r="I25" i="35" s="1"/>
  <c r="J22" i="35"/>
  <c r="R22" i="35" s="1"/>
  <c r="Q22" i="35" s="1"/>
  <c r="K22" i="35" s="1"/>
  <c r="I22" i="35" s="1"/>
  <c r="J17" i="35"/>
  <c r="R17" i="35" s="1"/>
  <c r="Q17" i="35" s="1"/>
  <c r="K17" i="35" s="1"/>
  <c r="I17" i="35" s="1"/>
  <c r="S19" i="35"/>
  <c r="O19" i="35" s="1"/>
  <c r="J37" i="35"/>
  <c r="R37" i="35" s="1"/>
  <c r="N37" i="35" s="1"/>
  <c r="S39" i="35"/>
  <c r="T39" i="35" s="1"/>
  <c r="L39" i="35" s="1"/>
  <c r="J45" i="35"/>
  <c r="R45" i="35" s="1"/>
  <c r="Q45" i="35" s="1"/>
  <c r="K45" i="35" s="1"/>
  <c r="I45" i="35" s="1"/>
  <c r="S42" i="35"/>
  <c r="T42" i="35" s="1"/>
  <c r="L42" i="35" s="1"/>
  <c r="J34" i="35"/>
  <c r="R34" i="35" s="1"/>
  <c r="Q34" i="35" s="1"/>
  <c r="K34" i="35" s="1"/>
  <c r="I34" i="35" s="1"/>
  <c r="J46" i="35"/>
  <c r="R46" i="35" s="1"/>
  <c r="J28" i="35"/>
  <c r="R28" i="35" s="1"/>
  <c r="N28" i="35" s="1"/>
  <c r="S44" i="35"/>
  <c r="T44" i="35" s="1"/>
  <c r="L44" i="35" s="1"/>
  <c r="S37" i="35"/>
  <c r="T37" i="35" s="1"/>
  <c r="L37" i="35" s="1"/>
  <c r="J11" i="35"/>
  <c r="R11" i="35" s="1"/>
  <c r="Q11" i="35" s="1"/>
  <c r="K11" i="35" s="1"/>
  <c r="I11" i="35" s="1"/>
  <c r="J44" i="35"/>
  <c r="R44" i="35" s="1"/>
  <c r="Q44" i="35" s="1"/>
  <c r="K44" i="35" s="1"/>
  <c r="I44" i="35" s="1"/>
  <c r="S22" i="35"/>
  <c r="O22" i="35" s="1"/>
  <c r="J42" i="35"/>
  <c r="R42" i="35" s="1"/>
  <c r="S45" i="35"/>
  <c r="T45" i="35" s="1"/>
  <c r="L45" i="35" s="1"/>
  <c r="S14" i="35"/>
  <c r="O14" i="35" s="1"/>
  <c r="J21" i="35"/>
  <c r="R21" i="35" s="1"/>
  <c r="Q21" i="35" s="1"/>
  <c r="K21" i="35" s="1"/>
  <c r="I21" i="35" s="1"/>
  <c r="S46" i="35"/>
  <c r="T46" i="35" s="1"/>
  <c r="L46" i="35" s="1"/>
  <c r="S13" i="35"/>
  <c r="T13" i="35" s="1"/>
  <c r="L13" i="35" s="1"/>
  <c r="S34" i="35"/>
  <c r="T34" i="35" s="1"/>
  <c r="L34" i="35" s="1"/>
  <c r="S12" i="35"/>
  <c r="T12" i="35" s="1"/>
  <c r="L12" i="35" s="1"/>
  <c r="S36" i="35"/>
  <c r="O36" i="35" s="1"/>
  <c r="S35" i="35"/>
  <c r="T35" i="35" s="1"/>
  <c r="L35" i="35" s="1"/>
  <c r="S27" i="35"/>
  <c r="T27" i="35" s="1"/>
  <c r="L27" i="35" s="1"/>
  <c r="J9" i="35"/>
  <c r="R9" i="35" s="1"/>
  <c r="N9" i="35" s="1"/>
  <c r="J12" i="35"/>
  <c r="R12" i="35" s="1"/>
  <c r="Q12" i="35" s="1"/>
  <c r="K12" i="35" s="1"/>
  <c r="I12" i="35" s="1"/>
  <c r="J19" i="35"/>
  <c r="R19" i="35" s="1"/>
  <c r="S31" i="35"/>
  <c r="T31" i="35" s="1"/>
  <c r="L31" i="35" s="1"/>
  <c r="S18" i="35"/>
  <c r="O18" i="35" s="1"/>
  <c r="S41" i="35"/>
  <c r="T41" i="35" s="1"/>
  <c r="L41" i="35" s="1"/>
  <c r="J6" i="35"/>
  <c r="R6" i="35" s="1"/>
  <c r="J18" i="35"/>
  <c r="R18" i="35" s="1"/>
  <c r="N18" i="35" s="1"/>
  <c r="J33" i="35"/>
  <c r="R33" i="35" s="1"/>
  <c r="N33" i="35" s="1"/>
  <c r="S7" i="35"/>
  <c r="O7" i="35" s="1"/>
  <c r="S8" i="35"/>
  <c r="T8" i="35" s="1"/>
  <c r="L8" i="35" s="1"/>
  <c r="S38" i="35"/>
  <c r="O38" i="35" s="1"/>
  <c r="J39" i="35"/>
  <c r="R39" i="35" s="1"/>
  <c r="Q39" i="35" s="1"/>
  <c r="K39" i="35" s="1"/>
  <c r="I39" i="35" s="1"/>
  <c r="J50" i="35"/>
  <c r="R50" i="35" s="1"/>
  <c r="Q50" i="35" s="1"/>
  <c r="K50" i="35" s="1"/>
  <c r="I50" i="35" s="1"/>
  <c r="S49" i="35"/>
  <c r="T49" i="35" s="1"/>
  <c r="L49" i="35" s="1"/>
  <c r="J15" i="35"/>
  <c r="R15" i="35" s="1"/>
  <c r="N15" i="35" s="1"/>
  <c r="J23" i="35"/>
  <c r="R23" i="35" s="1"/>
  <c r="Q23" i="35" s="1"/>
  <c r="K23" i="35" s="1"/>
  <c r="I23" i="35" s="1"/>
  <c r="J38" i="35"/>
  <c r="R38" i="35" s="1"/>
  <c r="Q38" i="35" s="1"/>
  <c r="K38" i="35" s="1"/>
  <c r="I38" i="35" s="1"/>
  <c r="S10" i="35"/>
  <c r="T10" i="35" s="1"/>
  <c r="L10" i="35" s="1"/>
  <c r="S23" i="35"/>
  <c r="O23" i="35" s="1"/>
  <c r="S48" i="35"/>
  <c r="T48" i="35" s="1"/>
  <c r="L48" i="35" s="1"/>
  <c r="J47" i="35"/>
  <c r="R47" i="35" s="1"/>
  <c r="N47" i="35" s="1"/>
  <c r="J41" i="35"/>
  <c r="R41" i="35" s="1"/>
  <c r="Q41" i="35" s="1"/>
  <c r="K41" i="35" s="1"/>
  <c r="I41" i="35" s="1"/>
  <c r="J48" i="35"/>
  <c r="R48" i="35" s="1"/>
  <c r="N48" i="35" s="1"/>
  <c r="S15" i="35"/>
  <c r="O15" i="35" s="1"/>
  <c r="S28" i="35"/>
  <c r="O28" i="35" s="1"/>
  <c r="S32" i="35"/>
  <c r="O32" i="35" s="1"/>
  <c r="J31" i="35"/>
  <c r="R31" i="35" s="1"/>
  <c r="Q31" i="35" s="1"/>
  <c r="K31" i="35" s="1"/>
  <c r="I31" i="35" s="1"/>
  <c r="J13" i="35"/>
  <c r="R13" i="35" s="1"/>
  <c r="J49" i="35"/>
  <c r="R49" i="35" s="1"/>
  <c r="Q49" i="35" s="1"/>
  <c r="K49" i="35" s="1"/>
  <c r="I49" i="35" s="1"/>
  <c r="S17" i="35"/>
  <c r="T17" i="35" s="1"/>
  <c r="L17" i="35" s="1"/>
  <c r="S47" i="35"/>
  <c r="T47" i="35" s="1"/>
  <c r="L47" i="35" s="1"/>
  <c r="S21" i="35"/>
  <c r="O21" i="35" s="1"/>
  <c r="J14" i="35"/>
  <c r="R14" i="35" s="1"/>
  <c r="Q14" i="35" s="1"/>
  <c r="K14" i="35" s="1"/>
  <c r="I14" i="35" s="1"/>
  <c r="J26" i="35"/>
  <c r="R26" i="35" s="1"/>
  <c r="J27" i="35"/>
  <c r="R27" i="35" s="1"/>
  <c r="S50" i="35"/>
  <c r="T50" i="35" s="1"/>
  <c r="L50" i="35" s="1"/>
  <c r="S24" i="35"/>
  <c r="T24" i="35" s="1"/>
  <c r="L24" i="35" s="1"/>
  <c r="S24" i="60"/>
  <c r="S12" i="60"/>
  <c r="S33" i="60"/>
  <c r="S29" i="60"/>
  <c r="S19" i="60"/>
  <c r="S46" i="60"/>
  <c r="S37" i="60"/>
  <c r="S15" i="60"/>
  <c r="S41" i="60"/>
  <c r="S8" i="60"/>
  <c r="S28" i="60"/>
  <c r="S23" i="60"/>
  <c r="S45" i="60"/>
  <c r="S18" i="60"/>
  <c r="S11" i="60"/>
  <c r="S50" i="60"/>
  <c r="S36" i="60"/>
  <c r="S32" i="60"/>
  <c r="S40" i="60"/>
  <c r="S27" i="60"/>
  <c r="S22" i="60"/>
  <c r="S14" i="60"/>
  <c r="S7" i="60"/>
  <c r="S49" i="60"/>
  <c r="S44" i="60"/>
  <c r="S35" i="60"/>
  <c r="S17" i="60"/>
  <c r="S10" i="60"/>
  <c r="S26" i="60"/>
  <c r="S21" i="60"/>
  <c r="S39" i="60"/>
  <c r="S31" i="60"/>
  <c r="S13" i="60"/>
  <c r="S38" i="60"/>
  <c r="S34" i="60"/>
  <c r="S48" i="60"/>
  <c r="S43" i="60"/>
  <c r="S25" i="60"/>
  <c r="S20" i="60"/>
  <c r="S16" i="60"/>
  <c r="S9" i="60"/>
  <c r="S6" i="60"/>
  <c r="S30" i="60"/>
  <c r="S47" i="60"/>
  <c r="S42" i="60"/>
  <c r="J7" i="60"/>
  <c r="J32" i="60"/>
  <c r="J46" i="60"/>
  <c r="J14" i="60"/>
  <c r="J45" i="60"/>
  <c r="J47" i="60"/>
  <c r="J30" i="60"/>
  <c r="J41" i="60"/>
  <c r="J19" i="60"/>
  <c r="J17" i="60"/>
  <c r="J28" i="60"/>
  <c r="J27" i="60"/>
  <c r="J22" i="60"/>
  <c r="J44" i="60"/>
  <c r="J50" i="60"/>
  <c r="J39" i="60"/>
  <c r="J6" i="60"/>
  <c r="J49" i="60"/>
  <c r="J3" i="60"/>
  <c r="J24" i="60"/>
  <c r="J23" i="60"/>
  <c r="J26" i="60"/>
  <c r="J15" i="60"/>
  <c r="J11" i="60"/>
  <c r="J35" i="60"/>
  <c r="J36" i="60"/>
  <c r="J21" i="60"/>
  <c r="J31" i="60"/>
  <c r="J8" i="60"/>
  <c r="J33" i="60"/>
  <c r="J43" i="60"/>
  <c r="J18" i="60"/>
  <c r="J48" i="60"/>
  <c r="J20" i="60"/>
  <c r="J25" i="60"/>
  <c r="J29" i="60"/>
  <c r="J13" i="60"/>
  <c r="J9" i="60"/>
  <c r="J37" i="60"/>
  <c r="J42" i="60"/>
  <c r="J34" i="60"/>
  <c r="J16" i="60"/>
  <c r="J10" i="60"/>
  <c r="J38" i="60"/>
  <c r="J40" i="60"/>
  <c r="J12" i="60"/>
  <c r="S40" i="35"/>
  <c r="T40" i="35" s="1"/>
  <c r="L40" i="35" s="1"/>
  <c r="S30" i="35"/>
  <c r="T30" i="35" s="1"/>
  <c r="L30" i="35" s="1"/>
  <c r="T33" i="2"/>
  <c r="AG6" i="35"/>
  <c r="AL34" i="8"/>
  <c r="AO34" i="8"/>
  <c r="AD35" i="1"/>
  <c r="AD34" i="1"/>
  <c r="AI34" i="1"/>
  <c r="T25" i="35"/>
  <c r="L25" i="35" s="1"/>
  <c r="O25" i="35"/>
  <c r="AE35" i="8"/>
  <c r="AG35" i="8"/>
  <c r="AF35" i="8"/>
  <c r="AE37" i="1"/>
  <c r="AD35" i="8"/>
  <c r="AJ37" i="8"/>
  <c r="AD37" i="1"/>
  <c r="AE37" i="8"/>
  <c r="AG37" i="8"/>
  <c r="AF36" i="8"/>
  <c r="AE36" i="8"/>
  <c r="AG36" i="8"/>
  <c r="Q9" i="8" a="1"/>
  <c r="Q9" i="8" s="1"/>
  <c r="AD37" i="8"/>
  <c r="AG37" i="1"/>
  <c r="AF34" i="1"/>
  <c r="AG34" i="1"/>
  <c r="Q10" i="1" a="1"/>
  <c r="Q10" i="1" s="1"/>
  <c r="AJ38" i="8"/>
  <c r="AE34" i="1"/>
  <c r="Q9" i="1" a="1"/>
  <c r="Q9" i="1" s="1"/>
  <c r="AC34" i="14"/>
  <c r="AC36" i="14"/>
  <c r="AJ37" i="14" s="1"/>
  <c r="AE35" i="1"/>
  <c r="AG35" i="1"/>
  <c r="AF35" i="1"/>
  <c r="AC35" i="14"/>
  <c r="AC37" i="14"/>
  <c r="AF34" i="8"/>
  <c r="AG34" i="8"/>
  <c r="AD34" i="8"/>
  <c r="AE34" i="8"/>
  <c r="AJ34" i="8"/>
  <c r="AD36" i="1"/>
  <c r="AG36" i="1"/>
  <c r="AF36" i="1"/>
  <c r="AE36" i="1"/>
  <c r="O6" i="35" l="1"/>
  <c r="Q24" i="35"/>
  <c r="K24" i="35" s="1"/>
  <c r="I24" i="35" s="1"/>
  <c r="W24" i="35" s="1"/>
  <c r="N25" i="35"/>
  <c r="Z29" i="2" s="1"/>
  <c r="N11" i="35"/>
  <c r="V11" i="35" s="1"/>
  <c r="N16" i="35"/>
  <c r="Z20" i="2" s="1"/>
  <c r="T20" i="35"/>
  <c r="L20" i="35" s="1"/>
  <c r="T22" i="35"/>
  <c r="L22" i="35" s="1"/>
  <c r="O48" i="35"/>
  <c r="T9" i="35"/>
  <c r="L9" i="35" s="1"/>
  <c r="Q36" i="35"/>
  <c r="K36" i="35" s="1"/>
  <c r="I36" i="35" s="1"/>
  <c r="Y40" i="2" s="1"/>
  <c r="T19" i="35"/>
  <c r="L19" i="35" s="1"/>
  <c r="Q8" i="35"/>
  <c r="K8" i="35" s="1"/>
  <c r="I8" i="35" s="1"/>
  <c r="W8" i="35" s="1"/>
  <c r="T43" i="35"/>
  <c r="L43" i="35" s="1"/>
  <c r="N35" i="35"/>
  <c r="V35" i="35" s="1"/>
  <c r="N17" i="35"/>
  <c r="V17" i="35" s="1"/>
  <c r="T18" i="35"/>
  <c r="L18" i="35" s="1"/>
  <c r="O50" i="35"/>
  <c r="N22" i="35"/>
  <c r="V22" i="35" s="1"/>
  <c r="Q3" i="35"/>
  <c r="K3" i="35" s="1"/>
  <c r="I3" i="35" s="1"/>
  <c r="Q7" i="35"/>
  <c r="K7" i="35" s="1"/>
  <c r="I7" i="35" s="1"/>
  <c r="Y11" i="2" s="1"/>
  <c r="O39" i="35"/>
  <c r="T26" i="35"/>
  <c r="L26" i="35" s="1"/>
  <c r="N34" i="35"/>
  <c r="V34" i="35" s="1"/>
  <c r="Q37" i="35"/>
  <c r="K37" i="35" s="1"/>
  <c r="I37" i="35" s="1"/>
  <c r="W37" i="35" s="1"/>
  <c r="N30" i="35"/>
  <c r="O42" i="35"/>
  <c r="O29" i="35"/>
  <c r="Q10" i="35"/>
  <c r="K10" i="35" s="1"/>
  <c r="I10" i="35" s="1"/>
  <c r="N45" i="35"/>
  <c r="T33" i="35"/>
  <c r="L33" i="35" s="1"/>
  <c r="T11" i="35"/>
  <c r="L11" i="35" s="1"/>
  <c r="O37" i="35"/>
  <c r="O16" i="35"/>
  <c r="N44" i="35"/>
  <c r="Q28" i="35"/>
  <c r="K28" i="35" s="1"/>
  <c r="I28" i="35" s="1"/>
  <c r="Q15" i="35"/>
  <c r="K15" i="35" s="1"/>
  <c r="I15" i="35" s="1"/>
  <c r="O45" i="35"/>
  <c r="T14" i="35"/>
  <c r="L14" i="35" s="1"/>
  <c r="O12" i="35"/>
  <c r="N21" i="35"/>
  <c r="O34" i="35"/>
  <c r="Q47" i="35"/>
  <c r="K47" i="35" s="1"/>
  <c r="I47" i="35" s="1"/>
  <c r="O46" i="35"/>
  <c r="O13" i="35"/>
  <c r="Q9" i="35"/>
  <c r="K9" i="35" s="1"/>
  <c r="I9" i="35" s="1"/>
  <c r="O44" i="35"/>
  <c r="O35" i="35"/>
  <c r="T36" i="35"/>
  <c r="L36" i="35" s="1"/>
  <c r="N12" i="35"/>
  <c r="O31" i="35"/>
  <c r="O24" i="35"/>
  <c r="O41" i="35"/>
  <c r="O10" i="35"/>
  <c r="Q18" i="35"/>
  <c r="K18" i="35" s="1"/>
  <c r="I18" i="35" s="1"/>
  <c r="N14" i="35"/>
  <c r="N38" i="35"/>
  <c r="T23" i="35"/>
  <c r="L23" i="35" s="1"/>
  <c r="T21" i="35"/>
  <c r="L21" i="35" s="1"/>
  <c r="Q48" i="35"/>
  <c r="K48" i="35" s="1"/>
  <c r="I48" i="35" s="1"/>
  <c r="N23" i="35"/>
  <c r="W6" i="35"/>
  <c r="O47" i="35"/>
  <c r="N41" i="35"/>
  <c r="O27" i="35"/>
  <c r="O8" i="35"/>
  <c r="T32" i="35"/>
  <c r="L32" i="35" s="1"/>
  <c r="N31" i="35"/>
  <c r="O49" i="35"/>
  <c r="N50" i="35"/>
  <c r="N49" i="35"/>
  <c r="T7" i="35"/>
  <c r="L7" i="35" s="1"/>
  <c r="T28" i="35"/>
  <c r="L28" i="35" s="1"/>
  <c r="O17" i="35"/>
  <c r="T38" i="35"/>
  <c r="L38" i="35" s="1"/>
  <c r="N39" i="35"/>
  <c r="T15" i="35"/>
  <c r="L15" i="35" s="1"/>
  <c r="Q33" i="35"/>
  <c r="K33" i="35" s="1"/>
  <c r="I33" i="35" s="1"/>
  <c r="O40" i="35"/>
  <c r="R25" i="60"/>
  <c r="R3" i="60"/>
  <c r="R46" i="60"/>
  <c r="T31" i="60"/>
  <c r="L31" i="60" s="1"/>
  <c r="O31" i="60"/>
  <c r="T50" i="60"/>
  <c r="L50" i="60" s="1"/>
  <c r="O50" i="60"/>
  <c r="R20" i="60"/>
  <c r="R49" i="60"/>
  <c r="R32" i="60"/>
  <c r="T39" i="60"/>
  <c r="L39" i="60" s="1"/>
  <c r="O39" i="60"/>
  <c r="T11" i="60"/>
  <c r="L11" i="60" s="1"/>
  <c r="O11" i="60"/>
  <c r="R48" i="60"/>
  <c r="R6" i="60"/>
  <c r="W6" i="60"/>
  <c r="AC11" i="51" s="1"/>
  <c r="R7" i="60"/>
  <c r="T21" i="60"/>
  <c r="L21" i="60" s="1"/>
  <c r="O21" i="60"/>
  <c r="T18" i="60"/>
  <c r="L18" i="60" s="1"/>
  <c r="O18" i="60"/>
  <c r="R18" i="60"/>
  <c r="R39" i="60"/>
  <c r="O42" i="60"/>
  <c r="T42" i="60"/>
  <c r="L42" i="60" s="1"/>
  <c r="T26" i="60"/>
  <c r="L26" i="60" s="1"/>
  <c r="O26" i="60"/>
  <c r="T45" i="60"/>
  <c r="L45" i="60" s="1"/>
  <c r="O45" i="60"/>
  <c r="R43" i="60"/>
  <c r="R50" i="60"/>
  <c r="O47" i="60"/>
  <c r="T47" i="60"/>
  <c r="L47" i="60" s="1"/>
  <c r="T10" i="60"/>
  <c r="L10" i="60" s="1"/>
  <c r="O10" i="60"/>
  <c r="T23" i="60"/>
  <c r="L23" i="60" s="1"/>
  <c r="O23" i="60"/>
  <c r="R12" i="60"/>
  <c r="R33" i="60"/>
  <c r="R44" i="60"/>
  <c r="O30" i="60"/>
  <c r="T30" i="60"/>
  <c r="L30" i="60" s="1"/>
  <c r="T17" i="60"/>
  <c r="L17" i="60" s="1"/>
  <c r="O17" i="60"/>
  <c r="T28" i="60"/>
  <c r="L28" i="60" s="1"/>
  <c r="O28" i="60"/>
  <c r="R40" i="60"/>
  <c r="R8" i="60"/>
  <c r="R22" i="60"/>
  <c r="O6" i="60"/>
  <c r="T6" i="60"/>
  <c r="L6" i="60" s="1"/>
  <c r="T35" i="60"/>
  <c r="L35" i="60" s="1"/>
  <c r="O35" i="60"/>
  <c r="T8" i="60"/>
  <c r="L8" i="60" s="1"/>
  <c r="O8" i="60"/>
  <c r="R38" i="60"/>
  <c r="R31" i="60"/>
  <c r="R27" i="60"/>
  <c r="O9" i="60"/>
  <c r="T9" i="60"/>
  <c r="L9" i="60" s="1"/>
  <c r="T44" i="60"/>
  <c r="L44" i="60" s="1"/>
  <c r="O44" i="60"/>
  <c r="T41" i="60"/>
  <c r="L41" i="60" s="1"/>
  <c r="O41" i="60"/>
  <c r="R10" i="60"/>
  <c r="R21" i="60"/>
  <c r="R28" i="60"/>
  <c r="O16" i="60"/>
  <c r="T16" i="60"/>
  <c r="L16" i="60" s="1"/>
  <c r="T49" i="60"/>
  <c r="L49" i="60" s="1"/>
  <c r="O49" i="60"/>
  <c r="T15" i="60"/>
  <c r="L15" i="60" s="1"/>
  <c r="O15" i="60"/>
  <c r="R16" i="60"/>
  <c r="R36" i="60"/>
  <c r="R17" i="60"/>
  <c r="O20" i="60"/>
  <c r="T20" i="60"/>
  <c r="L20" i="60" s="1"/>
  <c r="T7" i="60"/>
  <c r="L7" i="60" s="1"/>
  <c r="O7" i="60"/>
  <c r="T37" i="60"/>
  <c r="L37" i="60" s="1"/>
  <c r="O37" i="60"/>
  <c r="R34" i="60"/>
  <c r="R35" i="60"/>
  <c r="R19" i="60"/>
  <c r="O25" i="60"/>
  <c r="T25" i="60"/>
  <c r="L25" i="60" s="1"/>
  <c r="T14" i="60"/>
  <c r="L14" i="60" s="1"/>
  <c r="O14" i="60"/>
  <c r="T46" i="60"/>
  <c r="L46" i="60" s="1"/>
  <c r="O46" i="60"/>
  <c r="R42" i="60"/>
  <c r="R11" i="60"/>
  <c r="R41" i="60"/>
  <c r="O43" i="60"/>
  <c r="T43" i="60"/>
  <c r="L43" i="60" s="1"/>
  <c r="T22" i="60"/>
  <c r="L22" i="60" s="1"/>
  <c r="O22" i="60"/>
  <c r="T19" i="60"/>
  <c r="L19" i="60" s="1"/>
  <c r="O19" i="60"/>
  <c r="O30" i="35"/>
  <c r="R37" i="60"/>
  <c r="R15" i="60"/>
  <c r="R30" i="60"/>
  <c r="O48" i="60"/>
  <c r="T48" i="60"/>
  <c r="L48" i="60" s="1"/>
  <c r="T27" i="60"/>
  <c r="L27" i="60" s="1"/>
  <c r="O27" i="60"/>
  <c r="T29" i="60"/>
  <c r="L29" i="60" s="1"/>
  <c r="O29" i="60"/>
  <c r="R9" i="60"/>
  <c r="R26" i="60"/>
  <c r="R47" i="60"/>
  <c r="O34" i="60"/>
  <c r="T34" i="60"/>
  <c r="L34" i="60" s="1"/>
  <c r="T40" i="60"/>
  <c r="L40" i="60" s="1"/>
  <c r="O40" i="60"/>
  <c r="T33" i="60"/>
  <c r="L33" i="60" s="1"/>
  <c r="O33" i="60"/>
  <c r="R13" i="60"/>
  <c r="R23" i="60"/>
  <c r="R45" i="60"/>
  <c r="O38" i="60"/>
  <c r="T38" i="60"/>
  <c r="L38" i="60" s="1"/>
  <c r="T32" i="60"/>
  <c r="L32" i="60" s="1"/>
  <c r="O32" i="60"/>
  <c r="O12" i="60"/>
  <c r="T12" i="60"/>
  <c r="L12" i="60" s="1"/>
  <c r="R29" i="60"/>
  <c r="R24" i="60"/>
  <c r="R14" i="60"/>
  <c r="T13" i="60"/>
  <c r="L13" i="60" s="1"/>
  <c r="O13" i="60"/>
  <c r="T36" i="60"/>
  <c r="L36" i="60" s="1"/>
  <c r="O36" i="60"/>
  <c r="O24" i="60"/>
  <c r="T24" i="60"/>
  <c r="L24" i="60" s="1"/>
  <c r="CW22" i="9"/>
  <c r="CW35" i="52" a="1"/>
  <c r="CW35" i="52" s="1"/>
  <c r="CY23" i="9"/>
  <c r="CW23" i="9"/>
  <c r="C20" i="35"/>
  <c r="AS34" i="14"/>
  <c r="AG34" i="14"/>
  <c r="AL34" i="14"/>
  <c r="AO34" i="14"/>
  <c r="Z22" i="2"/>
  <c r="V18" i="35"/>
  <c r="Y54" i="2"/>
  <c r="W50" i="35"/>
  <c r="Z50" i="35"/>
  <c r="Y29" i="2"/>
  <c r="Z25" i="35"/>
  <c r="W25" i="35"/>
  <c r="Y27" i="2"/>
  <c r="W23" i="35"/>
  <c r="Z23" i="35"/>
  <c r="N6" i="35"/>
  <c r="Q6" i="35"/>
  <c r="K6" i="35" s="1"/>
  <c r="I6" i="35" s="1"/>
  <c r="Y53" i="2"/>
  <c r="W49" i="35"/>
  <c r="Z49" i="35"/>
  <c r="Z28" i="2"/>
  <c r="V24" i="35"/>
  <c r="Z37" i="2"/>
  <c r="V33" i="35"/>
  <c r="N40" i="35"/>
  <c r="Q40" i="35"/>
  <c r="K40" i="35" s="1"/>
  <c r="I40" i="35" s="1"/>
  <c r="Y25" i="2"/>
  <c r="W21" i="35"/>
  <c r="Z21" i="35"/>
  <c r="Q27" i="35"/>
  <c r="K27" i="35" s="1"/>
  <c r="I27" i="35" s="1"/>
  <c r="N27" i="35"/>
  <c r="Q29" i="35"/>
  <c r="K29" i="35" s="1"/>
  <c r="I29" i="35" s="1"/>
  <c r="N29" i="35"/>
  <c r="Y43" i="2"/>
  <c r="W39" i="35"/>
  <c r="Z39" i="35"/>
  <c r="Z41" i="2"/>
  <c r="V37" i="35"/>
  <c r="Q20" i="35"/>
  <c r="K20" i="35" s="1"/>
  <c r="I20" i="35" s="1"/>
  <c r="N20" i="35"/>
  <c r="N13" i="35"/>
  <c r="Q13" i="35"/>
  <c r="K13" i="35" s="1"/>
  <c r="I13" i="35" s="1"/>
  <c r="Y15" i="2"/>
  <c r="W11" i="35"/>
  <c r="Z11" i="35"/>
  <c r="Q43" i="35"/>
  <c r="K43" i="35" s="1"/>
  <c r="I43" i="35" s="1"/>
  <c r="N43" i="35"/>
  <c r="Z14" i="2"/>
  <c r="V10" i="35"/>
  <c r="Y39" i="2"/>
  <c r="Z35" i="35"/>
  <c r="W35" i="35"/>
  <c r="Y45" i="2"/>
  <c r="W41" i="35"/>
  <c r="Z41" i="35"/>
  <c r="Z40" i="2"/>
  <c r="V36" i="35"/>
  <c r="Y26" i="2"/>
  <c r="W22" i="35"/>
  <c r="Z22" i="35"/>
  <c r="Y21" i="2"/>
  <c r="Z17" i="35"/>
  <c r="W17" i="35"/>
  <c r="Q32" i="35"/>
  <c r="K32" i="35" s="1"/>
  <c r="I32" i="35" s="1"/>
  <c r="N32" i="35"/>
  <c r="Y18" i="2"/>
  <c r="W14" i="35"/>
  <c r="Z14" i="35"/>
  <c r="Y42" i="2"/>
  <c r="W38" i="35"/>
  <c r="Z38" i="35"/>
  <c r="Y16" i="2"/>
  <c r="W12" i="35"/>
  <c r="Z12" i="35"/>
  <c r="Z12" i="2"/>
  <c r="V8" i="35"/>
  <c r="Z19" i="2"/>
  <c r="V15" i="35"/>
  <c r="N46" i="35"/>
  <c r="Q46" i="35"/>
  <c r="K46" i="35" s="1"/>
  <c r="I46" i="35" s="1"/>
  <c r="Z13" i="2"/>
  <c r="V9" i="35"/>
  <c r="Y49" i="2"/>
  <c r="Z45" i="35"/>
  <c r="W45" i="35"/>
  <c r="Q26" i="35"/>
  <c r="K26" i="35" s="1"/>
  <c r="I26" i="35" s="1"/>
  <c r="N26" i="35"/>
  <c r="Y35" i="2"/>
  <c r="W31" i="35"/>
  <c r="Z31" i="35"/>
  <c r="Y38" i="2"/>
  <c r="W34" i="35"/>
  <c r="Z34" i="35"/>
  <c r="Y48" i="2"/>
  <c r="W44" i="35"/>
  <c r="Z44" i="35"/>
  <c r="N42" i="35"/>
  <c r="Q42" i="35"/>
  <c r="K42" i="35" s="1"/>
  <c r="I42" i="35" s="1"/>
  <c r="Y20" i="2"/>
  <c r="W16" i="35"/>
  <c r="Z16" i="35"/>
  <c r="Y34" i="2"/>
  <c r="Z30" i="35"/>
  <c r="W30" i="35"/>
  <c r="Z52" i="2"/>
  <c r="V48" i="35"/>
  <c r="Z11" i="2"/>
  <c r="V7" i="35"/>
  <c r="Z51" i="2"/>
  <c r="V47" i="35"/>
  <c r="Z32" i="2"/>
  <c r="V28" i="35"/>
  <c r="Q19" i="35"/>
  <c r="K19" i="35" s="1"/>
  <c r="I19" i="35" s="1"/>
  <c r="N19" i="35"/>
  <c r="P13" i="1" a="1"/>
  <c r="P13" i="1" s="1"/>
  <c r="P13" i="8" a="1"/>
  <c r="P13" i="8" s="1"/>
  <c r="P6" i="8" a="1"/>
  <c r="P6" i="8" s="1"/>
  <c r="P5" i="8" a="1"/>
  <c r="P5" i="8" s="1"/>
  <c r="R9" i="8"/>
  <c r="AJ35" i="8" s="1"/>
  <c r="AE34" i="14"/>
  <c r="R13" i="14" a="1"/>
  <c r="R13" i="14" s="1"/>
  <c r="AF34" i="14"/>
  <c r="AD34" i="14"/>
  <c r="AJ34" i="14"/>
  <c r="R10" i="1"/>
  <c r="P6" i="1" a="1"/>
  <c r="P6" i="1" s="1"/>
  <c r="R9" i="1"/>
  <c r="AG36" i="14"/>
  <c r="AE36" i="14"/>
  <c r="AF36" i="14"/>
  <c r="AD36" i="14"/>
  <c r="P5" i="1" a="1"/>
  <c r="Q5" i="1" s="1"/>
  <c r="AE35" i="14"/>
  <c r="AF35" i="14"/>
  <c r="R12" i="14" a="1"/>
  <c r="AD35" i="14"/>
  <c r="AG35" i="14"/>
  <c r="AJ35" i="14"/>
  <c r="AJ36" i="14" s="1"/>
  <c r="Q14" i="14"/>
  <c r="AE37" i="14"/>
  <c r="AF37" i="14"/>
  <c r="AG37" i="14"/>
  <c r="AD37" i="14"/>
  <c r="AJ39" i="14"/>
  <c r="AJ38" i="14" s="1"/>
  <c r="V25" i="35" l="1"/>
  <c r="AB29" i="2" s="1"/>
  <c r="Z24" i="35"/>
  <c r="Y28" i="2"/>
  <c r="Y12" i="2"/>
  <c r="Z15" i="2"/>
  <c r="Z8" i="35"/>
  <c r="W36" i="35"/>
  <c r="AC40" i="2" s="1"/>
  <c r="Z36" i="35"/>
  <c r="Z26" i="2"/>
  <c r="V16" i="35"/>
  <c r="AB20" i="2" s="1"/>
  <c r="Z21" i="2"/>
  <c r="Z39" i="2"/>
  <c r="Z7" i="35"/>
  <c r="W7" i="35"/>
  <c r="AC11" i="2" s="1"/>
  <c r="Z38" i="2"/>
  <c r="Y41" i="2"/>
  <c r="Z37" i="35"/>
  <c r="W10" i="35"/>
  <c r="AC14" i="2" s="1"/>
  <c r="Z10" i="35"/>
  <c r="Y14" i="2"/>
  <c r="V30" i="35"/>
  <c r="AB34" i="2" s="1"/>
  <c r="Z34" i="2"/>
  <c r="V45" i="35"/>
  <c r="AB49" i="2" s="1"/>
  <c r="Z49" i="2"/>
  <c r="V44" i="35"/>
  <c r="AB48" i="2" s="1"/>
  <c r="W28" i="35"/>
  <c r="AC32" i="2" s="1"/>
  <c r="Z48" i="2"/>
  <c r="W15" i="35"/>
  <c r="AC19" i="2" s="1"/>
  <c r="Z15" i="35"/>
  <c r="Y19" i="2"/>
  <c r="Z25" i="2"/>
  <c r="V21" i="35"/>
  <c r="AB25" i="2" s="1"/>
  <c r="Y32" i="2"/>
  <c r="Z28" i="35"/>
  <c r="Z9" i="35"/>
  <c r="Y13" i="2"/>
  <c r="W9" i="35"/>
  <c r="V12" i="35"/>
  <c r="AB16" i="2" s="1"/>
  <c r="W47" i="35"/>
  <c r="AC51" i="2" s="1"/>
  <c r="Y51" i="2"/>
  <c r="Z47" i="35"/>
  <c r="Z16" i="2"/>
  <c r="V14" i="35"/>
  <c r="Z18" i="2"/>
  <c r="Z48" i="35"/>
  <c r="W48" i="35"/>
  <c r="AC52" i="2" s="1"/>
  <c r="Y52" i="2"/>
  <c r="W18" i="35"/>
  <c r="Z18" i="35"/>
  <c r="Y22" i="2"/>
  <c r="L56" i="35" a="1"/>
  <c r="L56" i="35" s="1"/>
  <c r="V38" i="35"/>
  <c r="AB42" i="2" s="1"/>
  <c r="Z42" i="2"/>
  <c r="AC10" i="2"/>
  <c r="Z27" i="2"/>
  <c r="V23" i="35"/>
  <c r="AB27" i="2" s="1"/>
  <c r="Z45" i="2"/>
  <c r="V41" i="35"/>
  <c r="AB45" i="2" s="1"/>
  <c r="Z35" i="2"/>
  <c r="V31" i="35"/>
  <c r="AB35" i="2" s="1"/>
  <c r="V49" i="35"/>
  <c r="AB53" i="2" s="1"/>
  <c r="Z53" i="2"/>
  <c r="V39" i="35"/>
  <c r="V50" i="35"/>
  <c r="AB54" i="2" s="1"/>
  <c r="Z43" i="2"/>
  <c r="Z54" i="2"/>
  <c r="Z33" i="35"/>
  <c r="W33" i="35"/>
  <c r="Y37" i="2"/>
  <c r="Q24" i="60"/>
  <c r="K24" i="60" s="1"/>
  <c r="I24" i="60" s="1"/>
  <c r="Y29" i="51" s="1"/>
  <c r="N24" i="60"/>
  <c r="Q32" i="60"/>
  <c r="K32" i="60" s="1"/>
  <c r="I32" i="60" s="1"/>
  <c r="Y37" i="51" s="1"/>
  <c r="N32" i="60"/>
  <c r="Q11" i="60"/>
  <c r="K11" i="60" s="1"/>
  <c r="I11" i="60" s="1"/>
  <c r="Y16" i="51" s="1"/>
  <c r="N11" i="60"/>
  <c r="N31" i="60"/>
  <c r="Q31" i="60"/>
  <c r="K31" i="60" s="1"/>
  <c r="I31" i="60" s="1"/>
  <c r="Y36" i="51" s="1"/>
  <c r="Q29" i="60"/>
  <c r="K29" i="60" s="1"/>
  <c r="I29" i="60" s="1"/>
  <c r="Y34" i="51" s="1"/>
  <c r="N29" i="60"/>
  <c r="Q30" i="60"/>
  <c r="K30" i="60" s="1"/>
  <c r="I30" i="60" s="1"/>
  <c r="Y35" i="51" s="1"/>
  <c r="N30" i="60"/>
  <c r="Q49" i="60"/>
  <c r="K49" i="60" s="1"/>
  <c r="I49" i="60" s="1"/>
  <c r="Y54" i="51" s="1"/>
  <c r="N49" i="60"/>
  <c r="Q42" i="60"/>
  <c r="K42" i="60" s="1"/>
  <c r="I42" i="60" s="1"/>
  <c r="Y47" i="51" s="1"/>
  <c r="N42" i="60"/>
  <c r="Q28" i="60"/>
  <c r="K28" i="60" s="1"/>
  <c r="I28" i="60" s="1"/>
  <c r="Y33" i="51" s="1"/>
  <c r="N28" i="60"/>
  <c r="Q38" i="60"/>
  <c r="K38" i="60" s="1"/>
  <c r="I38" i="60" s="1"/>
  <c r="Y43" i="51" s="1"/>
  <c r="N38" i="60"/>
  <c r="Z43" i="51" s="1"/>
  <c r="Q50" i="60"/>
  <c r="K50" i="60" s="1"/>
  <c r="I50" i="60" s="1"/>
  <c r="Y55" i="51" s="1"/>
  <c r="N50" i="60"/>
  <c r="Q15" i="60"/>
  <c r="K15" i="60" s="1"/>
  <c r="I15" i="60" s="1"/>
  <c r="Y20" i="51" s="1"/>
  <c r="N15" i="60"/>
  <c r="N20" i="60"/>
  <c r="Q20" i="60"/>
  <c r="K20" i="60" s="1"/>
  <c r="I20" i="60" s="1"/>
  <c r="Y25" i="51" s="1"/>
  <c r="Q21" i="60"/>
  <c r="K21" i="60" s="1"/>
  <c r="I21" i="60" s="1"/>
  <c r="Y26" i="51" s="1"/>
  <c r="N21" i="60"/>
  <c r="N43" i="60"/>
  <c r="Q43" i="60"/>
  <c r="K43" i="60" s="1"/>
  <c r="I43" i="60" s="1"/>
  <c r="Y48" i="51" s="1"/>
  <c r="Q7" i="60"/>
  <c r="K7" i="60" s="1"/>
  <c r="I7" i="60" s="1"/>
  <c r="Y12" i="51" s="1"/>
  <c r="N7" i="60"/>
  <c r="Q47" i="60"/>
  <c r="K47" i="60" s="1"/>
  <c r="I47" i="60" s="1"/>
  <c r="Y52" i="51" s="1"/>
  <c r="N47" i="60"/>
  <c r="Q37" i="60"/>
  <c r="K37" i="60" s="1"/>
  <c r="I37" i="60" s="1"/>
  <c r="Y42" i="51" s="1"/>
  <c r="N37" i="60"/>
  <c r="Q17" i="60"/>
  <c r="K17" i="60" s="1"/>
  <c r="I17" i="60" s="1"/>
  <c r="Y22" i="51" s="1"/>
  <c r="N17" i="60"/>
  <c r="Q10" i="60"/>
  <c r="K10" i="60" s="1"/>
  <c r="I10" i="60" s="1"/>
  <c r="Y15" i="51" s="1"/>
  <c r="N10" i="60"/>
  <c r="Q44" i="60"/>
  <c r="K44" i="60" s="1"/>
  <c r="I44" i="60" s="1"/>
  <c r="Y49" i="51" s="1"/>
  <c r="N44" i="60"/>
  <c r="Q26" i="60"/>
  <c r="K26" i="60" s="1"/>
  <c r="I26" i="60" s="1"/>
  <c r="Y31" i="51" s="1"/>
  <c r="N26" i="60"/>
  <c r="N6" i="60"/>
  <c r="Q6" i="60"/>
  <c r="K6" i="60" s="1"/>
  <c r="I6" i="60" s="1"/>
  <c r="Q36" i="60"/>
  <c r="K36" i="60" s="1"/>
  <c r="I36" i="60" s="1"/>
  <c r="Y41" i="51" s="1"/>
  <c r="N36" i="60"/>
  <c r="Q33" i="60"/>
  <c r="K33" i="60" s="1"/>
  <c r="I33" i="60" s="1"/>
  <c r="Y38" i="51" s="1"/>
  <c r="N33" i="60"/>
  <c r="Q45" i="60"/>
  <c r="K45" i="60" s="1"/>
  <c r="I45" i="60" s="1"/>
  <c r="Y50" i="51" s="1"/>
  <c r="N45" i="60"/>
  <c r="N9" i="60"/>
  <c r="Q9" i="60"/>
  <c r="K9" i="60" s="1"/>
  <c r="I9" i="60" s="1"/>
  <c r="Y14" i="51" s="1"/>
  <c r="N48" i="60"/>
  <c r="Q48" i="60"/>
  <c r="K48" i="60" s="1"/>
  <c r="I48" i="60" s="1"/>
  <c r="Y53" i="51" s="1"/>
  <c r="Q46" i="60"/>
  <c r="K46" i="60" s="1"/>
  <c r="I46" i="60" s="1"/>
  <c r="Y51" i="51" s="1"/>
  <c r="N46" i="60"/>
  <c r="Q19" i="60"/>
  <c r="K19" i="60" s="1"/>
  <c r="I19" i="60" s="1"/>
  <c r="Y24" i="51" s="1"/>
  <c r="N19" i="60"/>
  <c r="N16" i="60"/>
  <c r="Q16" i="60"/>
  <c r="K16" i="60" s="1"/>
  <c r="I16" i="60" s="1"/>
  <c r="Y21" i="51" s="1"/>
  <c r="Q22" i="60"/>
  <c r="K22" i="60" s="1"/>
  <c r="I22" i="60" s="1"/>
  <c r="Y27" i="51" s="1"/>
  <c r="N22" i="60"/>
  <c r="Q12" i="60"/>
  <c r="K12" i="60" s="1"/>
  <c r="I12" i="60" s="1"/>
  <c r="Y17" i="51" s="1"/>
  <c r="N12" i="60"/>
  <c r="Q23" i="60"/>
  <c r="K23" i="60" s="1"/>
  <c r="I23" i="60" s="1"/>
  <c r="Y28" i="51" s="1"/>
  <c r="N23" i="60"/>
  <c r="Q3" i="60"/>
  <c r="K3" i="60" s="1"/>
  <c r="I3" i="60" s="1"/>
  <c r="N3" i="60"/>
  <c r="C20" i="60" s="1"/>
  <c r="Q35" i="60"/>
  <c r="K35" i="60" s="1"/>
  <c r="I35" i="60" s="1"/>
  <c r="Y40" i="51" s="1"/>
  <c r="N35" i="60"/>
  <c r="Q8" i="60"/>
  <c r="K8" i="60" s="1"/>
  <c r="I8" i="60" s="1"/>
  <c r="Y13" i="51" s="1"/>
  <c r="N8" i="60"/>
  <c r="N39" i="60"/>
  <c r="Z44" i="51" s="1"/>
  <c r="Q39" i="60"/>
  <c r="K39" i="60" s="1"/>
  <c r="I39" i="60" s="1"/>
  <c r="Y44" i="51" s="1"/>
  <c r="Q14" i="60"/>
  <c r="K14" i="60" s="1"/>
  <c r="I14" i="60" s="1"/>
  <c r="Y19" i="51" s="1"/>
  <c r="N14" i="60"/>
  <c r="N13" i="60"/>
  <c r="Q13" i="60"/>
  <c r="K13" i="60" s="1"/>
  <c r="I13" i="60" s="1"/>
  <c r="Y18" i="51" s="1"/>
  <c r="N25" i="60"/>
  <c r="Q25" i="60"/>
  <c r="K25" i="60" s="1"/>
  <c r="I25" i="60" s="1"/>
  <c r="Y30" i="51" s="1"/>
  <c r="Q41" i="60"/>
  <c r="K41" i="60" s="1"/>
  <c r="I41" i="60" s="1"/>
  <c r="Y46" i="51" s="1"/>
  <c r="N41" i="60"/>
  <c r="Q34" i="60"/>
  <c r="K34" i="60" s="1"/>
  <c r="I34" i="60" s="1"/>
  <c r="Y39" i="51" s="1"/>
  <c r="N34" i="60"/>
  <c r="Q27" i="60"/>
  <c r="K27" i="60" s="1"/>
  <c r="I27" i="60" s="1"/>
  <c r="Y32" i="51" s="1"/>
  <c r="N27" i="60"/>
  <c r="Q40" i="60"/>
  <c r="K40" i="60" s="1"/>
  <c r="I40" i="60" s="1"/>
  <c r="Y45" i="51" s="1"/>
  <c r="N40" i="60"/>
  <c r="Q18" i="60"/>
  <c r="K18" i="60" s="1"/>
  <c r="I18" i="60" s="1"/>
  <c r="Y23" i="51" s="1"/>
  <c r="N18" i="60"/>
  <c r="AC27" i="2"/>
  <c r="AB52" i="2"/>
  <c r="AB15" i="2"/>
  <c r="AC43" i="2"/>
  <c r="AC29" i="2"/>
  <c r="CY24" i="9"/>
  <c r="AC38" i="2"/>
  <c r="AC35" i="2"/>
  <c r="AB26" i="2"/>
  <c r="AC12" i="2"/>
  <c r="CW24" i="9"/>
  <c r="CW36" i="9" s="1" a="1"/>
  <c r="CW36" i="9" s="1"/>
  <c r="AB51" i="2"/>
  <c r="AB40" i="2"/>
  <c r="AB14" i="2"/>
  <c r="AC48" i="2"/>
  <c r="AB11" i="2"/>
  <c r="AC21" i="2"/>
  <c r="AC39" i="2"/>
  <c r="AC34" i="2"/>
  <c r="AB12" i="2"/>
  <c r="AC42" i="2"/>
  <c r="AB38" i="2"/>
  <c r="AB37" i="2"/>
  <c r="AC54" i="2"/>
  <c r="AC49" i="2"/>
  <c r="AC45" i="2"/>
  <c r="AC16" i="2"/>
  <c r="AB41" i="2"/>
  <c r="AB28" i="2"/>
  <c r="AB19" i="2"/>
  <c r="AC18" i="2"/>
  <c r="AB13" i="2"/>
  <c r="AC20" i="2"/>
  <c r="AB21" i="2"/>
  <c r="AC15" i="2"/>
  <c r="AC25" i="2"/>
  <c r="AC53" i="2"/>
  <c r="AB32" i="2"/>
  <c r="AC26" i="2"/>
  <c r="AC41" i="2"/>
  <c r="AB39" i="2"/>
  <c r="AC28" i="2"/>
  <c r="AB22" i="2"/>
  <c r="L57" i="35" a="1"/>
  <c r="L57" i="35" s="1"/>
  <c r="AL36" i="1"/>
  <c r="Z23" i="2"/>
  <c r="V19" i="35"/>
  <c r="Z36" i="2"/>
  <c r="V32" i="35"/>
  <c r="Y23" i="2"/>
  <c r="W19" i="35"/>
  <c r="Z19" i="35"/>
  <c r="Y36" i="2"/>
  <c r="W32" i="35"/>
  <c r="Z32" i="35"/>
  <c r="Z33" i="2"/>
  <c r="V29" i="35"/>
  <c r="Z46" i="2"/>
  <c r="V42" i="35"/>
  <c r="Y33" i="2"/>
  <c r="Z29" i="35"/>
  <c r="W29" i="35"/>
  <c r="Y10" i="2"/>
  <c r="Z6" i="35"/>
  <c r="Y50" i="2"/>
  <c r="W46" i="35"/>
  <c r="Z46" i="35"/>
  <c r="Z10" i="2"/>
  <c r="V6" i="35"/>
  <c r="Z31" i="2"/>
  <c r="V27" i="35"/>
  <c r="Y44" i="2"/>
  <c r="W40" i="35"/>
  <c r="Z40" i="35"/>
  <c r="Y31" i="2"/>
  <c r="Z27" i="35"/>
  <c r="W27" i="35"/>
  <c r="Z44" i="2"/>
  <c r="V40" i="35"/>
  <c r="Y17" i="2"/>
  <c r="W13" i="35"/>
  <c r="Z13" i="35"/>
  <c r="Z50" i="2"/>
  <c r="V46" i="35"/>
  <c r="Z17" i="2"/>
  <c r="V13" i="35"/>
  <c r="Z30" i="2"/>
  <c r="V26" i="35"/>
  <c r="Z47" i="2"/>
  <c r="V43" i="35"/>
  <c r="Z24" i="2"/>
  <c r="V20" i="35"/>
  <c r="Y46" i="2"/>
  <c r="Z42" i="35"/>
  <c r="W42" i="35"/>
  <c r="Y30" i="2"/>
  <c r="W26" i="35"/>
  <c r="Z26" i="35"/>
  <c r="Y47" i="2"/>
  <c r="Z43" i="35"/>
  <c r="W43" i="35"/>
  <c r="Y24" i="2"/>
  <c r="Z20" i="35"/>
  <c r="W20" i="35"/>
  <c r="Q13" i="1"/>
  <c r="R13" i="1"/>
  <c r="Q5" i="8"/>
  <c r="W5" i="8" s="1"/>
  <c r="W9" i="1"/>
  <c r="H23" i="9" s="1"/>
  <c r="Q6" i="8"/>
  <c r="W6" i="8" s="1"/>
  <c r="BC24" i="9" s="1"/>
  <c r="R13" i="8"/>
  <c r="Q13" i="8"/>
  <c r="P5" i="14" a="1"/>
  <c r="P5" i="14" s="1"/>
  <c r="S13" i="14"/>
  <c r="P6" i="14" a="1"/>
  <c r="P6" i="14" s="1"/>
  <c r="Q6" i="1"/>
  <c r="W6" i="1" s="1"/>
  <c r="P8" i="14" a="1"/>
  <c r="P8" i="14" s="1"/>
  <c r="P5" i="1"/>
  <c r="W5" i="1" s="1"/>
  <c r="Q10" i="8" a="1"/>
  <c r="Q10" i="8" s="1"/>
  <c r="R12" i="14"/>
  <c r="S12" i="14"/>
  <c r="P18" i="14" a="1"/>
  <c r="P9" i="14" a="1"/>
  <c r="C5" i="4" l="1"/>
  <c r="C16" i="4" s="1"/>
  <c r="F16" i="4" s="1"/>
  <c r="V40" i="60"/>
  <c r="AB45" i="51" s="1"/>
  <c r="Z45" i="51"/>
  <c r="V8" i="60"/>
  <c r="AB13" i="51" s="1"/>
  <c r="Z13" i="51"/>
  <c r="V46" i="60"/>
  <c r="AB51" i="51" s="1"/>
  <c r="Z51" i="51"/>
  <c r="V44" i="60"/>
  <c r="AB49" i="51" s="1"/>
  <c r="Z49" i="51"/>
  <c r="V29" i="60"/>
  <c r="AB34" i="51" s="1"/>
  <c r="Z34" i="51"/>
  <c r="V20" i="60"/>
  <c r="AB25" i="51" s="1"/>
  <c r="Z25" i="51"/>
  <c r="V18" i="60"/>
  <c r="AB23" i="51" s="1"/>
  <c r="Z23" i="51"/>
  <c r="V19" i="60"/>
  <c r="AB24" i="51" s="1"/>
  <c r="Z24" i="51"/>
  <c r="V21" i="60"/>
  <c r="AB26" i="51" s="1"/>
  <c r="Z26" i="51"/>
  <c r="V10" i="60"/>
  <c r="AB15" i="51" s="1"/>
  <c r="Z15" i="51"/>
  <c r="V15" i="60"/>
  <c r="AB20" i="51" s="1"/>
  <c r="Z20" i="51"/>
  <c r="V31" i="60"/>
  <c r="AB36" i="51" s="1"/>
  <c r="Z36" i="51"/>
  <c r="V17" i="60"/>
  <c r="AB22" i="51" s="1"/>
  <c r="Z22" i="51"/>
  <c r="V50" i="60"/>
  <c r="AB55" i="51" s="1"/>
  <c r="Z55" i="51"/>
  <c r="V11" i="60"/>
  <c r="AB16" i="51" s="1"/>
  <c r="Z16" i="51"/>
  <c r="V48" i="60"/>
  <c r="AB53" i="51" s="1"/>
  <c r="Z53" i="51"/>
  <c r="V37" i="60"/>
  <c r="AB42" i="51" s="1"/>
  <c r="Z42" i="51"/>
  <c r="V32" i="60"/>
  <c r="AB37" i="51" s="1"/>
  <c r="Z37" i="51"/>
  <c r="V34" i="60"/>
  <c r="AB39" i="51" s="1"/>
  <c r="Z39" i="51"/>
  <c r="V12" i="60"/>
  <c r="AB17" i="51" s="1"/>
  <c r="Z17" i="51"/>
  <c r="V33" i="60"/>
  <c r="AB38" i="51" s="1"/>
  <c r="Z38" i="51"/>
  <c r="V47" i="60"/>
  <c r="AB52" i="51" s="1"/>
  <c r="Z52" i="51"/>
  <c r="V28" i="60"/>
  <c r="AB33" i="51" s="1"/>
  <c r="Z33" i="51"/>
  <c r="V24" i="60"/>
  <c r="AB29" i="51" s="1"/>
  <c r="Z29" i="51"/>
  <c r="V30" i="60"/>
  <c r="AB35" i="51" s="1"/>
  <c r="Z35" i="51"/>
  <c r="V41" i="60"/>
  <c r="AB46" i="51" s="1"/>
  <c r="Z46" i="51"/>
  <c r="V23" i="60"/>
  <c r="AB28" i="51" s="1"/>
  <c r="Z28" i="51"/>
  <c r="V25" i="60"/>
  <c r="AB30" i="51" s="1"/>
  <c r="Z30" i="51"/>
  <c r="V35" i="60"/>
  <c r="AB40" i="51" s="1"/>
  <c r="Z40" i="51"/>
  <c r="V9" i="60"/>
  <c r="AB14" i="51" s="1"/>
  <c r="Z14" i="51"/>
  <c r="V45" i="60"/>
  <c r="AB50" i="51" s="1"/>
  <c r="Z50" i="51"/>
  <c r="V22" i="60"/>
  <c r="AB27" i="51" s="1"/>
  <c r="Z27" i="51"/>
  <c r="V36" i="60"/>
  <c r="AB41" i="51" s="1"/>
  <c r="Z41" i="51"/>
  <c r="V7" i="60"/>
  <c r="AB12" i="51" s="1"/>
  <c r="Z12" i="51"/>
  <c r="V42" i="60"/>
  <c r="AB47" i="51" s="1"/>
  <c r="Z47" i="51"/>
  <c r="V26" i="60"/>
  <c r="AB31" i="51" s="1"/>
  <c r="Z31" i="51"/>
  <c r="V27" i="60"/>
  <c r="AB32" i="51" s="1"/>
  <c r="Z32" i="51"/>
  <c r="V14" i="60"/>
  <c r="AB19" i="51" s="1"/>
  <c r="Z19" i="51"/>
  <c r="Z6" i="60"/>
  <c r="Y11" i="51"/>
  <c r="V49" i="60"/>
  <c r="AB54" i="51" s="1"/>
  <c r="Z54" i="51"/>
  <c r="V13" i="60"/>
  <c r="AB18" i="51" s="1"/>
  <c r="Z18" i="51"/>
  <c r="V16" i="60"/>
  <c r="AB21" i="51" s="1"/>
  <c r="Z21" i="51"/>
  <c r="V6" i="60"/>
  <c r="AB11" i="51" s="1"/>
  <c r="Z11" i="51"/>
  <c r="V43" i="60"/>
  <c r="AB48" i="51" s="1"/>
  <c r="Z48" i="51"/>
  <c r="AC13" i="2"/>
  <c r="AB18" i="2"/>
  <c r="AC22" i="2"/>
  <c r="N54" i="35"/>
  <c r="AG12" i="35" s="1"/>
  <c r="AG14" i="35" s="1"/>
  <c r="AG15" i="35" s="1"/>
  <c r="AB43" i="2"/>
  <c r="AC37" i="2"/>
  <c r="W22" i="60"/>
  <c r="AC27" i="51" s="1"/>
  <c r="Z22" i="60"/>
  <c r="W36" i="60"/>
  <c r="AC41" i="51" s="1"/>
  <c r="Z36" i="60"/>
  <c r="W16" i="60"/>
  <c r="AC21" i="51" s="1"/>
  <c r="Z16" i="60"/>
  <c r="W7" i="60"/>
  <c r="AC12" i="51" s="1"/>
  <c r="Z7" i="60"/>
  <c r="W42" i="60"/>
  <c r="AC47" i="51" s="1"/>
  <c r="Z42" i="60"/>
  <c r="W14" i="60"/>
  <c r="AC19" i="51" s="1"/>
  <c r="Z14" i="60"/>
  <c r="W43" i="60"/>
  <c r="AC48" i="51" s="1"/>
  <c r="Z43" i="60"/>
  <c r="W39" i="60"/>
  <c r="AC44" i="51" s="1"/>
  <c r="Z39" i="60"/>
  <c r="W49" i="60"/>
  <c r="AC54" i="51" s="1"/>
  <c r="Z49" i="60"/>
  <c r="W18" i="60"/>
  <c r="AC23" i="51" s="1"/>
  <c r="Z18" i="60"/>
  <c r="L57" i="60" a="1"/>
  <c r="L57" i="60" s="1"/>
  <c r="V39" i="60"/>
  <c r="AB44" i="51" s="1"/>
  <c r="W19" i="60"/>
  <c r="AC24" i="51" s="1"/>
  <c r="Z19" i="60"/>
  <c r="W26" i="60"/>
  <c r="AC31" i="51" s="1"/>
  <c r="Z26" i="60"/>
  <c r="W21" i="60"/>
  <c r="AC26" i="51" s="1"/>
  <c r="Z21" i="60"/>
  <c r="W30" i="60"/>
  <c r="AC35" i="51" s="1"/>
  <c r="Z30" i="60"/>
  <c r="W40" i="60"/>
  <c r="AC45" i="51" s="1"/>
  <c r="Z40" i="60"/>
  <c r="W8" i="60"/>
  <c r="AC13" i="51" s="1"/>
  <c r="Z8" i="60"/>
  <c r="W46" i="60"/>
  <c r="AC51" i="51" s="1"/>
  <c r="Z46" i="60"/>
  <c r="W20" i="60"/>
  <c r="AC25" i="51" s="1"/>
  <c r="Z20" i="60"/>
  <c r="W48" i="60"/>
  <c r="AC53" i="51" s="1"/>
  <c r="Z48" i="60"/>
  <c r="W44" i="60"/>
  <c r="AC49" i="51" s="1"/>
  <c r="Z44" i="60"/>
  <c r="W29" i="60"/>
  <c r="AC34" i="51" s="1"/>
  <c r="Z29" i="60"/>
  <c r="W27" i="60"/>
  <c r="AC32" i="51" s="1"/>
  <c r="Z27" i="60"/>
  <c r="W35" i="60"/>
  <c r="AC40" i="51" s="1"/>
  <c r="Z35" i="60"/>
  <c r="W31" i="60"/>
  <c r="AC36" i="51" s="1"/>
  <c r="Z31" i="60"/>
  <c r="W9" i="60"/>
  <c r="AC14" i="51" s="1"/>
  <c r="Z9" i="60"/>
  <c r="W10" i="60"/>
  <c r="AC15" i="51" s="1"/>
  <c r="Z10" i="60"/>
  <c r="W15" i="60"/>
  <c r="AC20" i="51" s="1"/>
  <c r="Z15" i="60"/>
  <c r="W34" i="60"/>
  <c r="AC39" i="51" s="1"/>
  <c r="Z34" i="60"/>
  <c r="W17" i="60"/>
  <c r="AC22" i="51" s="1"/>
  <c r="Z17" i="60"/>
  <c r="W50" i="60"/>
  <c r="AC55" i="51" s="1"/>
  <c r="Z50" i="60"/>
  <c r="W11" i="60"/>
  <c r="AC16" i="51" s="1"/>
  <c r="Z11" i="60"/>
  <c r="W41" i="60"/>
  <c r="AC46" i="51" s="1"/>
  <c r="Z41" i="60"/>
  <c r="W23" i="60"/>
  <c r="AC28" i="51" s="1"/>
  <c r="Z23" i="60"/>
  <c r="W45" i="60"/>
  <c r="AC50" i="51" s="1"/>
  <c r="Z45" i="60"/>
  <c r="L56" i="60" a="1"/>
  <c r="L56" i="60" s="1"/>
  <c r="V38" i="60"/>
  <c r="AB43" i="51" s="1"/>
  <c r="W25" i="60"/>
  <c r="AC30" i="51" s="1"/>
  <c r="Z25" i="60"/>
  <c r="W37" i="60"/>
  <c r="AC42" i="51" s="1"/>
  <c r="Z37" i="60"/>
  <c r="W38" i="60"/>
  <c r="AC43" i="51" s="1"/>
  <c r="Z38" i="60"/>
  <c r="W32" i="60"/>
  <c r="AC37" i="51" s="1"/>
  <c r="Z32" i="60"/>
  <c r="W12" i="60"/>
  <c r="AC17" i="51" s="1"/>
  <c r="Z12" i="60"/>
  <c r="W33" i="60"/>
  <c r="AC38" i="51" s="1"/>
  <c r="Z33" i="60"/>
  <c r="W13" i="60"/>
  <c r="AC18" i="51" s="1"/>
  <c r="Z13" i="60"/>
  <c r="W47" i="60"/>
  <c r="AC52" i="51" s="1"/>
  <c r="Z47" i="60"/>
  <c r="W28" i="60"/>
  <c r="AC33" i="51" s="1"/>
  <c r="Z28" i="60"/>
  <c r="W24" i="60"/>
  <c r="AC29" i="51" s="1"/>
  <c r="Z24" i="60"/>
  <c r="AC50" i="2"/>
  <c r="AC17" i="2"/>
  <c r="AB36" i="2"/>
  <c r="AB44" i="2"/>
  <c r="AB23" i="2"/>
  <c r="AC46" i="2"/>
  <c r="AC33" i="2"/>
  <c r="AC30" i="2"/>
  <c r="AC23" i="2"/>
  <c r="AC31" i="2"/>
  <c r="AC44" i="2"/>
  <c r="AB33" i="2"/>
  <c r="AB47" i="2"/>
  <c r="AC24" i="2"/>
  <c r="AB30" i="2"/>
  <c r="AB46" i="2"/>
  <c r="AB31" i="2"/>
  <c r="AB17" i="2"/>
  <c r="AC36" i="2"/>
  <c r="AC47" i="2"/>
  <c r="AB24" i="2"/>
  <c r="AB50" i="2"/>
  <c r="AU34" i="14"/>
  <c r="R14" i="14"/>
  <c r="AT34" i="14"/>
  <c r="Z51" i="35"/>
  <c r="W4" i="35"/>
  <c r="AB10" i="2"/>
  <c r="V4" i="35"/>
  <c r="D24" i="35" s="1"/>
  <c r="W13" i="1"/>
  <c r="W14" i="1" s="1"/>
  <c r="W19" i="10" s="1"/>
  <c r="W22" i="10" s="1"/>
  <c r="W24" i="10" s="1"/>
  <c r="AK43" i="8"/>
  <c r="AO24" i="9" s="1"/>
  <c r="AS24" i="9"/>
  <c r="AM44" i="1"/>
  <c r="BC23" i="9"/>
  <c r="AK43" i="1"/>
  <c r="AS23" i="9"/>
  <c r="W10" i="1"/>
  <c r="G23" i="9" s="1"/>
  <c r="W13" i="8"/>
  <c r="W16" i="6" s="1"/>
  <c r="W19" i="6" s="1"/>
  <c r="W22" i="6" s="1"/>
  <c r="S14" i="14"/>
  <c r="Q5" i="14"/>
  <c r="S5" i="14" s="1"/>
  <c r="Q6" i="14"/>
  <c r="S6" i="14" s="1"/>
  <c r="Q8" i="14"/>
  <c r="S8" i="14" s="1"/>
  <c r="AM43" i="1"/>
  <c r="AH43" i="1"/>
  <c r="AG43" i="1"/>
  <c r="AJ44" i="1"/>
  <c r="AI43" i="1"/>
  <c r="AF44" i="1"/>
  <c r="AJ43" i="1"/>
  <c r="AL43" i="1"/>
  <c r="AF43" i="1"/>
  <c r="AG44" i="1"/>
  <c r="AI44" i="1"/>
  <c r="AL44" i="1"/>
  <c r="R10" i="8"/>
  <c r="AH44" i="1"/>
  <c r="AK44" i="1"/>
  <c r="AI43" i="8"/>
  <c r="AM24" i="9" s="1"/>
  <c r="AF43" i="8"/>
  <c r="AJ24" i="9" s="1"/>
  <c r="AH43" i="8"/>
  <c r="AL24" i="9" s="1"/>
  <c r="AJ43" i="8"/>
  <c r="AN24" i="9" s="1"/>
  <c r="AL43" i="8"/>
  <c r="AP24" i="9" s="1"/>
  <c r="AG43" i="8"/>
  <c r="AK24" i="9" s="1"/>
  <c r="AM43" i="8"/>
  <c r="AQ24" i="9" s="1"/>
  <c r="AJ44" i="8"/>
  <c r="AX24" i="9" s="1"/>
  <c r="AM44" i="8"/>
  <c r="BA24" i="9" s="1"/>
  <c r="AG44" i="8"/>
  <c r="AU24" i="9" s="1"/>
  <c r="AK44" i="8"/>
  <c r="AY24" i="9" s="1"/>
  <c r="AL44" i="8"/>
  <c r="AZ24" i="9" s="1"/>
  <c r="AI44" i="8"/>
  <c r="AW24" i="9" s="1"/>
  <c r="AF44" i="8"/>
  <c r="AT24" i="9" s="1"/>
  <c r="AH44" i="8"/>
  <c r="AV24" i="9" s="1"/>
  <c r="Q9" i="14"/>
  <c r="P9" i="14"/>
  <c r="R18" i="14"/>
  <c r="Q18" i="14"/>
  <c r="P18" i="14"/>
  <c r="C15" i="4" l="1"/>
  <c r="F15" i="4" s="1"/>
  <c r="C33" i="4" s="1"/>
  <c r="Z51" i="60"/>
  <c r="Z54" i="60" s="1"/>
  <c r="V4" i="60"/>
  <c r="N54" i="60"/>
  <c r="AG12" i="60" s="1"/>
  <c r="AG14" i="60" s="1"/>
  <c r="AG15" i="60" s="1"/>
  <c r="W4" i="60"/>
  <c r="AC56" i="51"/>
  <c r="AC55" i="2"/>
  <c r="AB56" i="51"/>
  <c r="BA23" i="9"/>
  <c r="AW23" i="9"/>
  <c r="AU23" i="9"/>
  <c r="AP23" i="9"/>
  <c r="AN23" i="9"/>
  <c r="AT23" i="9"/>
  <c r="AX23" i="9"/>
  <c r="AK23" i="9"/>
  <c r="T31" i="2"/>
  <c r="AL23" i="9"/>
  <c r="AB55" i="2"/>
  <c r="AM23" i="9"/>
  <c r="AQ23" i="9"/>
  <c r="AZ23" i="9"/>
  <c r="AO23" i="9"/>
  <c r="AY23" i="9"/>
  <c r="AJ23" i="9"/>
  <c r="AV23" i="9"/>
  <c r="Z54" i="35"/>
  <c r="AG7" i="35"/>
  <c r="W12" i="14"/>
  <c r="Y11" i="14" s="1"/>
  <c r="AO36" i="14"/>
  <c r="W9" i="8"/>
  <c r="H24" i="9" s="1"/>
  <c r="AO36" i="8"/>
  <c r="T34" i="2"/>
  <c r="W16" i="3"/>
  <c r="W19" i="3" s="1"/>
  <c r="W22" i="3" s="1"/>
  <c r="I23" i="9"/>
  <c r="K23" i="9" s="1"/>
  <c r="L23" i="9" s="1"/>
  <c r="W16" i="8"/>
  <c r="W19" i="8" s="1"/>
  <c r="W22" i="8" s="1"/>
  <c r="W14" i="8"/>
  <c r="AO44" i="8" a="1"/>
  <c r="AO44" i="8" s="1"/>
  <c r="AP44" i="8" s="1"/>
  <c r="AN44" i="8" a="1"/>
  <c r="AN44" i="8" s="1"/>
  <c r="BB24" i="9" s="1"/>
  <c r="AN43" i="8" a="1"/>
  <c r="AN43" i="8" s="1"/>
  <c r="AR24" i="9" s="1"/>
  <c r="AO43" i="8" a="1"/>
  <c r="AO43" i="8" s="1"/>
  <c r="AP43" i="8" s="1"/>
  <c r="AN43" i="1" a="1"/>
  <c r="AN43" i="1" s="1"/>
  <c r="AO43" i="1" a="1"/>
  <c r="AO43" i="1" s="1"/>
  <c r="AP43" i="1" s="1"/>
  <c r="AN44" i="1" a="1"/>
  <c r="AN44" i="1" s="1"/>
  <c r="AO44" i="1" a="1"/>
  <c r="AO44" i="1" s="1"/>
  <c r="AP44" i="1" s="1"/>
  <c r="W5" i="14"/>
  <c r="W16" i="14"/>
  <c r="S9" i="14"/>
  <c r="W8" i="14" s="1"/>
  <c r="T35" i="51" l="1"/>
  <c r="D24" i="60"/>
  <c r="T32" i="51" s="1"/>
  <c r="AG7" i="60"/>
  <c r="AR23" i="9"/>
  <c r="DA24" i="9"/>
  <c r="DA23" i="9"/>
  <c r="BB23" i="9"/>
  <c r="W13" i="14"/>
  <c r="G25" i="9" s="1"/>
  <c r="AE54" i="14"/>
  <c r="H25" i="9"/>
  <c r="AE51" i="14"/>
  <c r="AE47" i="14"/>
  <c r="AE53" i="14"/>
  <c r="AE52" i="14"/>
  <c r="AE48" i="14"/>
  <c r="AE45" i="14"/>
  <c r="AE46" i="14"/>
  <c r="W10" i="8"/>
  <c r="G24" i="9" s="1"/>
  <c r="Y9" i="8"/>
  <c r="I24" i="9"/>
  <c r="K24" i="9" s="1"/>
  <c r="L24" i="9" s="1"/>
  <c r="C5" i="7"/>
  <c r="C16" i="7" s="1"/>
  <c r="F16" i="7" s="1"/>
  <c r="W17" i="14"/>
  <c r="I25" i="9"/>
  <c r="K25" i="9" s="1"/>
  <c r="AE55" i="14" l="1"/>
  <c r="V55" i="14" s="1"/>
  <c r="AE49" i="14"/>
  <c r="V49" i="14" s="1"/>
  <c r="Z49" i="14" s="1"/>
  <c r="Z42" i="14" s="1"/>
  <c r="AK42" i="14" s="1"/>
  <c r="AM25" i="9" s="1"/>
  <c r="C15" i="7"/>
  <c r="F15" i="7" s="1"/>
  <c r="C33" i="7" s="1"/>
  <c r="L25" i="9"/>
  <c r="Y49" i="14" l="1"/>
  <c r="Y42" i="14" s="1"/>
  <c r="AJ42" i="14" s="1"/>
  <c r="AL25" i="9" s="1"/>
  <c r="AC55" i="14"/>
  <c r="AC43" i="14" s="1"/>
  <c r="AN43" i="14" s="1"/>
  <c r="AZ25" i="9" s="1"/>
  <c r="AD55" i="14"/>
  <c r="AD43" i="14" s="1"/>
  <c r="AO43" i="14" s="1"/>
  <c r="BA25" i="9" s="1"/>
  <c r="AA49" i="14"/>
  <c r="AA42" i="14" s="1"/>
  <c r="AL42" i="14" s="1"/>
  <c r="AN25" i="9" s="1"/>
  <c r="AD49" i="14"/>
  <c r="AD42" i="14" s="1"/>
  <c r="AO42" i="14" s="1"/>
  <c r="AQ25" i="9" s="1"/>
  <c r="X55" i="14"/>
  <c r="X43" i="14" s="1"/>
  <c r="AI43" i="14" s="1"/>
  <c r="AU25" i="9" s="1"/>
  <c r="AB55" i="14"/>
  <c r="AB43" i="14" s="1"/>
  <c r="AM43" i="14" s="1"/>
  <c r="AY25" i="9" s="1"/>
  <c r="X49" i="14"/>
  <c r="X42" i="14" s="1"/>
  <c r="AI42" i="14" s="1"/>
  <c r="AK25" i="9" s="1"/>
  <c r="AB49" i="14"/>
  <c r="AB42" i="14" s="1"/>
  <c r="AM42" i="14" s="1"/>
  <c r="AO25" i="9" s="1"/>
  <c r="W49" i="14"/>
  <c r="W42" i="14" s="1"/>
  <c r="AH42" i="14" s="1"/>
  <c r="AJ25" i="9" s="1"/>
  <c r="Z55" i="14"/>
  <c r="Z43" i="14" s="1"/>
  <c r="AK43" i="14" s="1"/>
  <c r="AW25" i="9" s="1"/>
  <c r="W55" i="14"/>
  <c r="W43" i="14" s="1"/>
  <c r="AH43" i="14" s="1"/>
  <c r="AT25" i="9" s="1"/>
  <c r="AC49" i="14"/>
  <c r="AC42" i="14" s="1"/>
  <c r="AN42" i="14" s="1"/>
  <c r="AP25" i="9" s="1"/>
  <c r="AA55" i="14"/>
  <c r="AA43" i="14" s="1"/>
  <c r="AL43" i="14" s="1"/>
  <c r="AX25" i="9" s="1"/>
  <c r="Y55" i="14"/>
  <c r="Y43" i="14" s="1"/>
  <c r="AJ43" i="14" s="1"/>
  <c r="AV25" i="9" s="1"/>
  <c r="AQ43" i="14" l="1" a="1"/>
  <c r="AQ43" i="14" s="1"/>
  <c r="AR43" i="14" s="1"/>
  <c r="AQ42" i="14" a="1"/>
  <c r="AQ42" i="14" s="1"/>
  <c r="AS25" i="9" s="1"/>
  <c r="AP42" i="14" a="1"/>
  <c r="AP42" i="14" s="1"/>
  <c r="AR25" i="9" s="1"/>
  <c r="AP43" i="14" a="1"/>
  <c r="AP43" i="14" s="1"/>
  <c r="BB25" i="9" s="1"/>
  <c r="AR42" i="14" l="1"/>
  <c r="BC25" i="9"/>
  <c r="AE35" i="21" l="1"/>
  <c r="AE36" i="21"/>
  <c r="AE37" i="21"/>
  <c r="P13" i="21" l="1" a="1"/>
  <c r="Q13" i="21" s="1"/>
  <c r="P14" i="21" a="1"/>
  <c r="P14" i="21" s="1"/>
  <c r="P13" i="21" l="1"/>
  <c r="R13" i="21"/>
  <c r="R14" i="21"/>
  <c r="S14" i="21"/>
  <c r="Q14" i="21"/>
  <c r="P16" i="21" l="1"/>
  <c r="P17" i="21"/>
  <c r="Q11" i="21" a="1"/>
  <c r="R11" i="21" s="1"/>
  <c r="AX35" i="21" s="1"/>
  <c r="P18" i="21" l="1"/>
  <c r="W13" i="21" s="1"/>
  <c r="W14" i="21" s="1"/>
  <c r="AN11" i="21" s="1"/>
  <c r="AN16" i="21" s="1"/>
  <c r="Q11" i="21"/>
  <c r="AW35" i="21" s="1"/>
  <c r="S11" i="21"/>
  <c r="AY35" i="21" s="1"/>
  <c r="AZ35" i="21" l="1"/>
  <c r="AR36" i="21" s="1"/>
  <c r="F27" i="9"/>
  <c r="T11" i="21"/>
  <c r="W9" i="21" s="1"/>
  <c r="E27" i="9" s="1"/>
  <c r="CZ26" i="9" l="1"/>
  <c r="W10" i="21"/>
  <c r="D27" i="9" s="1"/>
  <c r="Y9" i="21"/>
  <c r="R70" i="21" a="1"/>
  <c r="R70" i="21" s="1"/>
  <c r="T70" i="21" l="1"/>
  <c r="S70" i="21"/>
  <c r="U70" i="21" l="1"/>
  <c r="P6" i="21" s="1" a="1"/>
  <c r="P6" i="21" l="1"/>
  <c r="Q6" i="21"/>
  <c r="W6" i="21" l="1"/>
  <c r="Y27" i="9" l="1"/>
  <c r="AJ44" i="21"/>
  <c r="AM44" i="21"/>
  <c r="AF44" i="21"/>
  <c r="AK44" i="21"/>
  <c r="AH44" i="21"/>
  <c r="AG44" i="21"/>
  <c r="AL44" i="21"/>
  <c r="AI44" i="21"/>
  <c r="P13" i="22" a="1"/>
  <c r="R13" i="22" s="1"/>
  <c r="P14" i="22" a="1"/>
  <c r="P14" i="22" s="1"/>
  <c r="P5" i="22" a="1"/>
  <c r="P5" i="22" s="1"/>
  <c r="AO44" i="21" l="1" a="1"/>
  <c r="AO44" i="21" s="1"/>
  <c r="AP44" i="21" s="1"/>
  <c r="AN44" i="21" a="1"/>
  <c r="AN44" i="21" s="1"/>
  <c r="U27" i="9"/>
  <c r="W27" i="9"/>
  <c r="S27" i="9"/>
  <c r="V27" i="9"/>
  <c r="Q27" i="9"/>
  <c r="P27" i="9"/>
  <c r="T27" i="9"/>
  <c r="R27" i="9"/>
  <c r="P13" i="22"/>
  <c r="Q5" i="22"/>
  <c r="W5" i="22" s="1"/>
  <c r="AS27" i="9" s="1"/>
  <c r="Q13" i="22"/>
  <c r="S14" i="22"/>
  <c r="Q14" i="22"/>
  <c r="R14" i="22"/>
  <c r="X27" i="9" l="1"/>
  <c r="P17" i="22"/>
  <c r="AF43" i="22"/>
  <c r="AJ27" i="9" s="1"/>
  <c r="AG43" i="22"/>
  <c r="AK27" i="9" s="1"/>
  <c r="AH43" i="22"/>
  <c r="AL27" i="9" s="1"/>
  <c r="AM43" i="22"/>
  <c r="AQ27" i="9" s="1"/>
  <c r="AI43" i="22"/>
  <c r="AM27" i="9" s="1"/>
  <c r="AK43" i="22"/>
  <c r="AO27" i="9" s="1"/>
  <c r="AL43" i="22"/>
  <c r="AP27" i="9" s="1"/>
  <c r="AJ43" i="22"/>
  <c r="AN27" i="9" s="1"/>
  <c r="P16" i="22"/>
  <c r="AO43" i="22" l="1" a="1"/>
  <c r="AO43" i="22" s="1"/>
  <c r="AP43" i="22" s="1"/>
  <c r="AN43" i="22" a="1"/>
  <c r="AN43" i="22" s="1"/>
  <c r="AR27" i="9" s="1"/>
  <c r="P18" i="22"/>
  <c r="W13" i="22" s="1"/>
  <c r="Q11" i="22" a="1"/>
  <c r="S11" i="22" s="1"/>
  <c r="AY35" i="22" s="1"/>
  <c r="W14" i="22" l="1"/>
  <c r="I27" i="9" s="1"/>
  <c r="W16" i="21"/>
  <c r="W19" i="21" s="1"/>
  <c r="W22" i="21" s="1"/>
  <c r="R11" i="22"/>
  <c r="AX35" i="22" s="1"/>
  <c r="Q11" i="22"/>
  <c r="AW35" i="22" s="1"/>
  <c r="AZ35" i="22" l="1"/>
  <c r="AR36" i="22" s="1"/>
  <c r="K27" i="9"/>
  <c r="L27" i="9" s="1"/>
  <c r="T11" i="22"/>
  <c r="W9" i="22" s="1"/>
  <c r="H27" i="9" s="1"/>
  <c r="DA26" i="9" l="1"/>
  <c r="Y9" i="22"/>
  <c r="W10" i="22"/>
  <c r="G27" i="9" s="1"/>
  <c r="L29" i="23" l="1" a="1"/>
  <c r="L29" i="23" s="1"/>
  <c r="C11" i="23" l="1"/>
  <c r="M29" i="23"/>
  <c r="D11" i="23" s="1"/>
  <c r="R19" i="23" l="1"/>
  <c r="S19" i="23" s="1"/>
  <c r="R24" i="23"/>
  <c r="S24" i="23" s="1"/>
  <c r="R23" i="23"/>
  <c r="S23" i="23" s="1"/>
  <c r="R20" i="23"/>
  <c r="S20" i="23" s="1"/>
  <c r="R26" i="23"/>
  <c r="S26" i="23" s="1"/>
  <c r="R25" i="23"/>
  <c r="S25" i="23" s="1"/>
  <c r="R22" i="23"/>
  <c r="S22" i="23" s="1"/>
  <c r="R18" i="23"/>
  <c r="R21" i="23"/>
  <c r="S21" i="23" s="1"/>
  <c r="S18" i="23" l="1"/>
  <c r="U28" i="23" s="1" a="1"/>
  <c r="P43" i="24" a="1"/>
  <c r="P43" i="24" s="1"/>
  <c r="U28" i="23" l="1"/>
  <c r="D12" i="23"/>
  <c r="Q43" i="24"/>
  <c r="R43" i="24" s="1"/>
  <c r="P44" i="24" s="1"/>
  <c r="C12" i="23" l="1"/>
  <c r="E12" i="23" s="1"/>
  <c r="F12" i="23" s="1"/>
  <c r="U18" i="23"/>
  <c r="U19" i="23"/>
  <c r="V19" i="23" s="1"/>
  <c r="X19" i="23" s="1"/>
  <c r="U25" i="23"/>
  <c r="V25" i="23" s="1"/>
  <c r="X25" i="23" s="1"/>
  <c r="U26" i="23"/>
  <c r="V26" i="23" s="1"/>
  <c r="X26" i="23" s="1"/>
  <c r="U22" i="23"/>
  <c r="V22" i="23" s="1"/>
  <c r="X22" i="23" s="1"/>
  <c r="U21" i="23"/>
  <c r="V21" i="23" s="1"/>
  <c r="X21" i="23" s="1"/>
  <c r="U23" i="23"/>
  <c r="V23" i="23" s="1"/>
  <c r="X23" i="23" s="1"/>
  <c r="U20" i="23"/>
  <c r="V20" i="23" s="1"/>
  <c r="X20" i="23" s="1"/>
  <c r="U24" i="23"/>
  <c r="V24" i="23" s="1"/>
  <c r="X24" i="23" s="1"/>
  <c r="P2" i="22" a="1"/>
  <c r="Q2" i="22" s="1"/>
  <c r="V18" i="23" l="1"/>
  <c r="X18" i="23" s="1"/>
  <c r="X28" i="23" s="1" a="1"/>
  <c r="X28" i="23" s="1"/>
  <c r="R2" i="22"/>
  <c r="P2" i="22"/>
  <c r="W2" i="22" l="1"/>
  <c r="AN9" i="21" s="1"/>
  <c r="AN12" i="21" s="1"/>
  <c r="AN17" i="21" s="1"/>
  <c r="AN18" i="21" s="1"/>
  <c r="CI26" i="9" l="1"/>
  <c r="CI36" i="9" s="1" a="1"/>
  <c r="CI36" i="9" s="1"/>
  <c r="P14" i="25" l="1" a="1"/>
  <c r="R14" i="25" s="1"/>
  <c r="P6" i="25" a="1"/>
  <c r="P6" i="25" s="1"/>
  <c r="P5" i="25" a="1"/>
  <c r="Q5" i="25" s="1"/>
  <c r="P5" i="25" l="1"/>
  <c r="W5" i="25" s="1"/>
  <c r="AM43" i="25" s="1"/>
  <c r="AG26" i="9" s="1"/>
  <c r="Q6" i="25"/>
  <c r="W6" i="25" s="1"/>
  <c r="AL44" i="25" s="1"/>
  <c r="V26" i="9" s="1"/>
  <c r="V36" i="9" s="1"/>
  <c r="P14" i="25"/>
  <c r="Q14" i="25"/>
  <c r="S14" i="25"/>
  <c r="AK43" i="25" l="1"/>
  <c r="AE26" i="9" s="1"/>
  <c r="AF43" i="25"/>
  <c r="AH43" i="25"/>
  <c r="AB26" i="9" s="1"/>
  <c r="AJ43" i="25"/>
  <c r="AD26" i="9" s="1"/>
  <c r="AG43" i="25"/>
  <c r="AA26" i="9" s="1"/>
  <c r="AL43" i="25"/>
  <c r="AF26" i="9" s="1"/>
  <c r="AM44" i="25"/>
  <c r="W26" i="9" s="1"/>
  <c r="W36" i="9" s="1"/>
  <c r="AJ44" i="25"/>
  <c r="T26" i="9" s="1"/>
  <c r="T36" i="9" s="1"/>
  <c r="AG44" i="25"/>
  <c r="Q26" i="9" s="1"/>
  <c r="Q36" i="9" s="1"/>
  <c r="Y26" i="9"/>
  <c r="Y36" i="9" s="1"/>
  <c r="AI26" i="9"/>
  <c r="AI43" i="25"/>
  <c r="AC26" i="9" s="1"/>
  <c r="AH44" i="25"/>
  <c r="R26" i="9" s="1"/>
  <c r="R36" i="9" s="1"/>
  <c r="AI44" i="25"/>
  <c r="S26" i="9" s="1"/>
  <c r="S36" i="9" s="1"/>
  <c r="AF44" i="25"/>
  <c r="AK44" i="25"/>
  <c r="U26" i="9" s="1"/>
  <c r="U36" i="9" s="1"/>
  <c r="P17" i="25"/>
  <c r="P18" i="25" s="1"/>
  <c r="W13" i="25" s="1"/>
  <c r="AO44" i="25" l="1" a="1"/>
  <c r="AO44" i="25" s="1"/>
  <c r="AP44" i="25" s="1"/>
  <c r="AN44" i="25" a="1"/>
  <c r="AN44" i="25" s="1"/>
  <c r="X26" i="9" s="1"/>
  <c r="X36" i="9" s="1"/>
  <c r="Z26" i="9"/>
  <c r="AN43" i="25" a="1"/>
  <c r="AN43" i="25" s="1"/>
  <c r="AH26" i="9" s="1"/>
  <c r="AO43" i="25" a="1"/>
  <c r="AO43" i="25" s="1"/>
  <c r="AP43" i="25" s="1"/>
  <c r="P26" i="9"/>
  <c r="P36" i="9" s="1"/>
  <c r="W19" i="25"/>
  <c r="W22" i="25" s="1"/>
  <c r="W14" i="25"/>
  <c r="F26" i="9" l="1"/>
  <c r="AN11" i="25"/>
  <c r="AN16" i="25" s="1"/>
  <c r="AN18" i="25" s="1"/>
  <c r="K26" i="9" l="1"/>
  <c r="L26" i="9" l="1"/>
  <c r="Q11" i="25" a="1"/>
  <c r="Q11" i="25" s="1"/>
  <c r="R11" i="25" l="1"/>
  <c r="S11" i="25"/>
  <c r="AS41" i="25" l="1"/>
  <c r="AS36" i="25" s="1"/>
  <c r="T11" i="25"/>
  <c r="W9" i="25" s="1"/>
  <c r="W10" i="25" s="1"/>
  <c r="CZ25" i="9" l="1"/>
  <c r="E26" i="9"/>
  <c r="E36" i="9" s="1"/>
  <c r="D26" i="9"/>
  <c r="D36" i="9" s="1"/>
  <c r="Y9" i="25"/>
  <c r="D38" i="9" l="1" a="1"/>
  <c r="D38" i="9" s="1"/>
  <c r="E40" i="2" l="1"/>
  <c r="R38" i="9"/>
  <c r="F53" i="2" s="1"/>
  <c r="T38" i="9"/>
  <c r="H53" i="2" s="1"/>
  <c r="Q38" i="9"/>
  <c r="E53" i="2" s="1"/>
  <c r="P38" i="9"/>
  <c r="D53" i="2" s="1"/>
  <c r="U38" i="9"/>
  <c r="I53" i="2" s="1"/>
  <c r="W38" i="9"/>
  <c r="L53" i="2" s="1"/>
  <c r="V38" i="9"/>
  <c r="K53" i="2" s="1"/>
  <c r="X38" i="9"/>
  <c r="M53" i="2" s="1"/>
  <c r="E38" i="9"/>
  <c r="C4" i="23" s="1"/>
  <c r="S38" i="9"/>
  <c r="G53" i="2" s="1"/>
  <c r="Y38" i="9"/>
  <c r="N53" i="2" s="1"/>
  <c r="D25" i="77" s="1"/>
  <c r="C4" i="12" l="1"/>
  <c r="D25" i="31"/>
  <c r="E42" i="2"/>
  <c r="C4" i="27"/>
  <c r="D25" i="27"/>
  <c r="D25" i="7"/>
  <c r="D25" i="23"/>
  <c r="D25" i="12"/>
  <c r="D25" i="4"/>
  <c r="Q11" i="26" a="1"/>
  <c r="Q11" i="26" s="1"/>
  <c r="R11" i="26" l="1"/>
  <c r="S11" i="26"/>
  <c r="AS41" i="26" l="1"/>
  <c r="AS36" i="26" s="1"/>
  <c r="T11" i="26"/>
  <c r="W9" i="26" s="1"/>
  <c r="DA25" i="9" l="1"/>
  <c r="H26" i="9"/>
  <c r="W10" i="26"/>
  <c r="G26" i="9" s="1"/>
  <c r="Y9" i="26"/>
  <c r="P43" i="28" l="1" a="1"/>
  <c r="P43" i="28" s="1"/>
  <c r="Q43" i="28" l="1"/>
  <c r="R43" i="28" s="1"/>
  <c r="P44" i="28" s="1"/>
  <c r="AE35" i="29" l="1"/>
  <c r="AE37" i="29" l="1"/>
  <c r="P13" i="29" s="1" a="1"/>
  <c r="P13" i="29" l="1"/>
  <c r="R13" i="29"/>
  <c r="Q13" i="29"/>
  <c r="W13" i="29" l="1"/>
  <c r="W14" i="29" s="1"/>
  <c r="F28" i="9" s="1"/>
  <c r="W16" i="30" l="1"/>
  <c r="AM36" i="30" l="1"/>
  <c r="Q9" i="30" s="1" a="1"/>
  <c r="R9" i="30" l="1"/>
  <c r="Q9" i="30"/>
  <c r="AV36" i="30" l="1"/>
  <c r="AP35" i="30"/>
  <c r="W9" i="30"/>
  <c r="W10" i="30" s="1"/>
  <c r="S9" i="30"/>
  <c r="DA27" i="9" l="1"/>
  <c r="C5" i="31"/>
  <c r="C16" i="31" s="1"/>
  <c r="F16" i="31" s="1"/>
  <c r="Y9" i="30"/>
  <c r="G28" i="9"/>
  <c r="H28" i="9"/>
  <c r="H36" i="9" s="1"/>
  <c r="G36" i="9" l="1"/>
  <c r="G38" i="9" s="1" a="1"/>
  <c r="G38" i="9" s="1"/>
  <c r="G40" i="2" s="1"/>
  <c r="C15" i="31"/>
  <c r="F15" i="31" s="1"/>
  <c r="C33" i="31" s="1"/>
  <c r="CI38" i="9" l="1"/>
  <c r="G46" i="2" s="1"/>
  <c r="CJ38" i="9"/>
  <c r="G47" i="2" s="1"/>
  <c r="H38" i="9"/>
  <c r="C5" i="23" s="1"/>
  <c r="CW38" i="9"/>
  <c r="M37" i="2" s="1"/>
  <c r="C5" i="12" l="1"/>
  <c r="C16" i="12" s="1"/>
  <c r="F16" i="12" s="1"/>
  <c r="C5" i="27"/>
  <c r="C15" i="27" s="1"/>
  <c r="G42" i="2"/>
  <c r="C16" i="23"/>
  <c r="F16" i="23" s="1"/>
  <c r="H16" i="23" s="1"/>
  <c r="C15" i="23"/>
  <c r="F15" i="23" s="1"/>
  <c r="H15" i="23" s="1"/>
  <c r="C15" i="12" l="1"/>
  <c r="F15" i="12" s="1"/>
  <c r="C33" i="12" s="1"/>
  <c r="C16" i="27"/>
  <c r="C8" i="20"/>
  <c r="C8" i="81"/>
  <c r="C33" i="23"/>
  <c r="F12" i="20" l="1"/>
  <c r="F15" i="20"/>
  <c r="P13" i="30" a="1"/>
  <c r="R13" i="30" s="1"/>
  <c r="D17" i="20" l="1"/>
  <c r="D27" i="20" s="1"/>
  <c r="H32" i="20" s="1"/>
  <c r="BY23" i="9" s="1"/>
  <c r="P13" i="30"/>
  <c r="Q13" i="30"/>
  <c r="CC23" i="9" l="1"/>
  <c r="CC28" i="9" s="1"/>
  <c r="C32" i="20"/>
  <c r="BT22" i="52" s="1"/>
  <c r="BT27" i="52" s="1"/>
  <c r="F32" i="20"/>
  <c r="BY22" i="52"/>
  <c r="BY35" i="52" s="1" a="1"/>
  <c r="BY35" i="52" s="1"/>
  <c r="J32" i="20"/>
  <c r="CA23" i="9" s="1"/>
  <c r="CA28" i="9" s="1"/>
  <c r="E32" i="20"/>
  <c r="BV23" i="9" s="1"/>
  <c r="BV28" i="9" s="1"/>
  <c r="CC22" i="52"/>
  <c r="CC27" i="52" s="1"/>
  <c r="D32" i="20"/>
  <c r="BU23" i="9" s="1"/>
  <c r="BU28" i="9" s="1"/>
  <c r="G32" i="20"/>
  <c r="BX22" i="52" s="1"/>
  <c r="BX23" i="52" s="1"/>
  <c r="BX35" i="52" s="1" a="1"/>
  <c r="BX35" i="52" s="1"/>
  <c r="I32" i="20"/>
  <c r="BZ22" i="52" s="1"/>
  <c r="BZ27" i="52" s="1"/>
  <c r="K32" i="20" a="1"/>
  <c r="L32" i="20" a="1"/>
  <c r="BY24" i="9"/>
  <c r="BY28" i="9"/>
  <c r="W13" i="30"/>
  <c r="BW23" i="9" l="1"/>
  <c r="BW22" i="52"/>
  <c r="CC23" i="52"/>
  <c r="CC35" i="52" s="1" a="1"/>
  <c r="CC35" i="52" s="1"/>
  <c r="BU22" i="52"/>
  <c r="BU35" i="52" s="1" a="1"/>
  <c r="BU35" i="52" s="1"/>
  <c r="BV22" i="52"/>
  <c r="BV35" i="52" s="1" a="1"/>
  <c r="BV35" i="52" s="1"/>
  <c r="BV24" i="9"/>
  <c r="BX23" i="9"/>
  <c r="BX28" i="9" s="1"/>
  <c r="BZ23" i="9"/>
  <c r="BZ28" i="9" s="1"/>
  <c r="CC24" i="9"/>
  <c r="BT23" i="52"/>
  <c r="BT35" i="52" s="1" a="1"/>
  <c r="BT35" i="52" s="1"/>
  <c r="BT23" i="9"/>
  <c r="BT24" i="9" s="1"/>
  <c r="BX27" i="52"/>
  <c r="CA24" i="9"/>
  <c r="L32" i="20"/>
  <c r="CA22" i="52"/>
  <c r="CA27" i="52" s="1"/>
  <c r="K32" i="20"/>
  <c r="CB22" i="52" s="1"/>
  <c r="CB23" i="52" s="1"/>
  <c r="BY23" i="52"/>
  <c r="BY27" i="52"/>
  <c r="BZ23" i="52"/>
  <c r="BZ35" i="52" s="1" a="1"/>
  <c r="BZ35" i="52" s="1"/>
  <c r="BU24" i="9"/>
  <c r="BV27" i="52"/>
  <c r="BV23" i="52"/>
  <c r="BU23" i="52"/>
  <c r="BU27" i="52"/>
  <c r="W16" i="29"/>
  <c r="W19" i="29" s="1"/>
  <c r="W22" i="29" s="1"/>
  <c r="W14" i="30"/>
  <c r="I28" i="9" s="1"/>
  <c r="W19" i="30"/>
  <c r="W22" i="30" s="1"/>
  <c r="BW28" i="9" l="1"/>
  <c r="BW24" i="9"/>
  <c r="BW27" i="52"/>
  <c r="BW23" i="52"/>
  <c r="BW35" i="52" s="1" a="1"/>
  <c r="BW35" i="52" s="1"/>
  <c r="BT28" i="9"/>
  <c r="BX24" i="9"/>
  <c r="CA23" i="52"/>
  <c r="CA35" i="52" s="1" a="1"/>
  <c r="CA35" i="52" s="1"/>
  <c r="BZ24" i="9"/>
  <c r="CB23" i="9"/>
  <c r="CB28" i="9" s="1"/>
  <c r="CB27" i="52"/>
  <c r="CB35" i="52" a="1"/>
  <c r="CB35" i="52" s="1"/>
  <c r="K28" i="9"/>
  <c r="CB24" i="9" l="1"/>
  <c r="L28" i="9"/>
  <c r="P5" i="30" a="1"/>
  <c r="Q5" i="30" s="1"/>
  <c r="P6" i="30" a="1"/>
  <c r="P6" i="30" s="1"/>
  <c r="P5" i="30" l="1"/>
  <c r="W5" i="30" s="1"/>
  <c r="AH43" i="30" s="1"/>
  <c r="AL28" i="9" s="1"/>
  <c r="Q6" i="30"/>
  <c r="W6" i="30" s="1"/>
  <c r="AJ43" i="30" l="1"/>
  <c r="AN28" i="9" s="1"/>
  <c r="AF43" i="30"/>
  <c r="AS28" i="9"/>
  <c r="AI43" i="30"/>
  <c r="AM28" i="9" s="1"/>
  <c r="AK43" i="30"/>
  <c r="AO28" i="9" s="1"/>
  <c r="AM43" i="30"/>
  <c r="AQ28" i="9" s="1"/>
  <c r="AG43" i="30"/>
  <c r="AK28" i="9" s="1"/>
  <c r="AL43" i="30"/>
  <c r="AP28" i="9" s="1"/>
  <c r="AG44" i="30"/>
  <c r="AU28" i="9" s="1"/>
  <c r="AK44" i="30"/>
  <c r="AY28" i="9" s="1"/>
  <c r="AL44" i="30"/>
  <c r="AZ28" i="9" s="1"/>
  <c r="AI44" i="30"/>
  <c r="AW28" i="9" s="1"/>
  <c r="BC28" i="9"/>
  <c r="AH44" i="30"/>
  <c r="AV28" i="9" s="1"/>
  <c r="AF44" i="30"/>
  <c r="AM44" i="30"/>
  <c r="BA28" i="9" s="1"/>
  <c r="AJ44" i="30"/>
  <c r="AX28" i="9" s="1"/>
  <c r="AN44" i="30" l="1" a="1"/>
  <c r="AN44" i="30" s="1"/>
  <c r="BB28" i="9" s="1"/>
  <c r="AO44" i="30" a="1"/>
  <c r="AO44" i="30" s="1"/>
  <c r="AP44" i="30" s="1"/>
  <c r="AJ28" i="9"/>
  <c r="AO43" i="30" a="1"/>
  <c r="AO43" i="30" s="1"/>
  <c r="AP43" i="30" s="1"/>
  <c r="AN43" i="30" a="1"/>
  <c r="AN43" i="30" s="1"/>
  <c r="AR28" i="9" s="1"/>
  <c r="AT28" i="9"/>
  <c r="P5" i="29" l="1" a="1"/>
  <c r="P5" i="29" s="1"/>
  <c r="Q5" i="29" l="1"/>
  <c r="W5" i="29" s="1"/>
  <c r="AL43" i="29" l="1"/>
  <c r="AF28" i="9" s="1"/>
  <c r="AJ43" i="29"/>
  <c r="AD28" i="9" s="1"/>
  <c r="AG43" i="29"/>
  <c r="AA28" i="9" s="1"/>
  <c r="AI28" i="9"/>
  <c r="AF43" i="29"/>
  <c r="AK43" i="29"/>
  <c r="AE28" i="9" s="1"/>
  <c r="AH43" i="29"/>
  <c r="AB28" i="9" s="1"/>
  <c r="AI43" i="29"/>
  <c r="AC28" i="9" s="1"/>
  <c r="AM43" i="29"/>
  <c r="AG28" i="9" s="1"/>
  <c r="AG36" i="9" l="1"/>
  <c r="AG38" i="9" s="1"/>
  <c r="L54" i="2" s="1"/>
  <c r="AB36" i="9"/>
  <c r="AB38" i="9" s="1"/>
  <c r="F54" i="2" s="1"/>
  <c r="AI36" i="9"/>
  <c r="AI38" i="9" s="1"/>
  <c r="N54" i="2" s="1"/>
  <c r="AA36" i="9"/>
  <c r="AA38" i="9" s="1"/>
  <c r="E54" i="2" s="1"/>
  <c r="AE36" i="9"/>
  <c r="AE38" i="9" s="1"/>
  <c r="I54" i="2" s="1"/>
  <c r="AD36" i="9"/>
  <c r="AD38" i="9" s="1"/>
  <c r="H54" i="2" s="1"/>
  <c r="AC36" i="9"/>
  <c r="AC38" i="9" s="1"/>
  <c r="G54" i="2" s="1"/>
  <c r="AF36" i="9"/>
  <c r="AF38" i="9" s="1"/>
  <c r="K54" i="2" s="1"/>
  <c r="AN43" i="29" a="1"/>
  <c r="AN43" i="29" s="1"/>
  <c r="AH28" i="9" s="1"/>
  <c r="AO43" i="29" a="1"/>
  <c r="AO43" i="29" s="1"/>
  <c r="AP43" i="29" s="1"/>
  <c r="Z28" i="9"/>
  <c r="D21" i="77" l="1"/>
  <c r="D21" i="31"/>
  <c r="D21" i="23"/>
  <c r="D21" i="7"/>
  <c r="D21" i="4"/>
  <c r="D21" i="12"/>
  <c r="D21" i="27"/>
  <c r="Z36" i="9"/>
  <c r="Z38" i="9" s="1"/>
  <c r="D54" i="2" s="1"/>
  <c r="AH36" i="9"/>
  <c r="AH38" i="9" s="1"/>
  <c r="M54" i="2" s="1"/>
  <c r="Q18" i="24" l="1"/>
  <c r="T25" i="24" s="1"/>
  <c r="I11" i="24"/>
  <c r="I26" i="24" s="1"/>
  <c r="K49" i="52" s="1"/>
  <c r="Q11" i="28"/>
  <c r="T24" i="28" s="1"/>
  <c r="I11" i="28"/>
  <c r="I26" i="28" s="1"/>
  <c r="J49" i="52" s="1"/>
  <c r="K50" i="9" l="1"/>
  <c r="E25" i="24"/>
  <c r="E25" i="28"/>
  <c r="J50" i="9"/>
  <c r="Q34" i="28"/>
  <c r="T27" i="28" s="1"/>
  <c r="Q26" i="24"/>
  <c r="T26" i="24" s="1"/>
  <c r="Q26" i="28"/>
  <c r="T26" i="28" s="1"/>
  <c r="Q34" i="24"/>
  <c r="T27" i="24" s="1"/>
  <c r="Q18" i="28"/>
  <c r="T25" i="28" s="1"/>
  <c r="S31" i="28" l="1" a="1"/>
  <c r="S31" i="24" a="1"/>
  <c r="U31" i="24" s="1"/>
  <c r="S29" i="24" a="1"/>
  <c r="S29" i="24" s="1"/>
  <c r="S29" i="28" a="1"/>
  <c r="S29" i="28" s="1"/>
  <c r="T31" i="28" l="1"/>
  <c r="S31" i="28"/>
  <c r="U31" i="28"/>
  <c r="S31" i="24"/>
  <c r="T31" i="24"/>
  <c r="S22" i="28"/>
  <c r="I13" i="28" s="1"/>
  <c r="I25" i="28" s="1"/>
  <c r="J48" i="52" s="1"/>
  <c r="S22" i="24" l="1"/>
  <c r="I13" i="24" s="1"/>
  <c r="I25" i="24" s="1"/>
  <c r="K48" i="52" s="1"/>
  <c r="I17" i="28"/>
  <c r="E26" i="28" a="1"/>
  <c r="E26" i="28" s="1"/>
  <c r="I27" i="28"/>
  <c r="J50" i="52" s="1"/>
  <c r="J49" i="9"/>
  <c r="O49" i="9" s="1" a="1"/>
  <c r="O49" i="9" s="1"/>
  <c r="F25" i="28"/>
  <c r="F25" i="24" l="1"/>
  <c r="I27" i="24"/>
  <c r="K50" i="52" s="1"/>
  <c r="E26" i="24" a="1"/>
  <c r="E26" i="24" s="1"/>
  <c r="K49" i="9"/>
  <c r="I17" i="24"/>
  <c r="K42" i="52" s="1"/>
  <c r="J43" i="9"/>
  <c r="O43" i="9" s="1" a="1"/>
  <c r="O43" i="9" s="1"/>
  <c r="J42" i="52"/>
  <c r="E17" i="28"/>
  <c r="F17" i="28"/>
  <c r="I18" i="28"/>
  <c r="I29" i="28"/>
  <c r="I30" i="28"/>
  <c r="J53" i="52" s="1"/>
  <c r="I28" i="28"/>
  <c r="J51" i="9"/>
  <c r="O51" i="9" s="1" a="1"/>
  <c r="O51" i="9" s="1"/>
  <c r="I30" i="24" l="1"/>
  <c r="K53" i="52" s="1"/>
  <c r="F17" i="24"/>
  <c r="I18" i="24"/>
  <c r="K43" i="52" s="1"/>
  <c r="I28" i="24"/>
  <c r="K52" i="9" s="1"/>
  <c r="K51" i="9"/>
  <c r="I29" i="24"/>
  <c r="K52" i="52" s="1"/>
  <c r="K43" i="9"/>
  <c r="E17" i="24"/>
  <c r="I19" i="24"/>
  <c r="K45" i="9" s="1"/>
  <c r="K44" i="9"/>
  <c r="I21" i="24"/>
  <c r="K46" i="52" s="1"/>
  <c r="I20" i="24"/>
  <c r="E20" i="24" s="1"/>
  <c r="J52" i="9"/>
  <c r="O52" i="9" s="1" a="1"/>
  <c r="O52" i="9" s="1"/>
  <c r="J51" i="52"/>
  <c r="J53" i="9"/>
  <c r="O53" i="9" s="1" a="1"/>
  <c r="O53" i="9" s="1"/>
  <c r="J52" i="52"/>
  <c r="I21" i="28"/>
  <c r="J46" i="52" s="1"/>
  <c r="J43" i="52"/>
  <c r="I20" i="28"/>
  <c r="J44" i="9"/>
  <c r="O44" i="9" s="1" a="1"/>
  <c r="O44" i="9" s="1"/>
  <c r="I19" i="28"/>
  <c r="E29" i="28"/>
  <c r="I31" i="28"/>
  <c r="E30" i="28" s="1"/>
  <c r="J54" i="9"/>
  <c r="O54" i="9" s="1" a="1"/>
  <c r="O54" i="9" s="1"/>
  <c r="E28" i="28"/>
  <c r="E29" i="24" l="1"/>
  <c r="E28" i="24"/>
  <c r="K54" i="9"/>
  <c r="I31" i="24"/>
  <c r="E30" i="24" s="1"/>
  <c r="K53" i="9"/>
  <c r="K51" i="52"/>
  <c r="I22" i="24"/>
  <c r="E21" i="24" s="1"/>
  <c r="K46" i="9"/>
  <c r="K45" i="52"/>
  <c r="E19" i="24"/>
  <c r="K44" i="52"/>
  <c r="K47" i="9"/>
  <c r="J46" i="9"/>
  <c r="O46" i="9" s="1" a="1"/>
  <c r="O46" i="9" s="1"/>
  <c r="J45" i="52"/>
  <c r="I22" i="28"/>
  <c r="E21" i="28" s="1"/>
  <c r="J47" i="9"/>
  <c r="O47" i="9" s="1" a="1"/>
  <c r="O47" i="9" s="1"/>
  <c r="J45" i="9"/>
  <c r="O45" i="9" s="1" a="1"/>
  <c r="O45" i="9" s="1"/>
  <c r="J44" i="52"/>
  <c r="E20" i="28"/>
  <c r="E19" i="28"/>
  <c r="E31" i="28"/>
  <c r="E31" i="24" l="1"/>
  <c r="K55" i="9" s="1"/>
  <c r="E22" i="24"/>
  <c r="K47" i="52" s="1"/>
  <c r="E22" i="28"/>
  <c r="J48" i="9" s="1"/>
  <c r="O48" i="9" s="1" a="1"/>
  <c r="O48" i="9" s="1"/>
  <c r="P42" i="9" s="1"/>
  <c r="M87" i="2" s="1"/>
  <c r="J55" i="9"/>
  <c r="J54" i="52"/>
  <c r="K54" i="52" l="1"/>
  <c r="K48" i="9"/>
  <c r="M61" i="9" a="1"/>
  <c r="M61" i="9" s="1"/>
  <c r="M65" i="9" s="1"/>
  <c r="H101" i="2" s="1"/>
  <c r="P54" i="9"/>
  <c r="M100" i="2" s="1"/>
  <c r="J47" i="52"/>
  <c r="P52" i="9"/>
  <c r="M98" i="2" s="1"/>
  <c r="P53" i="9"/>
  <c r="M99" i="2" s="1"/>
  <c r="P51" i="9"/>
  <c r="M97" i="2" s="1"/>
  <c r="P49" i="9"/>
  <c r="M95" i="2" s="1"/>
  <c r="P50" i="9"/>
  <c r="M96" i="2" s="1"/>
  <c r="P47" i="9"/>
  <c r="M92" i="2" s="1"/>
  <c r="P43" i="9"/>
  <c r="M88" i="2" s="1"/>
  <c r="P46" i="9"/>
  <c r="M91" i="2" s="1"/>
  <c r="P45" i="9"/>
  <c r="M90" i="2" s="1"/>
  <c r="P44" i="9"/>
  <c r="M89" i="2" s="1"/>
  <c r="M60" i="9" a="1"/>
  <c r="M60" i="9" s="1"/>
  <c r="M64" i="9" s="1"/>
  <c r="H93" i="2" s="1"/>
  <c r="DA22" i="9"/>
  <c r="DA36" i="9" s="1" a="1"/>
  <c r="DA36" i="9" s="1"/>
  <c r="AL34" i="1"/>
  <c r="AL34" i="3"/>
  <c r="AL36" i="3"/>
  <c r="CX22" i="9" l="1"/>
  <c r="CX35" i="52" a="1"/>
  <c r="CX35" i="52" s="1"/>
  <c r="CZ22" i="9"/>
  <c r="CZ36" i="9" s="1" a="1"/>
  <c r="CZ36" i="9" s="1"/>
  <c r="CY22" i="9"/>
  <c r="CY35" i="52" a="1"/>
  <c r="CY35" i="52" s="1"/>
  <c r="CY36" i="9" l="1" a="1"/>
  <c r="CY36" i="9" s="1"/>
  <c r="CU38" i="9" s="1"/>
  <c r="M46" i="2" s="1"/>
  <c r="CX37" i="52" a="1"/>
  <c r="CX37" i="52" s="1"/>
  <c r="L46" i="51" s="1"/>
  <c r="AA1" i="25" a="1"/>
  <c r="AB1" i="25" s="1"/>
  <c r="D15" i="25" s="1"/>
  <c r="W38" i="25" s="1"/>
  <c r="CS38" i="9" l="1"/>
  <c r="M44" i="2" s="1"/>
  <c r="DA38" i="9"/>
  <c r="M47" i="2" s="1"/>
  <c r="CS39" i="9"/>
  <c r="M45" i="2" s="1"/>
  <c r="AA1" i="25"/>
  <c r="C15" i="25" s="1"/>
  <c r="AC1" i="25"/>
  <c r="E15" i="25" s="1"/>
  <c r="X38" i="25" s="1"/>
  <c r="V38" i="25" l="1"/>
  <c r="Y38" i="25"/>
  <c r="Z38" i="25" l="1"/>
  <c r="AA38" i="25"/>
  <c r="AC38" i="25" l="1"/>
  <c r="AD38" i="25" s="1"/>
  <c r="AC116" i="19" a="1"/>
  <c r="AD116" i="19" s="1"/>
  <c r="AE116" i="19" s="1"/>
  <c r="AP34" i="25" l="1"/>
  <c r="AS34" i="25"/>
  <c r="AC116" i="19"/>
  <c r="AC121" i="19" s="1"/>
  <c r="AC122" i="19" s="1"/>
  <c r="CX25" i="9" l="1"/>
  <c r="CV25" i="9"/>
  <c r="CV36" i="9" l="1" a="1"/>
  <c r="CV36" i="9" s="1"/>
  <c r="CV38" i="9" s="1"/>
  <c r="L37" i="2" s="1"/>
  <c r="CX36" i="9" a="1"/>
  <c r="CX36" i="9" s="1"/>
  <c r="CZ38" i="9" s="1"/>
  <c r="L47" i="2" s="1"/>
  <c r="CT38" i="9" l="1"/>
  <c r="L46" i="2" s="1"/>
  <c r="CR39" i="9"/>
  <c r="L45" i="2" s="1"/>
  <c r="CX38" i="9" a="1"/>
  <c r="CX38" i="9" s="1"/>
  <c r="L41" i="2" s="1"/>
  <c r="CR38" i="9"/>
  <c r="L44" i="2" s="1"/>
  <c r="Q11" i="46" a="1"/>
  <c r="Q11" i="46" s="1"/>
  <c r="AW35" i="46" l="1"/>
  <c r="S11" i="46"/>
  <c r="AY35" i="46" s="1"/>
  <c r="R11" i="46"/>
  <c r="AX35" i="46" s="1"/>
  <c r="AZ35" i="46" l="1"/>
  <c r="AR36" i="46" s="1"/>
  <c r="T11" i="46"/>
  <c r="W9" i="46" s="1"/>
  <c r="C104" i="46" l="1"/>
  <c r="C115" i="46"/>
  <c r="H83" i="46"/>
  <c r="H90" i="46"/>
  <c r="H82" i="46"/>
  <c r="CZ22" i="52"/>
  <c r="CZ35" i="52" s="1" a="1"/>
  <c r="CZ35" i="52" s="1"/>
  <c r="Y9" i="46"/>
  <c r="E23" i="52"/>
  <c r="E35" i="52" s="1"/>
  <c r="H88" i="46" l="1"/>
  <c r="W10" i="46" s="1"/>
  <c r="D23" i="52" s="1"/>
  <c r="D35" i="52" s="1"/>
  <c r="D37" i="52" s="1" a="1"/>
  <c r="D37" i="52" s="1"/>
  <c r="E45" i="51" s="1"/>
  <c r="K116" i="46" a="1"/>
  <c r="K116" i="46" s="1"/>
  <c r="AD44" i="46" s="1"/>
  <c r="AM44" i="46" s="1"/>
  <c r="W23" i="52" s="1"/>
  <c r="W35" i="52" s="1"/>
  <c r="H116" i="46" a="1"/>
  <c r="H116" i="46" s="1"/>
  <c r="AA44" i="46" s="1"/>
  <c r="AJ44" i="46" s="1"/>
  <c r="T23" i="52" s="1"/>
  <c r="T35" i="52" s="1"/>
  <c r="D116" i="46" a="1"/>
  <c r="D116" i="46" s="1"/>
  <c r="W44" i="46" s="1"/>
  <c r="AF44" i="46" s="1"/>
  <c r="J116" i="46" a="1"/>
  <c r="J116" i="46" s="1"/>
  <c r="AC44" i="46" s="1"/>
  <c r="AL44" i="46" s="1"/>
  <c r="V23" i="52" s="1"/>
  <c r="V35" i="52" s="1"/>
  <c r="E116" i="46" a="1"/>
  <c r="E116" i="46" s="1"/>
  <c r="X44" i="46" s="1"/>
  <c r="AG44" i="46" s="1"/>
  <c r="Q23" i="52" s="1"/>
  <c r="Q35" i="52" s="1"/>
  <c r="G116" i="46" a="1"/>
  <c r="G116" i="46" s="1"/>
  <c r="Z44" i="46" s="1"/>
  <c r="AI44" i="46" s="1"/>
  <c r="S23" i="52" s="1"/>
  <c r="S35" i="52" s="1"/>
  <c r="F116" i="46" a="1"/>
  <c r="F116" i="46" s="1"/>
  <c r="Y44" i="46" s="1"/>
  <c r="AH44" i="46" s="1"/>
  <c r="R23" i="52" s="1"/>
  <c r="R35" i="52" s="1"/>
  <c r="I116" i="46" a="1"/>
  <c r="I116" i="46" s="1"/>
  <c r="AB44" i="46" s="1"/>
  <c r="AK44" i="46" s="1"/>
  <c r="U23" i="52" s="1"/>
  <c r="U35" i="52" s="1"/>
  <c r="C116" i="46" a="1"/>
  <c r="C116" i="46" s="1"/>
  <c r="I105" i="46" a="1"/>
  <c r="I105" i="46" s="1"/>
  <c r="AB43" i="46" s="1"/>
  <c r="AK43" i="46" s="1"/>
  <c r="AE23" i="52" s="1"/>
  <c r="AE35" i="52" s="1"/>
  <c r="J105" i="46" a="1"/>
  <c r="J105" i="46" s="1"/>
  <c r="AC43" i="46" s="1"/>
  <c r="AL43" i="46" s="1"/>
  <c r="AF23" i="52" s="1"/>
  <c r="AF35" i="52" s="1"/>
  <c r="E105" i="46" a="1"/>
  <c r="E105" i="46" s="1"/>
  <c r="X43" i="46" s="1"/>
  <c r="AG43" i="46" s="1"/>
  <c r="AA23" i="52" s="1"/>
  <c r="AA35" i="52" s="1"/>
  <c r="AA37" i="52" s="1"/>
  <c r="E59" i="51" s="1"/>
  <c r="G105" i="46" a="1"/>
  <c r="G105" i="46" s="1"/>
  <c r="Z43" i="46" s="1"/>
  <c r="AI43" i="46" s="1"/>
  <c r="AC23" i="52" s="1"/>
  <c r="AC35" i="52" s="1"/>
  <c r="AC37" i="52" s="1"/>
  <c r="G59" i="51" s="1"/>
  <c r="D105" i="46" a="1"/>
  <c r="D105" i="46" s="1"/>
  <c r="W43" i="46" s="1"/>
  <c r="AF43" i="46" s="1"/>
  <c r="H105" i="46" a="1"/>
  <c r="H105" i="46" s="1"/>
  <c r="AA43" i="46" s="1"/>
  <c r="AJ43" i="46" s="1"/>
  <c r="AD23" i="52" s="1"/>
  <c r="AD35" i="52" s="1"/>
  <c r="AD37" i="52" s="1"/>
  <c r="H59" i="51" s="1"/>
  <c r="K105" i="46" a="1"/>
  <c r="K105" i="46" s="1"/>
  <c r="AD43" i="46" s="1"/>
  <c r="AM43" i="46" s="1"/>
  <c r="AG23" i="52" s="1"/>
  <c r="AG35" i="52" s="1"/>
  <c r="AG37" i="52" s="1"/>
  <c r="L59" i="51" s="1"/>
  <c r="C105" i="46" a="1"/>
  <c r="C105" i="46" s="1"/>
  <c r="F105" i="46" a="1"/>
  <c r="F105" i="46" s="1"/>
  <c r="Y43" i="46" s="1"/>
  <c r="AH43" i="46" s="1"/>
  <c r="AB23" i="52" s="1"/>
  <c r="AB35" i="52" s="1"/>
  <c r="AB37" i="52" s="1"/>
  <c r="F59" i="51" s="1"/>
  <c r="CV37" i="52"/>
  <c r="L42" i="51" s="1"/>
  <c r="Q11" i="47" a="1"/>
  <c r="Q11" i="47" s="1"/>
  <c r="AF37" i="52" l="1"/>
  <c r="K59" i="51" s="1"/>
  <c r="AE37" i="52"/>
  <c r="I59" i="51" s="1"/>
  <c r="U37" i="52"/>
  <c r="I58" i="51" s="1"/>
  <c r="R37" i="52"/>
  <c r="F58" i="51" s="1"/>
  <c r="S37" i="52"/>
  <c r="G58" i="51" s="1"/>
  <c r="Q37" i="52"/>
  <c r="E58" i="51" s="1"/>
  <c r="V37" i="52"/>
  <c r="K58" i="51" s="1"/>
  <c r="CR38" i="52"/>
  <c r="L50" i="51" s="1"/>
  <c r="Y37" i="52"/>
  <c r="N58" i="51" s="1"/>
  <c r="D25" i="48" s="1"/>
  <c r="AI37" i="52"/>
  <c r="N59" i="51" s="1"/>
  <c r="D21" i="48" s="1"/>
  <c r="CT37" i="52"/>
  <c r="L51" i="51" s="1"/>
  <c r="CZ37" i="52"/>
  <c r="L52" i="51" s="1"/>
  <c r="CR37" i="52"/>
  <c r="L49" i="51" s="1"/>
  <c r="E37" i="52"/>
  <c r="E47" i="51" s="1"/>
  <c r="T37" i="52"/>
  <c r="H58" i="51" s="1"/>
  <c r="W37" i="52"/>
  <c r="L58" i="51" s="1"/>
  <c r="AN44" i="46" a="1"/>
  <c r="AN44" i="46" s="1"/>
  <c r="X23" i="52" s="1"/>
  <c r="X35" i="52" s="1"/>
  <c r="X37" i="52" s="1"/>
  <c r="M58" i="51" s="1"/>
  <c r="AN43" i="46" a="1"/>
  <c r="AN43" i="46" s="1"/>
  <c r="AH23" i="52" s="1"/>
  <c r="AH35" i="52" s="1"/>
  <c r="AH37" i="52" s="1"/>
  <c r="M59" i="51" s="1"/>
  <c r="Z23" i="52"/>
  <c r="Z35" i="52" s="1"/>
  <c r="Z37" i="52" s="1"/>
  <c r="D59" i="51" s="1"/>
  <c r="AO43" i="46" a="1"/>
  <c r="AO43" i="46" s="1"/>
  <c r="AP43" i="46" s="1"/>
  <c r="P23" i="52"/>
  <c r="P35" i="52" s="1"/>
  <c r="P37" i="52" s="1"/>
  <c r="D58" i="51" s="1"/>
  <c r="AO44" i="46" a="1"/>
  <c r="AO44" i="46" s="1"/>
  <c r="AP44" i="46" s="1"/>
  <c r="AW35" i="47"/>
  <c r="R11" i="47"/>
  <c r="AX35" i="47" s="1"/>
  <c r="S11" i="47"/>
  <c r="AY35" i="47" s="1"/>
  <c r="C4" i="48" l="1"/>
  <c r="AZ35" i="47"/>
  <c r="AR36" i="47" s="1"/>
  <c r="DA22" i="52" s="1"/>
  <c r="DA35" i="52" s="1" a="1"/>
  <c r="DA35" i="52" s="1"/>
  <c r="T11" i="47"/>
  <c r="W9" i="47" s="1"/>
  <c r="P15" i="46" a="1"/>
  <c r="P15" i="46" s="1"/>
  <c r="C115" i="47" l="1"/>
  <c r="C104" i="47"/>
  <c r="H83" i="47"/>
  <c r="H90" i="47"/>
  <c r="H82" i="47"/>
  <c r="Y9" i="47"/>
  <c r="H23" i="52"/>
  <c r="H35" i="52" s="1"/>
  <c r="S15" i="46"/>
  <c r="Q15" i="46"/>
  <c r="R15" i="46"/>
  <c r="H88" i="47" l="1"/>
  <c r="W10" i="47" s="1"/>
  <c r="G23" i="52" s="1"/>
  <c r="G35" i="52" s="1"/>
  <c r="G105" i="47" a="1"/>
  <c r="G105" i="47" s="1"/>
  <c r="Z43" i="47" s="1"/>
  <c r="AI43" i="47" s="1"/>
  <c r="AM23" i="52" s="1"/>
  <c r="AM35" i="52" s="1"/>
  <c r="AM37" i="52" s="1"/>
  <c r="G60" i="51" s="1"/>
  <c r="H105" i="47" a="1"/>
  <c r="H105" i="47" s="1"/>
  <c r="AA43" i="47" s="1"/>
  <c r="AJ43" i="47" s="1"/>
  <c r="AN23" i="52" s="1"/>
  <c r="AN35" i="52" s="1"/>
  <c r="AN37" i="52" s="1"/>
  <c r="H60" i="51" s="1"/>
  <c r="E105" i="47" a="1"/>
  <c r="E105" i="47" s="1"/>
  <c r="X43" i="47" s="1"/>
  <c r="AG43" i="47" s="1"/>
  <c r="AK23" i="52" s="1"/>
  <c r="AK35" i="52" s="1"/>
  <c r="AK37" i="52" s="1"/>
  <c r="E60" i="51" s="1"/>
  <c r="J105" i="47" a="1"/>
  <c r="J105" i="47" s="1"/>
  <c r="AC43" i="47" s="1"/>
  <c r="AL43" i="47" s="1"/>
  <c r="AP23" i="52" s="1"/>
  <c r="AP35" i="52" s="1"/>
  <c r="AP37" i="52" s="1"/>
  <c r="K60" i="51" s="1"/>
  <c r="F105" i="47" a="1"/>
  <c r="F105" i="47" s="1"/>
  <c r="Y43" i="47" s="1"/>
  <c r="AH43" i="47" s="1"/>
  <c r="AL23" i="52" s="1"/>
  <c r="AL35" i="52" s="1"/>
  <c r="AL37" i="52" s="1"/>
  <c r="F60" i="51" s="1"/>
  <c r="I105" i="47" a="1"/>
  <c r="I105" i="47" s="1"/>
  <c r="AB43" i="47" s="1"/>
  <c r="AK43" i="47" s="1"/>
  <c r="AO23" i="52" s="1"/>
  <c r="AO35" i="52" s="1"/>
  <c r="AO37" i="52" s="1"/>
  <c r="I60" i="51" s="1"/>
  <c r="C105" i="47" a="1"/>
  <c r="C105" i="47" s="1"/>
  <c r="D105" i="47" a="1"/>
  <c r="D105" i="47" s="1"/>
  <c r="W43" i="47" s="1"/>
  <c r="AF43" i="47" s="1"/>
  <c r="K105" i="47" a="1"/>
  <c r="K105" i="47" s="1"/>
  <c r="AD43" i="47" s="1"/>
  <c r="AM43" i="47" s="1"/>
  <c r="AQ23" i="52" s="1"/>
  <c r="AQ35" i="52" s="1"/>
  <c r="AQ37" i="52" s="1"/>
  <c r="L60" i="51" s="1"/>
  <c r="D116" i="47" a="1"/>
  <c r="D116" i="47" s="1"/>
  <c r="W44" i="47" s="1"/>
  <c r="AF44" i="47" s="1"/>
  <c r="E116" i="47" a="1"/>
  <c r="E116" i="47" s="1"/>
  <c r="X44" i="47" s="1"/>
  <c r="AG44" i="47" s="1"/>
  <c r="AU23" i="52" s="1"/>
  <c r="AU35" i="52" s="1"/>
  <c r="AU37" i="52" s="1"/>
  <c r="E61" i="51" s="1"/>
  <c r="G116" i="47" a="1"/>
  <c r="G116" i="47" s="1"/>
  <c r="Z44" i="47" s="1"/>
  <c r="AI44" i="47" s="1"/>
  <c r="AW23" i="52" s="1"/>
  <c r="AW35" i="52" s="1"/>
  <c r="AW37" i="52" s="1"/>
  <c r="G61" i="51" s="1"/>
  <c r="F116" i="47" a="1"/>
  <c r="F116" i="47" s="1"/>
  <c r="Y44" i="47" s="1"/>
  <c r="AH44" i="47" s="1"/>
  <c r="AV23" i="52" s="1"/>
  <c r="AV35" i="52" s="1"/>
  <c r="AV37" i="52" s="1"/>
  <c r="F61" i="51" s="1"/>
  <c r="H116" i="47" a="1"/>
  <c r="H116" i="47" s="1"/>
  <c r="AA44" i="47" s="1"/>
  <c r="AJ44" i="47" s="1"/>
  <c r="AX23" i="52" s="1"/>
  <c r="AX35" i="52" s="1"/>
  <c r="AX37" i="52" s="1"/>
  <c r="H61" i="51" s="1"/>
  <c r="C116" i="47" a="1"/>
  <c r="C116" i="47" s="1"/>
  <c r="I116" i="47" a="1"/>
  <c r="I116" i="47" s="1"/>
  <c r="AB44" i="47" s="1"/>
  <c r="AK44" i="47" s="1"/>
  <c r="AY23" i="52" s="1"/>
  <c r="AY35" i="52" s="1"/>
  <c r="AY37" i="52" s="1"/>
  <c r="I61" i="51" s="1"/>
  <c r="J116" i="47" a="1"/>
  <c r="J116" i="47" s="1"/>
  <c r="AC44" i="47" s="1"/>
  <c r="AL44" i="47" s="1"/>
  <c r="AZ23" i="52" s="1"/>
  <c r="AZ35" i="52" s="1"/>
  <c r="AZ37" i="52" s="1"/>
  <c r="K61" i="51" s="1"/>
  <c r="K116" i="47" a="1"/>
  <c r="K116" i="47" s="1"/>
  <c r="AD44" i="47" s="1"/>
  <c r="AM44" i="47" s="1"/>
  <c r="BA23" i="52" s="1"/>
  <c r="BA35" i="52" s="1"/>
  <c r="BA37" i="52" s="1"/>
  <c r="L61" i="51" s="1"/>
  <c r="G37" i="52" a="1"/>
  <c r="G37" i="52" s="1"/>
  <c r="G45" i="51" s="1"/>
  <c r="BT37" i="52"/>
  <c r="BW37" i="52"/>
  <c r="H37" i="52"/>
  <c r="BX37" i="52"/>
  <c r="CS37" i="52"/>
  <c r="M49" i="51" s="1"/>
  <c r="CB37" i="52"/>
  <c r="CS38" i="52"/>
  <c r="M50" i="51" s="1"/>
  <c r="BV37" i="52"/>
  <c r="BY37" i="52"/>
  <c r="I37" i="52"/>
  <c r="G48" i="51" s="1"/>
  <c r="BZ37" i="52"/>
  <c r="CA37" i="52"/>
  <c r="CC37" i="52"/>
  <c r="CW37" i="52"/>
  <c r="M42" i="51" s="1"/>
  <c r="CU37" i="52"/>
  <c r="M51" i="51" s="1"/>
  <c r="BU37" i="52"/>
  <c r="CJ37" i="52"/>
  <c r="G52" i="51" s="1"/>
  <c r="DA37" i="52"/>
  <c r="M52" i="51" s="1"/>
  <c r="P18" i="46"/>
  <c r="P19" i="46" s="1"/>
  <c r="AJ23" i="52" l="1"/>
  <c r="AJ35" i="52" s="1"/>
  <c r="AJ37" i="52" s="1"/>
  <c r="D60" i="51" s="1"/>
  <c r="AO43" i="47" a="1"/>
  <c r="AO43" i="47" s="1"/>
  <c r="AN43" i="47" a="1"/>
  <c r="AN43" i="47" s="1"/>
  <c r="AR23" i="52" s="1"/>
  <c r="AR35" i="52" s="1"/>
  <c r="AR37" i="52" s="1"/>
  <c r="M60" i="51" s="1"/>
  <c r="AT23" i="52"/>
  <c r="AT35" i="52" s="1"/>
  <c r="AT37" i="52" s="1"/>
  <c r="D61" i="51" s="1"/>
  <c r="AN44" i="47" a="1"/>
  <c r="AN44" i="47" s="1"/>
  <c r="BB23" i="52" s="1"/>
  <c r="BB35" i="52" s="1"/>
  <c r="BB37" i="52" s="1"/>
  <c r="M61" i="51" s="1"/>
  <c r="AO44" i="47" a="1"/>
  <c r="AO44" i="47" s="1"/>
  <c r="G47" i="51"/>
  <c r="C5" i="48"/>
  <c r="P20" i="46"/>
  <c r="W13" i="46" s="1"/>
  <c r="W19" i="46" s="1"/>
  <c r="W22" i="46" s="1"/>
  <c r="AS23" i="52" l="1"/>
  <c r="AS35" i="52" s="1"/>
  <c r="AS37" i="52" s="1"/>
  <c r="N60" i="51" s="1"/>
  <c r="D22" i="48" s="1"/>
  <c r="D23" i="48" s="1"/>
  <c r="AP43" i="47"/>
  <c r="BC23" i="52"/>
  <c r="BC35" i="52" s="1"/>
  <c r="BC37" i="52" s="1"/>
  <c r="N61" i="51" s="1"/>
  <c r="D26" i="48" s="1"/>
  <c r="D27" i="48" s="1"/>
  <c r="AP44" i="47"/>
  <c r="W14" i="46"/>
  <c r="C16" i="48"/>
  <c r="C15" i="48"/>
  <c r="AN11" i="46" l="1"/>
  <c r="AN16" i="46" s="1"/>
  <c r="AN18" i="46" s="1"/>
  <c r="CI22" i="52" s="1"/>
  <c r="CI35" i="52" s="1" a="1"/>
  <c r="CI35" i="52" s="1"/>
  <c r="CI37" i="52" s="1"/>
  <c r="G51" i="51" s="1"/>
  <c r="F23" i="52"/>
  <c r="K23" i="52" s="1"/>
  <c r="K35" i="52" s="1"/>
  <c r="K37" i="52" s="1"/>
  <c r="D50" i="51" s="1"/>
  <c r="AJ8" i="60" s="1"/>
  <c r="AG8" i="60" s="1"/>
  <c r="T36" i="51" s="1"/>
  <c r="C29" i="48"/>
  <c r="C30" i="48" s="1"/>
  <c r="F35" i="52" l="1"/>
  <c r="F37" i="52" s="1"/>
  <c r="E48" i="51" s="1"/>
  <c r="L23" i="52"/>
  <c r="L35" i="52" s="1"/>
  <c r="L37" i="52" s="1"/>
  <c r="D51" i="51" s="1"/>
  <c r="R41" i="52" l="1"/>
  <c r="D52" i="51" s="1"/>
  <c r="AR116" i="59" a="1"/>
  <c r="AR116" i="59" s="1"/>
  <c r="AJ5" i="26" a="1"/>
  <c r="AK5" i="26" s="1"/>
  <c r="L29" i="27" a="1"/>
  <c r="L29" i="27" s="1"/>
  <c r="C11" i="27" l="1"/>
  <c r="AL5" i="26"/>
  <c r="AJ5" i="26"/>
  <c r="AS116" i="59"/>
  <c r="AT116" i="59" s="1"/>
  <c r="AR121" i="59" s="1"/>
  <c r="AR122" i="59" s="1"/>
  <c r="M29" i="27"/>
  <c r="D11" i="27" s="1"/>
  <c r="R26" i="27" l="1"/>
  <c r="R18" i="27"/>
  <c r="R21" i="27"/>
  <c r="R19" i="27"/>
  <c r="F15" i="27"/>
  <c r="F16" i="27"/>
  <c r="R22" i="27"/>
  <c r="R24" i="27"/>
  <c r="R20" i="27"/>
  <c r="R25" i="27"/>
  <c r="R23" i="27"/>
  <c r="S21" i="27" l="1"/>
  <c r="S18" i="27"/>
  <c r="S23" i="27"/>
  <c r="S25" i="27"/>
  <c r="S20" i="27"/>
  <c r="S24" i="27"/>
  <c r="S22" i="27"/>
  <c r="S19" i="27"/>
  <c r="S26" i="27"/>
  <c r="U28" i="27" l="1" a="1"/>
  <c r="D12" i="27" l="1"/>
  <c r="U28" i="27"/>
  <c r="U24" i="27" l="1"/>
  <c r="V24" i="27" s="1"/>
  <c r="X24" i="27" s="1"/>
  <c r="U18" i="27"/>
  <c r="V18" i="27" s="1"/>
  <c r="X18" i="27" s="1"/>
  <c r="U20" i="27"/>
  <c r="V20" i="27" s="1"/>
  <c r="X20" i="27" s="1"/>
  <c r="C12" i="27"/>
  <c r="E12" i="27" s="1"/>
  <c r="F12" i="27" s="1"/>
  <c r="U19" i="27"/>
  <c r="V19" i="27" s="1"/>
  <c r="X19" i="27" s="1"/>
  <c r="U23" i="27"/>
  <c r="V23" i="27" s="1"/>
  <c r="X23" i="27" s="1"/>
  <c r="U22" i="27"/>
  <c r="V22" i="27" s="1"/>
  <c r="X22" i="27" s="1"/>
  <c r="U21" i="27"/>
  <c r="V21" i="27" s="1"/>
  <c r="X21" i="27" s="1"/>
  <c r="U26" i="27"/>
  <c r="V26" i="27" s="1"/>
  <c r="X26" i="27" s="1"/>
  <c r="U25" i="27"/>
  <c r="V25" i="27" s="1"/>
  <c r="X25" i="27" s="1"/>
  <c r="H16" i="27" l="1"/>
  <c r="H15" i="27"/>
  <c r="X28" i="27" a="1"/>
  <c r="X28" i="27" s="1"/>
  <c r="C33" i="27" l="1"/>
  <c r="L42" i="48" l="1" a="1"/>
  <c r="L42" i="48" s="1"/>
  <c r="C11" i="48" l="1"/>
  <c r="M42" i="48"/>
  <c r="D11" i="48" s="1"/>
  <c r="R27" i="48" l="1"/>
  <c r="S27" i="48" s="1"/>
  <c r="R32" i="48"/>
  <c r="S32" i="48" s="1"/>
  <c r="R31" i="48"/>
  <c r="S31" i="48" s="1"/>
  <c r="R26" i="48"/>
  <c r="S26" i="48" s="1"/>
  <c r="R25" i="48"/>
  <c r="S25" i="48" s="1"/>
  <c r="R24" i="48"/>
  <c r="S24" i="48" s="1"/>
  <c r="R35" i="48"/>
  <c r="S35" i="48" s="1"/>
  <c r="R28" i="48"/>
  <c r="S28" i="48" s="1"/>
  <c r="R33" i="48"/>
  <c r="S33" i="48" s="1"/>
  <c r="R30" i="48"/>
  <c r="S30" i="48" s="1"/>
  <c r="R23" i="48"/>
  <c r="S23" i="48" s="1"/>
  <c r="R38" i="48"/>
  <c r="S38" i="48" s="1"/>
  <c r="R29" i="48"/>
  <c r="S29" i="48" s="1"/>
  <c r="R37" i="48"/>
  <c r="R36" i="48"/>
  <c r="F15" i="48"/>
  <c r="F16" i="48"/>
  <c r="R34" i="48"/>
  <c r="S34" i="48" l="1"/>
  <c r="S36" i="48"/>
  <c r="S37" i="48"/>
  <c r="U42" i="48" s="1" a="1"/>
  <c r="S42" i="48" l="1" a="1"/>
  <c r="S42" i="48" s="1"/>
  <c r="V42" i="48"/>
  <c r="U42" i="48"/>
  <c r="U23" i="48" l="1"/>
  <c r="U38" i="48"/>
  <c r="U37" i="48"/>
  <c r="U36" i="48"/>
  <c r="U35" i="48"/>
  <c r="U32" i="48"/>
  <c r="U31" i="48"/>
  <c r="U30" i="48"/>
  <c r="U25" i="48"/>
  <c r="U29" i="48"/>
  <c r="U27" i="48"/>
  <c r="U28" i="48"/>
  <c r="U26" i="48"/>
  <c r="U33" i="48"/>
  <c r="U24" i="48"/>
  <c r="U34" i="48"/>
  <c r="V38" i="48" l="1"/>
  <c r="X38" i="48" s="1"/>
  <c r="D12" i="48"/>
  <c r="C12" i="48"/>
  <c r="E12" i="48" s="1"/>
  <c r="F12" i="48" s="1"/>
  <c r="V37" i="48"/>
  <c r="X37" i="48" s="1"/>
  <c r="V23" i="48"/>
  <c r="X23" i="48" s="1"/>
  <c r="V35" i="48"/>
  <c r="X35" i="48" s="1"/>
  <c r="V36" i="48"/>
  <c r="X36" i="48" s="1"/>
  <c r="V28" i="48"/>
  <c r="X28" i="48" s="1"/>
  <c r="V34" i="48"/>
  <c r="X34" i="48" s="1"/>
  <c r="V33" i="48"/>
  <c r="X33" i="48" s="1"/>
  <c r="V30" i="48"/>
  <c r="X30" i="48" s="1"/>
  <c r="V29" i="48"/>
  <c r="X29" i="48" s="1"/>
  <c r="V26" i="48"/>
  <c r="X26" i="48" s="1"/>
  <c r="V25" i="48"/>
  <c r="X25" i="48" s="1"/>
  <c r="V32" i="48"/>
  <c r="X32" i="48" s="1"/>
  <c r="V27" i="48"/>
  <c r="X27" i="48" s="1"/>
  <c r="V24" i="48"/>
  <c r="X24" i="48" s="1"/>
  <c r="V31" i="48"/>
  <c r="X31" i="48" s="1"/>
  <c r="H16" i="48" l="1"/>
  <c r="X42" i="48" a="1"/>
  <c r="X42" i="48" s="1"/>
  <c r="H15" i="48" l="1"/>
  <c r="C33" i="48" s="1"/>
  <c r="C32" i="48" l="1"/>
  <c r="C35" i="48"/>
  <c r="O50" i="48" s="1"/>
  <c r="BG23" i="52" s="1"/>
  <c r="R50" i="48" l="1"/>
  <c r="BJ23" i="52" s="1"/>
  <c r="BI13" i="52" s="1"/>
  <c r="Q50" i="48"/>
  <c r="BI23" i="52" s="1"/>
  <c r="BH13" i="52" s="1"/>
  <c r="BI35" i="52" s="1" a="1"/>
  <c r="BI35" i="52" s="1"/>
  <c r="BI37" i="52" s="1"/>
  <c r="I66" i="51" s="1"/>
  <c r="G35" i="48"/>
  <c r="N50" i="48"/>
  <c r="BF23" i="52" s="1"/>
  <c r="BE13" i="52" s="1"/>
  <c r="BF35" i="52" s="1" a="1"/>
  <c r="BF35" i="52" s="1"/>
  <c r="BF37" i="52" s="1"/>
  <c r="F66" i="51" s="1"/>
  <c r="F35" i="48"/>
  <c r="M50" i="48"/>
  <c r="BE23" i="52" s="1"/>
  <c r="BD13" i="52" s="1"/>
  <c r="L50" i="48"/>
  <c r="S50" i="48"/>
  <c r="BK23" i="52" s="1"/>
  <c r="BJ13" i="52" s="1"/>
  <c r="P50" i="48"/>
  <c r="BH23" i="52" s="1"/>
  <c r="BG13" i="52" s="1"/>
  <c r="BH35" i="52" s="1" a="1"/>
  <c r="BH35" i="52" s="1"/>
  <c r="BH37" i="52" s="1"/>
  <c r="H66" i="51" s="1"/>
  <c r="BF13" i="52"/>
  <c r="BG35" i="52" s="1" a="1"/>
  <c r="BG35" i="52" s="1"/>
  <c r="BG37" i="52" s="1"/>
  <c r="G66" i="51" s="1"/>
  <c r="BJ35" i="52" l="1" a="1"/>
  <c r="BJ35" i="52" s="1"/>
  <c r="BJ37" i="52" s="1"/>
  <c r="K66" i="51" s="1"/>
  <c r="BD23" i="52"/>
  <c r="BD35" i="52" s="1" a="1"/>
  <c r="BD35" i="52" s="1"/>
  <c r="BD37" i="52" s="1"/>
  <c r="D66" i="51" s="1"/>
  <c r="BE35" i="52" a="1"/>
  <c r="BE35" i="52" s="1"/>
  <c r="BE37" i="52" s="1"/>
  <c r="E66" i="51" s="1"/>
  <c r="T50" i="48" a="1"/>
  <c r="T50" i="48" s="1"/>
  <c r="BL23" i="52" s="1"/>
  <c r="U50" i="48" a="1"/>
  <c r="U50" i="48" s="1"/>
  <c r="BM23" i="52" s="1"/>
  <c r="BK35" i="52" a="1"/>
  <c r="BK35" i="52" s="1"/>
  <c r="BK37" i="52" s="1"/>
  <c r="L66" i="51" s="1"/>
  <c r="BC13" i="52" l="1"/>
  <c r="W50" i="48"/>
  <c r="BL35" i="52" a="1"/>
  <c r="BL35" i="52" s="1"/>
  <c r="BL37" i="52" s="1"/>
  <c r="M66" i="51" s="1"/>
  <c r="BO23" i="52"/>
  <c r="BO35" i="52" s="1" a="1"/>
  <c r="BO35" i="52" s="1"/>
  <c r="BO37" i="52" s="1"/>
  <c r="BN23" i="52"/>
  <c r="BM35" i="52" a="1"/>
  <c r="BM35" i="52" s="1"/>
  <c r="BM37" i="52" s="1"/>
  <c r="N66" i="51" s="1"/>
  <c r="BK13" i="52" l="1" a="1"/>
  <c r="BK13" i="52" s="1"/>
  <c r="BL13" i="52" a="1"/>
  <c r="BL13" i="52" s="1"/>
  <c r="BM13" i="52" s="1"/>
  <c r="BN35" i="52" a="1"/>
  <c r="BN35" i="52" s="1"/>
  <c r="BN37" i="52" s="1"/>
  <c r="N67" i="51" s="1"/>
  <c r="BN13" i="52" l="1"/>
  <c r="W38" i="64" l="1" a="1"/>
  <c r="X38" i="64" s="1"/>
  <c r="Y38" i="64" s="1"/>
  <c r="W29" i="65" a="1"/>
  <c r="W29" i="65" s="1"/>
  <c r="W34" i="65" a="1"/>
  <c r="W34" i="65" s="1"/>
  <c r="BE60" i="66" a="1"/>
  <c r="BE60" i="66" s="1"/>
  <c r="J90" i="67" a="1"/>
  <c r="J90" i="67" s="1"/>
  <c r="W39" i="65" a="1"/>
  <c r="X39" i="65" s="1"/>
  <c r="Y39" i="65" s="1"/>
  <c r="J90" i="66" a="1"/>
  <c r="J90" i="66" s="1"/>
  <c r="J83" i="67" a="1"/>
  <c r="J83" i="67" s="1"/>
  <c r="W44" i="64" a="1"/>
  <c r="X44" i="64" s="1"/>
  <c r="Y44" i="64" s="1"/>
  <c r="J83" i="66" a="1"/>
  <c r="K83" i="66" s="1"/>
  <c r="L83" i="66" s="1"/>
  <c r="J97" i="67" a="1"/>
  <c r="J97" i="67" s="1"/>
  <c r="AK33" i="67" a="1"/>
  <c r="AL33" i="67" s="1"/>
  <c r="AM33" i="67" s="1"/>
  <c r="K83" i="67" l="1"/>
  <c r="L83" i="67" s="1"/>
  <c r="J83" i="66"/>
  <c r="X34" i="65"/>
  <c r="Y34" i="65" s="1"/>
  <c r="AC35" i="65" s="1"/>
  <c r="AK33" i="67"/>
  <c r="AG93" i="67" s="1"/>
  <c r="AG87" i="67" s="1"/>
  <c r="AG88" i="67" s="1"/>
  <c r="AG89" i="67" s="1"/>
  <c r="Z86" i="67" s="1"/>
  <c r="AG86" i="67" s="1"/>
  <c r="AB95" i="67" s="1"/>
  <c r="AB97" i="67" s="1"/>
  <c r="K97" i="67"/>
  <c r="L97" i="67" s="1"/>
  <c r="P116" i="66"/>
  <c r="P104" i="66"/>
  <c r="P110" i="66"/>
  <c r="AC40" i="65"/>
  <c r="AC30" i="65"/>
  <c r="P110" i="67"/>
  <c r="W39" i="65"/>
  <c r="AC36" i="65" s="1"/>
  <c r="BF60" i="66"/>
  <c r="BG60" i="66" s="1"/>
  <c r="AG93" i="66" s="1"/>
  <c r="E26" i="69" s="1"/>
  <c r="K90" i="67"/>
  <c r="L90" i="67" s="1"/>
  <c r="K90" i="66"/>
  <c r="L90" i="66" s="1"/>
  <c r="X29" i="65"/>
  <c r="Y29" i="65" s="1"/>
  <c r="W38" i="64"/>
  <c r="W44" i="64"/>
  <c r="T14" i="64" s="1"/>
  <c r="P106" i="67" l="1"/>
  <c r="P112" i="67"/>
  <c r="P118" i="67"/>
  <c r="AB96" i="67"/>
  <c r="P116" i="67"/>
  <c r="P104" i="67"/>
  <c r="AC34" i="65"/>
  <c r="T46" i="65" s="1"/>
  <c r="AC29" i="65"/>
  <c r="AC39" i="65"/>
  <c r="P105" i="67"/>
  <c r="P111" i="67"/>
  <c r="P117" i="67"/>
  <c r="AC31" i="65"/>
  <c r="AC41" i="65"/>
  <c r="P117" i="66"/>
  <c r="P111" i="66"/>
  <c r="P105" i="66"/>
  <c r="X96" i="67"/>
  <c r="AI103" i="67" s="1"/>
  <c r="AI104" i="67" s="1"/>
  <c r="Y17" i="64"/>
  <c r="Y18" i="64" s="1"/>
  <c r="T17" i="64"/>
  <c r="T18" i="64" s="1"/>
  <c r="T47" i="65" l="1"/>
  <c r="T45" i="65"/>
  <c r="AI111" i="67"/>
  <c r="AI113" i="67" s="1"/>
  <c r="AI114" i="67" s="1"/>
  <c r="T22" i="64"/>
  <c r="T24" i="64" s="1"/>
  <c r="T25" i="64" s="1"/>
  <c r="T19" i="64"/>
  <c r="Y22" i="64"/>
  <c r="Y24" i="64" s="1"/>
  <c r="Y25" i="64" s="1"/>
  <c r="Y19" i="64"/>
  <c r="J30" i="68" l="1"/>
  <c r="U29" i="68" s="1"/>
  <c r="O12" i="68" l="1"/>
  <c r="F94" i="51" s="1"/>
  <c r="O12" i="69" l="1"/>
  <c r="F118" i="51" s="1"/>
  <c r="AG87" i="66" l="1"/>
  <c r="AB96" i="66" s="1"/>
  <c r="AG88" i="66" l="1"/>
  <c r="AG89" i="66" s="1"/>
  <c r="Z86" i="66" s="1"/>
  <c r="E17" i="69" s="1"/>
  <c r="AG86" i="66" l="1"/>
  <c r="G17" i="69" s="1"/>
  <c r="AB95" i="66" l="1"/>
  <c r="AB97" i="66" s="1"/>
  <c r="X96" i="66" s="1"/>
  <c r="E29" i="69" l="1"/>
  <c r="E30" i="69" s="1"/>
  <c r="U14" i="69" s="1"/>
  <c r="V14" i="69" s="1"/>
  <c r="O14" i="69" s="1"/>
  <c r="F119" i="51" s="1"/>
  <c r="AI103" i="66"/>
  <c r="U13" i="69" l="1"/>
  <c r="V13" i="69" s="1"/>
  <c r="O13" i="69" s="1"/>
  <c r="AI104" i="66"/>
  <c r="AI111" i="66"/>
  <c r="AI113" i="66" s="1"/>
  <c r="AI114" i="66" s="1"/>
  <c r="P13" i="76" l="1" a="1"/>
  <c r="R13" i="76" s="1"/>
  <c r="P6" i="76" a="1"/>
  <c r="Q6" i="76" s="1"/>
  <c r="P5" i="76" a="1"/>
  <c r="P5" i="76" s="1"/>
  <c r="Q13" i="76" l="1"/>
  <c r="P13" i="76"/>
  <c r="P6" i="76"/>
  <c r="W6" i="76" s="1"/>
  <c r="Q5" i="76"/>
  <c r="W5" i="76" s="1"/>
  <c r="W13" i="76" l="1"/>
  <c r="W14" i="76" s="1"/>
  <c r="AG43" i="76"/>
  <c r="AI43" i="76"/>
  <c r="AF43" i="76"/>
  <c r="AH43" i="76"/>
  <c r="AJ43" i="76"/>
  <c r="AM43" i="76"/>
  <c r="AK43" i="76"/>
  <c r="AL43" i="76"/>
  <c r="AF44" i="76"/>
  <c r="AG44" i="76"/>
  <c r="AH44" i="76"/>
  <c r="AI44" i="76"/>
  <c r="AJ44" i="76"/>
  <c r="AK44" i="76"/>
  <c r="AL44" i="76"/>
  <c r="AM44" i="76"/>
  <c r="AN44" i="76" l="1" a="1"/>
  <c r="AN44" i="76" s="1"/>
  <c r="AO44" i="76" a="1"/>
  <c r="AO44" i="76" s="1"/>
  <c r="AP44" i="76" s="1"/>
  <c r="AN43" i="76" a="1"/>
  <c r="AN43" i="76" s="1"/>
  <c r="AO43" i="76" a="1"/>
  <c r="AO43" i="76" s="1"/>
  <c r="AP43" i="76" s="1"/>
  <c r="AD63" i="75" l="1" a="1"/>
  <c r="AF63" i="75" s="1"/>
  <c r="AE63" i="75" l="1"/>
  <c r="AD63" i="75"/>
  <c r="AE37" i="75" l="1"/>
  <c r="P5" i="78" a="1"/>
  <c r="Q5" i="78" s="1"/>
  <c r="P6" i="78" a="1"/>
  <c r="P6" i="78" s="1"/>
  <c r="Q6" i="78" l="1"/>
  <c r="W6" i="78" s="1"/>
  <c r="P5" i="78"/>
  <c r="W5" i="78" s="1"/>
  <c r="AH51" i="78" l="1"/>
  <c r="AU29" i="9" s="1"/>
  <c r="AU36" i="9" s="1"/>
  <c r="AU38" i="9" s="1"/>
  <c r="AI51" i="78"/>
  <c r="AV29" i="9" s="1"/>
  <c r="AV36" i="9" s="1"/>
  <c r="AV38" i="9" s="1"/>
  <c r="AJ51" i="78"/>
  <c r="AW29" i="9" s="1"/>
  <c r="AW36" i="9" s="1"/>
  <c r="AW38" i="9" s="1"/>
  <c r="AM51" i="78"/>
  <c r="AZ29" i="9" s="1"/>
  <c r="AZ36" i="9" s="1"/>
  <c r="AZ38" i="9" s="1"/>
  <c r="AK51" i="78"/>
  <c r="AX29" i="9" s="1"/>
  <c r="AX36" i="9" s="1"/>
  <c r="AX38" i="9" s="1"/>
  <c r="AL51" i="78"/>
  <c r="AY29" i="9" s="1"/>
  <c r="AY36" i="9" s="1"/>
  <c r="AY38" i="9" s="1"/>
  <c r="AN51" i="78"/>
  <c r="BA29" i="9" s="1"/>
  <c r="BA36" i="9" s="1"/>
  <c r="BA38" i="9" s="1"/>
  <c r="AG51" i="78"/>
  <c r="BC29" i="9"/>
  <c r="BC36" i="9" s="1"/>
  <c r="BC38" i="9" s="1"/>
  <c r="N56" i="2" s="1"/>
  <c r="AI45" i="78"/>
  <c r="AL29" i="9" s="1"/>
  <c r="AL36" i="9" s="1"/>
  <c r="AL38" i="9" s="1"/>
  <c r="AH45" i="78"/>
  <c r="AK29" i="9" s="1"/>
  <c r="AK36" i="9" s="1"/>
  <c r="AK38" i="9" s="1"/>
  <c r="AK45" i="78"/>
  <c r="AN29" i="9" s="1"/>
  <c r="AN36" i="9" s="1"/>
  <c r="AN38" i="9" s="1"/>
  <c r="AM45" i="78"/>
  <c r="AP29" i="9" s="1"/>
  <c r="AP36" i="9" s="1"/>
  <c r="AP38" i="9" s="1"/>
  <c r="AJ45" i="78"/>
  <c r="AM29" i="9" s="1"/>
  <c r="AM36" i="9" s="1"/>
  <c r="AM38" i="9" s="1"/>
  <c r="AL45" i="78"/>
  <c r="AO29" i="9" s="1"/>
  <c r="AO36" i="9" s="1"/>
  <c r="AO38" i="9" s="1"/>
  <c r="AG45" i="78"/>
  <c r="AN45" i="78"/>
  <c r="AQ29" i="9" s="1"/>
  <c r="AQ36" i="9" s="1"/>
  <c r="AQ38" i="9" s="1"/>
  <c r="AS29" i="9"/>
  <c r="AS36" i="9" s="1"/>
  <c r="AS38" i="9" s="1"/>
  <c r="N55" i="2" s="1"/>
  <c r="L56" i="2" l="1"/>
  <c r="J13" i="81"/>
  <c r="I56" i="2"/>
  <c r="H13" i="81"/>
  <c r="H56" i="2"/>
  <c r="G13" i="81"/>
  <c r="K56" i="2"/>
  <c r="I13" i="81"/>
  <c r="G56" i="2"/>
  <c r="F13" i="81"/>
  <c r="F56" i="2"/>
  <c r="E13" i="81"/>
  <c r="E56" i="2"/>
  <c r="D13" i="81"/>
  <c r="I55" i="2"/>
  <c r="H12" i="81"/>
  <c r="F55" i="2"/>
  <c r="E12" i="81"/>
  <c r="H55" i="2"/>
  <c r="G12" i="81"/>
  <c r="G55" i="2"/>
  <c r="F12" i="81"/>
  <c r="E55" i="2"/>
  <c r="D12" i="81"/>
  <c r="K55" i="2"/>
  <c r="I12" i="81"/>
  <c r="L55" i="2"/>
  <c r="J12" i="81"/>
  <c r="AJ29" i="9"/>
  <c r="AJ36" i="9" s="1"/>
  <c r="AJ38" i="9" s="1"/>
  <c r="AO45" i="78" a="1"/>
  <c r="AO45" i="78" s="1"/>
  <c r="AR29" i="9" s="1"/>
  <c r="AR36" i="9" s="1"/>
  <c r="AR38" i="9" s="1"/>
  <c r="M55" i="2" s="1"/>
  <c r="AP45" i="78" a="1"/>
  <c r="AP45" i="78" s="1"/>
  <c r="AQ45" i="78" s="1"/>
  <c r="AT29" i="9"/>
  <c r="AT36" i="9" s="1"/>
  <c r="AT38" i="9" s="1"/>
  <c r="AP51" i="78" a="1"/>
  <c r="AP51" i="78" s="1"/>
  <c r="AQ51" i="78" s="1"/>
  <c r="AO51" i="78" a="1"/>
  <c r="AO51" i="78" s="1"/>
  <c r="BB29" i="9" s="1"/>
  <c r="BB36" i="9" s="1"/>
  <c r="BB38" i="9" s="1"/>
  <c r="M56" i="2" s="1"/>
  <c r="D26" i="23"/>
  <c r="D27" i="23" s="1"/>
  <c r="D26" i="27"/>
  <c r="D27" i="27" s="1"/>
  <c r="D26" i="77"/>
  <c r="D27" i="77" s="1"/>
  <c r="D26" i="31"/>
  <c r="D27" i="31" s="1"/>
  <c r="D26" i="7"/>
  <c r="D27" i="7" s="1"/>
  <c r="D26" i="12"/>
  <c r="D27" i="12" s="1"/>
  <c r="D26" i="4"/>
  <c r="D27" i="4" s="1"/>
  <c r="D22" i="27"/>
  <c r="D23" i="27" s="1"/>
  <c r="D22" i="4"/>
  <c r="D23" i="4" s="1"/>
  <c r="D22" i="31"/>
  <c r="D23" i="31" s="1"/>
  <c r="D22" i="7"/>
  <c r="D23" i="7" s="1"/>
  <c r="D22" i="12"/>
  <c r="D23" i="12" s="1"/>
  <c r="D22" i="23"/>
  <c r="D23" i="23" s="1"/>
  <c r="D22" i="77"/>
  <c r="D23" i="77" s="1"/>
  <c r="G16" i="81" l="1"/>
  <c r="BX29" i="9" s="1"/>
  <c r="BX36" i="9" s="1" a="1"/>
  <c r="BX36" i="9" s="1"/>
  <c r="BX38" i="9" s="1"/>
  <c r="H57" i="2" s="1"/>
  <c r="E16" i="81"/>
  <c r="BV29" i="9" s="1"/>
  <c r="BV36" i="9" s="1" a="1"/>
  <c r="BV36" i="9" s="1"/>
  <c r="BV38" i="9" s="1"/>
  <c r="F57" i="2" s="1"/>
  <c r="D16" i="81"/>
  <c r="BU29" i="9" s="1"/>
  <c r="BU36" i="9" s="1" a="1"/>
  <c r="BU36" i="9" s="1"/>
  <c r="BU38" i="9" s="1"/>
  <c r="E57" i="2" s="1"/>
  <c r="F16" i="81"/>
  <c r="BW29" i="9" s="1"/>
  <c r="BW36" i="9" s="1" a="1"/>
  <c r="BW36" i="9" s="1"/>
  <c r="BW38" i="9" s="1"/>
  <c r="G57" i="2" s="1"/>
  <c r="I16" i="81"/>
  <c r="BZ29" i="9" s="1"/>
  <c r="BZ36" i="9" s="1" a="1"/>
  <c r="BZ36" i="9" s="1"/>
  <c r="BZ38" i="9" s="1"/>
  <c r="K57" i="2" s="1"/>
  <c r="H16" i="81"/>
  <c r="BY29" i="9" s="1"/>
  <c r="BY36" i="9" s="1" a="1"/>
  <c r="BY36" i="9" s="1"/>
  <c r="BY38" i="9" s="1"/>
  <c r="I57" i="2" s="1"/>
  <c r="J16" i="81"/>
  <c r="CA29" i="9" s="1"/>
  <c r="CA36" i="9" s="1" a="1"/>
  <c r="CA36" i="9" s="1"/>
  <c r="CA38" i="9" s="1"/>
  <c r="L57" i="2" s="1"/>
  <c r="D56" i="2"/>
  <c r="C13" i="81"/>
  <c r="D55" i="2"/>
  <c r="C12" i="81"/>
  <c r="K12" i="81" s="1" a="1"/>
  <c r="K12" i="81" s="1"/>
  <c r="C29" i="4"/>
  <c r="C30" i="4" s="1"/>
  <c r="C32" i="4" s="1"/>
  <c r="C35" i="4" s="1"/>
  <c r="C29" i="12"/>
  <c r="C30" i="12" s="1"/>
  <c r="C32" i="12" s="1"/>
  <c r="C35" i="12" s="1"/>
  <c r="C29" i="7"/>
  <c r="C30" i="7" s="1"/>
  <c r="C32" i="7" s="1"/>
  <c r="C35" i="7" s="1"/>
  <c r="C29" i="31"/>
  <c r="C30" i="31" s="1"/>
  <c r="C32" i="31" s="1"/>
  <c r="C35" i="31" s="1"/>
  <c r="C29" i="77"/>
  <c r="C30" i="77" s="1"/>
  <c r="C32" i="77" s="1"/>
  <c r="C35" i="77" s="1"/>
  <c r="C29" i="27"/>
  <c r="C30" i="27" s="1"/>
  <c r="C32" i="27" s="1"/>
  <c r="C35" i="27" s="1"/>
  <c r="C29" i="23"/>
  <c r="C16" i="81" l="1"/>
  <c r="K16" i="81" s="1" a="1"/>
  <c r="K16" i="81" s="1"/>
  <c r="CB29" i="9" s="1"/>
  <c r="CB36" i="9" s="1" a="1"/>
  <c r="CB36" i="9" s="1"/>
  <c r="CB38" i="9" s="1"/>
  <c r="M57" i="2" s="1"/>
  <c r="L13" i="81" a="1"/>
  <c r="L13" i="81" s="1"/>
  <c r="L12" i="81" a="1"/>
  <c r="L12" i="81" s="1"/>
  <c r="C30" i="23"/>
  <c r="C32" i="23" s="1"/>
  <c r="C35" i="23" s="1"/>
  <c r="S39" i="27"/>
  <c r="BK26" i="9" s="1"/>
  <c r="BJ16" i="9" s="1"/>
  <c r="R39" i="27"/>
  <c r="BJ26" i="9" s="1"/>
  <c r="BI16" i="9" s="1"/>
  <c r="BM26" i="9"/>
  <c r="M39" i="27"/>
  <c r="BE26" i="9" s="1"/>
  <c r="BD16" i="9" s="1"/>
  <c r="G35" i="27"/>
  <c r="L39" i="27"/>
  <c r="P39" i="27"/>
  <c r="BH26" i="9" s="1"/>
  <c r="BG16" i="9" s="1"/>
  <c r="Q39" i="27"/>
  <c r="BI26" i="9" s="1"/>
  <c r="BH16" i="9" s="1"/>
  <c r="N39" i="27"/>
  <c r="BF26" i="9" s="1"/>
  <c r="BE16" i="9" s="1"/>
  <c r="F35" i="27"/>
  <c r="O39" i="27"/>
  <c r="BG26" i="9" s="1"/>
  <c r="BF16" i="9" s="1"/>
  <c r="L39" i="31"/>
  <c r="F35" i="31"/>
  <c r="Q39" i="31"/>
  <c r="N39" i="31"/>
  <c r="BM28" i="9"/>
  <c r="P39" i="31"/>
  <c r="M39" i="31"/>
  <c r="G35" i="31"/>
  <c r="S39" i="31"/>
  <c r="R39" i="31"/>
  <c r="O39" i="31"/>
  <c r="G35" i="7"/>
  <c r="P39" i="7"/>
  <c r="BH24" i="9" s="1"/>
  <c r="BG14" i="9" s="1"/>
  <c r="F35" i="7"/>
  <c r="L39" i="7"/>
  <c r="N39" i="7"/>
  <c r="BF24" i="9" s="1"/>
  <c r="BE14" i="9" s="1"/>
  <c r="BM24" i="9"/>
  <c r="O39" i="7"/>
  <c r="BG24" i="9" s="1"/>
  <c r="BF14" i="9" s="1"/>
  <c r="S39" i="7"/>
  <c r="BK24" i="9" s="1"/>
  <c r="BJ14" i="9" s="1"/>
  <c r="Q39" i="7"/>
  <c r="BI24" i="9" s="1"/>
  <c r="BH14" i="9" s="1"/>
  <c r="R39" i="7"/>
  <c r="BJ24" i="9" s="1"/>
  <c r="BI14" i="9" s="1"/>
  <c r="M39" i="7"/>
  <c r="BE24" i="9" s="1"/>
  <c r="BD14" i="9" s="1"/>
  <c r="O39" i="12"/>
  <c r="BG25" i="9" s="1"/>
  <c r="BF15" i="9" s="1"/>
  <c r="G35" i="12"/>
  <c r="N39" i="12"/>
  <c r="BF25" i="9" s="1"/>
  <c r="BE15" i="9" s="1"/>
  <c r="R39" i="12"/>
  <c r="BJ25" i="9" s="1"/>
  <c r="BI15" i="9" s="1"/>
  <c r="F35" i="12"/>
  <c r="L39" i="12"/>
  <c r="Q39" i="12"/>
  <c r="BI25" i="9" s="1"/>
  <c r="BH15" i="9" s="1"/>
  <c r="P39" i="12"/>
  <c r="BH25" i="9" s="1"/>
  <c r="BG15" i="9" s="1"/>
  <c r="S39" i="12"/>
  <c r="BK25" i="9" s="1"/>
  <c r="BJ15" i="9" s="1"/>
  <c r="M39" i="12"/>
  <c r="BE25" i="9" s="1"/>
  <c r="BD15" i="9" s="1"/>
  <c r="BM25" i="9"/>
  <c r="L39" i="4"/>
  <c r="N39" i="4"/>
  <c r="BF23" i="9" s="1"/>
  <c r="BE13" i="9" s="1"/>
  <c r="R39" i="4"/>
  <c r="BJ23" i="9" s="1"/>
  <c r="BI13" i="9" s="1"/>
  <c r="BM23" i="9"/>
  <c r="P39" i="4"/>
  <c r="BH23" i="9" s="1"/>
  <c r="BG13" i="9" s="1"/>
  <c r="S39" i="4"/>
  <c r="BK23" i="9" s="1"/>
  <c r="BJ13" i="9" s="1"/>
  <c r="F35" i="4"/>
  <c r="O39" i="4"/>
  <c r="BG23" i="9" s="1"/>
  <c r="BF13" i="9" s="1"/>
  <c r="G35" i="4"/>
  <c r="Q39" i="4"/>
  <c r="BI23" i="9" s="1"/>
  <c r="BH13" i="9" s="1"/>
  <c r="M39" i="4"/>
  <c r="BE23" i="9" s="1"/>
  <c r="BD13" i="9" s="1"/>
  <c r="L16" i="81" l="1" a="1"/>
  <c r="L16" i="81" s="1"/>
  <c r="BT29" i="9"/>
  <c r="BT36" i="9" s="1" a="1"/>
  <c r="BT36" i="9" s="1"/>
  <c r="BT38" i="9" s="1"/>
  <c r="D57" i="2" s="1"/>
  <c r="U39" i="7" a="1"/>
  <c r="U39" i="7" s="1"/>
  <c r="W39" i="7" s="1"/>
  <c r="T39" i="7" a="1"/>
  <c r="T39" i="7" s="1"/>
  <c r="BL24" i="9" s="1"/>
  <c r="U39" i="31" a="1"/>
  <c r="U39" i="31" s="1"/>
  <c r="W39" i="31" s="1"/>
  <c r="T39" i="31" a="1"/>
  <c r="T39" i="31" s="1"/>
  <c r="T39" i="27" a="1"/>
  <c r="T39" i="27" s="1"/>
  <c r="BL26" i="9" s="1"/>
  <c r="BK16" i="9" s="1"/>
  <c r="U39" i="27" a="1"/>
  <c r="U39" i="27" s="1"/>
  <c r="W39" i="27" s="1"/>
  <c r="U39" i="4" a="1"/>
  <c r="U39" i="4" s="1"/>
  <c r="W39" i="4" s="1"/>
  <c r="T39" i="4" a="1"/>
  <c r="T39" i="4" s="1"/>
  <c r="BL23" i="9" s="1"/>
  <c r="U39" i="12" a="1"/>
  <c r="U39" i="12" s="1"/>
  <c r="W39" i="12" s="1"/>
  <c r="T39" i="12" a="1"/>
  <c r="T39" i="12" s="1"/>
  <c r="BL25" i="9" s="1"/>
  <c r="BE28" i="9"/>
  <c r="BH28" i="9"/>
  <c r="BF28" i="9"/>
  <c r="BI28" i="9"/>
  <c r="BO25" i="9"/>
  <c r="BN25" i="9"/>
  <c r="BN24" i="9"/>
  <c r="BO24" i="9"/>
  <c r="BO23" i="9"/>
  <c r="BN23" i="9"/>
  <c r="BD28" i="9"/>
  <c r="BD26" i="9"/>
  <c r="BC16" i="9" s="1"/>
  <c r="BD24" i="9"/>
  <c r="BC14" i="9" s="1"/>
  <c r="BD23" i="9"/>
  <c r="BC13" i="9" s="1"/>
  <c r="BN26" i="9"/>
  <c r="BM16" i="9" s="1"/>
  <c r="BL16" i="9"/>
  <c r="BO26" i="9"/>
  <c r="BN16" i="9" s="1"/>
  <c r="BG28" i="9"/>
  <c r="BJ28" i="9"/>
  <c r="O39" i="23"/>
  <c r="BG27" i="9" s="1"/>
  <c r="BF17" i="9" s="1"/>
  <c r="R39" i="23"/>
  <c r="BJ27" i="9" s="1"/>
  <c r="BI17" i="9" s="1"/>
  <c r="P39" i="23"/>
  <c r="BH27" i="9" s="1"/>
  <c r="BG17" i="9" s="1"/>
  <c r="M39" i="23"/>
  <c r="BE27" i="9" s="1"/>
  <c r="BD17" i="9" s="1"/>
  <c r="F35" i="23"/>
  <c r="S39" i="23"/>
  <c r="BK27" i="9" s="1"/>
  <c r="BJ17" i="9" s="1"/>
  <c r="G35" i="23"/>
  <c r="L39" i="23"/>
  <c r="Q39" i="23"/>
  <c r="BI27" i="9" s="1"/>
  <c r="BH17" i="9" s="1"/>
  <c r="BM27" i="9"/>
  <c r="BL17" i="9" s="1"/>
  <c r="N39" i="23"/>
  <c r="BF27" i="9" s="1"/>
  <c r="BE17" i="9" s="1"/>
  <c r="BN28" i="9"/>
  <c r="BO28" i="9"/>
  <c r="BD25" i="9"/>
  <c r="BC15" i="9" s="1"/>
  <c r="BK28" i="9"/>
  <c r="CC29" i="9" l="1"/>
  <c r="CC36" i="9" s="1" a="1"/>
  <c r="CC36" i="9" s="1"/>
  <c r="CC38" i="9" s="1"/>
  <c r="N57" i="2" s="1"/>
  <c r="BL14" i="9" a="1"/>
  <c r="BL14" i="9" s="1"/>
  <c r="BK14" i="9" a="1"/>
  <c r="BK14" i="9" s="1"/>
  <c r="BL13" i="9" a="1"/>
  <c r="BL13" i="9" s="1"/>
  <c r="BK13" i="9" a="1"/>
  <c r="BK13" i="9" s="1"/>
  <c r="U39" i="23" a="1"/>
  <c r="U39" i="23" s="1"/>
  <c r="W39" i="23" s="1"/>
  <c r="T39" i="23" a="1"/>
  <c r="T39" i="23" s="1"/>
  <c r="BL27" i="9" s="1"/>
  <c r="BK17" i="9" s="1"/>
  <c r="BL15" i="9" a="1"/>
  <c r="BL15" i="9" s="1"/>
  <c r="BK15" i="9" a="1"/>
  <c r="BK15" i="9" s="1"/>
  <c r="BI18" i="9"/>
  <c r="BF18" i="9"/>
  <c r="BC18" i="9"/>
  <c r="BH18" i="9"/>
  <c r="BE18" i="9"/>
  <c r="BJ18" i="9"/>
  <c r="BG18" i="9"/>
  <c r="BD18" i="9"/>
  <c r="BD27" i="9"/>
  <c r="BC17" i="9" s="1"/>
  <c r="BL28" i="9"/>
  <c r="BO27" i="9"/>
  <c r="BN17" i="9" s="1"/>
  <c r="BN27" i="9"/>
  <c r="BM17" i="9" s="1"/>
  <c r="BK18" i="9" l="1" a="1"/>
  <c r="BK18" i="9" s="1"/>
  <c r="BL18" i="9" a="1"/>
  <c r="BL18" i="9" s="1"/>
  <c r="BN18" i="9" s="1"/>
  <c r="BN15" i="9"/>
  <c r="BM15" i="9"/>
  <c r="BN14" i="9"/>
  <c r="BM14" i="9"/>
  <c r="BM13" i="9"/>
  <c r="BN13" i="9"/>
  <c r="BM18" i="9" l="1"/>
  <c r="AD65" i="75" a="1"/>
  <c r="AD65" i="75" s="1"/>
  <c r="AF65" i="75" l="1"/>
  <c r="AE65" i="75"/>
  <c r="AD60" i="75" a="1"/>
  <c r="AF60" i="75" s="1"/>
  <c r="AE39" i="75" l="1"/>
  <c r="AD60" i="75"/>
  <c r="AE60" i="75"/>
  <c r="AE34" i="75" l="1"/>
  <c r="AD62" i="75" l="1" a="1"/>
  <c r="AD62" i="75" s="1"/>
  <c r="AE62" i="75" l="1"/>
  <c r="AF62" i="75"/>
  <c r="AE36" i="75" l="1"/>
  <c r="P13" i="75" s="1" a="1"/>
  <c r="Q13" i="75" l="1"/>
  <c r="S13" i="75"/>
  <c r="P13" i="75"/>
  <c r="R13" i="75"/>
  <c r="W13" i="75" l="1"/>
  <c r="W16" i="76" l="1"/>
  <c r="W19" i="76" s="1"/>
  <c r="W22" i="76" s="1"/>
  <c r="W14" i="75"/>
  <c r="F29" i="9" l="1"/>
  <c r="W16" i="78"/>
  <c r="F36" i="9" l="1"/>
  <c r="F38" i="9" s="1"/>
  <c r="E43" i="2" s="1"/>
  <c r="AD60" i="78" l="1" a="1"/>
  <c r="AD60" i="78" s="1"/>
  <c r="AE60" i="78" l="1"/>
  <c r="AF60" i="78"/>
  <c r="AE34" i="78" l="1"/>
  <c r="AD62" i="78" a="1"/>
  <c r="AD62" i="78" s="1"/>
  <c r="AF62" i="78" l="1"/>
  <c r="AE62" i="78"/>
  <c r="AD65" i="78" a="1"/>
  <c r="AD65" i="78" s="1"/>
  <c r="AE36" i="78" l="1"/>
  <c r="AE65" i="78"/>
  <c r="AF65" i="78"/>
  <c r="AD63" i="78" a="1"/>
  <c r="AD63" i="78" s="1"/>
  <c r="AF63" i="78" l="1"/>
  <c r="AE63" i="78"/>
  <c r="AE37" i="78" s="1"/>
  <c r="AE39" i="78"/>
  <c r="P13" i="78" l="1" a="1"/>
  <c r="S13" i="78" l="1"/>
  <c r="Q13" i="78"/>
  <c r="R13" i="78"/>
  <c r="P13" i="78"/>
  <c r="W13" i="78" l="1"/>
  <c r="W16" i="75" s="1"/>
  <c r="W19" i="75" s="1"/>
  <c r="W22" i="75" s="1"/>
  <c r="W19" i="78" l="1"/>
  <c r="W22" i="78" s="1"/>
  <c r="W14" i="78"/>
  <c r="I29" i="9" s="1"/>
  <c r="I36" i="9" s="1"/>
  <c r="I38" i="9" s="1"/>
  <c r="G43" i="2" s="1"/>
  <c r="K29" i="9" l="1"/>
  <c r="L29" i="9" s="1"/>
  <c r="L36" i="9" s="1"/>
  <c r="K36" i="9" l="1"/>
  <c r="K38" i="9" s="1"/>
  <c r="D45" i="2" s="1"/>
  <c r="AJ8" i="35" s="1"/>
  <c r="AG8" i="35" s="1"/>
  <c r="T35" i="2" s="1"/>
  <c r="L38" i="9"/>
  <c r="D46" i="2" s="1"/>
  <c r="T42" i="9"/>
  <c r="D47" i="2" s="1"/>
  <c r="V78" i="77" l="1" a="1"/>
  <c r="W78" i="77" s="1"/>
  <c r="W33" i="64" a="1"/>
  <c r="W33" i="64" s="1"/>
  <c r="J97" i="66" a="1"/>
  <c r="J97" i="66" s="1"/>
  <c r="N107" i="67" a="1"/>
  <c r="N107" i="67" s="1"/>
  <c r="N119" i="67" a="1"/>
  <c r="O119" i="67" s="1"/>
  <c r="P119" i="67" s="1"/>
  <c r="N113" i="67" a="1"/>
  <c r="N113" i="67" s="1"/>
  <c r="J37" i="69"/>
  <c r="U32" i="69" s="1"/>
  <c r="E37" i="69"/>
  <c r="U24" i="69" s="1"/>
  <c r="O107" i="67" l="1"/>
  <c r="P107" i="67" s="1"/>
  <c r="G106" i="67" s="1"/>
  <c r="K97" i="66"/>
  <c r="L97" i="66" s="1"/>
  <c r="P112" i="66" s="1"/>
  <c r="N119" i="67"/>
  <c r="G108" i="67" s="1"/>
  <c r="O113" i="67"/>
  <c r="P113" i="67" s="1"/>
  <c r="G107" i="67" s="1"/>
  <c r="X33" i="64"/>
  <c r="Y33" i="64" s="1"/>
  <c r="V78" i="77"/>
  <c r="W84" i="77" s="1"/>
  <c r="W87" i="77" s="1"/>
  <c r="W91" i="77" s="1"/>
  <c r="C36" i="77" s="1"/>
  <c r="P118" i="66" l="1"/>
  <c r="P106" i="66"/>
  <c r="Q41" i="77"/>
  <c r="BI29" i="9" s="1"/>
  <c r="G35" i="77"/>
  <c r="M41" i="77"/>
  <c r="BE29" i="9" s="1"/>
  <c r="N41" i="77"/>
  <c r="BF29" i="9" s="1"/>
  <c r="C37" i="77"/>
  <c r="L41" i="77"/>
  <c r="O41" i="77"/>
  <c r="BG29" i="9" s="1"/>
  <c r="S41" i="77"/>
  <c r="BK29" i="9" s="1"/>
  <c r="P41" i="77"/>
  <c r="BH29" i="9" s="1"/>
  <c r="R41" i="77"/>
  <c r="BJ29" i="9" s="1"/>
  <c r="F35" i="77"/>
  <c r="BF19" i="9" l="1"/>
  <c r="BG36" i="9" a="1"/>
  <c r="BG36" i="9" s="1"/>
  <c r="BG38" i="9" s="1"/>
  <c r="G62" i="2" s="1"/>
  <c r="BE36" i="9" a="1"/>
  <c r="BE36" i="9" s="1"/>
  <c r="BE38" i="9" s="1"/>
  <c r="E62" i="2" s="1"/>
  <c r="BD19" i="9"/>
  <c r="BH36" i="9" a="1"/>
  <c r="BH36" i="9" s="1"/>
  <c r="BH38" i="9" s="1"/>
  <c r="H62" i="2" s="1"/>
  <c r="BG19" i="9"/>
  <c r="BJ36" i="9" a="1"/>
  <c r="BJ36" i="9" s="1"/>
  <c r="BJ38" i="9" s="1"/>
  <c r="K62" i="2" s="1"/>
  <c r="BI19" i="9"/>
  <c r="BJ19" i="9"/>
  <c r="BK36" i="9" a="1"/>
  <c r="BK36" i="9" s="1"/>
  <c r="BK38" i="9" s="1"/>
  <c r="L62" i="2" s="1"/>
  <c r="T41" i="77" a="1"/>
  <c r="T41" i="77" s="1"/>
  <c r="BL29" i="9" s="1"/>
  <c r="BL36" i="9" s="1" a="1"/>
  <c r="BL36" i="9" s="1"/>
  <c r="BL38" i="9" s="1"/>
  <c r="M62" i="2" s="1"/>
  <c r="U41" i="77" a="1"/>
  <c r="U41" i="77" s="1"/>
  <c r="W41" i="77" s="1"/>
  <c r="BD29" i="9"/>
  <c r="BM29" i="9"/>
  <c r="BF36" i="9" a="1"/>
  <c r="BF36" i="9" s="1"/>
  <c r="BF38" i="9" s="1"/>
  <c r="F62" i="2" s="1"/>
  <c r="BE19" i="9"/>
  <c r="BH19" i="9"/>
  <c r="BI36" i="9" a="1"/>
  <c r="BI36" i="9" s="1"/>
  <c r="BI38" i="9" s="1"/>
  <c r="I62" i="2" s="1"/>
  <c r="BN29" i="9" l="1"/>
  <c r="BN36" i="9" s="1" a="1"/>
  <c r="BN36" i="9" s="1"/>
  <c r="BN38" i="9" s="1"/>
  <c r="N63" i="2" s="1"/>
  <c r="BO29" i="9"/>
  <c r="BO36" i="9" s="1" a="1"/>
  <c r="BO36" i="9" s="1"/>
  <c r="BO38" i="9" s="1"/>
  <c r="N64" i="2" s="1"/>
  <c r="BM36" i="9" a="1"/>
  <c r="BM36" i="9" s="1"/>
  <c r="BM38" i="9" s="1"/>
  <c r="N62" i="2" s="1"/>
  <c r="BC19" i="9"/>
  <c r="BD36" i="9" a="1"/>
  <c r="BD36" i="9" s="1"/>
  <c r="BD38" i="9" s="1"/>
  <c r="D62" i="2" s="1"/>
  <c r="BL19" i="9" l="1" a="1"/>
  <c r="BL19" i="9" s="1"/>
  <c r="BK19" i="9" a="1"/>
  <c r="BK19" i="9" s="1"/>
  <c r="BN19" i="9" l="1"/>
  <c r="BM19" i="9"/>
  <c r="N107" i="66" a="1"/>
  <c r="N107" i="66" s="1"/>
  <c r="N113" i="66" a="1"/>
  <c r="O113" i="66" s="1"/>
  <c r="P113" i="66" s="1"/>
  <c r="N119" i="66" a="1"/>
  <c r="N119" i="66" s="1"/>
  <c r="O119" i="66" l="1"/>
  <c r="P119" i="66" s="1"/>
  <c r="G108" i="66" s="1"/>
  <c r="N113" i="66"/>
  <c r="G107" i="66" s="1"/>
  <c r="O107" i="66"/>
  <c r="P107" i="66" s="1"/>
  <c r="G106" i="66" s="1"/>
  <c r="J106" i="67" a="1"/>
  <c r="K106" i="67" s="1"/>
  <c r="L106" i="67" s="1"/>
  <c r="J106" i="67" l="1"/>
  <c r="X97" i="67" s="1"/>
  <c r="AC101" i="67" l="1"/>
  <c r="X102" i="67"/>
  <c r="X106" i="67" l="1"/>
  <c r="X108" i="67" s="1"/>
  <c r="X103" i="67"/>
  <c r="X105" i="67"/>
  <c r="AC103" i="67"/>
  <c r="AC105" i="67"/>
  <c r="X111" i="67" l="1"/>
  <c r="X113" i="67" s="1"/>
  <c r="X114" i="67" s="1"/>
  <c r="X104" i="67"/>
  <c r="AC111" i="67"/>
  <c r="AC113" i="67" s="1"/>
  <c r="AC114" i="67" s="1"/>
  <c r="AC104" i="67"/>
  <c r="W45" i="65" l="1" a="1"/>
  <c r="W45" i="65" s="1"/>
  <c r="X45" i="65" l="1"/>
  <c r="Y45" i="65" s="1"/>
  <c r="T14" i="65" s="1"/>
  <c r="E24" i="68" s="1"/>
  <c r="J27" i="68" l="1"/>
  <c r="E27" i="68"/>
  <c r="T17" i="65"/>
  <c r="Y17" i="65"/>
  <c r="E28" i="68" l="1"/>
  <c r="U18" i="68"/>
  <c r="J28" i="68"/>
  <c r="U25" i="68"/>
  <c r="T20" i="65"/>
  <c r="T18" i="65"/>
  <c r="X12" i="65"/>
  <c r="Y20" i="65"/>
  <c r="Y18" i="65"/>
  <c r="X13" i="65"/>
  <c r="J34" i="68" l="1"/>
  <c r="J36" i="68" s="1"/>
  <c r="U27" i="68"/>
  <c r="J52" i="68"/>
  <c r="E30" i="68"/>
  <c r="U21" i="68" s="1"/>
  <c r="E52" i="68"/>
  <c r="E34" i="68"/>
  <c r="E36" i="68" s="1"/>
  <c r="U19" i="68"/>
  <c r="E31" i="68"/>
  <c r="T19" i="65"/>
  <c r="E29" i="68" s="1"/>
  <c r="T23" i="65"/>
  <c r="T25" i="65" s="1"/>
  <c r="T26" i="65" s="1"/>
  <c r="Y23" i="65"/>
  <c r="Y25" i="65" s="1"/>
  <c r="Y26" i="65" s="1"/>
  <c r="Y19" i="65"/>
  <c r="J29" i="68" s="1"/>
  <c r="J106" i="66" a="1"/>
  <c r="J106" i="66" s="1"/>
  <c r="J54" i="68" l="1"/>
  <c r="U28" i="68"/>
  <c r="U20" i="68"/>
  <c r="E54" i="68"/>
  <c r="E37" i="68"/>
  <c r="E55" i="68" s="1"/>
  <c r="U22" i="68"/>
  <c r="J37" i="68"/>
  <c r="J55" i="68" s="1"/>
  <c r="U30" i="68"/>
  <c r="K106" i="66"/>
  <c r="L106" i="66" s="1"/>
  <c r="X97" i="66" s="1"/>
  <c r="E56" i="68" l="1"/>
  <c r="V18" i="68" s="1"/>
  <c r="R18" i="68" s="1"/>
  <c r="M90" i="51" s="1"/>
  <c r="V17" i="68"/>
  <c r="R17" i="68" s="1"/>
  <c r="M89" i="51" s="1"/>
  <c r="V21" i="68"/>
  <c r="R21" i="68" s="1"/>
  <c r="M93" i="51" s="1"/>
  <c r="V22" i="68"/>
  <c r="R22" i="68" s="1"/>
  <c r="M94" i="51" s="1"/>
  <c r="V19" i="68"/>
  <c r="R19" i="68" s="1"/>
  <c r="M91" i="51" s="1"/>
  <c r="U23" i="68" a="1"/>
  <c r="U23" i="68" s="1"/>
  <c r="V23" i="68" s="1"/>
  <c r="M23" i="68" s="1"/>
  <c r="H95" i="51" s="1"/>
  <c r="V20" i="68"/>
  <c r="R20" i="68" s="1"/>
  <c r="M92" i="51" s="1"/>
  <c r="J56" i="68"/>
  <c r="V28" i="68" s="1"/>
  <c r="R28" i="68" s="1"/>
  <c r="M100" i="51" s="1"/>
  <c r="E31" i="69"/>
  <c r="AC101" i="66"/>
  <c r="X102" i="66"/>
  <c r="V30" i="68" l="1"/>
  <c r="R30" i="68" s="1"/>
  <c r="M102" i="51" s="1"/>
  <c r="V27" i="68"/>
  <c r="R27" i="68" s="1"/>
  <c r="M99" i="51" s="1"/>
  <c r="V25" i="68"/>
  <c r="R25" i="68" s="1"/>
  <c r="M97" i="51" s="1"/>
  <c r="V26" i="68"/>
  <c r="R26" i="68" s="1"/>
  <c r="M98" i="51" s="1"/>
  <c r="U31" i="68" a="1"/>
  <c r="U31" i="68" s="1"/>
  <c r="V31" i="68" s="1"/>
  <c r="V29" i="68"/>
  <c r="R29" i="68" s="1"/>
  <c r="M101" i="51" s="1"/>
  <c r="X105" i="66"/>
  <c r="X103" i="66"/>
  <c r="E34" i="69"/>
  <c r="X106" i="66"/>
  <c r="X108" i="66" s="1"/>
  <c r="AC105" i="66"/>
  <c r="AC103" i="66"/>
  <c r="J34" i="69"/>
  <c r="M31" i="68" l="1"/>
  <c r="H103" i="51" s="1"/>
  <c r="R31" i="68"/>
  <c r="J35" i="69"/>
  <c r="AC111" i="66"/>
  <c r="AC113" i="66" s="1"/>
  <c r="AC114" i="66" s="1"/>
  <c r="AC104" i="66"/>
  <c r="J36" i="69" s="1"/>
  <c r="U21" i="69"/>
  <c r="E63" i="69"/>
  <c r="J63" i="69"/>
  <c r="U28" i="69"/>
  <c r="X104" i="66"/>
  <c r="E36" i="69" s="1"/>
  <c r="E35" i="69"/>
  <c r="X111" i="66"/>
  <c r="X113" i="66" s="1"/>
  <c r="X114" i="66" s="1"/>
  <c r="U22" i="69" l="1"/>
  <c r="E59" i="69"/>
  <c r="E41" i="69"/>
  <c r="E43" i="69" s="1"/>
  <c r="J61" i="69"/>
  <c r="U31" i="69"/>
  <c r="E61" i="69"/>
  <c r="U23" i="69"/>
  <c r="U30" i="69"/>
  <c r="J59" i="69"/>
  <c r="J41" i="69"/>
  <c r="J43" i="69" s="1"/>
  <c r="J44" i="69" l="1"/>
  <c r="J62" i="69" s="1"/>
  <c r="J64" i="69" s="1"/>
  <c r="U33" i="69"/>
  <c r="U25" i="69"/>
  <c r="E44" i="69"/>
  <c r="E62" i="69" s="1"/>
  <c r="E64" i="69" s="1"/>
  <c r="V25" i="69" l="1"/>
  <c r="R25" i="69" s="1"/>
  <c r="M117" i="51" s="1"/>
  <c r="V21" i="69"/>
  <c r="R21" i="69" s="1"/>
  <c r="M113" i="51" s="1"/>
  <c r="V23" i="69"/>
  <c r="R23" i="69" s="1"/>
  <c r="M115" i="51" s="1"/>
  <c r="V22" i="69"/>
  <c r="R22" i="69" s="1"/>
  <c r="M114" i="51" s="1"/>
  <c r="U26" i="69" a="1"/>
  <c r="U26" i="69" s="1"/>
  <c r="V26" i="69" s="1"/>
  <c r="M26" i="69" s="1"/>
  <c r="H118" i="51" s="1"/>
  <c r="V20" i="69"/>
  <c r="R20" i="69" s="1"/>
  <c r="M112" i="51" s="1"/>
  <c r="V24" i="69"/>
  <c r="R24" i="69" s="1"/>
  <c r="M116" i="51" s="1"/>
  <c r="U34" i="69" a="1"/>
  <c r="U34" i="69" s="1"/>
  <c r="V34" i="69" s="1"/>
  <c r="M34" i="69" s="1"/>
  <c r="H126" i="51" s="1"/>
  <c r="V30" i="69"/>
  <c r="R30" i="69" s="1"/>
  <c r="M122" i="51" s="1"/>
  <c r="V29" i="69"/>
  <c r="R29" i="69" s="1"/>
  <c r="M121" i="51" s="1"/>
  <c r="V33" i="69"/>
  <c r="R33" i="69" s="1"/>
  <c r="M125" i="51" s="1"/>
  <c r="V28" i="69"/>
  <c r="R28" i="69" s="1"/>
  <c r="M120" i="51" s="1"/>
  <c r="V32" i="69"/>
  <c r="R32" i="69" s="1"/>
  <c r="M124" i="51" s="1"/>
  <c r="V31" i="69"/>
  <c r="R31" i="69" s="1"/>
  <c r="M123" i="51" s="1"/>
  <c r="AH116" i="116" a="1"/>
  <c r="AH116" i="116" s="1"/>
  <c r="AB84" i="113" a="1"/>
  <c r="AB84" i="113" s="1"/>
  <c r="AC116" i="116" a="1"/>
  <c r="AD116" i="116" s="1"/>
  <c r="AE116" i="116" s="1"/>
  <c r="X52" i="109" a="1"/>
  <c r="X52" i="109" s="1"/>
  <c r="AB85" i="112" a="1"/>
  <c r="AC85" i="112" s="1"/>
  <c r="X54" i="110" a="1"/>
  <c r="X54" i="110" s="1"/>
  <c r="X53" i="109" a="1"/>
  <c r="Y53" i="109" s="1"/>
  <c r="L29" i="108" a="1"/>
  <c r="L29" i="108" s="1"/>
  <c r="AB84" i="112" a="1"/>
  <c r="AB84" i="112" s="1"/>
  <c r="AB83" i="112" a="1"/>
  <c r="AB83" i="112" s="1"/>
  <c r="X51" i="109" a="1"/>
  <c r="Z51" i="109" s="1"/>
  <c r="X53" i="110" a="1"/>
  <c r="Y53" i="110" s="1"/>
  <c r="X54" i="98" a="1"/>
  <c r="X54" i="98" s="1"/>
  <c r="AJ5" i="103" a="1"/>
  <c r="AJ5" i="103" s="1"/>
  <c r="X52" i="99" a="1"/>
  <c r="Z52" i="99" s="1"/>
  <c r="X53" i="98" a="1"/>
  <c r="Z53" i="98" s="1"/>
  <c r="X52" i="110" a="1"/>
  <c r="X52" i="110" s="1"/>
  <c r="X54" i="109" a="1"/>
  <c r="X54" i="109" s="1"/>
  <c r="AB85" i="113" a="1"/>
  <c r="AB85" i="113" s="1"/>
  <c r="L29" i="104" a="1"/>
  <c r="L29" i="104" s="1"/>
  <c r="X53" i="99" a="1"/>
  <c r="X51" i="99" a="1"/>
  <c r="X51" i="99" s="1"/>
  <c r="X51" i="110" a="1"/>
  <c r="X51" i="110" s="1"/>
  <c r="AD60" i="90" a="1"/>
  <c r="AE60" i="90" s="1"/>
  <c r="AD65" i="91" a="1"/>
  <c r="AD65" i="91" s="1"/>
  <c r="AD63" i="91" a="1"/>
  <c r="AD63" i="91" s="1"/>
  <c r="AD60" i="91" a="1"/>
  <c r="AF60" i="91" s="1"/>
  <c r="AA1" i="102" a="1"/>
  <c r="AB1" i="102" s="1"/>
  <c r="D15" i="102" s="1"/>
  <c r="W38" i="102" s="1"/>
  <c r="O47" i="97" a="1"/>
  <c r="P47" i="97" s="1"/>
  <c r="O49" i="97" a="1"/>
  <c r="O49" i="97" s="1"/>
  <c r="X52" i="98" a="1"/>
  <c r="X52" i="98" s="1"/>
  <c r="V78" i="93" a="1"/>
  <c r="W78" i="93" s="1"/>
  <c r="O50" i="89" a="1"/>
  <c r="P50" i="89" s="1"/>
  <c r="O51" i="89" a="1"/>
  <c r="O51" i="89" s="1"/>
  <c r="AD55" i="89" a="1"/>
  <c r="AE55" i="89" s="1"/>
  <c r="O48" i="88" a="1"/>
  <c r="O48" i="88" s="1"/>
  <c r="AD62" i="91" a="1"/>
  <c r="AD62" i="91" s="1"/>
  <c r="P9" i="87" a="1"/>
  <c r="Q9" i="87" s="1"/>
  <c r="O9" i="87" s="1"/>
  <c r="Z55" i="89" a="1"/>
  <c r="Z55" i="89" s="1"/>
  <c r="O50" i="88" a="1"/>
  <c r="P50" i="88" s="1"/>
  <c r="X51" i="98" a="1"/>
  <c r="Z51" i="98" s="1"/>
  <c r="AD65" i="90" a="1"/>
  <c r="AD65" i="90" s="1"/>
  <c r="O53" i="89" a="1"/>
  <c r="O53" i="89" s="1"/>
  <c r="Q10" i="89" a="1"/>
  <c r="Q10" i="89" s="1"/>
  <c r="P9" i="88" a="1"/>
  <c r="Q9" i="88" s="1"/>
  <c r="O9" i="88" s="1"/>
  <c r="P6" i="94" a="1"/>
  <c r="P6" i="94" s="1"/>
  <c r="P13" i="95" a="1"/>
  <c r="Q13" i="95" s="1"/>
  <c r="P13" i="94" a="1"/>
  <c r="P13" i="94" s="1"/>
  <c r="P5" i="94" a="1"/>
  <c r="P5" i="94" s="1"/>
  <c r="P6" i="98" a="1"/>
  <c r="Q6" i="98" s="1"/>
  <c r="P5" i="98" a="1"/>
  <c r="Q5" i="98" s="1"/>
  <c r="P6" i="92" a="1"/>
  <c r="P6" i="92" s="1"/>
  <c r="P5" i="110" a="1"/>
  <c r="P5" i="110" s="1"/>
  <c r="P6" i="110" a="1"/>
  <c r="P6" i="110" s="1"/>
  <c r="Q5" i="110" l="1"/>
  <c r="W5" i="110" s="1"/>
  <c r="AE65" i="91"/>
  <c r="Z52" i="98"/>
  <c r="AC84" i="113"/>
  <c r="AB55" i="89"/>
  <c r="Q6" i="110"/>
  <c r="W6" i="110" s="1"/>
  <c r="AD84" i="113"/>
  <c r="AE35" i="113" s="1"/>
  <c r="Y54" i="98"/>
  <c r="AF65" i="91"/>
  <c r="AE39" i="91" s="1"/>
  <c r="Q6" i="92"/>
  <c r="W6" i="92" s="1"/>
  <c r="AJ44" i="92" s="1"/>
  <c r="AD60" i="90"/>
  <c r="Z52" i="110"/>
  <c r="R13" i="95"/>
  <c r="Q51" i="89"/>
  <c r="Y51" i="98"/>
  <c r="AC1" i="102"/>
  <c r="E15" i="102" s="1"/>
  <c r="X38" i="102" s="1"/>
  <c r="P51" i="89"/>
  <c r="AD83" i="112"/>
  <c r="AC83" i="112"/>
  <c r="AF63" i="91"/>
  <c r="P13" i="95"/>
  <c r="AE63" i="91"/>
  <c r="Y53" i="98"/>
  <c r="R10" i="89"/>
  <c r="P10" i="89" s="1"/>
  <c r="Q22" i="89" s="1"/>
  <c r="Y52" i="109"/>
  <c r="Z52" i="109"/>
  <c r="Z54" i="109"/>
  <c r="Y54" i="109"/>
  <c r="AL5" i="103"/>
  <c r="Y52" i="98"/>
  <c r="M29" i="104"/>
  <c r="D11" i="104" s="1"/>
  <c r="M29" i="108"/>
  <c r="D11" i="108" s="1"/>
  <c r="P6" i="98"/>
  <c r="W6" i="98" s="1"/>
  <c r="AF60" i="90"/>
  <c r="X53" i="98"/>
  <c r="X51" i="98"/>
  <c r="AA55" i="89"/>
  <c r="AA1" i="102"/>
  <c r="C15" i="102" s="1"/>
  <c r="Y38" i="102" s="1"/>
  <c r="AC85" i="113"/>
  <c r="AC116" i="116"/>
  <c r="AC121" i="116" s="1"/>
  <c r="AC122" i="116" s="1"/>
  <c r="AD55" i="89"/>
  <c r="P53" i="89"/>
  <c r="X53" i="109"/>
  <c r="Q5" i="94"/>
  <c r="W5" i="94" s="1"/>
  <c r="P9" i="87"/>
  <c r="P23" i="87" s="1"/>
  <c r="Q23" i="87" s="1"/>
  <c r="O50" i="88"/>
  <c r="M50" i="88" s="1"/>
  <c r="V78" i="93"/>
  <c r="W84" i="93" s="1"/>
  <c r="W87" i="93" s="1"/>
  <c r="W91" i="93" s="1"/>
  <c r="C36" i="93" s="1"/>
  <c r="AF65" i="90"/>
  <c r="AK5" i="103"/>
  <c r="AD85" i="112"/>
  <c r="AE65" i="90"/>
  <c r="AF62" i="91"/>
  <c r="P49" i="97"/>
  <c r="M49" i="97" s="1"/>
  <c r="Z54" i="98"/>
  <c r="Z54" i="110"/>
  <c r="Y54" i="110"/>
  <c r="O47" i="97"/>
  <c r="M47" i="97" s="1"/>
  <c r="P5" i="98"/>
  <c r="W5" i="98" s="1"/>
  <c r="AM43" i="98" s="1"/>
  <c r="AG23" i="83" s="1"/>
  <c r="AG36" i="83" s="1"/>
  <c r="AG38" i="83" s="1"/>
  <c r="L54" i="82" s="1"/>
  <c r="Q50" i="89"/>
  <c r="P48" i="88"/>
  <c r="M48" i="88" s="1"/>
  <c r="X53" i="110"/>
  <c r="AB85" i="112"/>
  <c r="AD85" i="113"/>
  <c r="P9" i="88"/>
  <c r="P21" i="88" s="1"/>
  <c r="O50" i="89"/>
  <c r="Z51" i="110"/>
  <c r="Y51" i="109"/>
  <c r="Z51" i="99"/>
  <c r="Y51" i="99"/>
  <c r="C11" i="108"/>
  <c r="Y53" i="99"/>
  <c r="X53" i="99"/>
  <c r="Z53" i="99"/>
  <c r="AE60" i="91"/>
  <c r="AD60" i="91"/>
  <c r="X51" i="109"/>
  <c r="C11" i="104"/>
  <c r="Y52" i="99"/>
  <c r="X52" i="99"/>
  <c r="Q13" i="94"/>
  <c r="R13" i="94"/>
  <c r="Q6" i="94"/>
  <c r="W6" i="94" s="1"/>
  <c r="AF55" i="89"/>
  <c r="Y51" i="110"/>
  <c r="AI116" i="116"/>
  <c r="AJ116" i="116" s="1"/>
  <c r="AH121" i="116" s="1"/>
  <c r="AH122" i="116" s="1"/>
  <c r="Z53" i="109"/>
  <c r="Z53" i="110"/>
  <c r="AD84" i="112"/>
  <c r="Q24" i="89"/>
  <c r="AC84" i="112"/>
  <c r="P14" i="89"/>
  <c r="Y52" i="110"/>
  <c r="Q53" i="89"/>
  <c r="Q19" i="89"/>
  <c r="AE62" i="91"/>
  <c r="Q21" i="89"/>
  <c r="AS24" i="83" l="1"/>
  <c r="AH43" i="110"/>
  <c r="AL24" i="83" s="1"/>
  <c r="AL43" i="110"/>
  <c r="AP24" i="83" s="1"/>
  <c r="AI43" i="110"/>
  <c r="AM24" i="83" s="1"/>
  <c r="AJ43" i="110"/>
  <c r="AN24" i="83" s="1"/>
  <c r="AF43" i="110"/>
  <c r="AG43" i="110"/>
  <c r="AK24" i="83" s="1"/>
  <c r="AK43" i="110"/>
  <c r="AO24" i="83" s="1"/>
  <c r="AM43" i="110"/>
  <c r="AQ24" i="83" s="1"/>
  <c r="V67" i="89"/>
  <c r="V68" i="89" s="1"/>
  <c r="Y68" i="89" s="1"/>
  <c r="Y69" i="89" s="1"/>
  <c r="DV28" i="83" s="1"/>
  <c r="AE35" i="98"/>
  <c r="AE35" i="109"/>
  <c r="M50" i="89"/>
  <c r="R19" i="108"/>
  <c r="M51" i="89"/>
  <c r="AE34" i="112"/>
  <c r="AE34" i="99"/>
  <c r="AE34" i="98"/>
  <c r="AE39" i="90"/>
  <c r="M53" i="89"/>
  <c r="AE36" i="112"/>
  <c r="AE36" i="113"/>
  <c r="AE35" i="99"/>
  <c r="AA38" i="102"/>
  <c r="AE34" i="90"/>
  <c r="AL43" i="98"/>
  <c r="AF23" i="83" s="1"/>
  <c r="AF36" i="83" s="1"/>
  <c r="AF38" i="83" s="1"/>
  <c r="K54" i="82" s="1"/>
  <c r="AE37" i="109"/>
  <c r="AE36" i="98"/>
  <c r="AE36" i="109"/>
  <c r="AE37" i="91"/>
  <c r="AF44" i="110"/>
  <c r="AT24" i="83" s="1"/>
  <c r="AM44" i="110"/>
  <c r="BA24" i="83" s="1"/>
  <c r="AL44" i="110"/>
  <c r="AZ24" i="83" s="1"/>
  <c r="AG44" i="110"/>
  <c r="AU24" i="83" s="1"/>
  <c r="AH44" i="110"/>
  <c r="AV24" i="83" s="1"/>
  <c r="AJ44" i="110"/>
  <c r="AX24" i="83" s="1"/>
  <c r="BC24" i="83"/>
  <c r="AI44" i="110"/>
  <c r="AW24" i="83" s="1"/>
  <c r="AK44" i="110"/>
  <c r="AY24" i="83" s="1"/>
  <c r="AE35" i="112"/>
  <c r="R26" i="104"/>
  <c r="S26" i="104" s="1"/>
  <c r="AD77" i="116"/>
  <c r="AE77" i="116" s="1"/>
  <c r="AF77" i="116" s="1"/>
  <c r="R24" i="104"/>
  <c r="S24" i="104" s="1"/>
  <c r="AE36" i="110"/>
  <c r="R20" i="104"/>
  <c r="S20" i="104" s="1"/>
  <c r="W13" i="95"/>
  <c r="W16" i="94" s="1"/>
  <c r="R23" i="108"/>
  <c r="S23" i="108" s="1"/>
  <c r="R18" i="104"/>
  <c r="S18" i="104" s="1"/>
  <c r="R21" i="108"/>
  <c r="S21" i="108" s="1"/>
  <c r="R23" i="104"/>
  <c r="S23" i="104" s="1"/>
  <c r="R19" i="104"/>
  <c r="S19" i="104" s="1"/>
  <c r="AE37" i="110"/>
  <c r="R20" i="108"/>
  <c r="S20" i="108" s="1"/>
  <c r="R22" i="104"/>
  <c r="S22" i="104" s="1"/>
  <c r="AG44" i="92"/>
  <c r="R25" i="108"/>
  <c r="S25" i="108" s="1"/>
  <c r="AE37" i="98"/>
  <c r="R25" i="104"/>
  <c r="S25" i="104" s="1"/>
  <c r="R21" i="104"/>
  <c r="S21" i="104" s="1"/>
  <c r="AI44" i="92"/>
  <c r="R18" i="108"/>
  <c r="S18" i="108" s="1"/>
  <c r="R22" i="108"/>
  <c r="S22" i="108" s="1"/>
  <c r="P20" i="87"/>
  <c r="Q20" i="87" s="1"/>
  <c r="AE35" i="110"/>
  <c r="R24" i="108"/>
  <c r="S24" i="108" s="1"/>
  <c r="AK43" i="98"/>
  <c r="AE23" i="83" s="1"/>
  <c r="AE36" i="83" s="1"/>
  <c r="AE38" i="83" s="1"/>
  <c r="I54" i="82" s="1"/>
  <c r="AJ43" i="98"/>
  <c r="AD23" i="83" s="1"/>
  <c r="AD36" i="83" s="1"/>
  <c r="AD38" i="83" s="1"/>
  <c r="H54" i="82" s="1"/>
  <c r="O52" i="97" a="1"/>
  <c r="Z38" i="102"/>
  <c r="AI43" i="98"/>
  <c r="AC23" i="83" s="1"/>
  <c r="AC36" i="83" s="1"/>
  <c r="AC38" i="83" s="1"/>
  <c r="G54" i="82" s="1"/>
  <c r="AI23" i="83"/>
  <c r="AI36" i="83" s="1"/>
  <c r="AI38" i="83" s="1"/>
  <c r="N54" i="82" s="1"/>
  <c r="W13" i="94"/>
  <c r="W16" i="95" s="1"/>
  <c r="AE36" i="91"/>
  <c r="AF43" i="98"/>
  <c r="Z23" i="83" s="1"/>
  <c r="Z36" i="83" s="1"/>
  <c r="Z38" i="83" s="1"/>
  <c r="D54" i="82" s="1"/>
  <c r="V38" i="102"/>
  <c r="R26" i="108"/>
  <c r="S26" i="108" s="1"/>
  <c r="Q23" i="89"/>
  <c r="Q20" i="89"/>
  <c r="AH43" i="94"/>
  <c r="AB28" i="83" s="1"/>
  <c r="AG43" i="94"/>
  <c r="AA28" i="83" s="1"/>
  <c r="AF43" i="94"/>
  <c r="Z28" i="83" s="1"/>
  <c r="AI28" i="83"/>
  <c r="AI43" i="94"/>
  <c r="AC28" i="83" s="1"/>
  <c r="AM43" i="94"/>
  <c r="AG28" i="83" s="1"/>
  <c r="AK43" i="94"/>
  <c r="AE28" i="83" s="1"/>
  <c r="AJ43" i="94"/>
  <c r="AD28" i="83" s="1"/>
  <c r="AL43" i="94"/>
  <c r="AF28" i="83" s="1"/>
  <c r="AH44" i="92"/>
  <c r="AL44" i="92"/>
  <c r="AD40" i="116"/>
  <c r="AE40" i="116" s="1"/>
  <c r="AF40" i="116" s="1"/>
  <c r="R22" i="89"/>
  <c r="AF44" i="92"/>
  <c r="P18" i="88"/>
  <c r="Q18" i="88" s="1"/>
  <c r="P23" i="88"/>
  <c r="Q23" i="88" s="1"/>
  <c r="P18" i="87"/>
  <c r="Q18" i="87" s="1"/>
  <c r="AM44" i="92"/>
  <c r="AE34" i="110"/>
  <c r="P22" i="87"/>
  <c r="Q22" i="87" s="1"/>
  <c r="AG43" i="98"/>
  <c r="AA23" i="83" s="1"/>
  <c r="AA36" i="83" s="1"/>
  <c r="AA38" i="83" s="1"/>
  <c r="E54" i="82" s="1"/>
  <c r="AH43" i="98"/>
  <c r="AB23" i="83" s="1"/>
  <c r="AB36" i="83" s="1"/>
  <c r="AB38" i="83" s="1"/>
  <c r="F54" i="82" s="1"/>
  <c r="P20" i="88"/>
  <c r="Q20" i="88" s="1"/>
  <c r="AE57" i="89"/>
  <c r="O13" i="87"/>
  <c r="O13" i="88"/>
  <c r="P22" i="88"/>
  <c r="Q22" i="88" s="1"/>
  <c r="P19" i="88"/>
  <c r="Q19" i="88" s="1"/>
  <c r="AK44" i="92"/>
  <c r="P19" i="87"/>
  <c r="AD73" i="116" s="1"/>
  <c r="AE73" i="116" s="1"/>
  <c r="AF73" i="116" s="1"/>
  <c r="AE34" i="109"/>
  <c r="P21" i="87"/>
  <c r="Q21" i="87" s="1"/>
  <c r="AM44" i="94"/>
  <c r="W28" i="83" s="1"/>
  <c r="AH44" i="94"/>
  <c r="R28" i="83" s="1"/>
  <c r="AI44" i="94"/>
  <c r="S28" i="83" s="1"/>
  <c r="AF44" i="94"/>
  <c r="Y28" i="83"/>
  <c r="AG44" i="94"/>
  <c r="Q28" i="83" s="1"/>
  <c r="AK44" i="94"/>
  <c r="U28" i="83" s="1"/>
  <c r="AL44" i="94"/>
  <c r="V28" i="83" s="1"/>
  <c r="AJ44" i="94"/>
  <c r="T28" i="83" s="1"/>
  <c r="AE36" i="99"/>
  <c r="AJ24" i="83"/>
  <c r="AN43" i="110" a="1"/>
  <c r="AO43" i="110" a="1"/>
  <c r="AD39" i="116"/>
  <c r="AE39" i="116" s="1"/>
  <c r="AF39" i="116" s="1"/>
  <c r="R21" i="89"/>
  <c r="AE34" i="91"/>
  <c r="S19" i="108"/>
  <c r="Q21" i="88"/>
  <c r="AD15" i="116"/>
  <c r="AE15" i="116" s="1"/>
  <c r="AF15" i="116" s="1"/>
  <c r="Y23" i="83"/>
  <c r="Y36" i="83" s="1"/>
  <c r="Y38" i="83" s="1"/>
  <c r="N53" i="82" s="1"/>
  <c r="AF44" i="98"/>
  <c r="AG44" i="98"/>
  <c r="Q23" i="83" s="1"/>
  <c r="Q36" i="83" s="1"/>
  <c r="Q38" i="83" s="1"/>
  <c r="E53" i="82" s="1"/>
  <c r="AH44" i="98"/>
  <c r="R23" i="83" s="1"/>
  <c r="R36" i="83" s="1"/>
  <c r="R38" i="83" s="1"/>
  <c r="F53" i="82" s="1"/>
  <c r="AK44" i="98"/>
  <c r="U23" i="83" s="1"/>
  <c r="U36" i="83" s="1"/>
  <c r="U38" i="83" s="1"/>
  <c r="I53" i="82" s="1"/>
  <c r="AI44" i="98"/>
  <c r="S23" i="83" s="1"/>
  <c r="S36" i="83" s="1"/>
  <c r="S38" i="83" s="1"/>
  <c r="G53" i="82" s="1"/>
  <c r="AJ44" i="98"/>
  <c r="T23" i="83" s="1"/>
  <c r="T36" i="83" s="1"/>
  <c r="T38" i="83" s="1"/>
  <c r="H53" i="82" s="1"/>
  <c r="AL44" i="98"/>
  <c r="V23" i="83" s="1"/>
  <c r="V36" i="83" s="1"/>
  <c r="V38" i="83" s="1"/>
  <c r="K53" i="82" s="1"/>
  <c r="AM44" i="98"/>
  <c r="W23" i="83" s="1"/>
  <c r="W36" i="83" s="1"/>
  <c r="W38" i="83" s="1"/>
  <c r="L53" i="82" s="1"/>
  <c r="AD37" i="116"/>
  <c r="AE37" i="116" s="1"/>
  <c r="AF37" i="116" s="1"/>
  <c r="R19" i="89"/>
  <c r="R24" i="89"/>
  <c r="AD42" i="116"/>
  <c r="AE42" i="116" s="1"/>
  <c r="AF42" i="116" s="1"/>
  <c r="AO43" i="110" l="1"/>
  <c r="AP43" i="110" s="1"/>
  <c r="AN43" i="110"/>
  <c r="AR24" i="83" s="1"/>
  <c r="D25" i="108"/>
  <c r="D25" i="101"/>
  <c r="D25" i="104"/>
  <c r="D25" i="114"/>
  <c r="D25" i="93"/>
  <c r="D25" i="111"/>
  <c r="D25" i="96"/>
  <c r="D21" i="111"/>
  <c r="D21" i="93"/>
  <c r="D21" i="104"/>
  <c r="D21" i="96"/>
  <c r="D21" i="114"/>
  <c r="D21" i="101"/>
  <c r="D21" i="108"/>
  <c r="AC38" i="102"/>
  <c r="AD38" i="102" s="1"/>
  <c r="P13" i="98" a="1"/>
  <c r="P13" i="98" s="1"/>
  <c r="AO44" i="110" a="1"/>
  <c r="AO44" i="110" s="1"/>
  <c r="AP44" i="110" s="1"/>
  <c r="AN44" i="110" a="1"/>
  <c r="AN44" i="110" s="1"/>
  <c r="BB24" i="83" s="1"/>
  <c r="P13" i="109" a="1"/>
  <c r="P13" i="109" s="1"/>
  <c r="P13" i="91" a="1"/>
  <c r="P13" i="91" s="1"/>
  <c r="AN43" i="94" a="1"/>
  <c r="AN43" i="94" s="1"/>
  <c r="AH28" i="83" s="1"/>
  <c r="AD14" i="116"/>
  <c r="AE14" i="116" s="1"/>
  <c r="AF14" i="116" s="1"/>
  <c r="W19" i="95"/>
  <c r="W22" i="95" s="1"/>
  <c r="AD74" i="116"/>
  <c r="AE74" i="116" s="1"/>
  <c r="AF74" i="116" s="1"/>
  <c r="W14" i="95"/>
  <c r="I28" i="83" s="1"/>
  <c r="W14" i="94"/>
  <c r="F28" i="83" s="1"/>
  <c r="AD75" i="116"/>
  <c r="AE75" i="116" s="1"/>
  <c r="AF75" i="116" s="1"/>
  <c r="W19" i="94"/>
  <c r="W22" i="94" s="1"/>
  <c r="AD72" i="116"/>
  <c r="AE72" i="116" s="1"/>
  <c r="AF72" i="116" s="1"/>
  <c r="Q19" i="87"/>
  <c r="P13" i="110" a="1"/>
  <c r="Q13" i="110" s="1"/>
  <c r="R23" i="89"/>
  <c r="AD41" i="116"/>
  <c r="AE41" i="116" s="1"/>
  <c r="AF41" i="116" s="1"/>
  <c r="R20" i="89"/>
  <c r="AD38" i="116"/>
  <c r="AE38" i="116" s="1"/>
  <c r="AF38" i="116" s="1"/>
  <c r="AO43" i="94" a="1"/>
  <c r="AO43" i="94" s="1"/>
  <c r="AP43" i="94" s="1"/>
  <c r="AD13" i="116"/>
  <c r="AE13" i="116" s="1"/>
  <c r="AF13" i="116" s="1"/>
  <c r="O52" i="97"/>
  <c r="P52" i="97"/>
  <c r="Q52" i="97"/>
  <c r="AD16" i="116"/>
  <c r="AE16" i="116" s="1"/>
  <c r="AF16" i="116" s="1"/>
  <c r="AN44" i="92" a="1"/>
  <c r="AN44" i="92" s="1"/>
  <c r="AO44" i="92" a="1"/>
  <c r="AO44" i="92" s="1"/>
  <c r="AP44" i="92" s="1"/>
  <c r="AD17" i="116"/>
  <c r="AE17" i="116" s="1"/>
  <c r="AF17" i="116" s="1"/>
  <c r="AD12" i="116"/>
  <c r="AE12" i="116" s="1"/>
  <c r="AF12" i="116" s="1"/>
  <c r="AO43" i="98" a="1"/>
  <c r="AO43" i="98" s="1"/>
  <c r="AP43" i="98" s="1"/>
  <c r="AD76" i="116"/>
  <c r="AE76" i="116" s="1"/>
  <c r="AF76" i="116" s="1"/>
  <c r="AN43" i="98" a="1"/>
  <c r="AN43" i="98" s="1"/>
  <c r="AH23" i="83" s="1"/>
  <c r="AH36" i="83" s="1"/>
  <c r="AH38" i="83" s="1"/>
  <c r="M54" i="82" s="1"/>
  <c r="AO44" i="98" a="1"/>
  <c r="AO44" i="98" s="1"/>
  <c r="AP44" i="98" s="1"/>
  <c r="P23" i="83"/>
  <c r="P36" i="83" s="1"/>
  <c r="P38" i="83" s="1"/>
  <c r="D53" i="82" s="1"/>
  <c r="AN44" i="98" a="1"/>
  <c r="AN44" i="98" s="1"/>
  <c r="X23" i="83" s="1"/>
  <c r="X36" i="83" s="1"/>
  <c r="X38" i="83" s="1"/>
  <c r="M53" i="82" s="1"/>
  <c r="U28" i="108" a="1"/>
  <c r="P28" i="83"/>
  <c r="AN44" i="94" a="1"/>
  <c r="AN44" i="94" s="1"/>
  <c r="X28" i="83" s="1"/>
  <c r="AO44" i="94" a="1"/>
  <c r="AO44" i="94" s="1"/>
  <c r="AP44" i="94" s="1"/>
  <c r="U28" i="104" a="1"/>
  <c r="Q13" i="98" l="1"/>
  <c r="S13" i="91"/>
  <c r="R13" i="91"/>
  <c r="AP34" i="102"/>
  <c r="CV25" i="83" s="1"/>
  <c r="CV36" i="83" s="1" a="1"/>
  <c r="CV36" i="83" s="1"/>
  <c r="CV38" i="83" s="1"/>
  <c r="L37" i="82" s="1"/>
  <c r="AS34" i="102"/>
  <c r="CX25" i="83" s="1"/>
  <c r="CX36" i="83" s="1" a="1"/>
  <c r="CX36" i="83" s="1"/>
  <c r="CR39" i="83" s="1"/>
  <c r="L45" i="82" s="1"/>
  <c r="R13" i="98"/>
  <c r="W13" i="98" s="1"/>
  <c r="W14" i="98" s="1"/>
  <c r="F23" i="83" s="1"/>
  <c r="Q13" i="91"/>
  <c r="W13" i="91" s="1"/>
  <c r="W14" i="91" s="1"/>
  <c r="I29" i="83" s="1"/>
  <c r="R13" i="109"/>
  <c r="Q13" i="109"/>
  <c r="K28" i="83"/>
  <c r="L28" i="83" s="1"/>
  <c r="P13" i="110"/>
  <c r="R13" i="110"/>
  <c r="F63" i="97"/>
  <c r="F64" i="97" s="1"/>
  <c r="I64" i="97" s="1"/>
  <c r="I65" i="97" s="1"/>
  <c r="DU25" i="83" s="1"/>
  <c r="DU26" i="83" s="1"/>
  <c r="D12" i="104"/>
  <c r="U28" i="104"/>
  <c r="D12" i="108"/>
  <c r="U28" i="108"/>
  <c r="CR38" i="83" l="1"/>
  <c r="L44" i="82" s="1"/>
  <c r="CX38" i="83" a="1"/>
  <c r="CX38" i="83" s="1"/>
  <c r="L41" i="82" s="1"/>
  <c r="CZ38" i="83"/>
  <c r="L47" i="82" s="1"/>
  <c r="CT38" i="83"/>
  <c r="L46" i="82" s="1"/>
  <c r="W13" i="109"/>
  <c r="W14" i="109" s="1"/>
  <c r="F24" i="83" s="1"/>
  <c r="W16" i="90"/>
  <c r="W13" i="110"/>
  <c r="DU27" i="83"/>
  <c r="U18" i="108"/>
  <c r="V18" i="108" s="1"/>
  <c r="X18" i="108" s="1"/>
  <c r="U19" i="108"/>
  <c r="V19" i="108" s="1"/>
  <c r="X19" i="108" s="1"/>
  <c r="U20" i="108"/>
  <c r="V20" i="108" s="1"/>
  <c r="X20" i="108" s="1"/>
  <c r="C12" i="108"/>
  <c r="E12" i="108" s="1"/>
  <c r="F12" i="108" s="1"/>
  <c r="U21" i="108"/>
  <c r="V21" i="108" s="1"/>
  <c r="X21" i="108" s="1"/>
  <c r="U22" i="108"/>
  <c r="V22" i="108" s="1"/>
  <c r="X22" i="108" s="1"/>
  <c r="U23" i="108"/>
  <c r="V23" i="108" s="1"/>
  <c r="X23" i="108" s="1"/>
  <c r="U26" i="108"/>
  <c r="V26" i="108" s="1"/>
  <c r="X26" i="108" s="1"/>
  <c r="U25" i="108"/>
  <c r="V25" i="108" s="1"/>
  <c r="X25" i="108" s="1"/>
  <c r="U24" i="108"/>
  <c r="V24" i="108" s="1"/>
  <c r="X24" i="108" s="1"/>
  <c r="U25" i="104"/>
  <c r="V25" i="104" s="1"/>
  <c r="X25" i="104" s="1"/>
  <c r="U20" i="104"/>
  <c r="V20" i="104" s="1"/>
  <c r="X20" i="104" s="1"/>
  <c r="U21" i="104"/>
  <c r="V21" i="104" s="1"/>
  <c r="X21" i="104" s="1"/>
  <c r="U19" i="104"/>
  <c r="V19" i="104" s="1"/>
  <c r="X19" i="104" s="1"/>
  <c r="U23" i="104"/>
  <c r="V23" i="104" s="1"/>
  <c r="X23" i="104" s="1"/>
  <c r="C12" i="104"/>
  <c r="E12" i="104" s="1"/>
  <c r="F12" i="104" s="1"/>
  <c r="U26" i="104"/>
  <c r="V26" i="104" s="1"/>
  <c r="X26" i="104" s="1"/>
  <c r="U22" i="104"/>
  <c r="V22" i="104" s="1"/>
  <c r="X22" i="104" s="1"/>
  <c r="U24" i="104"/>
  <c r="V24" i="104" s="1"/>
  <c r="X24" i="104" s="1"/>
  <c r="U18" i="104"/>
  <c r="V18" i="104" s="1"/>
  <c r="X18" i="104" s="1"/>
  <c r="W16" i="109" l="1"/>
  <c r="W19" i="109" s="1"/>
  <c r="W22" i="109" s="1"/>
  <c r="W14" i="110"/>
  <c r="I24" i="83" s="1"/>
  <c r="K24" i="83" s="1"/>
  <c r="L24" i="83" s="1"/>
  <c r="X28" i="108" a="1"/>
  <c r="X28" i="108" s="1"/>
  <c r="X28" i="104" a="1"/>
  <c r="X28" i="104" s="1"/>
  <c r="AD62" i="90" l="1" a="1"/>
  <c r="AD62" i="90" s="1"/>
  <c r="O49" i="87" a="1"/>
  <c r="P49" i="87" s="1"/>
  <c r="AD63" i="90" a="1"/>
  <c r="AE63" i="90" s="1"/>
  <c r="P9" i="97" a="1"/>
  <c r="Q9" i="97" s="1"/>
  <c r="O9" i="97" s="1"/>
  <c r="X54" i="99" a="1"/>
  <c r="Y54" i="99" s="1"/>
  <c r="O50" i="87" a="1"/>
  <c r="O50" i="87" s="1"/>
  <c r="O52" i="89" a="1"/>
  <c r="Q52" i="89" s="1"/>
  <c r="AB86" i="113" a="1"/>
  <c r="AC86" i="113" s="1"/>
  <c r="O47" i="88" a="1"/>
  <c r="O48" i="87" a="1"/>
  <c r="P48" i="87" s="1"/>
  <c r="O49" i="88" a="1"/>
  <c r="P49" i="88" s="1"/>
  <c r="AB86" i="112" a="1"/>
  <c r="AD86" i="112" s="1"/>
  <c r="P5" i="95" a="1"/>
  <c r="Q5" i="95" s="1"/>
  <c r="O49" i="88" l="1"/>
  <c r="AD63" i="90"/>
  <c r="AB86" i="112"/>
  <c r="AC86" i="112"/>
  <c r="P50" i="87"/>
  <c r="M50" i="87" s="1"/>
  <c r="AE62" i="90"/>
  <c r="P9" i="97"/>
  <c r="P22" i="97" s="1"/>
  <c r="AF62" i="90"/>
  <c r="O49" i="87"/>
  <c r="M49" i="87" s="1"/>
  <c r="M49" i="88"/>
  <c r="AB86" i="113"/>
  <c r="AD86" i="113"/>
  <c r="O47" i="88"/>
  <c r="P47" i="88"/>
  <c r="O52" i="89"/>
  <c r="P52" i="89"/>
  <c r="X54" i="99"/>
  <c r="Z54" i="99"/>
  <c r="AF63" i="90"/>
  <c r="P5" i="95"/>
  <c r="W5" i="95" s="1"/>
  <c r="O48" i="87"/>
  <c r="M48" i="87" s="1"/>
  <c r="P19" i="97" l="1"/>
  <c r="AE36" i="90"/>
  <c r="AE37" i="90"/>
  <c r="AE37" i="112"/>
  <c r="P18" i="112" s="1" a="1"/>
  <c r="P21" i="97"/>
  <c r="Q21" i="97" s="1"/>
  <c r="P20" i="97"/>
  <c r="Q20" i="97" s="1"/>
  <c r="P23" i="97"/>
  <c r="Q23" i="97" s="1"/>
  <c r="Q22" i="97"/>
  <c r="AD53" i="116"/>
  <c r="AE53" i="116" s="1"/>
  <c r="AF53" i="116" s="1"/>
  <c r="AE37" i="99"/>
  <c r="P13" i="99" s="1" a="1"/>
  <c r="P13" i="99" s="1"/>
  <c r="O13" i="97"/>
  <c r="M47" i="88"/>
  <c r="O52" i="88" s="1" a="1"/>
  <c r="P52" i="88" s="1"/>
  <c r="P18" i="97"/>
  <c r="AD51" i="116"/>
  <c r="AD50" i="116"/>
  <c r="Q19" i="97"/>
  <c r="M52" i="89"/>
  <c r="O55" i="89" s="1" a="1"/>
  <c r="O52" i="87" a="1"/>
  <c r="AS28" i="83"/>
  <c r="AH43" i="95"/>
  <c r="AL28" i="83" s="1"/>
  <c r="AF43" i="95"/>
  <c r="AI43" i="95"/>
  <c r="AM28" i="83" s="1"/>
  <c r="AL43" i="95"/>
  <c r="AP28" i="83" s="1"/>
  <c r="AK43" i="95"/>
  <c r="AO28" i="83" s="1"/>
  <c r="AJ43" i="95"/>
  <c r="AN28" i="83" s="1"/>
  <c r="AG43" i="95"/>
  <c r="AK28" i="83" s="1"/>
  <c r="AM43" i="95"/>
  <c r="AQ28" i="83" s="1"/>
  <c r="AE37" i="113"/>
  <c r="P18" i="113" s="1" a="1"/>
  <c r="P13" i="90" l="1" a="1"/>
  <c r="R13" i="90" s="1"/>
  <c r="AD54" i="116"/>
  <c r="AD52" i="116"/>
  <c r="AD65" i="116"/>
  <c r="R13" i="99"/>
  <c r="Q13" i="99"/>
  <c r="Q52" i="88"/>
  <c r="O52" i="88"/>
  <c r="Q18" i="112"/>
  <c r="R18" i="112"/>
  <c r="P18" i="112"/>
  <c r="AD49" i="116"/>
  <c r="Q18" i="97"/>
  <c r="AE65" i="116"/>
  <c r="F29" i="116"/>
  <c r="AD66" i="116"/>
  <c r="AE54" i="116"/>
  <c r="AF54" i="116" s="1"/>
  <c r="AE52" i="116"/>
  <c r="AF52" i="116" s="1"/>
  <c r="AD64" i="116"/>
  <c r="AD62" i="116"/>
  <c r="AE50" i="116"/>
  <c r="AF50" i="116" s="1"/>
  <c r="P18" i="113"/>
  <c r="Q18" i="113"/>
  <c r="R18" i="113"/>
  <c r="Q52" i="87"/>
  <c r="O52" i="87"/>
  <c r="P52" i="87"/>
  <c r="O55" i="89"/>
  <c r="P55" i="89"/>
  <c r="Q55" i="89"/>
  <c r="AD63" i="116"/>
  <c r="AE51" i="116"/>
  <c r="AF51" i="116" s="1"/>
  <c r="AN43" i="95" a="1"/>
  <c r="AN43" i="95" s="1"/>
  <c r="AR28" i="83" s="1"/>
  <c r="AO43" i="95" a="1"/>
  <c r="AO43" i="95" s="1"/>
  <c r="AP43" i="95" s="1"/>
  <c r="AJ28" i="83"/>
  <c r="F63" i="88" l="1"/>
  <c r="F64" i="88" s="1"/>
  <c r="I64" i="88" s="1"/>
  <c r="I65" i="88" s="1"/>
  <c r="DU23" i="83" s="1"/>
  <c r="W13" i="99"/>
  <c r="W14" i="99" s="1"/>
  <c r="W16" i="98" s="1"/>
  <c r="W19" i="98" s="1"/>
  <c r="W22" i="98" s="1"/>
  <c r="Q13" i="90"/>
  <c r="P13" i="90"/>
  <c r="S13" i="90"/>
  <c r="W16" i="112"/>
  <c r="W16" i="113"/>
  <c r="W17" i="113" s="1"/>
  <c r="AE49" i="116"/>
  <c r="AF49" i="116" s="1"/>
  <c r="AD61" i="116"/>
  <c r="F30" i="116"/>
  <c r="AE66" i="116"/>
  <c r="AE62" i="116"/>
  <c r="F26" i="116"/>
  <c r="AE64" i="116"/>
  <c r="F28" i="116"/>
  <c r="W19" i="112"/>
  <c r="F63" i="87"/>
  <c r="F64" i="87" s="1"/>
  <c r="I64" i="87" s="1"/>
  <c r="I65" i="87" s="1"/>
  <c r="DU29" i="83" s="1"/>
  <c r="DU36" i="83" s="1"/>
  <c r="AE63" i="116"/>
  <c r="F27" i="116"/>
  <c r="AF65" i="116"/>
  <c r="H29" i="116" s="1"/>
  <c r="G29" i="116"/>
  <c r="G66" i="89"/>
  <c r="G67" i="89" s="1"/>
  <c r="J67" i="89" s="1"/>
  <c r="J68" i="89" s="1"/>
  <c r="DU28" i="83" s="1"/>
  <c r="I23" i="83" l="1"/>
  <c r="K23" i="83" s="1"/>
  <c r="L23" i="83" s="1"/>
  <c r="W16" i="110"/>
  <c r="W19" i="110" s="1"/>
  <c r="W22" i="110" s="1"/>
  <c r="W13" i="90"/>
  <c r="W16" i="92" s="1"/>
  <c r="W19" i="92" s="1"/>
  <c r="W22" i="92" s="1"/>
  <c r="W14" i="90"/>
  <c r="W16" i="91" s="1"/>
  <c r="W19" i="91" s="1"/>
  <c r="W22" i="91" s="1"/>
  <c r="W22" i="112"/>
  <c r="W24" i="112" s="1"/>
  <c r="I25" i="83"/>
  <c r="I36" i="83" s="1"/>
  <c r="F25" i="83"/>
  <c r="W17" i="112"/>
  <c r="F25" i="116"/>
  <c r="AE61" i="116"/>
  <c r="AF63" i="116"/>
  <c r="H27" i="116" s="1"/>
  <c r="G27" i="116"/>
  <c r="G28" i="116"/>
  <c r="AF64" i="116"/>
  <c r="H28" i="116" s="1"/>
  <c r="G26" i="116"/>
  <c r="AF62" i="116"/>
  <c r="H26" i="116" s="1"/>
  <c r="G30" i="116"/>
  <c r="G34" i="116" s="1"/>
  <c r="AF66" i="116"/>
  <c r="H30" i="116" s="1"/>
  <c r="H34" i="116" s="1"/>
  <c r="W19" i="90" l="1"/>
  <c r="W22" i="90" s="1"/>
  <c r="K25" i="83"/>
  <c r="L25" i="83" s="1"/>
  <c r="F29" i="83"/>
  <c r="K29" i="83" s="1"/>
  <c r="F36" i="83"/>
  <c r="F38" i="83" s="1"/>
  <c r="E43" i="82" s="1"/>
  <c r="G25" i="116"/>
  <c r="F43" i="116" s="1"/>
  <c r="AF61" i="116"/>
  <c r="H25" i="116" s="1"/>
  <c r="G43" i="116" s="1"/>
  <c r="F44" i="116" l="1" a="1"/>
  <c r="F44" i="116" s="1"/>
  <c r="G44" i="116" a="1"/>
  <c r="G44" i="116" s="1"/>
  <c r="F38" i="116"/>
  <c r="G38" i="116" s="1"/>
  <c r="F39" i="116"/>
  <c r="G39" i="116" s="1"/>
  <c r="L29" i="83"/>
  <c r="L36" i="83" s="1"/>
  <c r="K36" i="83"/>
  <c r="O8" i="116" l="1"/>
  <c r="DL27" i="83" s="1"/>
  <c r="O9" i="116"/>
  <c r="DL28" i="83" s="1"/>
  <c r="N8" i="116"/>
  <c r="DK27" i="83" s="1"/>
  <c r="N9" i="116"/>
  <c r="DK28" i="83" s="1"/>
  <c r="N6" i="116"/>
  <c r="DK25" i="83" s="1"/>
  <c r="N7" i="116"/>
  <c r="DK26" i="83" s="1"/>
  <c r="N4" i="116"/>
  <c r="DK23" i="83" s="1"/>
  <c r="O10" i="116"/>
  <c r="DL29" i="83" s="1"/>
  <c r="N10" i="116"/>
  <c r="DK29" i="83" s="1"/>
  <c r="O7" i="116"/>
  <c r="DL26" i="83" s="1"/>
  <c r="O6" i="116"/>
  <c r="DL25" i="83" s="1"/>
  <c r="O4" i="116"/>
  <c r="DL23" i="83" s="1"/>
  <c r="DK36" i="83" l="1"/>
  <c r="DK38" i="83" s="1"/>
  <c r="T22" i="82" s="1"/>
  <c r="DL36" i="83"/>
  <c r="DL38" i="83" s="1"/>
  <c r="T21" i="82" s="1"/>
  <c r="C9" i="118"/>
  <c r="T23" i="82"/>
  <c r="C10" i="118" s="1"/>
  <c r="J24" i="118" s="1"/>
  <c r="R24" i="118" s="1"/>
  <c r="S7" i="118" l="1"/>
  <c r="O7" i="118" s="1"/>
  <c r="J10" i="118"/>
  <c r="R10" i="118" s="1"/>
  <c r="J20" i="118"/>
  <c r="R20" i="118" s="1"/>
  <c r="S22" i="118"/>
  <c r="T22" i="118" s="1"/>
  <c r="L22" i="118" s="1"/>
  <c r="J16" i="118"/>
  <c r="R16" i="118" s="1"/>
  <c r="S13" i="118"/>
  <c r="O13" i="118" s="1"/>
  <c r="J49" i="118"/>
  <c r="R49" i="118" s="1"/>
  <c r="Q49" i="118" s="1"/>
  <c r="K49" i="118" s="1"/>
  <c r="I49" i="118" s="1"/>
  <c r="J29" i="118"/>
  <c r="R29" i="118" s="1"/>
  <c r="Q29" i="118" s="1"/>
  <c r="K29" i="118" s="1"/>
  <c r="I29" i="118" s="1"/>
  <c r="J35" i="118"/>
  <c r="R35" i="118" s="1"/>
  <c r="Q35" i="118" s="1"/>
  <c r="K35" i="118" s="1"/>
  <c r="I35" i="118" s="1"/>
  <c r="J21" i="118"/>
  <c r="R21" i="118" s="1"/>
  <c r="Q21" i="118" s="1"/>
  <c r="K21" i="118" s="1"/>
  <c r="I21" i="118" s="1"/>
  <c r="S20" i="118"/>
  <c r="O20" i="118" s="1"/>
  <c r="J38" i="118"/>
  <c r="R38" i="118" s="1"/>
  <c r="N38" i="118" s="1"/>
  <c r="J50" i="118"/>
  <c r="R50" i="118" s="1"/>
  <c r="N50" i="118" s="1"/>
  <c r="S25" i="118"/>
  <c r="T25" i="118" s="1"/>
  <c r="L25" i="118" s="1"/>
  <c r="J43" i="118"/>
  <c r="R43" i="118" s="1"/>
  <c r="Q43" i="118" s="1"/>
  <c r="K43" i="118" s="1"/>
  <c r="I43" i="118" s="1"/>
  <c r="S16" i="118"/>
  <c r="O16" i="118" s="1"/>
  <c r="J13" i="118"/>
  <c r="R13" i="118" s="1"/>
  <c r="Q13" i="118" s="1"/>
  <c r="K13" i="118" s="1"/>
  <c r="I13" i="118" s="1"/>
  <c r="S6" i="118"/>
  <c r="T6" i="118" s="1"/>
  <c r="L6" i="118" s="1"/>
  <c r="S21" i="118"/>
  <c r="O21" i="118" s="1"/>
  <c r="S43" i="118"/>
  <c r="O43" i="118" s="1"/>
  <c r="S28" i="118"/>
  <c r="O28" i="118" s="1"/>
  <c r="J9" i="118"/>
  <c r="R9" i="118" s="1"/>
  <c r="Q9" i="118" s="1"/>
  <c r="K9" i="118" s="1"/>
  <c r="I9" i="118" s="1"/>
  <c r="S9" i="118"/>
  <c r="T9" i="118" s="1"/>
  <c r="L9" i="118" s="1"/>
  <c r="S50" i="118"/>
  <c r="T50" i="118" s="1"/>
  <c r="L50" i="118" s="1"/>
  <c r="S46" i="118"/>
  <c r="T46" i="118" s="1"/>
  <c r="L46" i="118" s="1"/>
  <c r="J41" i="118"/>
  <c r="R41" i="118" s="1"/>
  <c r="N41" i="118" s="1"/>
  <c r="J28" i="118"/>
  <c r="R28" i="118" s="1"/>
  <c r="N28" i="118" s="1"/>
  <c r="S30" i="118"/>
  <c r="T30" i="118" s="1"/>
  <c r="L30" i="118" s="1"/>
  <c r="S45" i="118"/>
  <c r="T45" i="118" s="1"/>
  <c r="L45" i="118" s="1"/>
  <c r="S8" i="118"/>
  <c r="T8" i="118" s="1"/>
  <c r="L8" i="118" s="1"/>
  <c r="S32" i="118"/>
  <c r="T32" i="118" s="1"/>
  <c r="L32" i="118" s="1"/>
  <c r="S48" i="118"/>
  <c r="O48" i="118" s="1"/>
  <c r="J22" i="118"/>
  <c r="R22" i="118" s="1"/>
  <c r="N22" i="118" s="1"/>
  <c r="J47" i="118"/>
  <c r="R47" i="118" s="1"/>
  <c r="N47" i="118" s="1"/>
  <c r="S15" i="118"/>
  <c r="T15" i="118" s="1"/>
  <c r="L15" i="118" s="1"/>
  <c r="J17" i="118"/>
  <c r="R17" i="118" s="1"/>
  <c r="Q17" i="118" s="1"/>
  <c r="K17" i="118" s="1"/>
  <c r="I17" i="118" s="1"/>
  <c r="S17" i="118"/>
  <c r="T17" i="118" s="1"/>
  <c r="L17" i="118" s="1"/>
  <c r="J12" i="118"/>
  <c r="R12" i="118" s="1"/>
  <c r="Q12" i="118" s="1"/>
  <c r="K12" i="118" s="1"/>
  <c r="I12" i="118" s="1"/>
  <c r="S37" i="118"/>
  <c r="O37" i="118" s="1"/>
  <c r="S24" i="118"/>
  <c r="O24" i="118" s="1"/>
  <c r="S23" i="118"/>
  <c r="O23" i="118" s="1"/>
  <c r="J48" i="118"/>
  <c r="R48" i="118" s="1"/>
  <c r="Q48" i="118" s="1"/>
  <c r="K48" i="118" s="1"/>
  <c r="I48" i="118" s="1"/>
  <c r="J15" i="118"/>
  <c r="R15" i="118" s="1"/>
  <c r="N15" i="118" s="1"/>
  <c r="S19" i="118"/>
  <c r="O19" i="118" s="1"/>
  <c r="J37" i="118"/>
  <c r="R37" i="118" s="1"/>
  <c r="N37" i="118" s="1"/>
  <c r="J11" i="118"/>
  <c r="R11" i="118" s="1"/>
  <c r="N11" i="118" s="1"/>
  <c r="S18" i="118"/>
  <c r="O18" i="118" s="1"/>
  <c r="J34" i="118"/>
  <c r="R34" i="118" s="1"/>
  <c r="Q34" i="118" s="1"/>
  <c r="K34" i="118" s="1"/>
  <c r="I34" i="118" s="1"/>
  <c r="S39" i="118"/>
  <c r="O39" i="118" s="1"/>
  <c r="S29" i="118"/>
  <c r="O29" i="118" s="1"/>
  <c r="J45" i="118"/>
  <c r="R45" i="118" s="1"/>
  <c r="Q45" i="118" s="1"/>
  <c r="K45" i="118" s="1"/>
  <c r="I45" i="118" s="1"/>
  <c r="S36" i="118"/>
  <c r="T36" i="118" s="1"/>
  <c r="L36" i="118" s="1"/>
  <c r="S41" i="118"/>
  <c r="T41" i="118" s="1"/>
  <c r="L41" i="118" s="1"/>
  <c r="S26" i="118"/>
  <c r="T26" i="118" s="1"/>
  <c r="L26" i="118" s="1"/>
  <c r="J30" i="118"/>
  <c r="R30" i="118" s="1"/>
  <c r="N30" i="118" s="1"/>
  <c r="S44" i="118"/>
  <c r="O44" i="118" s="1"/>
  <c r="J32" i="118"/>
  <c r="R32" i="118" s="1"/>
  <c r="Q32" i="118" s="1"/>
  <c r="K32" i="118" s="1"/>
  <c r="I32" i="118" s="1"/>
  <c r="J40" i="118"/>
  <c r="R40" i="118" s="1"/>
  <c r="N40" i="118" s="1"/>
  <c r="S12" i="118"/>
  <c r="O12" i="118" s="1"/>
  <c r="S10" i="118"/>
  <c r="J6" i="118"/>
  <c r="W6" i="118" s="1"/>
  <c r="AM10" i="82" s="1"/>
  <c r="S40" i="118"/>
  <c r="J7" i="118"/>
  <c r="R7" i="118" s="1"/>
  <c r="N7" i="118" s="1"/>
  <c r="S38" i="118"/>
  <c r="O38" i="118" s="1"/>
  <c r="J39" i="118"/>
  <c r="R39" i="118" s="1"/>
  <c r="Q39" i="118" s="1"/>
  <c r="K39" i="118" s="1"/>
  <c r="I39" i="118" s="1"/>
  <c r="S33" i="118"/>
  <c r="T33" i="118" s="1"/>
  <c r="L33" i="118" s="1"/>
  <c r="J46" i="118"/>
  <c r="R46" i="118" s="1"/>
  <c r="N46" i="118" s="1"/>
  <c r="S35" i="118"/>
  <c r="J14" i="118"/>
  <c r="R14" i="118" s="1"/>
  <c r="Q14" i="118" s="1"/>
  <c r="K14" i="118" s="1"/>
  <c r="I14" i="118" s="1"/>
  <c r="J42" i="118"/>
  <c r="R42" i="118" s="1"/>
  <c r="Q42" i="118" s="1"/>
  <c r="K42" i="118" s="1"/>
  <c r="I42" i="118" s="1"/>
  <c r="J18" i="118"/>
  <c r="R18" i="118" s="1"/>
  <c r="N18" i="118" s="1"/>
  <c r="S11" i="118"/>
  <c r="O11" i="118" s="1"/>
  <c r="J26" i="118"/>
  <c r="R26" i="118" s="1"/>
  <c r="N26" i="118" s="1"/>
  <c r="S27" i="118"/>
  <c r="J27" i="118"/>
  <c r="R27" i="118" s="1"/>
  <c r="N27" i="118" s="1"/>
  <c r="J23" i="118"/>
  <c r="R23" i="118" s="1"/>
  <c r="Q23" i="118" s="1"/>
  <c r="K23" i="118" s="1"/>
  <c r="I23" i="118" s="1"/>
  <c r="J25" i="118"/>
  <c r="R25" i="118" s="1"/>
  <c r="N25" i="118" s="1"/>
  <c r="J8" i="118"/>
  <c r="R8" i="118" s="1"/>
  <c r="Q8" i="118" s="1"/>
  <c r="K8" i="118" s="1"/>
  <c r="I8" i="118" s="1"/>
  <c r="J3" i="118"/>
  <c r="R3" i="118" s="1"/>
  <c r="N3" i="118" s="1"/>
  <c r="C20" i="118" s="1"/>
  <c r="S49" i="118"/>
  <c r="T49" i="118" s="1"/>
  <c r="L49" i="118" s="1"/>
  <c r="J33" i="118"/>
  <c r="R33" i="118" s="1"/>
  <c r="Q33" i="118" s="1"/>
  <c r="K33" i="118" s="1"/>
  <c r="I33" i="118" s="1"/>
  <c r="J19" i="118"/>
  <c r="R19" i="118" s="1"/>
  <c r="N19" i="118" s="1"/>
  <c r="J44" i="118"/>
  <c r="R44" i="118" s="1"/>
  <c r="Q44" i="118" s="1"/>
  <c r="K44" i="118" s="1"/>
  <c r="I44" i="118" s="1"/>
  <c r="J31" i="118"/>
  <c r="R31" i="118" s="1"/>
  <c r="Q31" i="118" s="1"/>
  <c r="K31" i="118" s="1"/>
  <c r="I31" i="118" s="1"/>
  <c r="S42" i="118"/>
  <c r="O42" i="118" s="1"/>
  <c r="S31" i="118"/>
  <c r="T31" i="118" s="1"/>
  <c r="L31" i="118" s="1"/>
  <c r="S14" i="118"/>
  <c r="O14" i="118" s="1"/>
  <c r="J36" i="118"/>
  <c r="R36" i="118" s="1"/>
  <c r="N36" i="118" s="1"/>
  <c r="S47" i="118"/>
  <c r="S34" i="118"/>
  <c r="T34" i="118" s="1"/>
  <c r="L34" i="118" s="1"/>
  <c r="T20" i="118"/>
  <c r="L20" i="118" s="1"/>
  <c r="T21" i="118"/>
  <c r="L21" i="118" s="1"/>
  <c r="O6" i="118"/>
  <c r="O22" i="118"/>
  <c r="T7" i="118"/>
  <c r="L7" i="118" s="1"/>
  <c r="T28" i="118"/>
  <c r="L28" i="118" s="1"/>
  <c r="T43" i="118"/>
  <c r="L43" i="118" s="1"/>
  <c r="N16" i="118"/>
  <c r="Q16" i="118"/>
  <c r="K16" i="118" s="1"/>
  <c r="I16" i="118" s="1"/>
  <c r="N9" i="118"/>
  <c r="N24" i="118"/>
  <c r="Q24" i="118"/>
  <c r="K24" i="118" s="1"/>
  <c r="I24" i="118" s="1"/>
  <c r="Q20" i="118"/>
  <c r="K20" i="118" s="1"/>
  <c r="I20" i="118" s="1"/>
  <c r="N20" i="118"/>
  <c r="Q10" i="118"/>
  <c r="K10" i="118" s="1"/>
  <c r="I10" i="118" s="1"/>
  <c r="N10" i="118"/>
  <c r="N29" i="118" l="1"/>
  <c r="T13" i="118"/>
  <c r="L13" i="118" s="1"/>
  <c r="N21" i="118"/>
  <c r="N49" i="118"/>
  <c r="Q38" i="118"/>
  <c r="K38" i="118" s="1"/>
  <c r="I38" i="118" s="1"/>
  <c r="N35" i="118"/>
  <c r="O9" i="118"/>
  <c r="Q50" i="118"/>
  <c r="K50" i="118" s="1"/>
  <c r="I50" i="118" s="1"/>
  <c r="N43" i="118"/>
  <c r="N13" i="118"/>
  <c r="AJ17" i="82" s="1"/>
  <c r="T48" i="118"/>
  <c r="L48" i="118" s="1"/>
  <c r="T16" i="118"/>
  <c r="L16" i="118" s="1"/>
  <c r="O46" i="118"/>
  <c r="O25" i="118"/>
  <c r="N17" i="118"/>
  <c r="AJ21" i="82" s="1"/>
  <c r="Q41" i="118"/>
  <c r="K41" i="118" s="1"/>
  <c r="I41" i="118" s="1"/>
  <c r="Q28" i="118"/>
  <c r="K28" i="118" s="1"/>
  <c r="I28" i="118" s="1"/>
  <c r="AI32" i="82" s="1"/>
  <c r="O50" i="118"/>
  <c r="O30" i="118"/>
  <c r="O8" i="118"/>
  <c r="O45" i="118"/>
  <c r="T37" i="118"/>
  <c r="L37" i="118" s="1"/>
  <c r="O17" i="118"/>
  <c r="Q22" i="118"/>
  <c r="K22" i="118" s="1"/>
  <c r="I22" i="118" s="1"/>
  <c r="Q47" i="118"/>
  <c r="K47" i="118" s="1"/>
  <c r="I47" i="118" s="1"/>
  <c r="W47" i="118" s="1"/>
  <c r="AM51" i="82" s="1"/>
  <c r="O15" i="118"/>
  <c r="O32" i="118"/>
  <c r="N12" i="118"/>
  <c r="N48" i="118"/>
  <c r="AJ52" i="82" s="1"/>
  <c r="T29" i="118"/>
  <c r="L29" i="118" s="1"/>
  <c r="Q15" i="118"/>
  <c r="K15" i="118" s="1"/>
  <c r="I15" i="118" s="1"/>
  <c r="Z15" i="118" s="1"/>
  <c r="T24" i="118"/>
  <c r="L24" i="118" s="1"/>
  <c r="Q11" i="118"/>
  <c r="K11" i="118" s="1"/>
  <c r="I11" i="118" s="1"/>
  <c r="AI15" i="82" s="1"/>
  <c r="T18" i="118"/>
  <c r="L18" i="118" s="1"/>
  <c r="N23" i="118"/>
  <c r="V23" i="118" s="1"/>
  <c r="AL27" i="82" s="1"/>
  <c r="T23" i="118"/>
  <c r="L23" i="118" s="1"/>
  <c r="T19" i="118"/>
  <c r="L19" i="118" s="1"/>
  <c r="N8" i="118"/>
  <c r="AJ12" i="82" s="1"/>
  <c r="T39" i="118"/>
  <c r="L39" i="118" s="1"/>
  <c r="Q37" i="118"/>
  <c r="K37" i="118" s="1"/>
  <c r="I37" i="118" s="1"/>
  <c r="Z37" i="118" s="1"/>
  <c r="N45" i="118"/>
  <c r="V45" i="118" s="1"/>
  <c r="AL49" i="82" s="1"/>
  <c r="T14" i="118"/>
  <c r="L14" i="118" s="1"/>
  <c r="N34" i="118"/>
  <c r="V34" i="118" s="1"/>
  <c r="AL38" i="82" s="1"/>
  <c r="Q27" i="118"/>
  <c r="K27" i="118" s="1"/>
  <c r="I27" i="118" s="1"/>
  <c r="AI31" i="82" s="1"/>
  <c r="R6" i="118"/>
  <c r="Q6" i="118" s="1"/>
  <c r="K6" i="118" s="1"/>
  <c r="I6" i="118" s="1"/>
  <c r="Z6" i="118" s="1"/>
  <c r="O36" i="118"/>
  <c r="Q26" i="118"/>
  <c r="K26" i="118" s="1"/>
  <c r="I26" i="118" s="1"/>
  <c r="AI30" i="82" s="1"/>
  <c r="O41" i="118"/>
  <c r="Q25" i="118"/>
  <c r="K25" i="118" s="1"/>
  <c r="I25" i="118" s="1"/>
  <c r="Z25" i="118" s="1"/>
  <c r="N33" i="118"/>
  <c r="AJ37" i="82" s="1"/>
  <c r="Q40" i="118"/>
  <c r="K40" i="118" s="1"/>
  <c r="I40" i="118" s="1"/>
  <c r="Z40" i="118" s="1"/>
  <c r="N32" i="118"/>
  <c r="AJ36" i="82" s="1"/>
  <c r="Q19" i="118"/>
  <c r="K19" i="118" s="1"/>
  <c r="I19" i="118" s="1"/>
  <c r="W19" i="118" s="1"/>
  <c r="AM23" i="82" s="1"/>
  <c r="O49" i="118"/>
  <c r="N44" i="118"/>
  <c r="V44" i="118" s="1"/>
  <c r="AL48" i="82" s="1"/>
  <c r="Q30" i="118"/>
  <c r="K30" i="118" s="1"/>
  <c r="I30" i="118" s="1"/>
  <c r="Z30" i="118" s="1"/>
  <c r="O26" i="118"/>
  <c r="N14" i="118"/>
  <c r="V14" i="118" s="1"/>
  <c r="AL18" i="82" s="1"/>
  <c r="T10" i="118"/>
  <c r="L10" i="118" s="1"/>
  <c r="O10" i="118"/>
  <c r="N42" i="118"/>
  <c r="V42" i="118" s="1"/>
  <c r="AL46" i="82" s="1"/>
  <c r="Q18" i="118"/>
  <c r="K18" i="118" s="1"/>
  <c r="I18" i="118" s="1"/>
  <c r="W18" i="118" s="1"/>
  <c r="AM22" i="82" s="1"/>
  <c r="T42" i="118"/>
  <c r="L42" i="118" s="1"/>
  <c r="N31" i="118"/>
  <c r="AJ35" i="82" s="1"/>
  <c r="Q36" i="118"/>
  <c r="K36" i="118" s="1"/>
  <c r="I36" i="118" s="1"/>
  <c r="Z36" i="118" s="1"/>
  <c r="Q46" i="118"/>
  <c r="K46" i="118" s="1"/>
  <c r="I46" i="118" s="1"/>
  <c r="AI50" i="82" s="1"/>
  <c r="N39" i="118"/>
  <c r="AJ43" i="82" s="1"/>
  <c r="O31" i="118"/>
  <c r="Q3" i="118"/>
  <c r="K3" i="118" s="1"/>
  <c r="I3" i="118" s="1"/>
  <c r="O33" i="118"/>
  <c r="T44" i="118"/>
  <c r="L44" i="118" s="1"/>
  <c r="O40" i="118"/>
  <c r="T40" i="118"/>
  <c r="L40" i="118" s="1"/>
  <c r="Q7" i="118"/>
  <c r="K7" i="118" s="1"/>
  <c r="I7" i="118" s="1"/>
  <c r="AI11" i="82" s="1"/>
  <c r="T12" i="118"/>
  <c r="L12" i="118" s="1"/>
  <c r="T38" i="118"/>
  <c r="L38" i="118" s="1"/>
  <c r="O34" i="118"/>
  <c r="T27" i="118"/>
  <c r="L27" i="118" s="1"/>
  <c r="O27" i="118"/>
  <c r="T35" i="118"/>
  <c r="L35" i="118" s="1"/>
  <c r="O35" i="118"/>
  <c r="T11" i="118"/>
  <c r="L11" i="118" s="1"/>
  <c r="T47" i="118"/>
  <c r="L47" i="118" s="1"/>
  <c r="O47" i="118"/>
  <c r="W42" i="118"/>
  <c r="AM46" i="82" s="1"/>
  <c r="Z42" i="118"/>
  <c r="AI46" i="82"/>
  <c r="V19" i="118"/>
  <c r="AL23" i="82" s="1"/>
  <c r="AJ23" i="82"/>
  <c r="AJ45" i="82"/>
  <c r="V41" i="118"/>
  <c r="AL45" i="82" s="1"/>
  <c r="V24" i="118"/>
  <c r="AL28" i="82" s="1"/>
  <c r="AJ28" i="82"/>
  <c r="AI51" i="82"/>
  <c r="Z47" i="118"/>
  <c r="AJ53" i="82"/>
  <c r="V49" i="118"/>
  <c r="AL53" i="82" s="1"/>
  <c r="Z21" i="118"/>
  <c r="W21" i="118"/>
  <c r="AM25" i="82" s="1"/>
  <c r="AI25" i="82"/>
  <c r="AI24" i="82"/>
  <c r="Z20" i="118"/>
  <c r="W20" i="118"/>
  <c r="AM24" i="82" s="1"/>
  <c r="Z29" i="118"/>
  <c r="W29" i="118"/>
  <c r="AM33" i="82" s="1"/>
  <c r="AI33" i="82"/>
  <c r="AJ32" i="82"/>
  <c r="V28" i="118"/>
  <c r="AL32" i="82" s="1"/>
  <c r="AJ15" i="82"/>
  <c r="V11" i="118"/>
  <c r="AL15" i="82" s="1"/>
  <c r="AJ19" i="82"/>
  <c r="V15" i="118"/>
  <c r="AL19" i="82" s="1"/>
  <c r="AJ11" i="82"/>
  <c r="V7" i="118"/>
  <c r="AL11" i="82" s="1"/>
  <c r="AI16" i="82"/>
  <c r="W12" i="118"/>
  <c r="AM16" i="82" s="1"/>
  <c r="Z12" i="118"/>
  <c r="Z9" i="118"/>
  <c r="AI13" i="82"/>
  <c r="W9" i="118"/>
  <c r="AM13" i="82" s="1"/>
  <c r="V36" i="118"/>
  <c r="AL40" i="82" s="1"/>
  <c r="AJ40" i="82"/>
  <c r="AJ25" i="82"/>
  <c r="V21" i="118"/>
  <c r="AL25" i="82" s="1"/>
  <c r="W45" i="118"/>
  <c r="AM49" i="82" s="1"/>
  <c r="Z45" i="118"/>
  <c r="AI49" i="82"/>
  <c r="V13" i="118"/>
  <c r="AL17" i="82" s="1"/>
  <c r="W31" i="118"/>
  <c r="AM35" i="82" s="1"/>
  <c r="Z31" i="118"/>
  <c r="AI35" i="82"/>
  <c r="W38" i="118"/>
  <c r="AM42" i="82" s="1"/>
  <c r="AI42" i="82"/>
  <c r="Z38" i="118"/>
  <c r="L56" i="118" a="1"/>
  <c r="L56" i="118" s="1"/>
  <c r="AJ42" i="82"/>
  <c r="V38" i="118"/>
  <c r="AL42" i="82" s="1"/>
  <c r="AJ20" i="82"/>
  <c r="V16" i="118"/>
  <c r="AL20" i="82" s="1"/>
  <c r="V37" i="118"/>
  <c r="AL41" i="82" s="1"/>
  <c r="AJ41" i="82"/>
  <c r="AJ24" i="82"/>
  <c r="V20" i="118"/>
  <c r="AL24" i="82" s="1"/>
  <c r="Z33" i="118"/>
  <c r="AI37" i="82"/>
  <c r="W33" i="118"/>
  <c r="AM37" i="82" s="1"/>
  <c r="Z13" i="118"/>
  <c r="AI17" i="82"/>
  <c r="W13" i="118"/>
  <c r="AM17" i="82" s="1"/>
  <c r="AI53" i="82"/>
  <c r="Z49" i="118"/>
  <c r="W49" i="118"/>
  <c r="AM53" i="82" s="1"/>
  <c r="AJ54" i="82"/>
  <c r="V50" i="118"/>
  <c r="AL54" i="82" s="1"/>
  <c r="AJ14" i="82"/>
  <c r="V10" i="118"/>
  <c r="AL14" i="82" s="1"/>
  <c r="V43" i="118"/>
  <c r="AL47" i="82" s="1"/>
  <c r="AJ47" i="82"/>
  <c r="W22" i="118"/>
  <c r="AM26" i="82" s="1"/>
  <c r="AI26" i="82"/>
  <c r="Z22" i="118"/>
  <c r="V18" i="118"/>
  <c r="AL22" i="82" s="1"/>
  <c r="AJ22" i="82"/>
  <c r="W35" i="118"/>
  <c r="AM39" i="82" s="1"/>
  <c r="Z35" i="118"/>
  <c r="AI39" i="82"/>
  <c r="AJ51" i="82"/>
  <c r="V47" i="118"/>
  <c r="AL51" i="82" s="1"/>
  <c r="Z41" i="118"/>
  <c r="W41" i="118"/>
  <c r="AM45" i="82" s="1"/>
  <c r="AI45" i="82"/>
  <c r="V9" i="118"/>
  <c r="AL13" i="82" s="1"/>
  <c r="AJ13" i="82"/>
  <c r="Z8" i="118"/>
  <c r="W8" i="118"/>
  <c r="AM12" i="82" s="1"/>
  <c r="AI12" i="82"/>
  <c r="AJ34" i="82"/>
  <c r="V30" i="118"/>
  <c r="AL34" i="82" s="1"/>
  <c r="AJ29" i="82"/>
  <c r="V25" i="118"/>
  <c r="AL29" i="82" s="1"/>
  <c r="V26" i="118"/>
  <c r="AL30" i="82" s="1"/>
  <c r="AJ30" i="82"/>
  <c r="W17" i="118"/>
  <c r="AM21" i="82" s="1"/>
  <c r="Z17" i="118"/>
  <c r="AI21" i="82"/>
  <c r="W32" i="118"/>
  <c r="AM36" i="82" s="1"/>
  <c r="AI36" i="82"/>
  <c r="Z32" i="118"/>
  <c r="V35" i="118"/>
  <c r="AL39" i="82" s="1"/>
  <c r="AJ39" i="82"/>
  <c r="AJ44" i="82"/>
  <c r="V40" i="118"/>
  <c r="AL44" i="82" s="1"/>
  <c r="V29" i="118"/>
  <c r="AL33" i="82" s="1"/>
  <c r="AJ33" i="82"/>
  <c r="AJ16" i="82"/>
  <c r="V12" i="118"/>
  <c r="AL16" i="82" s="1"/>
  <c r="W24" i="118"/>
  <c r="AM28" i="82" s="1"/>
  <c r="Z24" i="118"/>
  <c r="AI28" i="82"/>
  <c r="W10" i="118"/>
  <c r="AM14" i="82" s="1"/>
  <c r="AI14" i="82"/>
  <c r="Z10" i="118"/>
  <c r="V22" i="118"/>
  <c r="AL26" i="82" s="1"/>
  <c r="AJ26" i="82"/>
  <c r="Z48" i="118"/>
  <c r="W48" i="118"/>
  <c r="AM52" i="82" s="1"/>
  <c r="AI52" i="82"/>
  <c r="W50" i="118"/>
  <c r="AM54" i="82" s="1"/>
  <c r="AI54" i="82"/>
  <c r="Z50" i="118"/>
  <c r="V27" i="118"/>
  <c r="AL31" i="82" s="1"/>
  <c r="AJ31" i="82"/>
  <c r="W43" i="118"/>
  <c r="AM47" i="82" s="1"/>
  <c r="AI47" i="82"/>
  <c r="Z43" i="118"/>
  <c r="AI48" i="82"/>
  <c r="Z44" i="118"/>
  <c r="W44" i="118"/>
  <c r="AM48" i="82" s="1"/>
  <c r="AI20" i="82"/>
  <c r="W16" i="118"/>
  <c r="AM20" i="82" s="1"/>
  <c r="Z16" i="118"/>
  <c r="AI43" i="82"/>
  <c r="W39" i="118"/>
  <c r="AM43" i="82" s="1"/>
  <c r="Z39" i="118"/>
  <c r="Z14" i="118"/>
  <c r="AI18" i="82"/>
  <c r="W14" i="118"/>
  <c r="AM18" i="82" s="1"/>
  <c r="AI38" i="82"/>
  <c r="Z34" i="118"/>
  <c r="W34" i="118"/>
  <c r="AM38" i="82" s="1"/>
  <c r="AJ50" i="82"/>
  <c r="V46" i="118"/>
  <c r="AL50" i="82" s="1"/>
  <c r="AI27" i="82"/>
  <c r="W23" i="118"/>
  <c r="AM27" i="82" s="1"/>
  <c r="Z23" i="118"/>
  <c r="V17" i="118" l="1"/>
  <c r="AL21" i="82" s="1"/>
  <c r="W28" i="118"/>
  <c r="AM32" i="82" s="1"/>
  <c r="Z28" i="118"/>
  <c r="W15" i="118"/>
  <c r="AM19" i="82" s="1"/>
  <c r="Z11" i="118"/>
  <c r="AI19" i="82"/>
  <c r="V48" i="118"/>
  <c r="AL52" i="82" s="1"/>
  <c r="W11" i="118"/>
  <c r="AM15" i="82" s="1"/>
  <c r="V8" i="118"/>
  <c r="AL12" i="82" s="1"/>
  <c r="AJ27" i="82"/>
  <c r="W37" i="118"/>
  <c r="AM41" i="82" s="1"/>
  <c r="AI41" i="82"/>
  <c r="AJ46" i="82"/>
  <c r="W27" i="118"/>
  <c r="AM31" i="82" s="1"/>
  <c r="Z27" i="118"/>
  <c r="AI44" i="82"/>
  <c r="W40" i="118"/>
  <c r="AM44" i="82" s="1"/>
  <c r="V32" i="118"/>
  <c r="AL36" i="82" s="1"/>
  <c r="Z26" i="118"/>
  <c r="AJ38" i="82"/>
  <c r="AI10" i="82"/>
  <c r="AI29" i="82"/>
  <c r="W25" i="118"/>
  <c r="AM29" i="82" s="1"/>
  <c r="W26" i="118"/>
  <c r="AM30" i="82" s="1"/>
  <c r="AJ49" i="82"/>
  <c r="Z19" i="118"/>
  <c r="N6" i="118"/>
  <c r="AJ10" i="82" s="1"/>
  <c r="AI23" i="82"/>
  <c r="W30" i="118"/>
  <c r="AM34" i="82" s="1"/>
  <c r="AI34" i="82"/>
  <c r="AJ48" i="82"/>
  <c r="V33" i="118"/>
  <c r="AL37" i="82" s="1"/>
  <c r="Z18" i="118"/>
  <c r="AI22" i="82"/>
  <c r="V31" i="118"/>
  <c r="AL35" i="82" s="1"/>
  <c r="W46" i="118"/>
  <c r="AM50" i="82" s="1"/>
  <c r="Z46" i="118"/>
  <c r="AJ18" i="82"/>
  <c r="W36" i="118"/>
  <c r="AM40" i="82" s="1"/>
  <c r="V39" i="118"/>
  <c r="AL43" i="82" s="1"/>
  <c r="L57" i="118" a="1"/>
  <c r="L57" i="118" s="1"/>
  <c r="N54" i="118" s="1"/>
  <c r="AG12" i="118" s="1"/>
  <c r="AG14" i="118" s="1"/>
  <c r="AG15" i="118" s="1"/>
  <c r="AI40" i="82"/>
  <c r="Z7" i="118"/>
  <c r="W7" i="118"/>
  <c r="AM11" i="82" s="1"/>
  <c r="Z51" i="118" l="1"/>
  <c r="T34" i="82" s="1"/>
  <c r="AM55" i="82"/>
  <c r="V6" i="118"/>
  <c r="W4" i="118"/>
  <c r="P2" i="103" a="1"/>
  <c r="Q2" i="103" s="1"/>
  <c r="AG7" i="118" l="1"/>
  <c r="Z54" i="118"/>
  <c r="V4" i="118"/>
  <c r="D24" i="118" s="1"/>
  <c r="T107" i="82" s="1"/>
  <c r="AL10" i="82"/>
  <c r="AL55" i="82" s="1"/>
  <c r="R2" i="103"/>
  <c r="P2" i="103"/>
  <c r="W2" i="103" l="1"/>
  <c r="AN9" i="102" s="1"/>
  <c r="AN12" i="102" s="1"/>
  <c r="AN17" i="102" s="1"/>
  <c r="AN18" i="102" s="1"/>
  <c r="Q11" i="103" a="1"/>
  <c r="Q11" i="103" s="1"/>
  <c r="S11" i="103" l="1"/>
  <c r="R11" i="103"/>
  <c r="AS41" i="103" l="1"/>
  <c r="AS36" i="103" s="1"/>
  <c r="DA25" i="83" s="1"/>
  <c r="DA36" i="83" s="1" a="1"/>
  <c r="DA36" i="83" s="1"/>
  <c r="T11" i="103"/>
  <c r="W9" i="103" s="1"/>
  <c r="Y9" i="103" l="1"/>
  <c r="W10" i="103"/>
  <c r="G26" i="83" s="1"/>
  <c r="G36" i="83" s="1"/>
  <c r="H26" i="83"/>
  <c r="H36" i="83" s="1"/>
  <c r="L12" i="117" a="1"/>
  <c r="L13" i="117" a="1"/>
  <c r="BY38" i="83" l="1"/>
  <c r="I57" i="82" s="1"/>
  <c r="DX38" i="83"/>
  <c r="CS38" i="83"/>
  <c r="M44" i="82" s="1"/>
  <c r="BX38" i="83"/>
  <c r="H57" i="82" s="1"/>
  <c r="AZ38" i="83"/>
  <c r="CA38" i="83"/>
  <c r="L57" i="82" s="1"/>
  <c r="AO38" i="83"/>
  <c r="AQ38" i="83"/>
  <c r="CJ38" i="83"/>
  <c r="G47" i="82" s="1"/>
  <c r="I38" i="83"/>
  <c r="G43" i="82" s="1"/>
  <c r="BA38" i="83"/>
  <c r="AN38" i="83"/>
  <c r="CB38" i="83"/>
  <c r="M57" i="82" s="1"/>
  <c r="AP38" i="83"/>
  <c r="T42" i="83"/>
  <c r="D47" i="82" s="1"/>
  <c r="K38" i="83"/>
  <c r="D45" i="82" s="1"/>
  <c r="AJ8" i="118" s="1"/>
  <c r="AG8" i="118" s="1"/>
  <c r="T35" i="82" s="1"/>
  <c r="AV38" i="83"/>
  <c r="H38" i="83"/>
  <c r="BB38" i="83"/>
  <c r="M56" i="82" s="1"/>
  <c r="AW38" i="83"/>
  <c r="AR38" i="83"/>
  <c r="M55" i="82" s="1"/>
  <c r="DV38" i="83"/>
  <c r="T52" i="82" s="1"/>
  <c r="DU38" i="83"/>
  <c r="T44" i="82" s="1"/>
  <c r="AT38" i="83"/>
  <c r="CW38" i="83"/>
  <c r="M37" i="82" s="1"/>
  <c r="BU38" i="83"/>
  <c r="E57" i="82" s="1"/>
  <c r="AX38" i="83"/>
  <c r="AL38" i="83"/>
  <c r="L38" i="83"/>
  <c r="D46" i="82" s="1"/>
  <c r="BC38" i="83"/>
  <c r="N56" i="82" s="1"/>
  <c r="CC38" i="83"/>
  <c r="N57" i="82" s="1"/>
  <c r="BT38" i="83"/>
  <c r="D57" i="82" s="1"/>
  <c r="CU38" i="83"/>
  <c r="M46" i="82" s="1"/>
  <c r="AK38" i="83"/>
  <c r="CI38" i="83"/>
  <c r="G46" i="82" s="1"/>
  <c r="DA38" i="83"/>
  <c r="M47" i="82" s="1"/>
  <c r="BV38" i="83"/>
  <c r="F57" i="82" s="1"/>
  <c r="AM38" i="83"/>
  <c r="AS38" i="83"/>
  <c r="N55" i="82" s="1"/>
  <c r="BZ38" i="83"/>
  <c r="K57" i="82" s="1"/>
  <c r="AY38" i="83"/>
  <c r="G38" i="83" a="1"/>
  <c r="G38" i="83" s="1"/>
  <c r="G40" i="82" s="1"/>
  <c r="BW38" i="83"/>
  <c r="G57" i="82" s="1"/>
  <c r="CS39" i="83"/>
  <c r="M45" i="82" s="1"/>
  <c r="AU38" i="83"/>
  <c r="AJ38" i="83"/>
  <c r="L16" i="117" a="1"/>
  <c r="D26" i="114" l="1"/>
  <c r="D27" i="114" s="1"/>
  <c r="D26" i="104"/>
  <c r="D27" i="104" s="1"/>
  <c r="D26" i="111"/>
  <c r="D27" i="111" s="1"/>
  <c r="D26" i="93"/>
  <c r="D27" i="93" s="1"/>
  <c r="D26" i="101"/>
  <c r="D27" i="101" s="1"/>
  <c r="D26" i="96"/>
  <c r="D27" i="96" s="1"/>
  <c r="D26" i="108"/>
  <c r="D27" i="108" s="1"/>
  <c r="L55" i="82"/>
  <c r="J12" i="117"/>
  <c r="I56" i="82"/>
  <c r="H13" i="117"/>
  <c r="D12" i="117"/>
  <c r="E55" i="82"/>
  <c r="H12" i="117"/>
  <c r="I55" i="82"/>
  <c r="G12" i="117"/>
  <c r="H55" i="82"/>
  <c r="I12" i="117"/>
  <c r="K55" i="82"/>
  <c r="G13" i="117"/>
  <c r="H56" i="82"/>
  <c r="K56" i="82"/>
  <c r="I13" i="117"/>
  <c r="F56" i="82"/>
  <c r="E13" i="117"/>
  <c r="L56" i="82"/>
  <c r="J13" i="117"/>
  <c r="E12" i="117"/>
  <c r="F55" i="82"/>
  <c r="D55" i="82"/>
  <c r="C12" i="117"/>
  <c r="C13" i="117"/>
  <c r="D56" i="82"/>
  <c r="F13" i="117"/>
  <c r="G56" i="82"/>
  <c r="C5" i="114"/>
  <c r="C5" i="104"/>
  <c r="G42" i="82"/>
  <c r="C5" i="108"/>
  <c r="D22" i="114"/>
  <c r="D23" i="114" s="1"/>
  <c r="D22" i="93"/>
  <c r="D23" i="93" s="1"/>
  <c r="D22" i="101"/>
  <c r="D23" i="101" s="1"/>
  <c r="D22" i="96"/>
  <c r="D23" i="96" s="1"/>
  <c r="D22" i="104"/>
  <c r="D23" i="104" s="1"/>
  <c r="D22" i="108"/>
  <c r="D23" i="108" s="1"/>
  <c r="D22" i="111"/>
  <c r="D23" i="111" s="1"/>
  <c r="F12" i="117"/>
  <c r="G55" i="82"/>
  <c r="E56" i="82"/>
  <c r="D13" i="117"/>
  <c r="U39" i="111" a="1"/>
  <c r="T39" i="111" a="1"/>
  <c r="U39" i="96" a="1"/>
  <c r="T39" i="96" a="1"/>
  <c r="U39" i="114" a="1"/>
  <c r="T39" i="114" a="1"/>
  <c r="U39" i="101" a="1"/>
  <c r="T39" i="101" a="1"/>
  <c r="U41" i="93" a="1"/>
  <c r="T41" i="93" a="1"/>
  <c r="U39" i="108" a="1"/>
  <c r="T39" i="108" a="1"/>
  <c r="C29" i="108" l="1"/>
  <c r="F16" i="117"/>
  <c r="BW29" i="83" s="1"/>
  <c r="C15" i="108"/>
  <c r="F15" i="108" s="1"/>
  <c r="H15" i="108" s="1"/>
  <c r="C16" i="108"/>
  <c r="F16" i="108" s="1"/>
  <c r="H16" i="108" s="1"/>
  <c r="C8" i="100"/>
  <c r="C8" i="117"/>
  <c r="C15" i="114"/>
  <c r="F15" i="114" s="1"/>
  <c r="C16" i="114"/>
  <c r="F16" i="114" s="1"/>
  <c r="H16" i="117"/>
  <c r="BY29" i="83" s="1"/>
  <c r="C16" i="117"/>
  <c r="L13" i="117"/>
  <c r="K12" i="117" a="1"/>
  <c r="K12" i="117" s="1"/>
  <c r="L12" i="117"/>
  <c r="G16" i="117"/>
  <c r="BX29" i="83" s="1"/>
  <c r="C30" i="108"/>
  <c r="C35" i="108"/>
  <c r="D16" i="117"/>
  <c r="BU29" i="83" s="1"/>
  <c r="C29" i="96"/>
  <c r="J16" i="117"/>
  <c r="CA29" i="83" s="1"/>
  <c r="C29" i="101"/>
  <c r="C29" i="93"/>
  <c r="E16" i="117"/>
  <c r="BV29" i="83" s="1"/>
  <c r="C29" i="111"/>
  <c r="C15" i="104"/>
  <c r="F15" i="104" s="1"/>
  <c r="H15" i="104" s="1"/>
  <c r="C16" i="104"/>
  <c r="F16" i="104" s="1"/>
  <c r="H16" i="104" s="1"/>
  <c r="C29" i="104"/>
  <c r="C30" i="104" s="1"/>
  <c r="I16" i="117"/>
  <c r="BZ29" i="83" s="1"/>
  <c r="C29" i="114"/>
  <c r="C30" i="114" s="1"/>
  <c r="U39" i="104" a="1"/>
  <c r="T39" i="104" a="1"/>
  <c r="K32" i="100" a="1"/>
  <c r="BK13" i="83" a="1"/>
  <c r="BL13" i="83" a="1"/>
  <c r="BK18" i="83" a="1"/>
  <c r="BK14" i="83" a="1"/>
  <c r="BL14" i="83" a="1"/>
  <c r="BL15" i="83" a="1"/>
  <c r="BK15" i="83" a="1"/>
  <c r="C35" i="101" l="1"/>
  <c r="C30" i="101"/>
  <c r="C32" i="101" s="1"/>
  <c r="L39" i="108"/>
  <c r="N39" i="108"/>
  <c r="BF27" i="83" s="1"/>
  <c r="BE17" i="83" s="1"/>
  <c r="R39" i="108"/>
  <c r="BJ27" i="83" s="1"/>
  <c r="BI17" i="83" s="1"/>
  <c r="F35" i="108"/>
  <c r="M39" i="108"/>
  <c r="BE27" i="83" s="1"/>
  <c r="BD17" i="83" s="1"/>
  <c r="O39" i="108"/>
  <c r="BG27" i="83" s="1"/>
  <c r="BF17" i="83" s="1"/>
  <c r="Q39" i="108"/>
  <c r="BI27" i="83" s="1"/>
  <c r="BH17" i="83" s="1"/>
  <c r="BM27" i="83"/>
  <c r="G35" i="108"/>
  <c r="P39" i="108"/>
  <c r="BH27" i="83" s="1"/>
  <c r="BG17" i="83" s="1"/>
  <c r="S39" i="108"/>
  <c r="BK27" i="83" s="1"/>
  <c r="BJ17" i="83" s="1"/>
  <c r="BT29" i="83"/>
  <c r="K16" i="117" a="1"/>
  <c r="K16" i="117" s="1"/>
  <c r="CB29" i="83" s="1"/>
  <c r="L16" i="117"/>
  <c r="CC29" i="83" s="1"/>
  <c r="C32" i="104"/>
  <c r="C33" i="104"/>
  <c r="C35" i="104" s="1"/>
  <c r="C30" i="111"/>
  <c r="C32" i="111" s="1"/>
  <c r="C35" i="111"/>
  <c r="C33" i="114"/>
  <c r="C35" i="114" s="1"/>
  <c r="C32" i="114"/>
  <c r="C35" i="96"/>
  <c r="C30" i="96"/>
  <c r="C32" i="96" s="1"/>
  <c r="F12" i="100"/>
  <c r="F15" i="100"/>
  <c r="C35" i="93"/>
  <c r="C30" i="93"/>
  <c r="C32" i="93" s="1"/>
  <c r="C32" i="108"/>
  <c r="C33" i="108"/>
  <c r="L32" i="100" a="1"/>
  <c r="BK19" i="83" a="1"/>
  <c r="D17" i="100" l="1"/>
  <c r="D27" i="100" s="1"/>
  <c r="J32" i="100" s="1"/>
  <c r="CA23" i="83" s="1"/>
  <c r="BL17" i="83"/>
  <c r="BN27" i="83"/>
  <c r="BM17" i="83" s="1"/>
  <c r="BO27" i="83"/>
  <c r="BN17" i="83" s="1"/>
  <c r="N39" i="104"/>
  <c r="BF26" i="83" s="1"/>
  <c r="G35" i="104"/>
  <c r="Q39" i="104"/>
  <c r="BI26" i="83" s="1"/>
  <c r="R39" i="104"/>
  <c r="BJ26" i="83" s="1"/>
  <c r="F35" i="104"/>
  <c r="M39" i="104"/>
  <c r="BE26" i="83" s="1"/>
  <c r="BM26" i="83"/>
  <c r="S39" i="104"/>
  <c r="BK26" i="83" s="1"/>
  <c r="L39" i="104"/>
  <c r="O39" i="104"/>
  <c r="BG26" i="83" s="1"/>
  <c r="P39" i="104"/>
  <c r="BH26" i="83" s="1"/>
  <c r="CC23" i="83"/>
  <c r="H32" i="100"/>
  <c r="BY23" i="83" s="1"/>
  <c r="I32" i="100"/>
  <c r="BZ23" i="83" s="1"/>
  <c r="G32" i="100"/>
  <c r="BX23" i="83" s="1"/>
  <c r="F32" i="100"/>
  <c r="BW23" i="83" s="1"/>
  <c r="E32" i="100"/>
  <c r="BV23" i="83" s="1"/>
  <c r="D32" i="100"/>
  <c r="BU23" i="83" s="1"/>
  <c r="C32" i="100"/>
  <c r="O39" i="96"/>
  <c r="BG28" i="83" s="1"/>
  <c r="BF18" i="83" s="1"/>
  <c r="N39" i="96"/>
  <c r="BF28" i="83" s="1"/>
  <c r="BE18" i="83" s="1"/>
  <c r="M39" i="96"/>
  <c r="BE28" i="83" s="1"/>
  <c r="BD18" i="83" s="1"/>
  <c r="Q39" i="96"/>
  <c r="BI28" i="83" s="1"/>
  <c r="BH18" i="83" s="1"/>
  <c r="G35" i="96"/>
  <c r="R39" i="96"/>
  <c r="BJ28" i="83" s="1"/>
  <c r="BI18" i="83" s="1"/>
  <c r="P39" i="96"/>
  <c r="BH28" i="83" s="1"/>
  <c r="BG18" i="83" s="1"/>
  <c r="BM28" i="83"/>
  <c r="S39" i="96"/>
  <c r="BK28" i="83" s="1"/>
  <c r="BJ18" i="83" s="1"/>
  <c r="F35" i="96"/>
  <c r="L39" i="96"/>
  <c r="N41" i="93"/>
  <c r="BF29" i="83" s="1"/>
  <c r="BE19" i="83" s="1"/>
  <c r="L41" i="93"/>
  <c r="F35" i="93"/>
  <c r="S41" i="93"/>
  <c r="BK29" i="83" s="1"/>
  <c r="BJ19" i="83" s="1"/>
  <c r="Q41" i="93"/>
  <c r="BI29" i="83" s="1"/>
  <c r="BH19" i="83" s="1"/>
  <c r="G35" i="93"/>
  <c r="P41" i="93"/>
  <c r="BH29" i="83" s="1"/>
  <c r="BG19" i="83" s="1"/>
  <c r="C37" i="93"/>
  <c r="BM29" i="83" s="1"/>
  <c r="O41" i="93"/>
  <c r="BG29" i="83" s="1"/>
  <c r="BF19" i="83" s="1"/>
  <c r="R41" i="93"/>
  <c r="BJ29" i="83" s="1"/>
  <c r="BI19" i="83" s="1"/>
  <c r="M41" i="93"/>
  <c r="BE29" i="83" s="1"/>
  <c r="BD19" i="83" s="1"/>
  <c r="BD27" i="83"/>
  <c r="BC17" i="83" s="1"/>
  <c r="U39" i="108"/>
  <c r="W39" i="108" s="1"/>
  <c r="T39" i="108"/>
  <c r="BL27" i="83" s="1"/>
  <c r="BK17" i="83" s="1"/>
  <c r="BM25" i="83"/>
  <c r="L39" i="114"/>
  <c r="O39" i="114"/>
  <c r="BG25" i="83" s="1"/>
  <c r="BF15" i="83" s="1"/>
  <c r="N39" i="114"/>
  <c r="BF25" i="83" s="1"/>
  <c r="BE15" i="83" s="1"/>
  <c r="R39" i="114"/>
  <c r="BJ25" i="83" s="1"/>
  <c r="BI15" i="83" s="1"/>
  <c r="S39" i="114"/>
  <c r="BK25" i="83" s="1"/>
  <c r="BJ15" i="83" s="1"/>
  <c r="M39" i="114"/>
  <c r="BE25" i="83" s="1"/>
  <c r="BD15" i="83" s="1"/>
  <c r="Q39" i="114"/>
  <c r="BI25" i="83" s="1"/>
  <c r="BH15" i="83" s="1"/>
  <c r="G35" i="114"/>
  <c r="F35" i="114"/>
  <c r="P39" i="114"/>
  <c r="BH25" i="83" s="1"/>
  <c r="BG15" i="83" s="1"/>
  <c r="Q39" i="111"/>
  <c r="BI24" i="83" s="1"/>
  <c r="BH14" i="83" s="1"/>
  <c r="G35" i="111"/>
  <c r="L39" i="111"/>
  <c r="N39" i="111"/>
  <c r="BF24" i="83" s="1"/>
  <c r="BE14" i="83" s="1"/>
  <c r="P39" i="111"/>
  <c r="BH24" i="83" s="1"/>
  <c r="BG14" i="83" s="1"/>
  <c r="M39" i="111"/>
  <c r="BE24" i="83" s="1"/>
  <c r="BD14" i="83" s="1"/>
  <c r="S39" i="111"/>
  <c r="BK24" i="83" s="1"/>
  <c r="BJ14" i="83" s="1"/>
  <c r="F35" i="111"/>
  <c r="O39" i="111"/>
  <c r="BG24" i="83" s="1"/>
  <c r="BF14" i="83" s="1"/>
  <c r="R39" i="111"/>
  <c r="BJ24" i="83" s="1"/>
  <c r="BI14" i="83" s="1"/>
  <c r="BM24" i="83"/>
  <c r="P39" i="101"/>
  <c r="BH23" i="83" s="1"/>
  <c r="BG13" i="83" s="1"/>
  <c r="L39" i="101"/>
  <c r="G35" i="101"/>
  <c r="O39" i="101"/>
  <c r="BG23" i="83" s="1"/>
  <c r="BF13" i="83" s="1"/>
  <c r="F35" i="101"/>
  <c r="Q39" i="101"/>
  <c r="BI23" i="83" s="1"/>
  <c r="BH13" i="83" s="1"/>
  <c r="R39" i="101"/>
  <c r="BJ23" i="83" s="1"/>
  <c r="BI13" i="83" s="1"/>
  <c r="N39" i="101"/>
  <c r="BF23" i="83" s="1"/>
  <c r="BE13" i="83" s="1"/>
  <c r="BM23" i="83"/>
  <c r="S39" i="101"/>
  <c r="BK23" i="83" s="1"/>
  <c r="BJ13" i="83" s="1"/>
  <c r="M39" i="101"/>
  <c r="BE23" i="83" s="1"/>
  <c r="BD13" i="83" s="1"/>
  <c r="BJ16" i="83" l="1"/>
  <c r="BK36" i="83" a="1"/>
  <c r="BK36" i="83" s="1"/>
  <c r="BK38" i="83" s="1"/>
  <c r="L62" i="82" s="1"/>
  <c r="BW24" i="83"/>
  <c r="BW28" i="83"/>
  <c r="BW36" i="83" s="1" a="1"/>
  <c r="BW36" i="83" s="1"/>
  <c r="BZ24" i="83"/>
  <c r="BZ28" i="83"/>
  <c r="BZ36" i="83" s="1" a="1"/>
  <c r="BZ36" i="83" s="1"/>
  <c r="BD29" i="83"/>
  <c r="BC19" i="83" s="1"/>
  <c r="U41" i="93"/>
  <c r="W41" i="93" s="1"/>
  <c r="T41" i="93"/>
  <c r="BL29" i="83" s="1"/>
  <c r="BG16" i="83"/>
  <c r="BH36" i="83" a="1"/>
  <c r="BH36" i="83" s="1"/>
  <c r="BH38" i="83" s="1"/>
  <c r="H62" i="82" s="1"/>
  <c r="BN28" i="83"/>
  <c r="BO28" i="83"/>
  <c r="BN26" i="83"/>
  <c r="BM16" i="83" s="1"/>
  <c r="BL16" i="83"/>
  <c r="BO26" i="83"/>
  <c r="BN16" i="83" s="1"/>
  <c r="BM36" i="83" a="1"/>
  <c r="BM36" i="83" s="1"/>
  <c r="BM38" i="83" s="1"/>
  <c r="N62" i="82" s="1"/>
  <c r="BD16" i="83"/>
  <c r="BE36" i="83" a="1"/>
  <c r="BE36" i="83" s="1"/>
  <c r="BE38" i="83" s="1"/>
  <c r="E62" i="82" s="1"/>
  <c r="BN29" i="83"/>
  <c r="BO29" i="83"/>
  <c r="CA24" i="83"/>
  <c r="CA28" i="83"/>
  <c r="CA36" i="83" s="1" a="1"/>
  <c r="CA36" i="83" s="1"/>
  <c r="BF16" i="83"/>
  <c r="BG36" i="83" a="1"/>
  <c r="BG36" i="83" s="1"/>
  <c r="BG38" i="83" s="1"/>
  <c r="G62" i="82" s="1"/>
  <c r="BD23" i="83"/>
  <c r="BC13" i="83" s="1"/>
  <c r="U39" i="101"/>
  <c r="W39" i="101" s="1"/>
  <c r="T39" i="101"/>
  <c r="BL23" i="83" s="1"/>
  <c r="BD25" i="83"/>
  <c r="BC15" i="83" s="1"/>
  <c r="U39" i="114"/>
  <c r="W39" i="114" s="1"/>
  <c r="T39" i="114"/>
  <c r="BL25" i="83" s="1"/>
  <c r="BI16" i="83"/>
  <c r="BJ36" i="83" a="1"/>
  <c r="BJ36" i="83" s="1"/>
  <c r="BJ38" i="83" s="1"/>
  <c r="K62" i="82" s="1"/>
  <c r="BH16" i="83"/>
  <c r="BI36" i="83" a="1"/>
  <c r="BI36" i="83" s="1"/>
  <c r="BI38" i="83" s="1"/>
  <c r="I62" i="82" s="1"/>
  <c r="BX24" i="83"/>
  <c r="BX28" i="83"/>
  <c r="BX36" i="83" s="1" a="1"/>
  <c r="BX36" i="83" s="1"/>
  <c r="BO25" i="83"/>
  <c r="BN25" i="83"/>
  <c r="BN24" i="83"/>
  <c r="BO24" i="83"/>
  <c r="BE16" i="83"/>
  <c r="BF36" i="83" a="1"/>
  <c r="BF36" i="83" s="1"/>
  <c r="BF38" i="83" s="1"/>
  <c r="F62" i="82" s="1"/>
  <c r="BD28" i="83"/>
  <c r="BC18" i="83" s="1"/>
  <c r="T39" i="96"/>
  <c r="BL28" i="83" s="1"/>
  <c r="U39" i="96"/>
  <c r="W39" i="96" s="1"/>
  <c r="BD24" i="83"/>
  <c r="BC14" i="83" s="1"/>
  <c r="T39" i="111"/>
  <c r="BL24" i="83" s="1"/>
  <c r="U39" i="111"/>
  <c r="W39" i="111" s="1"/>
  <c r="CC24" i="83"/>
  <c r="CC28" i="83"/>
  <c r="CC36" i="83" s="1" a="1"/>
  <c r="CC36" i="83" s="1"/>
  <c r="BT23" i="83"/>
  <c r="K32" i="100"/>
  <c r="CB23" i="83" s="1"/>
  <c r="BU28" i="83"/>
  <c r="BU36" i="83" s="1" a="1"/>
  <c r="BU36" i="83" s="1"/>
  <c r="BU24" i="83"/>
  <c r="BY28" i="83"/>
  <c r="BY36" i="83" s="1" a="1"/>
  <c r="BY36" i="83" s="1"/>
  <c r="BY24" i="83"/>
  <c r="L32" i="100"/>
  <c r="BN23" i="83"/>
  <c r="BO23" i="83"/>
  <c r="BD26" i="83"/>
  <c r="T39" i="104"/>
  <c r="BL26" i="83" s="1"/>
  <c r="U39" i="104"/>
  <c r="W39" i="104" s="1"/>
  <c r="BV28" i="83"/>
  <c r="BV36" i="83" s="1" a="1"/>
  <c r="BV36" i="83" s="1"/>
  <c r="BV24" i="83"/>
  <c r="BN36" i="83" l="1" a="1"/>
  <c r="BN36" i="83" s="1"/>
  <c r="BN38" i="83" s="1"/>
  <c r="N63" i="82" s="1"/>
  <c r="BO36" i="83" a="1"/>
  <c r="BO36" i="83" s="1"/>
  <c r="BO38" i="83" s="1"/>
  <c r="N64" i="82" s="1"/>
  <c r="BK16" i="83"/>
  <c r="BL36" i="83" a="1"/>
  <c r="BL36" i="83" s="1"/>
  <c r="BL38" i="83" s="1"/>
  <c r="M62" i="82" s="1"/>
  <c r="BC16" i="83"/>
  <c r="BD36" i="83" a="1"/>
  <c r="BD36" i="83" s="1"/>
  <c r="BD38" i="83" s="1"/>
  <c r="D62" i="82" s="1"/>
  <c r="CB28" i="83"/>
  <c r="CB36" i="83" s="1" a="1"/>
  <c r="CB36" i="83" s="1"/>
  <c r="CB24" i="83"/>
  <c r="BK15" i="83"/>
  <c r="BL15" i="83"/>
  <c r="BT28" i="83"/>
  <c r="BT36" i="83" s="1" a="1"/>
  <c r="BT36" i="83" s="1"/>
  <c r="BT24" i="83"/>
  <c r="BL19" i="83" a="1"/>
  <c r="BL19" i="83" s="1"/>
  <c r="BK19" i="83"/>
  <c r="BL13" i="83"/>
  <c r="BK13" i="83"/>
  <c r="BK14" i="83"/>
  <c r="BL14" i="83"/>
  <c r="BL18" i="83" a="1"/>
  <c r="BL18" i="83" s="1"/>
  <c r="BK18" i="83"/>
  <c r="BM14" i="83" l="1"/>
  <c r="BN14" i="83"/>
  <c r="BN13" i="83"/>
  <c r="BM13" i="83"/>
  <c r="BN18" i="83"/>
  <c r="BM18" i="83"/>
  <c r="BM15" i="83"/>
  <c r="BN15" i="83"/>
  <c r="BM19" i="83"/>
  <c r="BN19" i="8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<sst xmlns="http://schemas.openxmlformats.org/spreadsheetml/2006/main" count="19959" uniqueCount="2921">
  <si>
    <t>Tuloilma tilavuusvirta vs. painehäviö</t>
  </si>
  <si>
    <t>y = paine</t>
  </si>
  <si>
    <t>x = til.virta</t>
  </si>
  <si>
    <t>10V</t>
  </si>
  <si>
    <t>A</t>
  </si>
  <si>
    <t>B</t>
  </si>
  <si>
    <t>C</t>
  </si>
  <si>
    <t>Tulo</t>
  </si>
  <si>
    <t>Poisto</t>
  </si>
  <si>
    <t>7,5V</t>
  </si>
  <si>
    <t>5V</t>
  </si>
  <si>
    <t>2. aste polynomi</t>
  </si>
  <si>
    <t>3V</t>
  </si>
  <si>
    <t>l/s</t>
  </si>
  <si>
    <t>Pa</t>
  </si>
  <si>
    <t>Syötä piste</t>
  </si>
  <si>
    <t>Verkkokäyrä mitoituspisteelle</t>
  </si>
  <si>
    <t>alfa</t>
  </si>
  <si>
    <t>Ohjaus</t>
  </si>
  <si>
    <t>Leik. 1</t>
  </si>
  <si>
    <t>Leik. 2</t>
  </si>
  <si>
    <t>Valinta</t>
  </si>
  <si>
    <t>Max</t>
  </si>
  <si>
    <t>3-7,5V</t>
  </si>
  <si>
    <t>7,5V - 10V</t>
  </si>
  <si>
    <t>V</t>
  </si>
  <si>
    <t>Ulkokanava</t>
  </si>
  <si>
    <t>LwA</t>
  </si>
  <si>
    <t>Ulko</t>
  </si>
  <si>
    <t>Tulokanava</t>
  </si>
  <si>
    <t>7,5 V</t>
  </si>
  <si>
    <t>dB</t>
  </si>
  <si>
    <t>Sovitteet 2. ja 3. aste riippuen tilanteesta</t>
  </si>
  <si>
    <t>3. aste polynomisovitus</t>
  </si>
  <si>
    <t>Logaritmisovite LwA vs qV</t>
  </si>
  <si>
    <t>Spektrikorjaukset</t>
  </si>
  <si>
    <t>Lwokt = LwA + K</t>
  </si>
  <si>
    <t>Verkkokäyrän potenssikäyrän termi</t>
  </si>
  <si>
    <t>A' = A-alfa</t>
  </si>
  <si>
    <t>Leikkauskohdat</t>
  </si>
  <si>
    <t>Sovitteen parametrit</t>
  </si>
  <si>
    <t>Lineaarisovite ohjausjännitteelle (2-osainen)</t>
  </si>
  <si>
    <t>---&gt;</t>
  </si>
  <si>
    <t>----&gt;</t>
  </si>
  <si>
    <t>Tulopuhallin</t>
  </si>
  <si>
    <t>Mitatut pisteet</t>
  </si>
  <si>
    <t>Äänisovitteet tilavuusvirralle</t>
  </si>
  <si>
    <t>P</t>
  </si>
  <si>
    <t>Teho vs tilavuusvirta</t>
  </si>
  <si>
    <t>W</t>
  </si>
  <si>
    <t>Tehon sovitteet 2. aste polynomi</t>
  </si>
  <si>
    <t>Polynomisovite teholle</t>
  </si>
  <si>
    <t>Rajoitus</t>
  </si>
  <si>
    <t>Pisteitä käyrien piirtämistä varten</t>
  </si>
  <si>
    <t>Teho</t>
  </si>
  <si>
    <t>Poistokanava</t>
  </si>
  <si>
    <t>Jätekanava</t>
  </si>
  <si>
    <t>Jäte</t>
  </si>
  <si>
    <t>Poistopuhallin</t>
  </si>
  <si>
    <t>Poistoilma tilavuusvirta vs. painehäviö</t>
  </si>
  <si>
    <r>
      <t>L</t>
    </r>
    <r>
      <rPr>
        <b/>
        <vertAlign val="subscript"/>
        <sz val="10"/>
        <rFont val="Century Gothic"/>
        <family val="2"/>
      </rPr>
      <t xml:space="preserve">Wtot
</t>
    </r>
    <r>
      <rPr>
        <b/>
        <sz val="10"/>
        <rFont val="Century Gothic"/>
        <family val="2"/>
      </rPr>
      <t>[dB]</t>
    </r>
  </si>
  <si>
    <t>63 Hz</t>
  </si>
  <si>
    <t>125 Hz</t>
  </si>
  <si>
    <t>250 Hz</t>
  </si>
  <si>
    <t>500 Hz</t>
  </si>
  <si>
    <t>1 kHz</t>
  </si>
  <si>
    <t>2 kHz</t>
  </si>
  <si>
    <t>4 kHz</t>
  </si>
  <si>
    <t>8 kHz</t>
  </si>
  <si>
    <r>
      <t>L</t>
    </r>
    <r>
      <rPr>
        <b/>
        <vertAlign val="subscript"/>
        <sz val="10"/>
        <rFont val="Century Gothic"/>
        <family val="2"/>
      </rPr>
      <t>WAtot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</si>
  <si>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t>Lwtot</t>
  </si>
  <si>
    <t>LwAtot</t>
  </si>
  <si>
    <r>
      <t>dm</t>
    </r>
    <r>
      <rPr>
        <vertAlign val="superscript"/>
        <sz val="10"/>
        <color theme="1"/>
        <rFont val="Century Gothic"/>
        <family val="2"/>
      </rPr>
      <t>3</t>
    </r>
    <r>
      <rPr>
        <sz val="10"/>
        <color theme="1"/>
        <rFont val="Century Gothic"/>
        <family val="2"/>
      </rPr>
      <t>/s</t>
    </r>
  </si>
  <si>
    <t>Elektroniikka</t>
  </si>
  <si>
    <t>Total power</t>
  </si>
  <si>
    <t>SFP</t>
  </si>
  <si>
    <t>SFP:</t>
  </si>
  <si>
    <r>
      <t>kW/m</t>
    </r>
    <r>
      <rPr>
        <vertAlign val="superscript"/>
        <sz val="10"/>
        <color theme="1"/>
        <rFont val="Century Gothic"/>
        <family val="2"/>
      </rPr>
      <t>3</t>
    </r>
    <r>
      <rPr>
        <sz val="10"/>
        <color theme="1"/>
        <rFont val="Century Gothic"/>
        <family val="2"/>
      </rPr>
      <t>/s</t>
    </r>
  </si>
  <si>
    <t>Maks qV</t>
  </si>
  <si>
    <t>Ohjausjännite</t>
  </si>
  <si>
    <t>7,5 V - 10 V</t>
  </si>
  <si>
    <t>4 V - 7,5 V</t>
  </si>
  <si>
    <t>Korjaus</t>
  </si>
  <si>
    <t>Taustamelukorjattu</t>
  </si>
  <si>
    <t>Äänitehotasot kanaviin</t>
  </si>
  <si>
    <t>Imupuoli</t>
  </si>
  <si>
    <t>Painepuoli</t>
  </si>
  <si>
    <t>Erotus</t>
  </si>
  <si>
    <t>Sovite ohj. Jännite vs. LwA vaipan läpi</t>
  </si>
  <si>
    <t>y = Ax + B</t>
  </si>
  <si>
    <t>y = LwA, x = ohjausjännite</t>
  </si>
  <si>
    <t>Maksimi</t>
  </si>
  <si>
    <t>Painotettu keskiarvo</t>
  </si>
  <si>
    <t>Korjaus K</t>
  </si>
  <si>
    <t>Keskiarvo erotus</t>
  </si>
  <si>
    <t>Maksimikorjaus</t>
  </si>
  <si>
    <t>Vaipan läpi</t>
  </si>
  <si>
    <t>LpA10m2</t>
  </si>
  <si>
    <t>LpA2,5m2</t>
  </si>
  <si>
    <r>
      <t>L</t>
    </r>
    <r>
      <rPr>
        <vertAlign val="subscript"/>
        <sz val="10"/>
        <color theme="1"/>
        <rFont val="Century Gothic"/>
        <family val="2"/>
      </rPr>
      <t xml:space="preserve">pA,10m²Sab </t>
    </r>
    <r>
      <rPr>
        <sz val="10"/>
        <color theme="1"/>
        <rFont val="Century Gothic"/>
        <family val="2"/>
      </rPr>
      <t>[dB]</t>
    </r>
  </si>
  <si>
    <r>
      <t>L</t>
    </r>
    <r>
      <rPr>
        <vertAlign val="subscript"/>
        <sz val="10"/>
        <color theme="1"/>
        <rFont val="Century Gothic"/>
        <family val="2"/>
      </rPr>
      <t xml:space="preserve">pA,&lt;3m²Sab </t>
    </r>
    <r>
      <rPr>
        <sz val="10"/>
        <color theme="1"/>
        <rFont val="Century Gothic"/>
        <family val="2"/>
      </rPr>
      <t>[dB]</t>
    </r>
  </si>
  <si>
    <t xml:space="preserve"> </t>
  </si>
  <si>
    <t>10 V</t>
  </si>
  <si>
    <t>5 V</t>
  </si>
  <si>
    <t>3 V</t>
  </si>
  <si>
    <t>Pvm</t>
  </si>
  <si>
    <t>Versio</t>
  </si>
  <si>
    <t>Muutokset</t>
  </si>
  <si>
    <t>Tekijä</t>
  </si>
  <si>
    <t>Lähetetty asiakkaalle</t>
  </si>
  <si>
    <t>JK</t>
  </si>
  <si>
    <t>1.0</t>
  </si>
  <si>
    <t>Ohjelma luotu</t>
  </si>
  <si>
    <t>6,5 V</t>
  </si>
  <si>
    <t>6,5V</t>
  </si>
  <si>
    <t>Model 60</t>
  </si>
  <si>
    <t>Model 100</t>
  </si>
  <si>
    <t>Tarkistus</t>
  </si>
  <si>
    <t>Äänet</t>
  </si>
  <si>
    <t>T</t>
  </si>
  <si>
    <t>Tulosteeseen</t>
  </si>
  <si>
    <t>Total</t>
  </si>
  <si>
    <t>Lisätty Model 100 tulokset, tarkennettu Model 60 ilmamääriä</t>
  </si>
  <si>
    <t>Ilmamääräkäyrät</t>
  </si>
  <si>
    <t>Total teho</t>
  </si>
  <si>
    <t>Asiakkaalle lähetetyn tiedoston nimi</t>
  </si>
  <si>
    <t>Model 60 laskentaohjelma, ver. 1.0.xlsx</t>
  </si>
  <si>
    <t>Airfi laskentaohjelma_v2.0.xlsx</t>
  </si>
  <si>
    <t>2.0</t>
  </si>
  <si>
    <t>Model 150</t>
  </si>
  <si>
    <t>Sovite ohjausjännitteelle</t>
  </si>
  <si>
    <t>6,5 - 10V</t>
  </si>
  <si>
    <t>0-6,5</t>
  </si>
  <si>
    <t>RPM</t>
  </si>
  <si>
    <t>5-10V</t>
  </si>
  <si>
    <t>3-5V</t>
  </si>
  <si>
    <t>3-6,5V</t>
  </si>
  <si>
    <t>3.0</t>
  </si>
  <si>
    <t>Lisätty Model 150 tulokset</t>
  </si>
  <si>
    <t>VALINTA</t>
  </si>
  <si>
    <t>Ohj-jännite lähin</t>
  </si>
  <si>
    <t>Kaikki voltit</t>
  </si>
  <si>
    <t>Max paine 10V</t>
  </si>
  <si>
    <t>Max pain 10V</t>
  </si>
  <si>
    <t>Max qV</t>
  </si>
  <si>
    <t>General typology</t>
  </si>
  <si>
    <t>Ventilation control</t>
  </si>
  <si>
    <t>Motor &amp; drive</t>
  </si>
  <si>
    <t>Climate</t>
  </si>
  <si>
    <t>SEC-laskenta</t>
  </si>
  <si>
    <t>MISC</t>
  </si>
  <si>
    <t>CTRL</t>
  </si>
  <si>
    <t>x-value</t>
  </si>
  <si>
    <t>Defaults</t>
  </si>
  <si>
    <t>pef</t>
  </si>
  <si>
    <t>Value</t>
  </si>
  <si>
    <r>
      <t>t</t>
    </r>
    <r>
      <rPr>
        <vertAlign val="subscript"/>
        <sz val="10"/>
        <color theme="1"/>
        <rFont val="Century Gothic"/>
        <family val="2"/>
      </rPr>
      <t>h</t>
    </r>
  </si>
  <si>
    <r>
      <t>t</t>
    </r>
    <r>
      <rPr>
        <vertAlign val="subscript"/>
        <sz val="10"/>
        <color theme="1"/>
        <rFont val="Century Gothic"/>
        <family val="2"/>
      </rPr>
      <t>defr</t>
    </r>
  </si>
  <si>
    <r>
      <t>Q</t>
    </r>
    <r>
      <rPr>
        <vertAlign val="subscript"/>
        <sz val="10"/>
        <color theme="1"/>
        <rFont val="Century Gothic"/>
        <family val="2"/>
      </rPr>
      <t>defr</t>
    </r>
  </si>
  <si>
    <r>
      <t>c</t>
    </r>
    <r>
      <rPr>
        <vertAlign val="subscript"/>
        <sz val="10"/>
        <color theme="1"/>
        <rFont val="Century Gothic"/>
        <family val="2"/>
      </rPr>
      <t>air</t>
    </r>
  </si>
  <si>
    <r>
      <t>q</t>
    </r>
    <r>
      <rPr>
        <vertAlign val="subscript"/>
        <sz val="10"/>
        <color theme="1"/>
        <rFont val="Century Gothic"/>
        <family val="2"/>
      </rPr>
      <t>net</t>
    </r>
  </si>
  <si>
    <r>
      <t>q</t>
    </r>
    <r>
      <rPr>
        <vertAlign val="subscript"/>
        <sz val="10"/>
        <color theme="1"/>
        <rFont val="Century Gothic"/>
        <family val="2"/>
      </rPr>
      <t>ref</t>
    </r>
  </si>
  <si>
    <r>
      <t>t</t>
    </r>
    <r>
      <rPr>
        <vertAlign val="subscript"/>
        <sz val="10"/>
        <color theme="1"/>
        <rFont val="Century Gothic"/>
        <family val="2"/>
      </rPr>
      <t>a</t>
    </r>
  </si>
  <si>
    <r>
      <t>η</t>
    </r>
    <r>
      <rPr>
        <vertAlign val="subscript"/>
        <sz val="10"/>
        <color theme="1"/>
        <rFont val="Century Gothic"/>
        <family val="2"/>
      </rPr>
      <t>h</t>
    </r>
  </si>
  <si>
    <r>
      <t>ΔT</t>
    </r>
    <r>
      <rPr>
        <vertAlign val="subscript"/>
        <sz val="10"/>
        <color theme="1"/>
        <rFont val="Century Gothic"/>
        <family val="2"/>
      </rPr>
      <t>h</t>
    </r>
  </si>
  <si>
    <r>
      <t>ΔT</t>
    </r>
    <r>
      <rPr>
        <vertAlign val="subscript"/>
        <sz val="10"/>
        <color theme="1"/>
        <rFont val="Century Gothic"/>
        <family val="2"/>
      </rPr>
      <t>defr</t>
    </r>
  </si>
  <si>
    <t>SEC</t>
  </si>
  <si>
    <r>
      <t>t</t>
    </r>
    <r>
      <rPr>
        <b/>
        <vertAlign val="subscript"/>
        <sz val="10"/>
        <color theme="1"/>
        <rFont val="Century Gothic"/>
        <family val="2"/>
      </rPr>
      <t>h</t>
    </r>
  </si>
  <si>
    <r>
      <t>ΔT</t>
    </r>
    <r>
      <rPr>
        <b/>
        <vertAlign val="subscript"/>
        <sz val="10"/>
        <color theme="1"/>
        <rFont val="Century Gothic"/>
        <family val="2"/>
      </rPr>
      <t>h</t>
    </r>
  </si>
  <si>
    <r>
      <t>t</t>
    </r>
    <r>
      <rPr>
        <b/>
        <vertAlign val="subscript"/>
        <sz val="10"/>
        <color theme="1"/>
        <rFont val="Century Gothic"/>
        <family val="2"/>
      </rPr>
      <t>defr</t>
    </r>
  </si>
  <si>
    <r>
      <t>ΔT</t>
    </r>
    <r>
      <rPr>
        <b/>
        <vertAlign val="subscript"/>
        <sz val="10"/>
        <color theme="1"/>
        <rFont val="Century Gothic"/>
        <family val="2"/>
      </rPr>
      <t>defr</t>
    </r>
  </si>
  <si>
    <r>
      <t>Q</t>
    </r>
    <r>
      <rPr>
        <b/>
        <vertAlign val="subscript"/>
        <sz val="10"/>
        <color theme="1"/>
        <rFont val="Century Gothic"/>
        <family val="2"/>
      </rPr>
      <t>defr</t>
    </r>
  </si>
  <si>
    <t>ηt</t>
  </si>
  <si>
    <t>SPI</t>
  </si>
  <si>
    <t>kW/(m3/h)</t>
  </si>
  <si>
    <t>kW/(m3/s)</t>
  </si>
  <si>
    <t>Vertailuarvo</t>
  </si>
  <si>
    <t>A+</t>
  </si>
  <si>
    <t>D</t>
  </si>
  <si>
    <t>E</t>
  </si>
  <si>
    <t>F</t>
  </si>
  <si>
    <t>G</t>
  </si>
  <si>
    <t>dB Package</t>
  </si>
  <si>
    <t>dB Package vaimennus</t>
  </si>
  <si>
    <t>Vaimennus</t>
  </si>
  <si>
    <t>a-painotus</t>
  </si>
  <si>
    <t>Class</t>
  </si>
  <si>
    <t>Kennon</t>
  </si>
  <si>
    <t>hyötys</t>
  </si>
  <si>
    <t>Hyötys.</t>
  </si>
  <si>
    <t>SEC &lt; -42</t>
  </si>
  <si>
    <t>-42 &lt; SEC &lt; -34</t>
  </si>
  <si>
    <t>-34 &lt; SEC &lt; -26</t>
  </si>
  <si>
    <t>-26 &lt; SEC &lt; -23</t>
  </si>
  <si>
    <t>-23 &lt; SEC &lt; -20</t>
  </si>
  <si>
    <t>-20 &lt; SEC &lt; -10</t>
  </si>
  <si>
    <t>-10 &lt; SEC &lt; 0</t>
  </si>
  <si>
    <t>SEC &gt; 0</t>
  </si>
  <si>
    <t>3.1</t>
  </si>
  <si>
    <t>www.airfi.fi</t>
  </si>
  <si>
    <t>SEC-laskenta, päivitetty elektroniikan teho, hyötysuhteet ja tulostuksen muotoiluja, vastuullisuustekstit</t>
  </si>
  <si>
    <t>Airfi laskentaohjelma_v3.0.xlsx</t>
  </si>
  <si>
    <t>SFP vert</t>
  </si>
  <si>
    <t>Vert qV</t>
  </si>
  <si>
    <t>Airfi laskentaohjelma_v3.1.xlsx</t>
  </si>
  <si>
    <t>Laskenta YM:n Monisteen 122 mukaisesti</t>
  </si>
  <si>
    <t>= syötettävä solu</t>
  </si>
  <si>
    <t>Laskennan lähtöarvot:</t>
  </si>
  <si>
    <t>Aika vuodessa</t>
  </si>
  <si>
    <t>Jäteilman lämpötila</t>
  </si>
  <si>
    <t>Tuloilman lämpötila</t>
  </si>
  <si>
    <r>
      <t>S</t>
    </r>
    <r>
      <rPr>
        <b/>
        <vertAlign val="subscript"/>
        <sz val="10"/>
        <color theme="1"/>
        <rFont val="Century Gothic"/>
        <family val="2"/>
      </rPr>
      <t>S,Kd</t>
    </r>
  </si>
  <si>
    <r>
      <t>S</t>
    </r>
    <r>
      <rPr>
        <b/>
        <vertAlign val="subscript"/>
        <sz val="10"/>
        <color theme="1"/>
        <rFont val="Century Gothic"/>
        <family val="2"/>
      </rPr>
      <t>T,Kd</t>
    </r>
  </si>
  <si>
    <r>
      <t>S</t>
    </r>
    <r>
      <rPr>
        <b/>
        <vertAlign val="subscript"/>
        <sz val="10"/>
        <color theme="1"/>
        <rFont val="Century Gothic"/>
        <family val="2"/>
      </rPr>
      <t>J,Kd</t>
    </r>
  </si>
  <si>
    <t>Tuloilmavirta, LTO:n läpi virtaava</t>
  </si>
  <si>
    <r>
      <t>q</t>
    </r>
    <r>
      <rPr>
        <vertAlign val="subscript"/>
        <sz val="10"/>
        <color theme="1"/>
        <rFont val="Century Gothic"/>
        <family val="2"/>
      </rPr>
      <t>tLTO</t>
    </r>
  </si>
  <si>
    <t>Poistoilmavirta, LTO:n läpi virtaava</t>
  </si>
  <si>
    <r>
      <t>q</t>
    </r>
    <r>
      <rPr>
        <vertAlign val="subscript"/>
        <sz val="10"/>
        <color theme="1"/>
        <rFont val="Century Gothic"/>
        <family val="2"/>
      </rPr>
      <t>pLTO</t>
    </r>
  </si>
  <si>
    <t>LTO:n läpi virtaavan tulo- ja poistoilmavirran suhde</t>
  </si>
  <si>
    <r>
      <t>R</t>
    </r>
    <r>
      <rPr>
        <b/>
        <vertAlign val="subscript"/>
        <sz val="10"/>
        <color theme="1"/>
        <rFont val="Century Gothic"/>
        <family val="2"/>
      </rPr>
      <t>LTO</t>
    </r>
  </si>
  <si>
    <t>LTO-vaatimuksen piiriin kuuluva erillispoistoilmavirta</t>
  </si>
  <si>
    <r>
      <t>q</t>
    </r>
    <r>
      <rPr>
        <vertAlign val="subscript"/>
        <sz val="10"/>
        <color theme="1"/>
        <rFont val="Century Gothic"/>
        <family val="2"/>
      </rPr>
      <t>ep1</t>
    </r>
  </si>
  <si>
    <t>Em. erillispoistoilman käyttöaika</t>
  </si>
  <si>
    <r>
      <t>T</t>
    </r>
    <r>
      <rPr>
        <vertAlign val="subscript"/>
        <sz val="10"/>
        <color theme="1"/>
        <rFont val="Century Gothic"/>
        <family val="2"/>
      </rPr>
      <t>qep1</t>
    </r>
  </si>
  <si>
    <t>h / vrk</t>
  </si>
  <si>
    <t>Koko IV:n tulo- ja poistoilmavirtojen suhde</t>
  </si>
  <si>
    <t>Tuloilman lämpötilahyötysuhde</t>
  </si>
  <si>
    <t>Säävyöhyke</t>
  </si>
  <si>
    <t>Sisälämpötila</t>
  </si>
  <si>
    <r>
      <t>t</t>
    </r>
    <r>
      <rPr>
        <vertAlign val="subscript"/>
        <sz val="10"/>
        <color theme="1"/>
        <rFont val="Century Gothic"/>
        <family val="2"/>
      </rPr>
      <t>s</t>
    </r>
  </si>
  <si>
    <t>°C</t>
  </si>
  <si>
    <t>Minimi jäteilman lämpötila</t>
  </si>
  <si>
    <r>
      <t>t</t>
    </r>
    <r>
      <rPr>
        <b/>
        <vertAlign val="subscript"/>
        <sz val="10"/>
        <color theme="1"/>
        <rFont val="Century Gothic"/>
        <family val="2"/>
      </rPr>
      <t>j,min</t>
    </r>
  </si>
  <si>
    <r>
      <t>t</t>
    </r>
    <r>
      <rPr>
        <vertAlign val="subscript"/>
        <sz val="10"/>
        <color theme="1"/>
        <rFont val="Century Gothic"/>
        <family val="2"/>
      </rPr>
      <t>t,max</t>
    </r>
  </si>
  <si>
    <t>Vuosihyötysuhde</t>
  </si>
  <si>
    <t>ηₐ</t>
  </si>
  <si>
    <t>Ilmanvaihdon kokonaisenergiantarve</t>
  </si>
  <si>
    <t>kWh</t>
  </si>
  <si>
    <t>Talteenotettu lämmitysenergia</t>
  </si>
  <si>
    <t>Yhteensä</t>
  </si>
  <si>
    <t>Hakee arvot tulostus-välilehdeltä.</t>
  </si>
  <si>
    <t>Älä muuta tästä!</t>
  </si>
  <si>
    <r>
      <t>t</t>
    </r>
    <r>
      <rPr>
        <b/>
        <vertAlign val="subscript"/>
        <sz val="10"/>
        <color theme="1"/>
        <rFont val="Century Gothic"/>
        <family val="2"/>
      </rPr>
      <t>u</t>
    </r>
  </si>
  <si>
    <r>
      <t>t</t>
    </r>
    <r>
      <rPr>
        <b/>
        <vertAlign val="subscript"/>
        <sz val="10"/>
        <color theme="1"/>
        <rFont val="Century Gothic"/>
        <family val="2"/>
      </rPr>
      <t>LTO,maks</t>
    </r>
  </si>
  <si>
    <r>
      <t>t</t>
    </r>
    <r>
      <rPr>
        <b/>
        <vertAlign val="subscript"/>
        <sz val="10"/>
        <color theme="1"/>
        <rFont val="Century Gothic"/>
        <family val="2"/>
      </rPr>
      <t>j</t>
    </r>
  </si>
  <si>
    <r>
      <t>t</t>
    </r>
    <r>
      <rPr>
        <b/>
        <vertAlign val="subscript"/>
        <sz val="10"/>
        <color theme="1"/>
        <rFont val="Century Gothic"/>
        <family val="2"/>
      </rPr>
      <t>j,maks</t>
    </r>
  </si>
  <si>
    <r>
      <t>t</t>
    </r>
    <r>
      <rPr>
        <b/>
        <vertAlign val="subscript"/>
        <sz val="10"/>
        <color theme="1"/>
        <rFont val="Century Gothic"/>
        <family val="2"/>
      </rPr>
      <t>j, korjaamaton</t>
    </r>
  </si>
  <si>
    <r>
      <t>t</t>
    </r>
    <r>
      <rPr>
        <b/>
        <vertAlign val="subscript"/>
        <sz val="10"/>
        <color theme="1"/>
        <rFont val="Century Gothic"/>
        <family val="2"/>
      </rPr>
      <t>sisä</t>
    </r>
  </si>
  <si>
    <r>
      <t>t</t>
    </r>
    <r>
      <rPr>
        <b/>
        <vertAlign val="subscript"/>
        <sz val="10"/>
        <color theme="1"/>
        <rFont val="Century Gothic"/>
        <family val="2"/>
      </rPr>
      <t>LTO</t>
    </r>
  </si>
  <si>
    <r>
      <t>t</t>
    </r>
    <r>
      <rPr>
        <b/>
        <vertAlign val="subscript"/>
        <sz val="10"/>
        <color theme="1"/>
        <rFont val="Century Gothic"/>
        <family val="2"/>
      </rPr>
      <t>LTO, korjaamaton</t>
    </r>
  </si>
  <si>
    <r>
      <t>η</t>
    </r>
    <r>
      <rPr>
        <b/>
        <vertAlign val="subscript"/>
        <sz val="10"/>
        <color theme="1"/>
        <rFont val="Century Gothic"/>
        <family val="2"/>
      </rPr>
      <t>t</t>
    </r>
  </si>
  <si>
    <r>
      <t>η</t>
    </r>
    <r>
      <rPr>
        <b/>
        <vertAlign val="subscript"/>
        <sz val="10"/>
        <color theme="1"/>
        <rFont val="Century Gothic"/>
        <family val="2"/>
      </rPr>
      <t>p</t>
    </r>
  </si>
  <si>
    <r>
      <t>η</t>
    </r>
    <r>
      <rPr>
        <b/>
        <vertAlign val="subscript"/>
        <sz val="10"/>
        <color theme="1"/>
        <rFont val="Century Gothic"/>
        <family val="2"/>
      </rPr>
      <t>t, korjaamaton</t>
    </r>
  </si>
  <si>
    <r>
      <t>η</t>
    </r>
    <r>
      <rPr>
        <b/>
        <vertAlign val="subscript"/>
        <sz val="10"/>
        <color theme="1"/>
        <rFont val="Century Gothic"/>
        <family val="2"/>
      </rPr>
      <t>p,korjaamaton</t>
    </r>
  </si>
  <si>
    <t>Tuloilmamäärä</t>
  </si>
  <si>
    <t>Poistoilmamäärä</t>
  </si>
  <si>
    <r>
      <t>R</t>
    </r>
    <r>
      <rPr>
        <vertAlign val="subscript"/>
        <sz val="10"/>
        <color theme="1"/>
        <rFont val="Century Gothic"/>
        <family val="2"/>
      </rPr>
      <t>LTO</t>
    </r>
  </si>
  <si>
    <t>nLTO 1</t>
  </si>
  <si>
    <t>nLTO, RT</t>
  </si>
  <si>
    <t>Minimi jäteilma</t>
  </si>
  <si>
    <t>Maksimi tLTO</t>
  </si>
  <si>
    <t>Vyöhyke</t>
  </si>
  <si>
    <t>Muut poistoilmavirrat ei LTO:n kautta</t>
  </si>
  <si>
    <t>Käyttöaika / vrk</t>
  </si>
  <si>
    <t>h</t>
  </si>
  <si>
    <t>Poistoilma, kaikki</t>
  </si>
  <si>
    <r>
      <t>Koko IV:n R</t>
    </r>
    <r>
      <rPr>
        <vertAlign val="subscript"/>
        <sz val="10"/>
        <color theme="1"/>
        <rFont val="Century Gothic"/>
        <family val="2"/>
      </rPr>
      <t>T</t>
    </r>
  </si>
  <si>
    <t>Mitoittava ulkoLT</t>
  </si>
  <si>
    <t>Tuloilman LT, mit.</t>
  </si>
  <si>
    <t>VUOSIHYÖTYSUHDE</t>
  </si>
  <si>
    <t>II (Jokioinen)</t>
  </si>
  <si>
    <t>III (Jyväskylä)</t>
  </si>
  <si>
    <t>IV (Sodankylä)</t>
  </si>
  <si>
    <t>Kojevalinta</t>
  </si>
  <si>
    <t>Tunnus</t>
  </si>
  <si>
    <t>Malli</t>
  </si>
  <si>
    <t>Min. qV</t>
  </si>
  <si>
    <t>Maks. qV</t>
  </si>
  <si>
    <t>Jäteilman raj.</t>
  </si>
  <si>
    <t>n, tulo</t>
  </si>
  <si>
    <t>Jäteilma</t>
  </si>
  <si>
    <t>Airfi model 60</t>
  </si>
  <si>
    <t>Airfi model 100</t>
  </si>
  <si>
    <t>Airfi model 150</t>
  </si>
  <si>
    <t>n, tulostus</t>
  </si>
  <si>
    <t>LEV-455-230, pituus 350 mm, s=2.3 mm</t>
  </si>
  <si>
    <t>Tulko</t>
  </si>
  <si>
    <t>50%RH</t>
  </si>
  <si>
    <t>Tpoisto</t>
  </si>
  <si>
    <t>qV</t>
  </si>
  <si>
    <t>qV, tulo</t>
  </si>
  <si>
    <t>qV, poisto</t>
  </si>
  <si>
    <t>qV, mitoitus</t>
  </si>
  <si>
    <t>n, tulo, mitoitus</t>
  </si>
  <si>
    <t>LEV-500-270, pituus 350 mm, s=2 mm</t>
  </si>
  <si>
    <t>4.0</t>
  </si>
  <si>
    <t>Yhdistetty vuosihyötysuhteen laskenta, päivitetty minimijäteilman arvo ja mallien kennohyötysuhteet</t>
  </si>
  <si>
    <r>
      <t>R</t>
    </r>
    <r>
      <rPr>
        <vertAlign val="subscript"/>
        <sz val="10"/>
        <color theme="1"/>
        <rFont val="Century Gothic"/>
        <family val="2"/>
      </rPr>
      <t>T</t>
    </r>
  </si>
  <si>
    <r>
      <t>η</t>
    </r>
    <r>
      <rPr>
        <vertAlign val="subscript"/>
        <sz val="10"/>
        <color theme="1"/>
        <rFont val="Century Gothic"/>
        <family val="2"/>
      </rPr>
      <t>t(RLTO=1)</t>
    </r>
  </si>
  <si>
    <r>
      <t>η</t>
    </r>
    <r>
      <rPr>
        <vertAlign val="subscript"/>
        <sz val="10"/>
        <color theme="1"/>
        <rFont val="Century Gothic"/>
        <family val="2"/>
      </rPr>
      <t>t(RLTO)</t>
    </r>
  </si>
  <si>
    <r>
      <t>t</t>
    </r>
    <r>
      <rPr>
        <vertAlign val="subscript"/>
        <sz val="10"/>
        <color theme="1"/>
        <rFont val="Century Gothic"/>
        <family val="2"/>
      </rPr>
      <t>j,min</t>
    </r>
  </si>
  <si>
    <t>Airfi: ilmanvaihtokoneen valintaohjelma</t>
  </si>
  <si>
    <t>Paine-ero:</t>
  </si>
  <si>
    <t>Ilman tilavuusvirta:</t>
  </si>
  <si>
    <t>Ohjausjännite:</t>
  </si>
  <si>
    <t>Puhaltimen ottoteho:</t>
  </si>
  <si>
    <t>Tulopuhallin:</t>
  </si>
  <si>
    <t>Poistopuhallin:</t>
  </si>
  <si>
    <t>Kokonaisteho:</t>
  </si>
  <si>
    <t>Äänitehotasot liitäntäkanavissa</t>
  </si>
  <si>
    <t>Liitäntäkanava</t>
  </si>
  <si>
    <t>Tuloilma</t>
  </si>
  <si>
    <t>Poistoilma</t>
  </si>
  <si>
    <r>
      <t>Äänitehotasot oktaavikaistoittain L</t>
    </r>
    <r>
      <rPr>
        <b/>
        <vertAlign val="subscript"/>
        <sz val="10"/>
        <rFont val="Century Gothic"/>
        <family val="2"/>
      </rPr>
      <t>W,okt</t>
    </r>
    <r>
      <rPr>
        <b/>
        <sz val="10"/>
        <rFont val="Century Gothic"/>
        <family val="2"/>
      </rPr>
      <t xml:space="preserve"> [dB]</t>
    </r>
  </si>
  <si>
    <t>Äänipainetaso huonetilassa, jonka ääniabsorptioala 10m²:</t>
  </si>
  <si>
    <t>Vertailuilmavirta:</t>
  </si>
  <si>
    <t>Yleinen luokittelu</t>
  </si>
  <si>
    <t>Ilmanvaihdon ohjaus</t>
  </si>
  <si>
    <t>Moottori ja ohjaus</t>
  </si>
  <si>
    <t>Ilmasto</t>
  </si>
  <si>
    <t>Kaikki oikeudet pidätetään.</t>
  </si>
  <si>
    <t>Luokka</t>
  </si>
  <si>
    <t>SEC-luku</t>
  </si>
  <si>
    <t>Kanavaliitäntäinen</t>
  </si>
  <si>
    <t>Muu kuin kanavaliitäntäinen</t>
  </si>
  <si>
    <t>On/off &amp; yksinopeuksinen</t>
  </si>
  <si>
    <t>Kaksinopeuksinen</t>
  </si>
  <si>
    <t>Moninopeuksinen</t>
  </si>
  <si>
    <t>Portaaton säätö</t>
  </si>
  <si>
    <t>Kello-ohjaus (ei tarp.muk. IV)</t>
  </si>
  <si>
    <t>Käsikäyttö (ei tarp.muk. IV)</t>
  </si>
  <si>
    <t>Keskitetty tarp.muk. ohjaus</t>
  </si>
  <si>
    <t>Paikallinen tarp.muk. ohjaus</t>
  </si>
  <si>
    <t>Kylmä</t>
  </si>
  <si>
    <t>Keskiarvo</t>
  </si>
  <si>
    <t>Lämmin</t>
  </si>
  <si>
    <t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t>
  </si>
  <si>
    <t>Valitse malli:</t>
  </si>
  <si>
    <t>Kohde:</t>
  </si>
  <si>
    <t>Suunnittelija:</t>
  </si>
  <si>
    <t>Airfi laskentaohjelma_4.0.xlsx</t>
  </si>
  <si>
    <t>Tuloilma (syötä arvot):</t>
  </si>
  <si>
    <t>Poistoilma (syötä arvot):</t>
  </si>
  <si>
    <t>4.1</t>
  </si>
  <si>
    <t>Airfi laskentaohjelma_4.1.xlsx</t>
  </si>
  <si>
    <t>Korjattu käyttöalue minimi-ilmavirrat 20 l/s (model 60/100) ja 40 l/s (Model 150)</t>
  </si>
  <si>
    <t>Minimi-ilmavirta</t>
  </si>
  <si>
    <t>Pulkkasen maili 14.6.19</t>
  </si>
  <si>
    <t>Minimi qV</t>
  </si>
  <si>
    <t>4.2</t>
  </si>
  <si>
    <t>Muutettu käyttöalue minimi-ilmavirrat 18 l/s (Model 60/100)</t>
  </si>
  <si>
    <t>Airfi laskentaohjelma_4.2.xlsx</t>
  </si>
  <si>
    <t>Muutettu käyttöalue minimi-ilmavirrat 30 l/s (Model 150)</t>
  </si>
  <si>
    <t>4.3</t>
  </si>
  <si>
    <t>Airfi laskentaohjelma_4.3.xlsx</t>
  </si>
  <si>
    <t>Pulkkasen maili 18.6.19</t>
  </si>
  <si>
    <t>4.4</t>
  </si>
  <si>
    <t>Poistettu Model 150 dB-paketti, poistettu jälkilämmityspaterin tehontarpeen tulostus</t>
  </si>
  <si>
    <t>Poistettu Model 150 dB-paketti mahdollisuus18.11.2019</t>
  </si>
  <si>
    <t>dB-ruksittu</t>
  </si>
  <si>
    <t>Model 60 tai 100</t>
  </si>
  <si>
    <t>Airfi laskentaohjelma_4.4.xlsx</t>
  </si>
  <si>
    <t/>
  </si>
  <si>
    <t>Poistopuolen mitoituspiste</t>
  </si>
  <si>
    <t>Pd</t>
  </si>
  <si>
    <t>Vohj</t>
  </si>
  <si>
    <t>Verkkokäyrän alfatermi</t>
  </si>
  <si>
    <t>100 Pa</t>
  </si>
  <si>
    <t>100 Pa Verkkokäyrän LwA vs. Vohj sovite</t>
  </si>
  <si>
    <t>3V - 7,5 V ohjausalue</t>
  </si>
  <si>
    <r>
      <t>Logaritmisovite L</t>
    </r>
    <r>
      <rPr>
        <vertAlign val="subscript"/>
        <sz val="10"/>
        <color theme="1"/>
        <rFont val="Century Gothic"/>
        <family val="2"/>
      </rPr>
      <t>wA</t>
    </r>
    <r>
      <rPr>
        <sz val="10"/>
        <color theme="1"/>
        <rFont val="Century Gothic"/>
        <family val="2"/>
      </rPr>
      <t xml:space="preserve"> = A*ln(V</t>
    </r>
    <r>
      <rPr>
        <vertAlign val="subscript"/>
        <sz val="10"/>
        <color theme="1"/>
        <rFont val="Century Gothic"/>
        <family val="2"/>
      </rPr>
      <t>ohj</t>
    </r>
    <r>
      <rPr>
        <sz val="10"/>
        <color theme="1"/>
        <rFont val="Century Gothic"/>
        <family val="2"/>
      </rPr>
      <t>) + B</t>
    </r>
  </si>
  <si>
    <t>140 Pa</t>
  </si>
  <si>
    <t>50 Pa</t>
  </si>
  <si>
    <t>7,5V - 10V ohjausalue</t>
  </si>
  <si>
    <r>
      <t>Lineaarisovite L</t>
    </r>
    <r>
      <rPr>
        <vertAlign val="subscript"/>
        <sz val="10"/>
        <color theme="1"/>
        <rFont val="Century Gothic"/>
        <family val="2"/>
      </rPr>
      <t>wA</t>
    </r>
    <r>
      <rPr>
        <sz val="10"/>
        <color theme="1"/>
        <rFont val="Century Gothic"/>
        <family val="2"/>
      </rPr>
      <t xml:space="preserve"> = A*V</t>
    </r>
    <r>
      <rPr>
        <vertAlign val="subscript"/>
        <sz val="10"/>
        <color theme="1"/>
        <rFont val="Century Gothic"/>
        <family val="2"/>
      </rPr>
      <t>ohj</t>
    </r>
    <r>
      <rPr>
        <sz val="10"/>
        <color theme="1"/>
        <rFont val="Century Gothic"/>
        <family val="2"/>
      </rPr>
      <t xml:space="preserve"> + B</t>
    </r>
  </si>
  <si>
    <t>--&gt;</t>
  </si>
  <si>
    <t>Korjaustermi</t>
  </si>
  <si>
    <t>Spektri</t>
  </si>
  <si>
    <t>LwA tark.</t>
  </si>
  <si>
    <t>Mitoituspisteen spektri 100 Pa verkkokäyrällä</t>
  </si>
  <si>
    <t>Lineaarisovite korjaukselle</t>
  </si>
  <si>
    <t xml:space="preserve">Valinta logaritmi vs. lineaarisovite </t>
  </si>
  <si>
    <t>Verkkokäyräkorjaus kokonaistasoon</t>
  </si>
  <si>
    <t>dB korjaus</t>
  </si>
  <si>
    <t>Korjattu kokonaistaso</t>
  </si>
  <si>
    <r>
      <t>L</t>
    </r>
    <r>
      <rPr>
        <b/>
        <vertAlign val="subscript"/>
        <sz val="10"/>
        <color theme="1"/>
        <rFont val="Century Gothic"/>
        <family val="2"/>
      </rPr>
      <t>wA</t>
    </r>
  </si>
  <si>
    <t>Raja-arvot</t>
  </si>
  <si>
    <t>Verkkokäyrä</t>
  </si>
  <si>
    <t>Verkkokäyrän alfa</t>
  </si>
  <si>
    <t>Neliöjuuri alfa</t>
  </si>
  <si>
    <t>Keittiöohitus</t>
  </si>
  <si>
    <t>Lw</t>
  </si>
  <si>
    <t>* Huom. keittiöohitusta käytettäessä kokonaispoistoilmavirta syötettyä mitoitusarvoa suurempi</t>
  </si>
  <si>
    <t>-</t>
  </si>
  <si>
    <t>Tekstit</t>
  </si>
  <si>
    <t>Keittiöohitus valinta</t>
  </si>
  <si>
    <t>4.5</t>
  </si>
  <si>
    <t>Lisätty keittiöohituksen tulokset Model 60 ja 100</t>
  </si>
  <si>
    <t>Airfi laskentaohjelma_4.5.xlsx</t>
  </si>
  <si>
    <t>4.6</t>
  </si>
  <si>
    <t>Lisätty ohjelman tekijäksi Zenner + Zenner logo</t>
  </si>
  <si>
    <t>Airfi laskentaohjelma_4.6.xlsx</t>
  </si>
  <si>
    <t>Laskentaohjelman laatinut Insinööritoimisto W. Zenner Oy. Laskentaohjelma perustuu SFS-EN 13141-7 mukaisiin laboratoriomittauksiin.</t>
  </si>
  <si>
    <t>5.0</t>
  </si>
  <si>
    <t>8 V</t>
  </si>
  <si>
    <t>6 V</t>
  </si>
  <si>
    <t>4 V</t>
  </si>
  <si>
    <t>Verkkokäyrän potenssikäyrän termi (y=ax^2 --&gt; a = y/x^2)</t>
  </si>
  <si>
    <t>8V</t>
  </si>
  <si>
    <t>4V</t>
  </si>
  <si>
    <t>2V</t>
  </si>
  <si>
    <t>6V</t>
  </si>
  <si>
    <t>2.aste</t>
  </si>
  <si>
    <t>3.aste</t>
  </si>
  <si>
    <t>max</t>
  </si>
  <si>
    <t>3-9V</t>
  </si>
  <si>
    <t>9V - 10V</t>
  </si>
  <si>
    <t>Kaikki 2. x = l/s, y = Vohj</t>
  </si>
  <si>
    <t>Tulos</t>
  </si>
  <si>
    <t>KA</t>
  </si>
  <si>
    <t>Lineaarinen</t>
  </si>
  <si>
    <t>2. aste tai Lineaarinen</t>
  </si>
  <si>
    <t>Sovitteet 2. ja 1. aste</t>
  </si>
  <si>
    <t>Lin.</t>
  </si>
  <si>
    <t>LwA lask.</t>
  </si>
  <si>
    <t>LwA  lask</t>
  </si>
  <si>
    <t>Hyötysuhteet A. Pulkkasen mailista 20.2.2019 (Model 60,100,150)</t>
  </si>
  <si>
    <t>Tulopuoli</t>
  </si>
  <si>
    <t>Poistopuoli</t>
  </si>
  <si>
    <r>
      <t>P</t>
    </r>
    <r>
      <rPr>
        <b/>
        <vertAlign val="superscript"/>
        <sz val="10"/>
        <rFont val="Century Gothic"/>
        <family val="2"/>
      </rPr>
      <t>*</t>
    </r>
    <r>
      <rPr>
        <b/>
        <sz val="10"/>
        <rFont val="Century Gothic"/>
        <family val="2"/>
      </rPr>
      <t xml:space="preserve">
[W]</t>
    </r>
  </si>
  <si>
    <r>
      <t>L</t>
    </r>
    <r>
      <rPr>
        <b/>
        <vertAlign val="subscript"/>
        <sz val="10"/>
        <rFont val="Century Gothic"/>
        <family val="2"/>
      </rPr>
      <t>W,kok</t>
    </r>
    <r>
      <rPr>
        <b/>
        <vertAlign val="superscript"/>
        <sz val="10"/>
        <rFont val="Century Gothic"/>
        <family val="2"/>
      </rPr>
      <t>**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</si>
  <si>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r>
      <t>L</t>
    </r>
    <r>
      <rPr>
        <b/>
        <vertAlign val="subscript"/>
        <sz val="10"/>
        <rFont val="Century Gothic"/>
        <family val="2"/>
      </rPr>
      <t>W,A,kok</t>
    </r>
    <r>
      <rPr>
        <b/>
        <vertAlign val="superscript"/>
        <sz val="10"/>
        <rFont val="Century Gothic"/>
        <family val="2"/>
      </rPr>
      <t>**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</si>
  <si>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r>
      <t>Ohj.-%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[%]</t>
    </r>
  </si>
  <si>
    <r>
      <t>U</t>
    </r>
    <r>
      <rPr>
        <b/>
        <vertAlign val="subscript"/>
        <sz val="10"/>
        <rFont val="Century Gothic"/>
        <family val="2"/>
      </rPr>
      <t xml:space="preserve">ohj
</t>
    </r>
    <r>
      <rPr>
        <b/>
        <sz val="10"/>
        <rFont val="Century Gothic"/>
        <family val="2"/>
      </rPr>
      <t>[V]</t>
    </r>
  </si>
  <si>
    <r>
      <t>q</t>
    </r>
    <r>
      <rPr>
        <b/>
        <vertAlign val="subscript"/>
        <sz val="10"/>
        <rFont val="Century Gothic"/>
        <family val="2"/>
      </rPr>
      <t>V</t>
    </r>
    <r>
      <rPr>
        <b/>
        <sz val="10"/>
        <rFont val="Century Gothic"/>
        <family val="2"/>
      </rPr>
      <t xml:space="preserve">
[dm</t>
    </r>
    <r>
      <rPr>
        <b/>
        <vertAlign val="superscript"/>
        <sz val="10"/>
        <rFont val="Century Gothic"/>
        <family val="2"/>
      </rPr>
      <t>3</t>
    </r>
    <r>
      <rPr>
        <b/>
        <sz val="10"/>
        <rFont val="Century Gothic"/>
        <family val="2"/>
      </rPr>
      <t>/s]</t>
    </r>
  </si>
  <si>
    <r>
      <t>p</t>
    </r>
    <r>
      <rPr>
        <b/>
        <vertAlign val="subscript"/>
        <sz val="10"/>
        <rFont val="Century Gothic"/>
        <family val="2"/>
      </rPr>
      <t>s21</t>
    </r>
    <r>
      <rPr>
        <b/>
        <sz val="10"/>
        <rFont val="Century Gothic"/>
        <family val="2"/>
      </rPr>
      <t xml:space="preserve">
[Pa]</t>
    </r>
  </si>
  <si>
    <r>
      <t>p</t>
    </r>
    <r>
      <rPr>
        <b/>
        <vertAlign val="subscript"/>
        <sz val="10"/>
        <rFont val="Century Gothic"/>
        <family val="2"/>
      </rPr>
      <t>s22</t>
    </r>
    <r>
      <rPr>
        <b/>
        <sz val="10"/>
        <rFont val="Century Gothic"/>
        <family val="2"/>
      </rPr>
      <t xml:space="preserve">
[Pa]</t>
    </r>
  </si>
  <si>
    <r>
      <t>p</t>
    </r>
    <r>
      <rPr>
        <b/>
        <vertAlign val="subscript"/>
        <sz val="10"/>
        <rFont val="Century Gothic"/>
        <family val="2"/>
      </rPr>
      <t xml:space="preserve">tU
</t>
    </r>
    <r>
      <rPr>
        <b/>
        <sz val="10"/>
        <rFont val="Century Gothic"/>
        <family val="2"/>
      </rPr>
      <t>[Pa]</t>
    </r>
  </si>
  <si>
    <r>
      <t>Ohj.-%</t>
    </r>
    <r>
      <rPr>
        <b/>
        <vertAlign val="subscript"/>
        <sz val="10"/>
        <color theme="1"/>
        <rFont val="Century Gothic"/>
        <family val="2"/>
      </rPr>
      <t xml:space="preserve">
</t>
    </r>
    <r>
      <rPr>
        <b/>
        <sz val="10"/>
        <color theme="1"/>
        <rFont val="Century Gothic"/>
        <family val="2"/>
      </rPr>
      <t>[%]</t>
    </r>
  </si>
  <si>
    <r>
      <t>U</t>
    </r>
    <r>
      <rPr>
        <b/>
        <vertAlign val="subscript"/>
        <sz val="10"/>
        <color theme="1"/>
        <rFont val="Century Gothic"/>
        <family val="2"/>
      </rPr>
      <t xml:space="preserve">ohj
</t>
    </r>
    <r>
      <rPr>
        <b/>
        <sz val="10"/>
        <color theme="1"/>
        <rFont val="Century Gothic"/>
        <family val="2"/>
      </rPr>
      <t>[V]</t>
    </r>
  </si>
  <si>
    <r>
      <t>q</t>
    </r>
    <r>
      <rPr>
        <b/>
        <vertAlign val="subscript"/>
        <sz val="10"/>
        <color theme="1"/>
        <rFont val="Century Gothic"/>
        <family val="2"/>
      </rPr>
      <t>V</t>
    </r>
    <r>
      <rPr>
        <b/>
        <sz val="10"/>
        <color theme="1"/>
        <rFont val="Century Gothic"/>
        <family val="2"/>
      </rPr>
      <t xml:space="preserve">
[dm</t>
    </r>
    <r>
      <rPr>
        <b/>
        <vertAlign val="superscript"/>
        <sz val="10"/>
        <color theme="1"/>
        <rFont val="Century Gothic"/>
        <family val="2"/>
      </rPr>
      <t>3</t>
    </r>
    <r>
      <rPr>
        <b/>
        <sz val="10"/>
        <color theme="1"/>
        <rFont val="Century Gothic"/>
        <family val="2"/>
      </rPr>
      <t>/s]</t>
    </r>
  </si>
  <si>
    <r>
      <t>p</t>
    </r>
    <r>
      <rPr>
        <b/>
        <vertAlign val="subscript"/>
        <sz val="10"/>
        <color theme="1"/>
        <rFont val="Century Gothic"/>
        <family val="2"/>
      </rPr>
      <t>s11</t>
    </r>
    <r>
      <rPr>
        <b/>
        <sz val="10"/>
        <color theme="1"/>
        <rFont val="Century Gothic"/>
        <family val="2"/>
      </rPr>
      <t xml:space="preserve">
[Pa]</t>
    </r>
  </si>
  <si>
    <r>
      <t>p</t>
    </r>
    <r>
      <rPr>
        <b/>
        <vertAlign val="subscript"/>
        <sz val="10"/>
        <color theme="1"/>
        <rFont val="Century Gothic"/>
        <family val="2"/>
      </rPr>
      <t>s12</t>
    </r>
    <r>
      <rPr>
        <b/>
        <sz val="10"/>
        <color theme="1"/>
        <rFont val="Century Gothic"/>
        <family val="2"/>
      </rPr>
      <t xml:space="preserve">
[Pa]</t>
    </r>
  </si>
  <si>
    <r>
      <t>p</t>
    </r>
    <r>
      <rPr>
        <b/>
        <vertAlign val="subscript"/>
        <sz val="10"/>
        <color theme="1"/>
        <rFont val="Century Gothic"/>
        <family val="2"/>
      </rPr>
      <t xml:space="preserve">tU
</t>
    </r>
    <r>
      <rPr>
        <b/>
        <sz val="10"/>
        <color theme="1"/>
        <rFont val="Century Gothic"/>
        <family val="2"/>
      </rPr>
      <t>[Pa]</t>
    </r>
  </si>
  <si>
    <t>alfa T</t>
  </si>
  <si>
    <t>alfa P</t>
  </si>
  <si>
    <t>alfa KA</t>
  </si>
  <si>
    <t>LwA lask</t>
  </si>
  <si>
    <t>LwA Lask korjattu</t>
  </si>
  <si>
    <t>Erotus korj.</t>
  </si>
  <si>
    <t>Min</t>
  </si>
  <si>
    <t>Logaritmisovite Vohj vs LwA</t>
  </si>
  <si>
    <t>Verkkokäyräposition korjaus</t>
  </si>
  <si>
    <t>Verkkokäyränposition korjaus</t>
  </si>
  <si>
    <t>Alfa</t>
  </si>
  <si>
    <t>Verkkokäyrän positio</t>
  </si>
  <si>
    <t>Keskiarvo Alfa</t>
  </si>
  <si>
    <t>VK sijainnin korjaus</t>
  </si>
  <si>
    <t>Ilman korjausta</t>
  </si>
  <si>
    <t>Korjaus, lisätään tulokseen</t>
  </si>
  <si>
    <t>Korjauksen kanssa</t>
  </si>
  <si>
    <t>Validointipiste</t>
  </si>
  <si>
    <t>Log</t>
  </si>
  <si>
    <r>
      <t xml:space="preserve">Sovitteet </t>
    </r>
    <r>
      <rPr>
        <strike/>
        <sz val="10"/>
        <color theme="1"/>
        <rFont val="Century Gothic"/>
        <family val="2"/>
      </rPr>
      <t>2.</t>
    </r>
    <r>
      <rPr>
        <sz val="10"/>
        <color theme="1"/>
        <rFont val="Century Gothic"/>
        <family val="2"/>
      </rPr>
      <t xml:space="preserve"> ja 1. aste ja logaritmi</t>
    </r>
  </si>
  <si>
    <t>Nykyinen MODEL 150 kenno</t>
  </si>
  <si>
    <t>ARVOT EKOCOIL OPTIMIZER,  LEV-620-394-500-(lamelli 2,2)</t>
  </si>
  <si>
    <t>MODEL 150</t>
  </si>
  <si>
    <t>MODEL 300 (nyk kenno)</t>
  </si>
  <si>
    <t>LAMELLIVÄLI   2,2 mm</t>
  </si>
  <si>
    <t>lamelliväli 2,2</t>
  </si>
  <si>
    <t>dm3/s</t>
  </si>
  <si>
    <t>Ilmavirta , m³/s</t>
  </si>
  <si>
    <t>Hyötysuhde (tulo 2,2), model 150</t>
  </si>
  <si>
    <t>Hyötysuhde (poisto)</t>
  </si>
  <si>
    <t>Painehäviö 2,2</t>
  </si>
  <si>
    <t>nykyinen arvo- koneen hyötysuhde MODEL 150</t>
  </si>
  <si>
    <t>laskettu- koneen vuosi hyötysuhde MODEL 150</t>
  </si>
  <si>
    <t>ajatus koneen lämpötilahyöstysuhde (model 300)</t>
  </si>
  <si>
    <t>mistä laskettu model 300 vuosihyötysuhde</t>
  </si>
  <si>
    <t>ei alueella</t>
  </si>
  <si>
    <t>Mitoituspiste, tuloilma</t>
  </si>
  <si>
    <t>%</t>
  </si>
  <si>
    <t>Airfi Model 300</t>
  </si>
  <si>
    <t>Syötettävät tiedot</t>
  </si>
  <si>
    <t>Reynolds-luvun vaikutus korjattavaan lämpötilaeroon</t>
  </si>
  <si>
    <t>Tilavuusvirta</t>
  </si>
  <si>
    <t>Tarvittava teho</t>
  </si>
  <si>
    <t>Reynolds</t>
  </si>
  <si>
    <t>Korjaus lämpötilaeroon</t>
  </si>
  <si>
    <t>Patterille tulevan ilman lämpötila</t>
  </si>
  <si>
    <t>Patterilta lähtevän ilman lämpötila</t>
  </si>
  <si>
    <t>Menoveden lämpötila</t>
  </si>
  <si>
    <t>Paluuveden lämpötila</t>
  </si>
  <si>
    <t xml:space="preserve">Korjaus </t>
  </si>
  <si>
    <t>Arvio Reynolds-luvusta</t>
  </si>
  <si>
    <t>Tarvittava lämpötilaero patterilla</t>
  </si>
  <si>
    <t>K</t>
  </si>
  <si>
    <t xml:space="preserve">Patterimitoitus menoveden lämpötilan mukaan </t>
  </si>
  <si>
    <t>Virtaama</t>
  </si>
  <si>
    <t>Painehäviö</t>
  </si>
  <si>
    <t>kPa</t>
  </si>
  <si>
    <t>Virtausnopeus</t>
  </si>
  <si>
    <t>m/s</t>
  </si>
  <si>
    <t xml:space="preserve">Patterimitoitus paluuveden lämpötilan mukaan </t>
  </si>
  <si>
    <t>Tarvittavan lämpötilaeron laskenta</t>
  </si>
  <si>
    <t>Kerroin</t>
  </si>
  <si>
    <t>Eksponenttisovite</t>
  </si>
  <si>
    <t>3-asteen polynomin sovite</t>
  </si>
  <si>
    <t>Nestepuolen painehäviö</t>
  </si>
  <si>
    <t>ºC</t>
  </si>
  <si>
    <t>Syötä mitoitus- ja tavoitearvot:</t>
  </si>
  <si>
    <t>Tuloilman tilavuusvirta</t>
  </si>
  <si>
    <t>Tarvittava lämmitysteho:</t>
  </si>
  <si>
    <t>Vesipatteri</t>
  </si>
  <si>
    <t>Patterin nestepuolen painehäviö</t>
  </si>
  <si>
    <t>Paine puhaltimen yli</t>
  </si>
  <si>
    <t>Ps puh</t>
  </si>
  <si>
    <t>¤ V</t>
  </si>
  <si>
    <t>Paine puhaltimen yli (2. aste polyn)</t>
  </si>
  <si>
    <t>Paine puh. yli</t>
  </si>
  <si>
    <t>SFP_int_limit</t>
  </si>
  <si>
    <t>SFP_int_tulo</t>
  </si>
  <si>
    <t>SFP_int_poisto</t>
  </si>
  <si>
    <t>Suodatinkorjaus</t>
  </si>
  <si>
    <r>
      <t>SFP</t>
    </r>
    <r>
      <rPr>
        <b/>
        <vertAlign val="subscript"/>
        <sz val="10"/>
        <color theme="1"/>
        <rFont val="Century Gothic"/>
        <family val="2"/>
      </rPr>
      <t>INT</t>
    </r>
    <r>
      <rPr>
        <b/>
        <sz val="10"/>
        <color theme="1"/>
        <rFont val="Century Gothic"/>
        <family val="2"/>
      </rPr>
      <t xml:space="preserve"> -LASKENTA</t>
    </r>
  </si>
  <si>
    <t>Tulopuhaltimen hyötysuhde</t>
  </si>
  <si>
    <t>Poistopuhaltimen hyötysuhde</t>
  </si>
  <si>
    <t>Tulopuhaltimen paine-ero</t>
  </si>
  <si>
    <t>Poistopuhaltimen paine-ero</t>
  </si>
  <si>
    <t>SFP_int_KOK</t>
  </si>
  <si>
    <t>SFPint</t>
  </si>
  <si>
    <t>SFPint_limit</t>
  </si>
  <si>
    <t>Virhetilanne</t>
  </si>
  <si>
    <t>ILMAN PATTERIA</t>
  </si>
  <si>
    <t>PATTERIN KANSSA</t>
  </si>
  <si>
    <t>Onko patteri?</t>
  </si>
  <si>
    <t>VIRHE</t>
  </si>
  <si>
    <t>Virhe</t>
  </si>
  <si>
    <t>Vesikiertoisen lämmityspatterin mitoitus</t>
  </si>
  <si>
    <t>Tuloilmapuhallin</t>
  </si>
  <si>
    <t>Lämpötilat</t>
  </si>
  <si>
    <t>Lämpötilahyötysuhteet</t>
  </si>
  <si>
    <t>Paine-ero</t>
  </si>
  <si>
    <t>Hyötysuhde</t>
  </si>
  <si>
    <t>Ulkoilma</t>
  </si>
  <si>
    <t>Lämpötilan nousu puhaltimessa</t>
  </si>
  <si>
    <t>LTO-kennon tuloilman lämpötila-hyötysuhde</t>
  </si>
  <si>
    <t>Koneen tuloilman lämpötila-hyötysuhde</t>
  </si>
  <si>
    <t>Koneen tuloilman lämpötilahyötysuhde puhaltimen sähkötehosta
puolet huomioiden</t>
  </si>
  <si>
    <t>USANON LASKENTA</t>
  </si>
  <si>
    <r>
      <t>SFP</t>
    </r>
    <r>
      <rPr>
        <b/>
        <vertAlign val="subscript"/>
        <sz val="10"/>
        <rFont val="Century Gothic"/>
        <family val="2"/>
      </rPr>
      <t xml:space="preserve">int </t>
    </r>
    <r>
      <rPr>
        <b/>
        <sz val="10"/>
        <rFont val="Century Gothic"/>
        <family val="2"/>
      </rPr>
      <t>:</t>
    </r>
  </si>
  <si>
    <t>Lisätään uusi kone + patterimitoitus, lähetetään kommentoitavaksi</t>
  </si>
  <si>
    <t>Airfi laskentaohjelma_5.0.xlsx</t>
  </si>
  <si>
    <t>Painehäviö patt</t>
  </si>
  <si>
    <t>Painehäviö ventt</t>
  </si>
  <si>
    <t>Painehäviö vent</t>
  </si>
  <si>
    <t>Säätöventtiilin painehäviö*</t>
  </si>
  <si>
    <t>Painehäviö säätövent (KV=1,00)</t>
  </si>
  <si>
    <t>5.1</t>
  </si>
  <si>
    <t>Jaettu Model 300 -&gt; Model 250 ja 350. Lisäksi pieniä korjauksia kommenttien perusteella.</t>
  </si>
  <si>
    <t>Model 350</t>
  </si>
  <si>
    <t>Model 250</t>
  </si>
  <si>
    <t>Airfi model 250</t>
  </si>
  <si>
    <t>Airfi Model 350</t>
  </si>
  <si>
    <t>7.5 V</t>
  </si>
  <si>
    <t>Tekstejä patterimitoitusosioon</t>
  </si>
  <si>
    <t>Sähkönsyöttö, teksti</t>
  </si>
  <si>
    <t>Valittuna</t>
  </si>
  <si>
    <t>Malli, teksti</t>
  </si>
  <si>
    <t>Airfi-Model 60 Electric</t>
  </si>
  <si>
    <t>Airfi-Model 100 Electric</t>
  </si>
  <si>
    <t>Airfi-Model 150 Electric</t>
  </si>
  <si>
    <t>HUOM! SEC-laskentaa käytetään vain asuinrakennuksiin tarkoitetuilla ilmanvaihtokoneilla.</t>
  </si>
  <si>
    <t>JU+JK</t>
  </si>
  <si>
    <t>Airfi laskentaohjelma_5.1.xlsx</t>
  </si>
  <si>
    <r>
      <t>SFP</t>
    </r>
    <r>
      <rPr>
        <b/>
        <vertAlign val="subscript"/>
        <sz val="10"/>
        <rFont val="Century Gothic"/>
        <family val="2"/>
      </rPr>
      <t xml:space="preserve">int_limit </t>
    </r>
    <r>
      <rPr>
        <b/>
        <sz val="10"/>
        <rFont val="Century Gothic"/>
        <family val="2"/>
      </rPr>
      <t>:</t>
    </r>
  </si>
  <si>
    <t>Ei valintamahdollisuutta Model 150:lle, v4.4 (18.11.2019), eikä model 250 ja 350</t>
  </si>
  <si>
    <t>Ei Model 250:ssä</t>
  </si>
  <si>
    <t>Ei Model 350:ssä</t>
  </si>
  <si>
    <t>5.2</t>
  </si>
  <si>
    <t>Korjattu virheellinen tulostus dB-paketin kanssa</t>
  </si>
  <si>
    <t>Airfi laskentaohjelma_5.2.xlsx</t>
  </si>
  <si>
    <t>5.3</t>
  </si>
  <si>
    <t>Lisätty Model 130</t>
  </si>
  <si>
    <t>Airfi laskentaohjelma_5.3.xlsx</t>
  </si>
  <si>
    <t>Model 130</t>
  </si>
  <si>
    <t>Huom. Valinta erilainen kuin aiemmat sarakkeet vasemmalla</t>
  </si>
  <si>
    <t>Airfi-Model 130 Electric</t>
  </si>
  <si>
    <t>Airfi Model 130</t>
  </si>
  <si>
    <t>Lähde: 3478 Airfi Model-130 tilavuusvirtamittaukset tuloopuhallin.xslx</t>
  </si>
  <si>
    <t>9V</t>
  </si>
  <si>
    <t>9V lisämittaus</t>
  </si>
  <si>
    <t>MAX</t>
  </si>
  <si>
    <t>Järjestys muutettu</t>
  </si>
  <si>
    <t>poistopuolen tilavuusviratmittaukset excelistä</t>
  </si>
  <si>
    <t>2. aste polynomisovitus</t>
  </si>
  <si>
    <t>muutettu käsin</t>
  </si>
  <si>
    <t>Tehodatat tilavuusvirtamittauksista</t>
  </si>
  <si>
    <t>Sovitteet 2. aste polynomi</t>
  </si>
  <si>
    <t>Mittausdataa</t>
  </si>
  <si>
    <t>4 V - 10 V</t>
  </si>
  <si>
    <t>y = A*ln(x) + B</t>
  </si>
  <si>
    <t>KA pyör</t>
  </si>
  <si>
    <t>OK</t>
  </si>
  <si>
    <t>tarkistus</t>
  </si>
  <si>
    <t>Tarkistus, jos ei mittausalueella</t>
  </si>
  <si>
    <t>Paine yli</t>
  </si>
  <si>
    <t>Alfa yli</t>
  </si>
  <si>
    <t>20.7.2021 / HK</t>
  </si>
  <si>
    <t>Muokattu koneet suuruusjärjestykseen</t>
  </si>
  <si>
    <t>Liukuvalinta</t>
  </si>
  <si>
    <t>Laskentaohjelma</t>
  </si>
  <si>
    <t>Valinta, huom. Numerot muutettu siten että koneet suuruusjärjestyksessä</t>
  </si>
  <si>
    <t>Muutettu laskentaohjelman järjestysnumeroksi</t>
  </si>
  <si>
    <t>9 - 10V</t>
  </si>
  <si>
    <t>4-9V</t>
  </si>
  <si>
    <t>4-9 V</t>
  </si>
  <si>
    <t>5.4</t>
  </si>
  <si>
    <t>Muutettu koneiden järjestys suuruusjärjestykseen, lisätty Model 130 keittiöohitus + pieni korjaus ohj.jännitelaskentaan 9V-10V</t>
  </si>
  <si>
    <t>Airfi laskentaohjelma_5.4.xlsx</t>
  </si>
  <si>
    <t>Aloita syöttämällä joko meno- tai paluuveden lämpötila</t>
  </si>
  <si>
    <t>Airfi: air handling unit selection program</t>
  </si>
  <si>
    <t>Project:</t>
  </si>
  <si>
    <t>Projekt:</t>
  </si>
  <si>
    <t xml:space="preserve">Äänenvaimennuskotelo: 'dB-paketti' (Huom! Vaatii kaappirungon) </t>
  </si>
  <si>
    <t>Vesikiertoinen lämmityspatteri</t>
  </si>
  <si>
    <t>Ei käytettävissä tässä mallissa</t>
  </si>
  <si>
    <t>Not available for selected model</t>
  </si>
  <si>
    <t>Ilman tiheys: 1,2 kg/m³</t>
  </si>
  <si>
    <t>Paine-ero [Pa]</t>
  </si>
  <si>
    <t>Pressure difference [Pa]</t>
  </si>
  <si>
    <t>Ilman tilavuusvirta [dm³/s]</t>
  </si>
  <si>
    <t>Air volume flow [dm³/s]</t>
  </si>
  <si>
    <t>Air volume flow:</t>
  </si>
  <si>
    <t>Pressure difference:</t>
  </si>
  <si>
    <t>Ei käyttöalueella</t>
  </si>
  <si>
    <t>Value out of range</t>
  </si>
  <si>
    <t>Supply fan:</t>
  </si>
  <si>
    <t>Total power:</t>
  </si>
  <si>
    <t>Sound power levels in connection ducts</t>
  </si>
  <si>
    <t>Connection duct</t>
  </si>
  <si>
    <t>Supply air</t>
  </si>
  <si>
    <t>Zuluft</t>
  </si>
  <si>
    <t>Outdoor air</t>
  </si>
  <si>
    <t>Außenluft</t>
  </si>
  <si>
    <t>Extract air</t>
  </si>
  <si>
    <t>Abluft</t>
  </si>
  <si>
    <t>Exhaust air</t>
  </si>
  <si>
    <t>Fortluft</t>
  </si>
  <si>
    <t>Kitchen bypass</t>
  </si>
  <si>
    <r>
      <t>Äänitehotasot oktaavikaistoittain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0"/>
        <color theme="1"/>
        <rFont val="Century Gothic"/>
        <family val="2"/>
      </rPr>
      <t xml:space="preserve"> [dB]</t>
    </r>
  </si>
  <si>
    <r>
      <t>Sound power levels in octave bands L</t>
    </r>
    <r>
      <rPr>
        <vertAlign val="subscript"/>
        <sz val="11"/>
        <color theme="1"/>
        <rFont val="Calibri"/>
        <family val="2"/>
        <scheme val="minor"/>
      </rPr>
      <t>W,oct</t>
    </r>
    <r>
      <rPr>
        <sz val="10"/>
        <color theme="1"/>
        <rFont val="Century Gothic"/>
        <family val="2"/>
      </rPr>
      <t xml:space="preserve"> [dB]</t>
    </r>
  </si>
  <si>
    <r>
      <t>L</t>
    </r>
    <r>
      <rPr>
        <vertAlign val="subscript"/>
        <sz val="11"/>
        <color theme="1"/>
        <rFont val="Calibri"/>
        <family val="2"/>
        <scheme val="minor"/>
      </rPr>
      <t>Wtot</t>
    </r>
  </si>
  <si>
    <r>
      <t>L</t>
    </r>
    <r>
      <rPr>
        <vertAlign val="subscript"/>
        <sz val="11"/>
        <color theme="1"/>
        <rFont val="Calibri"/>
        <family val="2"/>
        <scheme val="minor"/>
      </rPr>
      <t>WAtot</t>
    </r>
  </si>
  <si>
    <t>Äänitehotasot ympäristöön</t>
  </si>
  <si>
    <t>Sound power levels through casing:</t>
  </si>
  <si>
    <t>Through casing</t>
  </si>
  <si>
    <t>Ominaisenergiankulutus (SEC) ja luokittelu</t>
  </si>
  <si>
    <t>Specific energy consumption (SEC) and classification</t>
  </si>
  <si>
    <t>Komission asetusten (EU) N:o 1253/2014 &amp; N:o 1254/2014 mukaisesti</t>
  </si>
  <si>
    <t>According to Commission Regulations (EU) No 1253/2014 &amp; No 1254/2014</t>
  </si>
  <si>
    <t>Reference air flow:</t>
  </si>
  <si>
    <t>All rights reserved.</t>
  </si>
  <si>
    <t>SEC-value</t>
  </si>
  <si>
    <t>Ducted units</t>
  </si>
  <si>
    <t>Non-ducted units</t>
  </si>
  <si>
    <t>Manual control (no DCV)</t>
  </si>
  <si>
    <t>Clock control (no DCV)</t>
  </si>
  <si>
    <t>Central demand control</t>
  </si>
  <si>
    <t>Local demand control</t>
  </si>
  <si>
    <t>On/off &amp; single speed</t>
  </si>
  <si>
    <t>2-speed</t>
  </si>
  <si>
    <t>Multi-speed</t>
  </si>
  <si>
    <t>Variable-speed</t>
  </si>
  <si>
    <t>Cold</t>
  </si>
  <si>
    <t>Kalt</t>
  </si>
  <si>
    <t>Average</t>
  </si>
  <si>
    <t>Warm</t>
  </si>
  <si>
    <t>Ilmanvaihdon poistoilman lämmöntalteenoton vuosihyötysuhteen laskenta</t>
  </si>
  <si>
    <t>= insert value</t>
  </si>
  <si>
    <t>Supply air volume flow, through heat recovery</t>
  </si>
  <si>
    <t>Extract air volume flow, through heat recovery</t>
  </si>
  <si>
    <t>Supply air to extract air ratio for volume flow through heat recovery</t>
  </si>
  <si>
    <t>Supply / extract air volume flow ratio for entire ventilation system</t>
  </si>
  <si>
    <t>Climate zone</t>
  </si>
  <si>
    <t>Indoor temperature</t>
  </si>
  <si>
    <t>Minimum exhaust air temperature</t>
  </si>
  <si>
    <t>Total energy demand for ventilation</t>
  </si>
  <si>
    <t>Tuloilman lämpötila LTO:n jälkeen</t>
  </si>
  <si>
    <t>Tuloilman lämpötila [°C]</t>
  </si>
  <si>
    <t>Supply air temperature [°C]</t>
  </si>
  <si>
    <t>Ulkoilman lämpötila [°C]</t>
  </si>
  <si>
    <t>Outdoor air temperature [°C]</t>
  </si>
  <si>
    <t>Exhaust air temperature</t>
  </si>
  <si>
    <t>Jäteilman lämpötila [°C]</t>
  </si>
  <si>
    <t>Exhaust air temperature [°C]</t>
  </si>
  <si>
    <t>Percentage of the year</t>
  </si>
  <si>
    <t>Supply air temperature</t>
  </si>
  <si>
    <t>Gesamt</t>
  </si>
  <si>
    <t>ST,Kd = tulo- ja ulkoilman lämpötilan välinen lämmöntarveluku, Kd</t>
  </si>
  <si>
    <t>SJ,Kd = jäte- ja ulkoilman lämpötilan välinen lämmöntarveluku, Kd</t>
  </si>
  <si>
    <t>Supply air volume flow</t>
  </si>
  <si>
    <t>Required heating power</t>
  </si>
  <si>
    <t>Volume flow</t>
  </si>
  <si>
    <t>Control valve pressure loss*</t>
  </si>
  <si>
    <t>Kielivalinta:</t>
  </si>
  <si>
    <t>1. SUOMI</t>
  </si>
  <si>
    <t>Name:</t>
  </si>
  <si>
    <t>2. ENGLANTI</t>
  </si>
  <si>
    <t>3. RUOTSI</t>
  </si>
  <si>
    <t>4. SAKSA</t>
  </si>
  <si>
    <t>Extract air (insert values):</t>
  </si>
  <si>
    <t>Supply air (insert values):</t>
  </si>
  <si>
    <t>Fan power:</t>
  </si>
  <si>
    <t>Extract fan:</t>
  </si>
  <si>
    <t>Control voltage:</t>
  </si>
  <si>
    <t xml:space="preserve">Power supply: </t>
  </si>
  <si>
    <t>käytettäessä 'dB-pakettia' (Huom! Vaatii kaappirungon)</t>
  </si>
  <si>
    <t>NB! SEC-calculation is only used for air handling units intended for residential buildings</t>
  </si>
  <si>
    <t>Calculation parameters:</t>
  </si>
  <si>
    <t xml:space="preserve">Sähkönsyöttö: </t>
  </si>
  <si>
    <r>
      <t>[kWh / (a·m</t>
    </r>
    <r>
      <rPr>
        <vertAlign val="superscript"/>
        <sz val="10"/>
        <color theme="1"/>
        <rFont val="Century Gothic"/>
        <family val="2"/>
      </rPr>
      <t>2</t>
    </r>
    <r>
      <rPr>
        <sz val="10"/>
        <color theme="1"/>
        <rFont val="Century Gothic"/>
        <family val="2"/>
      </rPr>
      <t>)]</t>
    </r>
  </si>
  <si>
    <t>Annual efficiency</t>
  </si>
  <si>
    <t>Select model:</t>
  </si>
  <si>
    <t>Valitse laitemallin yhteydessä vesikiertoinen lämmityspatteri</t>
  </si>
  <si>
    <t>Ei käyttöalueella. Tarkista mitoitusarvot.</t>
  </si>
  <si>
    <t>Value out of range. Check parameters.</t>
  </si>
  <si>
    <t>Taulukot:</t>
  </si>
  <si>
    <t>Äänenvaimennuskotelo ei käytettävissä tässä mallissa</t>
  </si>
  <si>
    <t>Sound insulated casing not available for selected model</t>
  </si>
  <si>
    <t>* With kitchen bypass, the total extract air volume flow is larger than the inserted value</t>
  </si>
  <si>
    <t>Airfi: produktvalprogram för ventilationsaggregat</t>
  </si>
  <si>
    <t>Välj modell:</t>
  </si>
  <si>
    <t>Ej tillgänglig för denna modell</t>
  </si>
  <si>
    <t>Lufttäthet: 1,2 kg/m³</t>
  </si>
  <si>
    <t>Tryckskillnad [Pa]</t>
  </si>
  <si>
    <t>Luftens volymflöde [dm³/s]</t>
  </si>
  <si>
    <t>Tilluft (fyll i värden):</t>
  </si>
  <si>
    <t>Luftens volymflöde:</t>
  </si>
  <si>
    <t>Tryckskillnad:</t>
  </si>
  <si>
    <t>Frånluft (fyll i värden):</t>
  </si>
  <si>
    <t>Tilluftsfläkt:</t>
  </si>
  <si>
    <t>Styrspänning:</t>
  </si>
  <si>
    <t>Fläktens ineffekt:</t>
  </si>
  <si>
    <t>Frånluftsfläkt:</t>
  </si>
  <si>
    <t>Totaleffekt:</t>
  </si>
  <si>
    <t>Kanalmynning</t>
  </si>
  <si>
    <t>Tilluft</t>
  </si>
  <si>
    <t>Uteluft</t>
  </si>
  <si>
    <t>Frånluft</t>
  </si>
  <si>
    <t>Avluft</t>
  </si>
  <si>
    <t>Förbigång för kök</t>
  </si>
  <si>
    <t>Ljudeffektnivåer i oktavband LW,okt [dB]</t>
  </si>
  <si>
    <t>Ljudeffektnivå till omgivningen</t>
  </si>
  <si>
    <t>Genom manteln</t>
  </si>
  <si>
    <t>Ljudtrycksnivå i ett rum, vars ljudabsorptionsarea är 10m²:</t>
  </si>
  <si>
    <t>Specifik energianvändning (SEC) och klassifikation</t>
  </si>
  <si>
    <t>I enlighet med kommisionens förordningar (EU) nr 1253/2014 &amp; nr 1254/2014</t>
  </si>
  <si>
    <t>Obs! SEC-beräkning används endast för ventilationsaggregat avsedda för bostadshus</t>
  </si>
  <si>
    <t>Referensluftflöde:</t>
  </si>
  <si>
    <t>Beräkningsparametrar:</t>
  </si>
  <si>
    <t>Allmän klassifiering</t>
  </si>
  <si>
    <t>Ventilationsstyrning</t>
  </si>
  <si>
    <t>Motor &amp; styrning</t>
  </si>
  <si>
    <t>Klimat</t>
  </si>
  <si>
    <t>Alla rättigheter förbehållna.</t>
  </si>
  <si>
    <t>SEC-värde</t>
  </si>
  <si>
    <t>Klass</t>
  </si>
  <si>
    <t>Kanalansluten enhet</t>
  </si>
  <si>
    <t>Icke kanalansluten enhet</t>
  </si>
  <si>
    <t>Manuell styrning (ej behovsstyrd ventilation)</t>
  </si>
  <si>
    <t>Klockstyrning (ej behovsstyrd ventilation)</t>
  </si>
  <si>
    <t>Central behovsstyrning</t>
  </si>
  <si>
    <t>Lokal behovsstyrning</t>
  </si>
  <si>
    <t>On/Off &amp; enkelhastighets</t>
  </si>
  <si>
    <t>2-hastighets</t>
  </si>
  <si>
    <t>Flerhastighets</t>
  </si>
  <si>
    <t>Steglös reglering</t>
  </si>
  <si>
    <t>Kall</t>
  </si>
  <si>
    <t>Medelvärde</t>
  </si>
  <si>
    <t>Varm</t>
  </si>
  <si>
    <t>Beräkning av årsverkningsgrad för värmeåtervinning av ventilationens frånluft</t>
  </si>
  <si>
    <t xml:space="preserve">Beräkning enligt Finska Miljöministeriets kompendium 122 </t>
  </si>
  <si>
    <t xml:space="preserve">Tilluftsflöde, genom värmeåtervinningssystem </t>
  </si>
  <si>
    <t xml:space="preserve">Frånluftsflöde,  genom värmeåtervinningssystem </t>
  </si>
  <si>
    <t>Klimatzon</t>
  </si>
  <si>
    <t>Inomhustemperatur</t>
  </si>
  <si>
    <t>Minimitemperatur för avluft</t>
  </si>
  <si>
    <t>Årsverkningsgrad</t>
  </si>
  <si>
    <t>Totalt energibehov för ventilation</t>
  </si>
  <si>
    <t>Namn:</t>
  </si>
  <si>
    <t>Äänipainetaso tyypillisessä kylpyhuoneessa tai tekn. tilassa (V &lt; 10 m³), jonka ääniabsorptioala &lt; 2-3 m²:</t>
  </si>
  <si>
    <t xml:space="preserve">Calculations according to Handout 122 of the Finnish Ministry of the Environment </t>
  </si>
  <si>
    <t>SS,Kd = sisä- ja ulkoilman lämpötilan välinen lämmöntarveluku, Kd</t>
  </si>
  <si>
    <t>SE,Kd = heating degree days, between exhaust air and outdoor air, Kd</t>
  </si>
  <si>
    <t>SS,Kd = heating degree days, between supply air and outdoor air, Kd</t>
  </si>
  <si>
    <t>SI,Kd = heating degree days, between indoor air and outdoor air, Kd</t>
  </si>
  <si>
    <t>Insert parameters:</t>
  </si>
  <si>
    <t>* Käytettäessä Oras DN15S suurtehorunkoa + Stabila -patteriventtiiliä (täysin auki, KV = 1,00)</t>
  </si>
  <si>
    <t>Återvunnen värmeenergi</t>
  </si>
  <si>
    <t>Tilluftstemperatur efter värmeåtervinning</t>
  </si>
  <si>
    <t>Tilluftstemperatur [°C]</t>
  </si>
  <si>
    <t>Uteluftstemperatur [°C]</t>
  </si>
  <si>
    <t>Avluftstemperatur</t>
  </si>
  <si>
    <t>Avluftstemperatur [°C]</t>
  </si>
  <si>
    <t>Dimensionering av vattenburet värmebatteri</t>
  </si>
  <si>
    <t>Fyll i dimensionerings- och målvärden:</t>
  </si>
  <si>
    <t>Temperatur för returvatten</t>
  </si>
  <si>
    <t>Temperatur för tilloppsvatten</t>
  </si>
  <si>
    <r>
      <t>Ljudeffektnivåer i</t>
    </r>
    <r>
      <rPr>
        <sz val="10"/>
        <rFont val="Century Gothic"/>
        <family val="2"/>
      </rPr>
      <t xml:space="preserve"> kanalmynningarna</t>
    </r>
  </si>
  <si>
    <t>Tilluftens volymflöde</t>
  </si>
  <si>
    <t>Värmeeffektbehov</t>
  </si>
  <si>
    <t>Batteridimensionering baserat på temperatur för tilloppsvatten</t>
  </si>
  <si>
    <t>Batteridimensionering baserat på temperatur för returvatten</t>
  </si>
  <si>
    <t>Volymflöde</t>
  </si>
  <si>
    <t>Flödeshastighet</t>
  </si>
  <si>
    <t>Ej på användningsområdet. Kontrollera dimensioneringsvärden.</t>
  </si>
  <si>
    <t>Ljudisolerat hölje ej tillgängligt för denna modell.</t>
  </si>
  <si>
    <t>* Vid användning av förbigång för kök är totala frånluftsvolymflödet större än det insatta dimensioneringsvärdet.</t>
  </si>
  <si>
    <t>Airfi: Auswahlprogramm für Lüftungsgeräte</t>
  </si>
  <si>
    <t>Designer:</t>
  </si>
  <si>
    <t>Modell wählen:</t>
  </si>
  <si>
    <t>Sound insulated casing: "dB-paketti" (NB! Requires a cabinet)</t>
  </si>
  <si>
    <t>Schallgedämmtes Gehäuse: "dB-paketti" (N.B. Braucht einen Schrankrahmen)</t>
  </si>
  <si>
    <t>Heating coil</t>
  </si>
  <si>
    <t>Värmebatteri</t>
  </si>
  <si>
    <t xml:space="preserve">Wasser-Heizregister </t>
  </si>
  <si>
    <t>Not available for the selected model</t>
  </si>
  <si>
    <t>Für das ausgewählte Modell nicht verfügbar</t>
  </si>
  <si>
    <t>Air density: 1.2 kg/m³</t>
  </si>
  <si>
    <t>Luftdichte: 1,2 kg/m³</t>
  </si>
  <si>
    <t>Druckdifferenz [Pa]</t>
  </si>
  <si>
    <t>Luftvolumenstrom [dm³/s]</t>
  </si>
  <si>
    <t>Zuluft (Werte eingeben):</t>
  </si>
  <si>
    <t>Luftvolumenstrom:</t>
  </si>
  <si>
    <t>Zuluftsventilator:</t>
  </si>
  <si>
    <t>Steuerspannung:</t>
  </si>
  <si>
    <t>Eingangsleistung:</t>
  </si>
  <si>
    <t>Abluftsventilator:</t>
  </si>
  <si>
    <t>Gesamtleistung:</t>
  </si>
  <si>
    <t>Schallleistungspegel in Anschlusskanäle</t>
  </si>
  <si>
    <t>Anschlusskanal</t>
  </si>
  <si>
    <t>Küchen Bypass</t>
  </si>
  <si>
    <t>Schallleistungspegel in Oktavbändern LW,okt [dB]</t>
  </si>
  <si>
    <t>Schallleistungspegel durch das Gehäuse</t>
  </si>
  <si>
    <t>Durch das Gehäuse</t>
  </si>
  <si>
    <t>Sound pressure level in a room with an absorption area of 10m²:</t>
  </si>
  <si>
    <t>Schalldruckpegel im Raum mit einer Absorptionsfläche von 10m²</t>
  </si>
  <si>
    <t>Sound pressure level in a typical bathroom (V &lt; 10 m³) with an absorption area &lt; 2-3 m²:</t>
  </si>
  <si>
    <t>Ljudtrycksnivå i ett typiskt badrum (V &lt; 10 m³), vars ljudabsorptionsarea är &lt; 2-3 m²</t>
  </si>
  <si>
    <t>Schalldruckpegel in typischem Badezimmer (V &lt; 10 m³) mit einer Absorptionsfläche &lt; 2-3 m²:</t>
  </si>
  <si>
    <t>Spezifischer Energieverbrauch (SEV) und Klassifizierung</t>
  </si>
  <si>
    <t>Entsprechend den Verdordnungen (EU) Nr. 1253/2014 &amp; Nr. 1254/2014 der Kommission</t>
  </si>
  <si>
    <t>NB! Die SEV-Berechnung wird nur für Wohnraumlüftungsanlage verwendet</t>
  </si>
  <si>
    <t>Nennluftvolumenstrom:</t>
  </si>
  <si>
    <t>Berechnungsparameter:</t>
  </si>
  <si>
    <t>Allgemeine Typologie</t>
  </si>
  <si>
    <t>Lüftungssteuerung</t>
  </si>
  <si>
    <t>Motor und Antrieb</t>
  </si>
  <si>
    <t>Klima</t>
  </si>
  <si>
    <t>Alle Rechte vorbehalten.</t>
  </si>
  <si>
    <t>Applied documents and standards: SFS-EN 13141-7, LVI 30-10529, Finnish Ministry of the Environment: Decree 1009/2017, "Tasauslaskentaopas 2018" &amp; "Moniste 122", and Commission Regulations (EU) No 1253/2014 &amp; No 1254/2014. We do not answer for the direct or indirect harm caused by possible errors in the selection program.</t>
  </si>
  <si>
    <t>Tillämpade dokument och standarder: SFS-EN 13141-7, LVI 30-10529, Finska Miljöministeriets förordning 1009/2017, "Tasauslaskentaopas 2018", Finska Miljöministeriets kompendium 122 samt kommisionens förordningar (EU) nr 1253//2014 &amp; nr 1254/2014. Vi ansvarar inte för direkt eller indirekt skada orsakad av möjliga fel i produktvalprogrammet.</t>
  </si>
  <si>
    <t>Angewandte Dokumente und Normen: SFS-EN 13141-7, LVI 30-10529, Finnisches Umweltministerium: Dekret 1009/2017, "Tasauslaskentaopas 2018" &amp; "Moniste 122" und Verordnung (EU) Nr. 1253/2014 &amp; 1254/2014 Der Kommission. Wir sind nicht verantwortlich für direkte oder indirekte Schäden, die durch mögliche Fehler im Auswahlprogramm verursacht werden.</t>
  </si>
  <si>
    <t>The selection program is made by Insinööritoimisto W. Zenner Oy. The program is based on laboratory measurements according to SFS-EN 13141-7.</t>
  </si>
  <si>
    <t>Produktvalprogrammet har gjorts av Insinööritoimisto W. Zenner Oy. Programmet baserar sig på laboratoriemätningar i enlighet med SFS-EN 13141-7.</t>
  </si>
  <si>
    <t>Auswahlprogramm ist von Insinööritoimisto W. Zenner Oy erstellt. Das Programm basiert auf Labormessungen nach SFS-EN 13141-7.</t>
  </si>
  <si>
    <t>SEV-Wert</t>
  </si>
  <si>
    <t>Klasse</t>
  </si>
  <si>
    <t>Anlagen mit Kanalanschlußstutzen</t>
  </si>
  <si>
    <t>Anlagen ohne Kanalanschlußstutzen</t>
  </si>
  <si>
    <t>Handsteuerung (keine Bedarfssteuerung)</t>
  </si>
  <si>
    <t>Zeitsteuerung (keine Bedarfssteuerung)</t>
  </si>
  <si>
    <t>Zentrale Bedarfssteuerung</t>
  </si>
  <si>
    <t>Steuerung nach örtlichem Bedarf</t>
  </si>
  <si>
    <t>Ein/aus und eine Drehzahl</t>
  </si>
  <si>
    <t>2 Drehzahlen</t>
  </si>
  <si>
    <t>mehrere Drehzahlen</t>
  </si>
  <si>
    <t>regelbare Drehzahl</t>
  </si>
  <si>
    <t>Durchschnitt</t>
  </si>
  <si>
    <t>Calculation of annual efficiency for exhaust air heat recovery</t>
  </si>
  <si>
    <t>Berechnung des Jahresnutzungsgrades der Wärmerückgewinnung der Lüftungsabluft</t>
  </si>
  <si>
    <t>Berechnungen gemäß Handout 122 des finnischen Umweltministeriums</t>
  </si>
  <si>
    <t>= Wert eingeben</t>
  </si>
  <si>
    <t>Zuluft, die durch die Wärmerückgewinnung strömt</t>
  </si>
  <si>
    <t>Abluft, die durch die Wärmerückgewinnung strömt</t>
  </si>
  <si>
    <t>Förhållande av till- och frånluftsflöde genom värmeåtervinningen.</t>
  </si>
  <si>
    <t>Das Verhältnis von Zuluft und Abluft Ströme durch die Wärmerückgewinnung</t>
  </si>
  <si>
    <t>Additional extract air flow rate included in heat recovery requirements</t>
  </si>
  <si>
    <t>Ytterligare frånluft ingår i värmeåtervinningskraven</t>
  </si>
  <si>
    <t>Zusatsabluft in den Wärmerückgewinnungsanforderungen enthalten</t>
  </si>
  <si>
    <t>Drifttid för ovan nämnda extra frånluft</t>
  </si>
  <si>
    <t>Betriebsdauer der obenkenannten zusätzlichen Abluft</t>
  </si>
  <si>
    <t>Das Verhältnis von Zuluft und Abluft für das gesamte Lüftungssystem</t>
  </si>
  <si>
    <t>Supply side temperature ratio</t>
  </si>
  <si>
    <t>Temperaturverkningsgrad för tilluft</t>
  </si>
  <si>
    <t>Zulufts Temperatureffizienz</t>
  </si>
  <si>
    <t>Klimazone</t>
  </si>
  <si>
    <t>Innenlufttemperatur</t>
  </si>
  <si>
    <t>Minimale Fortlufttemperatur</t>
  </si>
  <si>
    <t>Jährliche Effizienz</t>
  </si>
  <si>
    <t>Gesamtenergiebedarf für Lüftung</t>
  </si>
  <si>
    <t>Recovered heating energy</t>
  </si>
  <si>
    <t>Zurückgewonnene Heizenergie</t>
  </si>
  <si>
    <t>Supply air temperature after heat exchanger</t>
  </si>
  <si>
    <t>Zulufttemperatur nach Wärmerückgewinnung</t>
  </si>
  <si>
    <t>Zulufttemperatur [°C]</t>
  </si>
  <si>
    <t>Außenlufttemperatur [°C]</t>
  </si>
  <si>
    <t>Fortlufttemperatur</t>
  </si>
  <si>
    <t>Fortlufttemperatur [°C]</t>
  </si>
  <si>
    <t>Tid av året i procent</t>
  </si>
  <si>
    <t>Anteil des Jahres</t>
  </si>
  <si>
    <t>Summa</t>
  </si>
  <si>
    <t>SI,Kd = graddagstal, mellan inne- och uteluft, Kd</t>
  </si>
  <si>
    <r>
      <rPr>
        <sz val="11"/>
        <rFont val="Calibri"/>
        <family val="2"/>
        <scheme val="minor"/>
      </rPr>
      <t>SI,Kd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Innenluft - Außenluft, Kd</t>
    </r>
  </si>
  <si>
    <t>SS,Kd = graddagstal, mellan till- och uteluft, Kd</t>
  </si>
  <si>
    <r>
      <rPr>
        <sz val="11"/>
        <rFont val="Calibri"/>
        <family val="2"/>
        <scheme val="minor"/>
      </rPr>
      <t>SZ,Kd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Zuluft - Außenluft, Kd</t>
    </r>
  </si>
  <si>
    <t>SE,Kd = graddagstal, mellan från- och uteluft, Kd</t>
  </si>
  <si>
    <r>
      <rPr>
        <sz val="11"/>
        <rFont val="Calibri"/>
        <family val="2"/>
        <scheme val="minor"/>
      </rPr>
      <t>SF,Kd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Fortluft - Außenluft, Kd</t>
    </r>
  </si>
  <si>
    <t>Dimensioning of heating coil</t>
  </si>
  <si>
    <t>Dimensionierung von Heizregistern</t>
  </si>
  <si>
    <t>Parameter einfügen:</t>
  </si>
  <si>
    <t>Start by inserting either inlet or outlet water temperature</t>
  </si>
  <si>
    <t>Börja med att fylla i temperatur för tillopps- eller returvatten</t>
  </si>
  <si>
    <t>Beginnen Sie mit der Eingabe entweder der Einlass- oder der Auslasswassertemperatur</t>
  </si>
  <si>
    <t>Inlet air temperature</t>
  </si>
  <si>
    <t>Lufttemperatur vid batteriingång</t>
  </si>
  <si>
    <t>Einlasslufttemperatur</t>
  </si>
  <si>
    <t>Outlet air temperature</t>
  </si>
  <si>
    <t>Lufttemperatur vid batteriutgång</t>
  </si>
  <si>
    <t>Auslasslufttemperatur</t>
  </si>
  <si>
    <t>Inlet water temperature</t>
  </si>
  <si>
    <t xml:space="preserve">Wassereinlasstemperatur </t>
  </si>
  <si>
    <t>Outlet water temperature</t>
  </si>
  <si>
    <t>Wasserauslasstemperatur</t>
  </si>
  <si>
    <t>Zuluftvolumenstrom</t>
  </si>
  <si>
    <t>Erforderliche Heizleistung</t>
  </si>
  <si>
    <t>*Using Oras DN15S Radiator valve body &amp; Stabila radiator valve (fully open, CV = 1.00)</t>
  </si>
  <si>
    <r>
      <t xml:space="preserve">* Vid användning av Oras DN15S </t>
    </r>
    <r>
      <rPr>
        <sz val="10"/>
        <rFont val="Century Gothic"/>
        <family val="2"/>
      </rPr>
      <t>radiatorventilshus + Stabila radiatorventil (fullt öppen, CV = 1,00)</t>
    </r>
  </si>
  <si>
    <t>Bei Verwendung von Oras DN15S + Stabila -Heizkörperventil (vollständig geöffnet, CV = 1.00)</t>
  </si>
  <si>
    <t>Heating coil dimensioning by inlet water temperature</t>
  </si>
  <si>
    <t>Heating coil dimensioning by outlet water temperature</t>
  </si>
  <si>
    <t>Einlasswassertemperatur</t>
  </si>
  <si>
    <t>Auslasswassertemperatur</t>
  </si>
  <si>
    <t>Volumenstrom</t>
  </si>
  <si>
    <t>Heating coil fluid side pressure loss</t>
  </si>
  <si>
    <t>Tryckfall för vätskesidan av värmebatteri</t>
  </si>
  <si>
    <t>Flüssigkeitsseitiger Druckabfall der Heizregister</t>
  </si>
  <si>
    <t>Tryckfall för reglerventil*</t>
  </si>
  <si>
    <t>Druckverlust des Regelventils*</t>
  </si>
  <si>
    <t>Flow velocity</t>
  </si>
  <si>
    <t>Fliessgeschwindigkeit</t>
  </si>
  <si>
    <t>using 'dB-paketti' (NB! Requires a cabinet)</t>
  </si>
  <si>
    <t>Vid använding av 'dB-paketti' (Obs! Kräver en skåpram)</t>
  </si>
  <si>
    <t>mit Schallgedämmtes Gehäuse "dB-paketti" (N.B. Braucht einen Schrankrahmen)</t>
  </si>
  <si>
    <t>Select heating coil in the model selection menu</t>
  </si>
  <si>
    <t>Välj värmebatteri vid val av modell</t>
  </si>
  <si>
    <t>Wasser-Heizregister im Modellauswahlmenü auswählen</t>
  </si>
  <si>
    <t>Wert außerhalb des Verwendungsbereichs. Parameter prüfen.</t>
  </si>
  <si>
    <t>Schallgedämmtes Gehäuse für ausgewähltes Modell nicht verfügbar</t>
  </si>
  <si>
    <t>* Bei Küchen-bypass ist der Gesamtabluftvolumenstrom größer als der eingegebene Wert</t>
  </si>
  <si>
    <t>Säävyöhyke (valtio/maa)</t>
  </si>
  <si>
    <t>Climate zone (state/country)</t>
  </si>
  <si>
    <t>Klimatzon (stat/land)</t>
  </si>
  <si>
    <t>Klimazone (Staat/Land)</t>
  </si>
  <si>
    <t>Säävyöhyke (kunta/kaupunki)</t>
  </si>
  <si>
    <t>Climate zone (municipality/city)</t>
  </si>
  <si>
    <t>Klimatzon (kommun/stad)</t>
  </si>
  <si>
    <t>Klimazone (Gemeinde/Stadt)</t>
  </si>
  <si>
    <t>5.5</t>
  </si>
  <si>
    <t>Lisätty kielivalinta ENG, SWE, GER</t>
  </si>
  <si>
    <t>JK/HR</t>
  </si>
  <si>
    <t xml:space="preserve">Stromversorgung: </t>
  </si>
  <si>
    <t xml:space="preserve">Strömförsörjning: </t>
  </si>
  <si>
    <r>
      <t>dm</t>
    </r>
    <r>
      <rPr>
        <vertAlign val="superscript"/>
        <sz val="9"/>
        <color theme="1"/>
        <rFont val="Century Gothic"/>
        <family val="2"/>
      </rPr>
      <t>3</t>
    </r>
    <r>
      <rPr>
        <sz val="9"/>
        <color theme="1"/>
        <rFont val="Century Gothic"/>
        <family val="2"/>
      </rPr>
      <t>/s</t>
    </r>
  </si>
  <si>
    <r>
      <t>S</t>
    </r>
    <r>
      <rPr>
        <b/>
        <vertAlign val="subscript"/>
        <sz val="8"/>
        <color theme="1"/>
        <rFont val="Century Gothic"/>
        <family val="2"/>
      </rPr>
      <t>S,Kd</t>
    </r>
  </si>
  <si>
    <r>
      <t>S</t>
    </r>
    <r>
      <rPr>
        <b/>
        <vertAlign val="subscript"/>
        <sz val="8"/>
        <color theme="1"/>
        <rFont val="Century Gothic"/>
        <family val="2"/>
      </rPr>
      <t>T,Kd</t>
    </r>
  </si>
  <si>
    <r>
      <t>S</t>
    </r>
    <r>
      <rPr>
        <b/>
        <vertAlign val="subscript"/>
        <sz val="8"/>
        <color theme="1"/>
        <rFont val="Century Gothic"/>
        <family val="2"/>
      </rPr>
      <t>J,Kd</t>
    </r>
  </si>
  <si>
    <t>Fortluft-temperatur</t>
  </si>
  <si>
    <t>Zuluft-temperatur</t>
  </si>
  <si>
    <t>Dimensionierung entsprechend der Auslasswassertemperatur</t>
  </si>
  <si>
    <t>Dimensionierung entsprechend der Einlasswassertemperatur</t>
  </si>
  <si>
    <t>Avlufts-temperatur</t>
  </si>
  <si>
    <t>Tillufts-temperatur</t>
  </si>
  <si>
    <t>Operational time of the additional extract air</t>
  </si>
  <si>
    <t>Airfi laskentaohjelma_5.5.xlsx</t>
  </si>
  <si>
    <t>Maa</t>
  </si>
  <si>
    <t>HUOM!</t>
  </si>
  <si>
    <t>Suomi</t>
  </si>
  <si>
    <t>Finland</t>
  </si>
  <si>
    <t>Finnland</t>
  </si>
  <si>
    <t>Viro</t>
  </si>
  <si>
    <t>Estonia</t>
  </si>
  <si>
    <t>Estland</t>
  </si>
  <si>
    <t>Norja</t>
  </si>
  <si>
    <t>Norway</t>
  </si>
  <si>
    <t>Norge</t>
  </si>
  <si>
    <t>Norwegen</t>
  </si>
  <si>
    <t>Tanska</t>
  </si>
  <si>
    <t>Denmark</t>
  </si>
  <si>
    <t>Danmark</t>
  </si>
  <si>
    <t>Dänemark</t>
  </si>
  <si>
    <t>Puola</t>
  </si>
  <si>
    <t>Poland</t>
  </si>
  <si>
    <t>Polen</t>
  </si>
  <si>
    <t>Saksa</t>
  </si>
  <si>
    <t>Germany</t>
  </si>
  <si>
    <t>Tyskland</t>
  </si>
  <si>
    <t>Deutschland</t>
  </si>
  <si>
    <t>Islanti</t>
  </si>
  <si>
    <t>Iceland</t>
  </si>
  <si>
    <t>Island</t>
  </si>
  <si>
    <t>Ruotsi</t>
  </si>
  <si>
    <t>Sweden</t>
  </si>
  <si>
    <t>Sverige</t>
  </si>
  <si>
    <t>Schweden</t>
  </si>
  <si>
    <t>I (Vantaa)</t>
  </si>
  <si>
    <t>I (Vanda)</t>
  </si>
  <si>
    <t>II (Jockis)</t>
  </si>
  <si>
    <t>Tallinna</t>
  </si>
  <si>
    <t>Oslo</t>
  </si>
  <si>
    <t>Kööpenhamina</t>
  </si>
  <si>
    <t>Varsova</t>
  </si>
  <si>
    <t>Berliini</t>
  </si>
  <si>
    <t>Reykjavík</t>
  </si>
  <si>
    <t>Tukholma</t>
  </si>
  <si>
    <t>Stockholm</t>
  </si>
  <si>
    <t>Malmö</t>
  </si>
  <si>
    <t>Göteborg</t>
  </si>
  <si>
    <t>Gothenburg</t>
  </si>
  <si>
    <t>MAA 1</t>
  </si>
  <si>
    <t>MAA 2</t>
  </si>
  <si>
    <t>MAA 3</t>
  </si>
  <si>
    <t>MAA 4</t>
  </si>
  <si>
    <t>MAA 5</t>
  </si>
  <si>
    <t>MAA 6</t>
  </si>
  <si>
    <t>MAA 7</t>
  </si>
  <si>
    <t>MAA 8</t>
  </si>
  <si>
    <t>MAA 9</t>
  </si>
  <si>
    <t>MAA 10</t>
  </si>
  <si>
    <t>MAA 11</t>
  </si>
  <si>
    <t>MAA 12</t>
  </si>
  <si>
    <t>MAA 13</t>
  </si>
  <si>
    <t>MAA 14</t>
  </si>
  <si>
    <t>MAA 15</t>
  </si>
  <si>
    <t>MAA 16</t>
  </si>
  <si>
    <t>MAA 17</t>
  </si>
  <si>
    <t>MAA 18</t>
  </si>
  <si>
    <t>MAA 19</t>
  </si>
  <si>
    <t>MAA 20</t>
  </si>
  <si>
    <t>MAA 21</t>
  </si>
  <si>
    <t>MAA 22</t>
  </si>
  <si>
    <t>MAA 23</t>
  </si>
  <si>
    <t>MAA 24</t>
  </si>
  <si>
    <t>MAA 25</t>
  </si>
  <si>
    <t>Syötä maat/valtiot niin, että väliin ei jää tyhjiä rivejä.</t>
  </si>
  <si>
    <t>ALUE 1</t>
  </si>
  <si>
    <t>ALUE 2</t>
  </si>
  <si>
    <t>ALUE 3</t>
  </si>
  <si>
    <t>ALUE 4</t>
  </si>
  <si>
    <t>ALUE 5</t>
  </si>
  <si>
    <t>ALUE 6</t>
  </si>
  <si>
    <t>ALUE 7</t>
  </si>
  <si>
    <t>ALUE 8</t>
  </si>
  <si>
    <t>ALUE 9</t>
  </si>
  <si>
    <t>ALUE 10</t>
  </si>
  <si>
    <t>ALUE 11</t>
  </si>
  <si>
    <t>ALUE 12</t>
  </si>
  <si>
    <t>ALUE 13</t>
  </si>
  <si>
    <t>ALUE 14</t>
  </si>
  <si>
    <t>ALUE 15</t>
  </si>
  <si>
    <t>ALUE 16</t>
  </si>
  <si>
    <t>ALUE 17</t>
  </si>
  <si>
    <t>ALUE 18</t>
  </si>
  <si>
    <t>ALUE 19</t>
  </si>
  <si>
    <t>ALUE 20</t>
  </si>
  <si>
    <t>ALUE 21</t>
  </si>
  <si>
    <t>ALUE 22</t>
  </si>
  <si>
    <t>ALUE 23</t>
  </si>
  <si>
    <t>ALUE 24</t>
  </si>
  <si>
    <t>ALUE 25</t>
  </si>
  <si>
    <t>ALUE 26</t>
  </si>
  <si>
    <t>ALUE 27</t>
  </si>
  <si>
    <t>ALUE 28</t>
  </si>
  <si>
    <t>ALUE 29</t>
  </si>
  <si>
    <t>ALUE 30</t>
  </si>
  <si>
    <t>ALUE 31</t>
  </si>
  <si>
    <t>ALUE 32</t>
  </si>
  <si>
    <t>ALUE 33</t>
  </si>
  <si>
    <t>ALUE 34</t>
  </si>
  <si>
    <t>ALUE 35</t>
  </si>
  <si>
    <t>ALUE 36</t>
  </si>
  <si>
    <t>ALUE 37</t>
  </si>
  <si>
    <t>ALUE 38</t>
  </si>
  <si>
    <t>ALUE 39</t>
  </si>
  <si>
    <t>Syötä alueet/kaupungit niin, että väliin ei jää tyhjiä rivejä.</t>
  </si>
  <si>
    <t>PR</t>
  </si>
  <si>
    <t>5.6</t>
  </si>
  <si>
    <t xml:space="preserve">Suomen säädataksi muutettu TRY2020 (vanhat datat poistettu). Lisätty ulkomaiden säädata Riuska:sta. Lisätty toiminnallisuudet maan ja kaupunkien valitsemiselle. </t>
  </si>
  <si>
    <t>Airfi laskentaohjelma_5.6.xlsx</t>
  </si>
  <si>
    <t>Ljudisolerat hölje: "dB-paketti" (Obs! Kräver en skåpram)</t>
  </si>
  <si>
    <t>Huom oli ennen v.5.7 päivitystä näin:</t>
  </si>
  <si>
    <t>Ilman tilavuusvirta [m³/h]</t>
  </si>
  <si>
    <t>SPI:</t>
  </si>
  <si>
    <t>W/(m³/h)</t>
  </si>
  <si>
    <t>W/(m³/s)</t>
  </si>
  <si>
    <t>kW/(m³/s)</t>
  </si>
  <si>
    <t>Maksimi tehostusvara</t>
  </si>
  <si>
    <t>Toimintapiste tehostustilanteessa:</t>
  </si>
  <si>
    <t>Mitoituspiste (syötä tilavuusvirta ja paine-ero)</t>
  </si>
  <si>
    <t>Tehostusvara</t>
  </si>
  <si>
    <t>Max tehostus</t>
  </si>
  <si>
    <t>Maksimi tehostusvara:</t>
  </si>
  <si>
    <t>Syötä haluttu tehostusarvo:</t>
  </si>
  <si>
    <t>Haluttu tehostuspiste</t>
  </si>
  <si>
    <t>Tarkistus onko käyttöalueella</t>
  </si>
  <si>
    <t>Tehostuspisteen ohjausjännite</t>
  </si>
  <si>
    <t>(OK, jos TOSI)</t>
  </si>
  <si>
    <t>Halutun tehostuksen toimintapiste:</t>
  </si>
  <si>
    <t>Haluttu tehostus</t>
  </si>
  <si>
    <t>(Toisen potenssin verkkokäyrästä suoraan):</t>
  </si>
  <si>
    <t>Tehostuksen toimintapiste</t>
  </si>
  <si>
    <t>Tehostusarvo [%]:</t>
  </si>
  <si>
    <t>Operating point (insert air flow and pressure difference values):</t>
  </si>
  <si>
    <t>Abluft (Werte eingeben):</t>
  </si>
  <si>
    <t>Werte überprüfen</t>
  </si>
  <si>
    <t>Värde utanför området</t>
  </si>
  <si>
    <t>Driftpunkt (ange luftflöde och tryckdifferensvärden):</t>
  </si>
  <si>
    <t>Betriebspunkt (Geben Sie Luftvolumenstrom- und Druckdifferenzwerte ein):</t>
  </si>
  <si>
    <t>Boost situation calculation:</t>
  </si>
  <si>
    <t>Tehostustilanteen laskenta:</t>
  </si>
  <si>
    <t>Beräkning av forceringssituation:</t>
  </si>
  <si>
    <t>Berechnung der Verstärkungssituation:</t>
  </si>
  <si>
    <t>Maximale Verstärkungsreserve:</t>
  </si>
  <si>
    <t>= Infoga värde</t>
  </si>
  <si>
    <t>Insert the desired boost value:</t>
  </si>
  <si>
    <t>Verstärkungswert eingeben:</t>
  </si>
  <si>
    <t>Boost value [%]:</t>
  </si>
  <si>
    <t>Verstärkungswert [%]:</t>
  </si>
  <si>
    <t>Operating point in boost situation:</t>
  </si>
  <si>
    <t>Betriebspunkt in der Verstärkungssituation:</t>
  </si>
  <si>
    <t>Maximum
boost reserve:</t>
  </si>
  <si>
    <t>Maximal forceringsreserv:</t>
  </si>
  <si>
    <t>Ange forceringsvärde:</t>
  </si>
  <si>
    <t>Forceringsvärde [%]:</t>
  </si>
  <si>
    <t>Driftpunkt i forceringssituation:</t>
  </si>
  <si>
    <t>T10</t>
  </si>
  <si>
    <t>T11</t>
  </si>
  <si>
    <t>T9</t>
  </si>
  <si>
    <t>Tehostuksen piirto</t>
  </si>
  <si>
    <t>Mitoitus</t>
  </si>
  <si>
    <t>Tehostus</t>
  </si>
  <si>
    <t>Origo</t>
  </si>
  <si>
    <t>Sovite ohjausjännitteelle, tehostuspistes</t>
  </si>
  <si>
    <t>5.7</t>
  </si>
  <si>
    <t>HUOM Model 250 rajoitettu 7,5 V</t>
  </si>
  <si>
    <t>Model 250 rajoitettu max 7,5 V</t>
  </si>
  <si>
    <t>Tehostus positiivinen luku</t>
  </si>
  <si>
    <t>Airfi laskentaohjelma_5.7.xlsx</t>
  </si>
  <si>
    <t>Valittu kieli</t>
  </si>
  <si>
    <t>Kielivalinta ja sen vaikutus syöttösoluihin</t>
  </si>
  <si>
    <t>Muut kielet</t>
  </si>
  <si>
    <t>Määritettyä tehostusarvoa ei saavutettu</t>
  </si>
  <si>
    <t>The specified boost value was not achieved</t>
  </si>
  <si>
    <t>Det angivna forceringsvärdet uppnåddes inte</t>
  </si>
  <si>
    <t>Der festgelegte Verstärkungswert wurde nicht erreicht</t>
  </si>
  <si>
    <t>Kielen valinnan vaikutus käyrien tulostukseen (dm³/s vai m³/h)</t>
  </si>
  <si>
    <t>KIELIVALINTA</t>
  </si>
  <si>
    <t>Yläakseli:</t>
  </si>
  <si>
    <t>Ala-akseli:</t>
  </si>
  <si>
    <t>Kielivalinnan vaikutus</t>
  </si>
  <si>
    <t>Applied documents and standards: SFS-EN 13141-7, LVI 30-10529, Finnish Ministry of the Environment: Decree 1009/2017, and Commission Regulations (EU) No 1253/2014 &amp; No 1254/2014. We do not answer for the direct or indirect harm caused by possible errors in the selection program.</t>
  </si>
  <si>
    <t>Tillämpade dokument och standarder: SFS-EN 13141-7, LVI 30-10529, Finska Miljöministeriets förordning 1009/2017, samt kommisionens förordningar (EU) nr 1253//2014 &amp; nr 1254/2014. Vi ansvarar inte för direkt eller indirekt skada orsakad av möjliga fel i produktvalprogrammet.</t>
  </si>
  <si>
    <t>Angewandte Dokumente und Normen: SFS-EN 13141-7, LVI 30-10529, Finnisches Umweltministerium: Dekret 1009/2017 und Verordnung (EU) Nr. 1253/2014 &amp; 1254/2014 Der Kommission. Wir sind nicht verantwortlich für direkte oder indirekte Schäden, die durch mögliche Fehler im Auswahlprogramm verursacht werden.</t>
  </si>
  <si>
    <t>www.airfi.eu</t>
  </si>
  <si>
    <t>Kielivalinta</t>
  </si>
  <si>
    <t>Kielivalinta tuloilman lämpötilarajoitukseen</t>
  </si>
  <si>
    <t>Muut</t>
  </si>
  <si>
    <t>Lukema</t>
  </si>
  <si>
    <t>Otsikot</t>
  </si>
  <si>
    <t>Aloitus</t>
  </si>
  <si>
    <t>Määrä</t>
  </si>
  <si>
    <t>Valittu alue listasta</t>
  </si>
  <si>
    <t>Tarkastus, jos on suurempi ollut kuin suomen</t>
  </si>
  <si>
    <t>Siirtymä säädatalistassa</t>
  </si>
  <si>
    <t>Otsikko</t>
  </si>
  <si>
    <t>Valitse säävyöhyke (kaupunki)</t>
  </si>
  <si>
    <t>Select climate zone (city)</t>
  </si>
  <si>
    <t>Välj klimatzon (kommun/stad)</t>
  </si>
  <si>
    <t>Wählen Sie die klimazone (Stadt)</t>
  </si>
  <si>
    <t>välilehti</t>
  </si>
  <si>
    <t>KS. säädata</t>
  </si>
  <si>
    <t>Air volume flow [m³/h]</t>
  </si>
  <si>
    <t>Luftens volymflöde [m³/h]</t>
  </si>
  <si>
    <t>Luftvolumenstrom [m³/h]</t>
  </si>
  <si>
    <r>
      <t xml:space="preserve">Suomi, </t>
    </r>
    <r>
      <rPr>
        <b/>
        <u/>
        <sz val="11"/>
        <color theme="1"/>
        <rFont val="Century Gothic"/>
        <family val="2"/>
      </rPr>
      <t>TRY 2020</t>
    </r>
  </si>
  <si>
    <t>Lisätty tehostustilan laskenta (samalla muutettu tulostuksen sijoitteluja), otettu pois käytöstä muiden maiden säävalinta, Suomen säädata TRY2020</t>
  </si>
  <si>
    <t>5.8</t>
  </si>
  <si>
    <t>Airfi laskentaohjelma_5.8.xlsx</t>
  </si>
  <si>
    <t>Huom. yllä olevat arvot sisältävät myös laitteen elektroniikan.</t>
  </si>
  <si>
    <t>Note: The above values also include the device's electronics.</t>
  </si>
  <si>
    <t>Die obigen Werte beinhalten auch die Elektronik des Geräts.</t>
  </si>
  <si>
    <t>Lisätty Bukarest säädatat ja ohjeteksti, että sähkötehon arvot sisältävät myös koneen elektroniikan.</t>
  </si>
  <si>
    <t>5.9</t>
  </si>
  <si>
    <t>Romania</t>
  </si>
  <si>
    <t>Rumänien</t>
  </si>
  <si>
    <t>Bukarest</t>
  </si>
  <si>
    <t>Airfi laskentaohjelma_5.9.xlsx</t>
  </si>
  <si>
    <t>De ovanstående värdena inkluderar också enhetens elektronik.</t>
  </si>
  <si>
    <t>Laskentaohjelmassa V. 5,8</t>
  </si>
  <si>
    <t>AIEMMAT ARVOT</t>
  </si>
  <si>
    <t>Ehdotus</t>
  </si>
  <si>
    <t>versio 5.9 ja seuraavat</t>
  </si>
  <si>
    <t>Ohjelmassa NRLTO=1,  nyt</t>
  </si>
  <si>
    <t>Model 60, 79,5 %</t>
  </si>
  <si>
    <t>Model 100, 82,5 %</t>
  </si>
  <si>
    <t>ohjaus V</t>
  </si>
  <si>
    <t>g/s</t>
  </si>
  <si>
    <t>tuloilman lämpötilahyötysuhde 60-kone, mitattu Zenner</t>
  </si>
  <si>
    <t>dm³/s</t>
  </si>
  <si>
    <t>Model 60nykyinen NRLTO=1</t>
  </si>
  <si>
    <t xml:space="preserve">EHDOTUS, model 60, EN 13141-7  1:1    Nt(RLTO=1)  </t>
  </si>
  <si>
    <t>Ehdotus EN308 model 60</t>
  </si>
  <si>
    <t>Model 130, 77,5 %</t>
  </si>
  <si>
    <t>Model 150, 79,5 %</t>
  </si>
  <si>
    <t>Model 250 ja Model 350 muuttuva</t>
  </si>
  <si>
    <t xml:space="preserve">ilmavirta </t>
  </si>
  <si>
    <t>arvo</t>
  </si>
  <si>
    <t>tuloilman lämpötilahyötysuhde 100-kone, mitattu Zenner</t>
  </si>
  <si>
    <t>Model 100nykyinen NRLTO=1</t>
  </si>
  <si>
    <t xml:space="preserve">EHDOTUS, model 100, EN 13141-7  1:1    Nt(RLTO=1)  </t>
  </si>
  <si>
    <t>Ehdotus EN308 model 100</t>
  </si>
  <si>
    <t xml:space="preserve">tuloilman lämpötilahyötysuhde 130-kone, simuloitu </t>
  </si>
  <si>
    <t>Model 130nykyinen NRLTO=1</t>
  </si>
  <si>
    <t xml:space="preserve">EHDOTUS, model 130, EN 13141-7  1:1    Nt(RLTO=1)  </t>
  </si>
  <si>
    <t>Ehdotus EN308 model 130</t>
  </si>
  <si>
    <t>tuloilman lämpötilahyötysuhde 150-kone, mitattu Zenner</t>
  </si>
  <si>
    <t>Model 150nykyinen NRLTO=1</t>
  </si>
  <si>
    <t xml:space="preserve">EHDOTUS, model 150, EN 13141-7  1:1    Nt(RLTO=1)  </t>
  </si>
  <si>
    <t>Ehdotus EN308 model 150</t>
  </si>
  <si>
    <t>3,8/3,8</t>
  </si>
  <si>
    <t>4,6/4,2</t>
  </si>
  <si>
    <t>7,4/6,1</t>
  </si>
  <si>
    <t>10/8</t>
  </si>
  <si>
    <t>ilmeisesti poikkeama kohdassa 76,6</t>
  </si>
  <si>
    <t>Model 250 / 350</t>
  </si>
  <si>
    <t>Model 250-350 nykyinen NRLTO=1</t>
  </si>
  <si>
    <t xml:space="preserve">EHDOTUS, model 250-350, EN 13141-7  1:1    Nt(RLTO=1)  </t>
  </si>
  <si>
    <t>Ehdotus EN308 model 250-350</t>
  </si>
  <si>
    <t>Vanhaa laskentaa --&gt; EI KÄYTÖSSÄ</t>
  </si>
  <si>
    <t xml:space="preserve">Muutokset versioon 6.0 </t>
  </si>
  <si>
    <t>Aiemmissa versioissa ollut fiksattu arvo 79,5 % Model 60,100, 130 ja 150</t>
  </si>
  <si>
    <t>Aiemmissa versioissa ollut tilavuusvirrasta riippuva laskenta Model 250/350 (79.5 % - 77.3 %)</t>
  </si>
  <si>
    <t>Käytetään tätä (huom. Versioon 5.9 saakka, tämän jälkeen tuli muutos)</t>
  </si>
  <si>
    <t>Versioon 6.0 iso muutos, ja käytetään A. Pulkkasen ohjeen mukaan tilavuusvirtariippuvaista laskentaa jokaisella mallilla</t>
  </si>
  <si>
    <t>LTO-arvot A. Pulkkasen sähköpostilla antaman ehdotuksen mukaisesti (8.2.2024)</t>
  </si>
  <si>
    <t>EN 13141-7</t>
  </si>
  <si>
    <t>EN 13141-7
Nt(RLTO=1)</t>
  </si>
  <si>
    <t>Tilavuusvirta [dm³/s]</t>
  </si>
  <si>
    <t>EN 308</t>
  </si>
  <si>
    <t>Laitevalinta</t>
  </si>
  <si>
    <t>Arvo versioon v5.9 saakka</t>
  </si>
  <si>
    <t>Mitoitus qV</t>
  </si>
  <si>
    <t>Tarkistus min/max</t>
  </si>
  <si>
    <t>Aputaulukko</t>
  </si>
  <si>
    <t>Vanha</t>
  </si>
  <si>
    <t>Huom. Päivitetty v6.0 lähtien</t>
  </si>
  <si>
    <t>LTO-hyötysuhteet v6.0 eteenpäin</t>
  </si>
  <si>
    <t>η</t>
  </si>
  <si>
    <t>Ilmanvaihtokoneen energiankulutus</t>
  </si>
  <si>
    <t>Teho (puhaltimet + elektroniikka)</t>
  </si>
  <si>
    <t>Tuloilman tavoitelämpötila</t>
  </si>
  <si>
    <t>Jälkilämmityspatterin ottoteho</t>
  </si>
  <si>
    <t>Jälkilämmityspatterin maksimiteho</t>
  </si>
  <si>
    <t>Jälkilämmityspatterin</t>
  </si>
  <si>
    <t>ottoteho</t>
  </si>
  <si>
    <t>Tulostus</t>
  </si>
  <si>
    <t>Tavoitelämpötila</t>
  </si>
  <si>
    <t>Tuloilman lämpötilan rajoitus</t>
  </si>
  <si>
    <t>Ei rajoitusta</t>
  </si>
  <si>
    <t>6.0</t>
  </si>
  <si>
    <t>Tuloilman rajoituksen ehdot kielivalinnasta riippuen (v.5.8 ja 5.9)</t>
  </si>
  <si>
    <t>Maksimi tuloilman lämpötila rajoitetussa tilanteessa</t>
  </si>
  <si>
    <t>Rajoitettu</t>
  </si>
  <si>
    <t>Tuloilma rajoitus</t>
  </si>
  <si>
    <t>kWh/a</t>
  </si>
  <si>
    <t>tLTO (LTO jälkeinen lämpötila mitoitusolosuhteessa)</t>
  </si>
  <si>
    <t>Mitoittava ulkoilman minimilämpötila</t>
  </si>
  <si>
    <t>Jälkilämmityspatterin ottotehon mitoitukseen</t>
  </si>
  <si>
    <t>Max tLTO valinta</t>
  </si>
  <si>
    <t>Maksimi asetus</t>
  </si>
  <si>
    <t>Tuloilman rajoitus (muutos v.6.0)</t>
  </si>
  <si>
    <t>Syöttöarvon muotoilu</t>
  </si>
  <si>
    <t>Huomioteksti</t>
  </si>
  <si>
    <t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t>
  </si>
  <si>
    <t>Tuloilman lämpötilahyötysuhde yhtä suurilla ilmavirroilla (EN 13141-7)</t>
  </si>
  <si>
    <t>Supply side temperature ratio for balanced air flow (EN 13141-7)</t>
  </si>
  <si>
    <t>Temperaturverkningsgrad för tilluft vid motsvarande luftflöde (EN 13141-7)</t>
  </si>
  <si>
    <t>Zulufts Temperatureffizienz bei gleichen Luftströmen (EN 13141-7)</t>
  </si>
  <si>
    <t>Puhaltimien ja elektroniikan sähkönkulutus</t>
  </si>
  <si>
    <t>Electricity consumption of fans and electronics</t>
  </si>
  <si>
    <t>Elkonsumtion för fläktar och elektronik</t>
  </si>
  <si>
    <t>Stromverbrauch von Ventilatoren und Elektronik</t>
  </si>
  <si>
    <t>Heat recovery cell efficiency (EN 308)</t>
  </si>
  <si>
    <t>Verkningsgrad för värmeåtervinningscell (EN 308)</t>
  </si>
  <si>
    <t>Wirkungsgrad der Wärmerückgewinnungszelle (EN 308)</t>
  </si>
  <si>
    <t>Lämmöntalteenottokennon hyötysuhde (EN 308)</t>
  </si>
  <si>
    <t>Limited</t>
  </si>
  <si>
    <t>Supply air temperature limitation</t>
  </si>
  <si>
    <t>Begränsning av tilluftstemperatur</t>
  </si>
  <si>
    <t>Begrenzung der Zulufttemperatur</t>
  </si>
  <si>
    <t>Begränsad</t>
  </si>
  <si>
    <t>No limitation</t>
  </si>
  <si>
    <t>Ingen begränsning</t>
  </si>
  <si>
    <t>Keine Begrenzung</t>
  </si>
  <si>
    <t>Begrenzt</t>
  </si>
  <si>
    <t>Maximum supply air temperature in a limited situation</t>
  </si>
  <si>
    <t>Maximitemperatur för tilluft i ett begränsad läge</t>
  </si>
  <si>
    <t>Maximale Zulufttemperatur in einer begrenzten Situation</t>
  </si>
  <si>
    <t>Target supply air temperature</t>
  </si>
  <si>
    <t>Målinställd temperatur för tilluften</t>
  </si>
  <si>
    <t>Ziel-Zulufttemperatur</t>
  </si>
  <si>
    <t>Design minimum outdoor air temperature</t>
  </si>
  <si>
    <t>Dimensionerande utomhustemperatur</t>
  </si>
  <si>
    <t>Auslegungsmindestaußentemperatur</t>
  </si>
  <si>
    <t>Tarvittava jälkilämmityspatterin ottoteho</t>
  </si>
  <si>
    <t>Required reheating power</t>
  </si>
  <si>
    <t>Utgångseffekt för eftervärmningsbatteriet</t>
  </si>
  <si>
    <t>Abgabeleistung des Nachheizregisters</t>
  </si>
  <si>
    <t>Maximum power of the reheater</t>
  </si>
  <si>
    <t>Maximal effekt för eftervärmningsbatteriet</t>
  </si>
  <si>
    <t>Maximalleistung des Nachheizregisters</t>
  </si>
  <si>
    <t>Muutoksia vuosihyötysuhdelaskentaan ja tulostukseen (mm. kennon hyötysuhteet, tilavusvirtariippuvaiset hyötysuhteet, tuloilma rajoituksen valinta yms.)</t>
  </si>
  <si>
    <t>Vesimalli</t>
  </si>
  <si>
    <t>Pistotulppa 230 V, 50 Hz, 16 A, max 3500 W</t>
  </si>
  <si>
    <t>Pistotulppa 230 V, 50 Hz, 16 A, max 2200 W</t>
  </si>
  <si>
    <t>Pistotulppa 230 V, 50 Hz, 10 A, max 1255 W</t>
  </si>
  <si>
    <t>Pistotulppa 230 V, 50 Hz, 10 A, max 1165 W</t>
  </si>
  <si>
    <t>Pistotulppa 400 VAC, 50 Hz, 3 x 16 A, max 8250 W</t>
  </si>
  <si>
    <t>Pistotulppa 230 V, 50 Hz, 10 A, max 1100 W</t>
  </si>
  <si>
    <t>Electric plug 230 V, 50 Hz, 10 A, max 1255 W</t>
  </si>
  <si>
    <t>Electric plug 400 VAC, 50 Hz, 3 x 16 A, max 8250 W</t>
  </si>
  <si>
    <t>Electric plug 230 V, 50 Hz, 16 A, max 3500 W</t>
  </si>
  <si>
    <t>Electric plug 230 V, 50 Hz, 16 A, max 2200 W</t>
  </si>
  <si>
    <t>Electric plug 230 V, 50 Hz, 10 A, max 1165 W</t>
  </si>
  <si>
    <t>Stickkontakt 230 V, 50 Hz, 10 A, max 1165 W</t>
  </si>
  <si>
    <t>Stickkontakt 230 V, 50 Hz, 10 A, max 1255 W</t>
  </si>
  <si>
    <t>Stickkontakt 230 V, 50 Hz, 16 A, max 2200 W</t>
  </si>
  <si>
    <t>Stickkontakt 400 VAC, 50 Hz, 3 x 16 A, max 8250 W</t>
  </si>
  <si>
    <t>Stecker 230 V, 50 Hz, 10 A, max 1165 W</t>
  </si>
  <si>
    <t>Stecker 230 V, 50 Hz, 10 A, max 1255 W</t>
  </si>
  <si>
    <t>Stecker 230 V, 50 Hz, 16 A, max 2200 W</t>
  </si>
  <si>
    <t>Stecker 230 V, 50 Hz, 16 A, max 3500 W</t>
  </si>
  <si>
    <t>Stecker 400 VAC, 50 Hz, 3 x 16 A, max 8250 W</t>
  </si>
  <si>
    <t>Stickkontakt 230 V, 50 Hz, 16 A, max 3500 W</t>
  </si>
  <si>
    <t>Electric plug 230 V, 50 Hz, 10 A, max 1100 W</t>
  </si>
  <si>
    <t>Stickkontakt 230 V, 50 Hz, 10 A, max 1100 W</t>
  </si>
  <si>
    <t>Stecker 230 V, 50 Hz, 10 A, max 1100 W</t>
  </si>
  <si>
    <t>Tulostusvälilehden ohjauksia, jos kielivalinta suomi</t>
  </si>
  <si>
    <t>Suomi valittu</t>
  </si>
  <si>
    <t>Suomi ei valittu</t>
  </si>
  <si>
    <t>EST - Tallinn</t>
  </si>
  <si>
    <t>DEN - Copenhagen</t>
  </si>
  <si>
    <t>DEN - Köpenhamn</t>
  </si>
  <si>
    <t>DEN - Kopenhagen</t>
  </si>
  <si>
    <t>NOR - Oslo</t>
  </si>
  <si>
    <t>Latvia</t>
  </si>
  <si>
    <t>Lettland</t>
  </si>
  <si>
    <t>Liettua</t>
  </si>
  <si>
    <t>Lithuania</t>
  </si>
  <si>
    <t>Litauen</t>
  </si>
  <si>
    <t>POL - Warsaw</t>
  </si>
  <si>
    <t>POL - Warszawa</t>
  </si>
  <si>
    <t>POL - Warschau</t>
  </si>
  <si>
    <t>GER - Berlin</t>
  </si>
  <si>
    <t>ISL - Reykjavík</t>
  </si>
  <si>
    <t>RO - Bucharest</t>
  </si>
  <si>
    <t>Riika</t>
  </si>
  <si>
    <t>Riga</t>
  </si>
  <si>
    <t>Vilna</t>
  </si>
  <si>
    <t>Gdansk</t>
  </si>
  <si>
    <t>Krakova</t>
  </si>
  <si>
    <t>LAT - Riga</t>
  </si>
  <si>
    <t>LTU - Vilnius</t>
  </si>
  <si>
    <t>LTU - Wilna</t>
  </si>
  <si>
    <t>POL - Gdansk</t>
  </si>
  <si>
    <t>POL - Danzig</t>
  </si>
  <si>
    <t>POL - Krakow</t>
  </si>
  <si>
    <t>POL - Krakau</t>
  </si>
  <si>
    <t>SWE - Gothenburg</t>
  </si>
  <si>
    <t>SWE - Göteborg</t>
  </si>
  <si>
    <t>SWE - Stockholm</t>
  </si>
  <si>
    <t>Köpis</t>
  </si>
  <si>
    <t>Reyk</t>
  </si>
  <si>
    <t>Buka</t>
  </si>
  <si>
    <t>Stökis</t>
  </si>
  <si>
    <t>Goteb</t>
  </si>
  <si>
    <t>5. PUOLA</t>
  </si>
  <si>
    <t>6. VIRO</t>
  </si>
  <si>
    <t>7. LATVIA</t>
  </si>
  <si>
    <t>8. LIETTUA</t>
  </si>
  <si>
    <t>EST - Tallin</t>
  </si>
  <si>
    <t>EST - Tallina</t>
  </si>
  <si>
    <t>EST - Talinas</t>
  </si>
  <si>
    <t>SWE - Sztokholm</t>
  </si>
  <si>
    <t>SWE - Goteborg</t>
  </si>
  <si>
    <t>SWE - Stokholma</t>
  </si>
  <si>
    <t>SWE - Gēteborga</t>
  </si>
  <si>
    <t>SWE - Stokholmas</t>
  </si>
  <si>
    <t>SWE - Geteborgas</t>
  </si>
  <si>
    <t>LAT - Ryga</t>
  </si>
  <si>
    <t>LAT - Riia</t>
  </si>
  <si>
    <t>LAT - Rīga</t>
  </si>
  <si>
    <t>LTU - Wilno</t>
  </si>
  <si>
    <t>LTU - Viļņa</t>
  </si>
  <si>
    <t>POL - Varssavi</t>
  </si>
  <si>
    <t>POL - Varšava</t>
  </si>
  <si>
    <t>POL - Varšuva</t>
  </si>
  <si>
    <t>POL - Kraków</t>
  </si>
  <si>
    <t>POL - Krakova</t>
  </si>
  <si>
    <t>POL - Krokuva</t>
  </si>
  <si>
    <t>POL - Gdańsk</t>
  </si>
  <si>
    <t>POL - Gdaņska</t>
  </si>
  <si>
    <t>POL - Gdanskas</t>
  </si>
  <si>
    <t>ISL - Reykjavik</t>
  </si>
  <si>
    <t>ISL - Reikjavīka</t>
  </si>
  <si>
    <t>ISL - Reikjavikas</t>
  </si>
  <si>
    <t>ROU - Bukarest</t>
  </si>
  <si>
    <t>ROU - Bucharest</t>
  </si>
  <si>
    <t>ROU - Bukareszt</t>
  </si>
  <si>
    <t>ROU - Bukareste</t>
  </si>
  <si>
    <t>ROU - Bukareštas</t>
  </si>
  <si>
    <t>NOR - Oslas</t>
  </si>
  <si>
    <t>DEN - Kopenhaga</t>
  </si>
  <si>
    <t>DEN - Kopenhaagen</t>
  </si>
  <si>
    <t>DEN - Kopenhāgena</t>
  </si>
  <si>
    <t>GER - Berliin</t>
  </si>
  <si>
    <t>GER - Berlynas</t>
  </si>
  <si>
    <t>GER - Berlīne</t>
  </si>
  <si>
    <t>Obiekt:</t>
  </si>
  <si>
    <t>Projektant:</t>
  </si>
  <si>
    <t>Wybierz model:</t>
  </si>
  <si>
    <t xml:space="preserve">Obudowa tłumiąca dźwięk: "pakiet dB" (Uwaga! Wymaga ramy szafki) </t>
  </si>
  <si>
    <t>Niedostępne w tym modelu</t>
  </si>
  <si>
    <t>Wtyczka 230 V, 50 Hz, 10 A, maks. 1165 W</t>
  </si>
  <si>
    <t>Wtyczka 230 V, 50 Hz, 10 A, maks. 1255 W</t>
  </si>
  <si>
    <t>Wtyczka 230 V, 50 Hz, 16 A, maks. 2200 W</t>
  </si>
  <si>
    <t>Wtyczka 230 V, 50 Hz, 16 A, maks. 3500 W</t>
  </si>
  <si>
    <t>Wtyczka 400 VAC, 50 Hz, 3 x 16 A, maks. 8250 W</t>
  </si>
  <si>
    <t>Gęstość powietrza: 1,2 kg/m³</t>
  </si>
  <si>
    <t>Różnica ciśnień [Pa]</t>
  </si>
  <si>
    <t>Natężenie przepływu powietrza [dm³/s]</t>
  </si>
  <si>
    <t>Nawiewane powietrze (wprowadzić wartości):</t>
  </si>
  <si>
    <t>Natężenie przepływu powietrza</t>
  </si>
  <si>
    <t>Różnica ciśnień:</t>
  </si>
  <si>
    <t>Nie w obszarze użytkowania</t>
  </si>
  <si>
    <t>Powietrze wylotowe (wprowadzić wartości):</t>
  </si>
  <si>
    <t>Napięcie sterowania:</t>
  </si>
  <si>
    <t>Wentylator wyciągowy:</t>
  </si>
  <si>
    <t>Całkowita moc:</t>
  </si>
  <si>
    <t>Poziomy mocy akustycznej w kanałach przyłączeniowych</t>
  </si>
  <si>
    <t>Kanał przyłączeniowy</t>
  </si>
  <si>
    <r>
      <t>Poziomy mocy akustycznej w paśmie oktawowym L</t>
    </r>
    <r>
      <rPr>
        <vertAlign val="subscript"/>
        <sz val="11"/>
        <color theme="1"/>
        <rFont val="Calibri"/>
        <family val="2"/>
        <scheme val="minor"/>
      </rPr>
      <t>W,oct</t>
    </r>
    <r>
      <rPr>
        <sz val="11"/>
        <color theme="1"/>
        <rFont val="Calibri"/>
        <family val="2"/>
        <scheme val="minor"/>
      </rPr>
      <t xml:space="preserve"> [dB]</t>
    </r>
  </si>
  <si>
    <t>Poziom ciśnienia akustycznego w pomieszczeniu o powierzchni pochłaniania dźwięku wynoszącej 10 m²:</t>
  </si>
  <si>
    <t>Poziom ciśnienia akustycznego w typowej łazience lub pomieszczeniu technicznym (V &lt; 10 m³) o powierzchni pochłaniania dźwięku &lt; 2-3 m²:</t>
  </si>
  <si>
    <t>Jednostkowe zużycie energii (SEC) i klasyfikacja</t>
  </si>
  <si>
    <t>Zgodnie z rozporządzeniami Komisji (UE) nr 1253/2014 i nr 1254/2014</t>
  </si>
  <si>
    <t>UWAGA! Obliczenia SEC są stosowane tylko w przypadku urządzeń wentylacyjnych przeznaczonych do budynków mieszkalnych.</t>
  </si>
  <si>
    <t>Referencyjny przepływ powietrza:</t>
  </si>
  <si>
    <t>Wartości wyjściowe dla obliczeń:</t>
  </si>
  <si>
    <t>Klasyfikacja ogólna</t>
  </si>
  <si>
    <t>Sterowanie wymianą powietrza</t>
  </si>
  <si>
    <t>Wszelkie prawa zastrzeżone.</t>
  </si>
  <si>
    <t>Obowiązujące dokumenty i normy: SFS-EN 13141-7, LVI 30-10529, Rozporządzenie Ministerstwa Środowiska YMa1009/2017, Przewodnik bilansowania 2018, Publikacja Ministerstwa Środowiska YM 122 oraz rozporządzenia Komisji (UE) nr 1253/2014 i nr 1254/2014. Nie ponosimy odpowiedzialności za jakiekolwiek błędy w programie ani za jakiekolwiek bezpośrednie lub pośrednie błędy przez nie spowodowane.</t>
  </si>
  <si>
    <t>Program obliczeniowy został przygotowany przez W. Zenner Oy. Program obliczeniowy oparty jest na pomiarach laboratoryjnych zgodnie z normą SFS-EN 13141-7.</t>
  </si>
  <si>
    <t>Numer SEC</t>
  </si>
  <si>
    <t>Klasa</t>
  </si>
  <si>
    <t>Powiązany z kanałem</t>
  </si>
  <si>
    <t>Inne niż powiązane z kanałem</t>
  </si>
  <si>
    <t>Obsługa ręczna (niewymagana) IV)</t>
  </si>
  <si>
    <t>Sterowanie zegarem (niewymagane) IV)</t>
  </si>
  <si>
    <t>Scentralizowana kontrola w zależności od potrzeb</t>
  </si>
  <si>
    <t>Lokalna kontrola w zależności od potrzeb</t>
  </si>
  <si>
    <t>Włączanie/wyłączanie i pojedyncza prędkość</t>
  </si>
  <si>
    <t>Dwubiegowy</t>
  </si>
  <si>
    <t>Wieloprędkościowy</t>
  </si>
  <si>
    <t>Bezstopniowa regulacja</t>
  </si>
  <si>
    <t>Obliczanie rocznej sprawności odzysku ciepła z powietrza wywiewanego z wentylacji</t>
  </si>
  <si>
    <t>Obliczenia zgodnie z Publikacją Ministerstwa Środowiska YM 122</t>
  </si>
  <si>
    <t>= wprowadzana komórka</t>
  </si>
  <si>
    <t>Czas korzystania z powyższego oddzielnego wyciągu powietrza</t>
  </si>
  <si>
    <t>Wydajność temperaturowa powietrza nawiewanego przy równych przepływach powietrza (EN 13141-7)</t>
  </si>
  <si>
    <t>Wydajność temperaturowa powietrza nawiewanego</t>
  </si>
  <si>
    <t>Strefa klimatyczna</t>
  </si>
  <si>
    <t>Temperatura wewnętrzna</t>
  </si>
  <si>
    <t>Maksymalna temperatura powietrza nawiewanego w ograniczonej sytuacji</t>
  </si>
  <si>
    <t>Roczny współczynnik efektywności energetycznej</t>
  </si>
  <si>
    <t>Całkowite zapotrzebowanie na energię dla wentylacji</t>
  </si>
  <si>
    <t>Odzyskana energia grzewcza</t>
  </si>
  <si>
    <t>Temperatura powietrza nawiewanego po LTO</t>
  </si>
  <si>
    <t>Temperatura powietrza nawiewanego [°C]</t>
  </si>
  <si>
    <t>Temperatura powietrza zewnętrznego [°C]</t>
  </si>
  <si>
    <t>Temperatura zużytego powietrza</t>
  </si>
  <si>
    <t>Temperatura zużytego powietrza [°C]</t>
  </si>
  <si>
    <t>Czas w roku</t>
  </si>
  <si>
    <t>Temperatura powietrza nawiewanego</t>
  </si>
  <si>
    <t>Razem</t>
  </si>
  <si>
    <t>SS,Kd = współczynnik rozszerzalności cieplnej między temperaturą powietrza wewnętrznego i zewnętrznego, Kd</t>
  </si>
  <si>
    <t>ST,Kd = współczynnik rozszerzalności cieplnej między temperaturą powietrza nawiewanego i zewnętrznego, Kd</t>
  </si>
  <si>
    <t>SJ,Kd = współczynnik przenikania ciepła między powietrzem a temperaturą powietrza zewnętrznego, Kd</t>
  </si>
  <si>
    <t>Wprowadź rozmiar i wartości docelowe:</t>
  </si>
  <si>
    <t>Rozpocznij od wprowadzenia temperatury wody zasilającej lub powrotnej</t>
  </si>
  <si>
    <t>Temperatura wody zasilającej</t>
  </si>
  <si>
    <t>Temperatura wody powrotnej</t>
  </si>
  <si>
    <t>Przepływ objętościowy powietrza nawiewanego</t>
  </si>
  <si>
    <t>Wymagana moc grzewcza:</t>
  </si>
  <si>
    <t>* W przypadku korzystania z korpusu o dużej pojemności Oras DN15S + zaworu grzejnikowego Stabila (całkowicie otwarty, KV = 1,00)</t>
  </si>
  <si>
    <t>Natężenie przepływu</t>
  </si>
  <si>
    <t>Spadek ciśnienia na zaworze sterującym*</t>
  </si>
  <si>
    <t>Prędkość przepływu</t>
  </si>
  <si>
    <t>Wtyczka 230 V, 50 Hz, 10 A, maks. 1100 W</t>
  </si>
  <si>
    <t xml:space="preserve">Zasilanie elektryczne: </t>
  </si>
  <si>
    <t>podczas korzystania z "pakietu dB" (Uwaga! Wymaga ramy szafki)</t>
  </si>
  <si>
    <t>Wybierz chłodnicę chłodzoną wodą dla swojego modelu</t>
  </si>
  <si>
    <t>Nie w obszarze użytkowania. Sprawdź wartości wymiarowe</t>
  </si>
  <si>
    <t>Obudowa z redukcją szumów nie jest dostępna dla tego modelu</t>
  </si>
  <si>
    <t>* Uwaga: W przypadku korzystania z okapu kuchennego całkowity przepływ powietrza wylotowego jest wyższy niż wartość znamionowa wejścia.</t>
  </si>
  <si>
    <t>Strefa klimatyczna (kraj)</t>
  </si>
  <si>
    <t>Strefa klimatyczna (gmina/miasto)</t>
  </si>
  <si>
    <t>Natężenie przepływu powietrza [m³/h]</t>
  </si>
  <si>
    <t>Punkt wymiarowania (wprowadź przepływ objętościowy i różnicę ciśnień)</t>
  </si>
  <si>
    <t>Zdefiniowana wartość wydajności nie została osiągnięta</t>
  </si>
  <si>
    <t>Zużycie energii elektrycznej przez wentylatory i elektronikę</t>
  </si>
  <si>
    <t>Ograniczenie temperatury powietrza nawiewanego</t>
  </si>
  <si>
    <t>Ograniczone</t>
  </si>
  <si>
    <t>Brak ograniczenia</t>
  </si>
  <si>
    <t>Docelowa temperatura powietrza nawiewanego</t>
  </si>
  <si>
    <t>Minimalna mierzalna temperatura powietrza zewnętrznego</t>
  </si>
  <si>
    <t>Wymagana moc wejściowa wymiennika dogrzewania wtórnego</t>
  </si>
  <si>
    <t>Maksymalna moc wymiennika dogrzewania wtórnego</t>
  </si>
  <si>
    <t>Airfi: ventilatsiooniseadme valimise tarkvara</t>
  </si>
  <si>
    <t>Objekt:</t>
  </si>
  <si>
    <t>Projekteerija:</t>
  </si>
  <si>
    <t>Vali mudel:</t>
  </si>
  <si>
    <t xml:space="preserve">Mürasummutuskate: 'dB-pakett' (NB! Nõuab kapiraami) </t>
  </si>
  <si>
    <t>Veeringlusega kalorifeer</t>
  </si>
  <si>
    <t>Ei ole selle mudeli puhul kasutatav</t>
  </si>
  <si>
    <t>Pistik 230 V, 50 Hz, 10 A, max 1165 W</t>
  </si>
  <si>
    <t>Pistik 230 V, 50 Hz, 10 A, max 1255 W</t>
  </si>
  <si>
    <t>Pistik 230 V, 50 Hz, 16 A, max 2200 W</t>
  </si>
  <si>
    <t>Pistik 230 V, 50 Hz, 16 A, max 3500 W</t>
  </si>
  <si>
    <t>Pistik 400 V AC, 50 Hz, 3 x 16 A, max 8250 W</t>
  </si>
  <si>
    <t>Õhu tihedus: 1,2 kg/m³</t>
  </si>
  <si>
    <t>Sissepuhkeõhk</t>
  </si>
  <si>
    <t>Väljatõmbeõhk</t>
  </si>
  <si>
    <t>Rõhuerinevus [Pa]</t>
  </si>
  <si>
    <t>Õhu vooluhulk [dm³/s]</t>
  </si>
  <si>
    <t>Sissepuhkeõhk (sisesta väärtused):</t>
  </si>
  <si>
    <t>Õhu vooluhulk:</t>
  </si>
  <si>
    <t>Rõhuerinevus</t>
  </si>
  <si>
    <t>Pole kasutusalas</t>
  </si>
  <si>
    <t>Väljatõmbeõhk (sisestage väärtused):</t>
  </si>
  <si>
    <t>Sissepuhkeventilaator:</t>
  </si>
  <si>
    <t>Juhtpinge:</t>
  </si>
  <si>
    <t>Ventilaatori võimsustarve:</t>
  </si>
  <si>
    <t>Väljatõmbeventilaator:</t>
  </si>
  <si>
    <t>Koguvõimsus:</t>
  </si>
  <si>
    <t>Helivõimsustasemed ühenduskanalites</t>
  </si>
  <si>
    <t>Ühenduskanal</t>
  </si>
  <si>
    <t>Välisõhk</t>
  </si>
  <si>
    <t>Heitõhk</t>
  </si>
  <si>
    <t>Köögi möödaviik</t>
  </si>
  <si>
    <r>
      <t>Helivõimsuse tasemed oktaaviribade kaupa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</si>
  <si>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Helivõimsuse tasemed keskkonnas</t>
  </si>
  <si>
    <t>Läbi katte</t>
  </si>
  <si>
    <t>Helirõhutase ruumis, mille heli neeldumispind on 10 m²:</t>
  </si>
  <si>
    <t>Helirõhutase tüüpilises vannitoas või tehnoruumis (V &lt; 10 m³), mille heli neeldumispind on &lt; 2-3 m²:</t>
  </si>
  <si>
    <t>Spetsiifiline energiatarve (SEC) ja liigitus</t>
  </si>
  <si>
    <t>Vastavalt Euroopa Komisjoni määrustele (EL) nr 1253/2014 ja 1254/2014</t>
  </si>
  <si>
    <t>TÄHELEPANU! SEC arvutust kasutatakse ainult eluhoonetes kasutatavate ventilatsiooniseadmete puhul.</t>
  </si>
  <si>
    <t>Võrdlusõhuvool:</t>
  </si>
  <si>
    <t>Arvutuse lähteväärtused:</t>
  </si>
  <si>
    <t>Üldine liigitus</t>
  </si>
  <si>
    <t>Ventilatsiooni juhtimine</t>
  </si>
  <si>
    <t>Mootor ja juhtimine</t>
  </si>
  <si>
    <t>Kliima</t>
  </si>
  <si>
    <t>Kõik õigused on kaitstud.</t>
  </si>
  <si>
    <t>Kohaldatud dokumendid ja standardid: SFS-EN 13141-7, LVI 30-10529, YMa 1009/2017, Ühtlustamisarvutuste juhend 2018, YM paljundus 122 ja Komisjoni määrused (EL) nr 1253/2014 ja nr 1254/2014. Me ei vastuta tarkvara võimalike puuduste ega nendest tulenevate otseste või kaudsete vigade eest.</t>
  </si>
  <si>
    <t>Arvutusprogrammi on koostanud Insinööritoimisto W. Zenner Oy. Arvutusprogramm põhineb standardile SFS-EN 13141-7 vastavatel laboratoorsetel mõõtmistel.</t>
  </si>
  <si>
    <t>SEC arv</t>
  </si>
  <si>
    <t>Kanaliühendusega</t>
  </si>
  <si>
    <t>Muu kui kanaliühendusega</t>
  </si>
  <si>
    <t>Käsikasutus (mittevajaduspõhine ventilatsioon)</t>
  </si>
  <si>
    <t>Kelljuhtimine (mittevajaduspõhine ventilatsioon)</t>
  </si>
  <si>
    <t>Tsentraalne vajaduspõhine juhtimine</t>
  </si>
  <si>
    <t>Kohalik vajaduspõhine juhtimine</t>
  </si>
  <si>
    <t>Sisse/välja ja ühekiiruseline</t>
  </si>
  <si>
    <t>Kahekiiruseline</t>
  </si>
  <si>
    <t>Mitmekiiruseline</t>
  </si>
  <si>
    <t>Sujuv reguleerimine</t>
  </si>
  <si>
    <t>Külm</t>
  </si>
  <si>
    <t>Keskmine</t>
  </si>
  <si>
    <t>Soe</t>
  </si>
  <si>
    <t>Ventilatsiooni väljatõmbeõhu soojusvahetuse aastase kasuteguri arvutamine</t>
  </si>
  <si>
    <t>Arvutamine YM-i trükise 122 kohaselt</t>
  </si>
  <si>
    <t>= sisestatav lahter</t>
  </si>
  <si>
    <t>Sissepuhkeõhu vooluhulk, läbi soojusvaheti</t>
  </si>
  <si>
    <t>Väljatõmbeõhu vooluhulk, läbi soojusvaheti</t>
  </si>
  <si>
    <t>Läbi soojusvaheti voolava sissepuhkeõhu ja väljapuhkeõhu vooluhulga suhe</t>
  </si>
  <si>
    <t>Soojusvaheti nõude alla kuuluv väljatõmbeõhu eriõhuvool</t>
  </si>
  <si>
    <t>Näiteks eriväljatõmbeõhu kasutusaeg</t>
  </si>
  <si>
    <t>Kogu ventilatsiooni sissepuhke ja väljatõmbe õhuvoolude suhe</t>
  </si>
  <si>
    <t>Sissepuhkeõhu temperatuuri kasutegur samade õhuvoolude korral (EN 13141-7)</t>
  </si>
  <si>
    <t>Sissepuhkeõhu temperatuuri kasutegur</t>
  </si>
  <si>
    <t>Kliimavöönd</t>
  </si>
  <si>
    <t>Sisetemperatuur</t>
  </si>
  <si>
    <t>Minimaalne heitõhu temperatuur</t>
  </si>
  <si>
    <t>Maksimaalne sissepuhkeõhu temperatuur piiratud olukorras</t>
  </si>
  <si>
    <t>Aastane kasutegur</t>
  </si>
  <si>
    <t>Ventilatsiooni koguenergiavajadus</t>
  </si>
  <si>
    <t>Salvestatud kütteenergia</t>
  </si>
  <si>
    <t>Sissepuhkeõhu temperatuur pärast soojusvahetit</t>
  </si>
  <si>
    <t>Sissepuhkeõhu temperatuur [°C]</t>
  </si>
  <si>
    <t>Välisõhu temperatuur [°C]</t>
  </si>
  <si>
    <t>Heitõhu temperatuur</t>
  </si>
  <si>
    <t>Heitõhu temperatuur [°C]</t>
  </si>
  <si>
    <t>Aeg aastas</t>
  </si>
  <si>
    <t>Sissepuhkeõhu temperatuur</t>
  </si>
  <si>
    <t>Kokku</t>
  </si>
  <si>
    <t>SS,Kd = sise- ja välisõhu temperatuuri vaheline soojusvajadusarv, Kd</t>
  </si>
  <si>
    <t>SS,Kd = sissepuhkeõhu ja välisõhu temperatuuri vaheline soojusvajadusarv, Kd</t>
  </si>
  <si>
    <t>SJ,Kd = heitõhu ja välisõhu temperatuuri vaheline soojusvajadusarv, Kd</t>
  </si>
  <si>
    <t>Vesiringlusega kalorifeeri arvutus</t>
  </si>
  <si>
    <t>Sisesta arvutus- ja sihtväärtused:</t>
  </si>
  <si>
    <t>Alustuseks sisesta kas välja- või tagasivooluvee temperatuur</t>
  </si>
  <si>
    <t>Kalorifeeri siseneva õhu temperatuur</t>
  </si>
  <si>
    <t>Kalorifeerist väljuva õhu temperatuur</t>
  </si>
  <si>
    <t>Väljuva vee temperatuur</t>
  </si>
  <si>
    <t>Tagasivooluvee temperatuur</t>
  </si>
  <si>
    <t>Sissepuhkeõhu vooluhulk</t>
  </si>
  <si>
    <t>Vajalik küttevõimsus:</t>
  </si>
  <si>
    <t>* Kasutades Oras DN15S suurt korpust + Stabila kalorifeeri ventiili (täielikult avatud, KV = 1,00)</t>
  </si>
  <si>
    <t xml:space="preserve">Kalorifeeri arvutus vastavalt väljuva vee temperatuurile </t>
  </si>
  <si>
    <t xml:space="preserve">Kalorifeeri arvutus vastavalt tagasivooluvee temperatuurile </t>
  </si>
  <si>
    <t>Vooluhulk</t>
  </si>
  <si>
    <t>Kalorifeeri vedelikupoole rõhukadu</t>
  </si>
  <si>
    <t>Reguleerventiili rõhukadu*</t>
  </si>
  <si>
    <t>Voolukiirus</t>
  </si>
  <si>
    <t>Pistik 230 V, 50 Hz, 10 A, max 1100 W</t>
  </si>
  <si>
    <t xml:space="preserve">Elektritoide: </t>
  </si>
  <si>
    <t>kasutades 'dB-paketti' (NB! Nõuab kapiraami)</t>
  </si>
  <si>
    <t>Vali seadmemudeli puhul vesiringlusega kalorifeer</t>
  </si>
  <si>
    <t>Pole kasutusalas. Kontrolli arvutusväärtusi.</t>
  </si>
  <si>
    <t>Mürasummutuskate ei ole selle mudeli puhul kasutatav</t>
  </si>
  <si>
    <t>* NB! Köögi möödavoolu kasutamisel on väljatõmbeõhu õhuvoolu väärtus sisestatud arvutusväärtusest suurem</t>
  </si>
  <si>
    <t>Kliimavöönd (riik/maa)</t>
  </si>
  <si>
    <t>Kliimavöönd (vald/linn)</t>
  </si>
  <si>
    <t>Õhu vooluhulk [m³/h]</t>
  </si>
  <si>
    <t>Arvutuspunkt (sisesta vooluhulk ja rõhuerinevus)</t>
  </si>
  <si>
    <t>Võimendusolukorra arvutamine:</t>
  </si>
  <si>
    <t>Maksimaalne võimendusvaru:</t>
  </si>
  <si>
    <t>Sisesta soovitud võimendusväärtus:</t>
  </si>
  <si>
    <t>Võimendusväärtus [%]:</t>
  </si>
  <si>
    <t>Toimimiskoht võimendusolukorras:</t>
  </si>
  <si>
    <t>Määratud võimendusväärtust ei saavutatud</t>
  </si>
  <si>
    <t>Kliimavööndi valimine (linn)</t>
  </si>
  <si>
    <t>NB! Ülaltoodud väärtused hõlmavad ka seadme elektroonikat.</t>
  </si>
  <si>
    <t>Soojusvaheti kasutegur (EN 308)</t>
  </si>
  <si>
    <t>Ventilaatorite ja elektroonika voolutarve</t>
  </si>
  <si>
    <t>Sissepuhkeõhu temperatuuri piirang</t>
  </si>
  <si>
    <t>Piiratud</t>
  </si>
  <si>
    <t>Piiranguteta</t>
  </si>
  <si>
    <t>Sissepuhkeõhu soovitud temperatuur</t>
  </si>
  <si>
    <t>Arvutatav minimaalne välisõhu temperatuur</t>
  </si>
  <si>
    <t>Vajalik järelküttekalorifeeri võimsusvajadus</t>
  </si>
  <si>
    <t>Järelsoojenduskalorifeeri maksimaalne võimsus</t>
  </si>
  <si>
    <t>Airfi: ventilācijas iekārtas izvēles programma</t>
  </si>
  <si>
    <t>Objekts:</t>
  </si>
  <si>
    <t>Projektētājs:</t>
  </si>
  <si>
    <t>Izvēlēties modeli:</t>
  </si>
  <si>
    <t xml:space="preserve">Skaņu slāpējošs korpuss: 'dB-pakete' (Uzmanību! Nepieciešams skapja korpuss) </t>
  </si>
  <si>
    <t>Ūdens cirkulācijas apsildes radiators</t>
  </si>
  <si>
    <t>Šim modelim nav izmantojams</t>
  </si>
  <si>
    <t>Kontaktspraudnis 230 V, 50 Hz, 10 A, maks. 1165 W</t>
  </si>
  <si>
    <t>Kontaktspraudnis 230 V, 50 Hz, 10 A, maks. 1255 W</t>
  </si>
  <si>
    <t>Kontaktspraudnis 230 V, 50 Hz, 16 A, maks. 2200 W</t>
  </si>
  <si>
    <t>Kontaktspraudnis 230 V, 50 Hz, 16 A, maks. 3500 W</t>
  </si>
  <si>
    <t>Kontaktspraudnis 400 VAC, 50 Hz, 3 x 16 A, maks. 8250 W</t>
  </si>
  <si>
    <t>Gaisa blīvums: 1,2 kg/m³</t>
  </si>
  <si>
    <t>Ieplūstošais gaiss</t>
  </si>
  <si>
    <t>Izplūstošais gaiss</t>
  </si>
  <si>
    <t>Spiedienu starpība [Pa]</t>
  </si>
  <si>
    <t>Gaisa tilpuma plūsma [dm³/s]</t>
  </si>
  <si>
    <t>Ieplūstošais gaiss (ievadīt vērtības):</t>
  </si>
  <si>
    <t>Gaisa tilpuma plūsma:</t>
  </si>
  <si>
    <t>Spiedienu starpība:</t>
  </si>
  <si>
    <t>Nav ekspluatācijas diapazonā</t>
  </si>
  <si>
    <t>Izplūstošais gaiss (ievadīt vērtības):</t>
  </si>
  <si>
    <t>Ieplūstošā gaisa ventilators:</t>
  </si>
  <si>
    <t>Vadības spriegums:</t>
  </si>
  <si>
    <t>Ventilatoru ieejas jauda:</t>
  </si>
  <si>
    <t>Izplūstošā gaisa ventilators:</t>
  </si>
  <si>
    <t>Kopējā jauda:</t>
  </si>
  <si>
    <t>Skaņas jaudas līmeņi savienotājkanālos</t>
  </si>
  <si>
    <t>Pieslēguma kanāli</t>
  </si>
  <si>
    <t>Āra gaiss</t>
  </si>
  <si>
    <t>Piesārņotais gaiss</t>
  </si>
  <si>
    <t>Virtuves apeja</t>
  </si>
  <si>
    <r>
      <t>Skaņas jaudas līmeņi pa oktāvas joslām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</si>
  <si>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Skaņas jaudas līmeņi vidē</t>
  </si>
  <si>
    <t>Caur apvalku</t>
  </si>
  <si>
    <t>Skaņas spiediena līmenis telpā, kuras skaņas absorbcijas platība ir 10 m²:</t>
  </si>
  <si>
    <t>Skaņas spiediena līmenis tipiskā vannas istabā vai tehniskajā telpā (V &lt; 10 m³), kuras skaņas absorbcijas platība ir &lt; 2-3 m²:</t>
  </si>
  <si>
    <t>Īpatnējais enerģijas patēriņš (Specific Energy Consumption — SEC) un klasifikācija</t>
  </si>
  <si>
    <t>Saskaņā ar Komisijas Regulām (ES) Nr. 1253/2014 un Nr. 1254/2014</t>
  </si>
  <si>
    <t>UZMANĪBU! SEC aprēķinu izmanto tikai dzīvojamajām ēkā paredzētajām ventilācijas iekārtām.</t>
  </si>
  <si>
    <t>References gaisa plūsma:</t>
  </si>
  <si>
    <t>Aprēķinu izejas vērtības:</t>
  </si>
  <si>
    <t>Vispārīgā klasifikācija</t>
  </si>
  <si>
    <t>Ventilācijas vadība</t>
  </si>
  <si>
    <t>Motors un vadība</t>
  </si>
  <si>
    <t>Klimats</t>
  </si>
  <si>
    <t>Visas tiesības rezervētas.</t>
  </si>
  <si>
    <t>Izmantotie dokumenti un standarti: SFS-EN 13141-7, LVI 30-10529, Vides ministrijas dekrēts 1009/2017, Balansēšanas aprēķina rokasgrāmata 2018, Vides ministrijas kopija Nr. 122 un Komisijas Regulas (ES) Nr. 1253/2014 un Nr. 1254/2014. Nenesam atbildību par iespējamām kļūdām programmā vai to izraisītām tiešām vai netiešām kļūdām.</t>
  </si>
  <si>
    <t>Aprēķinu programmu sagatavoja inženieru birojs Insinööritoimisto W. Zenner Oy. Aprēķinu programmas pamatā ir saskaņā ar SFS-EN 13141-7 veikti laboratorijas mērījumi.</t>
  </si>
  <si>
    <t>SEC skaitlis</t>
  </si>
  <si>
    <t>Klase</t>
  </si>
  <si>
    <t>Pieslēdzams kanālam</t>
  </si>
  <si>
    <t>Kanālam nepieslēdzams</t>
  </si>
  <si>
    <t>Manuāla vadība (ne pēc vajadzības IV)</t>
  </si>
  <si>
    <t>Pulksteņvadība (ne pēc vajadzības IV)</t>
  </si>
  <si>
    <t>Centralizēta vadība pēc vajadzības</t>
  </si>
  <si>
    <t>Vietēja vadība pēc vajadzības</t>
  </si>
  <si>
    <t>Ieslēgts/izslēgts un vienātruma</t>
  </si>
  <si>
    <t>Divātrumu</t>
  </si>
  <si>
    <t>Vairākātrumu</t>
  </si>
  <si>
    <t>Bezpakāpju regulēšana</t>
  </si>
  <si>
    <t>Auksts</t>
  </si>
  <si>
    <t>Vidējs</t>
  </si>
  <si>
    <t>Silts</t>
  </si>
  <si>
    <t>Ventilācijas izplūstošā gaisa rekuperācijas ikgadējā lietderības koeficienta aprēķināšana</t>
  </si>
  <si>
    <t>Aprēķins saskaņā ar Vides ministrijas kopiju Nr. 122</t>
  </si>
  <si>
    <t>= ievadāmais lauciņš</t>
  </si>
  <si>
    <t>Ieplūstošā gaisa plūsma, caur rekuperatoru plūstošā</t>
  </si>
  <si>
    <t>Izplūstošā gaisa plūsma, caur rekuperatoru plūstošā</t>
  </si>
  <si>
    <t>Caur rekuperatoru plūstošās ieplūstošās un izplūstošās gaisa plūsmas attiecība</t>
  </si>
  <si>
    <t>Rekuperatora darbības prasībās ietvertā atsevišķā izplūstošā gaisa plūsma</t>
  </si>
  <si>
    <t>Iepriekš minētās atsevišķās izplūstošās gaisa plūsmas izmantošanas laiks</t>
  </si>
  <si>
    <t>Visu IV ieplūstošo un izplūstošo gaisa plūsmu attiecība</t>
  </si>
  <si>
    <t>Ieplūstošā gaisa temperatūras pārneses lietderības koeficients vienlīdz lielām gaisa plūsmām (EN 13141-7)</t>
  </si>
  <si>
    <t>Ieplūstošā gaisa temperatūras pārneses lietderības koeficients</t>
  </si>
  <si>
    <t>Meteoroloģiskā zona</t>
  </si>
  <si>
    <t>Iekštelpu temperatūra</t>
  </si>
  <si>
    <t>Piesārņotā gaisa minimālā temperatūra</t>
  </si>
  <si>
    <t>Maksimālā ieplūstošā gaisa temperatūra ierobežotā situācijā</t>
  </si>
  <si>
    <t>Gada lietderības koeficients</t>
  </si>
  <si>
    <t>Kopējais ventilācijai nepieciešamās enerģijas daudzums</t>
  </si>
  <si>
    <t>Rekuperētā siltumenerģija</t>
  </si>
  <si>
    <t>Ieplūstošā gaisa temperatūra pēc rekuperatora</t>
  </si>
  <si>
    <t>Ieplūstošā gaisa temperatūra [°C]</t>
  </si>
  <si>
    <t>Āra gaisa temperatūra [°C]</t>
  </si>
  <si>
    <t>Piesārņotā gaisa temperatūra</t>
  </si>
  <si>
    <t>Piesārņotā gaisa temperatūra [°C]</t>
  </si>
  <si>
    <t>Laiks gadā</t>
  </si>
  <si>
    <t>Ieplūstošā gaisa temperatūra</t>
  </si>
  <si>
    <t>Kopā</t>
  </si>
  <si>
    <t>SS,Kd = iekštelpu un āra gaisa temperatūras savstarpējais nepieciešamā siltuma koeficients, Kd</t>
  </si>
  <si>
    <t>ST,Kd = ieplūstošā un āra gaisa temperatūras savstarpējais nepieciešamā siltuma koeficients, Kd</t>
  </si>
  <si>
    <t>SJ,Kd = piesārņotā un āra gaisa temperatūras savstarpējais nepieciešamā siltuma koeficients, Kd</t>
  </si>
  <si>
    <t>Ūdens cirkulācijas apsildes radiatora dimensionēšana</t>
  </si>
  <si>
    <t>Ievadīt dimensionēšanas un mērķa vērtības:</t>
  </si>
  <si>
    <t>Sākt ievadi, ievadot turpgaitas vai atpakaļgaitas ūdens temperatūru</t>
  </si>
  <si>
    <t>Pie radiatora pieplūstošā gaisa temperatūra</t>
  </si>
  <si>
    <t>No radiatora aizplūstošā gaisa temperatūra</t>
  </si>
  <si>
    <t>Turpgaitas ūdens temperatūra</t>
  </si>
  <si>
    <t>Atpakaļgaitas ūdens temperatūra</t>
  </si>
  <si>
    <t>Ieplūstošā gaisa tilpuma plūsma</t>
  </si>
  <si>
    <t>Nepieciešamā apsildes jauda:</t>
  </si>
  <si>
    <t>* Izmantojot Oras DN15S lieljaudas korpusu + Stabila radiatora ventili (pilnīgi atvērtu, KV = 1,00)</t>
  </si>
  <si>
    <t xml:space="preserve">Radiatoru dimensionēšana atbilstoši turpgaitas ūdens temperatūrai </t>
  </si>
  <si>
    <t xml:space="preserve">Radiatoru dimensionēšana atbilstoši atpakaļgaitas ūdens temperatūrai </t>
  </si>
  <si>
    <t>Plūsma</t>
  </si>
  <si>
    <t>Radiatora šķidruma spiediena zudums</t>
  </si>
  <si>
    <t>Regulācijas ventiļa spiediena zudums*</t>
  </si>
  <si>
    <t>Plūsmas ātrums</t>
  </si>
  <si>
    <t>Kontaktspraudnis 230 V, 50 Hz, 10 A, maks. 1100 W</t>
  </si>
  <si>
    <t xml:space="preserve">Elektrības padeve: </t>
  </si>
  <si>
    <t>izmantojot 'dB-paketi' (Uzmanību! Nepieciešams skapja korpuss)</t>
  </si>
  <si>
    <t>Kopā ar iekārtas modeli izvēlieties ūdens cirkulācijas radiatoru</t>
  </si>
  <si>
    <t>Nav ekspluatācijas diapazonā. Pārbaudīt dimensionēšanas vērtības.</t>
  </si>
  <si>
    <t>Skaņu slāpējošs korpuss šim modelim nav pieejams</t>
  </si>
  <si>
    <t>* Uzmanību: ja tiek apieta virtuve, kopējā izplūstošā gaisa plūsma ir lielāka par ievadīto dimensionēšanas vērtību</t>
  </si>
  <si>
    <t>Meteoroloģiskā zona (valsts/teritorija)</t>
  </si>
  <si>
    <t>Meteoroloģiskā zona (pašvaldība/pilsēta)</t>
  </si>
  <si>
    <t>Gaisa tilpuma plūsma [m³/h]</t>
  </si>
  <si>
    <t>Dimensionēšanas punkts (ievadīt tilpuma plūsmu un spiediena starpību)</t>
  </si>
  <si>
    <t>Efektivitātes palielināšanas situācijas aprēķins:</t>
  </si>
  <si>
    <t>Maksimālā efektivitātes palielināšana:</t>
  </si>
  <si>
    <t>Ievadīt vēlamo efektivitātes palielināšanas vērtību:</t>
  </si>
  <si>
    <t>Efektivitātes palielināšanas vērtība [%]:</t>
  </si>
  <si>
    <t>Darbības punkts efektivitātes palielināšanas situācijā:</t>
  </si>
  <si>
    <t>Noteiktā efektivitātes palielināšanas vērtība nav sasniegta</t>
  </si>
  <si>
    <t>Izvēlēties meteoroloģisko zonu (pilsēta)</t>
  </si>
  <si>
    <t>Uzmanību: iepriekš minētās vērtības ietver arī iekārtas elektroniku.</t>
  </si>
  <si>
    <t>Rekuperatora elementa lietderības koeficients (EN 308)</t>
  </si>
  <si>
    <t>Ventilatora un elektronikas strāvas patēriņš</t>
  </si>
  <si>
    <t>Ieplūstošā gaisa temperatūras ierobežojums</t>
  </si>
  <si>
    <t>Ierobežots</t>
  </si>
  <si>
    <t>Neierobežots</t>
  </si>
  <si>
    <t>Ieplūstošā gaisa mērķa temperatūra</t>
  </si>
  <si>
    <t>Dimensionēšanas minimālā āra gaisa temperatūra</t>
  </si>
  <si>
    <t>Nepieciešamā pēcapsildes radiatora ieejas jauda</t>
  </si>
  <si>
    <t>Pēcapsildes radiatora maksimālā jauda</t>
  </si>
  <si>
    <t>Airfi: vėdinimo įrangos parinkties programa</t>
  </si>
  <si>
    <t>Objektas:</t>
  </si>
  <si>
    <t>Projektuotojas:</t>
  </si>
  <si>
    <t>Pasirinkti modelį:</t>
  </si>
  <si>
    <t xml:space="preserve">Garso slopinimo gaubtas: „dB paketas“ (Dėmesio! Reikalingas rėminis korpusas) </t>
  </si>
  <si>
    <t>Šildymo radiatorius su vandens cirkuliacija</t>
  </si>
  <si>
    <t>Šiame modelyje nėra</t>
  </si>
  <si>
    <t>Kištukas 230 V, 50 Hz, 10 A, maks. 1165 W</t>
  </si>
  <si>
    <t>Kištukas 230 V, 50 Hz, 10 A, maks. 1255 W</t>
  </si>
  <si>
    <t>Kištukas 230 V, 50 Hz, 16 A, maks. 2200 W</t>
  </si>
  <si>
    <t>Kištukas 230 V, 50 Hz, 16 A, maks. 3500 W</t>
  </si>
  <si>
    <t>Kištukas 400 VAC, 50 Hz, 3 x 16 A, maks. 8250 W</t>
  </si>
  <si>
    <t>Oro tankis: 1,2 kg/m³</t>
  </si>
  <si>
    <t>Tiekiamas oras</t>
  </si>
  <si>
    <t>Ištraukiamas oras</t>
  </si>
  <si>
    <t>Slėgio skirtumas [Pa]</t>
  </si>
  <si>
    <t>Oro srautas [dm³/s]</t>
  </si>
  <si>
    <t>Tiekiamas oras (įveskite vertes):</t>
  </si>
  <si>
    <t>Oro srautas:</t>
  </si>
  <si>
    <t>Slėgio skirtumas:</t>
  </si>
  <si>
    <t>Naudojimo zonoje nėra</t>
  </si>
  <si>
    <t>Ištraukiamas oras (įveskite vertes):</t>
  </si>
  <si>
    <t>Įsiurbimo ventiliatorius:</t>
  </si>
  <si>
    <t>Valdymo įtampa:</t>
  </si>
  <si>
    <t>Ventiliatorių įsiurbimo galia:</t>
  </si>
  <si>
    <t>Ištraukiamasis ventiliatorius:</t>
  </si>
  <si>
    <t>Bendra galia:</t>
  </si>
  <si>
    <t>Garso galios lygis jungiamajame kanale</t>
  </si>
  <si>
    <t>Jungiamasis kanalas</t>
  </si>
  <si>
    <t>Lauko oras</t>
  </si>
  <si>
    <t>Išeinantis oras</t>
  </si>
  <si>
    <t>Virtuvės aplenkimas</t>
  </si>
  <si>
    <r>
      <t>Garso galios lygiai pagal oktavų juostas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</si>
  <si>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Garso galios lygiai aplinkoje</t>
  </si>
  <si>
    <t>Per vožtuvą</t>
  </si>
  <si>
    <t>Garso slėgio lygis patalpoje, kurios garso sugerties plotas yra 10 m²:</t>
  </si>
  <si>
    <t>Garso slėgio lygis įprastame vonios kambaryje arba techninėje patalpoje (V &lt; 10 m³), kurios garso sugerties plotas &lt; 2-3 m²:</t>
  </si>
  <si>
    <t>Savitasis energijos suvartojimas (SEC) ir klasifikacija</t>
  </si>
  <si>
    <t>Pagal Komisijos reglamentus (ES) Nr. 1253/2014 ir Nr. 1254/2014</t>
  </si>
  <si>
    <t>DĖMESIO! SEC formulė taikoma tik gyvenamiesiems pastatams skirtiems vėdinimo įrenginiams.</t>
  </si>
  <si>
    <t>Lyginamasis oro srautas:</t>
  </si>
  <si>
    <t>Skaičiavimo pradinės vertės:</t>
  </si>
  <si>
    <t>Bendroji klasifikacija</t>
  </si>
  <si>
    <t>Vėdinimo valdymas</t>
  </si>
  <si>
    <t>Variklis ir valdymas</t>
  </si>
  <si>
    <t>Klimatas</t>
  </si>
  <si>
    <t>Visos teisės saugomos.</t>
  </si>
  <si>
    <t>Taikyti dokumentai ir standartai: SFS-EN 13141-7, LVI 30-10529, YMa 1009/2017, 2018 m. skaičiavimo vadovas, Aplinkos ministerijos leidinys 122 ir Komisijos reglamentai (ES) Nr. 1253/2014 ir Nr. 1254/2014. Neatsakome už jokias programos klaidas ar dėl jų atsiradusias tiesiogines ar netiesiogines paklaidas.</t>
  </si>
  <si>
    <t>Skaičiavimo programą parengė inžinierių biuras „W. Zenner Oy“. Skaičiavimo programa grindžiama laboratoriniais matavimais pagal SFS-EN 13141-7.</t>
  </si>
  <si>
    <t>SEC numeris</t>
  </si>
  <si>
    <t>Kategorija</t>
  </si>
  <si>
    <t>Su jungiamuoju kanalu</t>
  </si>
  <si>
    <t>Su kitokiu, o ne jungiamuoju kanalu</t>
  </si>
  <si>
    <t>Rankinis valdymas (ne pagal poreikį IV)</t>
  </si>
  <si>
    <t>Laikrodinis valdymas (ne pagal poreikį IV)</t>
  </si>
  <si>
    <t>Centralizuotas valdymas pagal poreikį</t>
  </si>
  <si>
    <t>Vietinis valdymas pagal poreikį</t>
  </si>
  <si>
    <t>Įjungta/išjungta ir vienas greitis</t>
  </si>
  <si>
    <t>Du greičiai</t>
  </si>
  <si>
    <t>Daugiau greičių</t>
  </si>
  <si>
    <t>Tolygus reguliavimas</t>
  </si>
  <si>
    <t>Šalta</t>
  </si>
  <si>
    <t>Vidutinė vertė</t>
  </si>
  <si>
    <t>Šilta</t>
  </si>
  <si>
    <t>Metinio šilumos atgavimo iš ištraukiamo oro efektyvumo apskaičiavimas</t>
  </si>
  <si>
    <t>Skaičiavimas pagal Aplinkos ministerijos leidinį Nr. 122</t>
  </si>
  <si>
    <t>= įvesties langelis</t>
  </si>
  <si>
    <t>Tiekiamo oro srautas, tekantis per LTO</t>
  </si>
  <si>
    <t>Ištraukiamo oro srautas, tekantis per LTO</t>
  </si>
  <si>
    <t>Tiekiamo ir ištraukiamo oro srauto per LTO santykis</t>
  </si>
  <si>
    <t>Atskiras ištraukiamo oro srautas, kuriam taikomas LTO reikalavimas</t>
  </si>
  <si>
    <t>Minėto atskiro ištraukiamo oro naudojimo laikas</t>
  </si>
  <si>
    <t>Tiekiamo ir ištraukiamo oro srautų santykis visame IV</t>
  </si>
  <si>
    <t>Tiekiamo oro temperatūros efektyvumo koeficientas esant vienodiems oro srautams (EN 13141-7)</t>
  </si>
  <si>
    <t>Tiekiamo oro temperatūros efektyvumo koeficientas</t>
  </si>
  <si>
    <t>Klimato juosta</t>
  </si>
  <si>
    <t>Vidaus temperatūra</t>
  </si>
  <si>
    <t>Minimali išeinančio oro temperatūra</t>
  </si>
  <si>
    <t>Didžiausia tiekiamo oro temperatūra ribotoje padėtyje</t>
  </si>
  <si>
    <t>Metinis efektyvumo koeficientas</t>
  </si>
  <si>
    <t>Bendras vėdinimo sistemos energijos poreikis</t>
  </si>
  <si>
    <t>Atgauta šilumos energija</t>
  </si>
  <si>
    <t>Tiekiamo oro temperatūra po LTO</t>
  </si>
  <si>
    <t>Tiekiamo oro temperatūra [°C]</t>
  </si>
  <si>
    <t>Lauko oro temperatūra [°C]</t>
  </si>
  <si>
    <t>Išeinančio oro temperatūra</t>
  </si>
  <si>
    <t>Išeinančio oro temperatūra [°C]</t>
  </si>
  <si>
    <t>Metų laikas</t>
  </si>
  <si>
    <t>Tiekiamo oro temperatūra</t>
  </si>
  <si>
    <t>Iš viso</t>
  </si>
  <si>
    <t>SS, Kd = šilumos poreikio tarp patalpos ir lauko oro temperatūros koeficientas, Kd</t>
  </si>
  <si>
    <t>ST, Kd = šilumos poreikio tarp tiekiamo ir lauko oro temperatūros koeficientas, Kd</t>
  </si>
  <si>
    <t>SJ, Kd = šilumos poreikio tarp išeinančio ir lauko oro temperatūros koeficientas, Kd</t>
  </si>
  <si>
    <t>Radiatoriaus su vandens cirkuliacija matmenys</t>
  </si>
  <si>
    <t>Įveskite matmenis ir tikslines vertes:</t>
  </si>
  <si>
    <t>Pirmiausia įveskite įleidžiamo arba grįžtančio vandens temperatūrą</t>
  </si>
  <si>
    <t>Į radiatorių įeinančio oro temperatūra</t>
  </si>
  <si>
    <t>Iš radiatoriaus išeinančio oro temperatūra</t>
  </si>
  <si>
    <t>Įleidžiamo vandens temperatūra</t>
  </si>
  <si>
    <t>Grįžtančio vandens temperatūra</t>
  </si>
  <si>
    <t>Tiekiamo oro srautas</t>
  </si>
  <si>
    <t>Reikalinga šildymo galia:</t>
  </si>
  <si>
    <t>* Naudojant didelės galios „Oras DN15S“ korpusą + „Stabila“ radiatoriaus vožtuvą (visiškai atidarytas, KV = 1,00)</t>
  </si>
  <si>
    <t xml:space="preserve">Radiatoriaus matmenys pagal įleidžiamo vandens temperatūrą </t>
  </si>
  <si>
    <t xml:space="preserve">Radiatoriaus matmenys pagal grįžtančio vandens temperatūrą </t>
  </si>
  <si>
    <t>Srautas</t>
  </si>
  <si>
    <t>Radiatoriaus skysčio slėgio sumažėjimas</t>
  </si>
  <si>
    <t>Slėgio sumažėjimas valdymo vožtuve*</t>
  </si>
  <si>
    <t>Srauto greitis</t>
  </si>
  <si>
    <t>Kištukas 230 V, 50 Hz, 10 A, maks. 1100 W</t>
  </si>
  <si>
    <t xml:space="preserve">Elektros tiekimas: </t>
  </si>
  <si>
    <t>naudojant „dB paketą“ (Dėmesio! Reikalingas rėminis korpusas)</t>
  </si>
  <si>
    <t>Rinkdamiesi įrangos modelį, pasirinkite šildymo radiatorių su vandens cirkuliacija</t>
  </si>
  <si>
    <t>Naudojimo zonoje nėra. Patikrinkite matmenų vertes.</t>
  </si>
  <si>
    <t>Garso slopinimo gaubto šiame modelyje nėra</t>
  </si>
  <si>
    <t>* Pastaba: naudojant virtuvės apylanką, bendras ištraukiamo oro srautas yra didesnis už įvestą išmatuotą vertę.</t>
  </si>
  <si>
    <t>Klimato juosta (valstybė / šalis)</t>
  </si>
  <si>
    <t>Klimato juosta (savivaldybė / miestas)</t>
  </si>
  <si>
    <t>Oro srautas [m³/h]</t>
  </si>
  <si>
    <t>Matavimo taškas (įveskite srautą ir slėgio skirtumą)</t>
  </si>
  <si>
    <t>Galingumo didinimo apskaičiavimas:</t>
  </si>
  <si>
    <t>Didžiausias galingumo padidinimas:</t>
  </si>
  <si>
    <t>Įveskite norimą galingumo padidinimo vertę:</t>
  </si>
  <si>
    <t>Galingumo padidinimo vertė [%]:</t>
  </si>
  <si>
    <t>Veikimo taškas galingumo padidinimo atveju:</t>
  </si>
  <si>
    <t>Nustatyta galingumo padidinimo vertė nebuvo pasiekta</t>
  </si>
  <si>
    <t>Pasirinkite klimato juostą (miestas)</t>
  </si>
  <si>
    <t>Pastaba: į pirmiau nurodytas vertes įskaičiuota ir prietaiso elektronika.</t>
  </si>
  <si>
    <t>Šilumos atgavimo elemento efektyvumo koeficientas (EN 308)</t>
  </si>
  <si>
    <t>Ventiliatorių ir elektronikos įtaisų elektros sąnaudos</t>
  </si>
  <si>
    <t>Tiekiamo oro temperatūros apribojimas</t>
  </si>
  <si>
    <t>Apribota</t>
  </si>
  <si>
    <t>Neribojama</t>
  </si>
  <si>
    <t>Pageidaujama tiekiamo oro temperatūra</t>
  </si>
  <si>
    <t>Mažiausia išmatuojama lauko oro temperatūra</t>
  </si>
  <si>
    <t>Reikiama pašildymo radiatoriaus įsiurbimo galia</t>
  </si>
  <si>
    <t>Didžiausia pašildymo radiatoriaus galia</t>
  </si>
  <si>
    <t xml:space="preserve"> Väljatõmbeõhk</t>
  </si>
  <si>
    <t xml:space="preserve"> Izplūstošais gaiss</t>
  </si>
  <si>
    <t xml:space="preserve"> Ištraukiamas oras</t>
  </si>
  <si>
    <t>Huom. Yllä olevia arvoja käytetään SEC-laskennassa, vaikka hyvin pieni poikkeama mitoituspisteen laskentaohjelman arvoissa voi olla</t>
  </si>
  <si>
    <t>Airfi laskentaohjelma_6.0.xlsx</t>
  </si>
  <si>
    <t>Airfi laskentaohjelma_6.1.xlsx</t>
  </si>
  <si>
    <t>Syöttö</t>
  </si>
  <si>
    <t>Laskentaan</t>
  </si>
  <si>
    <t>Tehty Pulkkasen mukaiset muutokset, esim. kielilisäykset, uudet kaupungit ja muotoilumuutoksia. Ks. Pulkkasen sähköposti ja Excel-liite muutostoiveista. Korjattu dm³/s / m³/h laskentavirhe kennon hyötysuhteen laskennassa (syöttöarvo muuttuu kun kieli vaihtuu).</t>
  </si>
  <si>
    <t>(A ) Konetyyppi</t>
  </si>
  <si>
    <t>( BBB ) Konekoko</t>
  </si>
  <si>
    <t>005, 500dm³/s…1800m³/h   (Kone: Airfi Model C5 Electric, 230VAC 50Hz 16A, max ottoteho 2 kW  /  Airfi Model C5 Water, 230VAC 50Hz 16A, max ottoteho 2 kW )</t>
  </si>
  <si>
    <t>0xx, xxxdm³/s…xxxxm³/h (Future version)</t>
  </si>
  <si>
    <r>
      <t>1 = R = oikea (jäteilma oikeassa reunassa huoltosuunnasta katsoen)</t>
    </r>
    <r>
      <rPr>
        <u/>
        <sz val="11"/>
        <color theme="1"/>
        <rFont val="Calibri"/>
        <family val="2"/>
        <scheme val="minor"/>
      </rPr>
      <t>, Vakiotoimitus, jos ei muuta pyydetty</t>
    </r>
  </si>
  <si>
    <t>2 = L  = vasen (jäteilma vasemmassa reunassa huoltosuunnasta katsoen)</t>
  </si>
  <si>
    <t>5 = ISO ePM10 50% (M5 taso)</t>
  </si>
  <si>
    <t>6 = ISO ePM1 65%,  (Vakiotoimitus C-koneissa, jos ei valittu muuta) (aiempi luokitus F7 taso)</t>
  </si>
  <si>
    <t>7 = ISO ePM1 85% (F8/F9 taso)</t>
  </si>
  <si>
    <t>5 = ISO ePM10 50%,  (Vakiotoimitus C-koneissa, jos ei valittu muuta) (aiempi luokitus M5-taso)</t>
  </si>
  <si>
    <t>6 = ISO ePM1 65% (F7-taso)</t>
  </si>
  <si>
    <r>
      <t xml:space="preserve">61 = Water-  soveltuu esim. 50/30 vedelle (mitoita ohjelmassa), </t>
    </r>
    <r>
      <rPr>
        <u/>
        <sz val="11"/>
        <color theme="1"/>
        <rFont val="Calibri"/>
        <family val="2"/>
        <scheme val="minor"/>
      </rPr>
      <t>Vakiotoimitus mallissa C5 Water jos ei muuta pyydetty</t>
    </r>
  </si>
  <si>
    <t>1 = Electric, Vakiona valitun teholuokan mukaiset varusteet (Huom! Electric malleissa jälkilämmityksen oma sähkönsyöttö)</t>
  </si>
  <si>
    <r>
      <t>0 = ei sisäistä jäähdytystä.</t>
    </r>
    <r>
      <rPr>
        <u/>
        <sz val="11"/>
        <color theme="1"/>
        <rFont val="Calibri"/>
        <family val="2"/>
        <scheme val="minor"/>
      </rPr>
      <t xml:space="preserve"> Vakiotoimitus jos ei muuta pyydetty.</t>
    </r>
    <r>
      <rPr>
        <sz val="10"/>
        <color theme="1"/>
        <rFont val="Century Gothic"/>
        <family val="2"/>
      </rPr>
      <t xml:space="preserve"> </t>
    </r>
  </si>
  <si>
    <t>7 = Jäähdytys suorahöyrystyspatteri DX-1,   (mitoita ohjelmassa), toimitus sisältää patterin, ei toimilaitteita</t>
  </si>
  <si>
    <r>
      <t xml:space="preserve">0 = Ei jäähdytyksen toimilaitteita tai venttiileitä. </t>
    </r>
    <r>
      <rPr>
        <u/>
        <sz val="11"/>
        <color theme="1"/>
        <rFont val="Calibri"/>
        <family val="2"/>
        <scheme val="minor"/>
      </rPr>
      <t>Vakiotoimitus jos ei muuta pyydetty.</t>
    </r>
  </si>
  <si>
    <r>
      <t xml:space="preserve">0 = Ei suodatinvahteja. </t>
    </r>
    <r>
      <rPr>
        <u/>
        <sz val="11"/>
        <color theme="1"/>
        <rFont val="Calibri"/>
        <family val="2"/>
        <scheme val="minor"/>
      </rPr>
      <t xml:space="preserve"> Vakiotoimitus jos ei muuta pyydetty.</t>
    </r>
  </si>
  <si>
    <t xml:space="preserve">1 = Suodatinvahti tulo </t>
  </si>
  <si>
    <t>2 = Suodatinvahti poisto</t>
  </si>
  <si>
    <t>3 = Suodatinvahti tulo ja poisto</t>
  </si>
  <si>
    <r>
      <t xml:space="preserve">0 = Ei vakiopainesäätöä. </t>
    </r>
    <r>
      <rPr>
        <u/>
        <sz val="11"/>
        <color theme="1"/>
        <rFont val="Calibri"/>
        <family val="2"/>
        <scheme val="minor"/>
      </rPr>
      <t>Vakiotoimitus jos ei muuta pyydetty.</t>
    </r>
  </si>
  <si>
    <t>1 = Vakiopainesäätö tulo ja poisto (vakiopainesäädön mittauspisteet letkutetaan työmaalla)</t>
  </si>
  <si>
    <r>
      <rPr>
        <sz val="11"/>
        <rFont val="Calibri"/>
        <family val="2"/>
        <scheme val="minor"/>
      </rPr>
      <t>0 = Ei ilmamäärämittausta</t>
    </r>
    <r>
      <rPr>
        <u/>
        <sz val="11"/>
        <rFont val="Calibri"/>
        <family val="2"/>
        <scheme val="minor"/>
      </rPr>
      <t xml:space="preserve">. Vakiotoimitus jos ei muuta pyydetty. </t>
    </r>
  </si>
  <si>
    <t>2 = Sulkupellit sekä jousipalautteiset toimilaitteet (1kpl Ulkoilma + 1 kpl jäteilma), valmiiksi tehtaalla sähköisesti kytketty . Eristetyt säleet , CAT 4 luokka.</t>
  </si>
  <si>
    <t>3 = Sulkupelti sekä jousipalautteinen toimilaite Ulkoilma (1kpl) , valmiiksi tehtaalla sähköisesti kytketty . Eristetyt säleet , CAT 4 luokka.</t>
  </si>
  <si>
    <t>4 = Sulkupelti sekä jousipalautteinen toimilaite Jäteilma (1kpl), valmiiksi tehtaalla sähköisesti kytketty . Eristetyt säleet , CAT 4 luokka.</t>
  </si>
  <si>
    <t>5 = Sulkupellit (1kpl Ulkoilma + 1 kpl jäteilma), EI TOIMILAITTEITA.  CAT 4 luokka.</t>
  </si>
  <si>
    <t>6 = Sulkupelti Ulkoilma (1kpl), EI TOIMILAITETTA.  CAT 4 luokka.</t>
  </si>
  <si>
    <t>7 = Sulkupelti Jäteilma (1kpl), EI TOIMILAITETTA. CAT 4 luokka.</t>
  </si>
  <si>
    <r>
      <t xml:space="preserve">0 = Ei sensoreita. </t>
    </r>
    <r>
      <rPr>
        <u/>
        <sz val="11"/>
        <color theme="1"/>
        <rFont val="Calibri"/>
        <family val="2"/>
        <scheme val="minor"/>
      </rPr>
      <t>Vakiotoimitus jos ei muuta pyydetty.</t>
    </r>
    <r>
      <rPr>
        <sz val="10"/>
        <color theme="1"/>
        <rFont val="Century Gothic"/>
        <family val="2"/>
      </rPr>
      <t xml:space="preserve"> </t>
    </r>
  </si>
  <si>
    <t>1 = RH - lähetin</t>
  </si>
  <si>
    <t>2 = CO2 - lähetin</t>
  </si>
  <si>
    <t>3 = RH + CO2 - lähetin</t>
  </si>
  <si>
    <t>2 = Rivilitinversio, toimilaitteet johdotettu riviliittimelle. Sisältää mm. 5 kpl lämpötila-anturi NTC, ja vesimallissa lisäksi 1 kpl jäätymissuoja-anturi NTC. Sekä koodiavaimen valintojen mukaisesti lähettimet. Toimitus ei sisällä ohjaussäätimiä.</t>
  </si>
  <si>
    <t>( P ) Energiamittaus **</t>
  </si>
  <si>
    <t>1 = Energiamittari käyttösähkö (puhallinenergia ja automaatio)</t>
  </si>
  <si>
    <t xml:space="preserve">( Q ) Ohjaus1- toimitus irrallaan, asennus työmaalla </t>
  </si>
  <si>
    <t>( RR ) Ohjaus2- toimitus irrallaan, asennus työmaalla</t>
  </si>
  <si>
    <t>01 =Uno White</t>
  </si>
  <si>
    <t>03 =Sento White</t>
  </si>
  <si>
    <t>04 = Sento Black</t>
  </si>
  <si>
    <t xml:space="preserve">07 =Mille Wifi </t>
  </si>
  <si>
    <t>( S ) Lisäinfo</t>
  </si>
  <si>
    <t>Airfi: program doborowy urządzeń wentylacyjnych</t>
  </si>
  <si>
    <t>Nagrzewnica wodna</t>
  </si>
  <si>
    <t>Powietrze nawiewane</t>
  </si>
  <si>
    <t>Powietrze wywiewane</t>
  </si>
  <si>
    <t>Obliczenie zapasu wydajności jednostki:</t>
  </si>
  <si>
    <t>Maksymalny zapas wydajności:</t>
  </si>
  <si>
    <t>Wprowadź żądaną wartość zapasu wydajności:</t>
  </si>
  <si>
    <t>Wartość zapasu wydajności [%]:</t>
  </si>
  <si>
    <t>Wentylator nawiewny:</t>
  </si>
  <si>
    <t>Moc wentylatora:</t>
  </si>
  <si>
    <t>Uwaga: Powyższe wartości obejmują również zużycie energii przez elektronikę urządzenia.</t>
  </si>
  <si>
    <t>Punkt pracy w przypadku użycia programu TURBO:</t>
  </si>
  <si>
    <t>Nawiew</t>
  </si>
  <si>
    <t>Czerpnia</t>
  </si>
  <si>
    <t>Wywiew</t>
  </si>
  <si>
    <t>Wyrzutnia</t>
  </si>
  <si>
    <t>Bypass okapu kuchennego</t>
  </si>
  <si>
    <t>Poziom mocy akustycznej generowany do otoczenia</t>
  </si>
  <si>
    <t>Przez obudowę</t>
  </si>
  <si>
    <t>Silnik i układ sterowania</t>
  </si>
  <si>
    <t>Zimny</t>
  </si>
  <si>
    <t xml:space="preserve">Umiarkowany </t>
  </si>
  <si>
    <t>Ciepły</t>
  </si>
  <si>
    <t>Dobór nagrzewnicy wodnej</t>
  </si>
  <si>
    <t>Temperatura powietrza na wejściu</t>
  </si>
  <si>
    <t>Temperatura powietrza na wyjściu</t>
  </si>
  <si>
    <t xml:space="preserve">Dobór nagrzewnicy w zależności od temperatury wody zasilającej </t>
  </si>
  <si>
    <t xml:space="preserve">Dobór nagrzewnicy w zależności od temperatury wody powrotnej </t>
  </si>
  <si>
    <t>Spadek ciśnienia po stronie cieczy w nagrzewnicy</t>
  </si>
  <si>
    <t>Przepływ powietrza nawiewanego przez wymiennik odzysku ciepła</t>
  </si>
  <si>
    <t>Przepływ powietrza wywiewanego przez wymiennik odzysku ciepła</t>
  </si>
  <si>
    <t>Stosunek przepływu powietrza nawiewanego i wywiewanego przez wymiennik odzysku ciepła</t>
  </si>
  <si>
    <t>Dodatkowy przepływ powietrza wywiewanego trafiający na wymiennik odzysku ciepła</t>
  </si>
  <si>
    <t>Stosunek przepływów powietrza nawiewanego i wywiewanego dla całego systemu wentylacyjnego</t>
  </si>
  <si>
    <t>Sprawność wymiennika odzysku ciepła (EN 308)</t>
  </si>
  <si>
    <t>Wybierz strefę klimatyczną (miasto)</t>
  </si>
  <si>
    <t>Minimalna temperatura powietrza wyrzucanego</t>
  </si>
  <si>
    <t>Korjattu Airfi:lta 25.9.2024 saadun kommenttiexcelin perusteella (37/152 korjattua --&gt; 25% pielessä)</t>
  </si>
  <si>
    <t>Lisätty tilaajan 3.11.2023 antamat muutostoiveet (Kielivalinnan vaikutus HS-laskentaan, tilavuusvirran syötön yksiköihin ja tulostuksen teksteihin + pieniä muita korjauksia)</t>
  </si>
  <si>
    <t>C5</t>
  </si>
  <si>
    <t>4-8V</t>
  </si>
  <si>
    <t>8V - 10V</t>
  </si>
  <si>
    <t>ÄÄNI</t>
  </si>
  <si>
    <t>TILAVUUSVIRTA</t>
  </si>
  <si>
    <t>TEHO</t>
  </si>
  <si>
    <t>2-8V</t>
  </si>
  <si>
    <t>** C-series **</t>
  </si>
  <si>
    <t>( D ) Koneen Automatiikka</t>
  </si>
  <si>
    <t>( E ) Suodatus TULO</t>
  </si>
  <si>
    <t>( F ) Suodatus POISTO</t>
  </si>
  <si>
    <t xml:space="preserve">( GG ) Jälkilämmityspatteri, sisäinen </t>
  </si>
  <si>
    <t>( H ) Jälkilämmityksen ohjaus, sisäinen</t>
  </si>
  <si>
    <t>( I ) Jäähdytyspatteri, sisäinen</t>
  </si>
  <si>
    <t>( J ) Jäähdytyksen ohjaus, sisäinen jäähdytyspatteri</t>
  </si>
  <si>
    <t>( K ) Suodatinvahti*</t>
  </si>
  <si>
    <t>( L ) Vakiopainesäätö*</t>
  </si>
  <si>
    <t xml:space="preserve">( M ) Ilmamäärämittaus* </t>
  </si>
  <si>
    <t>( N ) Jousipalautteiset sulkupellit</t>
  </si>
  <si>
    <t>( O ) Mittausanturit, sisäinen *</t>
  </si>
  <si>
    <t>62 = Water- matalille lämpötiloille, esim. 35/25 - 35/30 (mitoita ohjelmassa)</t>
  </si>
  <si>
    <t xml:space="preserve">5 = Toim.alk.Q2/2025, Water , Jälkilämmityksen 2-tieventtiili ja toimilaite - patterin 50/30 mukaan (toimitus irrallaan, kytkentä ja asennus PU). Sähköisesti Plug&amp;Play valmis. </t>
  </si>
  <si>
    <r>
      <t xml:space="preserve">1 = Jäähdytys neste, patteriteho 1 ,esim. 7/12 - 10/15 (mitoita ohjelmassa). </t>
    </r>
    <r>
      <rPr>
        <u/>
        <sz val="11"/>
        <color theme="1"/>
        <rFont val="Calibri"/>
        <family val="2"/>
        <scheme val="minor"/>
      </rPr>
      <t>Vakiotoimitus C-sarjassa jos valittu jäähdytyspatteri ja ei muuta pyydetty</t>
    </r>
  </si>
  <si>
    <t>005</t>
  </si>
  <si>
    <t>0xx</t>
  </si>
  <si>
    <t>R</t>
  </si>
  <si>
    <t>00</t>
  </si>
  <si>
    <t>KOODI</t>
  </si>
  <si>
    <t>L</t>
  </si>
  <si>
    <t>Vaihtoehtovalikot 1</t>
  </si>
  <si>
    <t>Vaihtoehtovalikot 2</t>
  </si>
  <si>
    <t>GG valinta sähkö</t>
  </si>
  <si>
    <t>GG valinta 61</t>
  </si>
  <si>
    <t>Vaihtoehtovalikot 3</t>
  </si>
  <si>
    <t>GG valinta 62</t>
  </si>
  <si>
    <t>Huom. Vaihtuu valinnan mukaan</t>
  </si>
  <si>
    <t>I valinta 1</t>
  </si>
  <si>
    <t>I valinta 0,6 tai 7</t>
  </si>
  <si>
    <t xml:space="preserve"> ** C series future version **</t>
  </si>
  <si>
    <t>230 V, 50 Hz, max 2 kW</t>
  </si>
  <si>
    <t>Ilman
massavirta</t>
  </si>
  <si>
    <t>Kenno (mitattu)</t>
  </si>
  <si>
    <t>Kenno (valmistajalta)</t>
  </si>
  <si>
    <t>Kone (Airfi C5)</t>
  </si>
  <si>
    <t>Laskentaohjelmaan</t>
  </si>
  <si>
    <t>Recutech ohjelmasta</t>
  </si>
  <si>
    <t>EHDOTUS</t>
  </si>
  <si>
    <t xml:space="preserve">alla kuvakaappaukset että jää jälki mihin perustuu </t>
  </si>
  <si>
    <t>ZENNER  -  Mitattu tuloilman lämpötilahyötysuhde 1:1</t>
  </si>
  <si>
    <t>Lämmöntalteenottokennon hyötysuhde (EN308)*</t>
  </si>
  <si>
    <t>Kenno EN308</t>
  </si>
  <si>
    <t>* Komponenttitoimittajan ilmoittama EN308-arvo</t>
  </si>
  <si>
    <t>Ehdot,  ei voi laskea ilmavirroille alle   200 dm³/s tätä konetta C5</t>
  </si>
  <si>
    <t>Ehdot,  ei voi laskea yli maksimikäyrän tätä konetta C5</t>
  </si>
  <si>
    <t>Ehdot, ns Paine-ero tulo --- ei saa laittaa arvoksi yli 500 Pa  tulopuolelle (tehostuskäyrä voi laskea vapaasti)</t>
  </si>
  <si>
    <t>Ehdot, ns Paine-ero--- ei saa laittaa arvoksi yli 500 Pa  poistopuolelle (tehostuskäyrä voi laskea vapaasti)</t>
  </si>
  <si>
    <t>Airfi: C-sarjan ilmanvaihtokoneen valintaohjelma</t>
  </si>
  <si>
    <t>Airfi: C series air handling unit selection program</t>
  </si>
  <si>
    <t>Valitse malli erillisellä välilehdellä</t>
  </si>
  <si>
    <t>Toimintapisteen tarkistus:</t>
  </si>
  <si>
    <t>Onko ohjausjännite alle 10 V</t>
  </si>
  <si>
    <t>Onko ohjausjännite yli 2 V</t>
  </si>
  <si>
    <t>Onko paine alle 500 Pa</t>
  </si>
  <si>
    <t>Onko tilavuusvirta yli minimitilavuusvirran?</t>
  </si>
  <si>
    <t>Vanha tarkastus</t>
  </si>
  <si>
    <t>Onko tilavuusvirta alle 10 V verkkokäyrän</t>
  </si>
  <si>
    <t>Kaikki kunnossa?</t>
  </si>
  <si>
    <t>Rajoitus huomioitu</t>
  </si>
  <si>
    <t>W vähennetty idle</t>
  </si>
  <si>
    <t>W vähennetty idel</t>
  </si>
  <si>
    <t>W (huom. oli mukana mittaustuloksissa)</t>
  </si>
  <si>
    <t>Airfi: C-sarjan koneiden laitekoodin valinta</t>
  </si>
  <si>
    <t>Valitse vaihtoehto jokaisesta alla olevasta liukuvalikosta</t>
  </si>
  <si>
    <t>Spektrikorjaukset (verkkokäyrän mukaan valinta)</t>
  </si>
  <si>
    <t>Lähin</t>
  </si>
  <si>
    <t>Mitattu</t>
  </si>
  <si>
    <t>Laskuri</t>
  </si>
  <si>
    <t>LWAtot</t>
  </si>
  <si>
    <t>Ero</t>
  </si>
  <si>
    <t>Airfi C5-koneen laskentaohjelman validointipisteitä</t>
  </si>
  <si>
    <t>Laskentaohjelmaversio 7.0 beta</t>
  </si>
  <si>
    <t>24.10.2024 / JK</t>
  </si>
  <si>
    <t>25.10.2024 (JU+JK), vertailuilmavirran kennon arvo</t>
  </si>
  <si>
    <t>7.0 beta 1</t>
  </si>
  <si>
    <t>Airfi laskentaohjelma_v7.0 beta 1.xlsx</t>
  </si>
  <si>
    <r>
      <t xml:space="preserve">Korjattu puolankielistä sanastoa kommenttiexcelin perusteella (25.9.2024 saatu). </t>
    </r>
    <r>
      <rPr>
        <b/>
        <sz val="9"/>
        <color theme="1"/>
        <rFont val="Century Gothic"/>
        <family val="2"/>
      </rPr>
      <t>Lisätty alustava C-sarjan laskentaohjelma + koodiavain.</t>
    </r>
    <r>
      <rPr>
        <sz val="9"/>
        <color theme="1"/>
        <rFont val="Century Gothic"/>
        <family val="2"/>
      </rPr>
      <t xml:space="preserve"> Palautettu alustavana kommenteille, ei vielä kaikkia ominaisuuksia eikä patterimitoituksia tai SFPint-laskentaa. Korjattu Model 350 SFPint-laskennan hyötysuhdearvo (referenssi ilmavirran EN 308)</t>
    </r>
  </si>
  <si>
    <t>Valinnat</t>
  </si>
  <si>
    <t>H</t>
  </si>
  <si>
    <t>I</t>
  </si>
  <si>
    <t>J</t>
  </si>
  <si>
    <t>M</t>
  </si>
  <si>
    <t>N</t>
  </si>
  <si>
    <t>O</t>
  </si>
  <si>
    <t>Q</t>
  </si>
  <si>
    <t>S</t>
  </si>
  <si>
    <t>Suodatin</t>
  </si>
  <si>
    <t>Kenno</t>
  </si>
  <si>
    <t>Muu reitti</t>
  </si>
  <si>
    <t>Eri komponenttien painehäviöt</t>
  </si>
  <si>
    <t>Potenssi</t>
  </si>
  <si>
    <t>2. aste</t>
  </si>
  <si>
    <t>Puhallin</t>
  </si>
  <si>
    <t>Puhaltimen paine-eron laskenta</t>
  </si>
  <si>
    <t>Suodatinvaihtoehdot</t>
  </si>
  <si>
    <t>ISO ePM10 50% (M5)</t>
  </si>
  <si>
    <t>ISO ePM1 65% (F7)</t>
  </si>
  <si>
    <t>ISO ePM1 85% (F8/F9)</t>
  </si>
  <si>
    <t>7.0 beta 2</t>
  </si>
  <si>
    <t>Post heating water</t>
  </si>
  <si>
    <t>D valinta 1</t>
  </si>
  <si>
    <t>D valinta 2</t>
  </si>
  <si>
    <t>Perusrakenne:</t>
  </si>
  <si>
    <t>PERUSRAKENNE:</t>
  </si>
  <si>
    <t>SUODATUS:</t>
  </si>
  <si>
    <t>PATTERIT:</t>
  </si>
  <si>
    <t>TARVIKKEET:</t>
  </si>
  <si>
    <t>OHJAUKSET:</t>
  </si>
  <si>
    <t>BBB</t>
  </si>
  <si>
    <t>GG</t>
  </si>
  <si>
    <t>RR</t>
  </si>
  <si>
    <t>Koodiavain:</t>
  </si>
  <si>
    <t>Valinta:</t>
  </si>
  <si>
    <t>Suodatus:</t>
  </si>
  <si>
    <t>Patterit:</t>
  </si>
  <si>
    <t>Tarvikkeet:</t>
  </si>
  <si>
    <t>Ohjaukset:</t>
  </si>
  <si>
    <t>Koodi:</t>
  </si>
  <si>
    <t>Sisältökuvaus:</t>
  </si>
  <si>
    <t>Suodattimen painehäviöt</t>
  </si>
  <si>
    <t>Suodattimia kolme vaihtoehtoehtoa, hienoin (F8), keskimmäinen (F7) ja karkein (M5)</t>
  </si>
  <si>
    <t>Mitattu tulopuoli keskimmäisellä (F7)</t>
  </si>
  <si>
    <t>ePM 65% F7</t>
  </si>
  <si>
    <t>qV korj</t>
  </si>
  <si>
    <t>ePM 85% F8</t>
  </si>
  <si>
    <t>ePM10 50% M5</t>
  </si>
  <si>
    <t>Valintaohjelmassa valittu suodatin</t>
  </si>
  <si>
    <r>
      <t>y = Ax</t>
    </r>
    <r>
      <rPr>
        <vertAlign val="superscript"/>
        <sz val="10"/>
        <color theme="1"/>
        <rFont val="Century Gothic"/>
        <family val="2"/>
      </rPr>
      <t>B</t>
    </r>
  </si>
  <si>
    <t>Toimintapiste:</t>
  </si>
  <si>
    <t>F8</t>
  </si>
  <si>
    <t>F7</t>
  </si>
  <si>
    <t>M5</t>
  </si>
  <si>
    <t>Muutos</t>
  </si>
  <si>
    <t>Puhallinkäyrät:</t>
  </si>
  <si>
    <t>Alkuperäinen suodatin (F7)</t>
  </si>
  <si>
    <t>Hieno suodatin F8</t>
  </si>
  <si>
    <t>Karkea suodatin M5</t>
  </si>
  <si>
    <t>Valittu puhallinkäyrä</t>
  </si>
  <si>
    <t>Alkuperäinen suodatin (M5)</t>
  </si>
  <si>
    <t>Hienoin suodatin F8</t>
  </si>
  <si>
    <t>Hieno suodatin F7</t>
  </si>
  <si>
    <t>Tarkastuksia</t>
  </si>
  <si>
    <t>Mittaus F7</t>
  </si>
  <si>
    <t>Hieno F8, lask</t>
  </si>
  <si>
    <t>F8 suodatin</t>
  </si>
  <si>
    <t>Airfi laskentaohjelma_v7.0 beta 2.xlsx</t>
  </si>
  <si>
    <t xml:space="preserve">Valitut suodattimet: </t>
  </si>
  <si>
    <t xml:space="preserve">Tulo: </t>
  </si>
  <si>
    <t xml:space="preserve">Poisto: </t>
  </si>
  <si>
    <t>Mitoituspiste:</t>
  </si>
  <si>
    <t>EN 1314-7</t>
  </si>
  <si>
    <t>Nimellisilmavirta</t>
  </si>
  <si>
    <t>Selected model:</t>
  </si>
  <si>
    <t>Vald modell:</t>
  </si>
  <si>
    <t>Ausgewähltes Modell:</t>
  </si>
  <si>
    <t>Wybrany model:</t>
  </si>
  <si>
    <t>Valitud mudel:</t>
  </si>
  <si>
    <t>Pasirinktas modelis:</t>
  </si>
  <si>
    <t xml:space="preserve">
Izvēlētais modelis:</t>
  </si>
  <si>
    <r>
      <t>EN 308 @ q</t>
    </r>
    <r>
      <rPr>
        <vertAlign val="subscript"/>
        <sz val="10"/>
        <color theme="1"/>
        <rFont val="Century Gothic"/>
        <family val="2"/>
      </rPr>
      <t>nom</t>
    </r>
  </si>
  <si>
    <r>
      <t>LTO-kojeen nimellisilmavirta (q</t>
    </r>
    <r>
      <rPr>
        <vertAlign val="subscript"/>
        <sz val="10"/>
        <color theme="1"/>
        <rFont val="Century Gothic"/>
        <family val="2"/>
      </rPr>
      <t>nom</t>
    </r>
    <r>
      <rPr>
        <sz val="10"/>
        <color theme="1"/>
        <rFont val="Century Gothic"/>
        <family val="2"/>
      </rPr>
      <t>)</t>
    </r>
  </si>
  <si>
    <t>Korjaus, jos valittu  M5</t>
  </si>
  <si>
    <t>2 = Jäähdytys neste , patteriteho 2. esim. 10/18 -kaukokylmä/maajärjestelmä   (mitoita ohjelmassa)</t>
  </si>
  <si>
    <t>JK+JU</t>
  </si>
  <si>
    <t>Tehty Pulkkasen viestin mukaiset muutokset (excel + sähköposti 21.11.2024): mm. koodiavaimen jaksottelu ja kooditulostus viereen ja muita pieniä muutoksia koodiavaimen teksteihin. Poistettu C-sarjan SEC-laskenta (puhelinkeskustelu 26.11.2024). Lisätty SFPint-laskenta ja suodattimen vaikutus painehäviöihin. 350-kojeen SFP_int_limit -laskenta päivitetty (kiinteä arvot).</t>
  </si>
  <si>
    <t>2 = C = Commercial AHU, LTO-Vastavirtasiirrin</t>
  </si>
  <si>
    <r>
      <t xml:space="preserve">00 = Oletus (ei valittu),  </t>
    </r>
    <r>
      <rPr>
        <u/>
        <sz val="11"/>
        <color theme="1"/>
        <rFont val="Calibri"/>
        <family val="2"/>
        <scheme val="minor"/>
      </rPr>
      <t>Vakiotoimitus jos ei muuta pyydetty)</t>
    </r>
  </si>
  <si>
    <t>8 = Mille Wire (vakiona toimituksessa C-sarjan koneissa 1 kpl)</t>
  </si>
  <si>
    <t>2 = Lisäaikapainike  (asennus ja johdotus SU)</t>
  </si>
  <si>
    <r>
      <t xml:space="preserve">9 = </t>
    </r>
    <r>
      <rPr>
        <u/>
        <sz val="11"/>
        <color theme="1"/>
        <rFont val="Calibri"/>
        <family val="2"/>
        <scheme val="minor"/>
      </rPr>
      <t>Toimitus listauksen mukaisesti</t>
    </r>
  </si>
  <si>
    <t>7.0 beta 3</t>
  </si>
  <si>
    <t>Lisätty koodiavaimen valintatulostus C-series -välilehdelle. C-sarjan kohde- ja suunnittelijan syöte ainoastaan C-selectioniin, josta haetaan C-series -välilehdelle.</t>
  </si>
  <si>
    <t>Airfi laskentaohjelma_v7.0 beta 3.xlsx</t>
  </si>
  <si>
    <t>7.0 beta 4</t>
  </si>
  <si>
    <t>Airfi laskentaohjelma_v7.0 beta 4.xlsx</t>
  </si>
  <si>
    <t>7.1.2025 sähköpostin mukaisesti</t>
  </si>
  <si>
    <t>riviliitinvalinta pakottaa tähän 0</t>
  </si>
  <si>
    <t>Sähköposti 7.1.2025</t>
  </si>
  <si>
    <t>Lisätty patterimitoitus C-sarjaan, muokattu koodiavainta 7.1.2025 mailin mukaisesti (riviliitinvalinnan pakotukset koodin kohtien O, Q ja RR valintoihin).</t>
  </si>
  <si>
    <r>
      <rPr>
        <b/>
        <sz val="15"/>
        <color rgb="FF000000"/>
        <rFont val="Arial"/>
        <family val="2"/>
      </rPr>
      <t>TARJOUSNUMEROMME 123718-TK</t>
    </r>
  </si>
  <si>
    <r>
      <rPr>
        <sz val="9"/>
        <color rgb="FF000000"/>
        <rFont val="Arial"/>
        <family val="2"/>
      </rPr>
      <t>RIVI</t>
    </r>
  </si>
  <si>
    <t>Mitoituspiste</t>
  </si>
  <si>
    <r>
      <rPr>
        <sz val="9"/>
        <color rgb="FF000000"/>
        <rFont val="Arial"/>
        <family val="2"/>
      </rPr>
      <t>LUKUMÄÄRÄ</t>
    </r>
  </si>
  <si>
    <r>
      <rPr>
        <sz val="9"/>
        <color rgb="FF000000"/>
        <rFont val="Arial"/>
        <family val="2"/>
      </rPr>
      <t>KOJE</t>
    </r>
  </si>
  <si>
    <t>Tiheys</t>
  </si>
  <si>
    <r>
      <t>c</t>
    </r>
    <r>
      <rPr>
        <vertAlign val="subscript"/>
        <sz val="11"/>
        <color rgb="FF000000"/>
        <rFont val="Calibri"/>
        <family val="2"/>
      </rPr>
      <t>p</t>
    </r>
  </si>
  <si>
    <r>
      <rPr>
        <sz val="9"/>
        <color rgb="FF000000"/>
        <rFont val="Arial"/>
        <family val="2"/>
      </rPr>
      <t>KOJENO</t>
    </r>
  </si>
  <si>
    <r>
      <t>T</t>
    </r>
    <r>
      <rPr>
        <vertAlign val="subscript"/>
        <sz val="11"/>
        <color rgb="FF000000"/>
        <rFont val="Calibri"/>
        <family val="2"/>
      </rPr>
      <t>LTO</t>
    </r>
  </si>
  <si>
    <t>kg/m³</t>
  </si>
  <si>
    <t>J/kgK</t>
  </si>
  <si>
    <r>
      <rPr>
        <sz val="9"/>
        <color rgb="FF000000"/>
        <rFont val="Arial"/>
        <family val="2"/>
      </rPr>
      <t>TYYPPI</t>
    </r>
  </si>
  <si>
    <r>
      <t>T</t>
    </r>
    <r>
      <rPr>
        <vertAlign val="subscript"/>
        <sz val="11"/>
        <color rgb="FF000000"/>
        <rFont val="Calibri"/>
        <family val="2"/>
      </rPr>
      <t>TULO</t>
    </r>
  </si>
  <si>
    <r>
      <rPr>
        <sz val="9"/>
        <color rgb="FF000000"/>
        <rFont val="Arial"/>
        <family val="2"/>
      </rPr>
      <t>KÄYTTÖ</t>
    </r>
  </si>
  <si>
    <r>
      <rPr>
        <sz val="9"/>
        <color rgb="FF000000"/>
        <rFont val="Arial"/>
        <family val="2"/>
      </rPr>
      <t>LÄMM</t>
    </r>
  </si>
  <si>
    <r>
      <rPr>
        <sz val="9"/>
        <color rgb="FF000000"/>
        <rFont val="Arial"/>
        <family val="2"/>
      </rPr>
      <t>KÄTISYYS</t>
    </r>
  </si>
  <si>
    <t>Tavoitelämpötilat lämmitysvedelle</t>
  </si>
  <si>
    <r>
      <rPr>
        <sz val="9"/>
        <color rgb="FF000000"/>
        <rFont val="Arial"/>
        <family val="2"/>
      </rPr>
      <t>ASENTO</t>
    </r>
  </si>
  <si>
    <r>
      <t>T</t>
    </r>
    <r>
      <rPr>
        <vertAlign val="subscript"/>
        <sz val="11"/>
        <color rgb="FF000000"/>
        <rFont val="Calibri"/>
        <family val="2"/>
      </rPr>
      <t>MENOVESI</t>
    </r>
  </si>
  <si>
    <r>
      <rPr>
        <sz val="9"/>
        <color rgb="FF000000"/>
        <rFont val="Arial"/>
        <family val="2"/>
      </rPr>
      <t>LAMELLIMATERIAALI</t>
    </r>
  </si>
  <si>
    <r>
      <rPr>
        <sz val="9"/>
        <color rgb="FF000000"/>
        <rFont val="Arial"/>
        <family val="2"/>
      </rPr>
      <t>AL</t>
    </r>
  </si>
  <si>
    <r>
      <rPr>
        <sz val="9"/>
        <color rgb="FF000000"/>
        <rFont val="Arial"/>
        <family val="2"/>
      </rPr>
      <t>CU</t>
    </r>
  </si>
  <si>
    <r>
      <t>T</t>
    </r>
    <r>
      <rPr>
        <vertAlign val="subscript"/>
        <sz val="11"/>
        <color rgb="FF000000"/>
        <rFont val="Calibri"/>
        <family val="2"/>
      </rPr>
      <t>PALUUVESI</t>
    </r>
  </si>
  <si>
    <r>
      <rPr>
        <sz val="9"/>
        <color rgb="FF000000"/>
        <rFont val="Arial"/>
        <family val="2"/>
      </rPr>
      <t>KEHYSMATERIAALI</t>
    </r>
  </si>
  <si>
    <t>dT</t>
  </si>
  <si>
    <r>
      <rPr>
        <sz val="9"/>
        <color rgb="FF000000"/>
        <rFont val="Arial"/>
        <family val="2"/>
      </rPr>
      <t>LIUOS</t>
    </r>
  </si>
  <si>
    <r>
      <rPr>
        <sz val="9"/>
        <color rgb="FF000000"/>
        <rFont val="Arial"/>
        <family val="2"/>
      </rPr>
      <t>Vesi</t>
    </r>
  </si>
  <si>
    <r>
      <rPr>
        <sz val="9"/>
        <color rgb="FF000000"/>
        <rFont val="Arial"/>
        <family val="2"/>
      </rPr>
      <t>PITOISUUS</t>
    </r>
  </si>
  <si>
    <r>
      <rPr>
        <sz val="9"/>
        <color rgb="FF000000"/>
        <rFont val="Arial"/>
        <family val="2"/>
      </rPr>
      <t>%</t>
    </r>
  </si>
  <si>
    <t>Tehontarve</t>
  </si>
  <si>
    <t>kW</t>
  </si>
  <si>
    <t>Tarvittava dT</t>
  </si>
  <si>
    <r>
      <rPr>
        <sz val="9"/>
        <color rgb="FF000000"/>
        <rFont val="Arial"/>
        <family val="2"/>
      </rPr>
      <t>OP.LEVEYS</t>
    </r>
  </si>
  <si>
    <r>
      <rPr>
        <sz val="9"/>
        <color rgb="FF000000"/>
        <rFont val="Arial"/>
        <family val="2"/>
      </rPr>
      <t>mm</t>
    </r>
  </si>
  <si>
    <r>
      <rPr>
        <sz val="9"/>
        <color rgb="FF000000"/>
        <rFont val="Arial"/>
        <family val="2"/>
      </rPr>
      <t>OP.KORKEUS</t>
    </r>
  </si>
  <si>
    <t>Mitoitus menoveden lämpötilan mukaan</t>
  </si>
  <si>
    <t>Mitoitus paluuveden lämpötilan mukaan</t>
  </si>
  <si>
    <r>
      <rPr>
        <sz val="9"/>
        <color rgb="FF000000"/>
        <rFont val="Arial"/>
        <family val="2"/>
      </rPr>
      <t>KEH.LEVEYS</t>
    </r>
  </si>
  <si>
    <r>
      <rPr>
        <sz val="9"/>
        <color rgb="FF000000"/>
        <rFont val="Arial"/>
        <family val="2"/>
      </rPr>
      <t>KEH.KORKEUS</t>
    </r>
  </si>
  <si>
    <r>
      <rPr>
        <sz val="9"/>
        <color rgb="FF000000"/>
        <rFont val="Arial"/>
        <family val="2"/>
      </rPr>
      <t>KEH.SYVYYS</t>
    </r>
  </si>
  <si>
    <r>
      <rPr>
        <sz val="9"/>
        <color rgb="FF000000"/>
        <rFont val="Arial"/>
        <family val="2"/>
      </rPr>
      <t>TEHO</t>
    </r>
  </si>
  <si>
    <r>
      <rPr>
        <sz val="9"/>
        <color rgb="FF000000"/>
        <rFont val="Arial"/>
        <family val="2"/>
      </rPr>
      <t>kW</t>
    </r>
  </si>
  <si>
    <t>Jakotukista</t>
  </si>
  <si>
    <t>kpl</t>
  </si>
  <si>
    <r>
      <rPr>
        <sz val="9"/>
        <color rgb="FF000000"/>
        <rFont val="Arial"/>
        <family val="2"/>
      </rPr>
      <t>ILMAN TILAVUUSVIRTA</t>
    </r>
  </si>
  <si>
    <r>
      <rPr>
        <sz val="9"/>
        <color rgb="FF000000"/>
        <rFont val="Arial"/>
        <family val="2"/>
      </rPr>
      <t>m3/s</t>
    </r>
  </si>
  <si>
    <t>Virtaama, jakautunut</t>
  </si>
  <si>
    <r>
      <rPr>
        <sz val="9"/>
        <color rgb="FF000000"/>
        <rFont val="Arial"/>
        <family val="2"/>
      </rPr>
      <t>ILMAN MASSAVIRTA</t>
    </r>
  </si>
  <si>
    <r>
      <rPr>
        <sz val="9"/>
        <color rgb="FF000000"/>
        <rFont val="Arial"/>
        <family val="2"/>
      </rPr>
      <t>kg/s</t>
    </r>
  </si>
  <si>
    <t>Putken sisähalkaisija</t>
  </si>
  <si>
    <t>mm</t>
  </si>
  <si>
    <r>
      <rPr>
        <sz val="9"/>
        <color rgb="FF000000"/>
        <rFont val="Arial"/>
        <family val="2"/>
      </rPr>
      <t>TULEVA ILMA</t>
    </r>
  </si>
  <si>
    <r>
      <rPr>
        <sz val="9"/>
        <color rgb="FF000000"/>
        <rFont val="Arial"/>
        <family val="2"/>
      </rPr>
      <t>oC</t>
    </r>
  </si>
  <si>
    <r>
      <rPr>
        <sz val="9"/>
        <color rgb="FF000000"/>
        <rFont val="Arial"/>
        <family val="2"/>
      </rPr>
      <t>LÄHTEVÄ ILMA</t>
    </r>
  </si>
  <si>
    <t>Reynolds-luku</t>
  </si>
  <si>
    <r>
      <rPr>
        <sz val="9"/>
        <color rgb="FF000000"/>
        <rFont val="Arial"/>
        <family val="2"/>
      </rPr>
      <t>ILMAN NOPEUS</t>
    </r>
  </si>
  <si>
    <r>
      <rPr>
        <sz val="9"/>
        <color rgb="FF000000"/>
        <rFont val="Arial"/>
        <family val="2"/>
      </rPr>
      <t>m/s</t>
    </r>
  </si>
  <si>
    <r>
      <rPr>
        <sz val="9"/>
        <color rgb="FF000000"/>
        <rFont val="Arial"/>
        <family val="2"/>
      </rPr>
      <t>ILMAN PAINEHÄVIÖ</t>
    </r>
  </si>
  <si>
    <r>
      <rPr>
        <sz val="9"/>
        <color rgb="FF000000"/>
        <rFont val="Arial"/>
        <family val="2"/>
      </rPr>
      <t>Pa</t>
    </r>
  </si>
  <si>
    <t>qW</t>
  </si>
  <si>
    <r>
      <rPr>
        <sz val="9"/>
        <color rgb="FF000000"/>
        <rFont val="Arial"/>
        <family val="2"/>
      </rPr>
      <t>TULEVA NESTE</t>
    </r>
  </si>
  <si>
    <r>
      <rPr>
        <sz val="9"/>
        <color rgb="FF000000"/>
        <rFont val="Arial"/>
        <family val="2"/>
      </rPr>
      <t>LÄHTEVÄ NESTE</t>
    </r>
  </si>
  <si>
    <r>
      <rPr>
        <sz val="9"/>
        <color rgb="FF000000"/>
        <rFont val="Arial"/>
        <family val="2"/>
      </rPr>
      <t>NESTEVIRTA</t>
    </r>
  </si>
  <si>
    <r>
      <rPr>
        <sz val="9"/>
        <color rgb="FF000000"/>
        <rFont val="Arial"/>
        <family val="2"/>
      </rPr>
      <t>l/s</t>
    </r>
  </si>
  <si>
    <r>
      <rPr>
        <sz val="9"/>
        <color rgb="FF000000"/>
        <rFont val="Arial"/>
        <family val="2"/>
      </rPr>
      <t>NESTE NOPEUS</t>
    </r>
  </si>
  <si>
    <r>
      <rPr>
        <sz val="9"/>
        <color rgb="FF000000"/>
        <rFont val="Arial"/>
        <family val="2"/>
      </rPr>
      <t>NESTEEN PAINEHÄVIÖ</t>
    </r>
  </si>
  <si>
    <r>
      <rPr>
        <sz val="9"/>
        <color rgb="FF000000"/>
        <rFont val="Arial"/>
        <family val="2"/>
      </rPr>
      <t>kPa</t>
    </r>
  </si>
  <si>
    <r>
      <rPr>
        <sz val="9"/>
        <color rgb="FF000000"/>
        <rFont val="Arial"/>
        <family val="2"/>
      </rPr>
      <t>PUTKIYHDE</t>
    </r>
  </si>
  <si>
    <r>
      <rPr>
        <sz val="9"/>
        <color rgb="FF000000"/>
        <rFont val="Arial"/>
        <family val="2"/>
      </rPr>
      <t>DN</t>
    </r>
  </si>
  <si>
    <r>
      <rPr>
        <sz val="9"/>
        <color rgb="FF000000"/>
        <rFont val="Arial"/>
        <family val="2"/>
      </rPr>
      <t>25 K</t>
    </r>
  </si>
  <si>
    <r>
      <rPr>
        <sz val="9"/>
        <color rgb="FF000000"/>
        <rFont val="Arial"/>
        <family val="2"/>
      </rPr>
      <t>HYÖTYSUHDE</t>
    </r>
  </si>
  <si>
    <r>
      <rPr>
        <sz val="9"/>
        <color rgb="FF000000"/>
        <rFont val="Arial"/>
        <family val="2"/>
      </rPr>
      <t>RIVISYYS</t>
    </r>
  </si>
  <si>
    <r>
      <rPr>
        <sz val="9"/>
        <color rgb="FF000000"/>
        <rFont val="Arial"/>
        <family val="2"/>
      </rPr>
      <t>LAMELLIJAKO</t>
    </r>
  </si>
  <si>
    <r>
      <rPr>
        <sz val="9"/>
        <color rgb="FF000000"/>
        <rFont val="Arial"/>
        <family val="2"/>
      </rPr>
      <t>NESTETILAVUUS</t>
    </r>
  </si>
  <si>
    <r>
      <rPr>
        <sz val="9"/>
        <color rgb="FF000000"/>
        <rFont val="Arial"/>
        <family val="2"/>
      </rPr>
      <t>l</t>
    </r>
  </si>
  <si>
    <r>
      <rPr>
        <sz val="9"/>
        <color rgb="FF000000"/>
        <rFont val="Arial"/>
        <family val="2"/>
      </rPr>
      <t>2.3</t>
    </r>
  </si>
  <si>
    <r>
      <rPr>
        <sz val="9"/>
        <color rgb="FF000000"/>
        <rFont val="Arial"/>
        <family val="2"/>
      </rPr>
      <t>PAINO</t>
    </r>
  </si>
  <si>
    <r>
      <rPr>
        <sz val="9"/>
        <color rgb="FF000000"/>
        <rFont val="Arial"/>
        <family val="2"/>
      </rPr>
      <t>kg</t>
    </r>
  </si>
  <si>
    <r>
      <rPr>
        <sz val="9"/>
        <color rgb="FF000000"/>
        <rFont val="Arial"/>
        <family val="2"/>
      </rPr>
      <t>ERISTYS</t>
    </r>
  </si>
  <si>
    <t>sisähalk.</t>
  </si>
  <si>
    <t>Mitoitustilavuusvirralla</t>
  </si>
  <si>
    <r>
      <rPr>
        <sz val="9"/>
        <color rgb="FF000000"/>
        <rFont val="Arial"/>
        <family val="2"/>
      </rPr>
      <t>PISARANEROTIN</t>
    </r>
  </si>
  <si>
    <t>jako</t>
  </si>
  <si>
    <r>
      <rPr>
        <sz val="9"/>
        <color rgb="FF000000"/>
        <rFont val="Arial"/>
        <family val="2"/>
      </rPr>
      <t>TIPPUVESIALLAS</t>
    </r>
  </si>
  <si>
    <t>l/s jako</t>
  </si>
  <si>
    <r>
      <rPr>
        <sz val="9"/>
        <color rgb="FF000000"/>
        <rFont val="Arial"/>
        <family val="2"/>
      </rPr>
      <t>PINNOITUS</t>
    </r>
  </si>
  <si>
    <t>m²</t>
  </si>
  <si>
    <r>
      <rPr>
        <sz val="9"/>
        <color rgb="FF000000"/>
        <rFont val="Arial"/>
        <family val="2"/>
      </rPr>
      <t>MAALAUS</t>
    </r>
  </si>
  <si>
    <r>
      <rPr>
        <sz val="9"/>
        <color rgb="FF000000"/>
        <rFont val="Arial"/>
        <family val="2"/>
      </rPr>
      <t>HOPEAPITOISUUS</t>
    </r>
  </si>
  <si>
    <r>
      <rPr>
        <sz val="9"/>
        <color rgb="FF000000"/>
        <rFont val="Arial"/>
        <family val="2"/>
      </rPr>
      <t>JÄÄT.SUOJAMUHVEJA</t>
    </r>
  </si>
  <si>
    <r>
      <rPr>
        <sz val="9"/>
        <color rgb="FF000000"/>
        <rFont val="Arial"/>
        <family val="2"/>
      </rPr>
      <t>kpl</t>
    </r>
  </si>
  <si>
    <r>
      <rPr>
        <b/>
        <sz val="9"/>
        <color rgb="FF000000"/>
        <rFont val="Arial"/>
        <family val="2"/>
      </rPr>
      <t>Tuotekoodit ja huomautukset per positio</t>
    </r>
  </si>
  <si>
    <r>
      <rPr>
        <b/>
        <sz val="9"/>
        <color rgb="FF000000"/>
        <rFont val="Arial"/>
        <family val="2"/>
      </rPr>
      <t xml:space="preserve">1.  </t>
    </r>
    <r>
      <rPr>
        <sz val="7"/>
        <color rgb="FF000000"/>
        <rFont val="Arial"/>
        <family val="2"/>
      </rPr>
      <t>EC-HEAT-650-450-2-2-25K-5-R-9.52</t>
    </r>
  </si>
  <si>
    <r>
      <rPr>
        <b/>
        <sz val="7"/>
        <color rgb="FF000000"/>
        <rFont val="Arial"/>
        <family val="2"/>
      </rPr>
      <t>Huom:</t>
    </r>
  </si>
  <si>
    <r>
      <rPr>
        <b/>
        <sz val="9"/>
        <color rgb="FF000000"/>
        <rFont val="Arial"/>
        <family val="2"/>
      </rPr>
      <t xml:space="preserve">2.  </t>
    </r>
    <r>
      <rPr>
        <sz val="7"/>
        <color rgb="FF000000"/>
        <rFont val="Arial"/>
        <family val="2"/>
      </rPr>
      <t>EC-HEAT-650-450-2-2-25K-5-R-9.52</t>
    </r>
  </si>
  <si>
    <r>
      <rPr>
        <b/>
        <sz val="9"/>
        <color rgb="FF000000"/>
        <rFont val="Arial"/>
        <family val="2"/>
      </rPr>
      <t xml:space="preserve">3.  </t>
    </r>
    <r>
      <rPr>
        <sz val="7"/>
        <color rgb="FF000000"/>
        <rFont val="Arial"/>
        <family val="2"/>
      </rPr>
      <t>EC-HEAT-650-450-2-2-25K-5-R-9.52</t>
    </r>
  </si>
  <si>
    <r>
      <rPr>
        <b/>
        <sz val="9"/>
        <color rgb="FF000000"/>
        <rFont val="Arial"/>
        <family val="2"/>
      </rPr>
      <t xml:space="preserve">4.  </t>
    </r>
    <r>
      <rPr>
        <sz val="7"/>
        <color rgb="FF000000"/>
        <rFont val="Arial"/>
        <family val="2"/>
      </rPr>
      <t>EC-HEAT-650-450-2-2-25K-5-R-9.52</t>
    </r>
  </si>
  <si>
    <t>Tulevan ilman tiheys</t>
  </si>
  <si>
    <t>lähtevän ilman tiheys</t>
  </si>
  <si>
    <t>Logaritminen ylilämpötila</t>
  </si>
  <si>
    <t>Aritmeettinen dT</t>
  </si>
  <si>
    <r>
      <rPr>
        <b/>
        <sz val="15"/>
        <color rgb="FF000000"/>
        <rFont val="Arial"/>
        <family val="2"/>
      </rPr>
      <t>TARJOUSNUMEROMME 123720-TK</t>
    </r>
  </si>
  <si>
    <r>
      <rPr>
        <b/>
        <sz val="9"/>
        <color rgb="FF000000"/>
        <rFont val="Arial"/>
        <family val="2"/>
      </rPr>
      <t xml:space="preserve">1.  </t>
    </r>
    <r>
      <rPr>
        <sz val="7"/>
        <color rgb="FF000000"/>
        <rFont val="Arial"/>
        <family val="2"/>
      </rPr>
      <t>EC-HEAT-650-450-3-1.6-25K-13-R-9.52</t>
    </r>
  </si>
  <si>
    <r>
      <rPr>
        <b/>
        <sz val="9"/>
        <color rgb="FF000000"/>
        <rFont val="Arial"/>
        <family val="2"/>
      </rPr>
      <t xml:space="preserve">2.  </t>
    </r>
    <r>
      <rPr>
        <sz val="7"/>
        <color rgb="FF000000"/>
        <rFont val="Arial"/>
        <family val="2"/>
      </rPr>
      <t>EC-HEAT-650-450-3-1.6-25K-13-R-9.52</t>
    </r>
  </si>
  <si>
    <r>
      <rPr>
        <b/>
        <sz val="9"/>
        <color rgb="FF000000"/>
        <rFont val="Arial"/>
        <family val="2"/>
      </rPr>
      <t xml:space="preserve">3.  </t>
    </r>
    <r>
      <rPr>
        <sz val="7"/>
        <color rgb="FF000000"/>
        <rFont val="Arial"/>
        <family val="2"/>
      </rPr>
      <t>EC-HEAT-650-450-3-1.6-25K-13-R-9.52</t>
    </r>
  </si>
  <si>
    <r>
      <rPr>
        <b/>
        <sz val="9"/>
        <color rgb="FF000000"/>
        <rFont val="Arial"/>
        <family val="2"/>
      </rPr>
      <t xml:space="preserve">4.  </t>
    </r>
    <r>
      <rPr>
        <sz val="7"/>
        <color rgb="FF000000"/>
        <rFont val="Arial"/>
        <family val="2"/>
      </rPr>
      <t>EC-HEAT-650-450-3-1.6-25K-13-R-9.52</t>
    </r>
  </si>
  <si>
    <r>
      <rPr>
        <b/>
        <sz val="15"/>
        <color rgb="FF000000"/>
        <rFont val="Arial"/>
        <family val="2"/>
      </rPr>
      <t>TARJOUSNUMEROMME 123729-TK</t>
    </r>
  </si>
  <si>
    <t>JÄ-1</t>
  </si>
  <si>
    <t>Massavirta</t>
  </si>
  <si>
    <t>Tuleva ilm</t>
  </si>
  <si>
    <t>Tuleva kosteus-%</t>
  </si>
  <si>
    <r>
      <rPr>
        <sz val="9"/>
        <color rgb="FF000000"/>
        <rFont val="Arial"/>
        <family val="2"/>
      </rPr>
      <t>JÄÄ.V</t>
    </r>
  </si>
  <si>
    <r>
      <rPr>
        <sz val="9"/>
        <color rgb="FF000000"/>
        <rFont val="Arial"/>
        <family val="2"/>
      </rPr>
      <t>LTO</t>
    </r>
  </si>
  <si>
    <t>Magnus-kaava --&gt;</t>
  </si>
  <si>
    <t>Tuleva kosteussisältö</t>
  </si>
  <si>
    <t>Lähtevä ilm</t>
  </si>
  <si>
    <r>
      <rPr>
        <sz val="9"/>
        <color rgb="FF000000"/>
        <rFont val="Arial"/>
        <family val="2"/>
      </rPr>
      <t>Pysty</t>
    </r>
  </si>
  <si>
    <t>Lähtevä kosteus-%</t>
  </si>
  <si>
    <t>Lähtevä kosteussisältö</t>
  </si>
  <si>
    <t>Latentti teho</t>
  </si>
  <si>
    <t>Etyleenigly</t>
  </si>
  <si>
    <t>Menovesi</t>
  </si>
  <si>
    <t>Paluuvesi</t>
  </si>
  <si>
    <t>Kokonaisteho</t>
  </si>
  <si>
    <t>Tuntuva teho</t>
  </si>
  <si>
    <t>Latentti</t>
  </si>
  <si>
    <t>Tuntuvan osuus kokonaistehosta</t>
  </si>
  <si>
    <t>Tulevan ilman kastepiste</t>
  </si>
  <si>
    <t>Kastepiste vs. vesilämpötilojen lämpötila-alue</t>
  </si>
  <si>
    <r>
      <rPr>
        <sz val="9"/>
        <color rgb="FF000000"/>
        <rFont val="Arial"/>
        <family val="2"/>
      </rPr>
      <t>TUL. SUHT. KOSTEUS</t>
    </r>
  </si>
  <si>
    <r>
      <rPr>
        <sz val="9"/>
        <color rgb="FF000000"/>
        <rFont val="Arial"/>
        <family val="2"/>
      </rPr>
      <t>TULEVA ILM. ENT</t>
    </r>
  </si>
  <si>
    <r>
      <rPr>
        <sz val="9"/>
        <color rgb="FF000000"/>
        <rFont val="Arial"/>
        <family val="2"/>
      </rPr>
      <t>kj/kg</t>
    </r>
  </si>
  <si>
    <r>
      <rPr>
        <sz val="9"/>
        <color rgb="FF000000"/>
        <rFont val="Arial"/>
        <family val="2"/>
      </rPr>
      <t>LÄH. SUHT. KOSTEUS</t>
    </r>
  </si>
  <si>
    <r>
      <rPr>
        <sz val="9"/>
        <color rgb="FF000000"/>
        <rFont val="Arial"/>
        <family val="2"/>
      </rPr>
      <t>LÄHTEVÄ ILM. ENT</t>
    </r>
  </si>
  <si>
    <t>Täysin k.</t>
  </si>
  <si>
    <t>Ositt. k.</t>
  </si>
  <si>
    <t>7/12</t>
  </si>
  <si>
    <t>10/15</t>
  </si>
  <si>
    <t>7/12 glykoli</t>
  </si>
  <si>
    <r>
      <rPr>
        <b/>
        <sz val="9"/>
        <color rgb="FF000000"/>
        <rFont val="Arial"/>
        <family val="2"/>
      </rPr>
      <t xml:space="preserve">1.  </t>
    </r>
    <r>
      <rPr>
        <sz val="7"/>
        <color rgb="FF000000"/>
        <rFont val="Arial"/>
        <family val="2"/>
      </rPr>
      <t>EC-COOL-650-450-3-2.5-25K-7-R-9.52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</si>
  <si>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2.4 kW</t>
    </r>
  </si>
  <si>
    <t>Tuntuva</t>
  </si>
  <si>
    <r>
      <rPr>
        <b/>
        <sz val="9"/>
        <color rgb="FF000000"/>
        <rFont val="Arial"/>
        <family val="2"/>
      </rPr>
      <t xml:space="preserve">2.  </t>
    </r>
    <r>
      <rPr>
        <sz val="7"/>
        <color rgb="FF000000"/>
        <rFont val="Arial"/>
        <family val="2"/>
      </rPr>
      <t>EC-COOL-650-450-3-2.5-25K-7-R-9.52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</si>
  <si>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3.4 kW</t>
    </r>
  </si>
  <si>
    <r>
      <rPr>
        <b/>
        <sz val="9"/>
        <color rgb="FF000000"/>
        <rFont val="Arial"/>
        <family val="2"/>
      </rPr>
      <t xml:space="preserve">3.  </t>
    </r>
    <r>
      <rPr>
        <sz val="7"/>
        <color rgb="FF000000"/>
        <rFont val="Arial"/>
        <family val="2"/>
      </rPr>
      <t>EC-COOL-650-450-3-2.5-25K-7-R-9.52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</si>
  <si>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4.2 kW</t>
    </r>
  </si>
  <si>
    <t>virtaama</t>
  </si>
  <si>
    <r>
      <rPr>
        <b/>
        <sz val="9"/>
        <color rgb="FF000000"/>
        <rFont val="Arial"/>
        <family val="2"/>
      </rPr>
      <t xml:space="preserve">4.  </t>
    </r>
    <r>
      <rPr>
        <sz val="7"/>
        <color rgb="FF000000"/>
        <rFont val="Arial"/>
        <family val="2"/>
      </rPr>
      <t>EC-COOL-650-450-3-2.5-25K-7-R-9.52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</si>
  <si>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5.0 kW</t>
    </r>
  </si>
  <si>
    <t>dT1 = Tilma,in-Tneste,out</t>
  </si>
  <si>
    <t>dT2 = Tilma,out-Tneste,in</t>
  </si>
  <si>
    <t>Logaritminen alilämpötila LMTD</t>
  </si>
  <si>
    <t>Veden keskilämpötila</t>
  </si>
  <si>
    <t>Kastepiste</t>
  </si>
  <si>
    <t>Täysin kondensoiva</t>
  </si>
  <si>
    <t>y</t>
  </si>
  <si>
    <t>Täysin kondensoiva 500 l/s</t>
  </si>
  <si>
    <t>LMTD</t>
  </si>
  <si>
    <t>Kosteus</t>
  </si>
  <si>
    <t>Aputermi</t>
  </si>
  <si>
    <t>Kosteussisältö</t>
  </si>
  <si>
    <t>kg/kg</t>
  </si>
  <si>
    <t>Osittain kond</t>
  </si>
  <si>
    <t>Täysin kondensoiva tilanne</t>
  </si>
  <si>
    <t>Osittain kondensoiva tilanne</t>
  </si>
  <si>
    <t>Täysin kondensoiva 400 l/s</t>
  </si>
  <si>
    <t>dT1</t>
  </si>
  <si>
    <t>dT2</t>
  </si>
  <si>
    <t>Osuus vesilämpötila-alueesta</t>
  </si>
  <si>
    <t>Kosteussisällön lasku</t>
  </si>
  <si>
    <t>Täysin kondensoiva 300 l/s</t>
  </si>
  <si>
    <t>Tuntuvan tehon tarve</t>
  </si>
  <si>
    <t>Kokonaistehon tarve</t>
  </si>
  <si>
    <t>Mitoitus tavoitevesien mukaan</t>
  </si>
  <si>
    <t>Mitoitusilmavirralla, täysin kondensoiva</t>
  </si>
  <si>
    <r>
      <rPr>
        <b/>
        <sz val="15"/>
        <color rgb="FF000000"/>
        <rFont val="Arial"/>
        <family val="2"/>
      </rPr>
      <t>TARJOUSNUMEROMME 123732-TK</t>
    </r>
  </si>
  <si>
    <t>JÄ-2</t>
  </si>
  <si>
    <r>
      <rPr>
        <sz val="9"/>
        <color rgb="FF000000"/>
        <rFont val="Arial"/>
        <family val="2"/>
      </rPr>
      <t>Etyleenigly</t>
    </r>
  </si>
  <si>
    <t>10/18</t>
  </si>
  <si>
    <t>10/18 glykoli</t>
  </si>
  <si>
    <r>
      <rPr>
        <b/>
        <sz val="9"/>
        <color rgb="FF000000"/>
        <rFont val="Arial"/>
        <family val="2"/>
      </rPr>
      <t xml:space="preserve">1.  </t>
    </r>
    <r>
      <rPr>
        <sz val="7"/>
        <color rgb="FF000000"/>
        <rFont val="Arial"/>
        <family val="2"/>
      </rPr>
      <t>EC-COOL-650-450-4-2.5-25K-5-R-9.52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</si>
  <si>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1.7 kW</t>
    </r>
  </si>
  <si>
    <r>
      <rPr>
        <b/>
        <sz val="9"/>
        <color rgb="FF000000"/>
        <rFont val="Arial"/>
        <family val="2"/>
      </rPr>
      <t xml:space="preserve">2.  </t>
    </r>
    <r>
      <rPr>
        <sz val="7"/>
        <color rgb="FF000000"/>
        <rFont val="Arial"/>
        <family val="2"/>
      </rPr>
      <t>EC-COOL-650-450-4-2.5-25K-5-R-9.52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</si>
  <si>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2.2 kW</t>
    </r>
  </si>
  <si>
    <r>
      <rPr>
        <b/>
        <sz val="9"/>
        <color rgb="FF000000"/>
        <rFont val="Arial"/>
        <family val="2"/>
      </rPr>
      <t xml:space="preserve">3.  </t>
    </r>
    <r>
      <rPr>
        <sz val="7"/>
        <color rgb="FF000000"/>
        <rFont val="Arial"/>
        <family val="2"/>
      </rPr>
      <t>EC-COOL-650-450-4-2.5-25K-5-R-9.52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</si>
  <si>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3.8 kW</t>
    </r>
  </si>
  <si>
    <r>
      <rPr>
        <b/>
        <sz val="9"/>
        <color rgb="FF000000"/>
        <rFont val="Arial"/>
        <family val="2"/>
      </rPr>
      <t xml:space="preserve">4.  </t>
    </r>
    <r>
      <rPr>
        <sz val="7"/>
        <color rgb="FF000000"/>
        <rFont val="Arial"/>
        <family val="2"/>
      </rPr>
      <t>EC-COOL-650-450-4-2.5-25K-5-R-9.52</t>
    </r>
  </si>
  <si>
    <r>
      <rPr>
        <b/>
        <sz val="7"/>
        <color rgb="FF000000"/>
        <rFont val="Arial"/>
        <family val="2"/>
      </rPr>
      <t xml:space="preserve">Huom:   </t>
    </r>
    <r>
      <rPr>
        <sz val="7"/>
        <color rgb="FF000000"/>
        <rFont val="Arial"/>
        <family val="2"/>
      </rPr>
      <t>TUNTUVA TEHO 4.6 kW</t>
    </r>
  </si>
  <si>
    <t>s</t>
  </si>
  <si>
    <t>Patterivaihtoehdot</t>
  </si>
  <si>
    <t>61 = Water-  soveltuu esim. 50/30 vedelle (mitoita ohjelmassa), Vakiotoimitus mallissa C5 Water jos ei muuta pyydetty</t>
  </si>
  <si>
    <t>LÄM-1</t>
  </si>
  <si>
    <t>LÄM-2</t>
  </si>
  <si>
    <t>Valitse lämmityspatteri</t>
  </si>
  <si>
    <t>Valittu patteri</t>
  </si>
  <si>
    <t>log</t>
  </si>
  <si>
    <t>Tarkastukset</t>
  </si>
  <si>
    <t>Virtaama alle maksimivirtauksen</t>
  </si>
  <si>
    <t>Tarkastuksen ehtoja</t>
  </si>
  <si>
    <t>Maksimivirtaus</t>
  </si>
  <si>
    <t>Maksimipainehäviö</t>
  </si>
  <si>
    <t>Painehäviö alle maksimin</t>
  </si>
  <si>
    <t>Reynolds-luvun minimi</t>
  </si>
  <si>
    <t>Reynolds yli minimin</t>
  </si>
  <si>
    <t>LÄMMITYSPATTERI</t>
  </si>
  <si>
    <t>Reynolds-luvun laskenta</t>
  </si>
  <si>
    <r>
      <t xml:space="preserve">Mitoitus </t>
    </r>
    <r>
      <rPr>
        <b/>
        <u/>
        <sz val="11"/>
        <color rgb="FF000000"/>
        <rFont val="Calibri"/>
        <family val="2"/>
      </rPr>
      <t>menoveden</t>
    </r>
    <r>
      <rPr>
        <b/>
        <sz val="11"/>
        <color rgb="FF000000"/>
        <rFont val="Calibri"/>
        <family val="2"/>
      </rPr>
      <t xml:space="preserve"> lämpötilan mukaan</t>
    </r>
  </si>
  <si>
    <r>
      <t xml:space="preserve">Mitoitus </t>
    </r>
    <r>
      <rPr>
        <b/>
        <u/>
        <sz val="11"/>
        <color rgb="FF000000"/>
        <rFont val="Calibri"/>
        <family val="2"/>
      </rPr>
      <t>paluuveden</t>
    </r>
    <r>
      <rPr>
        <b/>
        <sz val="11"/>
        <color rgb="FF000000"/>
        <rFont val="Calibri"/>
        <family val="2"/>
      </rPr>
      <t xml:space="preserve"> lämpötilan mukaan</t>
    </r>
  </si>
  <si>
    <t>Ilmapuolen painehäviö</t>
  </si>
  <si>
    <t>TULOSTUKSEEN</t>
  </si>
  <si>
    <t>Säätöventtiili</t>
  </si>
  <si>
    <t>Venttiilin kvs</t>
  </si>
  <si>
    <t>Säätöventtiilin painehäviö</t>
  </si>
  <si>
    <t>Ohjeteksti</t>
  </si>
  <si>
    <t>50/30</t>
  </si>
  <si>
    <t>Valittu vesipatteri</t>
  </si>
  <si>
    <t>Soveltuva alue</t>
  </si>
  <si>
    <t>Ala</t>
  </si>
  <si>
    <t>Ylä</t>
  </si>
  <si>
    <t>Nimellis</t>
  </si>
  <si>
    <t>35/25 - 35/30</t>
  </si>
  <si>
    <t>Menovesi ei soveltuva</t>
  </si>
  <si>
    <t>Paluuvesi ei soveltuva</t>
  </si>
  <si>
    <t>Vesikiertoisen jäähdytyspatterin mitoitus</t>
  </si>
  <si>
    <t>1 = Jäähdytys neste, patteriteho 1 ,esim. 7/12 - 10/15 (mitoita ohjelmassa)</t>
  </si>
  <si>
    <t>Tavoitelämpötilat jäähdytysvedelle</t>
  </si>
  <si>
    <t>Kosteussisällön lasku (kondensio)</t>
  </si>
  <si>
    <t>Tarvittava teho (tuntuva)</t>
  </si>
  <si>
    <t>Patterille tulevan ilman suhteellinen kosteus</t>
  </si>
  <si>
    <t>%RH</t>
  </si>
  <si>
    <t>Paluuvesi soveltuva</t>
  </si>
  <si>
    <t>Menovesi soveltuva</t>
  </si>
  <si>
    <t>Muutos mitattuun konstruktioon</t>
  </si>
  <si>
    <t>Mitattu ilman jäähdytyspatteria</t>
  </si>
  <si>
    <t>Mittauksissa</t>
  </si>
  <si>
    <t>Ei mittauksissa</t>
  </si>
  <si>
    <t>Valitut patterit</t>
  </si>
  <si>
    <t>Lämmitys- ja jäähdytyspatterien vaikutukset</t>
  </si>
  <si>
    <t>Lämmitys</t>
  </si>
  <si>
    <t>Jäähdytys</t>
  </si>
  <si>
    <t>Kokonaismuutos valituilla pattereilla</t>
  </si>
  <si>
    <t>Ei patteria</t>
  </si>
  <si>
    <t>LÄMM</t>
  </si>
  <si>
    <t>JÄÄHD</t>
  </si>
  <si>
    <t>TOT</t>
  </si>
  <si>
    <t>2. asteen sovite, kertoimet</t>
  </si>
  <si>
    <t>Korjatut puhallinkäyrät (sis. Suodatinvalinta ja patterivalinta)</t>
  </si>
  <si>
    <t>Patterit</t>
  </si>
  <si>
    <t>Saapuva</t>
  </si>
  <si>
    <t>Lähtevä</t>
  </si>
  <si>
    <t>&lt;-- massavirta ja veden höyrystymislämpö</t>
  </si>
  <si>
    <t>Virtausnopeus patterin putkireitissä</t>
  </si>
  <si>
    <t>Tarvittava kokonaisjäähdytysteho</t>
  </si>
  <si>
    <t>Tarvittava jäähdytysteho (tuntuva)</t>
  </si>
  <si>
    <t>Kvs tarkistus</t>
  </si>
  <si>
    <t>Alkuperäiset valikot ja kielivalinta</t>
  </si>
  <si>
    <t>SUOMI</t>
  </si>
  <si>
    <t>ENGLANTI</t>
  </si>
  <si>
    <t>Kieli</t>
  </si>
  <si>
    <t>2 = C = Commercial AHU, Counter-Flow Heat Exchanger</t>
  </si>
  <si>
    <t>005, 500dm³/s…1800m³/h   (Device: Airfi Model C5 Electric, 230VAC 50Hz 16A, max input power 2 kW  /  Airfi Model C5 Water, 230VAC 50Hz 16A, max input power 2 kW )</t>
  </si>
  <si>
    <t>2 = L  = left (Exhaus air on the left side when viewed from the service side)</t>
  </si>
  <si>
    <t>1 = Airfi automatiikka, valmiina mm. ModBus RTU/TCP . Monipuoliset kytkentä mahdollisuudet jne… Vakiotoimitus jos ei muuta pyydetty.</t>
  </si>
  <si>
    <t>1 = Airfi automation, pre-configured with, for example, ModBus RTU/TCP. Versatile connection options, etc. Standard delivery unless otherwise specified.</t>
  </si>
  <si>
    <t>2 = Terminal block version, with actuators wired to the terminal block. Includes, for example, 5 temperature sensors (NTC) and, in the water model, additionally 1 frost protection sensor (NTC). Also includes transmitters according to the selection of the code key. Delivery does not include control regulators.</t>
  </si>
  <si>
    <t>5 = ISO ePM10 50% (M5 level)</t>
  </si>
  <si>
    <t>7 = ISO ePM1 85% (F8/F9 level)</t>
  </si>
  <si>
    <t>6 = ISO ePM1 65% (F7 level)</t>
  </si>
  <si>
    <t>5 = ISO ePM10 50%,  (Standard delivery in C series unless otherwise specified) (Previous classification: M5 level)</t>
  </si>
  <si>
    <t>6 = ISO ePM1 65%,  (Standard delivery in C series unless otherwise specified) (Previous classification: F7 level)</t>
  </si>
  <si>
    <r>
      <t>12 = Electric, Jälkilämmityspaketti 2: Sulakekoko 400VAC 3x25A, max ottoteho 14,4 kW - Oma jälkilämmityksen syöttö (malleihin C5, Cxx),</t>
    </r>
    <r>
      <rPr>
        <u/>
        <sz val="11"/>
        <color theme="1"/>
        <rFont val="Calibri"/>
        <family val="2"/>
        <scheme val="minor"/>
      </rPr>
      <t xml:space="preserve">  Vakiotoimitus konekoossa C5 Electric jos ei muuta pyydetty</t>
    </r>
  </si>
  <si>
    <t>11 = Electric, Jälkilämmityspaketti 1: Sulakekoko 400VAC 3x16A, max ottoteho 7,2 kW - Oma jälkilämmityksen syöttö (malleihin C5)</t>
  </si>
  <si>
    <t>11 = Electric, Post-heating package 1: Fuse size 400 VAC 3x16A, maximum input power 7.2 kW – Separate power supply for post-heating (for models C5)</t>
  </si>
  <si>
    <t>12 = Electric, Post-heating package 2: Fuse size 400 VAC 3x25A, maximum input power 14.4 kW – Separate power supply for post-heating (for models C5, Cxx). Standard delivery for unit size C5 Electric unless otherwise specified.</t>
  </si>
  <si>
    <t>61 = Water – Suitable for, e.g., 50/30 water (dimensioning in the program). Standard delivery for model C5 Water unless otherwise specified.</t>
  </si>
  <si>
    <t>62 = Water – For low temperatures, e.g., 35/25 – 35/30 (dimensioning in the program).</t>
  </si>
  <si>
    <t xml:space="preserve">
1 = Electric – Standard equipment according to the selected power class (Note: Electric models have a separate power supply for post-heating).</t>
  </si>
  <si>
    <t>3 = Water – Actuators or valves for the water coil are not included in the delivery. Standard delivery for C-series Water models unless otherwise specified.</t>
  </si>
  <si>
    <r>
      <t xml:space="preserve">3 = Water ,  Toimituksessa ei mukana vesipatterin toimilaitteita tai venttiileitä - </t>
    </r>
    <r>
      <rPr>
        <u/>
        <sz val="11"/>
        <color theme="1"/>
        <rFont val="Calibri"/>
        <family val="2"/>
        <scheme val="minor"/>
      </rPr>
      <t xml:space="preserve"> Vakiotoimitus C-sarjan Water -koneissa jos ei muuta pyydetty.</t>
    </r>
  </si>
  <si>
    <t>5 = Available starting Q2/2025, Water – 2-way valve and actuator for post-heating, designed for a coil with 50/30 specifications (delivered separately, connection and installation by the main contractor). Electrically Plug &amp; Play ready.</t>
  </si>
  <si>
    <t>6 = Available starting Q2/2025, Water – 2-way valve and actuator for post-heating, designed for a coil with 35/25 – 35/30 specifications (delivered separately, connection and installation by the main contractor). Electrically Plug &amp; Play ready.</t>
  </si>
  <si>
    <t>7 = Available starting Q3/2025, Water – Post-heating pump unit for 50/30, assembled and insulated (delivered as a separate package, connection and installation by the main contractor). Electrically Plug &amp; Play ready.</t>
  </si>
  <si>
    <t>8 = Available starting Q3/2025, Water – Post-heating pump unit for 35/25 – 35/30, assembled and insulated (delivered as a separate package, connection and installation by the main contractor). Electrically Plug &amp; Play ready.</t>
  </si>
  <si>
    <t>2 = Jäähdytys neste , patteriteho 2. esim. 10/18 -kaukokylmä/maajärjestelmä  (mitoita ohjelmassa)</t>
  </si>
  <si>
    <t>2 = Cooling, liquid – Coil capacity 2, e.g., 10/18 – district cooling/ground cooling system (dimensioning in the program).</t>
  </si>
  <si>
    <t>7 = Cooling, direct expansion coil DX-1 (dimensioning in the program). The delivery includes the coil but no actuators.</t>
  </si>
  <si>
    <t>0 = No cooling actuators or valves. Standard delivery unless otherwise specified.</t>
  </si>
  <si>
    <t xml:space="preserve">6 = Toim. alk. Q2/2025, Water , Jälkilämmityksen 2-tieventtiili ja toimilaite - patterin 35/25 - 35/30 mukaan (toimitus irrallaan, kytkentä ja asennus PU). Sähköisesti Plug&amp;Play valmis. </t>
  </si>
  <si>
    <t>8 = Toim. alk. Q3/2025, Water ,  Jälkilämmityksen pumppuryhmä 35/25 - 35/30 kasattuna ja eristettynä (toimitus erillispakettina, kytkentä ja asennus PU). Sähköisesti Plug&amp;Play valmis</t>
  </si>
  <si>
    <t>7 = Toim. alk. Q3/2025, Water ,  Jälkilämmityksen pumppuryhmä 50/30 kasattuna ja eristettynä (toimitus erillispakettina, kytkentä ja asennus PU). Sähköisesti Plug&amp;Play valmis</t>
  </si>
  <si>
    <t xml:space="preserve">1 = Toim. alk. Q3/2025, Jäähdytyksen 3- tieventtiili ja toimilaite - patterin 7/12 - 10/15 mukaan (toimitus irrallaan, kytkentä ja asennus PU). Sähköisesti Plug&amp;Play valmis. </t>
  </si>
  <si>
    <t xml:space="preserve">6 = Toim. alk. Q3/2025, Jäähdytyksen pumppuryhmä 7/12 - 10/15 kasattuna ja eristettynä (toimitus erillispakettina, kytkentä ja asennus PU). Sähköisesti Plug&amp;Play valmis. </t>
  </si>
  <si>
    <t>1 = Available starting Q3/2025, Cooling – 3-way valve and actuator for a coil with 7/12 – 10/15 specifications (delivered separately, connection and installation by the main contractor). Electrically Plug &amp; Play ready.</t>
  </si>
  <si>
    <t xml:space="preserve">2 = Toim. alk. Q3/2025, Jäähdytyksen 3- tieventtiili ja toimilaite - patterin 10/18 mukaan (toimitus irrallaan, kytkentä ja asennus PU). Sähköisesti Plug&amp;Play valmis. </t>
  </si>
  <si>
    <t>2 = Available starting Q3/2025, Cooling – 3-way valve and actuator for a coil with 10/18 specifications (delivered separately, connection and installation by the main contractor). Electrically Plug &amp; Play ready.</t>
  </si>
  <si>
    <t xml:space="preserve">7 = Toim. alk. Q3/2025, Jäähdytyksen pumppuryhmä 10/18 kasattuna ja eristettynä (toimitus erillispakettina, kytkentä ja asennus PU). Sähköisesti Plug&amp;Play valmis. </t>
  </si>
  <si>
    <t>6 = Available starting Q3/2025, Cooling – Pump unit for 7/12 – 10/15, assembled and insulated (delivered as a separate package, connection and installation by the main contractor). Electrically Plug &amp; Play ready.</t>
  </si>
  <si>
    <t>7 = Available starting Q3/2025, Cooling – Pump unit for 10/18, assembled and insulated (delivered as a separate package, connection and installation by the main contractor). Electrically Plug &amp; Play ready.</t>
  </si>
  <si>
    <t>1 = Supply air filter monitor</t>
  </si>
  <si>
    <t>2 = Exhaust air filter monitor</t>
  </si>
  <si>
    <t>3 = Supply and exhaust air filter monitors</t>
  </si>
  <si>
    <t>0 = No filter monitors. Standard delivery unless otherwise specified.</t>
  </si>
  <si>
    <t>0 = No internal cooling. Standard delivery unless otherwise specified.</t>
  </si>
  <si>
    <t>1 = Cooling, liquid – Coil capacity 1, e.g., 7/12 – 10/15 (dimensioning in the program). Standard delivery in the C-series if a cooling coil is selected and nothing else is specified.</t>
  </si>
  <si>
    <t>1 = Constant pressure regulators for supply and exhaust air (pressure control measurement points to be connected on-site).</t>
  </si>
  <si>
    <t>0 = No air volume flow measurement. Standard delivery unless otherwise specified.</t>
  </si>
  <si>
    <t>1 = Available starting Q2/2025 – Air volume flow measurement for supply and exhaust air.</t>
  </si>
  <si>
    <t>1 = Toim. alk. Q2/2025 - Ilmavirtamittaus tulo- ja poistoilmavirralle</t>
  </si>
  <si>
    <t>0 = No dampers or actuators for exhaust and outdoor air. Standard delivery unless otherwise specified.</t>
  </si>
  <si>
    <r>
      <t xml:space="preserve">0 = Ei  sulkupeltejä eikä toimilaitteita jäte- ja ulkoilmalle. </t>
    </r>
    <r>
      <rPr>
        <u/>
        <sz val="11"/>
        <color theme="1"/>
        <rFont val="Calibri"/>
        <family val="2"/>
        <scheme val="minor"/>
      </rPr>
      <t>Vakiotoimitus jos ei muuta pyydetty.</t>
    </r>
  </si>
  <si>
    <t>1 = Dampers with spring-return actuators (1 pc for outdoor air + 1 pc for exhaust air), electrically pre-wired at the factory. CAT4 class.</t>
  </si>
  <si>
    <t>1 = Sulkupellit sekä jousipalautteiset toimilaitteet (1kpl ulkoilma + 1 kpl jäteilma), valmiiksi tehtaalla sähköisesti kytketty . CAT4 luokka.</t>
  </si>
  <si>
    <t>2 = Dampers with spring-return actuators (1 pc for outdoor air + 1 pc for exhaust air), electrically pre-wired at the factory. Insulated blades, CAT4 class.</t>
  </si>
  <si>
    <t>3 = Damper with a spring-return actuator for outdoor air (1 pc), electrically pre-wired at the factory. Insulated blades, CAT4 class.</t>
  </si>
  <si>
    <t>4 = Damper with a spring-return actuator for exhaust air (1 pc), electrically pre-wired at the factory. Insulated blades, CAT4 class.</t>
  </si>
  <si>
    <t>5 = Dampers (1 pc for outdoor air + 1 pc for exhaust air), NO ACTUATORS. CAT4 class.</t>
  </si>
  <si>
    <t>6 = Damper for outdoor air (1 pc), NO ACTUATOR. CAT4 class.</t>
  </si>
  <si>
    <t>7 = Damper for exhaust air (1 pc), NO ACTUATOR. CAT4 class.</t>
  </si>
  <si>
    <t>0 = No sensors. Standard delivery unless otherwise specified.</t>
  </si>
  <si>
    <t>1 = RH transmitter</t>
  </si>
  <si>
    <t>2 = CO2 transmitter</t>
  </si>
  <si>
    <t>3 = RH + CO2 transmitter</t>
  </si>
  <si>
    <t>5 = Toim. alk. 3/2025 , Airfi Multisensor (vain Airfi automatiikassa) ,  säätimeltä valitaan mitä suuretta käytetään.</t>
  </si>
  <si>
    <t>5 = Available starting 3/2025, Airfi Multisensor (only with Airfi automation). The parameter to be used is selected from the controller.</t>
  </si>
  <si>
    <r>
      <t xml:space="preserve">0 = Ei energiamittareita. </t>
    </r>
    <r>
      <rPr>
        <u/>
        <sz val="11"/>
        <color theme="1"/>
        <rFont val="Calibri"/>
        <family val="2"/>
        <scheme val="minor"/>
      </rPr>
      <t>Vakiotoimitus jos ei muuta pyydetty.</t>
    </r>
  </si>
  <si>
    <t>0 = No energy meters. Standard delivery unless otherwise specified.</t>
  </si>
  <si>
    <t>1 = Energy meter for operating electricity (fan energy and automation).</t>
  </si>
  <si>
    <t>2 = Energiamittari käyttösähkö  (puhallinenergia ja automaatio) ja lisäksi sähkökoneessa erillinen jälkilämmityksen energian kulutusmittaus.</t>
  </si>
  <si>
    <t>2 = Energy meter for operating electricity (fan energy and automation), with an additional energy consumption measurement for electric post-heating units.</t>
  </si>
  <si>
    <r>
      <t xml:space="preserve">0 = Ei ohjainta,  </t>
    </r>
    <r>
      <rPr>
        <u/>
        <sz val="11"/>
        <color theme="1"/>
        <rFont val="Calibri"/>
        <family val="2"/>
        <scheme val="minor"/>
      </rPr>
      <t>Vakiotoimitus riviliitinkoneessa, ei voi valita muuta</t>
    </r>
  </si>
  <si>
    <t>0 = No controller. Standard delivery for terminal block units; no other option available.</t>
  </si>
  <si>
    <t>8 = Mille Wire (standard delivery includes 1 pc in C-series units).</t>
  </si>
  <si>
    <t>00 = Default (not selected). Standard delivery unless otherwise specified.</t>
  </si>
  <si>
    <t>1 = Erikseen selvitetty toiminto, dokumentaatio vaaditaan liitteeksi.</t>
  </si>
  <si>
    <t>1 = Separately specified function; documentation is required as an attachment.</t>
  </si>
  <si>
    <t>2 = Additional time button (installation and wiring by the electrical contractor).</t>
  </si>
  <si>
    <t>9 = Delivery according to the specification list</t>
  </si>
  <si>
    <t>( C ) Kätisyys   - Huom!  Varmista kanavajärjestys</t>
  </si>
  <si>
    <t>Select an option from each dropdown menu below</t>
  </si>
  <si>
    <t>Code Key:</t>
  </si>
  <si>
    <t>Selection:</t>
  </si>
  <si>
    <t>BASIC STRUCTURE:</t>
  </si>
  <si>
    <t>FILTERS:</t>
  </si>
  <si>
    <t>COILS:</t>
  </si>
  <si>
    <t>ACCESSORIES:</t>
  </si>
  <si>
    <t>CONTROLS:</t>
  </si>
  <si>
    <t>Basic structure:</t>
  </si>
  <si>
    <t>Filters:</t>
  </si>
  <si>
    <t>Coils:</t>
  </si>
  <si>
    <t>Accessories:</t>
  </si>
  <si>
    <t>Controls:</t>
  </si>
  <si>
    <r>
      <t>(A)</t>
    </r>
    <r>
      <rPr>
        <sz val="10"/>
        <color theme="1"/>
        <rFont val="Century Gothic"/>
        <family val="2"/>
      </rPr>
      <t xml:space="preserve"> Unit type</t>
    </r>
  </si>
  <si>
    <r>
      <t>(BBB)</t>
    </r>
    <r>
      <rPr>
        <sz val="10"/>
        <color theme="1"/>
        <rFont val="Century Gothic"/>
        <family val="2"/>
      </rPr>
      <t xml:space="preserve"> Unit size</t>
    </r>
  </si>
  <si>
    <r>
      <t>(D)</t>
    </r>
    <r>
      <rPr>
        <sz val="10"/>
        <color theme="1"/>
        <rFont val="Century Gothic"/>
        <family val="2"/>
      </rPr>
      <t xml:space="preserve"> Unit automation</t>
    </r>
  </si>
  <si>
    <r>
      <t>(E)</t>
    </r>
    <r>
      <rPr>
        <sz val="10"/>
        <color theme="1"/>
        <rFont val="Century Gothic"/>
        <family val="2"/>
      </rPr>
      <t xml:space="preserve"> Supply air filtration</t>
    </r>
  </si>
  <si>
    <r>
      <t>(F)</t>
    </r>
    <r>
      <rPr>
        <sz val="10"/>
        <color theme="1"/>
        <rFont val="Century Gothic"/>
        <family val="2"/>
      </rPr>
      <t xml:space="preserve"> Exhaust air filtration</t>
    </r>
  </si>
  <si>
    <r>
      <t>(H)</t>
    </r>
    <r>
      <rPr>
        <sz val="10"/>
        <color theme="1"/>
        <rFont val="Century Gothic"/>
        <family val="2"/>
      </rPr>
      <t xml:space="preserve"> Internal post-heating control</t>
    </r>
  </si>
  <si>
    <r>
      <t>(J)</t>
    </r>
    <r>
      <rPr>
        <sz val="10"/>
        <color theme="1"/>
        <rFont val="Century Gothic"/>
        <family val="2"/>
      </rPr>
      <t xml:space="preserve"> Internal cooling control (cooling coil)</t>
    </r>
  </si>
  <si>
    <r>
      <t>(K)</t>
    </r>
    <r>
      <rPr>
        <sz val="10"/>
        <color theme="1"/>
        <rFont val="Century Gothic"/>
        <family val="2"/>
      </rPr>
      <t xml:space="preserve"> Filter monitor*</t>
    </r>
  </si>
  <si>
    <r>
      <t>(O)</t>
    </r>
    <r>
      <rPr>
        <sz val="10"/>
        <color theme="1"/>
        <rFont val="Century Gothic"/>
        <family val="2"/>
      </rPr>
      <t xml:space="preserve"> Internal measurement sensors*</t>
    </r>
  </si>
  <si>
    <r>
      <t>(P)</t>
    </r>
    <r>
      <rPr>
        <sz val="10"/>
        <color theme="1"/>
        <rFont val="Century Gothic"/>
        <family val="2"/>
      </rPr>
      <t xml:space="preserve"> Energy meter**</t>
    </r>
  </si>
  <si>
    <r>
      <t>(Q)</t>
    </r>
    <r>
      <rPr>
        <sz val="10"/>
        <color theme="1"/>
        <rFont val="Century Gothic"/>
        <family val="2"/>
      </rPr>
      <t xml:space="preserve"> Control 1 – delivered separately, installed on-site</t>
    </r>
  </si>
  <si>
    <r>
      <t>(RR)</t>
    </r>
    <r>
      <rPr>
        <sz val="10"/>
        <color theme="1"/>
        <rFont val="Century Gothic"/>
        <family val="2"/>
      </rPr>
      <t xml:space="preserve"> Control 2 – delivered separately, installed on-site</t>
    </r>
  </si>
  <si>
    <r>
      <t>(S)</t>
    </r>
    <r>
      <rPr>
        <sz val="10"/>
        <color theme="1"/>
        <rFont val="Century Gothic"/>
        <family val="2"/>
      </rPr>
      <t xml:space="preserve"> Additional information</t>
    </r>
  </si>
  <si>
    <t>( C ) Kätisyys - Huom!  Varmista kanavajärjestys</t>
  </si>
  <si>
    <r>
      <t>(C)</t>
    </r>
    <r>
      <rPr>
        <sz val="10"/>
        <color theme="1"/>
        <rFont val="Century Gothic"/>
        <family val="2"/>
      </rPr>
      <t xml:space="preserve"> Unit orientation – </t>
    </r>
    <r>
      <rPr>
        <i/>
        <sz val="10"/>
        <color theme="1"/>
        <rFont val="Century Gothic"/>
        <family val="2"/>
      </rPr>
      <t>Note! Ensure the ductwork configuration</t>
    </r>
  </si>
  <si>
    <t>( D ) Koneen automatiikka</t>
  </si>
  <si>
    <r>
      <t>(GG)</t>
    </r>
    <r>
      <rPr>
        <sz val="10"/>
        <color theme="1"/>
        <rFont val="Century Gothic"/>
        <family val="2"/>
      </rPr>
      <t xml:space="preserve"> Internal post-heating</t>
    </r>
  </si>
  <si>
    <r>
      <t>(I)</t>
    </r>
    <r>
      <rPr>
        <sz val="10"/>
        <color theme="1"/>
        <rFont val="Century Gothic"/>
        <family val="2"/>
      </rPr>
      <t xml:space="preserve"> Internal cooling</t>
    </r>
  </si>
  <si>
    <r>
      <t>(L)</t>
    </r>
    <r>
      <rPr>
        <sz val="10"/>
        <color theme="1"/>
        <rFont val="Century Gothic"/>
        <family val="2"/>
      </rPr>
      <t xml:space="preserve"> Constant pressure regulator*</t>
    </r>
  </si>
  <si>
    <r>
      <t>(M)</t>
    </r>
    <r>
      <rPr>
        <sz val="10"/>
        <color theme="1"/>
        <rFont val="Century Gothic"/>
        <family val="2"/>
      </rPr>
      <t xml:space="preserve"> Air volume flow measurement*</t>
    </r>
  </si>
  <si>
    <r>
      <t>(N)</t>
    </r>
    <r>
      <rPr>
        <sz val="10"/>
        <color theme="1"/>
        <rFont val="Century Gothic"/>
        <family val="2"/>
      </rPr>
      <t xml:space="preserve"> Spring-return dampers</t>
    </r>
  </si>
  <si>
    <t>Code:</t>
  </si>
  <si>
    <t>Content description:</t>
  </si>
  <si>
    <t>The selection program is made by Zenner Engineers. The program is based on laboratory measurements according to SFS-EN 13141-7.</t>
  </si>
  <si>
    <t>7.1</t>
  </si>
  <si>
    <t>C-sarjan valintakoodi- ja mitoitusvälilehdet FIN/ENG. Sähköpostin 20.1.2025 mukaiset muutokset.</t>
  </si>
  <si>
    <t>Airfi laskentaohjelma_v7.1</t>
  </si>
  <si>
    <t>Value out of range. Check input parameters.</t>
  </si>
  <si>
    <t>VESIKIERTOISTEN LÄMMITYS- JA JÄÄHDYTYSPATTERIEN MITOITUS</t>
  </si>
  <si>
    <t>DIMENSIONING OF WATER-BASED HEATING AND COOLING COILS</t>
  </si>
  <si>
    <t>Dimensioning of water-based heating coil</t>
  </si>
  <si>
    <t xml:space="preserve">
Flow rate in the coil's pipe circuit</t>
  </si>
  <si>
    <t>Cooling coil dimensioning by inlet water temperature</t>
  </si>
  <si>
    <t>Cooling coil dimensioning by outlet water temperature</t>
  </si>
  <si>
    <t>Dimensioning of water-based cooling coil</t>
  </si>
  <si>
    <t>Inlet air relative humidity</t>
  </si>
  <si>
    <t>Required cooling capacity (sensible)</t>
  </si>
  <si>
    <t>Required total cooling capacity</t>
  </si>
  <si>
    <t>Valitussa mallissa ei vesikiertoista lämmityspatteria</t>
  </si>
  <si>
    <t>Valitussa mallissa ei vesikiertoista jäähdytyspatteria</t>
  </si>
  <si>
    <t>The selected model does not include a water-based heating coil.</t>
  </si>
  <si>
    <t>The selected model does not include a water-based cooling coil.</t>
  </si>
  <si>
    <t>Huom. soveltuva alue</t>
  </si>
  <si>
    <t>Value not applicable</t>
  </si>
  <si>
    <t>Valittu patterimalli soveltuu lämmitysvesille ~</t>
  </si>
  <si>
    <t>The selected coil model is suitable for heating water ~</t>
  </si>
  <si>
    <t>Valittu patterimalli soveltuu jäähdytysvesille ~</t>
  </si>
  <si>
    <t>The selected coil model is suitable for cooling water ~</t>
  </si>
  <si>
    <t>Airfi: Device code selection for C-series units</t>
  </si>
  <si>
    <t>Huom. patterimitoitus onnistunut, kun laskelmassa ei ole virheilmoituksia.
Muuta tarvittaessa meno- tai paluuveden lämpötiloja.</t>
  </si>
  <si>
    <t>Note: Coil dimensioning is successful when there are no error messages in the calculation.
Adjust the inlet or outlet water temperatures if necessary.</t>
  </si>
  <si>
    <t>Säätöventtiilin painehäviö (Airfi toteutus)*</t>
  </si>
  <si>
    <t>Control valve pressure loss (Airfi implementation)*</t>
  </si>
  <si>
    <t>Säätöventtiilin valinta ja vaikutukset tulostukseen (v7.1 sähköposti 20.1.2025 mukaisesti)</t>
  </si>
  <si>
    <t>Valintakoodin valinta</t>
  </si>
  <si>
    <t>Patterivalinta:</t>
  </si>
  <si>
    <t>Toimilaitevalinta</t>
  </si>
  <si>
    <t>Kvs</t>
  </si>
  <si>
    <t>Malliteksti</t>
  </si>
  <si>
    <t>* No control valve or actuator / heating group selected.</t>
  </si>
  <si>
    <t>* No control valve or actuator / cooling group selected.</t>
  </si>
  <si>
    <t>Versiosta v7.1 alkaen</t>
  </si>
  <si>
    <t>* Ei valittuna säätöventtiiliä ja toimilaitetta / lämmitysryhmää</t>
  </si>
  <si>
    <t>* Ei valittuna säätöventtiiliä ja toimilaitetta / jäähdytysryhmää</t>
  </si>
  <si>
    <t>Perustieto</t>
  </si>
  <si>
    <t>Perustieto:</t>
  </si>
  <si>
    <t>VALITTU MALLI JA KOODIAVAIN:</t>
  </si>
  <si>
    <t>SELECTED MODEL AND CODE KEY:</t>
  </si>
  <si>
    <t>h / day</t>
  </si>
  <si>
    <t>h / d</t>
  </si>
  <si>
    <t>* Toimituksessa: Jälkilämmityksen pumppuryhmä 35/25 - 35/30 kasattuna ja eristettynä (kvs = 5,7).</t>
  </si>
  <si>
    <t>* Toimituksessa: Jälkilämmityksen 2-tieventtiili ja toimilaite - patterin 35/25 - 35/30 mukaan (kvs = 5,7).</t>
  </si>
  <si>
    <t>* Toimituksessa: Jälkilämmityksen 2-tieventtiili ja toimilaite - patterin 50/30 mukaan (kvs = 1,5).</t>
  </si>
  <si>
    <t>* Toimituksessa: Jälkilämmityksen pumppuryhmä 50/30 kasattuna ja eristettynä (kvs = 1,5).</t>
  </si>
  <si>
    <t>* Included in the delivery: 2-way valve and actuator for post-heating, designed for a coil with 50/30 specifications (kvs = 1.5).</t>
  </si>
  <si>
    <t>* Included in the delivery: Post-heating pump unit for 50/30, assembled and insulated (kvs = 1.5).</t>
  </si>
  <si>
    <t>* Included in the delivery: 2-way valve and actuator for post-heating, designed for a coil with 35/25 – 35/30 specifications (kvs = 5.7).</t>
  </si>
  <si>
    <t>* Included in the delivery: Post-heating pump unit for 35/25 – 35/30, assembled and insulated  (kvs = 5.7).</t>
  </si>
  <si>
    <t>* Included in the delivery: 3-way valve and actuator for cooling, designed for a coil with 7/12 – 10/15 specifications (kvs = 4).</t>
  </si>
  <si>
    <t>* Included in the delivery: Cooling pump unit for 7/12 – 10/15, assembled and insulated  (kvs = 4).</t>
  </si>
  <si>
    <t>* Toimituksessa: Jäähdytyksen 3-tieventtiili ja toimilaite - patterin 7/12 - 10/15 mukaan  (kvs = 4).</t>
  </si>
  <si>
    <t>* Toimituksessa: Jäähdytyksen pumppuryhmä 7/12 - 10/15 kasattuna ja eristettynä  (kvs = 4).</t>
  </si>
  <si>
    <t>* Toimituksessa: Jäähdytyksen pumppuryhmä 10/18 kasattuna ja eristettynä (kvs = 2,5).</t>
  </si>
  <si>
    <t>* Toimituksessa: Jäähdytyksen 3-tieventtiili ja toimilaite - patterin 10/18 mukaan (kvs = 2,5).</t>
  </si>
  <si>
    <t>* Included in the delivery: 3-way valve and actuator for cooling, designed for a coil with 10/18 specifications (kvs = 2.5).</t>
  </si>
  <si>
    <t>* Included in the delivery: Cooling pump unit for 10/18, assembled and insulated (kvs = 2.5).</t>
  </si>
  <si>
    <r>
      <t>1 = R = right (Exhaust air on the right side when viewed from the service side)</t>
    </r>
    <r>
      <rPr>
        <u/>
        <sz val="11"/>
        <rFont val="Calibri"/>
        <family val="2"/>
        <scheme val="minor"/>
      </rPr>
      <t>, Standard delivery unless otherwise specified</t>
    </r>
  </si>
  <si>
    <r>
      <t xml:space="preserve">0 = No constant pressure regulators. </t>
    </r>
    <r>
      <rPr>
        <u/>
        <sz val="11"/>
        <rFont val="Calibri"/>
        <family val="2"/>
        <scheme val="minor"/>
      </rPr>
      <t>Standard delivery unless otherwise specified.</t>
    </r>
  </si>
  <si>
    <t>Rajoitetaan +5 °C alimmillaan (v7.1 muutospyyntö)</t>
  </si>
  <si>
    <t>Model53mini</t>
  </si>
  <si>
    <t>Model 53mini</t>
  </si>
  <si>
    <t>Airfi Model 53mini</t>
  </si>
  <si>
    <t>Airfi-Model 53mini Electric</t>
  </si>
  <si>
    <t>7V</t>
  </si>
  <si>
    <t>7 V</t>
  </si>
  <si>
    <t>3-8.6 V</t>
  </si>
  <si>
    <t>8.6 - 10V</t>
  </si>
  <si>
    <t>Rajoitusalue</t>
  </si>
  <si>
    <t>qV (l/s)</t>
  </si>
  <si>
    <t>v1 (m/s)</t>
  </si>
  <si>
    <t>v2 (m/s)</t>
  </si>
  <si>
    <t>Pd,kone,korj (Pa)</t>
  </si>
  <si>
    <t>Ptot1 (Pa)</t>
  </si>
  <si>
    <t>Ptot2 (Pa)</t>
  </si>
  <si>
    <t>PsfD (Pa)</t>
  </si>
  <si>
    <t>P (W)</t>
  </si>
  <si>
    <t>PfD (Pa)</t>
  </si>
  <si>
    <t>RPM (min-1)</t>
  </si>
  <si>
    <t>SFP (kW/m3/s))</t>
  </si>
  <si>
    <t>Tilavuusvirran sovitteet, 2. aste polynomi</t>
  </si>
  <si>
    <t>Mittausdata, lähde: "3797 Airfi Model 53mini - tilavuusvirtamittaukset - yhteenveto" -excel (Proj. 3797)</t>
  </si>
  <si>
    <t>Varaus seuraavalle koneelle</t>
  </si>
  <si>
    <t>Polynomisovite teholle (3. aste)</t>
  </si>
  <si>
    <t>Lw-mittauksista</t>
  </si>
  <si>
    <t>Valinta (lähin alue)</t>
  </si>
  <si>
    <t>LW-mittauksista</t>
  </si>
  <si>
    <t>3-8.2 V</t>
  </si>
  <si>
    <t>8.2 - 10V</t>
  </si>
  <si>
    <t>Ptu</t>
  </si>
  <si>
    <t>VK</t>
  </si>
  <si>
    <t>Tarkistetaan onko rajoitetulla alueella</t>
  </si>
  <si>
    <t>8.5-10 V</t>
  </si>
  <si>
    <t>Verkkokäyrän korjaus</t>
  </si>
  <si>
    <t>MIN</t>
  </si>
  <si>
    <t>Yli 7.5 V</t>
  </si>
  <si>
    <t>VK korjaus</t>
  </si>
  <si>
    <t>JÄÄHDYTYSPATTERI</t>
  </si>
  <si>
    <t>Model 53mini, arvot saatu Pulkkasen mailista 16.4.2025</t>
  </si>
  <si>
    <t>Pulkkasen mailista 16.4.2025</t>
  </si>
  <si>
    <t>Versiossa 7.2 otettu mukaan Model 53mini, samalla laskentaperiatteella kuin muutkin koneet, eli tilavuusvirtaperusteinen arvo.</t>
  </si>
  <si>
    <t>7.2</t>
  </si>
  <si>
    <t>Airfi laskentaohjelma_v7.2</t>
  </si>
  <si>
    <t>Lisätty uusi konemalli Model 53mini</t>
  </si>
  <si>
    <t>Model 60, 100, 130 ja 53mini</t>
  </si>
  <si>
    <r>
      <t>V</t>
    </r>
    <r>
      <rPr>
        <vertAlign val="subscript"/>
        <sz val="10"/>
        <color theme="1"/>
        <rFont val="Century Gothic"/>
        <family val="2"/>
      </rPr>
      <t>ohj</t>
    </r>
  </si>
  <si>
    <t>Äänitehotasot kanavaan</t>
  </si>
  <si>
    <t>7.3</t>
  </si>
  <si>
    <t>Toteutettu Model 53minin keittiohituksen laskenta</t>
  </si>
  <si>
    <t>Airfi laskentaohjelma_v7.3</t>
  </si>
  <si>
    <t>8.0</t>
  </si>
  <si>
    <t>% RH</t>
  </si>
  <si>
    <t>Heat recovery cell humidity ratio (EN 308):</t>
  </si>
  <si>
    <t>ENTALPIAKONEET</t>
  </si>
  <si>
    <t>Liukuvalinta ENT</t>
  </si>
  <si>
    <t>Tämä oli alumiinikoneiden liukuvalinnan linkitys</t>
  </si>
  <si>
    <t>Valinta, huom. Numerot muutettu siten että koneet suuruusjärjestyksessä. Huom. Myös Entalpiakennossa oma valintajärjestely.</t>
  </si>
  <si>
    <t>Muutettu tähän ENTALPIA-laskurissa</t>
  </si>
  <si>
    <t>ENTALPIA</t>
  </si>
  <si>
    <t>Model 53miniENT</t>
  </si>
  <si>
    <t>Model 60ENT</t>
  </si>
  <si>
    <t>x</t>
  </si>
  <si>
    <t>Model 130ENT</t>
  </si>
  <si>
    <t>Model 150ENT</t>
  </si>
  <si>
    <t>Model 250ENT</t>
  </si>
  <si>
    <t>Model 350ENT</t>
  </si>
  <si>
    <t>Kosteushyötysuhteet</t>
  </si>
  <si>
    <t>SEC-laskentaan</t>
  </si>
  <si>
    <t>Airfi-Model 60ENT Electric</t>
  </si>
  <si>
    <t>Winter</t>
  </si>
  <si>
    <t>Summer</t>
  </si>
  <si>
    <t>Kennon hyötysuhde</t>
  </si>
  <si>
    <t>Entalpiakennon LT-hyötysuhde referenssi-ilmavirralla 63 l/s / 50 Pa</t>
  </si>
  <si>
    <t>Airfi-Model 150ENT Electric</t>
  </si>
  <si>
    <t>Entalpiakennon LT-hyötysuhde referenssi-ilmavirralla 112 l/s / 50 Pa</t>
  </si>
  <si>
    <t>Entalpiakennon LT-hyötysuhde referenssi-ilmavirralla 175 l/s / 50 Pa</t>
  </si>
  <si>
    <t>Airfi-Model 130ENT Electric</t>
  </si>
  <si>
    <t>Entalpiakennon LT-hyötysuhde referenssi-ilmavirralla 194 l/s / 50 Pa</t>
  </si>
  <si>
    <t>Airfi-Model 53miniENT Electric</t>
  </si>
  <si>
    <t>Entalpiakennon LT-hyötysuhde referenssi-ilmavirralla 91 l/s / 50 Pa</t>
  </si>
  <si>
    <t>Model53miniENT</t>
  </si>
  <si>
    <t>Entalpiakennokoneet</t>
  </si>
  <si>
    <t>Huom. Ei Model100 -mallia</t>
  </si>
  <si>
    <t>Total energy demand for ventilation*</t>
  </si>
  <si>
    <t>Totalt energibehov för ventilation*</t>
  </si>
  <si>
    <t>Recovered heating energy*</t>
  </si>
  <si>
    <t>Återvunnen värmeenergi*</t>
  </si>
  <si>
    <t>Zurückgewonnene Heizenergie*</t>
  </si>
  <si>
    <t>Odzyskana energia grzewcza*</t>
  </si>
  <si>
    <t>Salvestatud kütteenergia*</t>
  </si>
  <si>
    <t>Rekuperētā siltumenerģija*</t>
  </si>
  <si>
    <t>Atgauta šilumos energija*</t>
  </si>
  <si>
    <t>Temperatura powietrza nawiewanego po LTO*</t>
  </si>
  <si>
    <t>Sissepuhkeõhu temperatuur pärast soojusvahetit*</t>
  </si>
  <si>
    <t>Ieplūstošā gaisa temperatūra pēc rekuperatora*</t>
  </si>
  <si>
    <t>Tiekiamo oro temperatūra po LTO*</t>
  </si>
  <si>
    <t>Heat recovery unit efficiency (EN 308)</t>
  </si>
  <si>
    <t>Humidity ratio (insert indoor and outdoor air conditions):</t>
  </si>
  <si>
    <t>Fuktåtervinning (ange inomhus- och utomhusluftförhållanden):</t>
  </si>
  <si>
    <t>Feuchterückgewinnung (geben Sie Innen- und Aussenluftbedinungen an):</t>
  </si>
  <si>
    <t>Vinter</t>
  </si>
  <si>
    <t>Extract air temperature:</t>
  </si>
  <si>
    <t>Frånluftstemperatur:</t>
  </si>
  <si>
    <t>Ablufttemperatur:</t>
  </si>
  <si>
    <t>Extract air relative humidity:</t>
  </si>
  <si>
    <t>Frånluftens relativa fuktighet:</t>
  </si>
  <si>
    <t>Relative Luftfeuchtigkeit der Abluft:</t>
  </si>
  <si>
    <t>Outdoor air temperature:</t>
  </si>
  <si>
    <t>Uteluftstemperatur:</t>
  </si>
  <si>
    <t>Außenlufttemperatur:</t>
  </si>
  <si>
    <t>Outdoor air relative humidity:</t>
  </si>
  <si>
    <t>Uteluftens relativa fuktighet:</t>
  </si>
  <si>
    <t>Relative Luftfeuchtigkeit der Außenluft:</t>
  </si>
  <si>
    <t>Heat recovery unit humidity ratio (EN 308):</t>
  </si>
  <si>
    <t>Verkningsgrad för fuktåtervinningscell (EN 308):</t>
  </si>
  <si>
    <t>Feuchterückgewinnungszellen-verhältnis (EN 308):</t>
  </si>
  <si>
    <t>Sommar</t>
  </si>
  <si>
    <t>Sommer</t>
  </si>
  <si>
    <t>Annual energy demand, recovered heating energy and electricity consumption:</t>
  </si>
  <si>
    <t>Årlig energibehov, återvunnen värmeenergi och elförbrukning:</t>
  </si>
  <si>
    <t>Jährlicher Energiebedarf, zurückgewonnene Heizenergie und Stormverbrauch:</t>
  </si>
  <si>
    <t xml:space="preserve">* Calculations based on EN 308 heat recovery unit thermal effiency </t>
  </si>
  <si>
    <t>* Beräkningar baserade på verkningsgrad för värmeåtervinningscell enligt EN 308</t>
  </si>
  <si>
    <t>* Berechnungen basierend auf dem thermischen Wirkungsgrad des Wärmerückgewinnungsgeräts gemäß EN 308</t>
  </si>
  <si>
    <t>Recutech enthalpic RFK+23-265-22</t>
  </si>
  <si>
    <t>rSelectistä arvoja</t>
  </si>
  <si>
    <t>Lämpötilahyötysuhde</t>
  </si>
  <si>
    <t>Painotettu vähän kuivaan päin</t>
  </si>
  <si>
    <t>m³/h</t>
  </si>
  <si>
    <t>W1</t>
  </si>
  <si>
    <t>W2</t>
  </si>
  <si>
    <t>W3</t>
  </si>
  <si>
    <t>W4</t>
  </si>
  <si>
    <t>W5</t>
  </si>
  <si>
    <t>W6</t>
  </si>
  <si>
    <t>W7</t>
  </si>
  <si>
    <t>W8</t>
  </si>
  <si>
    <t>Arvot laskentaohjelmaan</t>
  </si>
  <si>
    <t>HS</t>
  </si>
  <si>
    <t>Puhelu Pulkkaselle 5.9.2025 liittyen Model 130, tehdään samalla tyylillä tämäkin</t>
  </si>
  <si>
    <t>84 % asti lasketaan vapaasti</t>
  </si>
  <si>
    <t>Maksimi 85 % (tai syötettävä parametri, jos halutaan joku muu), tämä väli lineaarisesti</t>
  </si>
  <si>
    <t>Kosteushyötysuhde</t>
  </si>
  <si>
    <t>Kesä</t>
  </si>
  <si>
    <t>Lisäpiste1</t>
  </si>
  <si>
    <t>S1</t>
  </si>
  <si>
    <t>S2</t>
  </si>
  <si>
    <t>S3</t>
  </si>
  <si>
    <t>S4</t>
  </si>
  <si>
    <t>Poistoilman lämpötila</t>
  </si>
  <si>
    <t>Poistoilman suhteellinen kosteus</t>
  </si>
  <si>
    <t>Poistoilman absoluuttinen kosteus</t>
  </si>
  <si>
    <t>Ulkoilman lämpötila</t>
  </si>
  <si>
    <t>Ulkoilman suhteellinen kosteus</t>
  </si>
  <si>
    <t>Ulkoilman absoluuttinen kosteus</t>
  </si>
  <si>
    <t>Suhteellinen kosteus</t>
  </si>
  <si>
    <t>RH</t>
  </si>
  <si>
    <t>Abs. kosteus (sekoitussuhde)</t>
  </si>
  <si>
    <t>g/kg</t>
  </si>
  <si>
    <t>Ulkolämpötila</t>
  </si>
  <si>
    <t>g</t>
  </si>
  <si>
    <t>Kosteusero [g/kg]</t>
  </si>
  <si>
    <t>Korjaamaton</t>
  </si>
  <si>
    <t>Korjattu</t>
  </si>
  <si>
    <t>Erisuuret ilmavirrat</t>
  </si>
  <si>
    <t>Korjaus kosteushyötysuhteeseen keskilämpötilan perusteella:</t>
  </si>
  <si>
    <t>Ks. Excel "Kennovertailut, sama kosteusero eri lämpötila"</t>
  </si>
  <si>
    <t>Absoluuttiset kosteudet</t>
  </si>
  <si>
    <t>Keskimäär.</t>
  </si>
  <si>
    <t>Korjauskaavat</t>
  </si>
  <si>
    <t>Lineaarisovite</t>
  </si>
  <si>
    <t>Mitoitustilanne</t>
  </si>
  <si>
    <t>Kosteusero</t>
  </si>
  <si>
    <t>%-yksikköä</t>
  </si>
  <si>
    <t>Rajoitetaan vähän korjausta</t>
  </si>
  <si>
    <t>Recutech enthalpic RFK+23-350-22</t>
  </si>
  <si>
    <t>Logaritmisovite</t>
  </si>
  <si>
    <t>Lineaarisovite (2. aste)</t>
  </si>
  <si>
    <t>(5% - 95%)</t>
  </si>
  <si>
    <t>Ks. Excel "Kennovertailut, sama kosteusero eri lämpötila" (Välilehti Model 60 talvi)</t>
  </si>
  <si>
    <t>Ks. Excel "Kennovertailut, sama kosteusero eri lämpötila" (Välilehti Model 60 kesä)</t>
  </si>
  <si>
    <t>Datat löytyvät Excelistä "Entalpiakennot"</t>
  </si>
  <si>
    <t>Haettu Recutechin nettilaskurista</t>
  </si>
  <si>
    <t>Recutech enthalpic RFC+27-350-25</t>
  </si>
  <si>
    <t>Tähän voi syöttää maksimihyötysuhteen johon rajoitetaan</t>
  </si>
  <si>
    <t>Puhelu Pulkkaselle 5.9.2025</t>
  </si>
  <si>
    <t>Talvi</t>
  </si>
  <si>
    <t>Minimi</t>
  </si>
  <si>
    <t>2 g/kg kosteuserolla</t>
  </si>
  <si>
    <t>Korjaus kosteushyötysuhteeseen absoluuttisen kosteus perusteella:</t>
  </si>
  <si>
    <t>Korjaus kosteushyötysuhteeseen keskilämpötilan perusteella perusteella:</t>
  </si>
  <si>
    <t>Rajoitetaan vähän korjausta riippuen kosteuserosta</t>
  </si>
  <si>
    <t>Puhallinkäyrät entalpiakennon kanssa</t>
  </si>
  <si>
    <t>Tällä koneella ei ole vaikutusta painehäviöihin verrattuna entalpia ja alumiinikennoja</t>
  </si>
  <si>
    <t xml:space="preserve">RFK+23-265-22 </t>
  </si>
  <si>
    <t>Entalpiakenno / rSelect</t>
  </si>
  <si>
    <t>LEV-455-230 265 2.1</t>
  </si>
  <si>
    <t>Alumiinikenno / Ekocoil Optimizer</t>
  </si>
  <si>
    <t>Huom. Ei vaikutusta painehäviöihin entalpiakennolla</t>
  </si>
  <si>
    <t>Entalpia</t>
  </si>
  <si>
    <t>Alumiini</t>
  </si>
  <si>
    <t>Ei vaikutusta painehäviöihin verrattuna alumiinikennoon.</t>
  </si>
  <si>
    <t>→  Ei tehdä mitään korjauksia puhallinkäyriin</t>
  </si>
  <si>
    <t>Ks. Tulopuolen välilehti</t>
  </si>
  <si>
    <t>Tilavuusvirran muutos entalpiakennon kanssa</t>
  </si>
  <si>
    <t>Kennojen painehäviöt</t>
  </si>
  <si>
    <r>
      <t xml:space="preserve">Entalpiakennon datat Recutechin laskentaohjelmasta: </t>
    </r>
    <r>
      <rPr>
        <strike/>
        <sz val="10"/>
        <color theme="1"/>
        <rFont val="Century Gothic"/>
        <family val="2"/>
      </rPr>
      <t>https://recutechcalculator.com/?do=computationForm-submit</t>
    </r>
    <r>
      <rPr>
        <sz val="10"/>
        <color theme="1"/>
        <rFont val="Century Gothic"/>
        <family val="2"/>
      </rPr>
      <t xml:space="preserve"> --&gt; r Select -laskentaohjelmasta</t>
    </r>
  </si>
  <si>
    <t>ENTALPIAKENNOLLA</t>
  </si>
  <si>
    <t>Kennotyyppi: RFC-27-350-25</t>
  </si>
  <si>
    <t>Alumiinikennon painehäviöt Pulkkaselta 29.8.2025 sähköpostin liitteessä (Excel: "Laskentaohjelma- ENTALPIA -- ja alu muutokset 21-8-2025-täsmennetty 27-8-2025")</t>
  </si>
  <si>
    <t>d</t>
  </si>
  <si>
    <t>Alumiinikennon puhallinkäyrät</t>
  </si>
  <si>
    <t>9 V</t>
  </si>
  <si>
    <t>Entalpiakennon kanssa (lisätty kennojen painehäviön erotus)</t>
  </si>
  <si>
    <t>Puhallinkäyrät</t>
  </si>
  <si>
    <t>ALUMIINI</t>
  </si>
  <si>
    <t>Testauksia</t>
  </si>
  <si>
    <t>Pa ALU</t>
  </si>
  <si>
    <t>Pa ENT</t>
  </si>
  <si>
    <t>Entalpiakennon datat Recutechin laskentaohjelmasta: https://recutechcalculator.com/?do=computationForm-submit</t>
  </si>
  <si>
    <t>Model 150/250/350</t>
  </si>
  <si>
    <t>Recutech enthalpic RFC+39-500-30</t>
  </si>
  <si>
    <t>Ks. Excel "Kennovertailut, sama kosteusero eri lämpötila" (Välilehti Model 150/250/350 talvi)</t>
  </si>
  <si>
    <t>Ks. Excel "Kennovertailut, sama kosteusero eri lämpötila" (Välilehti Model 150/250/350 kesä)</t>
  </si>
  <si>
    <t>Entalpiakennon datat Recutechin rSelect -laskentaohjelmasta (v7.2.0.13)</t>
  </si>
  <si>
    <t>Kennotyyppi: RFK-23-350-22</t>
  </si>
  <si>
    <t>ENT</t>
  </si>
  <si>
    <t>ALU</t>
  </si>
  <si>
    <t>RFC+39-500-30</t>
  </si>
  <si>
    <t>Alumiinikennon painehäviöt Ekocoilin softasta LEV-620-394-500-2,2</t>
  </si>
  <si>
    <t>Ilman patteria</t>
  </si>
  <si>
    <t>Airfi model 60ENT</t>
  </si>
  <si>
    <t>Airfi model 150ENT</t>
  </si>
  <si>
    <t>ENTALPIAKENNO</t>
  </si>
  <si>
    <t>Recutech RFK-23-350-22</t>
  </si>
  <si>
    <t>Alumiinikennon arvot</t>
  </si>
  <si>
    <t>Airfi Model 130ENT</t>
  </si>
  <si>
    <t>Ks. välilehti "Kennolaskuri Model 60ENT"</t>
  </si>
  <si>
    <t>Airfi Model 53miniENT</t>
  </si>
  <si>
    <t>Recutech RFC-27-350-25</t>
  </si>
  <si>
    <t>Ks. välilehti "Kennolaskuri Model 130ENT"</t>
  </si>
  <si>
    <t>EN 13141-7
Käytetään EN 308</t>
  </si>
  <si>
    <t>EN308 model 130</t>
  </si>
  <si>
    <t>Recutech RFK+23-265-22</t>
  </si>
  <si>
    <t>Ks. välilehti "Kennolaskuri Model 53miniENT"</t>
  </si>
  <si>
    <t xml:space="preserve">EHDOTUS, model 53mini,
EN 13141-7  1:1    Nt(RLTO=1)  </t>
  </si>
  <si>
    <t>Ehdotus EN308 model 53mini</t>
  </si>
  <si>
    <t>Muokkaa tähän versionumero, niin menee kaikkiin</t>
  </si>
  <si>
    <t>Lisätty entalpiakennonkoneiden laskenta ja oma välilehti</t>
  </si>
  <si>
    <t>Airfi laskentaohjelma_v8.0</t>
  </si>
  <si>
    <t>Entalpiakoneessa käytetty entalpiakennon</t>
  </si>
  <si>
    <t>lämpötilahyötysuhdearvoa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</si>
</sst>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164" formatCode="0.000"/>
    <numFmt numFmtId="165" formatCode="0.0"/>
    <numFmt numFmtId="166" formatCode="0.00000"/>
    <numFmt numFmtId="167" formatCode="0&quot; m³/h&quot;"/>
    <numFmt numFmtId="168" formatCode="0&quot; °C&quot;"/>
    <numFmt numFmtId="169" formatCode="0.0&quot; °C&quot;"/>
    <numFmt numFmtId="170" formatCode="0.0\ %"/>
    <numFmt numFmtId="171" formatCode="0.0000"/>
    <numFmt numFmtId="172" formatCode="0&quot; g/s&quot;"/>
    <numFmt numFmtId="173" formatCode="0.000\ %"/>
    <numFmt numFmtId="174" formatCode="0&quot; g/kg&quot;"/>
  </numFmts>
  <fonts count="138" x14ac:knownFonts="1"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3F3F76"/>
      <name val="Century Gothic"/>
      <family val="2"/>
    </font>
    <font>
      <b/>
      <sz val="10"/>
      <color rgb="FF3F3F3F"/>
      <name val="Century Gothic"/>
      <family val="2"/>
    </font>
    <font>
      <b/>
      <sz val="10"/>
      <color rgb="FFFA7D00"/>
      <name val="Century Gothic"/>
      <family val="2"/>
    </font>
    <font>
      <i/>
      <sz val="10"/>
      <color rgb="FF7F7F7F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vertAlign val="subscript"/>
      <sz val="10"/>
      <name val="Century Gothic"/>
      <family val="2"/>
    </font>
    <font>
      <vertAlign val="superscript"/>
      <sz val="10"/>
      <color theme="1"/>
      <name val="Century Gothic"/>
      <family val="2"/>
    </font>
    <font>
      <b/>
      <vertAlign val="superscript"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10"/>
      <color rgb="FFFF0000"/>
      <name val="Century Gothic"/>
      <family val="2"/>
    </font>
    <font>
      <vertAlign val="subscript"/>
      <sz val="10"/>
      <color theme="1"/>
      <name val="Century Gothic"/>
      <family val="2"/>
    </font>
    <font>
      <b/>
      <vertAlign val="subscript"/>
      <sz val="10"/>
      <color theme="1"/>
      <name val="Century Gothic"/>
      <family val="2"/>
    </font>
    <font>
      <b/>
      <sz val="10"/>
      <color rgb="FFC00000"/>
      <name val="Century Gothic"/>
      <family val="2"/>
    </font>
    <font>
      <u/>
      <sz val="10"/>
      <color theme="10"/>
      <name val="Century Gothic"/>
      <family val="2"/>
    </font>
    <font>
      <u/>
      <sz val="8"/>
      <color theme="10"/>
      <name val="Century Gothic"/>
      <family val="2"/>
    </font>
    <font>
      <sz val="10"/>
      <color rgb="FF006100"/>
      <name val="Century Gothic"/>
      <family val="2"/>
    </font>
    <font>
      <b/>
      <sz val="12"/>
      <color theme="1"/>
      <name val="Century Gothic"/>
      <family val="2"/>
    </font>
    <font>
      <sz val="10"/>
      <color theme="3" tint="-0.499984740745262"/>
      <name val="Century Gothic"/>
      <family val="2"/>
    </font>
    <font>
      <b/>
      <sz val="10"/>
      <color theme="3" tint="-0.499984740745262"/>
      <name val="Century Gothic"/>
      <family val="2"/>
    </font>
    <font>
      <b/>
      <sz val="9"/>
      <color theme="1"/>
      <name val="Century Gothic"/>
      <family val="2"/>
    </font>
    <font>
      <b/>
      <sz val="11"/>
      <color theme="3" tint="-0.499984740745262"/>
      <name val="Century Gothic"/>
      <family val="2"/>
    </font>
    <font>
      <b/>
      <u/>
      <sz val="10"/>
      <color theme="1"/>
      <name val="Century Gothic"/>
      <family val="2"/>
    </font>
    <font>
      <b/>
      <sz val="13"/>
      <color theme="4" tint="-0.499984740745262"/>
      <name val="Century Gothic"/>
      <family val="2"/>
    </font>
    <font>
      <b/>
      <sz val="11"/>
      <color rgb="FF3F3F3F"/>
      <name val="Century Gothic"/>
      <family val="2"/>
    </font>
    <font>
      <sz val="10"/>
      <color theme="0"/>
      <name val="Century Gothic"/>
      <family val="2"/>
    </font>
    <font>
      <b/>
      <sz val="14"/>
      <color theme="4" tint="-0.499984740745262"/>
      <name val="Century Gothic"/>
      <family val="2"/>
    </font>
    <font>
      <b/>
      <sz val="16"/>
      <name val="Century Gothic"/>
      <family val="2"/>
    </font>
    <font>
      <sz val="10"/>
      <color rgb="FFFF0000"/>
      <name val="Century Gothic"/>
      <family val="2"/>
    </font>
    <font>
      <b/>
      <sz val="9"/>
      <color rgb="FFFF0000"/>
      <name val="Century Gothic"/>
      <family val="2"/>
    </font>
    <font>
      <i/>
      <sz val="10"/>
      <color theme="1"/>
      <name val="Century Gothic"/>
      <family val="2"/>
    </font>
    <font>
      <b/>
      <vertAlign val="superscript"/>
      <sz val="10"/>
      <name val="Century Gothic"/>
      <family val="2"/>
    </font>
    <font>
      <strike/>
      <sz val="10"/>
      <color theme="1"/>
      <name val="Century Gothic"/>
      <family val="2"/>
    </font>
    <font>
      <b/>
      <strike/>
      <sz val="10"/>
      <color theme="1"/>
      <name val="Century Gothic"/>
      <family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Century Gothic"/>
      <family val="2"/>
    </font>
    <font>
      <sz val="10"/>
      <color rgb="FF9C5700"/>
      <name val="Century Gothic"/>
      <family val="2"/>
    </font>
    <font>
      <sz val="8"/>
      <color theme="9"/>
      <name val="Century Gothic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7.5"/>
      <color theme="1"/>
      <name val="Century Gothic"/>
      <family val="2"/>
    </font>
    <font>
      <u/>
      <sz val="7.5"/>
      <color theme="10"/>
      <name val="Century Gothic"/>
      <family val="2"/>
    </font>
    <font>
      <sz val="9"/>
      <color theme="3" tint="-0.499984740745262"/>
      <name val="Century Gothic"/>
      <family val="2"/>
    </font>
    <font>
      <vertAlign val="superscript"/>
      <sz val="9"/>
      <color theme="1"/>
      <name val="Century Gothic"/>
      <family val="2"/>
    </font>
    <font>
      <b/>
      <sz val="8"/>
      <color theme="1"/>
      <name val="Century Gothic"/>
      <family val="2"/>
    </font>
    <font>
      <b/>
      <vertAlign val="subscript"/>
      <sz val="8"/>
      <color theme="1"/>
      <name val="Century Gothic"/>
      <family val="2"/>
    </font>
    <font>
      <b/>
      <sz val="14"/>
      <color rgb="FFFF0000"/>
      <name val="Century Gothic"/>
      <family val="2"/>
    </font>
    <font>
      <u/>
      <sz val="10"/>
      <color theme="1"/>
      <name val="Century Gothic"/>
      <family val="2"/>
    </font>
    <font>
      <b/>
      <sz val="8"/>
      <color rgb="FFFF0000"/>
      <name val="Century Gothic"/>
      <family val="2"/>
    </font>
    <font>
      <sz val="10"/>
      <color theme="1" tint="0.249977111117893"/>
      <name val="Century Gothic"/>
      <family val="2"/>
    </font>
    <font>
      <b/>
      <u/>
      <sz val="11"/>
      <color theme="1"/>
      <name val="Century Gothic"/>
      <family val="2"/>
    </font>
    <font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entury Gothic"/>
      <family val="2"/>
    </font>
    <font>
      <strike/>
      <sz val="10"/>
      <color theme="3" tint="-0.499984740745262"/>
      <name val="Century Gothic"/>
      <family val="2"/>
    </font>
    <font>
      <sz val="9"/>
      <color rgb="FFFF0000"/>
      <name val="Century Gothic"/>
      <family val="2"/>
    </font>
    <font>
      <b/>
      <sz val="14"/>
      <color theme="1"/>
      <name val="Century Gothic"/>
      <family val="2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2"/>
      <color theme="1" tint="0.499984740745262"/>
      <name val="Century Gothic"/>
      <family val="2"/>
    </font>
    <font>
      <b/>
      <sz val="10"/>
      <color theme="1" tint="0.14999847407452621"/>
      <name val="Century Gothic"/>
      <family val="2"/>
    </font>
    <font>
      <sz val="11"/>
      <color theme="1"/>
      <name val="Century Gothic"/>
      <family val="2"/>
    </font>
    <font>
      <sz val="11"/>
      <color rgb="FF000000"/>
      <name val="Calibri"/>
      <family val="2"/>
    </font>
    <font>
      <b/>
      <sz val="15"/>
      <color rgb="FF00000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3F3F76"/>
      <name val="Calibri"/>
      <family val="2"/>
      <scheme val="minor"/>
    </font>
    <font>
      <vertAlign val="subscript"/>
      <sz val="11"/>
      <color rgb="FF00000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9"/>
      <color rgb="FF000000"/>
      <name val="Arial"/>
      <family val="2"/>
    </font>
    <font>
      <sz val="7"/>
      <color rgb="FF000000"/>
      <name val="Arial"/>
      <family val="2"/>
    </font>
    <font>
      <b/>
      <sz val="7"/>
      <color rgb="FF000000"/>
      <name val="Arial"/>
      <family val="2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1"/>
      <name val="Calibri"/>
      <family val="2"/>
      <scheme val="minor"/>
    </font>
    <font>
      <sz val="11"/>
      <color theme="0" tint="-0.499984740745262"/>
      <name val="Calibri"/>
      <family val="2"/>
    </font>
    <font>
      <sz val="11"/>
      <color rgb="FFFF0000"/>
      <name val="Calibri"/>
      <family val="2"/>
    </font>
    <font>
      <b/>
      <u/>
      <sz val="11"/>
      <color rgb="FF000000"/>
      <name val="Calibri"/>
      <family val="2"/>
    </font>
    <font>
      <sz val="8"/>
      <color rgb="FFFF0000"/>
      <name val="Century Gothic"/>
      <family val="2"/>
    </font>
    <font>
      <b/>
      <sz val="11"/>
      <color rgb="FFFF0000"/>
      <name val="Century Gothic"/>
      <family val="2"/>
    </font>
    <font>
      <i/>
      <sz val="9"/>
      <color theme="1" tint="0.249977111117893"/>
      <name val="Century Gothic"/>
      <family val="2"/>
    </font>
    <font>
      <sz val="11"/>
      <color rgb="FF9C0006"/>
      <name val="Calibri"/>
      <family val="2"/>
      <scheme val="minor"/>
    </font>
    <font>
      <sz val="10"/>
      <name val="Arial"/>
      <family val="2"/>
    </font>
    <font>
      <u/>
      <sz val="9"/>
      <color theme="1"/>
      <name val="Century Gothic"/>
      <family val="2"/>
    </font>
    <font>
      <b/>
      <sz val="10"/>
      <color theme="0" tint="-0.34998626667073579"/>
      <name val="Century Gothic"/>
      <family val="2"/>
    </font>
    <font>
      <sz val="10"/>
      <color theme="0" tint="-0.34998626667073579"/>
      <name val="Century Gothic"/>
      <family val="2"/>
    </font>
    <font>
      <sz val="10"/>
      <color theme="0" tint="-0.499984740745262"/>
      <name val="Century Gothic"/>
      <family val="2"/>
    </font>
    <font>
      <b/>
      <i/>
      <sz val="10"/>
      <color rgb="FF7F7F7F"/>
      <name val="Century Gothic"/>
      <family val="2"/>
    </font>
    <font>
      <b/>
      <sz val="10"/>
      <color theme="1"/>
      <name val="Calibri"/>
      <family val="2"/>
      <scheme val="minor"/>
    </font>
    <font>
      <sz val="8"/>
      <color rgb="FF000000"/>
      <name val="Segoe UI"/>
      <charset val="1"/>
    </font>
  </fonts>
  <fills count="41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8F8F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4DFF00"/>
        <bgColor indexed="64"/>
      </patternFill>
    </fill>
    <fill>
      <patternFill patternType="solid">
        <fgColor rgb="FFB3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B300"/>
        <bgColor indexed="64"/>
      </patternFill>
    </fill>
    <fill>
      <patternFill patternType="solid">
        <fgColor rgb="FFFF4D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rgb="FFFDFDFD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0.89999084444715716"/>
        <bgColor indexed="64"/>
      </patternFill>
    </fill>
  </fills>
  <borders count="20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rgb="FF7F7F7F"/>
      </top>
      <bottom style="thin">
        <color indexed="64"/>
      </bottom>
      <diagonal/>
    </border>
    <border>
      <left/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B2B2B2"/>
      </right>
      <top style="dotted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double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double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indexed="64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/>
      <bottom style="thin">
        <color indexed="64"/>
      </bottom>
      <diagonal/>
    </border>
    <border>
      <left style="medium">
        <color indexed="64"/>
      </left>
      <right style="thin">
        <color rgb="FFFFAF31"/>
      </right>
      <top style="medium">
        <color indexed="64"/>
      </top>
      <bottom style="thin">
        <color rgb="FFFFAF31"/>
      </bottom>
      <diagonal/>
    </border>
    <border>
      <left style="thin">
        <color rgb="FFFFAF31"/>
      </left>
      <right style="thin">
        <color rgb="FFFFAF31"/>
      </right>
      <top style="medium">
        <color indexed="64"/>
      </top>
      <bottom style="thin">
        <color rgb="FFFFAF31"/>
      </bottom>
      <diagonal/>
    </border>
    <border>
      <left style="thin">
        <color rgb="FFFFAF31"/>
      </left>
      <right style="medium">
        <color indexed="64"/>
      </right>
      <top style="medium">
        <color indexed="64"/>
      </top>
      <bottom style="thin">
        <color rgb="FFFFAF31"/>
      </bottom>
      <diagonal/>
    </border>
    <border>
      <left style="medium">
        <color indexed="64"/>
      </left>
      <right style="thin">
        <color rgb="FFFFAF31"/>
      </right>
      <top style="thin">
        <color rgb="FFFFAF31"/>
      </top>
      <bottom style="thin">
        <color rgb="FFFFAF31"/>
      </bottom>
      <diagonal/>
    </border>
    <border>
      <left style="thin">
        <color rgb="FFFFAF31"/>
      </left>
      <right style="thin">
        <color rgb="FFFFAF31"/>
      </right>
      <top style="thin">
        <color rgb="FFFFAF31"/>
      </top>
      <bottom style="thin">
        <color rgb="FFFFAF31"/>
      </bottom>
      <diagonal/>
    </border>
    <border>
      <left style="thin">
        <color rgb="FFFFAF31"/>
      </left>
      <right style="medium">
        <color indexed="64"/>
      </right>
      <top style="thin">
        <color rgb="FFFFAF31"/>
      </top>
      <bottom style="thin">
        <color rgb="FFFFAF31"/>
      </bottom>
      <diagonal/>
    </border>
    <border>
      <left style="medium">
        <color indexed="64"/>
      </left>
      <right/>
      <top style="thin">
        <color rgb="FFFFAF31"/>
      </top>
      <bottom style="thin">
        <color rgb="FFFFAF31"/>
      </bottom>
      <diagonal/>
    </border>
    <border>
      <left/>
      <right/>
      <top style="thin">
        <color rgb="FFFFAF31"/>
      </top>
      <bottom style="thin">
        <color rgb="FFFFAF31"/>
      </bottom>
      <diagonal/>
    </border>
    <border>
      <left/>
      <right style="medium">
        <color indexed="64"/>
      </right>
      <top style="thin">
        <color rgb="FFFFAF31"/>
      </top>
      <bottom style="thin">
        <color rgb="FFFFAF31"/>
      </bottom>
      <diagonal/>
    </border>
    <border>
      <left/>
      <right style="thin">
        <color rgb="FFFFAF31"/>
      </right>
      <top/>
      <bottom/>
      <diagonal/>
    </border>
    <border>
      <left style="thin">
        <color indexed="64"/>
      </left>
      <right style="thin">
        <color rgb="FFFFAF31"/>
      </right>
      <top style="thin">
        <color indexed="64"/>
      </top>
      <bottom style="thin">
        <color rgb="FFFFAF31"/>
      </bottom>
      <diagonal/>
    </border>
    <border>
      <left style="thin">
        <color rgb="FFFFAF31"/>
      </left>
      <right style="thin">
        <color rgb="FFFFAF31"/>
      </right>
      <top style="thin">
        <color indexed="64"/>
      </top>
      <bottom style="thin">
        <color rgb="FFFFAF31"/>
      </bottom>
      <diagonal/>
    </border>
    <border>
      <left style="thin">
        <color rgb="FFFFAF31"/>
      </left>
      <right style="thin">
        <color indexed="64"/>
      </right>
      <top style="thin">
        <color indexed="64"/>
      </top>
      <bottom style="thin">
        <color rgb="FFFFAF31"/>
      </bottom>
      <diagonal/>
    </border>
    <border>
      <left style="thin">
        <color indexed="64"/>
      </left>
      <right style="thin">
        <color rgb="FFFFAF31"/>
      </right>
      <top style="thin">
        <color rgb="FFFFAF31"/>
      </top>
      <bottom style="thin">
        <color rgb="FFFFAF31"/>
      </bottom>
      <diagonal/>
    </border>
    <border>
      <left style="thin">
        <color rgb="FFFFAF31"/>
      </left>
      <right style="thin">
        <color indexed="64"/>
      </right>
      <top style="thin">
        <color rgb="FFFFAF31"/>
      </top>
      <bottom style="thin">
        <color rgb="FFFFAF3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rgb="FFFFAF31"/>
      </top>
      <bottom style="thin">
        <color rgb="FFFFAF3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rgb="FFFFAF31"/>
      </top>
      <bottom style="thin">
        <color rgb="FFFFAF3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FFAF31"/>
      </right>
      <top style="thin">
        <color rgb="FFFFAF31"/>
      </top>
      <bottom/>
      <diagonal/>
    </border>
    <border>
      <left style="thin">
        <color rgb="FFFFAF31"/>
      </left>
      <right style="thin">
        <color rgb="FFFFAF31"/>
      </right>
      <top style="thin">
        <color rgb="FFFFAF31"/>
      </top>
      <bottom/>
      <diagonal/>
    </border>
    <border>
      <left style="thin">
        <color rgb="FFFFAF31"/>
      </left>
      <right style="thin">
        <color indexed="64"/>
      </right>
      <top style="thin">
        <color rgb="FFFFAF31"/>
      </top>
      <bottom/>
      <diagonal/>
    </border>
    <border>
      <left style="thin">
        <color indexed="64"/>
      </left>
      <right style="thin">
        <color rgb="FFFFAF31"/>
      </right>
      <top style="thin">
        <color rgb="FFFFAF31"/>
      </top>
      <bottom style="thin">
        <color indexed="64"/>
      </bottom>
      <diagonal/>
    </border>
    <border>
      <left style="thin">
        <color rgb="FFFFAF31"/>
      </left>
      <right style="thin">
        <color rgb="FFFFAF31"/>
      </right>
      <top style="thin">
        <color rgb="FFFFAF31"/>
      </top>
      <bottom style="thin">
        <color indexed="64"/>
      </bottom>
      <diagonal/>
    </border>
    <border>
      <left style="thin">
        <color rgb="FFFFAF31"/>
      </left>
      <right style="thin">
        <color indexed="64"/>
      </right>
      <top style="thin">
        <color rgb="FFFFAF31"/>
      </top>
      <bottom style="thin">
        <color indexed="64"/>
      </bottom>
      <diagonal/>
    </border>
    <border>
      <left style="thin">
        <color indexed="64"/>
      </left>
      <right style="thin">
        <color rgb="FFFFAF31"/>
      </right>
      <top/>
      <bottom style="thin">
        <color rgb="FFFFAF31"/>
      </bottom>
      <diagonal/>
    </border>
    <border>
      <left style="thin">
        <color rgb="FFFFAF31"/>
      </left>
      <right style="thin">
        <color rgb="FFFFAF31"/>
      </right>
      <top/>
      <bottom style="thin">
        <color rgb="FFFFAF31"/>
      </bottom>
      <diagonal/>
    </border>
    <border>
      <left style="thin">
        <color rgb="FFFFAF31"/>
      </left>
      <right style="thin">
        <color indexed="64"/>
      </right>
      <top/>
      <bottom style="thin">
        <color rgb="FFFFAF31"/>
      </bottom>
      <diagonal/>
    </border>
    <border>
      <left style="thin">
        <color indexed="64"/>
      </left>
      <right style="thin">
        <color rgb="FFFFAF31"/>
      </right>
      <top style="thin">
        <color indexed="64"/>
      </top>
      <bottom style="thin">
        <color indexed="64"/>
      </bottom>
      <diagonal/>
    </border>
    <border>
      <left style="thin">
        <color rgb="FFFFAF31"/>
      </left>
      <right style="thin">
        <color rgb="FFFFAF31"/>
      </right>
      <top style="thin">
        <color indexed="64"/>
      </top>
      <bottom style="thin">
        <color indexed="64"/>
      </bottom>
      <diagonal/>
    </border>
    <border>
      <left style="thin">
        <color rgb="FFFFAF3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/>
      <right/>
      <top style="thin">
        <color rgb="FFFFAF3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rgb="FF3F3F3F"/>
      </bottom>
      <diagonal/>
    </border>
    <border>
      <left style="thin">
        <color rgb="FF3F3F3F"/>
      </left>
      <right style="thin">
        <color indexed="64"/>
      </right>
      <top style="thin">
        <color rgb="FF3F3F3F"/>
      </top>
      <bottom style="thin">
        <color rgb="FF3F3F3F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95">
    <xf numFmtId="0" fontId="0" fillId="0" borderId="0"/>
    <xf numFmtId="0" fontId="32" fillId="4" borderId="1" applyNumberFormat="0" applyAlignment="0" applyProtection="0"/>
    <xf numFmtId="0" fontId="33" fillId="17" borderId="2" applyNumberFormat="0" applyAlignment="0" applyProtection="0"/>
    <xf numFmtId="0" fontId="34" fillId="2" borderId="1" applyNumberFormat="0" applyAlignment="0" applyProtection="0"/>
    <xf numFmtId="0" fontId="35" fillId="0" borderId="0" applyNumberFormat="0" applyFill="0" applyBorder="0" applyAlignment="0" applyProtection="0"/>
    <xf numFmtId="0" fontId="37" fillId="3" borderId="35" applyNumberFormat="0" applyFont="0" applyAlignment="0" applyProtection="0"/>
    <xf numFmtId="0" fontId="37" fillId="0" borderId="0"/>
    <xf numFmtId="0" fontId="49" fillId="0" borderId="0" applyNumberFormat="0" applyFill="0" applyBorder="0" applyAlignment="0" applyProtection="0"/>
    <xf numFmtId="9" fontId="37" fillId="0" borderId="0" applyFont="0" applyFill="0" applyBorder="0" applyAlignment="0" applyProtection="0"/>
    <xf numFmtId="0" fontId="51" fillId="14" borderId="0" applyNumberFormat="0" applyBorder="0" applyAlignment="0" applyProtection="0"/>
    <xf numFmtId="0" fontId="53" fillId="16" borderId="54" applyNumberFormat="0" applyAlignment="0" applyProtection="0"/>
    <xf numFmtId="0" fontId="54" fillId="5" borderId="2" applyNumberFormat="0" applyAlignment="0" applyProtection="0"/>
    <xf numFmtId="0" fontId="37" fillId="15" borderId="35" applyNumberFormat="0" applyFont="0" applyAlignment="0" applyProtection="0"/>
    <xf numFmtId="0" fontId="32" fillId="22" borderId="1" applyNumberFormat="0" applyAlignment="0" applyProtection="0"/>
    <xf numFmtId="0" fontId="75" fillId="23" borderId="0" applyNumberFormat="0" applyBorder="0" applyAlignment="0" applyProtection="0"/>
    <xf numFmtId="0" fontId="31" fillId="0" borderId="0"/>
    <xf numFmtId="0" fontId="28" fillId="0" borderId="0"/>
    <xf numFmtId="0" fontId="21" fillId="0" borderId="0"/>
    <xf numFmtId="0" fontId="18" fillId="0" borderId="0"/>
    <xf numFmtId="0" fontId="17" fillId="0" borderId="0"/>
    <xf numFmtId="0" fontId="17" fillId="0" borderId="0"/>
    <xf numFmtId="0" fontId="14" fillId="0" borderId="0"/>
    <xf numFmtId="0" fontId="108" fillId="0" borderId="0"/>
    <xf numFmtId="0" fontId="113" fillId="22" borderId="1" applyNumberFormat="0" applyAlignment="0" applyProtection="0"/>
    <xf numFmtId="0" fontId="115" fillId="2" borderId="1" applyNumberFormat="0" applyAlignment="0" applyProtection="0"/>
    <xf numFmtId="0" fontId="116" fillId="2" borderId="2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15" borderId="35" applyNumberFormat="0" applyFont="0" applyAlignment="0" applyProtection="0"/>
    <xf numFmtId="0" fontId="129" fillId="36" borderId="0" applyNumberFormat="0" applyBorder="0" applyAlignment="0" applyProtection="0"/>
    <xf numFmtId="0" fontId="5" fillId="37" borderId="0" applyNumberFormat="0" applyBorder="0" applyAlignment="0" applyProtection="0"/>
    <xf numFmtId="0" fontId="130" fillId="0" borderId="0"/>
    <xf numFmtId="0" fontId="74" fillId="0" borderId="0"/>
    <xf numFmtId="0" fontId="37" fillId="15" borderId="35" applyNumberFormat="0" applyAlignment="0" applyProtection="0"/>
    <xf numFmtId="9" fontId="4" fillId="0" borderId="0" applyFont="0" applyFill="0" applyBorder="0" applyAlignment="0" applyProtection="0"/>
    <xf numFmtId="0" fontId="34" fillId="2" borderId="1" applyNumberFormat="0" applyAlignment="0" applyProtection="0"/>
    <xf numFmtId="0" fontId="33" fillId="2" borderId="2" applyNumberFormat="0" applyAlignment="0" applyProtection="0"/>
    <xf numFmtId="0" fontId="4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33" fillId="2" borderId="2" applyNumberFormat="0" applyAlignment="0" applyProtection="0"/>
    <xf numFmtId="0" fontId="34" fillId="2" borderId="1" applyNumberFormat="0" applyAlignment="0" applyProtection="0"/>
    <xf numFmtId="0" fontId="32" fillId="22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0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5" fillId="0" borderId="0" applyNumberForma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0" fillId="0" borderId="0"/>
    <xf numFmtId="0" fontId="3" fillId="0" borderId="0"/>
    <xf numFmtId="0" fontId="3" fillId="0" borderId="0"/>
    <xf numFmtId="0" fontId="130" fillId="0" borderId="0"/>
    <xf numFmtId="0" fontId="3" fillId="0" borderId="0"/>
    <xf numFmtId="0" fontId="37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0" fillId="0" borderId="0"/>
    <xf numFmtId="0" fontId="3" fillId="0" borderId="0"/>
    <xf numFmtId="0" fontId="130" fillId="0" borderId="0"/>
    <xf numFmtId="0" fontId="3" fillId="0" borderId="0"/>
    <xf numFmtId="0" fontId="3" fillId="0" borderId="0"/>
    <xf numFmtId="0" fontId="130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0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0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37" borderId="0" applyNumberFormat="0" applyBorder="0" applyAlignment="0" applyProtection="0"/>
    <xf numFmtId="0" fontId="2" fillId="0" borderId="0"/>
    <xf numFmtId="0" fontId="2" fillId="0" borderId="0"/>
    <xf numFmtId="0" fontId="2" fillId="0" borderId="0"/>
  </cellStyleXfs>
  <cellXfs count="1886">
    <xf numFmtId="0" fontId="0" fillId="0" borderId="0" xfId="0"/>
    <xf numFmtId="0" fontId="37" fillId="0" borderId="0" xfId="0" applyFont="1"/>
    <xf numFmtId="0" fontId="36" fillId="0" borderId="0" xfId="0" applyFont="1"/>
    <xf numFmtId="165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5" fontId="36" fillId="0" borderId="0" xfId="0" applyNumberFormat="1" applyFont="1" applyAlignment="1">
      <alignment horizontal="center"/>
    </xf>
    <xf numFmtId="0" fontId="34" fillId="2" borderId="1" xfId="3"/>
    <xf numFmtId="0" fontId="32" fillId="4" borderId="1" xfId="1"/>
    <xf numFmtId="165" fontId="33" fillId="17" borderId="2" xfId="2" applyNumberFormat="1"/>
    <xf numFmtId="0" fontId="0" fillId="0" borderId="4" xfId="0" applyBorder="1"/>
    <xf numFmtId="0" fontId="0" fillId="0" borderId="6" xfId="0" applyBorder="1" applyAlignment="1">
      <alignment horizontal="center"/>
    </xf>
    <xf numFmtId="0" fontId="0" fillId="0" borderId="7" xfId="0" applyBorder="1"/>
    <xf numFmtId="165" fontId="0" fillId="0" borderId="8" xfId="0" applyNumberFormat="1" applyBorder="1" applyAlignment="1">
      <alignment horizontal="center"/>
    </xf>
    <xf numFmtId="0" fontId="0" fillId="0" borderId="9" xfId="0" applyBorder="1"/>
    <xf numFmtId="165" fontId="0" fillId="0" borderId="11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5" xfId="0" applyBorder="1"/>
    <xf numFmtId="0" fontId="36" fillId="0" borderId="4" xfId="0" applyFont="1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0" fontId="36" fillId="0" borderId="8" xfId="0" applyFont="1" applyBorder="1"/>
    <xf numFmtId="2" fontId="0" fillId="0" borderId="7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2" xfId="0" applyBorder="1"/>
    <xf numFmtId="0" fontId="0" fillId="0" borderId="13" xfId="0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quotePrefix="1"/>
    <xf numFmtId="0" fontId="36" fillId="0" borderId="5" xfId="0" applyFont="1" applyBorder="1"/>
    <xf numFmtId="0" fontId="0" fillId="0" borderId="12" xfId="0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0" fontId="36" fillId="0" borderId="15" xfId="0" applyFont="1" applyBorder="1" applyAlignment="1">
      <alignment horizontal="center"/>
    </xf>
    <xf numFmtId="0" fontId="36" fillId="0" borderId="16" xfId="0" applyFont="1" applyBorder="1" applyAlignment="1">
      <alignment horizontal="center"/>
    </xf>
    <xf numFmtId="0" fontId="36" fillId="0" borderId="17" xfId="0" applyFont="1" applyBorder="1" applyAlignment="1">
      <alignment horizontal="center"/>
    </xf>
    <xf numFmtId="0" fontId="0" fillId="0" borderId="14" xfId="0" applyBorder="1"/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1" fontId="32" fillId="4" borderId="1" xfId="1" applyNumberFormat="1" applyAlignment="1">
      <alignment horizontal="center"/>
    </xf>
    <xf numFmtId="0" fontId="0" fillId="0" borderId="10" xfId="0" applyBorder="1" applyAlignment="1">
      <alignment horizontal="center"/>
    </xf>
    <xf numFmtId="164" fontId="34" fillId="2" borderId="1" xfId="3" applyNumberFormat="1" applyAlignment="1">
      <alignment horizontal="center"/>
    </xf>
    <xf numFmtId="2" fontId="34" fillId="2" borderId="1" xfId="3" applyNumberFormat="1" applyAlignment="1">
      <alignment horizontal="center"/>
    </xf>
    <xf numFmtId="165" fontId="33" fillId="17" borderId="2" xfId="2" applyNumberFormat="1" applyAlignment="1">
      <alignment horizontal="center"/>
    </xf>
    <xf numFmtId="164" fontId="33" fillId="17" borderId="2" xfId="2" applyNumberFormat="1" applyAlignment="1">
      <alignment horizontal="center"/>
    </xf>
    <xf numFmtId="165" fontId="35" fillId="0" borderId="7" xfId="4" applyNumberFormat="1" applyBorder="1" applyAlignment="1">
      <alignment horizontal="center"/>
    </xf>
    <xf numFmtId="165" fontId="35" fillId="0" borderId="0" xfId="4" applyNumberFormat="1" applyBorder="1" applyAlignment="1">
      <alignment horizontal="center"/>
    </xf>
    <xf numFmtId="165" fontId="35" fillId="0" borderId="8" xfId="4" applyNumberFormat="1" applyBorder="1" applyAlignment="1">
      <alignment horizontal="center"/>
    </xf>
    <xf numFmtId="165" fontId="35" fillId="0" borderId="9" xfId="4" applyNumberFormat="1" applyBorder="1" applyAlignment="1">
      <alignment horizontal="center"/>
    </xf>
    <xf numFmtId="165" fontId="35" fillId="0" borderId="10" xfId="4" applyNumberFormat="1" applyBorder="1" applyAlignment="1">
      <alignment horizontal="center"/>
    </xf>
    <xf numFmtId="165" fontId="35" fillId="0" borderId="11" xfId="4" applyNumberFormat="1" applyBorder="1" applyAlignment="1">
      <alignment horizontal="center"/>
    </xf>
    <xf numFmtId="0" fontId="35" fillId="0" borderId="4" xfId="4" applyBorder="1" applyAlignment="1">
      <alignment horizontal="center"/>
    </xf>
    <xf numFmtId="0" fontId="35" fillId="0" borderId="5" xfId="4" applyBorder="1" applyAlignment="1">
      <alignment horizontal="center"/>
    </xf>
    <xf numFmtId="0" fontId="35" fillId="0" borderId="6" xfId="4" applyBorder="1" applyAlignment="1">
      <alignment horizontal="center"/>
    </xf>
    <xf numFmtId="0" fontId="35" fillId="0" borderId="9" xfId="4" applyBorder="1" applyAlignment="1">
      <alignment horizontal="center"/>
    </xf>
    <xf numFmtId="0" fontId="35" fillId="0" borderId="10" xfId="4" applyBorder="1" applyAlignment="1">
      <alignment horizontal="center"/>
    </xf>
    <xf numFmtId="0" fontId="35" fillId="0" borderId="11" xfId="4" applyBorder="1" applyAlignment="1">
      <alignment horizontal="center"/>
    </xf>
    <xf numFmtId="165" fontId="32" fillId="4" borderId="18" xfId="1" applyNumberFormat="1" applyBorder="1" applyAlignment="1">
      <alignment horizontal="center"/>
    </xf>
    <xf numFmtId="165" fontId="32" fillId="4" borderId="1" xfId="1" applyNumberFormat="1" applyAlignment="1">
      <alignment horizontal="center"/>
    </xf>
    <xf numFmtId="165" fontId="32" fillId="4" borderId="19" xfId="1" applyNumberFormat="1" applyBorder="1" applyAlignment="1">
      <alignment horizontal="center"/>
    </xf>
    <xf numFmtId="165" fontId="32" fillId="4" borderId="20" xfId="1" applyNumberFormat="1" applyBorder="1" applyAlignment="1">
      <alignment horizontal="center"/>
    </xf>
    <xf numFmtId="165" fontId="32" fillId="4" borderId="21" xfId="1" applyNumberFormat="1" applyBorder="1" applyAlignment="1">
      <alignment horizontal="center"/>
    </xf>
    <xf numFmtId="165" fontId="32" fillId="4" borderId="22" xfId="1" applyNumberFormat="1" applyBorder="1" applyAlignment="1">
      <alignment horizontal="center"/>
    </xf>
    <xf numFmtId="0" fontId="37" fillId="0" borderId="0" xfId="0" applyFont="1" applyAlignment="1">
      <alignment horizontal="center"/>
    </xf>
    <xf numFmtId="0" fontId="0" fillId="0" borderId="15" xfId="0" applyBorder="1"/>
    <xf numFmtId="0" fontId="0" fillId="0" borderId="17" xfId="0" applyBorder="1"/>
    <xf numFmtId="0" fontId="0" fillId="0" borderId="34" xfId="0" applyBorder="1"/>
    <xf numFmtId="165" fontId="0" fillId="0" borderId="16" xfId="0" applyNumberFormat="1" applyBorder="1"/>
    <xf numFmtId="0" fontId="36" fillId="0" borderId="34" xfId="0" applyFont="1" applyBorder="1"/>
    <xf numFmtId="2" fontId="42" fillId="0" borderId="0" xfId="0" applyNumberFormat="1" applyFont="1"/>
    <xf numFmtId="1" fontId="0" fillId="0" borderId="0" xfId="0" applyNumberFormat="1" applyAlignment="1">
      <alignment horizontal="center"/>
    </xf>
    <xf numFmtId="165" fontId="0" fillId="0" borderId="10" xfId="0" applyNumberFormat="1" applyBorder="1"/>
    <xf numFmtId="0" fontId="0" fillId="0" borderId="0" xfId="0" quotePrefix="1" applyAlignment="1">
      <alignment horizontal="center"/>
    </xf>
    <xf numFmtId="0" fontId="43" fillId="0" borderId="0" xfId="0" applyFont="1"/>
    <xf numFmtId="165" fontId="36" fillId="0" borderId="0" xfId="0" applyNumberFormat="1" applyFont="1"/>
    <xf numFmtId="1" fontId="32" fillId="4" borderId="21" xfId="1" applyNumberFormat="1" applyBorder="1" applyAlignment="1">
      <alignment horizontal="center"/>
    </xf>
    <xf numFmtId="1" fontId="33" fillId="17" borderId="2" xfId="2" applyNumberFormat="1" applyAlignment="1">
      <alignment horizontal="center"/>
    </xf>
    <xf numFmtId="0" fontId="36" fillId="0" borderId="0" xfId="0" quotePrefix="1" applyFont="1" applyAlignment="1">
      <alignment horizontal="center"/>
    </xf>
    <xf numFmtId="0" fontId="0" fillId="5" borderId="0" xfId="0" applyFill="1"/>
    <xf numFmtId="2" fontId="0" fillId="5" borderId="0" xfId="0" applyNumberFormat="1" applyFill="1"/>
    <xf numFmtId="0" fontId="44" fillId="0" borderId="0" xfId="0" applyFont="1" applyAlignment="1">
      <alignment horizontal="right"/>
    </xf>
    <xf numFmtId="0" fontId="45" fillId="0" borderId="0" xfId="0" applyFont="1" applyAlignment="1">
      <alignment horizontal="right"/>
    </xf>
    <xf numFmtId="0" fontId="38" fillId="0" borderId="23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38" fillId="0" borderId="25" xfId="0" applyFont="1" applyBorder="1" applyAlignment="1">
      <alignment horizontal="center"/>
    </xf>
    <xf numFmtId="0" fontId="0" fillId="0" borderId="3" xfId="0" applyBorder="1"/>
    <xf numFmtId="0" fontId="0" fillId="0" borderId="13" xfId="0" applyBorder="1"/>
    <xf numFmtId="14" fontId="0" fillId="0" borderId="7" xfId="0" applyNumberFormat="1" applyBorder="1"/>
    <xf numFmtId="164" fontId="0" fillId="0" borderId="7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36" fillId="0" borderId="0" xfId="0" applyFont="1" applyAlignment="1">
      <alignment horizontal="center"/>
    </xf>
    <xf numFmtId="0" fontId="0" fillId="0" borderId="7" xfId="0" quotePrefix="1" applyBorder="1"/>
    <xf numFmtId="14" fontId="0" fillId="0" borderId="13" xfId="0" applyNumberFormat="1" applyBorder="1"/>
    <xf numFmtId="2" fontId="32" fillId="4" borderId="1" xfId="1" applyNumberFormat="1" applyAlignment="1">
      <alignment horizontal="center"/>
    </xf>
    <xf numFmtId="1" fontId="36" fillId="0" borderId="0" xfId="0" applyNumberFormat="1" applyFont="1" applyAlignment="1">
      <alignment horizontal="center"/>
    </xf>
    <xf numFmtId="14" fontId="0" fillId="0" borderId="13" xfId="0" applyNumberFormat="1" applyBorder="1" applyAlignment="1">
      <alignment horizontal="right"/>
    </xf>
    <xf numFmtId="1" fontId="0" fillId="0" borderId="0" xfId="0" applyNumberFormat="1"/>
    <xf numFmtId="2" fontId="36" fillId="0" borderId="0" xfId="0" applyNumberFormat="1" applyFont="1" applyAlignment="1">
      <alignment horizontal="center"/>
    </xf>
    <xf numFmtId="1" fontId="32" fillId="4" borderId="42" xfId="1" applyNumberFormat="1" applyBorder="1" applyAlignment="1">
      <alignment horizontal="center"/>
    </xf>
    <xf numFmtId="1" fontId="32" fillId="4" borderId="43" xfId="1" applyNumberFormat="1" applyBorder="1" applyAlignment="1">
      <alignment horizontal="center"/>
    </xf>
    <xf numFmtId="0" fontId="32" fillId="4" borderId="42" xfId="1" applyBorder="1" applyAlignment="1">
      <alignment horizontal="center"/>
    </xf>
    <xf numFmtId="0" fontId="32" fillId="4" borderId="43" xfId="1" applyBorder="1" applyAlignment="1">
      <alignment horizontal="center"/>
    </xf>
    <xf numFmtId="165" fontId="32" fillId="4" borderId="44" xfId="1" applyNumberFormat="1" applyBorder="1" applyAlignment="1">
      <alignment horizontal="center"/>
    </xf>
    <xf numFmtId="165" fontId="32" fillId="4" borderId="45" xfId="1" applyNumberFormat="1" applyBorder="1" applyAlignment="1">
      <alignment horizontal="center"/>
    </xf>
    <xf numFmtId="165" fontId="32" fillId="4" borderId="42" xfId="1" applyNumberFormat="1" applyBorder="1" applyAlignment="1">
      <alignment horizontal="center"/>
    </xf>
    <xf numFmtId="165" fontId="32" fillId="4" borderId="43" xfId="1" applyNumberFormat="1" applyBorder="1" applyAlignment="1">
      <alignment horizontal="center"/>
    </xf>
    <xf numFmtId="165" fontId="32" fillId="4" borderId="46" xfId="1" applyNumberFormat="1" applyBorder="1" applyAlignment="1">
      <alignment horizontal="center"/>
    </xf>
    <xf numFmtId="165" fontId="32" fillId="4" borderId="47" xfId="1" applyNumberFormat="1" applyBorder="1" applyAlignment="1">
      <alignment horizontal="center"/>
    </xf>
    <xf numFmtId="165" fontId="34" fillId="2" borderId="1" xfId="3" applyNumberFormat="1"/>
    <xf numFmtId="165" fontId="36" fillId="0" borderId="34" xfId="0" applyNumberFormat="1" applyFont="1" applyBorder="1" applyAlignment="1">
      <alignment horizontal="center"/>
    </xf>
    <xf numFmtId="166" fontId="34" fillId="2" borderId="1" xfId="3" applyNumberFormat="1" applyAlignment="1">
      <alignment horizontal="center"/>
    </xf>
    <xf numFmtId="2" fontId="33" fillId="17" borderId="2" xfId="2" applyNumberFormat="1"/>
    <xf numFmtId="0" fontId="0" fillId="6" borderId="0" xfId="0" applyFill="1"/>
    <xf numFmtId="0" fontId="0" fillId="6" borderId="10" xfId="0" applyFill="1" applyBorder="1"/>
    <xf numFmtId="0" fontId="0" fillId="0" borderId="16" xfId="0" applyBorder="1"/>
    <xf numFmtId="0" fontId="0" fillId="0" borderId="0" xfId="0" applyAlignment="1">
      <alignment horizontal="right"/>
    </xf>
    <xf numFmtId="0" fontId="36" fillId="6" borderId="3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5" xfId="0" applyFill="1" applyBorder="1" applyAlignment="1">
      <alignment horizontal="right"/>
    </xf>
    <xf numFmtId="0" fontId="0" fillId="6" borderId="0" xfId="0" applyFill="1" applyAlignment="1">
      <alignment horizontal="right"/>
    </xf>
    <xf numFmtId="0" fontId="0" fillId="6" borderId="10" xfId="0" applyFill="1" applyBorder="1" applyAlignment="1">
      <alignment horizontal="right"/>
    </xf>
    <xf numFmtId="0" fontId="36" fillId="6" borderId="0" xfId="0" applyFont="1" applyFill="1" applyAlignment="1">
      <alignment horizontal="left" vertical="center" wrapText="1"/>
    </xf>
    <xf numFmtId="165" fontId="0" fillId="6" borderId="10" xfId="0" applyNumberFormat="1" applyFill="1" applyBorder="1"/>
    <xf numFmtId="0" fontId="42" fillId="6" borderId="7" xfId="0" applyFont="1" applyFill="1" applyBorder="1" applyAlignment="1">
      <alignment horizontal="left"/>
    </xf>
    <xf numFmtId="2" fontId="42" fillId="6" borderId="9" xfId="0" applyNumberFormat="1" applyFont="1" applyFill="1" applyBorder="1" applyAlignment="1">
      <alignment horizontal="left"/>
    </xf>
    <xf numFmtId="0" fontId="36" fillId="6" borderId="7" xfId="0" applyFont="1" applyFill="1" applyBorder="1" applyAlignment="1">
      <alignment horizontal="left"/>
    </xf>
    <xf numFmtId="0" fontId="48" fillId="0" borderId="0" xfId="0" applyFont="1"/>
    <xf numFmtId="0" fontId="50" fillId="0" borderId="0" xfId="7" applyFont="1" applyFill="1" applyBorder="1"/>
    <xf numFmtId="167" fontId="36" fillId="6" borderId="0" xfId="0" applyNumberFormat="1" applyFont="1" applyFill="1" applyAlignment="1">
      <alignment vertical="center" wrapText="1"/>
    </xf>
    <xf numFmtId="0" fontId="0" fillId="0" borderId="0" xfId="0" applyAlignment="1">
      <alignment vertical="center"/>
    </xf>
    <xf numFmtId="0" fontId="0" fillId="0" borderId="10" xfId="0" applyBorder="1" applyAlignment="1">
      <alignment vertical="center"/>
    </xf>
    <xf numFmtId="0" fontId="0" fillId="0" borderId="0" xfId="0" quotePrefix="1" applyAlignment="1">
      <alignment vertical="center"/>
    </xf>
    <xf numFmtId="0" fontId="36" fillId="0" borderId="4" xfId="0" applyFont="1" applyBorder="1" applyAlignment="1">
      <alignment vertical="center"/>
    </xf>
    <xf numFmtId="0" fontId="45" fillId="0" borderId="5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36" fillId="0" borderId="16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8" xfId="0" applyBorder="1" applyAlignment="1">
      <alignment vertical="center"/>
    </xf>
    <xf numFmtId="0" fontId="36" fillId="0" borderId="0" xfId="0" applyFont="1" applyAlignment="1">
      <alignment vertical="center"/>
    </xf>
    <xf numFmtId="168" fontId="0" fillId="0" borderId="55" xfId="0" applyNumberFormat="1" applyBorder="1" applyAlignment="1">
      <alignment horizontal="center" vertical="center"/>
    </xf>
    <xf numFmtId="10" fontId="0" fillId="0" borderId="56" xfId="8" applyNumberFormat="1" applyFont="1" applyBorder="1" applyAlignment="1">
      <alignment horizontal="center" vertical="center"/>
    </xf>
    <xf numFmtId="169" fontId="0" fillId="0" borderId="57" xfId="0" applyNumberFormat="1" applyBorder="1" applyAlignment="1">
      <alignment horizontal="center" vertical="center"/>
    </xf>
    <xf numFmtId="169" fontId="0" fillId="0" borderId="56" xfId="0" applyNumberFormat="1" applyBorder="1" applyAlignment="1">
      <alignment horizontal="center" vertical="center"/>
    </xf>
    <xf numFmtId="1" fontId="36" fillId="0" borderId="57" xfId="0" applyNumberFormat="1" applyFont="1" applyBorder="1" applyAlignment="1">
      <alignment horizontal="center" vertical="center"/>
    </xf>
    <xf numFmtId="1" fontId="36" fillId="0" borderId="56" xfId="0" applyNumberFormat="1" applyFont="1" applyBorder="1" applyAlignment="1">
      <alignment horizontal="center" vertical="center"/>
    </xf>
    <xf numFmtId="1" fontId="36" fillId="0" borderId="58" xfId="0" applyNumberFormat="1" applyFont="1" applyBorder="1" applyAlignment="1">
      <alignment horizontal="center" vertical="center"/>
    </xf>
    <xf numFmtId="168" fontId="0" fillId="0" borderId="59" xfId="0" applyNumberFormat="1" applyBorder="1" applyAlignment="1">
      <alignment horizontal="center" vertical="center"/>
    </xf>
    <xf numFmtId="10" fontId="0" fillId="0" borderId="60" xfId="8" applyNumberFormat="1" applyFont="1" applyBorder="1" applyAlignment="1">
      <alignment horizontal="center" vertical="center"/>
    </xf>
    <xf numFmtId="169" fontId="0" fillId="0" borderId="61" xfId="0" applyNumberFormat="1" applyBorder="1" applyAlignment="1">
      <alignment horizontal="center" vertical="center"/>
    </xf>
    <xf numFmtId="169" fontId="0" fillId="0" borderId="60" xfId="0" applyNumberFormat="1" applyBorder="1" applyAlignment="1">
      <alignment horizontal="center" vertical="center"/>
    </xf>
    <xf numFmtId="1" fontId="36" fillId="0" borderId="61" xfId="0" applyNumberFormat="1" applyFont="1" applyBorder="1" applyAlignment="1">
      <alignment horizontal="center" vertical="center"/>
    </xf>
    <xf numFmtId="1" fontId="36" fillId="0" borderId="60" xfId="0" applyNumberFormat="1" applyFont="1" applyBorder="1" applyAlignment="1">
      <alignment horizontal="center" vertical="center"/>
    </xf>
    <xf numFmtId="1" fontId="36" fillId="0" borderId="62" xfId="0" applyNumberFormat="1" applyFont="1" applyBorder="1" applyAlignment="1">
      <alignment horizontal="center" vertical="center"/>
    </xf>
    <xf numFmtId="0" fontId="36" fillId="0" borderId="8" xfId="0" applyFont="1" applyBorder="1" applyAlignment="1">
      <alignment vertical="center"/>
    </xf>
    <xf numFmtId="0" fontId="0" fillId="0" borderId="11" xfId="0" applyBorder="1" applyAlignment="1">
      <alignment vertical="center"/>
    </xf>
    <xf numFmtId="168" fontId="0" fillId="0" borderId="63" xfId="0" applyNumberFormat="1" applyBorder="1" applyAlignment="1">
      <alignment horizontal="center" vertical="center"/>
    </xf>
    <xf numFmtId="10" fontId="0" fillId="0" borderId="64" xfId="8" applyNumberFormat="1" applyFont="1" applyBorder="1" applyAlignment="1">
      <alignment horizontal="center" vertical="center"/>
    </xf>
    <xf numFmtId="169" fontId="0" fillId="0" borderId="65" xfId="0" applyNumberFormat="1" applyBorder="1" applyAlignment="1">
      <alignment horizontal="center" vertical="center"/>
    </xf>
    <xf numFmtId="169" fontId="0" fillId="0" borderId="64" xfId="0" applyNumberFormat="1" applyBorder="1" applyAlignment="1">
      <alignment horizontal="center" vertical="center"/>
    </xf>
    <xf numFmtId="1" fontId="36" fillId="0" borderId="65" xfId="0" applyNumberFormat="1" applyFont="1" applyBorder="1" applyAlignment="1">
      <alignment horizontal="center" vertical="center"/>
    </xf>
    <xf numFmtId="1" fontId="36" fillId="0" borderId="64" xfId="0" applyNumberFormat="1" applyFont="1" applyBorder="1" applyAlignment="1">
      <alignment horizontal="center" vertical="center"/>
    </xf>
    <xf numFmtId="1" fontId="36" fillId="0" borderId="66" xfId="0" applyNumberFormat="1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" fontId="56" fillId="5" borderId="67" xfId="1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1" fontId="0" fillId="0" borderId="3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165" fontId="0" fillId="0" borderId="16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/>
    </xf>
    <xf numFmtId="170" fontId="0" fillId="0" borderId="15" xfId="8" applyNumberFormat="1" applyFont="1" applyBorder="1" applyAlignment="1">
      <alignment horizontal="center"/>
    </xf>
    <xf numFmtId="170" fontId="0" fillId="0" borderId="17" xfId="8" applyNumberFormat="1" applyFont="1" applyBorder="1" applyAlignment="1">
      <alignment horizontal="center"/>
    </xf>
    <xf numFmtId="170" fontId="56" fillId="5" borderId="2" xfId="11" applyNumberFormat="1" applyFont="1" applyAlignment="1">
      <alignment horizontal="center"/>
    </xf>
    <xf numFmtId="1" fontId="56" fillId="5" borderId="2" xfId="11" applyNumberFormat="1" applyFont="1" applyAlignment="1">
      <alignment horizontal="center"/>
    </xf>
    <xf numFmtId="0" fontId="36" fillId="0" borderId="15" xfId="0" applyFont="1" applyBorder="1" applyAlignment="1">
      <alignment horizontal="center" vertical="center"/>
    </xf>
    <xf numFmtId="165" fontId="53" fillId="15" borderId="35" xfId="12" applyNumberFormat="1" applyFont="1" applyAlignment="1">
      <alignment horizontal="center"/>
    </xf>
    <xf numFmtId="0" fontId="0" fillId="0" borderId="7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70" fontId="0" fillId="0" borderId="7" xfId="8" applyNumberFormat="1" applyFont="1" applyBorder="1" applyAlignment="1">
      <alignment horizontal="center"/>
    </xf>
    <xf numFmtId="170" fontId="0" fillId="0" borderId="0" xfId="8" applyNumberFormat="1" applyFont="1" applyBorder="1" applyAlignment="1">
      <alignment horizontal="center"/>
    </xf>
    <xf numFmtId="170" fontId="0" fillId="0" borderId="8" xfId="8" applyNumberFormat="1" applyFont="1" applyBorder="1" applyAlignment="1">
      <alignment horizontal="center"/>
    </xf>
    <xf numFmtId="1" fontId="36" fillId="0" borderId="5" xfId="0" applyNumberFormat="1" applyFont="1" applyBorder="1" applyAlignment="1">
      <alignment horizontal="center"/>
    </xf>
    <xf numFmtId="1" fontId="36" fillId="0" borderId="6" xfId="0" applyNumberFormat="1" applyFont="1" applyBorder="1" applyAlignment="1">
      <alignment horizontal="center"/>
    </xf>
    <xf numFmtId="1" fontId="36" fillId="0" borderId="8" xfId="0" applyNumberFormat="1" applyFont="1" applyBorder="1" applyAlignment="1">
      <alignment horizontal="center"/>
    </xf>
    <xf numFmtId="2" fontId="0" fillId="15" borderId="35" xfId="12" applyNumberFormat="1" applyFont="1" applyAlignment="1">
      <alignment horizontal="center"/>
    </xf>
    <xf numFmtId="170" fontId="0" fillId="15" borderId="35" xfId="12" applyNumberFormat="1" applyFont="1" applyAlignment="1">
      <alignment horizontal="center"/>
    </xf>
    <xf numFmtId="0" fontId="53" fillId="15" borderId="35" xfId="12" applyFont="1"/>
    <xf numFmtId="2" fontId="0" fillId="15" borderId="69" xfId="12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0" fontId="36" fillId="0" borderId="70" xfId="0" applyFont="1" applyBorder="1" applyAlignment="1">
      <alignment horizontal="left" vertical="center"/>
    </xf>
    <xf numFmtId="0" fontId="0" fillId="0" borderId="71" xfId="0" applyBorder="1" applyAlignment="1">
      <alignment horizontal="center" vertical="center"/>
    </xf>
    <xf numFmtId="10" fontId="36" fillId="0" borderId="72" xfId="8" applyNumberFormat="1" applyFont="1" applyBorder="1" applyAlignment="1">
      <alignment horizontal="center" vertical="center"/>
    </xf>
    <xf numFmtId="164" fontId="0" fillId="0" borderId="0" xfId="0" applyNumberFormat="1"/>
    <xf numFmtId="0" fontId="0" fillId="0" borderId="9" xfId="0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70" fontId="0" fillId="0" borderId="9" xfId="8" applyNumberFormat="1" applyFont="1" applyBorder="1" applyAlignment="1">
      <alignment horizontal="center"/>
    </xf>
    <xf numFmtId="170" fontId="0" fillId="0" borderId="10" xfId="8" applyNumberFormat="1" applyFont="1" applyBorder="1" applyAlignment="1">
      <alignment horizontal="center"/>
    </xf>
    <xf numFmtId="170" fontId="0" fillId="0" borderId="11" xfId="8" applyNumberFormat="1" applyFont="1" applyBorder="1" applyAlignment="1">
      <alignment horizontal="center"/>
    </xf>
    <xf numFmtId="1" fontId="36" fillId="0" borderId="10" xfId="0" applyNumberFormat="1" applyFont="1" applyBorder="1" applyAlignment="1">
      <alignment horizontal="center"/>
    </xf>
    <xf numFmtId="1" fontId="36" fillId="0" borderId="11" xfId="0" applyNumberFormat="1" applyFont="1" applyBorder="1" applyAlignment="1">
      <alignment horizontal="center"/>
    </xf>
    <xf numFmtId="170" fontId="0" fillId="0" borderId="0" xfId="8" applyNumberFormat="1" applyFont="1" applyAlignment="1">
      <alignment horizontal="center"/>
    </xf>
    <xf numFmtId="10" fontId="0" fillId="0" borderId="0" xfId="8" applyNumberFormat="1" applyFont="1" applyBorder="1" applyAlignment="1">
      <alignment horizontal="center" vertical="center"/>
    </xf>
    <xf numFmtId="10" fontId="0" fillId="0" borderId="0" xfId="8" applyNumberFormat="1" applyFont="1" applyAlignment="1">
      <alignment horizontal="center" vertical="center"/>
    </xf>
    <xf numFmtId="170" fontId="0" fillId="0" borderId="0" xfId="8" applyNumberFormat="1" applyFont="1"/>
    <xf numFmtId="0" fontId="0" fillId="0" borderId="73" xfId="0" applyBorder="1"/>
    <xf numFmtId="0" fontId="0" fillId="0" borderId="74" xfId="0" applyBorder="1" applyAlignment="1">
      <alignment horizontal="left"/>
    </xf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0" xfId="0" applyAlignment="1">
      <alignment horizontal="left"/>
    </xf>
    <xf numFmtId="0" fontId="0" fillId="0" borderId="76" xfId="0" applyBorder="1" applyAlignment="1">
      <alignment horizontal="left"/>
    </xf>
    <xf numFmtId="165" fontId="0" fillId="0" borderId="0" xfId="0" applyNumberFormat="1" applyAlignment="1">
      <alignment horizontal="left"/>
    </xf>
    <xf numFmtId="0" fontId="0" fillId="0" borderId="78" xfId="0" applyBorder="1"/>
    <xf numFmtId="170" fontId="0" fillId="0" borderId="79" xfId="8" applyNumberFormat="1" applyFont="1" applyBorder="1" applyAlignment="1">
      <alignment horizontal="left"/>
    </xf>
    <xf numFmtId="0" fontId="0" fillId="0" borderId="79" xfId="0" applyBorder="1"/>
    <xf numFmtId="0" fontId="0" fillId="0" borderId="80" xfId="0" applyBorder="1"/>
    <xf numFmtId="0" fontId="57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170" fontId="0" fillId="0" borderId="0" xfId="8" applyNumberFormat="1" applyFont="1" applyAlignment="1">
      <alignment horizontal="left"/>
    </xf>
    <xf numFmtId="170" fontId="0" fillId="0" borderId="0" xfId="0" applyNumberFormat="1" applyAlignment="1">
      <alignment horizontal="left"/>
    </xf>
    <xf numFmtId="170" fontId="0" fillId="0" borderId="72" xfId="8" applyNumberFormat="1" applyFont="1" applyBorder="1" applyAlignment="1">
      <alignment horizontal="left"/>
    </xf>
    <xf numFmtId="170" fontId="0" fillId="0" borderId="0" xfId="0" applyNumberFormat="1"/>
    <xf numFmtId="1" fontId="56" fillId="5" borderId="2" xfId="11" applyNumberFormat="1" applyFont="1" applyAlignment="1">
      <alignment horizontal="center" vertical="center"/>
    </xf>
    <xf numFmtId="0" fontId="36" fillId="0" borderId="17" xfId="0" applyFont="1" applyBorder="1" applyAlignment="1">
      <alignment vertical="center"/>
    </xf>
    <xf numFmtId="165" fontId="51" fillId="14" borderId="68" xfId="9" applyNumberFormat="1" applyBorder="1" applyAlignment="1">
      <alignment horizontal="center"/>
    </xf>
    <xf numFmtId="165" fontId="51" fillId="14" borderId="35" xfId="9" applyNumberFormat="1" applyBorder="1" applyAlignment="1">
      <alignment horizontal="center"/>
    </xf>
    <xf numFmtId="170" fontId="51" fillId="14" borderId="35" xfId="9" applyNumberFormat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4" xfId="0" applyBorder="1" applyAlignment="1">
      <alignment vertical="center"/>
    </xf>
    <xf numFmtId="0" fontId="0" fillId="0" borderId="81" xfId="0" applyBorder="1" applyAlignment="1">
      <alignment vertical="center"/>
    </xf>
    <xf numFmtId="0" fontId="0" fillId="0" borderId="34" xfId="0" applyBorder="1" applyAlignment="1">
      <alignment horizontal="center" vertical="center"/>
    </xf>
    <xf numFmtId="0" fontId="0" fillId="0" borderId="85" xfId="0" applyBorder="1" applyAlignment="1">
      <alignment vertical="center"/>
    </xf>
    <xf numFmtId="1" fontId="0" fillId="0" borderId="34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58" fillId="0" borderId="0" xfId="0" applyFont="1" applyAlignment="1">
      <alignment vertical="top" wrapText="1"/>
    </xf>
    <xf numFmtId="164" fontId="34" fillId="2" borderId="1" xfId="3" applyNumberFormat="1"/>
    <xf numFmtId="0" fontId="43" fillId="0" borderId="82" xfId="0" applyFont="1" applyBorder="1" applyAlignment="1">
      <alignment vertical="center"/>
    </xf>
    <xf numFmtId="0" fontId="43" fillId="0" borderId="83" xfId="0" applyFont="1" applyBorder="1" applyAlignment="1">
      <alignment vertical="center"/>
    </xf>
    <xf numFmtId="0" fontId="44" fillId="0" borderId="6" xfId="0" applyFont="1" applyBorder="1" applyAlignment="1">
      <alignment horizontal="right"/>
    </xf>
    <xf numFmtId="0" fontId="44" fillId="0" borderId="5" xfId="0" applyFont="1" applyBorder="1"/>
    <xf numFmtId="0" fontId="60" fillId="0" borderId="0" xfId="0" applyFont="1" applyAlignment="1">
      <alignment horizontal="left"/>
    </xf>
    <xf numFmtId="2" fontId="37" fillId="0" borderId="34" xfId="6" applyNumberFormat="1" applyBorder="1" applyAlignment="1">
      <alignment horizontal="center"/>
    </xf>
    <xf numFmtId="0" fontId="61" fillId="0" borderId="0" xfId="0" applyFont="1" applyAlignment="1">
      <alignment vertical="top" wrapText="1"/>
    </xf>
    <xf numFmtId="0" fontId="0" fillId="0" borderId="0" xfId="0" applyAlignment="1">
      <alignment vertical="top"/>
    </xf>
    <xf numFmtId="165" fontId="53" fillId="3" borderId="35" xfId="5" applyNumberFormat="1" applyFont="1" applyAlignment="1">
      <alignment horizontal="center" vertical="center"/>
    </xf>
    <xf numFmtId="0" fontId="36" fillId="0" borderId="85" xfId="0" applyFont="1" applyBorder="1"/>
    <xf numFmtId="0" fontId="0" fillId="0" borderId="7" xfId="0" applyBorder="1" applyAlignment="1">
      <alignment vertical="center" wrapText="1"/>
    </xf>
    <xf numFmtId="1" fontId="45" fillId="0" borderId="0" xfId="0" applyNumberFormat="1" applyFont="1" applyAlignment="1">
      <alignment horizontal="center"/>
    </xf>
    <xf numFmtId="0" fontId="63" fillId="0" borderId="0" xfId="0" applyFont="1"/>
    <xf numFmtId="171" fontId="33" fillId="17" borderId="2" xfId="2" applyNumberFormat="1"/>
    <xf numFmtId="164" fontId="36" fillId="0" borderId="0" xfId="0" applyNumberFormat="1" applyFont="1" applyAlignment="1">
      <alignment horizontal="center"/>
    </xf>
    <xf numFmtId="0" fontId="36" fillId="0" borderId="0" xfId="0" applyFont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36" fillId="0" borderId="3" xfId="0" applyFont="1" applyBorder="1"/>
    <xf numFmtId="1" fontId="0" fillId="0" borderId="3" xfId="0" applyNumberFormat="1" applyBorder="1" applyAlignment="1">
      <alignment horizontal="center"/>
    </xf>
    <xf numFmtId="0" fontId="44" fillId="0" borderId="0" xfId="0" applyFont="1" applyAlignment="1">
      <alignment vertical="top"/>
    </xf>
    <xf numFmtId="0" fontId="44" fillId="6" borderId="10" xfId="0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6" borderId="9" xfId="0" applyFill="1" applyBorder="1" applyAlignment="1">
      <alignment vertical="center"/>
    </xf>
    <xf numFmtId="0" fontId="0" fillId="6" borderId="10" xfId="0" applyFill="1" applyBorder="1" applyAlignment="1">
      <alignment vertical="center"/>
    </xf>
    <xf numFmtId="0" fontId="0" fillId="6" borderId="11" xfId="0" applyFill="1" applyBorder="1" applyAlignment="1">
      <alignment vertical="center"/>
    </xf>
    <xf numFmtId="0" fontId="0" fillId="10" borderId="0" xfId="0" applyFill="1"/>
    <xf numFmtId="165" fontId="0" fillId="0" borderId="89" xfId="0" applyNumberFormat="1" applyBorder="1" applyAlignment="1">
      <alignment horizontal="center"/>
    </xf>
    <xf numFmtId="165" fontId="0" fillId="0" borderId="75" xfId="0" applyNumberFormat="1" applyBorder="1" applyAlignment="1">
      <alignment horizontal="center"/>
    </xf>
    <xf numFmtId="165" fontId="0" fillId="0" borderId="77" xfId="0" applyNumberFormat="1" applyBorder="1" applyAlignment="1">
      <alignment horizontal="center"/>
    </xf>
    <xf numFmtId="0" fontId="0" fillId="0" borderId="90" xfId="0" applyBorder="1"/>
    <xf numFmtId="165" fontId="0" fillId="0" borderId="91" xfId="0" applyNumberFormat="1" applyBorder="1" applyAlignment="1">
      <alignment horizontal="center"/>
    </xf>
    <xf numFmtId="165" fontId="0" fillId="0" borderId="92" xfId="0" applyNumberFormat="1" applyBorder="1" applyAlignment="1">
      <alignment horizontal="center"/>
    </xf>
    <xf numFmtId="165" fontId="0" fillId="0" borderId="80" xfId="0" applyNumberFormat="1" applyBorder="1" applyAlignment="1">
      <alignment horizontal="center"/>
    </xf>
    <xf numFmtId="0" fontId="0" fillId="10" borderId="72" xfId="0" applyFill="1" applyBorder="1"/>
    <xf numFmtId="165" fontId="33" fillId="17" borderId="93" xfId="2" applyNumberFormat="1" applyBorder="1"/>
    <xf numFmtId="165" fontId="63" fillId="10" borderId="72" xfId="0" applyNumberFormat="1" applyFont="1" applyFill="1" applyBorder="1"/>
    <xf numFmtId="0" fontId="36" fillId="0" borderId="0" xfId="0" applyFont="1" applyAlignment="1">
      <alignment horizontal="right"/>
    </xf>
    <xf numFmtId="165" fontId="36" fillId="0" borderId="8" xfId="0" applyNumberFormat="1" applyFont="1" applyBorder="1" applyAlignment="1">
      <alignment horizontal="center"/>
    </xf>
    <xf numFmtId="1" fontId="0" fillId="10" borderId="0" xfId="0" applyNumberFormat="1" applyFill="1" applyAlignment="1">
      <alignment horizontal="center"/>
    </xf>
    <xf numFmtId="1" fontId="36" fillId="10" borderId="0" xfId="0" applyNumberFormat="1" applyFont="1" applyFill="1" applyAlignment="1">
      <alignment horizontal="center"/>
    </xf>
    <xf numFmtId="0" fontId="65" fillId="10" borderId="0" xfId="0" applyFont="1" applyFill="1" applyAlignment="1">
      <alignment horizontal="center"/>
    </xf>
    <xf numFmtId="0" fontId="0" fillId="18" borderId="72" xfId="0" applyFill="1" applyBorder="1"/>
    <xf numFmtId="0" fontId="36" fillId="0" borderId="73" xfId="0" applyFont="1" applyBorder="1"/>
    <xf numFmtId="1" fontId="0" fillId="0" borderId="76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78" xfId="0" applyNumberFormat="1" applyBorder="1" applyAlignment="1">
      <alignment horizontal="center"/>
    </xf>
    <xf numFmtId="1" fontId="0" fillId="0" borderId="92" xfId="0" applyNumberFormat="1" applyBorder="1" applyAlignment="1">
      <alignment horizontal="center"/>
    </xf>
    <xf numFmtId="165" fontId="0" fillId="0" borderId="76" xfId="0" applyNumberFormat="1" applyBorder="1"/>
    <xf numFmtId="165" fontId="0" fillId="0" borderId="77" xfId="0" applyNumberFormat="1" applyBorder="1"/>
    <xf numFmtId="165" fontId="0" fillId="0" borderId="78" xfId="0" applyNumberFormat="1" applyBorder="1"/>
    <xf numFmtId="165" fontId="0" fillId="0" borderId="79" xfId="0" applyNumberFormat="1" applyBorder="1"/>
    <xf numFmtId="165" fontId="0" fillId="0" borderId="80" xfId="0" applyNumberFormat="1" applyBorder="1"/>
    <xf numFmtId="171" fontId="0" fillId="0" borderId="0" xfId="0" applyNumberFormat="1"/>
    <xf numFmtId="2" fontId="0" fillId="0" borderId="0" xfId="0" applyNumberFormat="1"/>
    <xf numFmtId="1" fontId="32" fillId="10" borderId="21" xfId="1" applyNumberFormat="1" applyFill="1" applyBorder="1" applyAlignment="1">
      <alignment horizontal="center"/>
    </xf>
    <xf numFmtId="0" fontId="67" fillId="0" borderId="0" xfId="0" applyFont="1" applyAlignment="1">
      <alignment horizontal="right"/>
    </xf>
    <xf numFmtId="0" fontId="67" fillId="0" borderId="0" xfId="0" applyFont="1"/>
    <xf numFmtId="165" fontId="68" fillId="0" borderId="8" xfId="0" applyNumberFormat="1" applyFont="1" applyBorder="1" applyAlignment="1">
      <alignment horizontal="center"/>
    </xf>
    <xf numFmtId="0" fontId="67" fillId="0" borderId="8" xfId="0" applyFont="1" applyBorder="1"/>
    <xf numFmtId="0" fontId="0" fillId="0" borderId="89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100" xfId="0" applyBorder="1"/>
    <xf numFmtId="165" fontId="0" fillId="0" borderId="101" xfId="0" applyNumberFormat="1" applyBorder="1" applyAlignment="1">
      <alignment horizontal="center"/>
    </xf>
    <xf numFmtId="0" fontId="0" fillId="4" borderId="73" xfId="0" applyFill="1" applyBorder="1"/>
    <xf numFmtId="0" fontId="0" fillId="4" borderId="74" xfId="0" applyFill="1" applyBorder="1"/>
    <xf numFmtId="0" fontId="0" fillId="0" borderId="73" xfId="0" applyBorder="1" applyAlignment="1">
      <alignment horizontal="left"/>
    </xf>
    <xf numFmtId="0" fontId="0" fillId="0" borderId="74" xfId="0" applyBorder="1" applyAlignment="1">
      <alignment horizontal="center"/>
    </xf>
    <xf numFmtId="0" fontId="0" fillId="19" borderId="73" xfId="0" applyFill="1" applyBorder="1" applyAlignment="1">
      <alignment horizontal="center"/>
    </xf>
    <xf numFmtId="0" fontId="0" fillId="19" borderId="75" xfId="0" applyFill="1" applyBorder="1" applyAlignment="1">
      <alignment horizontal="center"/>
    </xf>
    <xf numFmtId="0" fontId="0" fillId="20" borderId="74" xfId="0" applyFill="1" applyBorder="1" applyAlignment="1">
      <alignment horizontal="left"/>
    </xf>
    <xf numFmtId="0" fontId="0" fillId="20" borderId="74" xfId="0" applyFill="1" applyBorder="1" applyAlignment="1">
      <alignment horizontal="center"/>
    </xf>
    <xf numFmtId="0" fontId="69" fillId="19" borderId="76" xfId="0" applyFont="1" applyFill="1" applyBorder="1" applyAlignment="1">
      <alignment horizontal="center" wrapText="1"/>
    </xf>
    <xf numFmtId="0" fontId="69" fillId="19" borderId="77" xfId="0" applyFont="1" applyFill="1" applyBorder="1" applyAlignment="1">
      <alignment horizontal="center" wrapText="1"/>
    </xf>
    <xf numFmtId="0" fontId="69" fillId="20" borderId="0" xfId="0" applyFont="1" applyFill="1" applyAlignment="1">
      <alignment horizontal="center" wrapText="1"/>
    </xf>
    <xf numFmtId="0" fontId="0" fillId="0" borderId="98" xfId="0" applyBorder="1" applyAlignment="1">
      <alignment wrapText="1"/>
    </xf>
    <xf numFmtId="0" fontId="0" fillId="21" borderId="3" xfId="0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70" fillId="19" borderId="76" xfId="0" applyFont="1" applyFill="1" applyBorder="1" applyAlignment="1">
      <alignment horizontal="center" wrapText="1"/>
    </xf>
    <xf numFmtId="0" fontId="70" fillId="19" borderId="77" xfId="0" applyFont="1" applyFill="1" applyBorder="1" applyAlignment="1">
      <alignment horizontal="center" wrapText="1"/>
    </xf>
    <xf numFmtId="0" fontId="71" fillId="20" borderId="0" xfId="0" applyFont="1" applyFill="1" applyAlignment="1">
      <alignment horizontal="center" wrapText="1"/>
    </xf>
    <xf numFmtId="0" fontId="0" fillId="0" borderId="98" xfId="0" applyBorder="1" applyAlignment="1">
      <alignment horizontal="center"/>
    </xf>
    <xf numFmtId="0" fontId="0" fillId="21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5" xfId="0" applyBorder="1" applyAlignment="1">
      <alignment horizontal="center"/>
    </xf>
    <xf numFmtId="0" fontId="72" fillId="19" borderId="76" xfId="0" applyFont="1" applyFill="1" applyBorder="1" applyAlignment="1">
      <alignment horizontal="center"/>
    </xf>
    <xf numFmtId="0" fontId="72" fillId="19" borderId="77" xfId="0" applyFont="1" applyFill="1" applyBorder="1" applyAlignment="1">
      <alignment horizontal="center"/>
    </xf>
    <xf numFmtId="0" fontId="0" fillId="20" borderId="0" xfId="0" applyFill="1" applyAlignment="1">
      <alignment horizontal="center"/>
    </xf>
    <xf numFmtId="0" fontId="73" fillId="20" borderId="0" xfId="0" applyFont="1" applyFill="1" applyAlignment="1">
      <alignment horizontal="center"/>
    </xf>
    <xf numFmtId="165" fontId="73" fillId="20" borderId="0" xfId="0" applyNumberFormat="1" applyFont="1" applyFill="1" applyAlignment="1">
      <alignment horizontal="center"/>
    </xf>
    <xf numFmtId="0" fontId="0" fillId="0" borderId="102" xfId="0" applyBorder="1" applyAlignment="1">
      <alignment horizontal="center"/>
    </xf>
    <xf numFmtId="0" fontId="0" fillId="21" borderId="12" xfId="0" applyFill="1" applyBorder="1" applyAlignment="1">
      <alignment horizontal="center"/>
    </xf>
    <xf numFmtId="0" fontId="0" fillId="0" borderId="103" xfId="0" applyBorder="1" applyAlignment="1">
      <alignment horizontal="center"/>
    </xf>
    <xf numFmtId="0" fontId="0" fillId="21" borderId="104" xfId="0" applyFill="1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105" xfId="0" applyBorder="1" applyAlignment="1">
      <alignment horizontal="center"/>
    </xf>
    <xf numFmtId="0" fontId="72" fillId="19" borderId="78" xfId="0" applyFont="1" applyFill="1" applyBorder="1" applyAlignment="1">
      <alignment horizontal="center"/>
    </xf>
    <xf numFmtId="0" fontId="72" fillId="19" borderId="80" xfId="0" applyFont="1" applyFill="1" applyBorder="1" applyAlignment="1">
      <alignment horizontal="center"/>
    </xf>
    <xf numFmtId="0" fontId="73" fillId="20" borderId="79" xfId="0" applyFont="1" applyFill="1" applyBorder="1" applyAlignment="1">
      <alignment horizontal="center"/>
    </xf>
    <xf numFmtId="0" fontId="0" fillId="0" borderId="106" xfId="0" applyBorder="1" applyAlignment="1">
      <alignment horizontal="left"/>
    </xf>
    <xf numFmtId="0" fontId="0" fillId="0" borderId="107" xfId="0" applyBorder="1"/>
    <xf numFmtId="0" fontId="0" fillId="0" borderId="108" xfId="0" applyBorder="1"/>
    <xf numFmtId="0" fontId="32" fillId="22" borderId="1" xfId="13" applyAlignment="1">
      <alignment horizontal="left"/>
    </xf>
    <xf numFmtId="0" fontId="0" fillId="0" borderId="77" xfId="0" applyBorder="1"/>
    <xf numFmtId="165" fontId="32" fillId="22" borderId="1" xfId="13" applyNumberFormat="1" applyAlignment="1">
      <alignment horizontal="left"/>
    </xf>
    <xf numFmtId="2" fontId="0" fillId="0" borderId="72" xfId="0" applyNumberFormat="1" applyBorder="1" applyAlignment="1">
      <alignment horizontal="center"/>
    </xf>
    <xf numFmtId="1" fontId="0" fillId="0" borderId="0" xfId="0" applyNumberFormat="1" applyAlignment="1">
      <alignment horizontal="left"/>
    </xf>
    <xf numFmtId="0" fontId="0" fillId="0" borderId="77" xfId="0" quotePrefix="1" applyBorder="1"/>
    <xf numFmtId="0" fontId="0" fillId="0" borderId="78" xfId="0" applyBorder="1" applyAlignment="1">
      <alignment horizontal="left"/>
    </xf>
    <xf numFmtId="165" fontId="0" fillId="0" borderId="79" xfId="0" applyNumberFormat="1" applyBorder="1" applyAlignment="1">
      <alignment horizontal="left"/>
    </xf>
    <xf numFmtId="0" fontId="0" fillId="0" borderId="90" xfId="0" applyBorder="1" applyAlignment="1">
      <alignment horizontal="left"/>
    </xf>
    <xf numFmtId="0" fontId="0" fillId="0" borderId="107" xfId="0" applyBorder="1" applyAlignment="1">
      <alignment horizontal="left"/>
    </xf>
    <xf numFmtId="164" fontId="0" fillId="0" borderId="0" xfId="0" applyNumberFormat="1" applyAlignment="1">
      <alignment horizontal="left"/>
    </xf>
    <xf numFmtId="1" fontId="0" fillId="0" borderId="79" xfId="0" applyNumberFormat="1" applyBorder="1" applyAlignment="1">
      <alignment horizontal="left"/>
    </xf>
    <xf numFmtId="0" fontId="0" fillId="0" borderId="80" xfId="0" quotePrefix="1" applyBorder="1"/>
    <xf numFmtId="2" fontId="0" fillId="0" borderId="0" xfId="0" applyNumberFormat="1" applyAlignment="1">
      <alignment horizontal="left"/>
    </xf>
    <xf numFmtId="1" fontId="0" fillId="0" borderId="79" xfId="0" applyNumberFormat="1" applyBorder="1" applyAlignment="1">
      <alignment horizontal="center"/>
    </xf>
    <xf numFmtId="165" fontId="0" fillId="0" borderId="79" xfId="0" applyNumberFormat="1" applyBorder="1" applyAlignment="1">
      <alignment horizontal="center"/>
    </xf>
    <xf numFmtId="164" fontId="0" fillId="0" borderId="72" xfId="0" applyNumberFormat="1" applyBorder="1" applyAlignment="1">
      <alignment horizontal="center"/>
    </xf>
    <xf numFmtId="10" fontId="0" fillId="0" borderId="0" xfId="8" applyNumberFormat="1" applyFont="1" applyBorder="1"/>
    <xf numFmtId="164" fontId="0" fillId="0" borderId="76" xfId="0" applyNumberFormat="1" applyBorder="1"/>
    <xf numFmtId="0" fontId="0" fillId="6" borderId="4" xfId="0" applyFill="1" applyBorder="1"/>
    <xf numFmtId="0" fontId="0" fillId="6" borderId="5" xfId="0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9" xfId="0" applyFill="1" applyBorder="1"/>
    <xf numFmtId="0" fontId="43" fillId="6" borderId="0" xfId="0" applyFont="1" applyFill="1"/>
    <xf numFmtId="0" fontId="0" fillId="0" borderId="4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9" xfId="0" applyBorder="1" applyAlignment="1">
      <alignment horizontal="left"/>
    </xf>
    <xf numFmtId="0" fontId="45" fillId="6" borderId="0" xfId="0" applyFont="1" applyFill="1"/>
    <xf numFmtId="0" fontId="64" fillId="0" borderId="0" xfId="0" applyFont="1"/>
    <xf numFmtId="0" fontId="45" fillId="0" borderId="0" xfId="0" applyFont="1"/>
    <xf numFmtId="0" fontId="0" fillId="10" borderId="79" xfId="0" applyFill="1" applyBorder="1" applyAlignment="1">
      <alignment horizontal="center"/>
    </xf>
    <xf numFmtId="0" fontId="37" fillId="0" borderId="79" xfId="0" applyFont="1" applyBorder="1" applyAlignment="1">
      <alignment horizontal="center"/>
    </xf>
    <xf numFmtId="0" fontId="37" fillId="0" borderId="109" xfId="0" applyFont="1" applyBorder="1"/>
    <xf numFmtId="0" fontId="74" fillId="0" borderId="92" xfId="0" applyFont="1" applyBorder="1" applyAlignment="1">
      <alignment horizontal="center" wrapText="1"/>
    </xf>
    <xf numFmtId="0" fontId="74" fillId="0" borderId="79" xfId="0" applyFont="1" applyBorder="1" applyAlignment="1">
      <alignment horizontal="center" wrapText="1"/>
    </xf>
    <xf numFmtId="0" fontId="74" fillId="0" borderId="109" xfId="0" applyFont="1" applyBorder="1" applyAlignment="1">
      <alignment horizontal="center" wrapText="1"/>
    </xf>
    <xf numFmtId="9" fontId="37" fillId="0" borderId="8" xfId="0" applyNumberFormat="1" applyFont="1" applyBorder="1" applyAlignment="1">
      <alignment horizontal="center"/>
    </xf>
    <xf numFmtId="165" fontId="37" fillId="0" borderId="7" xfId="0" applyNumberFormat="1" applyFont="1" applyBorder="1" applyAlignment="1">
      <alignment horizontal="center"/>
    </xf>
    <xf numFmtId="2" fontId="37" fillId="0" borderId="8" xfId="0" applyNumberFormat="1" applyFont="1" applyBorder="1" applyAlignment="1">
      <alignment horizontal="center"/>
    </xf>
    <xf numFmtId="170" fontId="37" fillId="0" borderId="0" xfId="8" applyNumberFormat="1" applyFont="1" applyFill="1" applyBorder="1" applyAlignment="1">
      <alignment horizontal="center"/>
    </xf>
    <xf numFmtId="170" fontId="37" fillId="0" borderId="0" xfId="8" applyNumberFormat="1" applyFont="1" applyBorder="1" applyAlignment="1">
      <alignment horizontal="center"/>
    </xf>
    <xf numFmtId="170" fontId="36" fillId="0" borderId="110" xfId="8" applyNumberFormat="1" applyFont="1" applyBorder="1" applyAlignment="1">
      <alignment horizontal="center"/>
    </xf>
    <xf numFmtId="170" fontId="36" fillId="0" borderId="111" xfId="8" applyNumberFormat="1" applyFont="1" applyBorder="1" applyAlignment="1">
      <alignment horizontal="center"/>
    </xf>
    <xf numFmtId="170" fontId="36" fillId="0" borderId="112" xfId="8" applyNumberFormat="1" applyFont="1" applyBorder="1" applyAlignment="1">
      <alignment horizontal="center"/>
    </xf>
    <xf numFmtId="0" fontId="37" fillId="0" borderId="78" xfId="0" applyFont="1" applyBorder="1" applyAlignment="1">
      <alignment horizontal="center"/>
    </xf>
    <xf numFmtId="0" fontId="74" fillId="0" borderId="80" xfId="0" applyFont="1" applyBorder="1" applyAlignment="1">
      <alignment horizontal="center" wrapText="1"/>
    </xf>
    <xf numFmtId="0" fontId="37" fillId="0" borderId="76" xfId="0" applyFont="1" applyBorder="1" applyAlignment="1">
      <alignment horizontal="center"/>
    </xf>
    <xf numFmtId="1" fontId="37" fillId="0" borderId="0" xfId="0" applyNumberFormat="1" applyFont="1" applyAlignment="1">
      <alignment horizontal="center"/>
    </xf>
    <xf numFmtId="165" fontId="37" fillId="0" borderId="0" xfId="0" applyNumberFormat="1" applyFont="1" applyAlignment="1">
      <alignment horizontal="center"/>
    </xf>
    <xf numFmtId="9" fontId="37" fillId="0" borderId="109" xfId="0" applyNumberFormat="1" applyFont="1" applyBorder="1" applyAlignment="1">
      <alignment horizontal="center"/>
    </xf>
    <xf numFmtId="165" fontId="37" fillId="0" borderId="92" xfId="0" applyNumberFormat="1" applyFont="1" applyBorder="1" applyAlignment="1">
      <alignment horizontal="center"/>
    </xf>
    <xf numFmtId="165" fontId="37" fillId="0" borderId="79" xfId="0" applyNumberFormat="1" applyFont="1" applyBorder="1" applyAlignment="1">
      <alignment horizontal="center"/>
    </xf>
    <xf numFmtId="2" fontId="37" fillId="0" borderId="109" xfId="0" applyNumberFormat="1" applyFont="1" applyBorder="1" applyAlignment="1">
      <alignment horizontal="center"/>
    </xf>
    <xf numFmtId="170" fontId="37" fillId="0" borderId="92" xfId="8" applyNumberFormat="1" applyFont="1" applyFill="1" applyBorder="1" applyAlignment="1">
      <alignment horizontal="center"/>
    </xf>
    <xf numFmtId="170" fontId="37" fillId="0" borderId="79" xfId="8" applyNumberFormat="1" applyFont="1" applyBorder="1" applyAlignment="1">
      <alignment horizontal="center"/>
    </xf>
    <xf numFmtId="0" fontId="68" fillId="0" borderId="0" xfId="0" applyFont="1"/>
    <xf numFmtId="9" fontId="68" fillId="21" borderId="72" xfId="8" applyFont="1" applyFill="1" applyBorder="1"/>
    <xf numFmtId="0" fontId="37" fillId="0" borderId="78" xfId="0" applyFont="1" applyBorder="1" applyAlignment="1">
      <alignment horizontal="center" wrapText="1"/>
    </xf>
    <xf numFmtId="170" fontId="36" fillId="21" borderId="72" xfId="8" applyNumberFormat="1" applyFont="1" applyFill="1" applyBorder="1"/>
    <xf numFmtId="0" fontId="38" fillId="0" borderId="34" xfId="0" applyFont="1" applyBorder="1"/>
    <xf numFmtId="0" fontId="38" fillId="0" borderId="0" xfId="0" applyFont="1"/>
    <xf numFmtId="1" fontId="65" fillId="10" borderId="0" xfId="0" applyNumberFormat="1" applyFont="1" applyFill="1" applyAlignment="1">
      <alignment horizontal="center"/>
    </xf>
    <xf numFmtId="0" fontId="0" fillId="10" borderId="79" xfId="0" applyFill="1" applyBorder="1" applyAlignment="1">
      <alignment horizontal="left"/>
    </xf>
    <xf numFmtId="0" fontId="0" fillId="0" borderId="79" xfId="0" applyBorder="1" applyAlignment="1">
      <alignment horizontal="center"/>
    </xf>
    <xf numFmtId="0" fontId="0" fillId="0" borderId="79" xfId="0" applyBorder="1" applyAlignment="1">
      <alignment horizontal="left"/>
    </xf>
    <xf numFmtId="0" fontId="35" fillId="0" borderId="73" xfId="4" applyBorder="1" applyAlignment="1">
      <alignment horizontal="center"/>
    </xf>
    <xf numFmtId="0" fontId="35" fillId="0" borderId="74" xfId="4" applyBorder="1" applyAlignment="1">
      <alignment horizontal="center"/>
    </xf>
    <xf numFmtId="0" fontId="35" fillId="0" borderId="89" xfId="4" applyBorder="1" applyAlignment="1">
      <alignment horizontal="center"/>
    </xf>
    <xf numFmtId="0" fontId="35" fillId="0" borderId="113" xfId="4" applyBorder="1" applyAlignment="1">
      <alignment horizontal="center"/>
    </xf>
    <xf numFmtId="0" fontId="35" fillId="0" borderId="75" xfId="4" applyBorder="1" applyAlignment="1">
      <alignment horizontal="center"/>
    </xf>
    <xf numFmtId="0" fontId="35" fillId="0" borderId="90" xfId="4" applyBorder="1" applyAlignment="1">
      <alignment horizontal="center"/>
    </xf>
    <xf numFmtId="0" fontId="35" fillId="0" borderId="91" xfId="4" applyBorder="1" applyAlignment="1">
      <alignment horizontal="center"/>
    </xf>
    <xf numFmtId="165" fontId="35" fillId="0" borderId="76" xfId="4" applyNumberFormat="1" applyBorder="1" applyAlignment="1">
      <alignment horizontal="center"/>
    </xf>
    <xf numFmtId="165" fontId="35" fillId="0" borderId="77" xfId="4" applyNumberFormat="1" applyBorder="1" applyAlignment="1">
      <alignment horizontal="center"/>
    </xf>
    <xf numFmtId="165" fontId="35" fillId="0" borderId="78" xfId="4" applyNumberFormat="1" applyBorder="1" applyAlignment="1">
      <alignment horizontal="center"/>
    </xf>
    <xf numFmtId="165" fontId="35" fillId="0" borderId="79" xfId="4" applyNumberFormat="1" applyBorder="1" applyAlignment="1">
      <alignment horizontal="center"/>
    </xf>
    <xf numFmtId="165" fontId="35" fillId="0" borderId="92" xfId="4" applyNumberFormat="1" applyBorder="1" applyAlignment="1">
      <alignment horizontal="center"/>
    </xf>
    <xf numFmtId="165" fontId="35" fillId="0" borderId="109" xfId="4" applyNumberFormat="1" applyBorder="1" applyAlignment="1">
      <alignment horizontal="center"/>
    </xf>
    <xf numFmtId="165" fontId="35" fillId="0" borderId="80" xfId="4" applyNumberFormat="1" applyBorder="1" applyAlignment="1">
      <alignment horizontal="center"/>
    </xf>
    <xf numFmtId="1" fontId="38" fillId="0" borderId="34" xfId="0" applyNumberFormat="1" applyFont="1" applyBorder="1" applyAlignment="1">
      <alignment horizontal="center"/>
    </xf>
    <xf numFmtId="0" fontId="42" fillId="6" borderId="0" xfId="0" applyFont="1" applyFill="1" applyAlignment="1">
      <alignment horizontal="left" wrapText="1"/>
    </xf>
    <xf numFmtId="0" fontId="75" fillId="23" borderId="0" xfId="14"/>
    <xf numFmtId="0" fontId="44" fillId="6" borderId="11" xfId="0" applyFont="1" applyFill="1" applyBorder="1" applyAlignment="1">
      <alignment horizontal="right"/>
    </xf>
    <xf numFmtId="2" fontId="0" fillId="6" borderId="5" xfId="0" applyNumberFormat="1" applyFill="1" applyBorder="1" applyAlignment="1">
      <alignment horizontal="right"/>
    </xf>
    <xf numFmtId="0" fontId="0" fillId="0" borderId="5" xfId="0" quotePrefix="1" applyBorder="1"/>
    <xf numFmtId="0" fontId="0" fillId="0" borderId="10" xfId="0" quotePrefix="1" applyBorder="1"/>
    <xf numFmtId="0" fontId="0" fillId="15" borderId="35" xfId="12" applyFont="1"/>
    <xf numFmtId="2" fontId="0" fillId="0" borderId="0" xfId="0" applyNumberFormat="1" applyAlignment="1">
      <alignment vertical="top"/>
    </xf>
    <xf numFmtId="0" fontId="52" fillId="0" borderId="0" xfId="0" applyFont="1"/>
    <xf numFmtId="167" fontId="36" fillId="6" borderId="0" xfId="0" applyNumberFormat="1" applyFont="1" applyFill="1" applyAlignment="1">
      <alignment vertical="center"/>
    </xf>
    <xf numFmtId="167" fontId="0" fillId="6" borderId="0" xfId="0" applyNumberFormat="1" applyFill="1" applyAlignment="1">
      <alignment vertical="center" wrapText="1"/>
    </xf>
    <xf numFmtId="167" fontId="44" fillId="6" borderId="7" xfId="0" applyNumberFormat="1" applyFont="1" applyFill="1" applyBorder="1" applyAlignment="1">
      <alignment vertical="center"/>
    </xf>
    <xf numFmtId="1" fontId="32" fillId="22" borderId="1" xfId="13" applyNumberFormat="1" applyAlignment="1">
      <alignment horizontal="left"/>
    </xf>
    <xf numFmtId="0" fontId="0" fillId="0" borderId="7" xfId="0" applyBorder="1" applyAlignment="1">
      <alignment horizontal="center"/>
    </xf>
    <xf numFmtId="1" fontId="0" fillId="5" borderId="15" xfId="0" applyNumberFormat="1" applyFill="1" applyBorder="1" applyAlignment="1">
      <alignment horizontal="center"/>
    </xf>
    <xf numFmtId="1" fontId="0" fillId="0" borderId="77" xfId="0" applyNumberFormat="1" applyBorder="1" applyAlignment="1">
      <alignment horizontal="center"/>
    </xf>
    <xf numFmtId="1" fontId="0" fillId="0" borderId="80" xfId="0" applyNumberFormat="1" applyBorder="1" applyAlignment="1">
      <alignment horizontal="center"/>
    </xf>
    <xf numFmtId="0" fontId="0" fillId="0" borderId="109" xfId="0" applyBorder="1"/>
    <xf numFmtId="1" fontId="0" fillId="0" borderId="8" xfId="0" applyNumberFormat="1" applyBorder="1" applyAlignment="1">
      <alignment horizontal="center"/>
    </xf>
    <xf numFmtId="1" fontId="0" fillId="0" borderId="109" xfId="0" applyNumberFormat="1" applyBorder="1" applyAlignment="1">
      <alignment horizontal="center"/>
    </xf>
    <xf numFmtId="0" fontId="36" fillId="0" borderId="106" xfId="0" applyFont="1" applyBorder="1"/>
    <xf numFmtId="0" fontId="76" fillId="0" borderId="0" xfId="0" applyFont="1"/>
    <xf numFmtId="165" fontId="33" fillId="17" borderId="93" xfId="2" applyNumberFormat="1" applyBorder="1" applyAlignment="1">
      <alignment horizontal="center"/>
    </xf>
    <xf numFmtId="0" fontId="0" fillId="0" borderId="114" xfId="0" applyBorder="1" applyAlignment="1">
      <alignment horizontal="center"/>
    </xf>
    <xf numFmtId="171" fontId="0" fillId="0" borderId="71" xfId="0" applyNumberFormat="1" applyBorder="1" applyAlignment="1">
      <alignment horizontal="center"/>
    </xf>
    <xf numFmtId="2" fontId="0" fillId="0" borderId="115" xfId="0" applyNumberFormat="1" applyBorder="1" applyAlignment="1">
      <alignment horizontal="center"/>
    </xf>
    <xf numFmtId="2" fontId="0" fillId="0" borderId="116" xfId="0" applyNumberFormat="1" applyBorder="1" applyAlignment="1">
      <alignment horizontal="center"/>
    </xf>
    <xf numFmtId="2" fontId="0" fillId="0" borderId="117" xfId="0" applyNumberFormat="1" applyBorder="1" applyAlignment="1">
      <alignment horizontal="center"/>
    </xf>
    <xf numFmtId="0" fontId="0" fillId="0" borderId="71" xfId="0" applyBorder="1" applyAlignment="1">
      <alignment horizontal="center"/>
    </xf>
    <xf numFmtId="165" fontId="33" fillId="17" borderId="118" xfId="2" applyNumberFormat="1" applyBorder="1" applyAlignment="1">
      <alignment horizontal="center"/>
    </xf>
    <xf numFmtId="165" fontId="33" fillId="17" borderId="119" xfId="2" applyNumberFormat="1" applyBorder="1" applyAlignment="1">
      <alignment horizontal="center"/>
    </xf>
    <xf numFmtId="165" fontId="32" fillId="4" borderId="1" xfId="1" applyNumberFormat="1" applyAlignment="1">
      <alignment horizontal="center" vertical="center"/>
    </xf>
    <xf numFmtId="164" fontId="36" fillId="0" borderId="34" xfId="0" applyNumberFormat="1" applyFont="1" applyBorder="1" applyAlignment="1">
      <alignment horizontal="center"/>
    </xf>
    <xf numFmtId="1" fontId="63" fillId="4" borderId="1" xfId="1" applyNumberFormat="1" applyFont="1" applyAlignment="1">
      <alignment horizontal="center"/>
    </xf>
    <xf numFmtId="165" fontId="32" fillId="4" borderId="1" xfId="1" applyNumberFormat="1"/>
    <xf numFmtId="1" fontId="74" fillId="4" borderId="21" xfId="1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32" fillId="4" borderId="120" xfId="1" applyNumberFormat="1" applyBorder="1" applyAlignment="1">
      <alignment horizontal="center"/>
    </xf>
    <xf numFmtId="0" fontId="0" fillId="21" borderId="0" xfId="0" applyFill="1"/>
    <xf numFmtId="0" fontId="36" fillId="21" borderId="0" xfId="0" applyFont="1" applyFill="1"/>
    <xf numFmtId="1" fontId="0" fillId="0" borderId="0" xfId="0" quotePrefix="1" applyNumberFormat="1" applyAlignment="1">
      <alignment horizontal="center"/>
    </xf>
    <xf numFmtId="0" fontId="79" fillId="20" borderId="104" xfId="15" applyFont="1" applyFill="1" applyBorder="1" applyAlignment="1">
      <alignment wrapText="1"/>
    </xf>
    <xf numFmtId="0" fontId="79" fillId="24" borderId="104" xfId="15" applyFont="1" applyFill="1" applyBorder="1"/>
    <xf numFmtId="0" fontId="79" fillId="25" borderId="104" xfId="15" applyFont="1" applyFill="1" applyBorder="1"/>
    <xf numFmtId="0" fontId="79" fillId="26" borderId="104" xfId="15" applyFont="1" applyFill="1" applyBorder="1"/>
    <xf numFmtId="0" fontId="31" fillId="0" borderId="0" xfId="15"/>
    <xf numFmtId="0" fontId="31" fillId="20" borderId="3" xfId="15" applyFill="1" applyBorder="1" applyAlignment="1">
      <alignment wrapText="1"/>
    </xf>
    <xf numFmtId="0" fontId="31" fillId="24" borderId="3" xfId="15" applyFill="1" applyBorder="1"/>
    <xf numFmtId="0" fontId="31" fillId="26" borderId="3" xfId="15" applyFill="1" applyBorder="1"/>
    <xf numFmtId="0" fontId="31" fillId="24" borderId="3" xfId="15" applyFill="1" applyBorder="1" applyAlignment="1">
      <alignment wrapText="1"/>
    </xf>
    <xf numFmtId="0" fontId="31" fillId="20" borderId="3" xfId="15" applyFill="1" applyBorder="1"/>
    <xf numFmtId="0" fontId="31" fillId="20" borderId="3" xfId="15" quotePrefix="1" applyFill="1" applyBorder="1"/>
    <xf numFmtId="0" fontId="31" fillId="20" borderId="3" xfId="15" quotePrefix="1" applyFill="1" applyBorder="1" applyAlignment="1">
      <alignment wrapText="1"/>
    </xf>
    <xf numFmtId="0" fontId="31" fillId="24" borderId="3" xfId="15" quotePrefix="1" applyFill="1" applyBorder="1"/>
    <xf numFmtId="0" fontId="77" fillId="26" borderId="3" xfId="15" applyFont="1" applyFill="1" applyBorder="1"/>
    <xf numFmtId="0" fontId="31" fillId="0" borderId="0" xfId="15" applyAlignment="1">
      <alignment wrapText="1"/>
    </xf>
    <xf numFmtId="0" fontId="78" fillId="0" borderId="0" xfId="15" applyFont="1"/>
    <xf numFmtId="0" fontId="54" fillId="5" borderId="2" xfId="11"/>
    <xf numFmtId="0" fontId="36" fillId="6" borderId="5" xfId="0" applyFont="1" applyFill="1" applyBorder="1" applyAlignment="1">
      <alignment vertical="center" wrapText="1"/>
    </xf>
    <xf numFmtId="0" fontId="36" fillId="6" borderId="0" xfId="0" applyFont="1" applyFill="1" applyAlignment="1">
      <alignment vertical="center" wrapText="1"/>
    </xf>
    <xf numFmtId="0" fontId="36" fillId="6" borderId="7" xfId="0" applyFont="1" applyFill="1" applyBorder="1" applyAlignment="1">
      <alignment vertical="center"/>
    </xf>
    <xf numFmtId="0" fontId="30" fillId="0" borderId="0" xfId="15" applyFont="1"/>
    <xf numFmtId="0" fontId="0" fillId="25" borderId="14" xfId="0" applyFill="1" applyBorder="1"/>
    <xf numFmtId="0" fontId="0" fillId="25" borderId="3" xfId="0" applyFill="1" applyBorder="1"/>
    <xf numFmtId="0" fontId="0" fillId="25" borderId="3" xfId="0" applyFill="1" applyBorder="1" applyAlignment="1">
      <alignment wrapText="1"/>
    </xf>
    <xf numFmtId="0" fontId="74" fillId="25" borderId="3" xfId="0" applyFont="1" applyFill="1" applyBorder="1"/>
    <xf numFmtId="0" fontId="37" fillId="25" borderId="3" xfId="15" applyFont="1" applyFill="1" applyBorder="1"/>
    <xf numFmtId="0" fontId="42" fillId="0" borderId="7" xfId="0" applyFont="1" applyBorder="1"/>
    <xf numFmtId="0" fontId="71" fillId="24" borderId="3" xfId="15" applyFont="1" applyFill="1" applyBorder="1"/>
    <xf numFmtId="0" fontId="31" fillId="26" borderId="3" xfId="15" applyFill="1" applyBorder="1" applyAlignment="1">
      <alignment wrapText="1"/>
    </xf>
    <xf numFmtId="0" fontId="71" fillId="26" borderId="3" xfId="15" applyFont="1" applyFill="1" applyBorder="1" applyAlignment="1">
      <alignment wrapText="1"/>
    </xf>
    <xf numFmtId="0" fontId="71" fillId="24" borderId="3" xfId="15" applyFont="1" applyFill="1" applyBorder="1" applyAlignment="1">
      <alignment wrapText="1"/>
    </xf>
    <xf numFmtId="0" fontId="71" fillId="26" borderId="3" xfId="15" applyFont="1" applyFill="1" applyBorder="1"/>
    <xf numFmtId="0" fontId="31" fillId="26" borderId="3" xfId="15" quotePrefix="1" applyFill="1" applyBorder="1"/>
    <xf numFmtId="0" fontId="71" fillId="25" borderId="3" xfId="0" applyFont="1" applyFill="1" applyBorder="1" applyAlignment="1">
      <alignment wrapText="1"/>
    </xf>
    <xf numFmtId="0" fontId="81" fillId="25" borderId="3" xfId="15" applyFont="1" applyFill="1" applyBorder="1" applyAlignment="1">
      <alignment wrapText="1"/>
    </xf>
    <xf numFmtId="0" fontId="29" fillId="26" borderId="3" xfId="15" applyFont="1" applyFill="1" applyBorder="1" applyAlignment="1">
      <alignment wrapText="1"/>
    </xf>
    <xf numFmtId="0" fontId="29" fillId="24" borderId="3" xfId="15" applyFont="1" applyFill="1" applyBorder="1"/>
    <xf numFmtId="0" fontId="82" fillId="6" borderId="10" xfId="0" applyFont="1" applyFill="1" applyBorder="1" applyAlignment="1">
      <alignment vertical="center"/>
    </xf>
    <xf numFmtId="0" fontId="82" fillId="6" borderId="0" xfId="0" applyFont="1" applyFill="1" applyAlignment="1">
      <alignment horizontal="left"/>
    </xf>
    <xf numFmtId="0" fontId="83" fillId="0" borderId="0" xfId="7" applyFont="1" applyFill="1" applyBorder="1" applyAlignment="1"/>
    <xf numFmtId="0" fontId="83" fillId="0" borderId="0" xfId="7" applyFont="1" applyFill="1" applyBorder="1"/>
    <xf numFmtId="0" fontId="64" fillId="6" borderId="0" xfId="0" applyFont="1" applyFill="1"/>
    <xf numFmtId="0" fontId="55" fillId="6" borderId="0" xfId="0" applyFont="1" applyFill="1"/>
    <xf numFmtId="0" fontId="42" fillId="6" borderId="0" xfId="0" applyFont="1" applyFill="1"/>
    <xf numFmtId="0" fontId="42" fillId="6" borderId="0" xfId="0" applyFont="1" applyFill="1" applyAlignment="1">
      <alignment vertical="top"/>
    </xf>
    <xf numFmtId="165" fontId="84" fillId="3" borderId="35" xfId="5" applyNumberFormat="1" applyFont="1" applyAlignment="1" applyProtection="1">
      <alignment horizontal="center" vertical="center"/>
      <protection locked="0"/>
    </xf>
    <xf numFmtId="0" fontId="55" fillId="6" borderId="4" xfId="0" applyFont="1" applyFill="1" applyBorder="1" applyAlignment="1">
      <alignment horizontal="left"/>
    </xf>
    <xf numFmtId="0" fontId="55" fillId="6" borderId="5" xfId="0" applyFont="1" applyFill="1" applyBorder="1"/>
    <xf numFmtId="0" fontId="55" fillId="6" borderId="6" xfId="0" applyFont="1" applyFill="1" applyBorder="1"/>
    <xf numFmtId="165" fontId="42" fillId="6" borderId="3" xfId="0" applyNumberFormat="1" applyFont="1" applyFill="1" applyBorder="1" applyAlignment="1">
      <alignment horizontal="right"/>
    </xf>
    <xf numFmtId="0" fontId="42" fillId="6" borderId="8" xfId="0" applyFont="1" applyFill="1" applyBorder="1"/>
    <xf numFmtId="164" fontId="42" fillId="6" borderId="3" xfId="0" applyNumberFormat="1" applyFont="1" applyFill="1" applyBorder="1" applyAlignment="1">
      <alignment horizontal="right"/>
    </xf>
    <xf numFmtId="0" fontId="55" fillId="6" borderId="34" xfId="0" applyFont="1" applyFill="1" applyBorder="1"/>
    <xf numFmtId="0" fontId="42" fillId="6" borderId="34" xfId="0" applyFont="1" applyFill="1" applyBorder="1"/>
    <xf numFmtId="165" fontId="42" fillId="6" borderId="34" xfId="0" applyNumberFormat="1" applyFont="1" applyFill="1" applyBorder="1" applyAlignment="1">
      <alignment horizontal="center"/>
    </xf>
    <xf numFmtId="0" fontId="42" fillId="6" borderId="9" xfId="0" applyFont="1" applyFill="1" applyBorder="1" applyAlignment="1">
      <alignment horizontal="left"/>
    </xf>
    <xf numFmtId="0" fontId="42" fillId="6" borderId="10" xfId="0" applyFont="1" applyFill="1" applyBorder="1"/>
    <xf numFmtId="2" fontId="42" fillId="6" borderId="3" xfId="0" applyNumberFormat="1" applyFont="1" applyFill="1" applyBorder="1" applyAlignment="1">
      <alignment horizontal="right"/>
    </xf>
    <xf numFmtId="0" fontId="42" fillId="6" borderId="11" xfId="0" applyFont="1" applyFill="1" applyBorder="1"/>
    <xf numFmtId="0" fontId="42" fillId="6" borderId="6" xfId="0" applyFont="1" applyFill="1" applyBorder="1"/>
    <xf numFmtId="0" fontId="42" fillId="0" borderId="81" xfId="0" applyFont="1" applyBorder="1" applyAlignment="1">
      <alignment vertical="center"/>
    </xf>
    <xf numFmtId="0" fontId="42" fillId="0" borderId="84" xfId="0" applyFont="1" applyBorder="1" applyAlignment="1">
      <alignment vertical="center"/>
    </xf>
    <xf numFmtId="0" fontId="42" fillId="0" borderId="81" xfId="0" applyFont="1" applyBorder="1" applyAlignment="1">
      <alignment horizontal="left" vertical="center"/>
    </xf>
    <xf numFmtId="0" fontId="42" fillId="0" borderId="9" xfId="0" applyFont="1" applyBorder="1" applyAlignment="1">
      <alignment vertical="center"/>
    </xf>
    <xf numFmtId="0" fontId="86" fillId="0" borderId="15" xfId="0" applyFont="1" applyBorder="1" applyAlignment="1">
      <alignment horizontal="center" wrapText="1"/>
    </xf>
    <xf numFmtId="0" fontId="86" fillId="0" borderId="3" xfId="0" applyFont="1" applyBorder="1" applyAlignment="1">
      <alignment horizontal="center" wrapText="1"/>
    </xf>
    <xf numFmtId="0" fontId="86" fillId="0" borderId="16" xfId="0" applyFont="1" applyBorder="1" applyAlignment="1">
      <alignment horizontal="center" wrapText="1"/>
    </xf>
    <xf numFmtId="0" fontId="86" fillId="0" borderId="16" xfId="0" applyFont="1" applyBorder="1" applyAlignment="1">
      <alignment horizontal="center"/>
    </xf>
    <xf numFmtId="0" fontId="86" fillId="0" borderId="3" xfId="0" applyFont="1" applyBorder="1" applyAlignment="1">
      <alignment horizontal="center"/>
    </xf>
    <xf numFmtId="0" fontId="86" fillId="0" borderId="17" xfId="0" applyFont="1" applyBorder="1" applyAlignment="1">
      <alignment horizontal="center"/>
    </xf>
    <xf numFmtId="0" fontId="29" fillId="26" borderId="3" xfId="15" applyFont="1" applyFill="1" applyBorder="1"/>
    <xf numFmtId="0" fontId="64" fillId="6" borderId="5" xfId="0" applyFont="1" applyFill="1" applyBorder="1"/>
    <xf numFmtId="0" fontId="36" fillId="0" borderId="3" xfId="0" applyFont="1" applyBorder="1" applyAlignment="1">
      <alignment horizontal="center" wrapText="1"/>
    </xf>
    <xf numFmtId="171" fontId="34" fillId="2" borderId="1" xfId="3" applyNumberFormat="1" applyAlignment="1">
      <alignment horizontal="center" vertical="center"/>
    </xf>
    <xf numFmtId="0" fontId="36" fillId="13" borderId="0" xfId="0" applyFont="1" applyFill="1"/>
    <xf numFmtId="0" fontId="0" fillId="0" borderId="0" xfId="0" applyAlignment="1">
      <alignment wrapText="1"/>
    </xf>
    <xf numFmtId="0" fontId="33" fillId="17" borderId="2" xfId="2" applyAlignment="1">
      <alignment horizontal="center" vertical="center" wrapText="1"/>
    </xf>
    <xf numFmtId="168" fontId="36" fillId="0" borderId="12" xfId="0" applyNumberFormat="1" applyFont="1" applyBorder="1" applyAlignment="1">
      <alignment horizontal="center"/>
    </xf>
    <xf numFmtId="0" fontId="32" fillId="22" borderId="1" xfId="13" applyAlignment="1" applyProtection="1">
      <alignment horizontal="center"/>
      <protection locked="0"/>
    </xf>
    <xf numFmtId="168" fontId="36" fillId="0" borderId="13" xfId="0" applyNumberFormat="1" applyFont="1" applyBorder="1" applyAlignment="1">
      <alignment horizontal="center"/>
    </xf>
    <xf numFmtId="168" fontId="36" fillId="0" borderId="14" xfId="0" applyNumberFormat="1" applyFont="1" applyBorder="1" applyAlignment="1">
      <alignment horizontal="center"/>
    </xf>
    <xf numFmtId="0" fontId="78" fillId="0" borderId="0" xfId="16" applyFont="1"/>
    <xf numFmtId="0" fontId="28" fillId="0" borderId="0" xfId="16"/>
    <xf numFmtId="0" fontId="28" fillId="0" borderId="0" xfId="16" applyAlignment="1">
      <alignment wrapText="1"/>
    </xf>
    <xf numFmtId="0" fontId="79" fillId="20" borderId="104" xfId="16" applyFont="1" applyFill="1" applyBorder="1" applyAlignment="1">
      <alignment wrapText="1"/>
    </xf>
    <xf numFmtId="0" fontId="79" fillId="24" borderId="104" xfId="16" applyFont="1" applyFill="1" applyBorder="1"/>
    <xf numFmtId="0" fontId="79" fillId="25" borderId="104" xfId="16" applyFont="1" applyFill="1" applyBorder="1"/>
    <xf numFmtId="0" fontId="79" fillId="26" borderId="104" xfId="16" applyFont="1" applyFill="1" applyBorder="1"/>
    <xf numFmtId="0" fontId="28" fillId="20" borderId="14" xfId="16" applyFill="1" applyBorder="1" applyAlignment="1" applyProtection="1">
      <alignment wrapText="1"/>
      <protection locked="0"/>
    </xf>
    <xf numFmtId="0" fontId="28" fillId="24" borderId="14" xfId="16" applyFill="1" applyBorder="1" applyProtection="1">
      <protection locked="0"/>
    </xf>
    <xf numFmtId="0" fontId="0" fillId="25" borderId="14" xfId="0" applyFill="1" applyBorder="1" applyProtection="1">
      <protection locked="0"/>
    </xf>
    <xf numFmtId="0" fontId="28" fillId="26" borderId="14" xfId="16" applyFill="1" applyBorder="1" applyProtection="1">
      <protection locked="0"/>
    </xf>
    <xf numFmtId="0" fontId="28" fillId="20" borderId="3" xfId="16" applyFill="1" applyBorder="1" applyAlignment="1" applyProtection="1">
      <alignment wrapText="1"/>
      <protection locked="0"/>
    </xf>
    <xf numFmtId="0" fontId="28" fillId="24" borderId="3" xfId="16" applyFill="1" applyBorder="1" applyProtection="1">
      <protection locked="0"/>
    </xf>
    <xf numFmtId="0" fontId="0" fillId="25" borderId="3" xfId="0" applyFill="1" applyBorder="1" applyProtection="1">
      <protection locked="0"/>
    </xf>
    <xf numFmtId="0" fontId="28" fillId="26" borderId="3" xfId="16" applyFill="1" applyBorder="1" applyProtection="1">
      <protection locked="0"/>
    </xf>
    <xf numFmtId="0" fontId="36" fillId="0" borderId="0" xfId="0" applyFont="1" applyAlignment="1">
      <alignment wrapText="1"/>
    </xf>
    <xf numFmtId="0" fontId="36" fillId="0" borderId="0" xfId="0" quotePrefix="1" applyFont="1"/>
    <xf numFmtId="0" fontId="32" fillId="22" borderId="1" xfId="13" applyProtection="1">
      <protection locked="0"/>
    </xf>
    <xf numFmtId="0" fontId="88" fillId="0" borderId="0" xfId="0" applyFont="1"/>
    <xf numFmtId="16" fontId="0" fillId="0" borderId="7" xfId="0" quotePrefix="1" applyNumberFormat="1" applyBorder="1"/>
    <xf numFmtId="0" fontId="54" fillId="5" borderId="2" xfId="11" applyProtection="1">
      <protection locked="0"/>
    </xf>
    <xf numFmtId="0" fontId="36" fillId="6" borderId="5" xfId="0" applyFont="1" applyFill="1" applyBorder="1" applyAlignment="1">
      <alignment horizontal="left" vertical="center" wrapText="1"/>
    </xf>
    <xf numFmtId="0" fontId="42" fillId="6" borderId="0" xfId="0" applyFont="1" applyFill="1" applyAlignment="1">
      <alignment horizontal="left" vertical="center" wrapText="1"/>
    </xf>
    <xf numFmtId="0" fontId="0" fillId="0" borderId="121" xfId="0" applyBorder="1"/>
    <xf numFmtId="0" fontId="27" fillId="20" borderId="3" xfId="15" applyFont="1" applyFill="1" applyBorder="1" applyAlignment="1">
      <alignment wrapText="1"/>
    </xf>
    <xf numFmtId="0" fontId="27" fillId="24" borderId="3" xfId="15" applyFont="1" applyFill="1" applyBorder="1"/>
    <xf numFmtId="0" fontId="27" fillId="26" borderId="3" xfId="15" applyFont="1" applyFill="1" applyBorder="1"/>
    <xf numFmtId="0" fontId="0" fillId="27" borderId="15" xfId="0" applyFill="1" applyBorder="1" applyAlignment="1">
      <alignment horizontal="center"/>
    </xf>
    <xf numFmtId="1" fontId="0" fillId="27" borderId="15" xfId="0" applyNumberFormat="1" applyFill="1" applyBorder="1" applyAlignment="1">
      <alignment horizontal="center"/>
    </xf>
    <xf numFmtId="0" fontId="74" fillId="0" borderId="0" xfId="0" applyFont="1"/>
    <xf numFmtId="1" fontId="38" fillId="0" borderId="0" xfId="0" applyNumberFormat="1" applyFont="1" applyAlignment="1">
      <alignment horizontal="center"/>
    </xf>
    <xf numFmtId="0" fontId="89" fillId="0" borderId="7" xfId="0" applyFont="1" applyBorder="1"/>
    <xf numFmtId="0" fontId="36" fillId="0" borderId="7" xfId="0" applyFont="1" applyBorder="1"/>
    <xf numFmtId="0" fontId="0" fillId="0" borderId="81" xfId="0" applyBorder="1"/>
    <xf numFmtId="0" fontId="0" fillId="0" borderId="0" xfId="0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124" xfId="0" applyBorder="1"/>
    <xf numFmtId="0" fontId="36" fillId="0" borderId="81" xfId="0" applyFont="1" applyBorder="1"/>
    <xf numFmtId="0" fontId="55" fillId="6" borderId="5" xfId="0" applyFont="1" applyFill="1" applyBorder="1" applyAlignment="1">
      <alignment horizontal="left"/>
    </xf>
    <xf numFmtId="0" fontId="42" fillId="6" borderId="0" xfId="0" applyFont="1" applyFill="1" applyAlignment="1">
      <alignment horizontal="left"/>
    </xf>
    <xf numFmtId="0" fontId="42" fillId="6" borderId="10" xfId="0" applyFont="1" applyFill="1" applyBorder="1" applyAlignment="1">
      <alignment horizontal="left"/>
    </xf>
    <xf numFmtId="0" fontId="38" fillId="0" borderId="8" xfId="0" applyFont="1" applyBorder="1"/>
    <xf numFmtId="165" fontId="0" fillId="0" borderId="3" xfId="0" applyNumberFormat="1" applyBorder="1" applyAlignment="1">
      <alignment horizontal="center"/>
    </xf>
    <xf numFmtId="0" fontId="38" fillId="0" borderId="9" xfId="0" applyFont="1" applyBorder="1"/>
    <xf numFmtId="0" fontId="74" fillId="0" borderId="10" xfId="0" applyFont="1" applyBorder="1"/>
    <xf numFmtId="1" fontId="38" fillId="0" borderId="10" xfId="0" applyNumberFormat="1" applyFont="1" applyBorder="1" applyAlignment="1">
      <alignment horizontal="center"/>
    </xf>
    <xf numFmtId="0" fontId="38" fillId="0" borderId="11" xfId="0" applyFont="1" applyBorder="1"/>
    <xf numFmtId="0" fontId="55" fillId="0" borderId="5" xfId="0" applyFont="1" applyBorder="1" applyAlignment="1">
      <alignment horizontal="center"/>
    </xf>
    <xf numFmtId="9" fontId="0" fillId="0" borderId="0" xfId="8" applyFont="1" applyAlignment="1">
      <alignment horizontal="center"/>
    </xf>
    <xf numFmtId="9" fontId="36" fillId="0" borderId="3" xfId="8" applyFont="1" applyBorder="1" applyAlignment="1">
      <alignment horizontal="center"/>
    </xf>
    <xf numFmtId="165" fontId="36" fillId="0" borderId="3" xfId="0" applyNumberFormat="1" applyFont="1" applyBorder="1" applyAlignment="1">
      <alignment horizontal="center"/>
    </xf>
    <xf numFmtId="9" fontId="0" fillId="0" borderId="0" xfId="0" applyNumberFormat="1"/>
    <xf numFmtId="9" fontId="0" fillId="0" borderId="0" xfId="0" applyNumberFormat="1" applyAlignment="1">
      <alignment horizontal="center"/>
    </xf>
    <xf numFmtId="165" fontId="0" fillId="0" borderId="0" xfId="8" applyNumberFormat="1" applyFont="1" applyAlignment="1">
      <alignment horizontal="center"/>
    </xf>
    <xf numFmtId="0" fontId="26" fillId="20" borderId="3" xfId="15" applyFont="1" applyFill="1" applyBorder="1" applyAlignment="1">
      <alignment wrapText="1"/>
    </xf>
    <xf numFmtId="0" fontId="26" fillId="24" borderId="3" xfId="15" applyFont="1" applyFill="1" applyBorder="1"/>
    <xf numFmtId="0" fontId="26" fillId="26" borderId="3" xfId="15" applyFont="1" applyFill="1" applyBorder="1"/>
    <xf numFmtId="0" fontId="0" fillId="25" borderId="3" xfId="0" quotePrefix="1" applyFill="1" applyBorder="1"/>
    <xf numFmtId="0" fontId="57" fillId="0" borderId="7" xfId="0" applyFont="1" applyBorder="1"/>
    <xf numFmtId="0" fontId="26" fillId="24" borderId="3" xfId="15" applyFont="1" applyFill="1" applyBorder="1" applyAlignment="1">
      <alignment wrapText="1"/>
    </xf>
    <xf numFmtId="2" fontId="36" fillId="0" borderId="3" xfId="0" applyNumberFormat="1" applyFont="1" applyBorder="1" applyAlignment="1">
      <alignment horizontal="center"/>
    </xf>
    <xf numFmtId="0" fontId="36" fillId="0" borderId="3" xfId="0" applyFont="1" applyBorder="1" applyAlignment="1">
      <alignment horizontal="center"/>
    </xf>
    <xf numFmtId="1" fontId="91" fillId="6" borderId="122" xfId="5" applyNumberFormat="1" applyFont="1" applyFill="1" applyBorder="1" applyAlignment="1" applyProtection="1">
      <alignment horizontal="center" vertical="center"/>
    </xf>
    <xf numFmtId="165" fontId="91" fillId="6" borderId="35" xfId="8" applyNumberFormat="1" applyFont="1" applyFill="1" applyBorder="1" applyAlignment="1" applyProtection="1">
      <alignment horizontal="center" vertical="center"/>
    </xf>
    <xf numFmtId="1" fontId="91" fillId="6" borderId="35" xfId="8" applyNumberFormat="1" applyFont="1" applyFill="1" applyBorder="1" applyAlignment="1" applyProtection="1">
      <alignment horizontal="center" vertical="center"/>
    </xf>
    <xf numFmtId="0" fontId="54" fillId="3" borderId="123" xfId="5" applyFont="1" applyBorder="1" applyAlignment="1" applyProtection="1">
      <alignment horizontal="center" vertical="center"/>
      <protection locked="0"/>
    </xf>
    <xf numFmtId="164" fontId="0" fillId="27" borderId="9" xfId="0" applyNumberFormat="1" applyFill="1" applyBorder="1" applyAlignment="1">
      <alignment horizontal="center"/>
    </xf>
    <xf numFmtId="164" fontId="0" fillId="27" borderId="10" xfId="0" applyNumberFormat="1" applyFill="1" applyBorder="1" applyAlignment="1">
      <alignment horizontal="center"/>
    </xf>
    <xf numFmtId="164" fontId="0" fillId="27" borderId="11" xfId="0" applyNumberFormat="1" applyFill="1" applyBorder="1" applyAlignment="1">
      <alignment horizontal="center"/>
    </xf>
    <xf numFmtId="2" fontId="0" fillId="27" borderId="14" xfId="0" applyNumberFormat="1" applyFill="1" applyBorder="1" applyAlignment="1">
      <alignment horizontal="center"/>
    </xf>
    <xf numFmtId="2" fontId="0" fillId="27" borderId="9" xfId="0" applyNumberFormat="1" applyFill="1" applyBorder="1" applyAlignment="1">
      <alignment horizontal="center"/>
    </xf>
    <xf numFmtId="2" fontId="0" fillId="27" borderId="11" xfId="0" applyNumberFormat="1" applyFill="1" applyBorder="1" applyAlignment="1">
      <alignment horizontal="center"/>
    </xf>
    <xf numFmtId="0" fontId="36" fillId="27" borderId="14" xfId="0" applyFont="1" applyFill="1" applyBorder="1" applyAlignment="1">
      <alignment horizontal="center"/>
    </xf>
    <xf numFmtId="0" fontId="32" fillId="4" borderId="94" xfId="1" applyBorder="1"/>
    <xf numFmtId="0" fontId="25" fillId="20" borderId="3" xfId="15" applyFont="1" applyFill="1" applyBorder="1" applyAlignment="1">
      <alignment wrapText="1"/>
    </xf>
    <xf numFmtId="0" fontId="25" fillId="24" borderId="3" xfId="15" applyFont="1" applyFill="1" applyBorder="1"/>
    <xf numFmtId="0" fontId="25" fillId="26" borderId="3" xfId="15" applyFont="1" applyFill="1" applyBorder="1"/>
    <xf numFmtId="0" fontId="90" fillId="0" borderId="0" xfId="0" applyFont="1" applyAlignment="1">
      <alignment horizontal="center"/>
    </xf>
    <xf numFmtId="2" fontId="0" fillId="0" borderId="3" xfId="0" applyNumberFormat="1" applyBorder="1" applyAlignment="1">
      <alignment horizontal="center"/>
    </xf>
    <xf numFmtId="1" fontId="36" fillId="0" borderId="3" xfId="0" applyNumberFormat="1" applyFont="1" applyBorder="1" applyAlignment="1">
      <alignment horizontal="center"/>
    </xf>
    <xf numFmtId="9" fontId="91" fillId="6" borderId="35" xfId="8" applyFont="1" applyFill="1" applyBorder="1" applyAlignment="1" applyProtection="1">
      <alignment horizontal="center" vertical="center"/>
    </xf>
    <xf numFmtId="1" fontId="54" fillId="3" borderId="35" xfId="5" applyNumberFormat="1" applyFont="1" applyAlignment="1" applyProtection="1">
      <alignment horizontal="center" vertical="center"/>
      <protection locked="0"/>
    </xf>
    <xf numFmtId="0" fontId="90" fillId="0" borderId="0" xfId="0" applyFont="1" applyAlignment="1">
      <alignment horizontal="left"/>
    </xf>
    <xf numFmtId="0" fontId="44" fillId="0" borderId="0" xfId="0" applyFont="1"/>
    <xf numFmtId="0" fontId="24" fillId="24" borderId="3" xfId="15" quotePrefix="1" applyFont="1" applyFill="1" applyBorder="1" applyAlignment="1">
      <alignment wrapText="1"/>
    </xf>
    <xf numFmtId="0" fontId="24" fillId="26" borderId="3" xfId="15" quotePrefix="1" applyFont="1" applyFill="1" applyBorder="1"/>
    <xf numFmtId="0" fontId="24" fillId="20" borderId="3" xfId="15" applyFont="1" applyFill="1" applyBorder="1" applyAlignment="1">
      <alignment wrapText="1"/>
    </xf>
    <xf numFmtId="0" fontId="24" fillId="24" borderId="3" xfId="15" applyFont="1" applyFill="1" applyBorder="1" applyAlignment="1">
      <alignment wrapText="1"/>
    </xf>
    <xf numFmtId="171" fontId="32" fillId="22" borderId="1" xfId="13" applyNumberFormat="1" applyAlignment="1">
      <alignment horizontal="center"/>
    </xf>
    <xf numFmtId="0" fontId="24" fillId="24" borderId="3" xfId="15" applyFont="1" applyFill="1" applyBorder="1"/>
    <xf numFmtId="0" fontId="24" fillId="26" borderId="3" xfId="15" applyFont="1" applyFill="1" applyBorder="1"/>
    <xf numFmtId="0" fontId="0" fillId="10" borderId="7" xfId="0" applyFill="1" applyBorder="1"/>
    <xf numFmtId="1" fontId="34" fillId="10" borderId="1" xfId="3" applyNumberFormat="1" applyFill="1" applyAlignment="1">
      <alignment horizontal="center"/>
    </xf>
    <xf numFmtId="0" fontId="0" fillId="10" borderId="8" xfId="0" applyFill="1" applyBorder="1"/>
    <xf numFmtId="0" fontId="33" fillId="10" borderId="2" xfId="2" applyFill="1" applyAlignment="1" applyProtection="1">
      <alignment horizontal="center"/>
      <protection locked="0"/>
    </xf>
    <xf numFmtId="1" fontId="33" fillId="10" borderId="2" xfId="2" applyNumberFormat="1" applyFill="1" applyAlignment="1" applyProtection="1">
      <alignment horizontal="center"/>
      <protection locked="0"/>
    </xf>
    <xf numFmtId="1" fontId="54" fillId="10" borderId="35" xfId="5" applyNumberFormat="1" applyFont="1" applyFill="1" applyAlignment="1" applyProtection="1">
      <alignment horizontal="center" vertical="center"/>
    </xf>
    <xf numFmtId="0" fontId="44" fillId="0" borderId="9" xfId="0" applyFont="1" applyBorder="1"/>
    <xf numFmtId="0" fontId="23" fillId="20" borderId="3" xfId="15" applyFont="1" applyFill="1" applyBorder="1" applyAlignment="1">
      <alignment wrapText="1"/>
    </xf>
    <xf numFmtId="0" fontId="23" fillId="24" borderId="3" xfId="15" applyFont="1" applyFill="1" applyBorder="1"/>
    <xf numFmtId="0" fontId="23" fillId="26" borderId="3" xfId="15" applyFont="1" applyFill="1" applyBorder="1"/>
    <xf numFmtId="0" fontId="22" fillId="20" borderId="3" xfId="16" applyFont="1" applyFill="1" applyBorder="1" applyAlignment="1" applyProtection="1">
      <alignment wrapText="1"/>
      <protection locked="0"/>
    </xf>
    <xf numFmtId="0" fontId="22" fillId="24" borderId="3" xfId="16" applyFont="1" applyFill="1" applyBorder="1" applyProtection="1">
      <protection locked="0"/>
    </xf>
    <xf numFmtId="0" fontId="22" fillId="26" borderId="3" xfId="16" applyFont="1" applyFill="1" applyBorder="1" applyProtection="1">
      <protection locked="0"/>
    </xf>
    <xf numFmtId="170" fontId="0" fillId="0" borderId="79" xfId="0" applyNumberFormat="1" applyBorder="1" applyAlignment="1">
      <alignment horizontal="left"/>
    </xf>
    <xf numFmtId="0" fontId="0" fillId="10" borderId="5" xfId="0" applyFill="1" applyBorder="1"/>
    <xf numFmtId="0" fontId="0" fillId="10" borderId="6" xfId="0" applyFill="1" applyBorder="1"/>
    <xf numFmtId="0" fontId="0" fillId="24" borderId="17" xfId="0" applyFill="1" applyBorder="1" applyAlignment="1">
      <alignment horizontal="center" wrapText="1"/>
    </xf>
    <xf numFmtId="0" fontId="0" fillId="10" borderId="3" xfId="0" applyFill="1" applyBorder="1" applyAlignment="1">
      <alignment horizontal="center"/>
    </xf>
    <xf numFmtId="0" fontId="0" fillId="24" borderId="3" xfId="0" applyFill="1" applyBorder="1" applyAlignment="1">
      <alignment horizontal="center" wrapText="1"/>
    </xf>
    <xf numFmtId="0" fontId="73" fillId="24" borderId="3" xfId="0" applyFont="1" applyFill="1" applyBorder="1" applyAlignment="1">
      <alignment horizontal="center" wrapText="1"/>
    </xf>
    <xf numFmtId="0" fontId="0" fillId="24" borderId="17" xfId="0" applyFill="1" applyBorder="1" applyAlignment="1">
      <alignment horizontal="center"/>
    </xf>
    <xf numFmtId="0" fontId="0" fillId="24" borderId="3" xfId="0" applyFill="1" applyBorder="1" applyAlignment="1">
      <alignment horizontal="center"/>
    </xf>
    <xf numFmtId="2" fontId="73" fillId="24" borderId="3" xfId="0" applyNumberFormat="1" applyFont="1" applyFill="1" applyBorder="1" applyAlignment="1">
      <alignment horizontal="center"/>
    </xf>
    <xf numFmtId="165" fontId="73" fillId="24" borderId="3" xfId="0" applyNumberFormat="1" applyFont="1" applyFill="1" applyBorder="1" applyAlignment="1">
      <alignment horizontal="center"/>
    </xf>
    <xf numFmtId="165" fontId="0" fillId="29" borderId="3" xfId="0" applyNumberFormat="1" applyFill="1" applyBorder="1" applyAlignment="1">
      <alignment horizontal="center"/>
    </xf>
    <xf numFmtId="0" fontId="0" fillId="10" borderId="10" xfId="0" applyFill="1" applyBorder="1"/>
    <xf numFmtId="0" fontId="0" fillId="10" borderId="11" xfId="0" applyFill="1" applyBorder="1"/>
    <xf numFmtId="0" fontId="0" fillId="24" borderId="17" xfId="0" quotePrefix="1" applyFill="1" applyBorder="1" applyAlignment="1">
      <alignment horizontal="center"/>
    </xf>
    <xf numFmtId="16" fontId="0" fillId="24" borderId="17" xfId="0" quotePrefix="1" applyNumberFormat="1" applyFill="1" applyBorder="1" applyAlignment="1">
      <alignment horizontal="center"/>
    </xf>
    <xf numFmtId="0" fontId="78" fillId="24" borderId="3" xfId="0" applyFont="1" applyFill="1" applyBorder="1" applyAlignment="1">
      <alignment horizontal="center"/>
    </xf>
    <xf numFmtId="0" fontId="78" fillId="24" borderId="3" xfId="0" applyFont="1" applyFill="1" applyBorder="1" applyAlignment="1">
      <alignment horizontal="center" wrapText="1"/>
    </xf>
    <xf numFmtId="0" fontId="0" fillId="24" borderId="3" xfId="0" applyFill="1" applyBorder="1"/>
    <xf numFmtId="2" fontId="0" fillId="24" borderId="3" xfId="0" applyNumberFormat="1" applyFill="1" applyBorder="1" applyAlignment="1">
      <alignment horizontal="center"/>
    </xf>
    <xf numFmtId="0" fontId="73" fillId="24" borderId="3" xfId="0" applyFont="1" applyFill="1" applyBorder="1" applyAlignment="1">
      <alignment horizontal="center"/>
    </xf>
    <xf numFmtId="0" fontId="0" fillId="24" borderId="3" xfId="0" quotePrefix="1" applyFill="1" applyBorder="1" applyAlignment="1">
      <alignment horizontal="center"/>
    </xf>
    <xf numFmtId="16" fontId="0" fillId="24" borderId="3" xfId="0" quotePrefix="1" applyNumberFormat="1" applyFill="1" applyBorder="1" applyAlignment="1">
      <alignment horizontal="center"/>
    </xf>
    <xf numFmtId="0" fontId="43" fillId="0" borderId="73" xfId="0" applyFont="1" applyBorder="1"/>
    <xf numFmtId="0" fontId="0" fillId="10" borderId="100" xfId="0" applyFill="1" applyBorder="1"/>
    <xf numFmtId="0" fontId="0" fillId="28" borderId="0" xfId="0" applyFill="1"/>
    <xf numFmtId="0" fontId="78" fillId="28" borderId="0" xfId="0" applyFont="1" applyFill="1"/>
    <xf numFmtId="0" fontId="0" fillId="28" borderId="77" xfId="0" applyFill="1" applyBorder="1"/>
    <xf numFmtId="0" fontId="0" fillId="10" borderId="76" xfId="0" applyFill="1" applyBorder="1"/>
    <xf numFmtId="0" fontId="93" fillId="28" borderId="0" xfId="0" applyFont="1" applyFill="1"/>
    <xf numFmtId="0" fontId="0" fillId="24" borderId="0" xfId="0" applyFill="1"/>
    <xf numFmtId="0" fontId="0" fillId="24" borderId="77" xfId="0" applyFill="1" applyBorder="1"/>
    <xf numFmtId="0" fontId="94" fillId="10" borderId="0" xfId="0" applyFont="1" applyFill="1"/>
    <xf numFmtId="0" fontId="94" fillId="24" borderId="0" xfId="0" applyFont="1" applyFill="1"/>
    <xf numFmtId="0" fontId="78" fillId="24" borderId="0" xfId="0" applyFont="1" applyFill="1" applyAlignment="1">
      <alignment horizontal="center" wrapText="1"/>
    </xf>
    <xf numFmtId="0" fontId="0" fillId="24" borderId="0" xfId="0" applyFill="1" applyAlignment="1">
      <alignment horizontal="center" wrapText="1"/>
    </xf>
    <xf numFmtId="0" fontId="78" fillId="0" borderId="0" xfId="0" applyFont="1" applyAlignment="1">
      <alignment horizontal="center"/>
    </xf>
    <xf numFmtId="0" fontId="78" fillId="24" borderId="0" xfId="0" applyFont="1" applyFill="1" applyAlignment="1">
      <alignment horizontal="center"/>
    </xf>
    <xf numFmtId="0" fontId="0" fillId="24" borderId="0" xfId="0" applyFill="1" applyAlignment="1">
      <alignment horizontal="center"/>
    </xf>
    <xf numFmtId="0" fontId="73" fillId="0" borderId="0" xfId="0" applyFont="1" applyAlignment="1">
      <alignment horizontal="center" wrapText="1"/>
    </xf>
    <xf numFmtId="0" fontId="73" fillId="24" borderId="0" xfId="0" applyFont="1" applyFill="1" applyAlignment="1">
      <alignment horizontal="center" wrapText="1"/>
    </xf>
    <xf numFmtId="2" fontId="73" fillId="0" borderId="0" xfId="0" applyNumberFormat="1" applyFont="1" applyAlignment="1">
      <alignment horizontal="center"/>
    </xf>
    <xf numFmtId="2" fontId="73" fillId="24" borderId="0" xfId="0" applyNumberFormat="1" applyFont="1" applyFill="1" applyAlignment="1">
      <alignment horizontal="center"/>
    </xf>
    <xf numFmtId="0" fontId="0" fillId="10" borderId="90" xfId="0" applyFill="1" applyBorder="1"/>
    <xf numFmtId="0" fontId="95" fillId="24" borderId="0" xfId="0" applyFont="1" applyFill="1"/>
    <xf numFmtId="0" fontId="78" fillId="24" borderId="0" xfId="0" applyFont="1" applyFill="1"/>
    <xf numFmtId="0" fontId="73" fillId="24" borderId="0" xfId="0" applyFont="1" applyFill="1"/>
    <xf numFmtId="0" fontId="78" fillId="0" borderId="0" xfId="0" applyFont="1" applyAlignment="1">
      <alignment horizontal="center" wrapText="1"/>
    </xf>
    <xf numFmtId="2" fontId="0" fillId="24" borderId="0" xfId="0" applyNumberFormat="1" applyFill="1" applyAlignment="1">
      <alignment horizontal="center"/>
    </xf>
    <xf numFmtId="0" fontId="0" fillId="24" borderId="104" xfId="0" applyFill="1" applyBorder="1"/>
    <xf numFmtId="2" fontId="0" fillId="24" borderId="104" xfId="0" applyNumberFormat="1" applyFill="1" applyBorder="1" applyAlignment="1">
      <alignment horizontal="center"/>
    </xf>
    <xf numFmtId="2" fontId="0" fillId="0" borderId="79" xfId="0" applyNumberFormat="1" applyBorder="1" applyAlignment="1">
      <alignment horizontal="center"/>
    </xf>
    <xf numFmtId="0" fontId="73" fillId="24" borderId="104" xfId="0" applyFont="1" applyFill="1" applyBorder="1" applyAlignment="1">
      <alignment horizontal="center"/>
    </xf>
    <xf numFmtId="2" fontId="0" fillId="29" borderId="104" xfId="0" applyNumberFormat="1" applyFill="1" applyBorder="1" applyAlignment="1">
      <alignment horizontal="center"/>
    </xf>
    <xf numFmtId="2" fontId="77" fillId="24" borderId="104" xfId="0" applyNumberFormat="1" applyFont="1" applyFill="1" applyBorder="1" applyAlignment="1">
      <alignment horizontal="center"/>
    </xf>
    <xf numFmtId="2" fontId="0" fillId="24" borderId="79" xfId="0" applyNumberFormat="1" applyFill="1" applyBorder="1" applyAlignment="1">
      <alignment horizontal="center"/>
    </xf>
    <xf numFmtId="0" fontId="0" fillId="24" borderId="79" xfId="0" applyFill="1" applyBorder="1"/>
    <xf numFmtId="0" fontId="0" fillId="24" borderId="80" xfId="0" applyFill="1" applyBorder="1"/>
    <xf numFmtId="165" fontId="0" fillId="24" borderId="0" xfId="0" applyNumberFormat="1" applyFill="1" applyAlignment="1">
      <alignment horizontal="center"/>
    </xf>
    <xf numFmtId="0" fontId="43" fillId="0" borderId="3" xfId="0" applyFont="1" applyBorder="1" applyAlignment="1">
      <alignment horizontal="center"/>
    </xf>
    <xf numFmtId="165" fontId="43" fillId="0" borderId="3" xfId="0" applyNumberFormat="1" applyFont="1" applyBorder="1" applyAlignment="1">
      <alignment horizontal="center"/>
    </xf>
    <xf numFmtId="9" fontId="0" fillId="0" borderId="3" xfId="8" applyFont="1" applyBorder="1" applyAlignment="1">
      <alignment horizontal="center"/>
    </xf>
    <xf numFmtId="170" fontId="0" fillId="0" borderId="3" xfId="8" applyNumberFormat="1" applyFont="1" applyBorder="1" applyAlignment="1">
      <alignment horizontal="center"/>
    </xf>
    <xf numFmtId="0" fontId="97" fillId="16" borderId="54" xfId="10" applyFont="1"/>
    <xf numFmtId="0" fontId="21" fillId="20" borderId="3" xfId="15" applyFont="1" applyFill="1" applyBorder="1" applyAlignment="1">
      <alignment wrapText="1"/>
    </xf>
    <xf numFmtId="170" fontId="59" fillId="17" borderId="136" xfId="2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52" fillId="0" borderId="0" xfId="0" applyFont="1" applyAlignment="1">
      <alignment horizontal="center"/>
    </xf>
    <xf numFmtId="1" fontId="0" fillId="0" borderId="10" xfId="0" applyNumberFormat="1" applyBorder="1" applyAlignment="1">
      <alignment horizontal="center" vertical="center"/>
    </xf>
    <xf numFmtId="168" fontId="0" fillId="0" borderId="0" xfId="0" applyNumberFormat="1" applyAlignment="1">
      <alignment horizontal="center"/>
    </xf>
    <xf numFmtId="168" fontId="0" fillId="0" borderId="10" xfId="0" applyNumberFormat="1" applyBorder="1" applyAlignment="1">
      <alignment horizontal="center"/>
    </xf>
    <xf numFmtId="0" fontId="45" fillId="0" borderId="0" xfId="0" applyFont="1" applyAlignment="1">
      <alignment horizontal="center"/>
    </xf>
    <xf numFmtId="165" fontId="36" fillId="3" borderId="35" xfId="5" applyNumberFormat="1" applyFont="1" applyAlignment="1" applyProtection="1">
      <alignment horizontal="center"/>
      <protection locked="0"/>
    </xf>
    <xf numFmtId="165" fontId="36" fillId="3" borderId="69" xfId="5" applyNumberFormat="1" applyFont="1" applyBorder="1" applyAlignment="1" applyProtection="1">
      <alignment horizontal="center"/>
      <protection locked="0"/>
    </xf>
    <xf numFmtId="9" fontId="0" fillId="0" borderId="34" xfId="8" applyFont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0" fontId="20" fillId="20" borderId="3" xfId="15" applyFont="1" applyFill="1" applyBorder="1" applyAlignment="1">
      <alignment wrapText="1"/>
    </xf>
    <xf numFmtId="0" fontId="20" fillId="24" borderId="3" xfId="15" applyFont="1" applyFill="1" applyBorder="1"/>
    <xf numFmtId="0" fontId="20" fillId="26" borderId="3" xfId="15" applyFont="1" applyFill="1" applyBorder="1"/>
    <xf numFmtId="0" fontId="20" fillId="26" borderId="3" xfId="15" applyFont="1" applyFill="1" applyBorder="1" applyAlignment="1">
      <alignment wrapText="1"/>
    </xf>
    <xf numFmtId="165" fontId="42" fillId="6" borderId="0" xfId="0" applyNumberFormat="1" applyFont="1" applyFill="1" applyAlignment="1">
      <alignment horizontal="center"/>
    </xf>
    <xf numFmtId="0" fontId="19" fillId="20" borderId="3" xfId="15" applyFont="1" applyFill="1" applyBorder="1" applyAlignment="1">
      <alignment wrapText="1"/>
    </xf>
    <xf numFmtId="0" fontId="19" fillId="24" borderId="3" xfId="15" applyFont="1" applyFill="1" applyBorder="1"/>
    <xf numFmtId="0" fontId="19" fillId="26" borderId="3" xfId="15" applyFont="1" applyFill="1" applyBorder="1"/>
    <xf numFmtId="0" fontId="18" fillId="0" borderId="0" xfId="15" applyFont="1"/>
    <xf numFmtId="0" fontId="18" fillId="24" borderId="3" xfId="16" applyFont="1" applyFill="1" applyBorder="1" applyProtection="1">
      <protection locked="0"/>
    </xf>
    <xf numFmtId="0" fontId="18" fillId="26" borderId="3" xfId="16" applyFont="1" applyFill="1" applyBorder="1" applyProtection="1">
      <protection locked="0"/>
    </xf>
    <xf numFmtId="0" fontId="18" fillId="20" borderId="3" xfId="16" applyFont="1" applyFill="1" applyBorder="1" applyAlignment="1" applyProtection="1">
      <alignment wrapText="1"/>
      <protection locked="0"/>
    </xf>
    <xf numFmtId="0" fontId="79" fillId="6" borderId="104" xfId="15" applyFont="1" applyFill="1" applyBorder="1"/>
    <xf numFmtId="0" fontId="19" fillId="6" borderId="3" xfId="15" applyFont="1" applyFill="1" applyBorder="1"/>
    <xf numFmtId="0" fontId="79" fillId="4" borderId="104" xfId="15" applyFont="1" applyFill="1" applyBorder="1"/>
    <xf numFmtId="0" fontId="19" fillId="4" borderId="3" xfId="15" applyFont="1" applyFill="1" applyBorder="1"/>
    <xf numFmtId="0" fontId="79" fillId="30" borderId="104" xfId="15" applyFont="1" applyFill="1" applyBorder="1"/>
    <xf numFmtId="0" fontId="19" fillId="30" borderId="3" xfId="15" applyFont="1" applyFill="1" applyBorder="1"/>
    <xf numFmtId="0" fontId="79" fillId="31" borderId="104" xfId="15" applyFont="1" applyFill="1" applyBorder="1"/>
    <xf numFmtId="0" fontId="19" fillId="31" borderId="3" xfId="15" applyFont="1" applyFill="1" applyBorder="1"/>
    <xf numFmtId="0" fontId="28" fillId="6" borderId="14" xfId="16" applyFill="1" applyBorder="1" applyProtection="1">
      <protection locked="0"/>
    </xf>
    <xf numFmtId="0" fontId="28" fillId="6" borderId="3" xfId="16" applyFill="1" applyBorder="1" applyProtection="1">
      <protection locked="0"/>
    </xf>
    <xf numFmtId="0" fontId="18" fillId="6" borderId="3" xfId="16" applyFont="1" applyFill="1" applyBorder="1" applyProtection="1">
      <protection locked="0"/>
    </xf>
    <xf numFmtId="0" fontId="28" fillId="4" borderId="14" xfId="16" applyFill="1" applyBorder="1" applyProtection="1">
      <protection locked="0"/>
    </xf>
    <xf numFmtId="0" fontId="28" fillId="4" borderId="3" xfId="16" applyFill="1" applyBorder="1" applyProtection="1">
      <protection locked="0"/>
    </xf>
    <xf numFmtId="0" fontId="18" fillId="4" borderId="3" xfId="16" applyFont="1" applyFill="1" applyBorder="1" applyProtection="1">
      <protection locked="0"/>
    </xf>
    <xf numFmtId="0" fontId="28" fillId="30" borderId="14" xfId="16" applyFill="1" applyBorder="1" applyProtection="1">
      <protection locked="0"/>
    </xf>
    <xf numFmtId="0" fontId="28" fillId="30" borderId="3" xfId="16" applyFill="1" applyBorder="1" applyProtection="1">
      <protection locked="0"/>
    </xf>
    <xf numFmtId="0" fontId="18" fillId="30" borderId="3" xfId="16" applyFont="1" applyFill="1" applyBorder="1" applyProtection="1">
      <protection locked="0"/>
    </xf>
    <xf numFmtId="0" fontId="28" fillId="31" borderId="14" xfId="16" applyFill="1" applyBorder="1" applyProtection="1">
      <protection locked="0"/>
    </xf>
    <xf numFmtId="0" fontId="28" fillId="31" borderId="3" xfId="16" applyFill="1" applyBorder="1" applyProtection="1">
      <protection locked="0"/>
    </xf>
    <xf numFmtId="0" fontId="18" fillId="31" borderId="3" xfId="16" applyFont="1" applyFill="1" applyBorder="1" applyProtection="1">
      <protection locked="0"/>
    </xf>
    <xf numFmtId="0" fontId="17" fillId="0" borderId="3" xfId="20" applyBorder="1" applyAlignment="1">
      <alignment wrapText="1"/>
    </xf>
    <xf numFmtId="0" fontId="17" fillId="0" borderId="3" xfId="20" applyBorder="1"/>
    <xf numFmtId="0" fontId="17" fillId="0" borderId="3" xfId="20" quotePrefix="1" applyBorder="1"/>
    <xf numFmtId="0" fontId="17" fillId="0" borderId="3" xfId="20" quotePrefix="1" applyBorder="1" applyAlignment="1">
      <alignment wrapText="1"/>
    </xf>
    <xf numFmtId="0" fontId="17" fillId="4" borderId="3" xfId="20" applyFill="1" applyBorder="1" applyAlignment="1">
      <alignment wrapText="1"/>
    </xf>
    <xf numFmtId="0" fontId="17" fillId="4" borderId="3" xfId="20" applyFill="1" applyBorder="1"/>
    <xf numFmtId="0" fontId="17" fillId="4" borderId="3" xfId="20" quotePrefix="1" applyFill="1" applyBorder="1"/>
    <xf numFmtId="0" fontId="17" fillId="4" borderId="3" xfId="20" quotePrefix="1" applyFill="1" applyBorder="1" applyAlignment="1">
      <alignment wrapText="1"/>
    </xf>
    <xf numFmtId="0" fontId="17" fillId="30" borderId="3" xfId="20" applyFill="1" applyBorder="1" applyAlignment="1">
      <alignment wrapText="1"/>
    </xf>
    <xf numFmtId="0" fontId="17" fillId="30" borderId="3" xfId="20" applyFill="1" applyBorder="1"/>
    <xf numFmtId="0" fontId="17" fillId="30" borderId="3" xfId="20" quotePrefix="1" applyFill="1" applyBorder="1"/>
    <xf numFmtId="0" fontId="17" fillId="30" borderId="3" xfId="20" quotePrefix="1" applyFill="1" applyBorder="1" applyAlignment="1">
      <alignment wrapText="1"/>
    </xf>
    <xf numFmtId="0" fontId="17" fillId="31" borderId="3" xfId="20" applyFill="1" applyBorder="1" applyAlignment="1">
      <alignment wrapText="1"/>
    </xf>
    <xf numFmtId="0" fontId="17" fillId="31" borderId="3" xfId="20" applyFill="1" applyBorder="1"/>
    <xf numFmtId="0" fontId="17" fillId="31" borderId="3" xfId="20" quotePrefix="1" applyFill="1" applyBorder="1"/>
    <xf numFmtId="0" fontId="17" fillId="31" borderId="3" xfId="20" quotePrefix="1" applyFill="1" applyBorder="1" applyAlignment="1">
      <alignment wrapText="1"/>
    </xf>
    <xf numFmtId="0" fontId="0" fillId="0" borderId="7" xfId="0" applyBorder="1" applyAlignment="1">
      <alignment vertical="center"/>
    </xf>
    <xf numFmtId="0" fontId="36" fillId="0" borderId="26" xfId="0" applyFont="1" applyBorder="1" applyAlignment="1">
      <alignment vertical="center"/>
    </xf>
    <xf numFmtId="1" fontId="0" fillId="0" borderId="28" xfId="0" applyNumberForma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36" fillId="0" borderId="86" xfId="0" applyNumberFormat="1" applyFont="1" applyBorder="1" applyAlignment="1">
      <alignment horizontal="center" vertical="center"/>
    </xf>
    <xf numFmtId="0" fontId="36" fillId="0" borderId="27" xfId="0" applyFont="1" applyBorder="1" applyAlignment="1">
      <alignment vertical="center"/>
    </xf>
    <xf numFmtId="1" fontId="0" fillId="0" borderId="31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1" fontId="0" fillId="0" borderId="33" xfId="0" applyNumberFormat="1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  <xf numFmtId="1" fontId="36" fillId="0" borderId="87" xfId="0" applyNumberFormat="1" applyFont="1" applyBorder="1" applyAlignment="1">
      <alignment horizontal="center" vertical="center"/>
    </xf>
    <xf numFmtId="0" fontId="36" fillId="0" borderId="36" xfId="0" applyFont="1" applyBorder="1" applyAlignment="1">
      <alignment vertical="center"/>
    </xf>
    <xf numFmtId="1" fontId="0" fillId="0" borderId="37" xfId="0" applyNumberForma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9" xfId="0" applyNumberForma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36" fillId="0" borderId="88" xfId="0" applyNumberFormat="1" applyFont="1" applyBorder="1" applyAlignment="1">
      <alignment horizontal="center" vertical="center"/>
    </xf>
    <xf numFmtId="0" fontId="36" fillId="0" borderId="3" xfId="0" applyFont="1" applyBorder="1" applyAlignment="1">
      <alignment vertical="center"/>
    </xf>
    <xf numFmtId="1" fontId="0" fillId="0" borderId="23" xfId="0" applyNumberFormat="1" applyBorder="1" applyAlignment="1">
      <alignment horizontal="center" vertical="center"/>
    </xf>
    <xf numFmtId="1" fontId="0" fillId="0" borderId="24" xfId="0" applyNumberFormat="1" applyBorder="1" applyAlignment="1">
      <alignment horizontal="center" vertical="center"/>
    </xf>
    <xf numFmtId="1" fontId="0" fillId="0" borderId="25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" fontId="36" fillId="0" borderId="17" xfId="0" applyNumberFormat="1" applyFont="1" applyBorder="1" applyAlignment="1">
      <alignment horizontal="center" vertical="center"/>
    </xf>
    <xf numFmtId="0" fontId="36" fillId="0" borderId="48" xfId="0" applyFont="1" applyBorder="1" applyAlignment="1">
      <alignment vertical="center"/>
    </xf>
    <xf numFmtId="1" fontId="0" fillId="0" borderId="51" xfId="0" applyNumberFormat="1" applyBorder="1" applyAlignment="1">
      <alignment horizontal="center" vertical="center"/>
    </xf>
    <xf numFmtId="1" fontId="0" fillId="0" borderId="52" xfId="0" applyNumberFormat="1" applyBorder="1" applyAlignment="1">
      <alignment horizontal="center" vertical="center"/>
    </xf>
    <xf numFmtId="1" fontId="0" fillId="0" borderId="53" xfId="0" applyNumberFormat="1" applyBorder="1" applyAlignment="1">
      <alignment horizontal="center" vertical="center"/>
    </xf>
    <xf numFmtId="1" fontId="0" fillId="0" borderId="48" xfId="0" applyNumberFormat="1" applyBorder="1" applyAlignment="1">
      <alignment horizontal="center" vertical="center"/>
    </xf>
    <xf numFmtId="1" fontId="36" fillId="0" borderId="48" xfId="0" applyNumberFormat="1" applyFont="1" applyBorder="1" applyAlignment="1">
      <alignment horizontal="center" vertical="center"/>
    </xf>
    <xf numFmtId="1" fontId="0" fillId="0" borderId="50" xfId="0" applyNumberFormat="1" applyBorder="1" applyAlignment="1">
      <alignment horizontal="center" vertical="center"/>
    </xf>
    <xf numFmtId="1" fontId="0" fillId="0" borderId="50" xfId="0" applyNumberFormat="1" applyBorder="1" applyAlignment="1">
      <alignment horizontal="right" vertical="center"/>
    </xf>
    <xf numFmtId="1" fontId="0" fillId="0" borderId="41" xfId="0" applyNumberFormat="1" applyBorder="1" applyAlignment="1">
      <alignment horizontal="center" vertical="center"/>
    </xf>
    <xf numFmtId="1" fontId="0" fillId="0" borderId="41" xfId="0" applyNumberFormat="1" applyBorder="1" applyAlignment="1">
      <alignment horizontal="right" vertical="center"/>
    </xf>
    <xf numFmtId="0" fontId="86" fillId="0" borderId="0" xfId="0" applyFont="1" applyAlignment="1">
      <alignment horizontal="center"/>
    </xf>
    <xf numFmtId="0" fontId="42" fillId="0" borderId="81" xfId="0" applyFont="1" applyBorder="1"/>
    <xf numFmtId="0" fontId="86" fillId="0" borderId="5" xfId="0" applyFont="1" applyBorder="1" applyAlignment="1">
      <alignment horizontal="center"/>
    </xf>
    <xf numFmtId="9" fontId="54" fillId="3" borderId="3" xfId="8" applyFont="1" applyFill="1" applyBorder="1" applyAlignment="1" applyProtection="1">
      <alignment horizontal="center" vertical="center"/>
      <protection locked="0"/>
    </xf>
    <xf numFmtId="0" fontId="44" fillId="0" borderId="40" xfId="0" applyFont="1" applyBorder="1" applyAlignment="1">
      <alignment vertical="center"/>
    </xf>
    <xf numFmtId="0" fontId="44" fillId="0" borderId="49" xfId="0" applyFont="1" applyBorder="1" applyAlignment="1">
      <alignment vertical="center"/>
    </xf>
    <xf numFmtId="0" fontId="99" fillId="0" borderId="0" xfId="0" applyFont="1" applyAlignment="1">
      <alignment vertical="top"/>
    </xf>
    <xf numFmtId="0" fontId="16" fillId="20" borderId="3" xfId="15" applyFont="1" applyFill="1" applyBorder="1" applyAlignment="1">
      <alignment wrapText="1"/>
    </xf>
    <xf numFmtId="0" fontId="16" fillId="24" borderId="3" xfId="15" applyFont="1" applyFill="1" applyBorder="1"/>
    <xf numFmtId="0" fontId="16" fillId="26" borderId="3" xfId="15" applyFont="1" applyFill="1" applyBorder="1"/>
    <xf numFmtId="1" fontId="55" fillId="6" borderId="34" xfId="0" applyNumberFormat="1" applyFont="1" applyFill="1" applyBorder="1" applyAlignment="1">
      <alignment horizontal="center"/>
    </xf>
    <xf numFmtId="0" fontId="55" fillId="0" borderId="7" xfId="0" applyFont="1" applyBorder="1"/>
    <xf numFmtId="0" fontId="86" fillId="0" borderId="0" xfId="0" applyFont="1" applyAlignment="1">
      <alignment horizontal="center" vertical="center"/>
    </xf>
    <xf numFmtId="0" fontId="32" fillId="4" borderId="1" xfId="1" applyAlignment="1">
      <alignment horizontal="center"/>
    </xf>
    <xf numFmtId="0" fontId="32" fillId="4" borderId="94" xfId="1" applyBorder="1" applyAlignment="1">
      <alignment horizontal="center"/>
    </xf>
    <xf numFmtId="10" fontId="37" fillId="10" borderId="72" xfId="0" applyNumberFormat="1" applyFont="1" applyFill="1" applyBorder="1"/>
    <xf numFmtId="0" fontId="15" fillId="32" borderId="3" xfId="20" applyFont="1" applyFill="1" applyBorder="1" applyAlignment="1">
      <alignment wrapText="1"/>
    </xf>
    <xf numFmtId="0" fontId="15" fillId="32" borderId="3" xfId="20" applyFont="1" applyFill="1" applyBorder="1"/>
    <xf numFmtId="0" fontId="102" fillId="32" borderId="0" xfId="15" applyFont="1" applyFill="1"/>
    <xf numFmtId="0" fontId="42" fillId="0" borderId="9" xfId="0" applyFont="1" applyBorder="1"/>
    <xf numFmtId="1" fontId="34" fillId="2" borderId="1" xfId="3" applyNumberFormat="1"/>
    <xf numFmtId="0" fontId="36" fillId="0" borderId="10" xfId="0" applyFont="1" applyBorder="1" applyAlignment="1">
      <alignment horizontal="right"/>
    </xf>
    <xf numFmtId="0" fontId="36" fillId="0" borderId="10" xfId="0" applyFont="1" applyBorder="1"/>
    <xf numFmtId="165" fontId="36" fillId="0" borderId="11" xfId="0" applyNumberFormat="1" applyFont="1" applyBorder="1" applyAlignment="1">
      <alignment horizontal="center"/>
    </xf>
    <xf numFmtId="0" fontId="36" fillId="0" borderId="8" xfId="0" applyFont="1" applyBorder="1" applyAlignment="1">
      <alignment horizontal="right"/>
    </xf>
    <xf numFmtId="165" fontId="36" fillId="0" borderId="8" xfId="0" applyNumberFormat="1" applyFont="1" applyBorder="1"/>
    <xf numFmtId="165" fontId="0" fillId="0" borderId="8" xfId="0" applyNumberFormat="1" applyBorder="1"/>
    <xf numFmtId="165" fontId="36" fillId="0" borderId="11" xfId="0" applyNumberFormat="1" applyFont="1" applyBorder="1"/>
    <xf numFmtId="2" fontId="34" fillId="2" borderId="18" xfId="3" applyNumberFormat="1" applyBorder="1" applyAlignment="1">
      <alignment horizontal="center"/>
    </xf>
    <xf numFmtId="2" fontId="34" fillId="2" borderId="20" xfId="3" applyNumberFormat="1" applyBorder="1" applyAlignment="1">
      <alignment horizontal="center"/>
    </xf>
    <xf numFmtId="2" fontId="34" fillId="2" borderId="21" xfId="3" applyNumberFormat="1" applyBorder="1" applyAlignment="1">
      <alignment horizontal="center"/>
    </xf>
    <xf numFmtId="165" fontId="33" fillId="17" borderId="137" xfId="2" applyNumberFormat="1" applyBorder="1"/>
    <xf numFmtId="0" fontId="34" fillId="2" borderId="21" xfId="3" applyBorder="1"/>
    <xf numFmtId="2" fontId="36" fillId="0" borderId="10" xfId="0" applyNumberFormat="1" applyFont="1" applyBorder="1" applyAlignment="1">
      <alignment horizontal="center"/>
    </xf>
    <xf numFmtId="0" fontId="0" fillId="10" borderId="138" xfId="0" applyFill="1" applyBorder="1"/>
    <xf numFmtId="9" fontId="0" fillId="0" borderId="3" xfId="0" applyNumberFormat="1" applyBorder="1" applyAlignment="1">
      <alignment horizontal="center"/>
    </xf>
    <xf numFmtId="0" fontId="0" fillId="0" borderId="3" xfId="0" quotePrefix="1" applyBorder="1"/>
    <xf numFmtId="164" fontId="0" fillId="10" borderId="3" xfId="0" applyNumberFormat="1" applyFill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" fontId="0" fillId="5" borderId="3" xfId="0" applyNumberFormat="1" applyFill="1" applyBorder="1" applyAlignment="1">
      <alignment horizontal="center"/>
    </xf>
    <xf numFmtId="0" fontId="42" fillId="0" borderId="0" xfId="0" applyFont="1"/>
    <xf numFmtId="0" fontId="103" fillId="6" borderId="3" xfId="0" quotePrefix="1" applyFont="1" applyFill="1" applyBorder="1"/>
    <xf numFmtId="0" fontId="0" fillId="5" borderId="3" xfId="0" applyFill="1" applyBorder="1" applyAlignment="1">
      <alignment wrapText="1"/>
    </xf>
    <xf numFmtId="0" fontId="0" fillId="5" borderId="3" xfId="0" quotePrefix="1" applyFill="1" applyBorder="1" applyAlignment="1">
      <alignment horizontal="left" wrapText="1"/>
    </xf>
    <xf numFmtId="0" fontId="101" fillId="5" borderId="3" xfId="0" applyFont="1" applyFill="1" applyBorder="1" applyAlignment="1">
      <alignment wrapText="1"/>
    </xf>
    <xf numFmtId="0" fontId="0" fillId="5" borderId="3" xfId="0" applyFill="1" applyBorder="1"/>
    <xf numFmtId="0" fontId="71" fillId="5" borderId="3" xfId="0" applyFont="1" applyFill="1" applyBorder="1" applyAlignment="1">
      <alignment wrapText="1"/>
    </xf>
    <xf numFmtId="0" fontId="0" fillId="5" borderId="3" xfId="0" quotePrefix="1" applyFill="1" applyBorder="1" applyAlignment="1">
      <alignment wrapText="1"/>
    </xf>
    <xf numFmtId="0" fontId="0" fillId="21" borderId="3" xfId="0" applyFill="1" applyBorder="1"/>
    <xf numFmtId="0" fontId="0" fillId="21" borderId="3" xfId="0" quotePrefix="1" applyFill="1" applyBorder="1"/>
    <xf numFmtId="0" fontId="43" fillId="33" borderId="3" xfId="0" applyFont="1" applyFill="1" applyBorder="1" applyAlignment="1">
      <alignment horizontal="center" vertical="center"/>
    </xf>
    <xf numFmtId="0" fontId="0" fillId="21" borderId="15" xfId="0" applyFill="1" applyBorder="1"/>
    <xf numFmtId="0" fontId="0" fillId="21" borderId="17" xfId="0" applyFill="1" applyBorder="1"/>
    <xf numFmtId="0" fontId="0" fillId="21" borderId="139" xfId="0" applyFill="1" applyBorder="1" applyAlignment="1">
      <alignment horizontal="center"/>
    </xf>
    <xf numFmtId="0" fontId="0" fillId="21" borderId="140" xfId="0" applyFill="1" applyBorder="1" applyAlignment="1">
      <alignment horizontal="center"/>
    </xf>
    <xf numFmtId="0" fontId="0" fillId="21" borderId="16" xfId="0" applyFill="1" applyBorder="1"/>
    <xf numFmtId="0" fontId="103" fillId="6" borderId="15" xfId="0" quotePrefix="1" applyFont="1" applyFill="1" applyBorder="1"/>
    <xf numFmtId="0" fontId="0" fillId="5" borderId="15" xfId="0" applyFill="1" applyBorder="1" applyAlignment="1">
      <alignment wrapText="1"/>
    </xf>
    <xf numFmtId="0" fontId="0" fillId="5" borderId="15" xfId="0" applyFill="1" applyBorder="1"/>
    <xf numFmtId="0" fontId="103" fillId="6" borderId="17" xfId="0" quotePrefix="1" applyFont="1" applyFill="1" applyBorder="1"/>
    <xf numFmtId="0" fontId="0" fillId="5" borderId="17" xfId="0" applyFill="1" applyBorder="1" applyAlignment="1">
      <alignment wrapText="1"/>
    </xf>
    <xf numFmtId="0" fontId="0" fillId="5" borderId="17" xfId="0" applyFill="1" applyBorder="1"/>
    <xf numFmtId="0" fontId="103" fillId="6" borderId="138" xfId="0" quotePrefix="1" applyFont="1" applyFill="1" applyBorder="1"/>
    <xf numFmtId="0" fontId="0" fillId="5" borderId="16" xfId="0" applyFill="1" applyBorder="1" applyAlignment="1">
      <alignment wrapText="1"/>
    </xf>
    <xf numFmtId="0" fontId="0" fillId="5" borderId="16" xfId="0" applyFill="1" applyBorder="1"/>
    <xf numFmtId="0" fontId="43" fillId="33" borderId="15" xfId="0" applyFont="1" applyFill="1" applyBorder="1" applyAlignment="1">
      <alignment horizontal="center" vertical="center"/>
    </xf>
    <xf numFmtId="0" fontId="43" fillId="33" borderId="17" xfId="0" applyFont="1" applyFill="1" applyBorder="1" applyAlignment="1">
      <alignment horizontal="center" vertical="center"/>
    </xf>
    <xf numFmtId="0" fontId="0" fillId="0" borderId="110" xfId="0" applyBorder="1"/>
    <xf numFmtId="0" fontId="0" fillId="0" borderId="111" xfId="0" applyBorder="1"/>
    <xf numFmtId="0" fontId="43" fillId="33" borderId="139" xfId="0" applyFont="1" applyFill="1" applyBorder="1" applyAlignment="1">
      <alignment horizontal="center" vertical="center"/>
    </xf>
    <xf numFmtId="0" fontId="0" fillId="0" borderId="112" xfId="0" applyBorder="1"/>
    <xf numFmtId="0" fontId="43" fillId="33" borderId="16" xfId="0" applyFont="1" applyFill="1" applyBorder="1" applyAlignment="1">
      <alignment horizontal="center" vertical="center"/>
    </xf>
    <xf numFmtId="0" fontId="14" fillId="24" borderId="14" xfId="15" applyFont="1" applyFill="1" applyBorder="1"/>
    <xf numFmtId="0" fontId="14" fillId="26" borderId="14" xfId="15" applyFont="1" applyFill="1" applyBorder="1"/>
    <xf numFmtId="0" fontId="14" fillId="0" borderId="14" xfId="20" applyFont="1" applyBorder="1" applyAlignment="1">
      <alignment wrapText="1"/>
    </xf>
    <xf numFmtId="0" fontId="14" fillId="4" borderId="14" xfId="20" applyFont="1" applyFill="1" applyBorder="1" applyAlignment="1">
      <alignment wrapText="1"/>
    </xf>
    <xf numFmtId="0" fontId="14" fillId="30" borderId="14" xfId="20" applyFont="1" applyFill="1" applyBorder="1" applyAlignment="1">
      <alignment wrapText="1"/>
    </xf>
    <xf numFmtId="0" fontId="14" fillId="31" borderId="14" xfId="20" applyFont="1" applyFill="1" applyBorder="1" applyAlignment="1">
      <alignment wrapText="1"/>
    </xf>
    <xf numFmtId="0" fontId="0" fillId="0" borderId="96" xfId="0" applyBorder="1"/>
    <xf numFmtId="0" fontId="0" fillId="0" borderId="97" xfId="0" applyBorder="1"/>
    <xf numFmtId="9" fontId="0" fillId="0" borderId="99" xfId="8" applyFont="1" applyBorder="1" applyAlignment="1">
      <alignment horizontal="center"/>
    </xf>
    <xf numFmtId="170" fontId="0" fillId="0" borderId="99" xfId="8" applyNumberFormat="1" applyFont="1" applyBorder="1" applyAlignment="1">
      <alignment horizontal="center"/>
    </xf>
    <xf numFmtId="9" fontId="0" fillId="0" borderId="104" xfId="8" applyFont="1" applyBorder="1" applyAlignment="1">
      <alignment horizontal="center"/>
    </xf>
    <xf numFmtId="9" fontId="0" fillId="0" borderId="141" xfId="8" applyFont="1" applyBorder="1" applyAlignment="1">
      <alignment horizontal="center"/>
    </xf>
    <xf numFmtId="2" fontId="74" fillId="0" borderId="3" xfId="0" applyNumberFormat="1" applyFont="1" applyBorder="1" applyAlignment="1">
      <alignment horizontal="center" vertical="center"/>
    </xf>
    <xf numFmtId="165" fontId="74" fillId="0" borderId="3" xfId="0" applyNumberFormat="1" applyFon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74" fillId="0" borderId="99" xfId="0" applyNumberFormat="1" applyFont="1" applyBorder="1" applyAlignment="1">
      <alignment horizontal="center" vertical="center"/>
    </xf>
    <xf numFmtId="2" fontId="74" fillId="0" borderId="104" xfId="0" applyNumberFormat="1" applyFont="1" applyBorder="1" applyAlignment="1">
      <alignment horizontal="center" vertical="center"/>
    </xf>
    <xf numFmtId="165" fontId="74" fillId="0" borderId="104" xfId="0" applyNumberFormat="1" applyFont="1" applyBorder="1" applyAlignment="1">
      <alignment horizontal="center" vertical="center"/>
    </xf>
    <xf numFmtId="1" fontId="0" fillId="0" borderId="104" xfId="0" applyNumberFormat="1" applyBorder="1" applyAlignment="1">
      <alignment horizontal="center" vertical="center"/>
    </xf>
    <xf numFmtId="2" fontId="0" fillId="0" borderId="104" xfId="0" applyNumberFormat="1" applyBorder="1" applyAlignment="1">
      <alignment horizontal="center" vertical="center"/>
    </xf>
    <xf numFmtId="165" fontId="0" fillId="0" borderId="104" xfId="0" applyNumberFormat="1" applyBorder="1" applyAlignment="1">
      <alignment horizontal="center" vertical="center"/>
    </xf>
    <xf numFmtId="165" fontId="74" fillId="0" borderId="141" xfId="0" applyNumberFormat="1" applyFont="1" applyBorder="1" applyAlignment="1">
      <alignment horizontal="center" vertical="center"/>
    </xf>
    <xf numFmtId="9" fontId="0" fillId="0" borderId="0" xfId="8" applyFont="1" applyBorder="1" applyAlignment="1">
      <alignment horizontal="center"/>
    </xf>
    <xf numFmtId="172" fontId="37" fillId="0" borderId="3" xfId="6" applyNumberFormat="1" applyBorder="1" applyAlignment="1">
      <alignment horizontal="center"/>
    </xf>
    <xf numFmtId="170" fontId="37" fillId="0" borderId="14" xfId="6" quotePrefix="1" applyNumberFormat="1" applyBorder="1" applyAlignment="1">
      <alignment horizontal="center"/>
    </xf>
    <xf numFmtId="170" fontId="37" fillId="0" borderId="3" xfId="8" applyNumberFormat="1" applyFont="1" applyBorder="1" applyAlignment="1">
      <alignment horizontal="center"/>
    </xf>
    <xf numFmtId="170" fontId="37" fillId="0" borderId="14" xfId="6" applyNumberFormat="1" applyBorder="1" applyAlignment="1">
      <alignment horizontal="center"/>
    </xf>
    <xf numFmtId="170" fontId="37" fillId="0" borderId="3" xfId="6" quotePrefix="1" applyNumberFormat="1" applyBorder="1" applyAlignment="1">
      <alignment horizontal="center"/>
    </xf>
    <xf numFmtId="170" fontId="37" fillId="0" borderId="3" xfId="6" applyNumberFormat="1" applyBorder="1" applyAlignment="1">
      <alignment horizontal="center"/>
    </xf>
    <xf numFmtId="0" fontId="36" fillId="0" borderId="3" xfId="6" applyFont="1" applyBorder="1" applyAlignment="1">
      <alignment horizontal="center" vertical="center" wrapText="1"/>
    </xf>
    <xf numFmtId="0" fontId="36" fillId="0" borderId="3" xfId="6" applyFont="1" applyBorder="1" applyAlignment="1">
      <alignment horizontal="center" wrapText="1"/>
    </xf>
    <xf numFmtId="0" fontId="36" fillId="0" borderId="3" xfId="6" applyFont="1" applyBorder="1" applyAlignment="1">
      <alignment horizontal="center" vertical="center"/>
    </xf>
    <xf numFmtId="164" fontId="0" fillId="0" borderId="3" xfId="0" applyNumberFormat="1" applyBorder="1"/>
    <xf numFmtId="170" fontId="0" fillId="0" borderId="3" xfId="0" applyNumberFormat="1" applyBorder="1" applyAlignment="1">
      <alignment horizontal="center"/>
    </xf>
    <xf numFmtId="173" fontId="0" fillId="0" borderId="3" xfId="0" applyNumberFormat="1" applyBorder="1" applyAlignment="1">
      <alignment horizontal="center"/>
    </xf>
    <xf numFmtId="164" fontId="36" fillId="0" borderId="3" xfId="0" applyNumberFormat="1" applyFont="1" applyBorder="1" applyAlignment="1">
      <alignment horizontal="center"/>
    </xf>
    <xf numFmtId="1" fontId="53" fillId="15" borderId="35" xfId="12" applyNumberFormat="1" applyFont="1"/>
    <xf numFmtId="165" fontId="0" fillId="10" borderId="0" xfId="0" applyNumberFormat="1" applyFill="1" applyAlignment="1">
      <alignment horizontal="left"/>
    </xf>
    <xf numFmtId="0" fontId="14" fillId="0" borderId="0" xfId="21"/>
    <xf numFmtId="0" fontId="14" fillId="0" borderId="0" xfId="21" applyAlignment="1">
      <alignment horizontal="center"/>
    </xf>
    <xf numFmtId="0" fontId="78" fillId="20" borderId="12" xfId="21" applyFont="1" applyFill="1" applyBorder="1" applyAlignment="1">
      <alignment horizontal="center"/>
    </xf>
    <xf numFmtId="0" fontId="78" fillId="20" borderId="4" xfId="21" applyFont="1" applyFill="1" applyBorder="1" applyAlignment="1">
      <alignment horizontal="center"/>
    </xf>
    <xf numFmtId="0" fontId="14" fillId="0" borderId="110" xfId="21" applyBorder="1" applyAlignment="1">
      <alignment horizontal="center"/>
    </xf>
    <xf numFmtId="0" fontId="14" fillId="20" borderId="13" xfId="21" applyFill="1" applyBorder="1"/>
    <xf numFmtId="0" fontId="14" fillId="20" borderId="7" xfId="21" applyFill="1" applyBorder="1"/>
    <xf numFmtId="0" fontId="14" fillId="0" borderId="111" xfId="21" applyBorder="1" applyAlignment="1">
      <alignment horizontal="center"/>
    </xf>
    <xf numFmtId="0" fontId="14" fillId="20" borderId="13" xfId="21" applyFill="1" applyBorder="1" applyAlignment="1">
      <alignment horizontal="center"/>
    </xf>
    <xf numFmtId="0" fontId="14" fillId="20" borderId="7" xfId="21" applyFill="1" applyBorder="1" applyAlignment="1">
      <alignment horizontal="center"/>
    </xf>
    <xf numFmtId="0" fontId="14" fillId="0" borderId="0" xfId="21" applyAlignment="1">
      <alignment horizontal="center" wrapText="1"/>
    </xf>
    <xf numFmtId="0" fontId="73" fillId="20" borderId="13" xfId="21" applyFont="1" applyFill="1" applyBorder="1" applyAlignment="1">
      <alignment horizontal="center"/>
    </xf>
    <xf numFmtId="0" fontId="104" fillId="20" borderId="7" xfId="21" applyFont="1" applyFill="1" applyBorder="1" applyAlignment="1">
      <alignment horizontal="center" wrapText="1"/>
    </xf>
    <xf numFmtId="0" fontId="14" fillId="0" borderId="111" xfId="21" applyBorder="1" applyAlignment="1">
      <alignment horizontal="center" wrapText="1"/>
    </xf>
    <xf numFmtId="0" fontId="14" fillId="0" borderId="3" xfId="21" applyBorder="1"/>
    <xf numFmtId="0" fontId="14" fillId="0" borderId="3" xfId="21" applyBorder="1" applyAlignment="1">
      <alignment horizontal="center" wrapText="1"/>
    </xf>
    <xf numFmtId="0" fontId="73" fillId="20" borderId="3" xfId="21" applyFont="1" applyFill="1" applyBorder="1" applyAlignment="1">
      <alignment horizontal="center" wrapText="1"/>
    </xf>
    <xf numFmtId="0" fontId="104" fillId="20" borderId="15" xfId="21" applyFont="1" applyFill="1" applyBorder="1" applyAlignment="1">
      <alignment horizontal="center" wrapText="1"/>
    </xf>
    <xf numFmtId="0" fontId="14" fillId="0" borderId="139" xfId="21" applyBorder="1" applyAlignment="1">
      <alignment horizontal="center" wrapText="1"/>
    </xf>
    <xf numFmtId="0" fontId="14" fillId="0" borderId="3" xfId="21" applyBorder="1" applyAlignment="1">
      <alignment horizontal="center"/>
    </xf>
    <xf numFmtId="165" fontId="73" fillId="20" borderId="3" xfId="21" applyNumberFormat="1" applyFont="1" applyFill="1" applyBorder="1" applyAlignment="1">
      <alignment horizontal="center"/>
    </xf>
    <xf numFmtId="165" fontId="104" fillId="20" borderId="15" xfId="21" applyNumberFormat="1" applyFont="1" applyFill="1" applyBorder="1" applyAlignment="1">
      <alignment horizontal="center" wrapText="1"/>
    </xf>
    <xf numFmtId="0" fontId="14" fillId="0" borderId="139" xfId="21" applyBorder="1" applyAlignment="1">
      <alignment horizontal="center"/>
    </xf>
    <xf numFmtId="0" fontId="14" fillId="0" borderId="140" xfId="21" applyBorder="1" applyAlignment="1">
      <alignment horizontal="center"/>
    </xf>
    <xf numFmtId="0" fontId="104" fillId="0" borderId="0" xfId="21" quotePrefix="1" applyFont="1"/>
    <xf numFmtId="0" fontId="77" fillId="0" borderId="0" xfId="21" applyFont="1"/>
    <xf numFmtId="170" fontId="0" fillId="10" borderId="0" xfId="0" applyNumberFormat="1" applyFill="1" applyAlignment="1">
      <alignment horizontal="left"/>
    </xf>
    <xf numFmtId="2" fontId="43" fillId="0" borderId="3" xfId="0" applyNumberFormat="1" applyFont="1" applyBorder="1" applyAlignment="1">
      <alignment horizontal="center"/>
    </xf>
    <xf numFmtId="0" fontId="14" fillId="20" borderId="3" xfId="15" applyFont="1" applyFill="1" applyBorder="1" applyAlignment="1">
      <alignment wrapText="1"/>
    </xf>
    <xf numFmtId="0" fontId="14" fillId="24" borderId="3" xfId="15" applyFont="1" applyFill="1" applyBorder="1"/>
    <xf numFmtId="165" fontId="0" fillId="0" borderId="12" xfId="0" applyNumberFormat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32" fillId="4" borderId="142" xfId="1" applyNumberFormat="1" applyBorder="1" applyAlignment="1">
      <alignment horizontal="center"/>
    </xf>
    <xf numFmtId="165" fontId="32" fillId="4" borderId="143" xfId="1" applyNumberFormat="1" applyBorder="1" applyAlignment="1">
      <alignment horizontal="center"/>
    </xf>
    <xf numFmtId="1" fontId="36" fillId="0" borderId="34" xfId="0" applyNumberFormat="1" applyFont="1" applyBorder="1" applyAlignment="1">
      <alignment horizontal="center"/>
    </xf>
    <xf numFmtId="0" fontId="13" fillId="20" borderId="3" xfId="15" applyFont="1" applyFill="1" applyBorder="1" applyAlignment="1">
      <alignment wrapText="1"/>
    </xf>
    <xf numFmtId="0" fontId="36" fillId="0" borderId="5" xfId="0" applyFont="1" applyBorder="1" applyAlignment="1">
      <alignment vertical="center"/>
    </xf>
    <xf numFmtId="1" fontId="0" fillId="0" borderId="5" xfId="0" applyNumberFormat="1" applyBorder="1" applyAlignment="1">
      <alignment horizontal="center" vertical="center"/>
    </xf>
    <xf numFmtId="1" fontId="36" fillId="0" borderId="5" xfId="0" applyNumberFormat="1" applyFont="1" applyBorder="1" applyAlignment="1">
      <alignment horizontal="center" vertical="center"/>
    </xf>
    <xf numFmtId="0" fontId="105" fillId="0" borderId="0" xfId="0" applyFont="1"/>
    <xf numFmtId="0" fontId="44" fillId="0" borderId="145" xfId="0" applyFont="1" applyBorder="1" applyAlignment="1">
      <alignment vertical="center"/>
    </xf>
    <xf numFmtId="1" fontId="0" fillId="0" borderId="146" xfId="0" applyNumberFormat="1" applyBorder="1" applyAlignment="1">
      <alignment horizontal="center" vertical="center"/>
    </xf>
    <xf numFmtId="1" fontId="0" fillId="0" borderId="146" xfId="0" applyNumberFormat="1" applyBorder="1" applyAlignment="1">
      <alignment horizontal="right" vertical="center"/>
    </xf>
    <xf numFmtId="1" fontId="0" fillId="0" borderId="144" xfId="0" applyNumberFormat="1" applyBorder="1" applyAlignment="1">
      <alignment horizontal="center" vertical="center"/>
    </xf>
    <xf numFmtId="0" fontId="12" fillId="20" borderId="14" xfId="15" applyFont="1" applyFill="1" applyBorder="1" applyAlignment="1">
      <alignment wrapText="1"/>
    </xf>
    <xf numFmtId="0" fontId="65" fillId="0" borderId="13" xfId="0" applyFont="1" applyBorder="1"/>
    <xf numFmtId="166" fontId="0" fillId="0" borderId="0" xfId="0" applyNumberFormat="1"/>
    <xf numFmtId="166" fontId="36" fillId="0" borderId="0" xfId="0" applyNumberFormat="1" applyFont="1"/>
    <xf numFmtId="166" fontId="36" fillId="0" borderId="10" xfId="0" applyNumberFormat="1" applyFont="1" applyBorder="1"/>
    <xf numFmtId="0" fontId="34" fillId="2" borderId="1" xfId="3" applyAlignment="1">
      <alignment horizontal="center"/>
    </xf>
    <xf numFmtId="1" fontId="32" fillId="4" borderId="18" xfId="1" applyNumberFormat="1" applyBorder="1" applyAlignment="1">
      <alignment horizontal="center"/>
    </xf>
    <xf numFmtId="2" fontId="33" fillId="17" borderId="2" xfId="2" applyNumberFormat="1" applyAlignment="1">
      <alignment horizontal="center"/>
    </xf>
    <xf numFmtId="1" fontId="34" fillId="2" borderId="1" xfId="3" applyNumberFormat="1" applyAlignment="1">
      <alignment horizontal="center"/>
    </xf>
    <xf numFmtId="165" fontId="34" fillId="2" borderId="1" xfId="3" applyNumberFormat="1" applyAlignment="1">
      <alignment horizontal="center"/>
    </xf>
    <xf numFmtId="0" fontId="36" fillId="0" borderId="95" xfId="0" applyFont="1" applyBorder="1" applyAlignment="1">
      <alignment horizontal="center"/>
    </xf>
    <xf numFmtId="0" fontId="36" fillId="0" borderId="96" xfId="0" applyFont="1" applyBorder="1" applyAlignment="1">
      <alignment horizontal="center"/>
    </xf>
    <xf numFmtId="0" fontId="36" fillId="0" borderId="97" xfId="0" applyFont="1" applyBorder="1" applyAlignment="1">
      <alignment horizontal="center"/>
    </xf>
    <xf numFmtId="0" fontId="0" fillId="0" borderId="99" xfId="0" applyBorder="1" applyAlignment="1">
      <alignment horizontal="center"/>
    </xf>
    <xf numFmtId="165" fontId="0" fillId="0" borderId="98" xfId="0" applyNumberFormat="1" applyBorder="1" applyAlignment="1">
      <alignment horizontal="center"/>
    </xf>
    <xf numFmtId="165" fontId="0" fillId="0" borderId="99" xfId="0" applyNumberFormat="1" applyBorder="1" applyAlignment="1">
      <alignment horizontal="center"/>
    </xf>
    <xf numFmtId="165" fontId="0" fillId="0" borderId="103" xfId="0" applyNumberFormat="1" applyBorder="1" applyAlignment="1">
      <alignment horizontal="center"/>
    </xf>
    <xf numFmtId="165" fontId="0" fillId="0" borderId="104" xfId="0" applyNumberFormat="1" applyBorder="1" applyAlignment="1">
      <alignment horizontal="center"/>
    </xf>
    <xf numFmtId="165" fontId="0" fillId="0" borderId="141" xfId="0" applyNumberFormat="1" applyBorder="1" applyAlignment="1">
      <alignment horizontal="center"/>
    </xf>
    <xf numFmtId="9" fontId="0" fillId="0" borderId="103" xfId="8" applyFont="1" applyBorder="1" applyAlignment="1">
      <alignment horizontal="center"/>
    </xf>
    <xf numFmtId="0" fontId="42" fillId="0" borderId="7" xfId="0" applyFont="1" applyBorder="1" applyAlignment="1">
      <alignment wrapText="1"/>
    </xf>
    <xf numFmtId="0" fontId="0" fillId="0" borderId="77" xfId="0" applyBorder="1" applyAlignment="1">
      <alignment horizontal="center"/>
    </xf>
    <xf numFmtId="0" fontId="0" fillId="0" borderId="80" xfId="0" applyBorder="1" applyAlignment="1">
      <alignment horizontal="center"/>
    </xf>
    <xf numFmtId="0" fontId="0" fillId="0" borderId="78" xfId="0" applyBorder="1" applyAlignment="1">
      <alignment horizontal="right"/>
    </xf>
    <xf numFmtId="0" fontId="0" fillId="0" borderId="90" xfId="0" applyBorder="1" applyAlignment="1">
      <alignment horizontal="right"/>
    </xf>
    <xf numFmtId="0" fontId="0" fillId="0" borderId="10" xfId="0" applyBorder="1" applyAlignment="1">
      <alignment horizontal="left"/>
    </xf>
    <xf numFmtId="0" fontId="0" fillId="0" borderId="91" xfId="0" applyBorder="1" applyAlignment="1">
      <alignment horizontal="center"/>
    </xf>
    <xf numFmtId="0" fontId="43" fillId="0" borderId="73" xfId="0" applyFont="1" applyBorder="1" applyAlignment="1">
      <alignment horizontal="right"/>
    </xf>
    <xf numFmtId="0" fontId="43" fillId="0" borderId="76" xfId="0" applyFont="1" applyBorder="1" applyAlignment="1">
      <alignment horizontal="right"/>
    </xf>
    <xf numFmtId="0" fontId="11" fillId="24" borderId="3" xfId="15" applyFont="1" applyFill="1" applyBorder="1"/>
    <xf numFmtId="0" fontId="0" fillId="32" borderId="3" xfId="0" applyFill="1" applyBorder="1" applyAlignment="1">
      <alignment wrapText="1"/>
    </xf>
    <xf numFmtId="0" fontId="0" fillId="32" borderId="3" xfId="0" applyFill="1" applyBorder="1"/>
    <xf numFmtId="0" fontId="0" fillId="32" borderId="139" xfId="0" applyFill="1" applyBorder="1" applyAlignment="1">
      <alignment wrapText="1"/>
    </xf>
    <xf numFmtId="0" fontId="0" fillId="32" borderId="140" xfId="0" applyFill="1" applyBorder="1" applyAlignment="1">
      <alignment wrapText="1"/>
    </xf>
    <xf numFmtId="0" fontId="0" fillId="32" borderId="140" xfId="0" applyFill="1" applyBorder="1"/>
    <xf numFmtId="0" fontId="36" fillId="32" borderId="110" xfId="0" applyFont="1" applyFill="1" applyBorder="1" applyAlignment="1">
      <alignment horizontal="center"/>
    </xf>
    <xf numFmtId="0" fontId="0" fillId="5" borderId="4" xfId="0" applyFill="1" applyBorder="1"/>
    <xf numFmtId="0" fontId="0" fillId="5" borderId="5" xfId="0" applyFill="1" applyBorder="1"/>
    <xf numFmtId="0" fontId="0" fillId="5" borderId="5" xfId="0" applyFill="1" applyBorder="1" applyAlignment="1">
      <alignment horizontal="left"/>
    </xf>
    <xf numFmtId="0" fontId="0" fillId="5" borderId="5" xfId="0" applyFill="1" applyBorder="1" applyAlignment="1">
      <alignment horizontal="center"/>
    </xf>
    <xf numFmtId="0" fontId="0" fillId="5" borderId="6" xfId="0" applyFill="1" applyBorder="1"/>
    <xf numFmtId="0" fontId="0" fillId="5" borderId="7" xfId="0" applyFill="1" applyBorder="1"/>
    <xf numFmtId="0" fontId="52" fillId="5" borderId="0" xfId="0" applyFont="1" applyFill="1" applyAlignment="1">
      <alignment horizontal="left"/>
    </xf>
    <xf numFmtId="0" fontId="99" fillId="5" borderId="8" xfId="0" applyFont="1" applyFill="1" applyBorder="1"/>
    <xf numFmtId="0" fontId="0" fillId="5" borderId="0" xfId="0" applyFill="1" applyAlignment="1">
      <alignment horizontal="left"/>
    </xf>
    <xf numFmtId="0" fontId="0" fillId="5" borderId="0" xfId="0" applyFill="1" applyAlignment="1">
      <alignment horizontal="center"/>
    </xf>
    <xf numFmtId="0" fontId="0" fillId="5" borderId="8" xfId="0" applyFill="1" applyBorder="1"/>
    <xf numFmtId="0" fontId="52" fillId="5" borderId="0" xfId="0" applyFont="1" applyFill="1"/>
    <xf numFmtId="0" fontId="43" fillId="5" borderId="0" xfId="0" applyFont="1" applyFill="1"/>
    <xf numFmtId="0" fontId="36" fillId="5" borderId="0" xfId="0" applyFont="1" applyFill="1"/>
    <xf numFmtId="0" fontId="0" fillId="5" borderId="9" xfId="0" applyFill="1" applyBorder="1"/>
    <xf numFmtId="0" fontId="0" fillId="5" borderId="10" xfId="0" applyFill="1" applyBorder="1"/>
    <xf numFmtId="0" fontId="0" fillId="5" borderId="10" xfId="0" applyFill="1" applyBorder="1" applyAlignment="1">
      <alignment horizontal="left"/>
    </xf>
    <xf numFmtId="0" fontId="0" fillId="5" borderId="10" xfId="0" applyFill="1" applyBorder="1" applyAlignment="1">
      <alignment horizontal="center"/>
    </xf>
    <xf numFmtId="0" fontId="0" fillId="5" borderId="11" xfId="0" applyFill="1" applyBorder="1"/>
    <xf numFmtId="0" fontId="106" fillId="5" borderId="4" xfId="0" applyFont="1" applyFill="1" applyBorder="1"/>
    <xf numFmtId="0" fontId="36" fillId="5" borderId="5" xfId="0" applyFont="1" applyFill="1" applyBorder="1"/>
    <xf numFmtId="0" fontId="106" fillId="5" borderId="7" xfId="0" applyFont="1" applyFill="1" applyBorder="1"/>
    <xf numFmtId="0" fontId="107" fillId="5" borderId="0" xfId="0" applyFont="1" applyFill="1"/>
    <xf numFmtId="0" fontId="107" fillId="5" borderId="0" xfId="0" applyFont="1" applyFill="1" applyAlignment="1">
      <alignment horizontal="center"/>
    </xf>
    <xf numFmtId="0" fontId="107" fillId="5" borderId="5" xfId="0" applyFont="1" applyFill="1" applyBorder="1"/>
    <xf numFmtId="0" fontId="107" fillId="5" borderId="7" xfId="0" applyFont="1" applyFill="1" applyBorder="1" applyAlignment="1">
      <alignment horizontal="left"/>
    </xf>
    <xf numFmtId="0" fontId="107" fillId="5" borderId="16" xfId="0" applyFont="1" applyFill="1" applyBorder="1"/>
    <xf numFmtId="0" fontId="107" fillId="5" borderId="15" xfId="0" applyFont="1" applyFill="1" applyBorder="1" applyAlignment="1">
      <alignment horizontal="center"/>
    </xf>
    <xf numFmtId="0" fontId="107" fillId="5" borderId="3" xfId="0" applyFont="1" applyFill="1" applyBorder="1" applyAlignment="1">
      <alignment horizontal="center"/>
    </xf>
    <xf numFmtId="0" fontId="43" fillId="5" borderId="4" xfId="0" applyFont="1" applyFill="1" applyBorder="1" applyAlignment="1">
      <alignment horizontal="left"/>
    </xf>
    <xf numFmtId="0" fontId="43" fillId="5" borderId="7" xfId="0" applyFont="1" applyFill="1" applyBorder="1" applyAlignment="1">
      <alignment horizontal="center"/>
    </xf>
    <xf numFmtId="0" fontId="43" fillId="5" borderId="13" xfId="0" applyFont="1" applyFill="1" applyBorder="1" applyAlignment="1">
      <alignment horizontal="center"/>
    </xf>
    <xf numFmtId="0" fontId="43" fillId="5" borderId="15" xfId="0" applyFont="1" applyFill="1" applyBorder="1" applyAlignment="1">
      <alignment horizontal="left"/>
    </xf>
    <xf numFmtId="0" fontId="44" fillId="5" borderId="11" xfId="0" applyFont="1" applyFill="1" applyBorder="1" applyAlignment="1">
      <alignment horizontal="right"/>
    </xf>
    <xf numFmtId="0" fontId="43" fillId="5" borderId="10" xfId="0" applyFont="1" applyFill="1" applyBorder="1"/>
    <xf numFmtId="0" fontId="0" fillId="34" borderId="15" xfId="0" applyFill="1" applyBorder="1" applyAlignment="1">
      <alignment horizontal="center" vertical="center"/>
    </xf>
    <xf numFmtId="0" fontId="43" fillId="34" borderId="3" xfId="0" applyFont="1" applyFill="1" applyBorder="1" applyAlignment="1">
      <alignment horizontal="left" vertical="center" indent="1"/>
    </xf>
    <xf numFmtId="0" fontId="65" fillId="34" borderId="7" xfId="0" applyFont="1" applyFill="1" applyBorder="1"/>
    <xf numFmtId="0" fontId="0" fillId="34" borderId="8" xfId="0" applyFill="1" applyBorder="1"/>
    <xf numFmtId="0" fontId="0" fillId="34" borderId="12" xfId="0" applyFill="1" applyBorder="1" applyAlignment="1">
      <alignment horizontal="center" vertical="center"/>
    </xf>
    <xf numFmtId="0" fontId="42" fillId="34" borderId="12" xfId="0" applyFont="1" applyFill="1" applyBorder="1" applyAlignment="1">
      <alignment horizontal="left" vertical="center" indent="1"/>
    </xf>
    <xf numFmtId="0" fontId="0" fillId="34" borderId="13" xfId="0" applyFill="1" applyBorder="1" applyAlignment="1">
      <alignment horizontal="center" vertical="center"/>
    </xf>
    <xf numFmtId="0" fontId="42" fillId="34" borderId="13" xfId="0" applyFont="1" applyFill="1" applyBorder="1" applyAlignment="1">
      <alignment horizontal="left" vertical="center" indent="1"/>
    </xf>
    <xf numFmtId="0" fontId="0" fillId="34" borderId="14" xfId="0" applyFill="1" applyBorder="1" applyAlignment="1">
      <alignment horizontal="center" vertical="center"/>
    </xf>
    <xf numFmtId="0" fontId="0" fillId="34" borderId="4" xfId="0" applyFill="1" applyBorder="1" applyAlignment="1">
      <alignment horizontal="center" vertical="center"/>
    </xf>
    <xf numFmtId="0" fontId="0" fillId="34" borderId="9" xfId="0" applyFill="1" applyBorder="1" applyAlignment="1">
      <alignment horizontal="center" vertical="center"/>
    </xf>
    <xf numFmtId="0" fontId="42" fillId="34" borderId="14" xfId="0" applyFont="1" applyFill="1" applyBorder="1" applyAlignment="1">
      <alignment horizontal="left" vertical="center" indent="1"/>
    </xf>
    <xf numFmtId="0" fontId="0" fillId="34" borderId="7" xfId="0" applyFill="1" applyBorder="1" applyAlignment="1">
      <alignment horizontal="center" vertical="center"/>
    </xf>
    <xf numFmtId="0" fontId="36" fillId="0" borderId="15" xfId="0" applyFont="1" applyBorder="1"/>
    <xf numFmtId="0" fontId="36" fillId="0" borderId="17" xfId="0" applyFont="1" applyBorder="1"/>
    <xf numFmtId="164" fontId="32" fillId="10" borderId="3" xfId="1" applyNumberFormat="1" applyFill="1" applyBorder="1" applyAlignment="1">
      <alignment horizontal="center"/>
    </xf>
    <xf numFmtId="0" fontId="0" fillId="6" borderId="7" xfId="0" applyFill="1" applyBorder="1" applyAlignment="1">
      <alignment vertical="center"/>
    </xf>
    <xf numFmtId="0" fontId="44" fillId="6" borderId="5" xfId="0" applyFont="1" applyFill="1" applyBorder="1" applyAlignment="1">
      <alignment vertical="center"/>
    </xf>
    <xf numFmtId="1" fontId="0" fillId="6" borderId="5" xfId="0" applyNumberFormat="1" applyFill="1" applyBorder="1" applyAlignment="1">
      <alignment horizontal="center" vertical="center"/>
    </xf>
    <xf numFmtId="1" fontId="0" fillId="6" borderId="5" xfId="0" applyNumberFormat="1" applyFill="1" applyBorder="1" applyAlignment="1">
      <alignment horizontal="right" vertical="center"/>
    </xf>
    <xf numFmtId="0" fontId="0" fillId="6" borderId="8" xfId="0" applyFill="1" applyBorder="1" applyAlignment="1">
      <alignment vertical="center"/>
    </xf>
    <xf numFmtId="1" fontId="54" fillId="10" borderId="147" xfId="5" applyNumberFormat="1" applyFont="1" applyFill="1" applyBorder="1" applyAlignment="1" applyProtection="1">
      <alignment horizontal="center" vertical="center"/>
    </xf>
    <xf numFmtId="1" fontId="54" fillId="6" borderId="0" xfId="5" applyNumberFormat="1" applyFont="1" applyFill="1" applyBorder="1" applyAlignment="1" applyProtection="1">
      <alignment horizontal="center" vertical="center"/>
    </xf>
    <xf numFmtId="0" fontId="0" fillId="6" borderId="0" xfId="0" applyFill="1" applyAlignment="1">
      <alignment horizontal="left" vertical="center"/>
    </xf>
    <xf numFmtId="2" fontId="0" fillId="0" borderId="0" xfId="0" applyNumberFormat="1" applyAlignment="1">
      <alignment vertical="top" wrapText="1"/>
    </xf>
    <xf numFmtId="0" fontId="10" fillId="24" borderId="3" xfId="15" applyFont="1" applyFill="1" applyBorder="1"/>
    <xf numFmtId="0" fontId="10" fillId="26" borderId="3" xfId="15" applyFont="1" applyFill="1" applyBorder="1"/>
    <xf numFmtId="0" fontId="10" fillId="0" borderId="3" xfId="20" applyFont="1" applyBorder="1" applyAlignment="1">
      <alignment wrapText="1"/>
    </xf>
    <xf numFmtId="0" fontId="10" fillId="4" borderId="3" xfId="20" applyFont="1" applyFill="1" applyBorder="1" applyAlignment="1">
      <alignment wrapText="1"/>
    </xf>
    <xf numFmtId="0" fontId="10" fillId="30" borderId="3" xfId="20" applyFont="1" applyFill="1" applyBorder="1" applyAlignment="1">
      <alignment wrapText="1"/>
    </xf>
    <xf numFmtId="0" fontId="10" fillId="31" borderId="3" xfId="20" applyFont="1" applyFill="1" applyBorder="1" applyAlignment="1">
      <alignment wrapText="1"/>
    </xf>
    <xf numFmtId="170" fontId="0" fillId="6" borderId="3" xfId="8" applyNumberFormat="1" applyFont="1" applyFill="1" applyBorder="1"/>
    <xf numFmtId="0" fontId="78" fillId="6" borderId="16" xfId="0" quotePrefix="1" applyFont="1" applyFill="1" applyBorder="1"/>
    <xf numFmtId="0" fontId="37" fillId="0" borderId="0" xfId="6" applyAlignment="1">
      <alignment horizontal="left"/>
    </xf>
    <xf numFmtId="0" fontId="42" fillId="34" borderId="3" xfId="0" applyFont="1" applyFill="1" applyBorder="1" applyAlignment="1">
      <alignment horizontal="left" vertical="center" indent="1"/>
    </xf>
    <xf numFmtId="0" fontId="0" fillId="34" borderId="3" xfId="0" applyFill="1" applyBorder="1" applyAlignment="1">
      <alignment horizontal="center" vertical="center"/>
    </xf>
    <xf numFmtId="0" fontId="45" fillId="0" borderId="0" xfId="0" applyFont="1" applyAlignment="1">
      <alignment vertical="center"/>
    </xf>
    <xf numFmtId="165" fontId="36" fillId="3" borderId="148" xfId="5" applyNumberFormat="1" applyFont="1" applyBorder="1" applyAlignment="1" applyProtection="1">
      <alignment horizontal="center"/>
      <protection locked="0"/>
    </xf>
    <xf numFmtId="0" fontId="9" fillId="0" borderId="0" xfId="15" applyFont="1"/>
    <xf numFmtId="0" fontId="109" fillId="0" borderId="0" xfId="22" applyFont="1" applyAlignment="1">
      <alignment horizontal="left"/>
    </xf>
    <xf numFmtId="0" fontId="108" fillId="0" borderId="0" xfId="22" applyAlignment="1">
      <alignment horizontal="left"/>
    </xf>
    <xf numFmtId="0" fontId="108" fillId="0" borderId="0" xfId="22" applyAlignment="1">
      <alignment horizontal="center"/>
    </xf>
    <xf numFmtId="0" fontId="110" fillId="0" borderId="0" xfId="22" applyFont="1" applyAlignment="1">
      <alignment horizontal="left" vertical="center" wrapText="1"/>
    </xf>
    <xf numFmtId="0" fontId="108" fillId="0" borderId="0" xfId="22" applyAlignment="1">
      <alignment horizontal="left" vertical="center" wrapText="1"/>
    </xf>
    <xf numFmtId="0" fontId="111" fillId="0" borderId="149" xfId="22" applyFont="1" applyBorder="1" applyAlignment="1">
      <alignment horizontal="center" vertical="center" wrapText="1"/>
    </xf>
    <xf numFmtId="0" fontId="111" fillId="0" borderId="150" xfId="22" applyFont="1" applyBorder="1" applyAlignment="1">
      <alignment horizontal="center" vertical="center" wrapText="1"/>
    </xf>
    <xf numFmtId="0" fontId="111" fillId="0" borderId="151" xfId="22" applyFont="1" applyBorder="1" applyAlignment="1">
      <alignment horizontal="center" vertical="center" wrapText="1"/>
    </xf>
    <xf numFmtId="0" fontId="112" fillId="0" borderId="0" xfId="22" applyFont="1" applyAlignment="1">
      <alignment horizontal="left"/>
    </xf>
    <xf numFmtId="0" fontId="110" fillId="0" borderId="152" xfId="22" applyFont="1" applyBorder="1" applyAlignment="1">
      <alignment horizontal="center" vertical="center" wrapText="1"/>
    </xf>
    <xf numFmtId="0" fontId="110" fillId="0" borderId="153" xfId="22" applyFont="1" applyBorder="1" applyAlignment="1">
      <alignment horizontal="center" vertical="center" wrapText="1"/>
    </xf>
    <xf numFmtId="0" fontId="110" fillId="0" borderId="154" xfId="22" applyFont="1" applyBorder="1" applyAlignment="1">
      <alignment horizontal="center" vertical="center" wrapText="1"/>
    </xf>
    <xf numFmtId="0" fontId="108" fillId="0" borderId="152" xfId="22" applyBorder="1" applyAlignment="1">
      <alignment horizontal="center" vertical="center" wrapText="1"/>
    </xf>
    <xf numFmtId="0" fontId="108" fillId="0" borderId="153" xfId="22" applyBorder="1" applyAlignment="1">
      <alignment horizontal="center" vertical="center" wrapText="1"/>
    </xf>
    <xf numFmtId="0" fontId="108" fillId="0" borderId="154" xfId="22" applyBorder="1" applyAlignment="1">
      <alignment horizontal="center" vertical="center" wrapText="1"/>
    </xf>
    <xf numFmtId="0" fontId="113" fillId="22" borderId="1" xfId="23" applyAlignment="1">
      <alignment horizontal="center" vertical="center"/>
    </xf>
    <xf numFmtId="2" fontId="115" fillId="2" borderId="1" xfId="24" applyNumberFormat="1" applyAlignment="1">
      <alignment horizontal="center"/>
    </xf>
    <xf numFmtId="0" fontId="108" fillId="0" borderId="155" xfId="22" applyBorder="1" applyAlignment="1">
      <alignment horizontal="center" vertical="center" wrapText="1"/>
    </xf>
    <xf numFmtId="0" fontId="108" fillId="0" borderId="156" xfId="22" applyBorder="1" applyAlignment="1">
      <alignment horizontal="center" vertical="center" wrapText="1"/>
    </xf>
    <xf numFmtId="0" fontId="108" fillId="0" borderId="157" xfId="22" applyBorder="1" applyAlignment="1">
      <alignment horizontal="center" vertical="center" wrapText="1"/>
    </xf>
    <xf numFmtId="165" fontId="115" fillId="2" borderId="1" xfId="24" applyNumberFormat="1" applyAlignment="1">
      <alignment horizontal="center"/>
    </xf>
    <xf numFmtId="165" fontId="116" fillId="2" borderId="2" xfId="25" applyNumberFormat="1" applyAlignment="1">
      <alignment horizontal="center" vertical="center"/>
    </xf>
    <xf numFmtId="165" fontId="116" fillId="2" borderId="2" xfId="25" applyNumberFormat="1" applyAlignment="1">
      <alignment horizontal="center"/>
    </xf>
    <xf numFmtId="164" fontId="116" fillId="2" borderId="2" xfId="25" applyNumberFormat="1" applyAlignment="1">
      <alignment horizontal="center" vertical="center"/>
    </xf>
    <xf numFmtId="164" fontId="116" fillId="2" borderId="2" xfId="25" applyNumberFormat="1" applyAlignment="1">
      <alignment horizontal="center"/>
    </xf>
    <xf numFmtId="2" fontId="116" fillId="2" borderId="2" xfId="25" applyNumberFormat="1" applyAlignment="1">
      <alignment horizontal="center" vertical="center"/>
    </xf>
    <xf numFmtId="2" fontId="116" fillId="2" borderId="2" xfId="25" applyNumberFormat="1" applyAlignment="1">
      <alignment horizontal="center"/>
    </xf>
    <xf numFmtId="164" fontId="117" fillId="0" borderId="152" xfId="22" applyNumberFormat="1" applyFont="1" applyBorder="1" applyAlignment="1">
      <alignment horizontal="center" vertical="center" wrapText="1"/>
    </xf>
    <xf numFmtId="164" fontId="117" fillId="0" borderId="153" xfId="22" applyNumberFormat="1" applyFont="1" applyBorder="1" applyAlignment="1">
      <alignment horizontal="center" vertical="center" wrapText="1"/>
    </xf>
    <xf numFmtId="164" fontId="117" fillId="0" borderId="154" xfId="22" applyNumberFormat="1" applyFont="1" applyBorder="1" applyAlignment="1">
      <alignment horizontal="center" vertical="center" wrapText="1"/>
    </xf>
    <xf numFmtId="2" fontId="108" fillId="0" borderId="0" xfId="22" applyNumberFormat="1" applyAlignment="1">
      <alignment horizontal="center"/>
    </xf>
    <xf numFmtId="165" fontId="110" fillId="0" borderId="152" xfId="22" applyNumberFormat="1" applyFont="1" applyBorder="1" applyAlignment="1">
      <alignment horizontal="center" vertical="center" wrapText="1"/>
    </xf>
    <xf numFmtId="165" fontId="110" fillId="0" borderId="153" xfId="22" applyNumberFormat="1" applyFont="1" applyBorder="1" applyAlignment="1">
      <alignment horizontal="center" vertical="center" wrapText="1"/>
    </xf>
    <xf numFmtId="165" fontId="110" fillId="0" borderId="154" xfId="22" applyNumberFormat="1" applyFont="1" applyBorder="1" applyAlignment="1">
      <alignment horizontal="center" vertical="center" wrapText="1"/>
    </xf>
    <xf numFmtId="1" fontId="110" fillId="0" borderId="153" xfId="22" applyNumberFormat="1" applyFont="1" applyBorder="1" applyAlignment="1">
      <alignment horizontal="center" vertical="center" wrapText="1"/>
    </xf>
    <xf numFmtId="1" fontId="108" fillId="0" borderId="0" xfId="22" applyNumberFormat="1" applyAlignment="1">
      <alignment horizontal="center"/>
    </xf>
    <xf numFmtId="0" fontId="112" fillId="0" borderId="3" xfId="22" applyFont="1" applyBorder="1" applyAlignment="1">
      <alignment horizontal="center"/>
    </xf>
    <xf numFmtId="0" fontId="112" fillId="0" borderId="15" xfId="22" applyFont="1" applyBorder="1" applyAlignment="1">
      <alignment horizontal="center"/>
    </xf>
    <xf numFmtId="0" fontId="112" fillId="0" borderId="16" xfId="22" applyFont="1" applyBorder="1" applyAlignment="1">
      <alignment horizontal="center"/>
    </xf>
    <xf numFmtId="0" fontId="112" fillId="0" borderId="17" xfId="22" applyFont="1" applyBorder="1" applyAlignment="1">
      <alignment horizontal="center"/>
    </xf>
    <xf numFmtId="0" fontId="108" fillId="0" borderId="3" xfId="22" applyBorder="1" applyAlignment="1">
      <alignment horizontal="center"/>
    </xf>
    <xf numFmtId="165" fontId="108" fillId="0" borderId="3" xfId="22" applyNumberFormat="1" applyBorder="1" applyAlignment="1">
      <alignment horizontal="center"/>
    </xf>
    <xf numFmtId="165" fontId="108" fillId="0" borderId="4" xfId="22" applyNumberFormat="1" applyBorder="1" applyAlignment="1">
      <alignment horizontal="center"/>
    </xf>
    <xf numFmtId="0" fontId="108" fillId="0" borderId="5" xfId="22" applyBorder="1" applyAlignment="1">
      <alignment horizontal="center"/>
    </xf>
    <xf numFmtId="165" fontId="108" fillId="0" borderId="7" xfId="22" applyNumberFormat="1" applyBorder="1" applyAlignment="1">
      <alignment horizontal="center"/>
    </xf>
    <xf numFmtId="165" fontId="108" fillId="0" borderId="9" xfId="22" applyNumberFormat="1" applyBorder="1" applyAlignment="1">
      <alignment horizontal="center"/>
    </xf>
    <xf numFmtId="0" fontId="108" fillId="0" borderId="10" xfId="22" applyBorder="1" applyAlignment="1">
      <alignment horizontal="center"/>
    </xf>
    <xf numFmtId="165" fontId="108" fillId="0" borderId="5" xfId="22" applyNumberFormat="1" applyBorder="1" applyAlignment="1">
      <alignment horizontal="center"/>
    </xf>
    <xf numFmtId="165" fontId="108" fillId="0" borderId="0" xfId="22" applyNumberFormat="1" applyAlignment="1">
      <alignment horizontal="center"/>
    </xf>
    <xf numFmtId="165" fontId="108" fillId="0" borderId="10" xfId="22" applyNumberFormat="1" applyBorder="1" applyAlignment="1">
      <alignment horizontal="center"/>
    </xf>
    <xf numFmtId="0" fontId="108" fillId="0" borderId="158" xfId="22" applyBorder="1" applyAlignment="1">
      <alignment horizontal="left" vertical="center" wrapText="1"/>
    </xf>
    <xf numFmtId="164" fontId="108" fillId="0" borderId="153" xfId="22" applyNumberFormat="1" applyBorder="1" applyAlignment="1">
      <alignment horizontal="center" vertical="center" wrapText="1"/>
    </xf>
    <xf numFmtId="0" fontId="110" fillId="0" borderId="153" xfId="26" applyFont="1" applyBorder="1" applyAlignment="1">
      <alignment horizontal="center" vertical="center" wrapText="1"/>
    </xf>
    <xf numFmtId="0" fontId="108" fillId="0" borderId="0" xfId="22" applyAlignment="1">
      <alignment horizontal="center" vertical="center" wrapText="1"/>
    </xf>
    <xf numFmtId="0" fontId="117" fillId="0" borderId="0" xfId="22" applyFont="1" applyAlignment="1">
      <alignment horizontal="left" vertical="center" wrapText="1"/>
    </xf>
    <xf numFmtId="0" fontId="119" fillId="0" borderId="0" xfId="22" applyFont="1" applyAlignment="1">
      <alignment horizontal="left" vertical="center" wrapText="1"/>
    </xf>
    <xf numFmtId="0" fontId="108" fillId="0" borderId="0" xfId="22" applyAlignment="1">
      <alignment vertical="center" wrapText="1"/>
    </xf>
    <xf numFmtId="165" fontId="108" fillId="0" borderId="0" xfId="22" applyNumberFormat="1" applyAlignment="1">
      <alignment horizontal="center" vertical="center" wrapText="1"/>
    </xf>
    <xf numFmtId="0" fontId="112" fillId="0" borderId="0" xfId="22" applyFont="1" applyAlignment="1">
      <alignment horizontal="center"/>
    </xf>
    <xf numFmtId="0" fontId="111" fillId="0" borderId="153" xfId="22" applyFont="1" applyBorder="1" applyAlignment="1">
      <alignment horizontal="center" vertical="center" wrapText="1"/>
    </xf>
    <xf numFmtId="0" fontId="111" fillId="0" borderId="153" xfId="26" applyFont="1" applyBorder="1" applyAlignment="1">
      <alignment horizontal="center" vertical="center" wrapText="1"/>
    </xf>
    <xf numFmtId="0" fontId="9" fillId="0" borderId="153" xfId="26" applyBorder="1" applyAlignment="1">
      <alignment horizontal="center" vertical="center" wrapText="1"/>
    </xf>
    <xf numFmtId="0" fontId="9" fillId="0" borderId="156" xfId="26" applyBorder="1" applyAlignment="1">
      <alignment horizontal="center" vertical="center" wrapText="1"/>
    </xf>
    <xf numFmtId="2" fontId="108" fillId="0" borderId="156" xfId="22" applyNumberFormat="1" applyBorder="1" applyAlignment="1">
      <alignment horizontal="center" vertical="center" wrapText="1"/>
    </xf>
    <xf numFmtId="0" fontId="108" fillId="0" borderId="4" xfId="22" applyBorder="1" applyAlignment="1">
      <alignment horizontal="center"/>
    </xf>
    <xf numFmtId="0" fontId="108" fillId="0" borderId="6" xfId="22" applyBorder="1" applyAlignment="1">
      <alignment horizontal="center"/>
    </xf>
    <xf numFmtId="0" fontId="108" fillId="0" borderId="7" xfId="22" applyBorder="1" applyAlignment="1">
      <alignment horizontal="center"/>
    </xf>
    <xf numFmtId="0" fontId="108" fillId="0" borderId="8" xfId="22" applyBorder="1" applyAlignment="1">
      <alignment horizontal="center"/>
    </xf>
    <xf numFmtId="0" fontId="117" fillId="0" borderId="153" xfId="22" applyFont="1" applyBorder="1" applyAlignment="1">
      <alignment horizontal="center" vertical="center" wrapText="1"/>
    </xf>
    <xf numFmtId="0" fontId="117" fillId="0" borderId="153" xfId="26" applyFont="1" applyBorder="1" applyAlignment="1">
      <alignment horizontal="center" vertical="center" wrapText="1"/>
    </xf>
    <xf numFmtId="0" fontId="108" fillId="0" borderId="9" xfId="22" applyBorder="1" applyAlignment="1">
      <alignment horizontal="center"/>
    </xf>
    <xf numFmtId="0" fontId="108" fillId="0" borderId="11" xfId="22" applyBorder="1" applyAlignment="1">
      <alignment horizontal="center"/>
    </xf>
    <xf numFmtId="2" fontId="110" fillId="0" borderId="153" xfId="22" applyNumberFormat="1" applyFont="1" applyBorder="1" applyAlignment="1">
      <alignment horizontal="center" vertical="center" wrapText="1"/>
    </xf>
    <xf numFmtId="0" fontId="112" fillId="0" borderId="0" xfId="22" applyFont="1" applyAlignment="1">
      <alignment horizontal="left" vertical="center" wrapText="1"/>
    </xf>
    <xf numFmtId="0" fontId="108" fillId="0" borderId="4" xfId="22" applyBorder="1" applyAlignment="1">
      <alignment vertical="center" wrapText="1"/>
    </xf>
    <xf numFmtId="0" fontId="108" fillId="0" borderId="5" xfId="22" applyBorder="1" applyAlignment="1">
      <alignment vertical="center" wrapText="1"/>
    </xf>
    <xf numFmtId="0" fontId="108" fillId="0" borderId="6" xfId="22" applyBorder="1" applyAlignment="1">
      <alignment vertical="center" wrapText="1"/>
    </xf>
    <xf numFmtId="0" fontId="108" fillId="0" borderId="7" xfId="22" applyBorder="1" applyAlignment="1">
      <alignment vertical="center" wrapText="1"/>
    </xf>
    <xf numFmtId="0" fontId="108" fillId="0" borderId="8" xfId="22" applyBorder="1" applyAlignment="1">
      <alignment vertical="center" wrapText="1"/>
    </xf>
    <xf numFmtId="165" fontId="108" fillId="0" borderId="7" xfId="22" applyNumberFormat="1" applyBorder="1" applyAlignment="1">
      <alignment horizontal="center" vertical="center" wrapText="1"/>
    </xf>
    <xf numFmtId="165" fontId="108" fillId="0" borderId="8" xfId="22" applyNumberFormat="1" applyBorder="1" applyAlignment="1">
      <alignment horizontal="center" vertical="center" wrapText="1"/>
    </xf>
    <xf numFmtId="0" fontId="108" fillId="0" borderId="9" xfId="22" applyBorder="1" applyAlignment="1">
      <alignment horizontal="center" vertical="center" wrapText="1"/>
    </xf>
    <xf numFmtId="0" fontId="108" fillId="0" borderId="10" xfId="22" applyBorder="1" applyAlignment="1">
      <alignment horizontal="center" vertical="center" wrapText="1"/>
    </xf>
    <xf numFmtId="0" fontId="108" fillId="0" borderId="11" xfId="22" applyBorder="1" applyAlignment="1">
      <alignment horizontal="center" vertical="center" wrapText="1"/>
    </xf>
    <xf numFmtId="0" fontId="108" fillId="0" borderId="0" xfId="22"/>
    <xf numFmtId="0" fontId="111" fillId="0" borderId="159" xfId="22" applyFont="1" applyBorder="1" applyAlignment="1">
      <alignment horizontal="center" vertical="center" wrapText="1"/>
    </xf>
    <xf numFmtId="0" fontId="111" fillId="0" borderId="160" xfId="22" applyFont="1" applyBorder="1" applyAlignment="1">
      <alignment horizontal="center" vertical="center" wrapText="1"/>
    </xf>
    <xf numFmtId="0" fontId="111" fillId="0" borderId="161" xfId="26" applyFont="1" applyBorder="1" applyAlignment="1">
      <alignment horizontal="center" vertical="center" wrapText="1"/>
    </xf>
    <xf numFmtId="0" fontId="111" fillId="0" borderId="159" xfId="26" applyFont="1" applyBorder="1" applyAlignment="1">
      <alignment horizontal="center" vertical="center" wrapText="1"/>
    </xf>
    <xf numFmtId="0" fontId="111" fillId="0" borderId="160" xfId="26" applyFont="1" applyBorder="1" applyAlignment="1">
      <alignment horizontal="center" vertical="center" wrapText="1"/>
    </xf>
    <xf numFmtId="0" fontId="110" fillId="0" borderId="162" xfId="22" applyFont="1" applyBorder="1" applyAlignment="1">
      <alignment horizontal="center" vertical="center" wrapText="1"/>
    </xf>
    <xf numFmtId="0" fontId="110" fillId="0" borderId="163" xfId="26" applyFont="1" applyBorder="1" applyAlignment="1">
      <alignment horizontal="center" vertical="center" wrapText="1"/>
    </xf>
    <xf numFmtId="0" fontId="110" fillId="0" borderId="162" xfId="26" applyFont="1" applyBorder="1" applyAlignment="1">
      <alignment horizontal="center" vertical="center" wrapText="1"/>
    </xf>
    <xf numFmtId="0" fontId="120" fillId="0" borderId="0" xfId="22" applyFont="1" applyAlignment="1">
      <alignment horizontal="right"/>
    </xf>
    <xf numFmtId="0" fontId="120" fillId="0" borderId="0" xfId="22" applyFont="1" applyAlignment="1">
      <alignment horizontal="center"/>
    </xf>
    <xf numFmtId="0" fontId="108" fillId="0" borderId="162" xfId="22" applyBorder="1" applyAlignment="1">
      <alignment horizontal="center" vertical="center" wrapText="1"/>
    </xf>
    <xf numFmtId="0" fontId="9" fillId="0" borderId="163" xfId="26" applyBorder="1" applyAlignment="1">
      <alignment horizontal="center" vertical="center" wrapText="1"/>
    </xf>
    <xf numFmtId="0" fontId="9" fillId="0" borderId="162" xfId="26" applyBorder="1" applyAlignment="1">
      <alignment horizontal="center" vertical="center" wrapText="1"/>
    </xf>
    <xf numFmtId="0" fontId="108" fillId="0" borderId="0" xfId="22" applyAlignment="1">
      <alignment horizontal="right"/>
    </xf>
    <xf numFmtId="171" fontId="120" fillId="0" borderId="0" xfId="22" applyNumberFormat="1" applyFont="1" applyAlignment="1">
      <alignment horizontal="center"/>
    </xf>
    <xf numFmtId="2" fontId="120" fillId="0" borderId="0" xfId="22" applyNumberFormat="1" applyFont="1" applyAlignment="1">
      <alignment horizontal="center"/>
    </xf>
    <xf numFmtId="165" fontId="120" fillId="0" borderId="0" xfId="22" applyNumberFormat="1" applyFont="1" applyAlignment="1">
      <alignment horizontal="center"/>
    </xf>
    <xf numFmtId="0" fontId="117" fillId="0" borderId="162" xfId="26" applyFont="1" applyBorder="1" applyAlignment="1">
      <alignment horizontal="center" vertical="center" wrapText="1"/>
    </xf>
    <xf numFmtId="0" fontId="117" fillId="0" borderId="163" xfId="26" applyFont="1" applyBorder="1" applyAlignment="1">
      <alignment horizontal="center" vertical="center" wrapText="1"/>
    </xf>
    <xf numFmtId="170" fontId="108" fillId="0" borderId="0" xfId="27" applyNumberFormat="1" applyFont="1" applyAlignment="1">
      <alignment horizontal="left"/>
    </xf>
    <xf numFmtId="0" fontId="120" fillId="0" borderId="73" xfId="22" applyFont="1" applyBorder="1" applyAlignment="1">
      <alignment horizontal="center"/>
    </xf>
    <xf numFmtId="0" fontId="120" fillId="0" borderId="74" xfId="22" applyFont="1" applyBorder="1" applyAlignment="1">
      <alignment horizontal="center"/>
    </xf>
    <xf numFmtId="0" fontId="120" fillId="0" borderId="113" xfId="22" applyFont="1" applyBorder="1" applyAlignment="1">
      <alignment horizontal="center"/>
    </xf>
    <xf numFmtId="0" fontId="120" fillId="0" borderId="89" xfId="22" applyFont="1" applyBorder="1" applyAlignment="1">
      <alignment horizontal="center"/>
    </xf>
    <xf numFmtId="0" fontId="120" fillId="0" borderId="164" xfId="22" applyFont="1" applyBorder="1" applyAlignment="1">
      <alignment horizontal="center"/>
    </xf>
    <xf numFmtId="2" fontId="108" fillId="0" borderId="165" xfId="22" applyNumberFormat="1" applyBorder="1" applyAlignment="1">
      <alignment horizontal="center" vertical="center" wrapText="1"/>
    </xf>
    <xf numFmtId="0" fontId="120" fillId="0" borderId="76" xfId="22" applyFont="1" applyBorder="1" applyAlignment="1">
      <alignment horizontal="center"/>
    </xf>
    <xf numFmtId="0" fontId="120" fillId="0" borderId="8" xfId="22" applyFont="1" applyBorder="1" applyAlignment="1">
      <alignment horizontal="center"/>
    </xf>
    <xf numFmtId="0" fontId="120" fillId="0" borderId="7" xfId="22" applyFont="1" applyBorder="1" applyAlignment="1">
      <alignment horizontal="center"/>
    </xf>
    <xf numFmtId="0" fontId="120" fillId="0" borderId="166" xfId="22" applyFont="1" applyBorder="1" applyAlignment="1">
      <alignment horizontal="center"/>
    </xf>
    <xf numFmtId="0" fontId="108" fillId="0" borderId="76" xfId="22" applyBorder="1" applyAlignment="1">
      <alignment horizontal="left"/>
    </xf>
    <xf numFmtId="0" fontId="108" fillId="0" borderId="8" xfId="22" applyBorder="1" applyAlignment="1">
      <alignment horizontal="left"/>
    </xf>
    <xf numFmtId="0" fontId="108" fillId="0" borderId="7" xfId="22" applyBorder="1" applyAlignment="1">
      <alignment horizontal="left"/>
    </xf>
    <xf numFmtId="0" fontId="108" fillId="0" borderId="166" xfId="22" applyBorder="1" applyAlignment="1">
      <alignment horizontal="left"/>
    </xf>
    <xf numFmtId="165" fontId="120" fillId="0" borderId="76" xfId="22" applyNumberFormat="1" applyFont="1" applyBorder="1" applyAlignment="1">
      <alignment horizontal="center"/>
    </xf>
    <xf numFmtId="165" fontId="120" fillId="0" borderId="8" xfId="22" applyNumberFormat="1" applyFont="1" applyBorder="1" applyAlignment="1">
      <alignment horizontal="center"/>
    </xf>
    <xf numFmtId="165" fontId="120" fillId="0" borderId="7" xfId="22" applyNumberFormat="1" applyFont="1" applyBorder="1" applyAlignment="1">
      <alignment horizontal="center"/>
    </xf>
    <xf numFmtId="165" fontId="120" fillId="0" borderId="166" xfId="22" applyNumberFormat="1" applyFont="1" applyBorder="1" applyAlignment="1">
      <alignment horizontal="center"/>
    </xf>
    <xf numFmtId="0" fontId="120" fillId="0" borderId="0" xfId="22" applyFont="1" applyAlignment="1">
      <alignment horizontal="left"/>
    </xf>
    <xf numFmtId="0" fontId="108" fillId="0" borderId="165" xfId="22" applyBorder="1" applyAlignment="1">
      <alignment horizontal="center" vertical="center" wrapText="1"/>
    </xf>
    <xf numFmtId="0" fontId="9" fillId="0" borderId="167" xfId="26" applyBorder="1" applyAlignment="1">
      <alignment horizontal="center" vertical="center" wrapText="1"/>
    </xf>
    <xf numFmtId="0" fontId="9" fillId="0" borderId="165" xfId="26" applyBorder="1" applyAlignment="1">
      <alignment horizontal="center" vertical="center" wrapText="1"/>
    </xf>
    <xf numFmtId="9" fontId="120" fillId="0" borderId="76" xfId="27" applyFont="1" applyBorder="1" applyAlignment="1">
      <alignment horizontal="center"/>
    </xf>
    <xf numFmtId="9" fontId="120" fillId="0" borderId="7" xfId="27" applyFont="1" applyBorder="1" applyAlignment="1">
      <alignment horizontal="center"/>
    </xf>
    <xf numFmtId="9" fontId="120" fillId="0" borderId="166" xfId="27" applyFont="1" applyBorder="1" applyAlignment="1">
      <alignment horizontal="center"/>
    </xf>
    <xf numFmtId="0" fontId="111" fillId="0" borderId="162" xfId="22" applyFont="1" applyBorder="1" applyAlignment="1">
      <alignment horizontal="center" vertical="center" wrapText="1"/>
    </xf>
    <xf numFmtId="0" fontId="111" fillId="0" borderId="163" xfId="26" applyFont="1" applyBorder="1" applyAlignment="1">
      <alignment horizontal="center" vertical="center" wrapText="1"/>
    </xf>
    <xf numFmtId="0" fontId="111" fillId="0" borderId="162" xfId="26" applyFont="1" applyBorder="1" applyAlignment="1">
      <alignment horizontal="center" vertical="center" wrapText="1"/>
    </xf>
    <xf numFmtId="9" fontId="120" fillId="0" borderId="0" xfId="27" applyFont="1" applyBorder="1" applyAlignment="1">
      <alignment horizontal="center"/>
    </xf>
    <xf numFmtId="9" fontId="120" fillId="0" borderId="8" xfId="27" applyFont="1" applyBorder="1" applyAlignment="1">
      <alignment horizontal="center"/>
    </xf>
    <xf numFmtId="9" fontId="120" fillId="0" borderId="76" xfId="22" applyNumberFormat="1" applyFont="1" applyBorder="1" applyAlignment="1">
      <alignment horizontal="center"/>
    </xf>
    <xf numFmtId="9" fontId="120" fillId="0" borderId="0" xfId="22" applyNumberFormat="1" applyFont="1" applyAlignment="1">
      <alignment horizontal="center"/>
    </xf>
    <xf numFmtId="9" fontId="120" fillId="0" borderId="8" xfId="22" applyNumberFormat="1" applyFont="1" applyBorder="1" applyAlignment="1">
      <alignment horizontal="center"/>
    </xf>
    <xf numFmtId="9" fontId="120" fillId="0" borderId="7" xfId="22" applyNumberFormat="1" applyFont="1" applyBorder="1" applyAlignment="1">
      <alignment horizontal="center"/>
    </xf>
    <xf numFmtId="9" fontId="120" fillId="0" borderId="166" xfId="22" applyNumberFormat="1" applyFont="1" applyBorder="1" applyAlignment="1">
      <alignment horizontal="center"/>
    </xf>
    <xf numFmtId="9" fontId="120" fillId="0" borderId="78" xfId="22" applyNumberFormat="1" applyFont="1" applyBorder="1" applyAlignment="1">
      <alignment horizontal="center"/>
    </xf>
    <xf numFmtId="9" fontId="120" fillId="0" borderId="92" xfId="22" applyNumberFormat="1" applyFont="1" applyBorder="1" applyAlignment="1">
      <alignment horizontal="center"/>
    </xf>
    <xf numFmtId="9" fontId="120" fillId="0" borderId="168" xfId="22" applyNumberFormat="1" applyFont="1" applyBorder="1" applyAlignment="1">
      <alignment horizontal="center"/>
    </xf>
    <xf numFmtId="0" fontId="110" fillId="0" borderId="169" xfId="22" applyFont="1" applyBorder="1" applyAlignment="1">
      <alignment horizontal="center" vertical="center" wrapText="1"/>
    </xf>
    <xf numFmtId="0" fontId="110" fillId="0" borderId="170" xfId="22" applyFont="1" applyBorder="1" applyAlignment="1">
      <alignment horizontal="center" vertical="center" wrapText="1"/>
    </xf>
    <xf numFmtId="0" fontId="110" fillId="0" borderId="171" xfId="26" applyFont="1" applyBorder="1" applyAlignment="1">
      <alignment horizontal="center" vertical="center" wrapText="1"/>
    </xf>
    <xf numFmtId="0" fontId="110" fillId="0" borderId="169" xfId="26" applyFont="1" applyBorder="1" applyAlignment="1">
      <alignment horizontal="center" vertical="center" wrapText="1"/>
    </xf>
    <xf numFmtId="0" fontId="110" fillId="0" borderId="170" xfId="26" applyFont="1" applyBorder="1" applyAlignment="1">
      <alignment horizontal="center" vertical="center" wrapText="1"/>
    </xf>
    <xf numFmtId="9" fontId="108" fillId="0" borderId="0" xfId="22" applyNumberFormat="1" applyAlignment="1">
      <alignment horizontal="left"/>
    </xf>
    <xf numFmtId="0" fontId="110" fillId="0" borderId="159" xfId="22" applyFont="1" applyBorder="1" applyAlignment="1">
      <alignment horizontal="center" vertical="center" wrapText="1"/>
    </xf>
    <xf numFmtId="0" fontId="110" fillId="0" borderId="160" xfId="22" applyFont="1" applyBorder="1" applyAlignment="1">
      <alignment horizontal="center" vertical="center" wrapText="1"/>
    </xf>
    <xf numFmtId="0" fontId="110" fillId="0" borderId="161" xfId="26" applyFont="1" applyBorder="1" applyAlignment="1">
      <alignment horizontal="center" vertical="center" wrapText="1"/>
    </xf>
    <xf numFmtId="0" fontId="110" fillId="0" borderId="159" xfId="26" applyFont="1" applyBorder="1" applyAlignment="1">
      <alignment horizontal="center" vertical="center" wrapText="1"/>
    </xf>
    <xf numFmtId="0" fontId="110" fillId="0" borderId="160" xfId="26" applyFont="1" applyBorder="1" applyAlignment="1">
      <alignment horizontal="center" vertical="center" wrapText="1"/>
    </xf>
    <xf numFmtId="0" fontId="110" fillId="0" borderId="172" xfId="22" applyFont="1" applyBorder="1" applyAlignment="1">
      <alignment horizontal="center" vertical="center" wrapText="1"/>
    </xf>
    <xf numFmtId="0" fontId="110" fillId="0" borderId="173" xfId="22" applyFont="1" applyBorder="1" applyAlignment="1">
      <alignment horizontal="center" vertical="center" wrapText="1"/>
    </xf>
    <xf numFmtId="0" fontId="110" fillId="0" borderId="174" xfId="26" applyFont="1" applyBorder="1" applyAlignment="1">
      <alignment horizontal="center" vertical="center" wrapText="1"/>
    </xf>
    <xf numFmtId="0" fontId="110" fillId="0" borderId="172" xfId="26" applyFont="1" applyBorder="1" applyAlignment="1">
      <alignment horizontal="center" vertical="center" wrapText="1"/>
    </xf>
    <xf numFmtId="0" fontId="110" fillId="0" borderId="173" xfId="26" applyFont="1" applyBorder="1" applyAlignment="1">
      <alignment horizontal="center" vertical="center" wrapText="1"/>
    </xf>
    <xf numFmtId="0" fontId="117" fillId="0" borderId="175" xfId="22" applyFont="1" applyBorder="1" applyAlignment="1">
      <alignment horizontal="center" vertical="center" wrapText="1"/>
    </xf>
    <xf numFmtId="0" fontId="117" fillId="0" borderId="176" xfId="22" applyFont="1" applyBorder="1" applyAlignment="1">
      <alignment horizontal="center" vertical="center" wrapText="1"/>
    </xf>
    <xf numFmtId="0" fontId="117" fillId="0" borderId="177" xfId="26" applyFont="1" applyBorder="1" applyAlignment="1">
      <alignment horizontal="center" vertical="center" wrapText="1"/>
    </xf>
    <xf numFmtId="0" fontId="117" fillId="0" borderId="175" xfId="26" applyFont="1" applyBorder="1" applyAlignment="1">
      <alignment horizontal="center" vertical="center" wrapText="1"/>
    </xf>
    <xf numFmtId="0" fontId="117" fillId="0" borderId="176" xfId="26" applyFont="1" applyBorder="1" applyAlignment="1">
      <alignment horizontal="center" vertical="center" wrapText="1"/>
    </xf>
    <xf numFmtId="0" fontId="108" fillId="0" borderId="172" xfId="22" applyBorder="1" applyAlignment="1">
      <alignment horizontal="center" vertical="center" wrapText="1"/>
    </xf>
    <xf numFmtId="0" fontId="108" fillId="0" borderId="173" xfId="22" applyBorder="1" applyAlignment="1">
      <alignment horizontal="center" vertical="center" wrapText="1"/>
    </xf>
    <xf numFmtId="0" fontId="9" fillId="0" borderId="174" xfId="26" applyBorder="1" applyAlignment="1">
      <alignment horizontal="center" vertical="center" wrapText="1"/>
    </xf>
    <xf numFmtId="0" fontId="9" fillId="0" borderId="172" xfId="26" applyBorder="1" applyAlignment="1">
      <alignment horizontal="center" vertical="center" wrapText="1"/>
    </xf>
    <xf numFmtId="0" fontId="9" fillId="0" borderId="173" xfId="26" applyBorder="1" applyAlignment="1">
      <alignment horizontal="center" vertical="center" wrapText="1"/>
    </xf>
    <xf numFmtId="2" fontId="108" fillId="0" borderId="0" xfId="22" applyNumberFormat="1" applyAlignment="1">
      <alignment horizontal="center" vertical="center" wrapText="1"/>
    </xf>
    <xf numFmtId="170" fontId="108" fillId="0" borderId="0" xfId="22" applyNumberFormat="1" applyAlignment="1">
      <alignment horizontal="left"/>
    </xf>
    <xf numFmtId="9" fontId="108" fillId="0" borderId="0" xfId="27" applyFont="1" applyAlignment="1">
      <alignment horizontal="center"/>
    </xf>
    <xf numFmtId="0" fontId="111" fillId="0" borderId="178" xfId="22" applyFont="1" applyBorder="1" applyAlignment="1">
      <alignment horizontal="center" vertical="center" wrapText="1"/>
    </xf>
    <xf numFmtId="0" fontId="111" fillId="0" borderId="179" xfId="22" applyFont="1" applyBorder="1" applyAlignment="1">
      <alignment horizontal="center" vertical="center" wrapText="1"/>
    </xf>
    <xf numFmtId="0" fontId="111" fillId="0" borderId="180" xfId="26" applyFont="1" applyBorder="1" applyAlignment="1">
      <alignment horizontal="center" vertical="center" wrapText="1"/>
    </xf>
    <xf numFmtId="0" fontId="111" fillId="0" borderId="178" xfId="26" applyFont="1" applyBorder="1" applyAlignment="1">
      <alignment horizontal="center" vertical="center" wrapText="1"/>
    </xf>
    <xf numFmtId="0" fontId="111" fillId="0" borderId="179" xfId="26" applyFont="1" applyBorder="1" applyAlignment="1">
      <alignment horizontal="center" vertical="center" wrapText="1"/>
    </xf>
    <xf numFmtId="0" fontId="108" fillId="0" borderId="15" xfId="22" applyBorder="1" applyAlignment="1">
      <alignment horizontal="center" vertical="center" wrapText="1"/>
    </xf>
    <xf numFmtId="0" fontId="108" fillId="0" borderId="16" xfId="22" applyBorder="1" applyAlignment="1">
      <alignment horizontal="center" vertical="center" wrapText="1"/>
    </xf>
    <xf numFmtId="0" fontId="108" fillId="0" borderId="17" xfId="22" applyBorder="1" applyAlignment="1">
      <alignment horizontal="center" vertical="center" wrapText="1"/>
    </xf>
    <xf numFmtId="0" fontId="108" fillId="0" borderId="7" xfId="22" applyBorder="1" applyAlignment="1">
      <alignment horizontal="center" vertical="center" wrapText="1"/>
    </xf>
    <xf numFmtId="0" fontId="108" fillId="0" borderId="8" xfId="22" applyBorder="1" applyAlignment="1">
      <alignment horizontal="center" vertical="center" wrapText="1"/>
    </xf>
    <xf numFmtId="165" fontId="108" fillId="0" borderId="4" xfId="22" applyNumberFormat="1" applyBorder="1" applyAlignment="1">
      <alignment horizontal="center" vertical="center" wrapText="1"/>
    </xf>
    <xf numFmtId="165" fontId="108" fillId="0" borderId="12" xfId="22" applyNumberFormat="1" applyBorder="1" applyAlignment="1">
      <alignment horizontal="center" vertical="center" wrapText="1"/>
    </xf>
    <xf numFmtId="165" fontId="108" fillId="0" borderId="9" xfId="22" applyNumberFormat="1" applyBorder="1" applyAlignment="1">
      <alignment horizontal="center" vertical="center" wrapText="1"/>
    </xf>
    <xf numFmtId="165" fontId="108" fillId="0" borderId="14" xfId="22" applyNumberFormat="1" applyBorder="1" applyAlignment="1">
      <alignment horizontal="center" vertical="center" wrapText="1"/>
    </xf>
    <xf numFmtId="0" fontId="108" fillId="0" borderId="4" xfId="22" applyBorder="1" applyAlignment="1">
      <alignment horizontal="center" vertical="center" wrapText="1"/>
    </xf>
    <xf numFmtId="0" fontId="108" fillId="0" borderId="5" xfId="22" applyBorder="1" applyAlignment="1">
      <alignment horizontal="center" vertical="center" wrapText="1"/>
    </xf>
    <xf numFmtId="0" fontId="108" fillId="0" borderId="6" xfId="22" applyBorder="1" applyAlignment="1">
      <alignment horizontal="center" vertical="center" wrapText="1"/>
    </xf>
    <xf numFmtId="165" fontId="108" fillId="0" borderId="10" xfId="22" applyNumberFormat="1" applyBorder="1" applyAlignment="1">
      <alignment horizontal="center" vertical="center" wrapText="1"/>
    </xf>
    <xf numFmtId="165" fontId="108" fillId="0" borderId="11" xfId="22" applyNumberFormat="1" applyBorder="1" applyAlignment="1">
      <alignment horizontal="center" vertical="center" wrapText="1"/>
    </xf>
    <xf numFmtId="0" fontId="113" fillId="22" borderId="1" xfId="23" applyAlignment="1">
      <alignment horizontal="center"/>
    </xf>
    <xf numFmtId="0" fontId="123" fillId="0" borderId="0" xfId="22" applyFont="1" applyAlignment="1">
      <alignment horizontal="right"/>
    </xf>
    <xf numFmtId="0" fontId="123" fillId="0" borderId="0" xfId="22" applyFont="1" applyAlignment="1">
      <alignment horizontal="left"/>
    </xf>
    <xf numFmtId="0" fontId="123" fillId="0" borderId="0" xfId="22" applyFont="1" applyAlignment="1">
      <alignment horizontal="center"/>
    </xf>
    <xf numFmtId="165" fontId="123" fillId="0" borderId="0" xfId="22" applyNumberFormat="1" applyFont="1" applyAlignment="1">
      <alignment horizontal="center"/>
    </xf>
    <xf numFmtId="165" fontId="108" fillId="0" borderId="0" xfId="22" applyNumberFormat="1" applyAlignment="1">
      <alignment horizontal="left"/>
    </xf>
    <xf numFmtId="9" fontId="108" fillId="0" borderId="0" xfId="27" applyFont="1" applyAlignment="1">
      <alignment horizontal="left"/>
    </xf>
    <xf numFmtId="10" fontId="108" fillId="0" borderId="0" xfId="27" applyNumberFormat="1" applyFont="1" applyAlignment="1">
      <alignment horizontal="left"/>
    </xf>
    <xf numFmtId="0" fontId="108" fillId="15" borderId="3" xfId="28" applyFont="1" applyBorder="1" applyAlignment="1">
      <alignment horizontal="center"/>
    </xf>
    <xf numFmtId="165" fontId="116" fillId="2" borderId="93" xfId="25" applyNumberFormat="1" applyBorder="1" applyAlignment="1">
      <alignment horizontal="center" vertical="center"/>
    </xf>
    <xf numFmtId="165" fontId="116" fillId="2" borderId="181" xfId="25" applyNumberFormat="1" applyBorder="1" applyAlignment="1">
      <alignment horizontal="center" vertical="center"/>
    </xf>
    <xf numFmtId="2" fontId="108" fillId="0" borderId="0" xfId="22" applyNumberFormat="1" applyAlignment="1">
      <alignment horizontal="left"/>
    </xf>
    <xf numFmtId="164" fontId="116" fillId="2" borderId="181" xfId="25" applyNumberFormat="1" applyBorder="1" applyAlignment="1">
      <alignment horizontal="center" vertical="center"/>
    </xf>
    <xf numFmtId="2" fontId="116" fillId="2" borderId="181" xfId="25" applyNumberFormat="1" applyBorder="1" applyAlignment="1">
      <alignment horizontal="center" vertical="center"/>
    </xf>
    <xf numFmtId="165" fontId="115" fillId="2" borderId="19" xfId="24" applyNumberFormat="1" applyBorder="1" applyAlignment="1">
      <alignment horizontal="center"/>
    </xf>
    <xf numFmtId="165" fontId="115" fillId="2" borderId="22" xfId="24" applyNumberFormat="1" applyBorder="1" applyAlignment="1">
      <alignment horizontal="center"/>
    </xf>
    <xf numFmtId="164" fontId="120" fillId="0" borderId="4" xfId="22" applyNumberFormat="1" applyFont="1" applyBorder="1" applyAlignment="1">
      <alignment horizontal="center"/>
    </xf>
    <xf numFmtId="164" fontId="120" fillId="0" borderId="5" xfId="22" applyNumberFormat="1" applyFont="1" applyBorder="1" applyAlignment="1">
      <alignment horizontal="center"/>
    </xf>
    <xf numFmtId="164" fontId="120" fillId="0" borderId="6" xfId="22" applyNumberFormat="1" applyFont="1" applyBorder="1" applyAlignment="1">
      <alignment horizontal="center"/>
    </xf>
    <xf numFmtId="171" fontId="120" fillId="0" borderId="7" xfId="22" applyNumberFormat="1" applyFont="1" applyBorder="1" applyAlignment="1">
      <alignment horizontal="center"/>
    </xf>
    <xf numFmtId="171" fontId="120" fillId="0" borderId="8" xfId="22" applyNumberFormat="1" applyFont="1" applyBorder="1" applyAlignment="1">
      <alignment horizontal="center"/>
    </xf>
    <xf numFmtId="170" fontId="108" fillId="0" borderId="7" xfId="27" applyNumberFormat="1" applyFont="1" applyBorder="1" applyAlignment="1">
      <alignment horizontal="left"/>
    </xf>
    <xf numFmtId="170" fontId="108" fillId="0" borderId="0" xfId="27" applyNumberFormat="1" applyFont="1" applyBorder="1" applyAlignment="1">
      <alignment horizontal="left"/>
    </xf>
    <xf numFmtId="170" fontId="108" fillId="0" borderId="8" xfId="27" applyNumberFormat="1" applyFont="1" applyBorder="1" applyAlignment="1">
      <alignment horizontal="left"/>
    </xf>
    <xf numFmtId="164" fontId="120" fillId="0" borderId="12" xfId="22" applyNumberFormat="1" applyFont="1" applyBorder="1" applyAlignment="1">
      <alignment horizontal="center"/>
    </xf>
    <xf numFmtId="165" fontId="120" fillId="0" borderId="13" xfId="22" applyNumberFormat="1" applyFont="1" applyBorder="1" applyAlignment="1">
      <alignment horizontal="center"/>
    </xf>
    <xf numFmtId="0" fontId="108" fillId="0" borderId="182" xfId="22" applyBorder="1" applyAlignment="1">
      <alignment horizontal="center" vertical="center" wrapText="1"/>
    </xf>
    <xf numFmtId="0" fontId="9" fillId="0" borderId="182" xfId="26" applyBorder="1" applyAlignment="1">
      <alignment horizontal="center" vertical="center" wrapText="1"/>
    </xf>
    <xf numFmtId="9" fontId="120" fillId="0" borderId="13" xfId="27" applyFont="1" applyBorder="1" applyAlignment="1">
      <alignment horizontal="center"/>
    </xf>
    <xf numFmtId="164" fontId="117" fillId="0" borderId="162" xfId="22" applyNumberFormat="1" applyFont="1" applyBorder="1" applyAlignment="1">
      <alignment horizontal="center" vertical="center" wrapText="1"/>
    </xf>
    <xf numFmtId="164" fontId="117" fillId="0" borderId="163" xfId="26" applyNumberFormat="1" applyFont="1" applyBorder="1" applyAlignment="1">
      <alignment horizontal="center" vertical="center" wrapText="1"/>
    </xf>
    <xf numFmtId="164" fontId="117" fillId="0" borderId="162" xfId="26" applyNumberFormat="1" applyFont="1" applyBorder="1" applyAlignment="1">
      <alignment horizontal="center" vertical="center" wrapText="1"/>
    </xf>
    <xf numFmtId="164" fontId="117" fillId="0" borderId="153" xfId="26" applyNumberFormat="1" applyFont="1" applyBorder="1" applyAlignment="1">
      <alignment horizontal="center" vertical="center" wrapText="1"/>
    </xf>
    <xf numFmtId="165" fontId="120" fillId="0" borderId="183" xfId="22" applyNumberFormat="1" applyFont="1" applyBorder="1" applyAlignment="1">
      <alignment horizontal="center"/>
    </xf>
    <xf numFmtId="0" fontId="117" fillId="0" borderId="162" xfId="22" applyFont="1" applyBorder="1" applyAlignment="1">
      <alignment horizontal="center" vertical="center" wrapText="1"/>
    </xf>
    <xf numFmtId="0" fontId="108" fillId="0" borderId="13" xfId="22" applyBorder="1" applyAlignment="1">
      <alignment horizontal="left"/>
    </xf>
    <xf numFmtId="9" fontId="120" fillId="0" borderId="183" xfId="22" applyNumberFormat="1" applyFont="1" applyBorder="1" applyAlignment="1">
      <alignment horizontal="center"/>
    </xf>
    <xf numFmtId="0" fontId="120" fillId="0" borderId="183" xfId="22" applyFont="1" applyBorder="1" applyAlignment="1">
      <alignment horizontal="center"/>
    </xf>
    <xf numFmtId="9" fontId="120" fillId="0" borderId="9" xfId="22" applyNumberFormat="1" applyFont="1" applyBorder="1" applyAlignment="1">
      <alignment horizontal="center"/>
    </xf>
    <xf numFmtId="9" fontId="120" fillId="0" borderId="184" xfId="22" applyNumberFormat="1" applyFont="1" applyBorder="1" applyAlignment="1">
      <alignment horizontal="center"/>
    </xf>
    <xf numFmtId="9" fontId="120" fillId="0" borderId="90" xfId="22" applyNumberFormat="1" applyFont="1" applyBorder="1" applyAlignment="1">
      <alignment horizontal="center"/>
    </xf>
    <xf numFmtId="9" fontId="120" fillId="0" borderId="14" xfId="22" applyNumberFormat="1" applyFont="1" applyBorder="1" applyAlignment="1">
      <alignment horizontal="center"/>
    </xf>
    <xf numFmtId="0" fontId="110" fillId="0" borderId="176" xfId="22" applyFont="1" applyBorder="1" applyAlignment="1">
      <alignment horizontal="center" vertical="center" wrapText="1"/>
    </xf>
    <xf numFmtId="0" fontId="110" fillId="0" borderId="176" xfId="26" applyFont="1" applyBorder="1" applyAlignment="1">
      <alignment horizontal="center" vertical="center" wrapText="1"/>
    </xf>
    <xf numFmtId="1" fontId="124" fillId="0" borderId="156" xfId="22" applyNumberFormat="1" applyFont="1" applyBorder="1" applyAlignment="1">
      <alignment horizontal="center" vertical="center" wrapText="1"/>
    </xf>
    <xf numFmtId="1" fontId="108" fillId="0" borderId="156" xfId="22" applyNumberFormat="1" applyBorder="1" applyAlignment="1">
      <alignment horizontal="center" vertical="center" wrapText="1"/>
    </xf>
    <xf numFmtId="0" fontId="108" fillId="0" borderId="182" xfId="22" applyBorder="1" applyAlignment="1">
      <alignment horizontal="left" vertical="center" wrapText="1"/>
    </xf>
    <xf numFmtId="0" fontId="9" fillId="0" borderId="0" xfId="26" applyAlignment="1">
      <alignment horizontal="left" vertical="center" wrapText="1"/>
    </xf>
    <xf numFmtId="0" fontId="108" fillId="0" borderId="15" xfId="22" applyBorder="1"/>
    <xf numFmtId="0" fontId="108" fillId="0" borderId="16" xfId="22" applyBorder="1"/>
    <xf numFmtId="0" fontId="108" fillId="0" borderId="17" xfId="22" applyBorder="1"/>
    <xf numFmtId="0" fontId="54" fillId="5" borderId="2" xfId="11" applyAlignment="1">
      <alignment horizontal="center"/>
    </xf>
    <xf numFmtId="0" fontId="32" fillId="22" borderId="1" xfId="13"/>
    <xf numFmtId="0" fontId="126" fillId="6" borderId="0" xfId="0" applyFont="1" applyFill="1"/>
    <xf numFmtId="0" fontId="115" fillId="2" borderId="1" xfId="24" applyAlignment="1">
      <alignment horizontal="center"/>
    </xf>
    <xf numFmtId="9" fontId="108" fillId="0" borderId="0" xfId="22" applyNumberFormat="1" applyAlignment="1">
      <alignment horizontal="center"/>
    </xf>
    <xf numFmtId="2" fontId="69" fillId="2" borderId="1" xfId="24" applyNumberFormat="1" applyFont="1" applyAlignment="1">
      <alignment horizontal="center"/>
    </xf>
    <xf numFmtId="2" fontId="42" fillId="6" borderId="0" xfId="0" applyNumberFormat="1" applyFont="1" applyFill="1" applyAlignment="1">
      <alignment horizontal="center"/>
    </xf>
    <xf numFmtId="1" fontId="108" fillId="0" borderId="0" xfId="22" applyNumberFormat="1" applyAlignment="1">
      <alignment horizontal="left"/>
    </xf>
    <xf numFmtId="165" fontId="36" fillId="26" borderId="13" xfId="0" applyNumberFormat="1" applyFont="1" applyFill="1" applyBorder="1" applyAlignment="1">
      <alignment horizontal="center"/>
    </xf>
    <xf numFmtId="165" fontId="36" fillId="26" borderId="14" xfId="0" applyNumberFormat="1" applyFont="1" applyFill="1" applyBorder="1" applyAlignment="1">
      <alignment horizontal="center"/>
    </xf>
    <xf numFmtId="2" fontId="0" fillId="0" borderId="3" xfId="0" applyNumberFormat="1" applyBorder="1"/>
    <xf numFmtId="166" fontId="0" fillId="0" borderId="3" xfId="0" applyNumberFormat="1" applyBorder="1"/>
    <xf numFmtId="166" fontId="54" fillId="5" borderId="2" xfId="11" applyNumberFormat="1"/>
    <xf numFmtId="165" fontId="54" fillId="5" borderId="2" xfId="11" applyNumberFormat="1"/>
    <xf numFmtId="166" fontId="32" fillId="4" borderId="1" xfId="1" applyNumberFormat="1"/>
    <xf numFmtId="0" fontId="127" fillId="6" borderId="0" xfId="0" applyFont="1" applyFill="1"/>
    <xf numFmtId="165" fontId="42" fillId="6" borderId="13" xfId="0" applyNumberFormat="1" applyFont="1" applyFill="1" applyBorder="1" applyAlignment="1">
      <alignment horizontal="right"/>
    </xf>
    <xf numFmtId="0" fontId="64" fillId="6" borderId="3" xfId="0" applyFont="1" applyFill="1" applyBorder="1"/>
    <xf numFmtId="0" fontId="42" fillId="0" borderId="3" xfId="0" applyFont="1" applyBorder="1"/>
    <xf numFmtId="165" fontId="0" fillId="0" borderId="3" xfId="0" applyNumberFormat="1" applyBorder="1"/>
    <xf numFmtId="165" fontId="55" fillId="6" borderId="34" xfId="0" applyNumberFormat="1" applyFont="1" applyFill="1" applyBorder="1" applyAlignment="1">
      <alignment horizontal="center"/>
    </xf>
    <xf numFmtId="9" fontId="108" fillId="0" borderId="0" xfId="8" applyFont="1" applyAlignment="1">
      <alignment horizontal="left"/>
    </xf>
    <xf numFmtId="0" fontId="0" fillId="35" borderId="3" xfId="0" applyFill="1" applyBorder="1" applyAlignment="1">
      <alignment wrapText="1"/>
    </xf>
    <xf numFmtId="0" fontId="0" fillId="20" borderId="3" xfId="0" applyFill="1" applyBorder="1" applyAlignment="1">
      <alignment wrapText="1"/>
    </xf>
    <xf numFmtId="0" fontId="0" fillId="20" borderId="3" xfId="0" quotePrefix="1" applyFill="1" applyBorder="1" applyAlignment="1">
      <alignment horizontal="left" wrapText="1"/>
    </xf>
    <xf numFmtId="0" fontId="101" fillId="20" borderId="3" xfId="0" applyFont="1" applyFill="1" applyBorder="1" applyAlignment="1">
      <alignment wrapText="1"/>
    </xf>
    <xf numFmtId="0" fontId="0" fillId="20" borderId="3" xfId="0" applyFill="1" applyBorder="1"/>
    <xf numFmtId="0" fontId="71" fillId="20" borderId="3" xfId="0" applyFont="1" applyFill="1" applyBorder="1" applyAlignment="1">
      <alignment wrapText="1"/>
    </xf>
    <xf numFmtId="0" fontId="0" fillId="20" borderId="3" xfId="0" quotePrefix="1" applyFill="1" applyBorder="1" applyAlignment="1">
      <alignment wrapText="1"/>
    </xf>
    <xf numFmtId="0" fontId="36" fillId="5" borderId="3" xfId="0" applyFont="1" applyFill="1" applyBorder="1" applyAlignment="1">
      <alignment wrapText="1"/>
    </xf>
    <xf numFmtId="0" fontId="8" fillId="20" borderId="3" xfId="15" applyFont="1" applyFill="1" applyBorder="1" applyAlignment="1">
      <alignment wrapText="1"/>
    </xf>
    <xf numFmtId="0" fontId="8" fillId="24" borderId="3" xfId="15" applyFont="1" applyFill="1" applyBorder="1"/>
    <xf numFmtId="0" fontId="8" fillId="24" borderId="3" xfId="15" applyFont="1" applyFill="1" applyBorder="1" applyAlignment="1">
      <alignment wrapText="1"/>
    </xf>
    <xf numFmtId="0" fontId="55" fillId="0" borderId="0" xfId="0" applyFont="1" applyAlignment="1">
      <alignment horizontal="center" vertical="center"/>
    </xf>
    <xf numFmtId="0" fontId="55" fillId="0" borderId="0" xfId="0" applyFont="1" applyAlignment="1">
      <alignment horizontal="center"/>
    </xf>
    <xf numFmtId="0" fontId="7" fillId="20" borderId="3" xfId="15" applyFont="1" applyFill="1" applyBorder="1" applyAlignment="1">
      <alignment wrapText="1"/>
    </xf>
    <xf numFmtId="0" fontId="52" fillId="6" borderId="0" xfId="0" applyFont="1" applyFill="1" applyAlignment="1">
      <alignment vertical="top"/>
    </xf>
    <xf numFmtId="0" fontId="7" fillId="20" borderId="3" xfId="15" applyFont="1" applyFill="1" applyBorder="1" applyAlignment="1">
      <alignment horizontal="left" vertical="top" wrapText="1"/>
    </xf>
    <xf numFmtId="0" fontId="7" fillId="24" borderId="3" xfId="15" applyFont="1" applyFill="1" applyBorder="1" applyAlignment="1">
      <alignment wrapText="1"/>
    </xf>
    <xf numFmtId="0" fontId="7" fillId="24" borderId="3" xfId="15" applyFont="1" applyFill="1" applyBorder="1"/>
    <xf numFmtId="165" fontId="42" fillId="6" borderId="13" xfId="0" applyNumberFormat="1" applyFont="1" applyFill="1" applyBorder="1" applyAlignment="1">
      <alignment horizontal="left"/>
    </xf>
    <xf numFmtId="0" fontId="89" fillId="0" borderId="73" xfId="0" applyFont="1" applyBorder="1"/>
    <xf numFmtId="0" fontId="36" fillId="0" borderId="76" xfId="0" applyFont="1" applyBorder="1"/>
    <xf numFmtId="0" fontId="99" fillId="0" borderId="0" xfId="0" applyFont="1"/>
    <xf numFmtId="0" fontId="7" fillId="26" borderId="3" xfId="15" applyFont="1" applyFill="1" applyBorder="1"/>
    <xf numFmtId="0" fontId="7" fillId="6" borderId="3" xfId="15" applyFont="1" applyFill="1" applyBorder="1"/>
    <xf numFmtId="0" fontId="7" fillId="4" borderId="3" xfId="15" applyFont="1" applyFill="1" applyBorder="1"/>
    <xf numFmtId="0" fontId="7" fillId="30" borderId="3" xfId="15" applyFont="1" applyFill="1" applyBorder="1"/>
    <xf numFmtId="0" fontId="7" fillId="31" borderId="3" xfId="15" applyFont="1" applyFill="1" applyBorder="1"/>
    <xf numFmtId="0" fontId="44" fillId="6" borderId="0" xfId="0" applyFont="1" applyFill="1" applyAlignment="1">
      <alignment vertical="center"/>
    </xf>
    <xf numFmtId="1" fontId="0" fillId="6" borderId="0" xfId="0" applyNumberFormat="1" applyFill="1" applyAlignment="1">
      <alignment horizontal="center" vertical="center"/>
    </xf>
    <xf numFmtId="1" fontId="0" fillId="6" borderId="0" xfId="0" applyNumberFormat="1" applyFill="1" applyAlignment="1">
      <alignment horizontal="right" vertical="center"/>
    </xf>
    <xf numFmtId="0" fontId="107" fillId="0" borderId="0" xfId="0" applyFont="1" applyAlignment="1">
      <alignment horizontal="center"/>
    </xf>
    <xf numFmtId="0" fontId="6" fillId="20" borderId="3" xfId="15" applyFont="1" applyFill="1" applyBorder="1" applyAlignment="1">
      <alignment wrapText="1"/>
    </xf>
    <xf numFmtId="0" fontId="6" fillId="24" borderId="3" xfId="15" applyFont="1" applyFill="1" applyBorder="1" applyAlignment="1">
      <alignment wrapText="1"/>
    </xf>
    <xf numFmtId="0" fontId="74" fillId="35" borderId="3" xfId="0" applyFont="1" applyFill="1" applyBorder="1" applyAlignment="1">
      <alignment wrapText="1"/>
    </xf>
    <xf numFmtId="0" fontId="74" fillId="35" borderId="3" xfId="0" quotePrefix="1" applyFont="1" applyFill="1" applyBorder="1" applyAlignment="1">
      <alignment horizontal="left" wrapText="1"/>
    </xf>
    <xf numFmtId="0" fontId="71" fillId="35" borderId="3" xfId="0" applyFont="1" applyFill="1" applyBorder="1" applyAlignment="1">
      <alignment wrapText="1"/>
    </xf>
    <xf numFmtId="0" fontId="74" fillId="35" borderId="3" xfId="0" applyFont="1" applyFill="1" applyBorder="1"/>
    <xf numFmtId="0" fontId="74" fillId="35" borderId="3" xfId="0" quotePrefix="1" applyFont="1" applyFill="1" applyBorder="1" applyAlignment="1">
      <alignment wrapText="1"/>
    </xf>
    <xf numFmtId="9" fontId="0" fillId="0" borderId="12" xfId="8" applyFont="1" applyBorder="1" applyAlignment="1">
      <alignment horizontal="center"/>
    </xf>
    <xf numFmtId="0" fontId="0" fillId="0" borderId="15" xfId="0" applyBorder="1" applyAlignment="1">
      <alignment horizontal="left"/>
    </xf>
    <xf numFmtId="0" fontId="0" fillId="0" borderId="16" xfId="0" applyBorder="1" applyAlignment="1">
      <alignment horizontal="left"/>
    </xf>
    <xf numFmtId="165" fontId="0" fillId="0" borderId="16" xfId="0" applyNumberFormat="1" applyBorder="1" applyAlignment="1">
      <alignment horizontal="left"/>
    </xf>
    <xf numFmtId="170" fontId="0" fillId="0" borderId="16" xfId="0" applyNumberFormat="1" applyBorder="1" applyAlignment="1">
      <alignment horizontal="left"/>
    </xf>
    <xf numFmtId="9" fontId="0" fillId="0" borderId="3" xfId="8" applyFont="1" applyFill="1" applyBorder="1" applyAlignment="1">
      <alignment horizontal="center"/>
    </xf>
    <xf numFmtId="0" fontId="0" fillId="10" borderId="3" xfId="0" applyFill="1" applyBorder="1" applyAlignment="1">
      <alignment horizontal="center" wrapText="1"/>
    </xf>
    <xf numFmtId="0" fontId="78" fillId="10" borderId="3" xfId="0" applyFont="1" applyFill="1" applyBorder="1" applyAlignment="1">
      <alignment horizontal="center" wrapText="1"/>
    </xf>
    <xf numFmtId="2" fontId="0" fillId="10" borderId="3" xfId="0" applyNumberFormat="1" applyFill="1" applyBorder="1" applyAlignment="1">
      <alignment horizontal="center"/>
    </xf>
    <xf numFmtId="2" fontId="0" fillId="10" borderId="104" xfId="0" applyNumberFormat="1" applyFill="1" applyBorder="1" applyAlignment="1">
      <alignment horizontal="center"/>
    </xf>
    <xf numFmtId="2" fontId="0" fillId="10" borderId="79" xfId="0" applyNumberFormat="1" applyFill="1" applyBorder="1" applyAlignment="1">
      <alignment horizontal="center"/>
    </xf>
    <xf numFmtId="0" fontId="69" fillId="10" borderId="3" xfId="0" applyFont="1" applyFill="1" applyBorder="1" applyAlignment="1">
      <alignment horizontal="center" wrapText="1"/>
    </xf>
    <xf numFmtId="0" fontId="69" fillId="10" borderId="3" xfId="0" applyFont="1" applyFill="1" applyBorder="1" applyAlignment="1">
      <alignment horizontal="center"/>
    </xf>
    <xf numFmtId="165" fontId="74" fillId="10" borderId="3" xfId="0" applyNumberFormat="1" applyFont="1" applyFill="1" applyBorder="1" applyAlignment="1">
      <alignment horizontal="center"/>
    </xf>
    <xf numFmtId="0" fontId="69" fillId="10" borderId="104" xfId="0" applyFont="1" applyFill="1" applyBorder="1" applyAlignment="1">
      <alignment horizontal="center"/>
    </xf>
    <xf numFmtId="0" fontId="0" fillId="10" borderId="104" xfId="0" applyFill="1" applyBorder="1" applyAlignment="1">
      <alignment horizontal="center"/>
    </xf>
    <xf numFmtId="0" fontId="78" fillId="10" borderId="0" xfId="0" applyFont="1" applyFill="1" applyAlignment="1">
      <alignment horizontal="center"/>
    </xf>
    <xf numFmtId="0" fontId="0" fillId="10" borderId="77" xfId="0" applyFill="1" applyBorder="1"/>
    <xf numFmtId="0" fontId="0" fillId="10" borderId="98" xfId="0" applyFill="1" applyBorder="1" applyAlignment="1">
      <alignment horizontal="center" wrapText="1"/>
    </xf>
    <xf numFmtId="0" fontId="78" fillId="10" borderId="0" xfId="0" applyFont="1" applyFill="1" applyAlignment="1">
      <alignment horizontal="center" wrapText="1"/>
    </xf>
    <xf numFmtId="0" fontId="69" fillId="10" borderId="99" xfId="0" applyFont="1" applyFill="1" applyBorder="1" applyAlignment="1">
      <alignment horizontal="center" wrapText="1"/>
    </xf>
    <xf numFmtId="0" fontId="0" fillId="10" borderId="98" xfId="0" applyFill="1" applyBorder="1" applyAlignment="1">
      <alignment horizontal="center"/>
    </xf>
    <xf numFmtId="2" fontId="0" fillId="10" borderId="0" xfId="0" applyNumberFormat="1" applyFill="1" applyAlignment="1">
      <alignment horizontal="center"/>
    </xf>
    <xf numFmtId="0" fontId="0" fillId="10" borderId="98" xfId="0" quotePrefix="1" applyFill="1" applyBorder="1" applyAlignment="1">
      <alignment horizontal="center"/>
    </xf>
    <xf numFmtId="16" fontId="0" fillId="10" borderId="98" xfId="0" quotePrefix="1" applyNumberFormat="1" applyFill="1" applyBorder="1" applyAlignment="1">
      <alignment horizontal="center"/>
    </xf>
    <xf numFmtId="0" fontId="0" fillId="10" borderId="103" xfId="0" applyFill="1" applyBorder="1"/>
    <xf numFmtId="0" fontId="0" fillId="10" borderId="0" xfId="0" applyFill="1" applyAlignment="1">
      <alignment horizontal="center"/>
    </xf>
    <xf numFmtId="165" fontId="33" fillId="17" borderId="67" xfId="2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165" fontId="33" fillId="17" borderId="136" xfId="2" applyNumberFormat="1" applyBorder="1" applyAlignment="1">
      <alignment horizontal="center"/>
    </xf>
    <xf numFmtId="165" fontId="33" fillId="17" borderId="195" xfId="2" applyNumberFormat="1" applyBorder="1" applyAlignment="1">
      <alignment horizontal="center"/>
    </xf>
    <xf numFmtId="165" fontId="33" fillId="17" borderId="196" xfId="2" applyNumberFormat="1" applyBorder="1" applyAlignment="1">
      <alignment horizontal="center"/>
    </xf>
    <xf numFmtId="165" fontId="33" fillId="17" borderId="137" xfId="2" applyNumberFormat="1" applyBorder="1" applyAlignment="1">
      <alignment horizontal="center"/>
    </xf>
    <xf numFmtId="165" fontId="37" fillId="0" borderId="3" xfId="0" applyNumberFormat="1" applyFont="1" applyBorder="1" applyAlignment="1">
      <alignment horizontal="center" wrapText="1"/>
    </xf>
    <xf numFmtId="0" fontId="129" fillId="36" borderId="0" xfId="29"/>
    <xf numFmtId="1" fontId="0" fillId="0" borderId="73" xfId="0" quotePrefix="1" applyNumberFormat="1" applyBorder="1" applyAlignment="1">
      <alignment horizontal="center"/>
    </xf>
    <xf numFmtId="1" fontId="0" fillId="0" borderId="113" xfId="0" applyNumberFormat="1" applyBorder="1" applyAlignment="1">
      <alignment horizontal="center"/>
    </xf>
    <xf numFmtId="1" fontId="0" fillId="0" borderId="89" xfId="0" applyNumberFormat="1" applyBorder="1" applyAlignment="1">
      <alignment horizontal="center"/>
    </xf>
    <xf numFmtId="1" fontId="0" fillId="0" borderId="75" xfId="0" applyNumberFormat="1" applyBorder="1" applyAlignment="1">
      <alignment horizontal="center"/>
    </xf>
    <xf numFmtId="0" fontId="36" fillId="0" borderId="70" xfId="0" applyFont="1" applyBorder="1"/>
    <xf numFmtId="0" fontId="0" fillId="0" borderId="71" xfId="0" applyBorder="1"/>
    <xf numFmtId="0" fontId="0" fillId="0" borderId="197" xfId="0" applyBorder="1"/>
    <xf numFmtId="0" fontId="0" fillId="0" borderId="113" xfId="0" applyBorder="1"/>
    <xf numFmtId="1" fontId="0" fillId="0" borderId="73" xfId="0" applyNumberFormat="1" applyBorder="1" applyAlignment="1">
      <alignment horizontal="center"/>
    </xf>
    <xf numFmtId="165" fontId="35" fillId="0" borderId="0" xfId="4" applyNumberFormat="1" applyFill="1" applyBorder="1" applyAlignment="1">
      <alignment horizontal="center"/>
    </xf>
    <xf numFmtId="165" fontId="35" fillId="0" borderId="8" xfId="4" applyNumberFormat="1" applyFill="1" applyBorder="1" applyAlignment="1">
      <alignment horizontal="center"/>
    </xf>
    <xf numFmtId="1" fontId="37" fillId="37" borderId="98" xfId="30" applyNumberFormat="1" applyFont="1" applyBorder="1" applyAlignment="1">
      <alignment horizontal="center"/>
    </xf>
    <xf numFmtId="1" fontId="37" fillId="37" borderId="99" xfId="30" applyNumberFormat="1" applyFont="1" applyBorder="1" applyAlignment="1">
      <alignment horizontal="center"/>
    </xf>
    <xf numFmtId="1" fontId="37" fillId="37" borderId="103" xfId="30" applyNumberFormat="1" applyFont="1" applyBorder="1" applyAlignment="1">
      <alignment horizontal="center"/>
    </xf>
    <xf numFmtId="1" fontId="37" fillId="37" borderId="141" xfId="30" applyNumberFormat="1" applyFont="1" applyBorder="1" applyAlignment="1">
      <alignment horizontal="center"/>
    </xf>
    <xf numFmtId="0" fontId="36" fillId="37" borderId="70" xfId="30" applyFont="1" applyBorder="1" applyAlignment="1">
      <alignment horizontal="center"/>
    </xf>
    <xf numFmtId="0" fontId="36" fillId="37" borderId="70" xfId="30" applyFont="1" applyBorder="1" applyAlignment="1">
      <alignment horizontal="left"/>
    </xf>
    <xf numFmtId="0" fontId="36" fillId="37" borderId="71" xfId="30" applyFont="1" applyBorder="1" applyAlignment="1">
      <alignment horizontal="center"/>
    </xf>
    <xf numFmtId="0" fontId="36" fillId="37" borderId="197" xfId="30" applyFont="1" applyBorder="1" applyAlignment="1">
      <alignment horizontal="center"/>
    </xf>
    <xf numFmtId="1" fontId="37" fillId="37" borderId="198" xfId="30" applyNumberFormat="1" applyFont="1" applyBorder="1" applyAlignment="1">
      <alignment horizontal="center"/>
    </xf>
    <xf numFmtId="1" fontId="37" fillId="37" borderId="184" xfId="30" applyNumberFormat="1" applyFont="1" applyBorder="1" applyAlignment="1">
      <alignment horizontal="center"/>
    </xf>
    <xf numFmtId="1" fontId="37" fillId="37" borderId="199" xfId="30" applyNumberFormat="1" applyFont="1" applyBorder="1" applyAlignment="1">
      <alignment horizontal="center"/>
    </xf>
    <xf numFmtId="0" fontId="37" fillId="37" borderId="168" xfId="30" applyFont="1" applyBorder="1" applyAlignment="1">
      <alignment horizontal="center"/>
    </xf>
    <xf numFmtId="1" fontId="36" fillId="37" borderId="73" xfId="30" quotePrefix="1" applyNumberFormat="1" applyFont="1" applyBorder="1" applyAlignment="1">
      <alignment horizontal="center"/>
    </xf>
    <xf numFmtId="0" fontId="36" fillId="37" borderId="75" xfId="30" applyFont="1" applyBorder="1" applyAlignment="1">
      <alignment horizontal="center"/>
    </xf>
    <xf numFmtId="1" fontId="36" fillId="37" borderId="74" xfId="30" quotePrefix="1" applyNumberFormat="1" applyFont="1" applyBorder="1" applyAlignment="1">
      <alignment horizontal="center"/>
    </xf>
    <xf numFmtId="0" fontId="129" fillId="36" borderId="0" xfId="29" applyAlignment="1">
      <alignment horizontal="center"/>
    </xf>
    <xf numFmtId="164" fontId="129" fillId="36" borderId="0" xfId="29" applyNumberFormat="1" applyAlignment="1">
      <alignment horizontal="center"/>
    </xf>
    <xf numFmtId="0" fontId="129" fillId="36" borderId="1" xfId="29" applyBorder="1" applyAlignment="1">
      <alignment horizontal="center"/>
    </xf>
    <xf numFmtId="0" fontId="0" fillId="0" borderId="3" xfId="0" applyBorder="1" applyAlignment="1">
      <alignment horizontal="center" vertical="center"/>
    </xf>
    <xf numFmtId="165" fontId="32" fillId="0" borderId="0" xfId="1" applyNumberFormat="1" applyFill="1" applyBorder="1" applyAlignment="1">
      <alignment horizontal="center"/>
    </xf>
    <xf numFmtId="165" fontId="32" fillId="4" borderId="3" xfId="1" applyNumberFormat="1" applyBorder="1" applyAlignment="1">
      <alignment horizontal="center"/>
    </xf>
    <xf numFmtId="0" fontId="32" fillId="4" borderId="120" xfId="1" applyBorder="1" applyAlignment="1">
      <alignment horizontal="center"/>
    </xf>
    <xf numFmtId="0" fontId="32" fillId="4" borderId="200" xfId="1" applyBorder="1" applyAlignment="1">
      <alignment horizontal="center"/>
    </xf>
    <xf numFmtId="0" fontId="32" fillId="4" borderId="203" xfId="1" applyBorder="1" applyAlignment="1">
      <alignment horizontal="center"/>
    </xf>
    <xf numFmtId="0" fontId="32" fillId="4" borderId="202" xfId="1" applyBorder="1" applyAlignment="1">
      <alignment horizontal="center"/>
    </xf>
    <xf numFmtId="0" fontId="32" fillId="4" borderId="204" xfId="1" applyBorder="1" applyAlignment="1">
      <alignment horizontal="center"/>
    </xf>
    <xf numFmtId="0" fontId="32" fillId="4" borderId="19" xfId="1" applyBorder="1" applyAlignment="1">
      <alignment horizontal="center"/>
    </xf>
    <xf numFmtId="0" fontId="32" fillId="4" borderId="201" xfId="1" applyBorder="1" applyAlignment="1">
      <alignment horizontal="center"/>
    </xf>
    <xf numFmtId="2" fontId="74" fillId="0" borderId="0" xfId="0" applyNumberFormat="1" applyFont="1" applyAlignment="1">
      <alignment horizontal="center" vertical="center"/>
    </xf>
    <xf numFmtId="165" fontId="74" fillId="0" borderId="0" xfId="0" applyNumberFormat="1" applyFont="1" applyAlignment="1">
      <alignment horizontal="center" vertical="center"/>
    </xf>
    <xf numFmtId="2" fontId="36" fillId="0" borderId="0" xfId="0" applyNumberFormat="1" applyFont="1"/>
    <xf numFmtId="2" fontId="74" fillId="4" borderId="198" xfId="0" applyNumberFormat="1" applyFont="1" applyFill="1" applyBorder="1" applyAlignment="1">
      <alignment horizontal="center" vertical="center"/>
    </xf>
    <xf numFmtId="165" fontId="74" fillId="4" borderId="14" xfId="0" applyNumberFormat="1" applyFont="1" applyFill="1" applyBorder="1" applyAlignment="1">
      <alignment horizontal="center" vertical="center"/>
    </xf>
    <xf numFmtId="165" fontId="74" fillId="4" borderId="184" xfId="0" applyNumberFormat="1" applyFont="1" applyFill="1" applyBorder="1" applyAlignment="1">
      <alignment horizontal="center" vertical="center"/>
    </xf>
    <xf numFmtId="2" fontId="0" fillId="4" borderId="198" xfId="0" applyNumberFormat="1" applyFill="1" applyBorder="1" applyAlignment="1">
      <alignment horizontal="center" vertical="center"/>
    </xf>
    <xf numFmtId="165" fontId="0" fillId="4" borderId="14" xfId="0" applyNumberFormat="1" applyFill="1" applyBorder="1" applyAlignment="1">
      <alignment horizontal="center" vertical="center"/>
    </xf>
    <xf numFmtId="165" fontId="0" fillId="4" borderId="184" xfId="0" applyNumberFormat="1" applyFill="1" applyBorder="1" applyAlignment="1">
      <alignment horizontal="center" vertical="center"/>
    </xf>
    <xf numFmtId="165" fontId="74" fillId="4" borderId="205" xfId="0" applyNumberFormat="1" applyFont="1" applyFill="1" applyBorder="1" applyAlignment="1">
      <alignment horizontal="center" vertical="center"/>
    </xf>
    <xf numFmtId="165" fontId="74" fillId="4" borderId="198" xfId="0" applyNumberFormat="1" applyFont="1" applyFill="1" applyBorder="1" applyAlignment="1">
      <alignment horizontal="center" vertical="center"/>
    </xf>
    <xf numFmtId="2" fontId="74" fillId="4" borderId="98" xfId="0" applyNumberFormat="1" applyFont="1" applyFill="1" applyBorder="1" applyAlignment="1">
      <alignment horizontal="center" vertical="center"/>
    </xf>
    <xf numFmtId="165" fontId="74" fillId="4" borderId="3" xfId="0" applyNumberFormat="1" applyFont="1" applyFill="1" applyBorder="1" applyAlignment="1">
      <alignment horizontal="center" vertical="center"/>
    </xf>
    <xf numFmtId="165" fontId="74" fillId="4" borderId="99" xfId="0" applyNumberFormat="1" applyFont="1" applyFill="1" applyBorder="1" applyAlignment="1">
      <alignment horizontal="center" vertical="center"/>
    </xf>
    <xf numFmtId="2" fontId="0" fillId="4" borderId="98" xfId="0" applyNumberFormat="1" applyFill="1" applyBorder="1" applyAlignment="1">
      <alignment horizontal="center" vertical="center"/>
    </xf>
    <xf numFmtId="165" fontId="0" fillId="4" borderId="3" xfId="0" applyNumberFormat="1" applyFill="1" applyBorder="1" applyAlignment="1">
      <alignment horizontal="center" vertical="center"/>
    </xf>
    <xf numFmtId="165" fontId="0" fillId="4" borderId="99" xfId="0" applyNumberFormat="1" applyFill="1" applyBorder="1" applyAlignment="1">
      <alignment horizontal="center" vertical="center"/>
    </xf>
    <xf numFmtId="165" fontId="74" fillId="4" borderId="139" xfId="0" applyNumberFormat="1" applyFont="1" applyFill="1" applyBorder="1" applyAlignment="1">
      <alignment horizontal="center" vertical="center"/>
    </xf>
    <xf numFmtId="165" fontId="74" fillId="4" borderId="98" xfId="0" applyNumberFormat="1" applyFont="1" applyFill="1" applyBorder="1" applyAlignment="1">
      <alignment horizontal="center" vertical="center"/>
    </xf>
    <xf numFmtId="2" fontId="74" fillId="4" borderId="103" xfId="0" applyNumberFormat="1" applyFont="1" applyFill="1" applyBorder="1" applyAlignment="1">
      <alignment horizontal="center" vertical="center"/>
    </xf>
    <xf numFmtId="165" fontId="74" fillId="4" borderId="104" xfId="0" applyNumberFormat="1" applyFont="1" applyFill="1" applyBorder="1" applyAlignment="1">
      <alignment horizontal="center" vertical="center"/>
    </xf>
    <xf numFmtId="165" fontId="74" fillId="4" borderId="141" xfId="0" applyNumberFormat="1" applyFont="1" applyFill="1" applyBorder="1" applyAlignment="1">
      <alignment horizontal="center" vertical="center"/>
    </xf>
    <xf numFmtId="2" fontId="0" fillId="4" borderId="103" xfId="0" applyNumberFormat="1" applyFill="1" applyBorder="1" applyAlignment="1">
      <alignment horizontal="center" vertical="center"/>
    </xf>
    <xf numFmtId="165" fontId="0" fillId="4" borderId="104" xfId="0" applyNumberFormat="1" applyFill="1" applyBorder="1" applyAlignment="1">
      <alignment horizontal="center" vertical="center"/>
    </xf>
    <xf numFmtId="165" fontId="0" fillId="4" borderId="141" xfId="0" applyNumberFormat="1" applyFill="1" applyBorder="1" applyAlignment="1">
      <alignment horizontal="center" vertical="center"/>
    </xf>
    <xf numFmtId="165" fontId="74" fillId="4" borderId="140" xfId="0" applyNumberFormat="1" applyFont="1" applyFill="1" applyBorder="1" applyAlignment="1">
      <alignment horizontal="center" vertical="center"/>
    </xf>
    <xf numFmtId="165" fontId="74" fillId="4" borderId="103" xfId="0" applyNumberFormat="1" applyFont="1" applyFill="1" applyBorder="1" applyAlignment="1">
      <alignment horizontal="center" vertical="center"/>
    </xf>
    <xf numFmtId="165" fontId="69" fillId="10" borderId="3" xfId="0" applyNumberFormat="1" applyFont="1" applyFill="1" applyBorder="1" applyAlignment="1">
      <alignment horizontal="center"/>
    </xf>
    <xf numFmtId="165" fontId="69" fillId="10" borderId="99" xfId="0" applyNumberFormat="1" applyFont="1" applyFill="1" applyBorder="1" applyAlignment="1">
      <alignment horizontal="center"/>
    </xf>
    <xf numFmtId="165" fontId="69" fillId="10" borderId="104" xfId="0" applyNumberFormat="1" applyFont="1" applyFill="1" applyBorder="1" applyAlignment="1">
      <alignment horizontal="center"/>
    </xf>
    <xf numFmtId="0" fontId="0" fillId="10" borderId="74" xfId="0" applyFill="1" applyBorder="1"/>
    <xf numFmtId="170" fontId="0" fillId="10" borderId="79" xfId="8" applyNumberFormat="1" applyFont="1" applyFill="1" applyBorder="1" applyAlignment="1">
      <alignment horizontal="left"/>
    </xf>
    <xf numFmtId="170" fontId="0" fillId="10" borderId="79" xfId="0" applyNumberFormat="1" applyFill="1" applyBorder="1" applyAlignment="1">
      <alignment horizontal="left"/>
    </xf>
    <xf numFmtId="0" fontId="0" fillId="0" borderId="5" xfId="0" applyBorder="1" applyAlignment="1">
      <alignment horizontal="left"/>
    </xf>
    <xf numFmtId="165" fontId="0" fillId="0" borderId="5" xfId="0" applyNumberFormat="1" applyBorder="1" applyAlignment="1">
      <alignment horizontal="left"/>
    </xf>
    <xf numFmtId="170" fontId="0" fillId="0" borderId="5" xfId="0" applyNumberFormat="1" applyBorder="1" applyAlignment="1">
      <alignment horizontal="left"/>
    </xf>
    <xf numFmtId="165" fontId="0" fillId="0" borderId="10" xfId="0" applyNumberFormat="1" applyBorder="1" applyAlignment="1">
      <alignment horizontal="left"/>
    </xf>
    <xf numFmtId="170" fontId="0" fillId="0" borderId="10" xfId="0" applyNumberFormat="1" applyBorder="1" applyAlignment="1">
      <alignment horizontal="left"/>
    </xf>
    <xf numFmtId="0" fontId="36" fillId="0" borderId="9" xfId="0" applyFont="1" applyBorder="1"/>
    <xf numFmtId="0" fontId="0" fillId="0" borderId="12" xfId="0" quotePrefix="1" applyBorder="1"/>
    <xf numFmtId="0" fontId="0" fillId="0" borderId="13" xfId="0" quotePrefix="1" applyBorder="1"/>
    <xf numFmtId="0" fontId="0" fillId="0" borderId="14" xfId="0" quotePrefix="1" applyBorder="1"/>
    <xf numFmtId="1" fontId="34" fillId="2" borderId="1" xfId="44" applyNumberFormat="1" applyAlignment="1">
      <alignment horizontal="center"/>
    </xf>
    <xf numFmtId="9" fontId="0" fillId="0" borderId="0" xfId="8" quotePrefix="1" applyFont="1" applyAlignment="1">
      <alignment horizontal="center"/>
    </xf>
    <xf numFmtId="0" fontId="2" fillId="0" borderId="0" xfId="15" quotePrefix="1" applyFont="1"/>
    <xf numFmtId="0" fontId="55" fillId="0" borderId="81" xfId="0" applyFont="1" applyBorder="1" applyAlignment="1">
      <alignment horizontal="left" vertical="center"/>
    </xf>
    <xf numFmtId="9" fontId="36" fillId="0" borderId="34" xfId="8" applyFont="1" applyBorder="1" applyAlignment="1">
      <alignment horizontal="center"/>
    </xf>
    <xf numFmtId="0" fontId="0" fillId="0" borderId="85" xfId="0" applyBorder="1" applyAlignment="1">
      <alignment horizontal="center" vertical="center"/>
    </xf>
    <xf numFmtId="0" fontId="36" fillId="6" borderId="4" xfId="0" applyFont="1" applyFill="1" applyBorder="1"/>
    <xf numFmtId="1" fontId="54" fillId="6" borderId="35" xfId="5" applyNumberFormat="1" applyFont="1" applyFill="1" applyAlignment="1" applyProtection="1">
      <alignment horizontal="center" vertical="center"/>
    </xf>
    <xf numFmtId="0" fontId="131" fillId="0" borderId="7" xfId="0" applyFont="1" applyBorder="1"/>
    <xf numFmtId="2" fontId="0" fillId="0" borderId="34" xfId="0" applyNumberFormat="1" applyBorder="1" applyAlignment="1">
      <alignment vertical="center"/>
    </xf>
    <xf numFmtId="2" fontId="0" fillId="6" borderId="0" xfId="0" applyNumberFormat="1" applyFill="1"/>
    <xf numFmtId="2" fontId="0" fillId="0" borderId="34" xfId="0" applyNumberFormat="1" applyBorder="1"/>
    <xf numFmtId="1" fontId="54" fillId="3" borderId="35" xfId="5" applyNumberFormat="1" applyFont="1" applyAlignment="1" applyProtection="1">
      <alignment horizontal="center"/>
      <protection locked="0"/>
    </xf>
    <xf numFmtId="0" fontId="0" fillId="0" borderId="9" xfId="0" applyBorder="1" applyAlignment="1">
      <alignment vertical="center"/>
    </xf>
    <xf numFmtId="0" fontId="0" fillId="6" borderId="0" xfId="0" applyFill="1" applyAlignment="1">
      <alignment vertical="center"/>
    </xf>
    <xf numFmtId="0" fontId="43" fillId="38" borderId="3" xfId="0" applyFont="1" applyFill="1" applyBorder="1"/>
    <xf numFmtId="0" fontId="0" fillId="28" borderId="72" xfId="0" applyFill="1" applyBorder="1"/>
    <xf numFmtId="0" fontId="43" fillId="38" borderId="3" xfId="0" applyFont="1" applyFill="1" applyBorder="1" applyAlignment="1">
      <alignment horizontal="center"/>
    </xf>
    <xf numFmtId="0" fontId="0" fillId="38" borderId="0" xfId="0" applyFill="1"/>
    <xf numFmtId="9" fontId="0" fillId="0" borderId="0" xfId="8" applyFont="1"/>
    <xf numFmtId="0" fontId="36" fillId="38" borderId="3" xfId="0" applyFont="1" applyFill="1" applyBorder="1"/>
    <xf numFmtId="0" fontId="36" fillId="37" borderId="70" xfId="191" applyFont="1" applyBorder="1" applyAlignment="1">
      <alignment horizontal="center"/>
    </xf>
    <xf numFmtId="0" fontId="36" fillId="37" borderId="70" xfId="191" applyFont="1" applyBorder="1" applyAlignment="1">
      <alignment horizontal="left"/>
    </xf>
    <xf numFmtId="0" fontId="36" fillId="37" borderId="71" xfId="191" applyFont="1" applyBorder="1" applyAlignment="1">
      <alignment horizontal="center"/>
    </xf>
    <xf numFmtId="0" fontId="36" fillId="37" borderId="197" xfId="191" applyFont="1" applyBorder="1" applyAlignment="1">
      <alignment horizontal="center"/>
    </xf>
    <xf numFmtId="1" fontId="36" fillId="37" borderId="73" xfId="191" quotePrefix="1" applyNumberFormat="1" applyFont="1" applyBorder="1" applyAlignment="1">
      <alignment horizontal="center"/>
    </xf>
    <xf numFmtId="0" fontId="36" fillId="37" borderId="75" xfId="191" applyFont="1" applyBorder="1" applyAlignment="1">
      <alignment horizontal="center"/>
    </xf>
    <xf numFmtId="1" fontId="36" fillId="37" borderId="74" xfId="191" quotePrefix="1" applyNumberFormat="1" applyFont="1" applyBorder="1" applyAlignment="1">
      <alignment horizontal="center"/>
    </xf>
    <xf numFmtId="1" fontId="37" fillId="37" borderId="199" xfId="191" applyNumberFormat="1" applyFont="1" applyBorder="1" applyAlignment="1">
      <alignment horizontal="center"/>
    </xf>
    <xf numFmtId="0" fontId="37" fillId="37" borderId="168" xfId="191" applyFont="1" applyBorder="1" applyAlignment="1">
      <alignment horizontal="center"/>
    </xf>
    <xf numFmtId="1" fontId="37" fillId="37" borderId="198" xfId="191" applyNumberFormat="1" applyFont="1" applyBorder="1" applyAlignment="1">
      <alignment horizontal="center"/>
    </xf>
    <xf numFmtId="1" fontId="37" fillId="37" borderId="184" xfId="191" applyNumberFormat="1" applyFont="1" applyBorder="1" applyAlignment="1">
      <alignment horizontal="center"/>
    </xf>
    <xf numFmtId="1" fontId="37" fillId="37" borderId="98" xfId="191" applyNumberFormat="1" applyFont="1" applyBorder="1" applyAlignment="1">
      <alignment horizontal="center"/>
    </xf>
    <xf numFmtId="1" fontId="37" fillId="37" borderId="99" xfId="191" applyNumberFormat="1" applyFont="1" applyBorder="1" applyAlignment="1">
      <alignment horizontal="center"/>
    </xf>
    <xf numFmtId="1" fontId="37" fillId="37" borderId="103" xfId="191" applyNumberFormat="1" applyFont="1" applyBorder="1" applyAlignment="1">
      <alignment horizontal="center"/>
    </xf>
    <xf numFmtId="1" fontId="37" fillId="37" borderId="141" xfId="191" applyNumberFormat="1" applyFont="1" applyBorder="1" applyAlignment="1">
      <alignment horizontal="center"/>
    </xf>
    <xf numFmtId="0" fontId="78" fillId="0" borderId="0" xfId="192" applyFont="1"/>
    <xf numFmtId="0" fontId="2" fillId="0" borderId="0" xfId="192"/>
    <xf numFmtId="0" fontId="2" fillId="0" borderId="0" xfId="192" applyAlignment="1">
      <alignment wrapText="1"/>
    </xf>
    <xf numFmtId="0" fontId="102" fillId="32" borderId="0" xfId="192" applyFont="1" applyFill="1"/>
    <xf numFmtId="0" fontId="79" fillId="20" borderId="104" xfId="192" applyFont="1" applyFill="1" applyBorder="1" applyAlignment="1">
      <alignment wrapText="1"/>
    </xf>
    <xf numFmtId="0" fontId="79" fillId="24" borderId="104" xfId="192" applyFont="1" applyFill="1" applyBorder="1"/>
    <xf numFmtId="0" fontId="79" fillId="25" borderId="104" xfId="192" applyFont="1" applyFill="1" applyBorder="1"/>
    <xf numFmtId="0" fontId="79" fillId="26" borderId="104" xfId="192" applyFont="1" applyFill="1" applyBorder="1"/>
    <xf numFmtId="0" fontId="79" fillId="6" borderId="104" xfId="192" applyFont="1" applyFill="1" applyBorder="1"/>
    <xf numFmtId="0" fontId="79" fillId="4" borderId="104" xfId="192" applyFont="1" applyFill="1" applyBorder="1"/>
    <xf numFmtId="0" fontId="79" fillId="30" borderId="104" xfId="192" applyFont="1" applyFill="1" applyBorder="1"/>
    <xf numFmtId="0" fontId="79" fillId="31" borderId="104" xfId="192" applyFont="1" applyFill="1" applyBorder="1"/>
    <xf numFmtId="0" fontId="2" fillId="20" borderId="14" xfId="192" applyFill="1" applyBorder="1" applyAlignment="1">
      <alignment wrapText="1"/>
    </xf>
    <xf numFmtId="0" fontId="2" fillId="24" borderId="14" xfId="192" applyFill="1" applyBorder="1"/>
    <xf numFmtId="0" fontId="2" fillId="26" borderId="14" xfId="192" applyFill="1" applyBorder="1"/>
    <xf numFmtId="0" fontId="2" fillId="0" borderId="14" xfId="193" applyBorder="1" applyAlignment="1">
      <alignment wrapText="1"/>
    </xf>
    <xf numFmtId="0" fontId="2" fillId="4" borderId="14" xfId="193" applyFill="1" applyBorder="1" applyAlignment="1">
      <alignment wrapText="1"/>
    </xf>
    <xf numFmtId="0" fontId="2" fillId="30" borderId="14" xfId="193" applyFill="1" applyBorder="1" applyAlignment="1">
      <alignment wrapText="1"/>
    </xf>
    <xf numFmtId="0" fontId="2" fillId="31" borderId="14" xfId="193" applyFill="1" applyBorder="1" applyAlignment="1">
      <alignment wrapText="1"/>
    </xf>
    <xf numFmtId="0" fontId="2" fillId="20" borderId="3" xfId="192" applyFill="1" applyBorder="1" applyAlignment="1">
      <alignment wrapText="1"/>
    </xf>
    <xf numFmtId="0" fontId="2" fillId="24" borderId="3" xfId="192" applyFill="1" applyBorder="1"/>
    <xf numFmtId="0" fontId="2" fillId="26" borderId="3" xfId="192" applyFill="1" applyBorder="1"/>
    <xf numFmtId="0" fontId="2" fillId="32" borderId="3" xfId="193" applyFill="1" applyBorder="1" applyAlignment="1">
      <alignment wrapText="1"/>
    </xf>
    <xf numFmtId="0" fontId="2" fillId="4" borderId="3" xfId="193" applyFill="1" applyBorder="1" applyAlignment="1">
      <alignment wrapText="1"/>
    </xf>
    <xf numFmtId="0" fontId="2" fillId="30" borderId="3" xfId="193" applyFill="1" applyBorder="1" applyAlignment="1">
      <alignment wrapText="1"/>
    </xf>
    <xf numFmtId="0" fontId="2" fillId="31" borderId="3" xfId="193" applyFill="1" applyBorder="1" applyAlignment="1">
      <alignment wrapText="1"/>
    </xf>
    <xf numFmtId="0" fontId="2" fillId="0" borderId="3" xfId="193" applyBorder="1" applyAlignment="1">
      <alignment wrapText="1"/>
    </xf>
    <xf numFmtId="0" fontId="71" fillId="24" borderId="3" xfId="192" applyFont="1" applyFill="1" applyBorder="1"/>
    <xf numFmtId="0" fontId="2" fillId="26" borderId="3" xfId="192" applyFill="1" applyBorder="1" applyAlignment="1">
      <alignment wrapText="1"/>
    </xf>
    <xf numFmtId="0" fontId="2" fillId="24" borderId="3" xfId="192" applyFill="1" applyBorder="1" applyAlignment="1">
      <alignment wrapText="1"/>
    </xf>
    <xf numFmtId="0" fontId="71" fillId="26" borderId="3" xfId="192" applyFont="1" applyFill="1" applyBorder="1" applyAlignment="1">
      <alignment wrapText="1"/>
    </xf>
    <xf numFmtId="0" fontId="2" fillId="20" borderId="3" xfId="192" applyFill="1" applyBorder="1"/>
    <xf numFmtId="0" fontId="2" fillId="0" borderId="3" xfId="193" applyBorder="1"/>
    <xf numFmtId="0" fontId="2" fillId="4" borderId="3" xfId="193" applyFill="1" applyBorder="1"/>
    <xf numFmtId="0" fontId="2" fillId="30" borderId="3" xfId="193" applyFill="1" applyBorder="1"/>
    <xf numFmtId="0" fontId="2" fillId="31" borderId="3" xfId="193" applyFill="1" applyBorder="1"/>
    <xf numFmtId="0" fontId="2" fillId="20" borderId="3" xfId="192" quotePrefix="1" applyFill="1" applyBorder="1"/>
    <xf numFmtId="0" fontId="2" fillId="0" borderId="3" xfId="193" quotePrefix="1" applyBorder="1"/>
    <xf numFmtId="0" fontId="2" fillId="4" borderId="3" xfId="193" quotePrefix="1" applyFill="1" applyBorder="1"/>
    <xf numFmtId="0" fontId="2" fillId="30" borderId="3" xfId="193" quotePrefix="1" applyFill="1" applyBorder="1"/>
    <xf numFmtId="0" fontId="2" fillId="31" borderId="3" xfId="193" quotePrefix="1" applyFill="1" applyBorder="1"/>
    <xf numFmtId="0" fontId="2" fillId="32" borderId="3" xfId="193" applyFill="1" applyBorder="1"/>
    <xf numFmtId="0" fontId="71" fillId="24" borderId="3" xfId="192" applyFont="1" applyFill="1" applyBorder="1" applyAlignment="1">
      <alignment wrapText="1"/>
    </xf>
    <xf numFmtId="0" fontId="71" fillId="26" borderId="3" xfId="192" applyFont="1" applyFill="1" applyBorder="1"/>
    <xf numFmtId="0" fontId="2" fillId="20" borderId="3" xfId="192" quotePrefix="1" applyFill="1" applyBorder="1" applyAlignment="1">
      <alignment wrapText="1"/>
    </xf>
    <xf numFmtId="0" fontId="2" fillId="24" borderId="3" xfId="192" quotePrefix="1" applyFill="1" applyBorder="1"/>
    <xf numFmtId="0" fontId="2" fillId="26" borderId="3" xfId="192" quotePrefix="1" applyFill="1" applyBorder="1"/>
    <xf numFmtId="0" fontId="2" fillId="0" borderId="3" xfId="193" quotePrefix="1" applyBorder="1" applyAlignment="1">
      <alignment wrapText="1"/>
    </xf>
    <xf numFmtId="0" fontId="2" fillId="4" borderId="3" xfId="193" quotePrefix="1" applyFill="1" applyBorder="1" applyAlignment="1">
      <alignment wrapText="1"/>
    </xf>
    <xf numFmtId="0" fontId="2" fillId="30" borderId="3" xfId="193" quotePrefix="1" applyFill="1" applyBorder="1" applyAlignment="1">
      <alignment wrapText="1"/>
    </xf>
    <xf numFmtId="0" fontId="2" fillId="31" borderId="3" xfId="193" quotePrefix="1" applyFill="1" applyBorder="1" applyAlignment="1">
      <alignment wrapText="1"/>
    </xf>
    <xf numFmtId="0" fontId="77" fillId="26" borderId="3" xfId="192" applyFont="1" applyFill="1" applyBorder="1"/>
    <xf numFmtId="0" fontId="37" fillId="25" borderId="3" xfId="192" applyFont="1" applyFill="1" applyBorder="1"/>
    <xf numFmtId="0" fontId="81" fillId="25" borderId="3" xfId="192" applyFont="1" applyFill="1" applyBorder="1" applyAlignment="1">
      <alignment wrapText="1"/>
    </xf>
    <xf numFmtId="0" fontId="2" fillId="24" borderId="3" xfId="192" quotePrefix="1" applyFill="1" applyBorder="1" applyAlignment="1">
      <alignment wrapText="1"/>
    </xf>
    <xf numFmtId="0" fontId="2" fillId="6" borderId="3" xfId="192" applyFill="1" applyBorder="1"/>
    <xf numFmtId="0" fontId="2" fillId="4" borderId="3" xfId="192" applyFill="1" applyBorder="1"/>
    <xf numFmtId="0" fontId="2" fillId="30" borderId="3" xfId="192" applyFill="1" applyBorder="1"/>
    <xf numFmtId="0" fontId="2" fillId="31" borderId="3" xfId="192" applyFill="1" applyBorder="1"/>
    <xf numFmtId="166" fontId="34" fillId="2" borderId="1" xfId="3" applyNumberFormat="1"/>
    <xf numFmtId="1" fontId="0" fillId="0" borderId="14" xfId="0" applyNumberFormat="1" applyBorder="1" applyAlignment="1">
      <alignment horizontal="center"/>
    </xf>
    <xf numFmtId="170" fontId="0" fillId="0" borderId="14" xfId="8" applyNumberFormat="1" applyFont="1" applyBorder="1" applyAlignment="1">
      <alignment horizontal="center"/>
    </xf>
    <xf numFmtId="170" fontId="36" fillId="0" borderId="3" xfId="0" applyNumberFormat="1" applyFont="1" applyBorder="1" applyAlignment="1">
      <alignment horizontal="center"/>
    </xf>
    <xf numFmtId="0" fontId="0" fillId="39" borderId="3" xfId="0" applyFill="1" applyBorder="1" applyAlignment="1">
      <alignment horizontal="center"/>
    </xf>
    <xf numFmtId="170" fontId="0" fillId="39" borderId="3" xfId="8" applyNumberFormat="1" applyFont="1" applyFill="1" applyBorder="1" applyAlignment="1">
      <alignment horizontal="center"/>
    </xf>
    <xf numFmtId="9" fontId="36" fillId="0" borderId="0" xfId="0" applyNumberFormat="1" applyFont="1"/>
    <xf numFmtId="0" fontId="36" fillId="26" borderId="3" xfId="0" applyFont="1" applyFill="1" applyBorder="1" applyAlignment="1">
      <alignment horizontal="center"/>
    </xf>
    <xf numFmtId="1" fontId="32" fillId="22" borderId="1" xfId="45" applyNumberFormat="1" applyAlignment="1">
      <alignment horizontal="center"/>
    </xf>
    <xf numFmtId="0" fontId="0" fillId="40" borderId="3" xfId="0" applyFill="1" applyBorder="1" applyAlignment="1">
      <alignment horizontal="center"/>
    </xf>
    <xf numFmtId="0" fontId="0" fillId="0" borderId="48" xfId="0" applyBorder="1"/>
    <xf numFmtId="0" fontId="0" fillId="0" borderId="206" xfId="0" applyBorder="1"/>
    <xf numFmtId="0" fontId="0" fillId="40" borderId="48" xfId="0" applyFill="1" applyBorder="1" applyAlignment="1">
      <alignment horizontal="center"/>
    </xf>
    <xf numFmtId="2" fontId="36" fillId="0" borderId="48" xfId="0" applyNumberFormat="1" applyFont="1" applyBorder="1" applyAlignment="1">
      <alignment horizontal="center"/>
    </xf>
    <xf numFmtId="0" fontId="36" fillId="0" borderId="14" xfId="0" applyFont="1" applyBorder="1" applyAlignment="1">
      <alignment horizontal="center"/>
    </xf>
    <xf numFmtId="2" fontId="36" fillId="26" borderId="14" xfId="0" applyNumberFormat="1" applyFont="1" applyFill="1" applyBorder="1" applyAlignment="1">
      <alignment horizontal="center"/>
    </xf>
    <xf numFmtId="170" fontId="37" fillId="0" borderId="0" xfId="8" applyNumberFormat="1" applyFont="1"/>
    <xf numFmtId="170" fontId="36" fillId="0" borderId="0" xfId="0" applyNumberFormat="1" applyFont="1"/>
    <xf numFmtId="170" fontId="36" fillId="0" borderId="0" xfId="8" applyNumberFormat="1" applyFont="1"/>
    <xf numFmtId="168" fontId="0" fillId="0" borderId="0" xfId="0" applyNumberFormat="1"/>
    <xf numFmtId="174" fontId="0" fillId="0" borderId="0" xfId="0" applyNumberFormat="1" applyAlignment="1">
      <alignment horizontal="center"/>
    </xf>
    <xf numFmtId="0" fontId="132" fillId="0" borderId="14" xfId="0" applyFont="1" applyBorder="1" applyAlignment="1">
      <alignment horizontal="center"/>
    </xf>
    <xf numFmtId="10" fontId="36" fillId="0" borderId="3" xfId="8" applyNumberFormat="1" applyFont="1" applyBorder="1" applyAlignment="1">
      <alignment horizontal="center"/>
    </xf>
    <xf numFmtId="170" fontId="133" fillId="0" borderId="14" xfId="8" applyNumberFormat="1" applyFont="1" applyBorder="1" applyAlignment="1">
      <alignment horizontal="center"/>
    </xf>
    <xf numFmtId="170" fontId="133" fillId="0" borderId="3" xfId="8" applyNumberFormat="1" applyFont="1" applyBorder="1" applyAlignment="1">
      <alignment horizontal="center"/>
    </xf>
    <xf numFmtId="0" fontId="36" fillId="5" borderId="3" xfId="0" applyFont="1" applyFill="1" applyBorder="1"/>
    <xf numFmtId="170" fontId="36" fillId="5" borderId="3" xfId="8" applyNumberFormat="1" applyFont="1" applyFill="1" applyBorder="1"/>
    <xf numFmtId="169" fontId="0" fillId="0" borderId="3" xfId="0" applyNumberFormat="1" applyBorder="1" applyAlignment="1">
      <alignment horizontal="center"/>
    </xf>
    <xf numFmtId="174" fontId="36" fillId="5" borderId="3" xfId="0" applyNumberFormat="1" applyFont="1" applyFill="1" applyBorder="1"/>
    <xf numFmtId="164" fontId="36" fillId="20" borderId="3" xfId="0" applyNumberFormat="1" applyFont="1" applyFill="1" applyBorder="1" applyAlignment="1">
      <alignment horizontal="center"/>
    </xf>
    <xf numFmtId="164" fontId="36" fillId="5" borderId="3" xfId="0" applyNumberFormat="1" applyFont="1" applyFill="1" applyBorder="1" applyAlignment="1">
      <alignment horizontal="center"/>
    </xf>
    <xf numFmtId="170" fontId="36" fillId="0" borderId="3" xfId="8" applyNumberFormat="1" applyFont="1" applyBorder="1" applyAlignment="1">
      <alignment horizontal="center"/>
    </xf>
    <xf numFmtId="0" fontId="0" fillId="28" borderId="3" xfId="0" applyFill="1" applyBorder="1" applyAlignment="1">
      <alignment horizontal="center"/>
    </xf>
    <xf numFmtId="170" fontId="0" fillId="28" borderId="3" xfId="8" applyNumberFormat="1" applyFont="1" applyFill="1" applyBorder="1" applyAlignment="1">
      <alignment horizontal="center"/>
    </xf>
    <xf numFmtId="0" fontId="32" fillId="22" borderId="1" xfId="45" applyAlignment="1">
      <alignment horizontal="center"/>
    </xf>
    <xf numFmtId="0" fontId="134" fillId="0" borderId="0" xfId="0" applyFont="1"/>
    <xf numFmtId="2" fontId="134" fillId="0" borderId="0" xfId="0" applyNumberFormat="1" applyFont="1"/>
    <xf numFmtId="0" fontId="55" fillId="0" borderId="0" xfId="0" applyFont="1"/>
    <xf numFmtId="0" fontId="107" fillId="0" borderId="0" xfId="0" applyFont="1"/>
    <xf numFmtId="0" fontId="32" fillId="28" borderId="1" xfId="1" applyFill="1"/>
    <xf numFmtId="1" fontId="0" fillId="28" borderId="3" xfId="0" applyNumberFormat="1" applyFill="1" applyBorder="1" applyAlignment="1">
      <alignment horizontal="center"/>
    </xf>
    <xf numFmtId="0" fontId="0" fillId="28" borderId="3" xfId="0" applyFill="1" applyBorder="1"/>
    <xf numFmtId="0" fontId="135" fillId="0" borderId="4" xfId="4" applyFont="1" applyBorder="1" applyAlignment="1">
      <alignment horizontal="center"/>
    </xf>
    <xf numFmtId="0" fontId="135" fillId="0" borderId="5" xfId="4" applyFont="1" applyBorder="1" applyAlignment="1">
      <alignment horizontal="center"/>
    </xf>
    <xf numFmtId="0" fontId="135" fillId="0" borderId="6" xfId="4" applyFont="1" applyBorder="1" applyAlignment="1">
      <alignment horizontal="center"/>
    </xf>
    <xf numFmtId="0" fontId="135" fillId="0" borderId="9" xfId="4" applyFont="1" applyBorder="1" applyAlignment="1">
      <alignment horizontal="center"/>
    </xf>
    <xf numFmtId="0" fontId="135" fillId="0" borderId="10" xfId="4" applyFont="1" applyBorder="1" applyAlignment="1">
      <alignment horizontal="center"/>
    </xf>
    <xf numFmtId="0" fontId="135" fillId="0" borderId="11" xfId="4" applyFont="1" applyBorder="1" applyAlignment="1">
      <alignment horizontal="center"/>
    </xf>
    <xf numFmtId="165" fontId="35" fillId="0" borderId="4" xfId="4" applyNumberFormat="1" applyBorder="1" applyAlignment="1">
      <alignment horizontal="center"/>
    </xf>
    <xf numFmtId="165" fontId="35" fillId="0" borderId="6" xfId="4" applyNumberFormat="1" applyBorder="1" applyAlignment="1">
      <alignment horizontal="center"/>
    </xf>
    <xf numFmtId="0" fontId="32" fillId="28" borderId="94" xfId="1" applyFill="1" applyBorder="1"/>
    <xf numFmtId="0" fontId="75" fillId="28" borderId="0" xfId="14" applyFill="1"/>
    <xf numFmtId="0" fontId="36" fillId="24" borderId="0" xfId="0" applyFont="1" applyFill="1"/>
    <xf numFmtId="0" fontId="78" fillId="24" borderId="0" xfId="0" applyFont="1" applyFill="1" applyAlignment="1">
      <alignment horizontal="left"/>
    </xf>
    <xf numFmtId="165" fontId="0" fillId="28" borderId="3" xfId="0" applyNumberFormat="1" applyFill="1" applyBorder="1" applyAlignment="1">
      <alignment horizontal="center"/>
    </xf>
    <xf numFmtId="2" fontId="69" fillId="28" borderId="3" xfId="0" applyNumberFormat="1" applyFont="1" applyFill="1" applyBorder="1" applyAlignment="1">
      <alignment horizontal="center"/>
    </xf>
    <xf numFmtId="0" fontId="132" fillId="0" borderId="3" xfId="0" applyFont="1" applyBorder="1" applyAlignment="1">
      <alignment horizontal="center" wrapText="1"/>
    </xf>
    <xf numFmtId="165" fontId="133" fillId="0" borderId="3" xfId="0" applyNumberFormat="1" applyFont="1" applyBorder="1" applyAlignment="1">
      <alignment horizontal="center"/>
    </xf>
    <xf numFmtId="0" fontId="136" fillId="24" borderId="0" xfId="0" applyFont="1" applyFill="1" applyAlignment="1">
      <alignment horizontal="left" wrapText="1"/>
    </xf>
    <xf numFmtId="9" fontId="0" fillId="28" borderId="3" xfId="8" applyFont="1" applyFill="1" applyBorder="1" applyAlignment="1">
      <alignment horizontal="center"/>
    </xf>
    <xf numFmtId="0" fontId="78" fillId="0" borderId="0" xfId="194" applyFont="1"/>
    <xf numFmtId="0" fontId="2" fillId="0" borderId="0" xfId="194"/>
    <xf numFmtId="0" fontId="2" fillId="0" borderId="0" xfId="194" applyAlignment="1">
      <alignment wrapText="1"/>
    </xf>
    <xf numFmtId="0" fontId="79" fillId="20" borderId="104" xfId="194" applyFont="1" applyFill="1" applyBorder="1" applyAlignment="1">
      <alignment wrapText="1"/>
    </xf>
    <xf numFmtId="0" fontId="79" fillId="24" borderId="104" xfId="194" applyFont="1" applyFill="1" applyBorder="1"/>
    <xf numFmtId="0" fontId="79" fillId="25" borderId="104" xfId="194" applyFont="1" applyFill="1" applyBorder="1"/>
    <xf numFmtId="0" fontId="79" fillId="26" borderId="104" xfId="194" applyFont="1" applyFill="1" applyBorder="1"/>
    <xf numFmtId="0" fontId="79" fillId="6" borderId="104" xfId="194" applyFont="1" applyFill="1" applyBorder="1"/>
    <xf numFmtId="0" fontId="79" fillId="4" borderId="104" xfId="194" applyFont="1" applyFill="1" applyBorder="1"/>
    <xf numFmtId="0" fontId="79" fillId="30" borderId="104" xfId="194" applyFont="1" applyFill="1" applyBorder="1"/>
    <xf numFmtId="0" fontId="79" fillId="31" borderId="104" xfId="194" applyFont="1" applyFill="1" applyBorder="1"/>
    <xf numFmtId="0" fontId="2" fillId="20" borderId="14" xfId="194" applyFill="1" applyBorder="1" applyAlignment="1" applyProtection="1">
      <alignment wrapText="1"/>
      <protection locked="0"/>
    </xf>
    <xf numFmtId="0" fontId="2" fillId="24" borderId="14" xfId="194" applyFill="1" applyBorder="1" applyProtection="1">
      <protection locked="0"/>
    </xf>
    <xf numFmtId="0" fontId="2" fillId="26" borderId="14" xfId="194" applyFill="1" applyBorder="1" applyProtection="1">
      <protection locked="0"/>
    </xf>
    <xf numFmtId="0" fontId="2" fillId="6" borderId="14" xfId="194" applyFill="1" applyBorder="1" applyProtection="1">
      <protection locked="0"/>
    </xf>
    <xf numFmtId="0" fontId="2" fillId="4" borderId="14" xfId="194" applyFill="1" applyBorder="1" applyProtection="1">
      <protection locked="0"/>
    </xf>
    <xf numFmtId="0" fontId="2" fillId="30" borderId="14" xfId="194" applyFill="1" applyBorder="1" applyProtection="1">
      <protection locked="0"/>
    </xf>
    <xf numFmtId="0" fontId="2" fillId="31" borderId="14" xfId="194" applyFill="1" applyBorder="1" applyProtection="1">
      <protection locked="0"/>
    </xf>
    <xf numFmtId="0" fontId="2" fillId="20" borderId="3" xfId="194" applyFill="1" applyBorder="1" applyAlignment="1" applyProtection="1">
      <alignment wrapText="1"/>
      <protection locked="0"/>
    </xf>
    <xf numFmtId="0" fontId="2" fillId="24" borderId="3" xfId="194" applyFill="1" applyBorder="1" applyProtection="1">
      <protection locked="0"/>
    </xf>
    <xf numFmtId="0" fontId="2" fillId="26" borderId="3" xfId="194" applyFill="1" applyBorder="1" applyProtection="1">
      <protection locked="0"/>
    </xf>
    <xf numFmtId="0" fontId="2" fillId="6" borderId="3" xfId="194" applyFill="1" applyBorder="1" applyProtection="1">
      <protection locked="0"/>
    </xf>
    <xf numFmtId="0" fontId="2" fillId="4" borderId="3" xfId="194" applyFill="1" applyBorder="1" applyProtection="1">
      <protection locked="0"/>
    </xf>
    <xf numFmtId="0" fontId="2" fillId="30" borderId="3" xfId="194" applyFill="1" applyBorder="1" applyProtection="1">
      <protection locked="0"/>
    </xf>
    <xf numFmtId="0" fontId="2" fillId="31" borderId="3" xfId="194" applyFill="1" applyBorder="1" applyProtection="1">
      <protection locked="0"/>
    </xf>
    <xf numFmtId="0" fontId="78" fillId="37" borderId="3" xfId="191" quotePrefix="1" applyFont="1" applyBorder="1"/>
    <xf numFmtId="170" fontId="0" fillId="28" borderId="0" xfId="8" applyNumberFormat="1" applyFont="1" applyFill="1"/>
    <xf numFmtId="0" fontId="128" fillId="6" borderId="185" xfId="0" applyFont="1" applyFill="1" applyBorder="1" applyAlignment="1">
      <alignment horizontal="left" vertical="center" wrapText="1"/>
    </xf>
    <xf numFmtId="0" fontId="128" fillId="6" borderId="186" xfId="0" applyFont="1" applyFill="1" applyBorder="1" applyAlignment="1">
      <alignment horizontal="left" vertical="center" wrapText="1"/>
    </xf>
    <xf numFmtId="0" fontId="128" fillId="6" borderId="187" xfId="0" applyFont="1" applyFill="1" applyBorder="1" applyAlignment="1">
      <alignment horizontal="left" vertical="center" wrapText="1"/>
    </xf>
    <xf numFmtId="0" fontId="52" fillId="34" borderId="15" xfId="0" applyFont="1" applyFill="1" applyBorder="1" applyAlignment="1">
      <alignment horizontal="left" vertical="center" indent="1"/>
    </xf>
    <xf numFmtId="0" fontId="52" fillId="34" borderId="17" xfId="0" applyFont="1" applyFill="1" applyBorder="1" applyAlignment="1">
      <alignment horizontal="left" vertical="center" indent="1"/>
    </xf>
    <xf numFmtId="0" fontId="128" fillId="6" borderId="188" xfId="0" applyFont="1" applyFill="1" applyBorder="1" applyAlignment="1">
      <alignment horizontal="left" vertical="center" wrapText="1"/>
    </xf>
    <xf numFmtId="0" fontId="128" fillId="6" borderId="189" xfId="0" applyFont="1" applyFill="1" applyBorder="1" applyAlignment="1">
      <alignment horizontal="left" vertical="center" wrapText="1"/>
    </xf>
    <xf numFmtId="0" fontId="128" fillId="6" borderId="190" xfId="0" applyFont="1" applyFill="1" applyBorder="1" applyAlignment="1">
      <alignment horizontal="left" vertical="center" wrapText="1"/>
    </xf>
    <xf numFmtId="0" fontId="128" fillId="6" borderId="191" xfId="0" applyFont="1" applyFill="1" applyBorder="1" applyAlignment="1">
      <alignment horizontal="left" vertical="center" wrapText="1"/>
    </xf>
    <xf numFmtId="0" fontId="128" fillId="6" borderId="192" xfId="0" applyFont="1" applyFill="1" applyBorder="1" applyAlignment="1">
      <alignment horizontal="left" vertical="center" wrapText="1"/>
    </xf>
    <xf numFmtId="0" fontId="128" fillId="6" borderId="193" xfId="0" applyFont="1" applyFill="1" applyBorder="1" applyAlignment="1">
      <alignment horizontal="left" vertical="center" wrapText="1"/>
    </xf>
    <xf numFmtId="0" fontId="43" fillId="6" borderId="0" xfId="0" applyFont="1" applyFill="1" applyAlignment="1">
      <alignment horizontal="left"/>
    </xf>
    <xf numFmtId="0" fontId="38" fillId="0" borderId="3" xfId="0" applyFont="1" applyBorder="1" applyAlignment="1">
      <alignment horizontal="center" wrapText="1"/>
    </xf>
    <xf numFmtId="0" fontId="38" fillId="0" borderId="3" xfId="0" applyFont="1" applyBorder="1" applyAlignment="1">
      <alignment horizontal="center"/>
    </xf>
    <xf numFmtId="0" fontId="38" fillId="0" borderId="17" xfId="0" applyFont="1" applyBorder="1" applyAlignment="1">
      <alignment horizontal="center" wrapText="1"/>
    </xf>
    <xf numFmtId="0" fontId="38" fillId="0" borderId="17" xfId="0" applyFont="1" applyBorder="1" applyAlignment="1">
      <alignment horizontal="center"/>
    </xf>
    <xf numFmtId="0" fontId="38" fillId="0" borderId="125" xfId="0" applyFont="1" applyBorder="1" applyAlignment="1">
      <alignment horizontal="center"/>
    </xf>
    <xf numFmtId="0" fontId="38" fillId="0" borderId="126" xfId="0" applyFont="1" applyBorder="1" applyAlignment="1">
      <alignment horizontal="center"/>
    </xf>
    <xf numFmtId="1" fontId="0" fillId="0" borderId="5" xfId="0" applyNumberFormat="1" applyBorder="1" applyAlignment="1">
      <alignment horizontal="center" vertical="center"/>
    </xf>
    <xf numFmtId="0" fontId="44" fillId="0" borderId="0" xfId="0" applyFont="1" applyAlignment="1">
      <alignment horizontal="left" vertical="top" wrapText="1"/>
    </xf>
    <xf numFmtId="0" fontId="42" fillId="0" borderId="7" xfId="0" applyFont="1" applyBorder="1" applyAlignment="1">
      <alignment horizontal="left" wrapText="1"/>
    </xf>
    <xf numFmtId="0" fontId="42" fillId="0" borderId="81" xfId="0" applyFont="1" applyBorder="1" applyAlignment="1">
      <alignment horizontal="left" wrapText="1"/>
    </xf>
    <xf numFmtId="0" fontId="42" fillId="0" borderId="4" xfId="0" applyFont="1" applyBorder="1" applyAlignment="1">
      <alignment horizontal="left" wrapText="1"/>
    </xf>
    <xf numFmtId="0" fontId="42" fillId="0" borderId="5" xfId="0" applyFont="1" applyBorder="1" applyAlignment="1">
      <alignment horizontal="left" wrapText="1"/>
    </xf>
    <xf numFmtId="0" fontId="42" fillId="0" borderId="34" xfId="0" applyFont="1" applyBorder="1" applyAlignment="1">
      <alignment horizontal="left" wrapText="1"/>
    </xf>
    <xf numFmtId="1" fontId="0" fillId="0" borderId="127" xfId="0" applyNumberFormat="1" applyBorder="1" applyAlignment="1">
      <alignment horizontal="center" vertical="center"/>
    </xf>
    <xf numFmtId="1" fontId="0" fillId="0" borderId="128" xfId="0" applyNumberFormat="1" applyBorder="1" applyAlignment="1">
      <alignment horizontal="center" vertical="center"/>
    </xf>
    <xf numFmtId="0" fontId="86" fillId="0" borderId="3" xfId="0" applyFont="1" applyBorder="1" applyAlignment="1">
      <alignment horizontal="center"/>
    </xf>
    <xf numFmtId="0" fontId="44" fillId="6" borderId="0" xfId="0" applyFont="1" applyFill="1" applyAlignment="1">
      <alignment horizontal="left" wrapText="1"/>
    </xf>
    <xf numFmtId="0" fontId="62" fillId="0" borderId="0" xfId="0" applyFont="1" applyAlignment="1">
      <alignment horizontal="left" vertical="top" wrapText="1"/>
    </xf>
    <xf numFmtId="0" fontId="0" fillId="6" borderId="0" xfId="5" applyFont="1" applyFill="1" applyBorder="1" applyAlignment="1" applyProtection="1">
      <alignment horizontal="left"/>
    </xf>
    <xf numFmtId="0" fontId="37" fillId="0" borderId="0" xfId="6" applyAlignment="1">
      <alignment horizontal="left"/>
    </xf>
    <xf numFmtId="0" fontId="36" fillId="0" borderId="4" xfId="0" applyFont="1" applyBorder="1" applyAlignment="1">
      <alignment horizontal="left" vertical="center"/>
    </xf>
    <xf numFmtId="0" fontId="36" fillId="0" borderId="7" xfId="0" applyFont="1" applyBorder="1" applyAlignment="1">
      <alignment horizontal="left" vertical="center"/>
    </xf>
    <xf numFmtId="0" fontId="86" fillId="0" borderId="3" xfId="0" applyFont="1" applyBorder="1" applyAlignment="1">
      <alignment horizontal="center" wrapText="1"/>
    </xf>
    <xf numFmtId="0" fontId="36" fillId="0" borderId="3" xfId="0" applyFont="1" applyBorder="1" applyAlignment="1">
      <alignment horizontal="left"/>
    </xf>
    <xf numFmtId="1" fontId="0" fillId="0" borderId="129" xfId="0" applyNumberFormat="1" applyBorder="1" applyAlignment="1">
      <alignment horizontal="center" vertical="center"/>
    </xf>
    <xf numFmtId="1" fontId="0" fillId="0" borderId="130" xfId="0" applyNumberFormat="1" applyBorder="1" applyAlignment="1">
      <alignment horizontal="center" vertical="center"/>
    </xf>
    <xf numFmtId="0" fontId="82" fillId="0" borderId="0" xfId="0" applyFont="1" applyAlignment="1">
      <alignment horizontal="left" vertical="center" wrapText="1"/>
    </xf>
    <xf numFmtId="0" fontId="98" fillId="0" borderId="0" xfId="0" applyFont="1" applyAlignment="1">
      <alignment horizontal="left" vertical="top" wrapText="1"/>
    </xf>
    <xf numFmtId="1" fontId="0" fillId="0" borderId="131" xfId="0" applyNumberFormat="1" applyBorder="1" applyAlignment="1">
      <alignment horizontal="center" vertical="center"/>
    </xf>
    <xf numFmtId="1" fontId="0" fillId="0" borderId="132" xfId="0" applyNumberFormat="1" applyBorder="1" applyAlignment="1">
      <alignment horizontal="center" vertical="center"/>
    </xf>
    <xf numFmtId="1" fontId="0" fillId="0" borderId="125" xfId="0" applyNumberFormat="1" applyBorder="1" applyAlignment="1">
      <alignment horizontal="center" vertical="center"/>
    </xf>
    <xf numFmtId="1" fontId="0" fillId="0" borderId="126" xfId="0" applyNumberFormat="1" applyBorder="1" applyAlignment="1">
      <alignment horizontal="center" vertical="center"/>
    </xf>
    <xf numFmtId="0" fontId="0" fillId="6" borderId="9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0" fillId="10" borderId="3" xfId="0" quotePrefix="1" applyFill="1" applyBorder="1" applyAlignment="1">
      <alignment horizontal="center" vertical="center"/>
    </xf>
    <xf numFmtId="0" fontId="0" fillId="11" borderId="3" xfId="0" quotePrefix="1" applyFill="1" applyBorder="1" applyAlignment="1">
      <alignment horizontal="center" vertical="center"/>
    </xf>
    <xf numFmtId="0" fontId="0" fillId="12" borderId="3" xfId="0" quotePrefix="1" applyFill="1" applyBorder="1" applyAlignment="1">
      <alignment horizontal="center" vertical="center"/>
    </xf>
    <xf numFmtId="0" fontId="0" fillId="13" borderId="3" xfId="0" quotePrefix="1" applyFill="1" applyBorder="1" applyAlignment="1">
      <alignment horizontal="center" vertical="center"/>
    </xf>
    <xf numFmtId="0" fontId="36" fillId="6" borderId="4" xfId="0" applyFont="1" applyFill="1" applyBorder="1" applyAlignment="1">
      <alignment horizontal="center" vertical="center"/>
    </xf>
    <xf numFmtId="0" fontId="36" fillId="6" borderId="6" xfId="0" applyFont="1" applyFill="1" applyBorder="1" applyAlignment="1">
      <alignment horizontal="center" vertical="center"/>
    </xf>
    <xf numFmtId="0" fontId="36" fillId="6" borderId="9" xfId="0" applyFont="1" applyFill="1" applyBorder="1" applyAlignment="1">
      <alignment horizontal="center" vertical="center"/>
    </xf>
    <xf numFmtId="0" fontId="36" fillId="6" borderId="11" xfId="0" applyFont="1" applyFill="1" applyBorder="1" applyAlignment="1">
      <alignment horizontal="center" vertical="center"/>
    </xf>
    <xf numFmtId="165" fontId="0" fillId="6" borderId="4" xfId="0" applyNumberFormat="1" applyFill="1" applyBorder="1" applyAlignment="1">
      <alignment horizontal="center" vertical="center"/>
    </xf>
    <xf numFmtId="165" fontId="0" fillId="6" borderId="6" xfId="0" applyNumberFormat="1" applyFill="1" applyBorder="1" applyAlignment="1">
      <alignment horizontal="center" vertical="center"/>
    </xf>
    <xf numFmtId="165" fontId="0" fillId="6" borderId="9" xfId="0" applyNumberFormat="1" applyFill="1" applyBorder="1" applyAlignment="1">
      <alignment horizontal="center" vertical="center"/>
    </xf>
    <xf numFmtId="165" fontId="0" fillId="6" borderId="11" xfId="0" applyNumberForma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36" fillId="6" borderId="4" xfId="0" applyFont="1" applyFill="1" applyBorder="1" applyAlignment="1">
      <alignment horizontal="center" vertical="center" wrapText="1"/>
    </xf>
    <xf numFmtId="0" fontId="36" fillId="6" borderId="6" xfId="0" applyFont="1" applyFill="1" applyBorder="1" applyAlignment="1">
      <alignment horizontal="center" vertical="center" wrapText="1"/>
    </xf>
    <xf numFmtId="0" fontId="0" fillId="9" borderId="3" xfId="0" quotePrefix="1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3" borderId="133" xfId="5" applyFont="1" applyBorder="1" applyAlignment="1" applyProtection="1">
      <alignment horizontal="left"/>
      <protection locked="0"/>
    </xf>
    <xf numFmtId="0" fontId="0" fillId="3" borderId="135" xfId="5" applyFont="1" applyBorder="1" applyAlignment="1" applyProtection="1">
      <alignment horizontal="left"/>
      <protection locked="0"/>
    </xf>
    <xf numFmtId="0" fontId="0" fillId="3" borderId="134" xfId="5" applyFont="1" applyBorder="1" applyAlignment="1" applyProtection="1">
      <alignment horizontal="left"/>
      <protection locked="0"/>
    </xf>
    <xf numFmtId="0" fontId="36" fillId="6" borderId="3" xfId="0" applyFont="1" applyFill="1" applyBorder="1" applyAlignment="1">
      <alignment horizontal="center"/>
    </xf>
    <xf numFmtId="0" fontId="36" fillId="6" borderId="4" xfId="0" applyFont="1" applyFill="1" applyBorder="1" applyAlignment="1">
      <alignment horizontal="left" vertical="center" wrapText="1"/>
    </xf>
    <xf numFmtId="0" fontId="36" fillId="6" borderId="5" xfId="0" applyFont="1" applyFill="1" applyBorder="1" applyAlignment="1">
      <alignment horizontal="left" vertical="center" wrapText="1"/>
    </xf>
    <xf numFmtId="0" fontId="44" fillId="6" borderId="7" xfId="0" applyFont="1" applyFill="1" applyBorder="1" applyAlignment="1">
      <alignment horizontal="left" vertical="center" wrapText="1"/>
    </xf>
    <xf numFmtId="0" fontId="44" fillId="6" borderId="0" xfId="0" applyFont="1" applyFill="1" applyAlignment="1">
      <alignment horizontal="left" vertical="center" wrapText="1"/>
    </xf>
    <xf numFmtId="0" fontId="0" fillId="8" borderId="3" xfId="0" quotePrefix="1" applyFill="1" applyBorder="1" applyAlignment="1">
      <alignment horizontal="center" vertical="center"/>
    </xf>
    <xf numFmtId="0" fontId="44" fillId="6" borderId="7" xfId="0" applyFont="1" applyFill="1" applyBorder="1" applyAlignment="1">
      <alignment horizontal="left" vertical="top" wrapText="1"/>
    </xf>
    <xf numFmtId="0" fontId="44" fillId="6" borderId="0" xfId="0" applyFont="1" applyFill="1" applyAlignment="1">
      <alignment horizontal="left" vertical="top" wrapText="1"/>
    </xf>
    <xf numFmtId="0" fontId="44" fillId="6" borderId="8" xfId="0" applyFont="1" applyFill="1" applyBorder="1" applyAlignment="1">
      <alignment horizontal="left" vertical="top" wrapText="1"/>
    </xf>
    <xf numFmtId="0" fontId="43" fillId="34" borderId="15" xfId="0" applyFont="1" applyFill="1" applyBorder="1" applyAlignment="1">
      <alignment horizontal="left" vertical="center" indent="1"/>
    </xf>
    <xf numFmtId="0" fontId="43" fillId="34" borderId="17" xfId="0" applyFont="1" applyFill="1" applyBorder="1" applyAlignment="1">
      <alignment horizontal="left" vertical="center" indent="1"/>
    </xf>
    <xf numFmtId="0" fontId="43" fillId="5" borderId="4" xfId="0" applyFont="1" applyFill="1" applyBorder="1" applyAlignment="1">
      <alignment horizontal="center"/>
    </xf>
    <xf numFmtId="0" fontId="43" fillId="5" borderId="6" xfId="0" applyFont="1" applyFill="1" applyBorder="1" applyAlignment="1">
      <alignment horizontal="center"/>
    </xf>
    <xf numFmtId="0" fontId="43" fillId="5" borderId="5" xfId="0" applyFont="1" applyFill="1" applyBorder="1" applyAlignment="1">
      <alignment horizontal="center"/>
    </xf>
    <xf numFmtId="0" fontId="0" fillId="3" borderId="129" xfId="0" applyFill="1" applyBorder="1" applyAlignment="1" applyProtection="1">
      <alignment horizontal="left"/>
      <protection locked="0"/>
    </xf>
    <xf numFmtId="0" fontId="0" fillId="3" borderId="41" xfId="0" applyFill="1" applyBorder="1" applyAlignment="1" applyProtection="1">
      <alignment horizontal="left"/>
      <protection locked="0"/>
    </xf>
    <xf numFmtId="0" fontId="0" fillId="3" borderId="130" xfId="0" applyFill="1" applyBorder="1" applyAlignment="1" applyProtection="1">
      <alignment horizontal="left"/>
      <protection locked="0"/>
    </xf>
    <xf numFmtId="0" fontId="0" fillId="3" borderId="125" xfId="0" applyFill="1" applyBorder="1" applyAlignment="1" applyProtection="1">
      <alignment horizontal="left"/>
      <protection locked="0"/>
    </xf>
    <xf numFmtId="0" fontId="0" fillId="3" borderId="16" xfId="0" applyFill="1" applyBorder="1" applyAlignment="1" applyProtection="1">
      <alignment horizontal="left"/>
      <protection locked="0"/>
    </xf>
    <xf numFmtId="0" fontId="0" fillId="3" borderId="126" xfId="0" applyFill="1" applyBorder="1" applyAlignment="1" applyProtection="1">
      <alignment horizontal="left"/>
      <protection locked="0"/>
    </xf>
    <xf numFmtId="0" fontId="52" fillId="5" borderId="5" xfId="0" applyFont="1" applyFill="1" applyBorder="1" applyAlignment="1">
      <alignment horizontal="left"/>
    </xf>
    <xf numFmtId="0" fontId="52" fillId="5" borderId="10" xfId="0" applyFont="1" applyFill="1" applyBorder="1" applyAlignment="1">
      <alignment horizontal="left"/>
    </xf>
    <xf numFmtId="0" fontId="78" fillId="24" borderId="16" xfId="0" applyFont="1" applyFill="1" applyBorder="1" applyAlignment="1">
      <alignment horizontal="center"/>
    </xf>
    <xf numFmtId="0" fontId="78" fillId="24" borderId="17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6" fillId="0" borderId="73" xfId="0" applyFont="1" applyBorder="1" applyAlignment="1">
      <alignment horizontal="center"/>
    </xf>
    <xf numFmtId="0" fontId="36" fillId="0" borderId="74" xfId="0" applyFont="1" applyBorder="1" applyAlignment="1">
      <alignment horizontal="center"/>
    </xf>
    <xf numFmtId="0" fontId="36" fillId="0" borderId="113" xfId="0" applyFont="1" applyBorder="1" applyAlignment="1">
      <alignment horizontal="center"/>
    </xf>
    <xf numFmtId="0" fontId="38" fillId="0" borderId="89" xfId="0" applyFont="1" applyBorder="1" applyAlignment="1">
      <alignment horizontal="center" wrapText="1"/>
    </xf>
    <xf numFmtId="0" fontId="38" fillId="0" borderId="74" xfId="0" applyFont="1" applyBorder="1" applyAlignment="1">
      <alignment horizontal="center" wrapText="1"/>
    </xf>
    <xf numFmtId="0" fontId="38" fillId="0" borderId="113" xfId="0" applyFont="1" applyBorder="1" applyAlignment="1">
      <alignment horizontal="center" wrapText="1"/>
    </xf>
    <xf numFmtId="0" fontId="36" fillId="0" borderId="89" xfId="0" applyFont="1" applyBorder="1" applyAlignment="1">
      <alignment horizontal="center"/>
    </xf>
    <xf numFmtId="0" fontId="36" fillId="0" borderId="75" xfId="0" applyFont="1" applyBorder="1" applyAlignment="1">
      <alignment horizontal="center"/>
    </xf>
    <xf numFmtId="0" fontId="36" fillId="0" borderId="12" xfId="6" applyFont="1" applyBorder="1" applyAlignment="1">
      <alignment horizontal="center" vertical="center" wrapText="1"/>
    </xf>
    <xf numFmtId="0" fontId="36" fillId="0" borderId="14" xfId="6" applyFont="1" applyBorder="1" applyAlignment="1">
      <alignment horizontal="center" vertical="center" wrapText="1"/>
    </xf>
    <xf numFmtId="0" fontId="36" fillId="0" borderId="3" xfId="6" applyFont="1" applyBorder="1" applyAlignment="1">
      <alignment horizontal="center" vertical="center" wrapText="1"/>
    </xf>
    <xf numFmtId="0" fontId="69" fillId="0" borderId="15" xfId="0" applyFont="1" applyBorder="1" applyAlignment="1">
      <alignment horizontal="center"/>
    </xf>
    <xf numFmtId="0" fontId="69" fillId="0" borderId="16" xfId="0" applyFont="1" applyBorder="1" applyAlignment="1">
      <alignment horizontal="center"/>
    </xf>
    <xf numFmtId="0" fontId="38" fillId="0" borderId="96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/>
    </xf>
    <xf numFmtId="0" fontId="38" fillId="0" borderId="97" xfId="0" applyFont="1" applyBorder="1" applyAlignment="1">
      <alignment horizontal="center" vertical="center" wrapText="1"/>
    </xf>
    <xf numFmtId="0" fontId="38" fillId="0" borderId="99" xfId="0" applyFont="1" applyBorder="1" applyAlignment="1">
      <alignment horizontal="center" vertical="center" wrapText="1"/>
    </xf>
    <xf numFmtId="0" fontId="38" fillId="0" borderId="99" xfId="0" applyFont="1" applyBorder="1" applyAlignment="1">
      <alignment horizontal="center" vertical="center"/>
    </xf>
    <xf numFmtId="0" fontId="38" fillId="0" borderId="98" xfId="0" applyFont="1" applyBorder="1" applyAlignment="1">
      <alignment horizontal="center" wrapText="1"/>
    </xf>
    <xf numFmtId="0" fontId="36" fillId="0" borderId="3" xfId="0" applyFont="1" applyBorder="1" applyAlignment="1">
      <alignment horizontal="center" wrapText="1"/>
    </xf>
    <xf numFmtId="0" fontId="38" fillId="0" borderId="95" xfId="0" applyFont="1" applyBorder="1" applyAlignment="1">
      <alignment horizontal="center" vertical="center"/>
    </xf>
    <xf numFmtId="0" fontId="38" fillId="0" borderId="96" xfId="0" applyFont="1" applyBorder="1" applyAlignment="1">
      <alignment horizontal="center" vertical="center"/>
    </xf>
    <xf numFmtId="0" fontId="36" fillId="0" borderId="96" xfId="0" applyFont="1" applyBorder="1" applyAlignment="1">
      <alignment horizontal="center" vertical="center"/>
    </xf>
    <xf numFmtId="0" fontId="44" fillId="0" borderId="4" xfId="0" applyFont="1" applyBorder="1" applyAlignment="1">
      <alignment horizontal="left" vertical="top" wrapText="1"/>
    </xf>
    <xf numFmtId="0" fontId="44" fillId="0" borderId="5" xfId="0" applyFont="1" applyBorder="1" applyAlignment="1">
      <alignment horizontal="left" vertical="top" wrapText="1"/>
    </xf>
    <xf numFmtId="0" fontId="44" fillId="0" borderId="6" xfId="0" applyFont="1" applyBorder="1" applyAlignment="1">
      <alignment horizontal="left" vertical="top" wrapText="1"/>
    </xf>
    <xf numFmtId="0" fontId="44" fillId="0" borderId="7" xfId="0" applyFont="1" applyBorder="1" applyAlignment="1">
      <alignment horizontal="left" vertical="top" wrapText="1"/>
    </xf>
    <xf numFmtId="0" fontId="44" fillId="0" borderId="8" xfId="0" applyFont="1" applyBorder="1" applyAlignment="1">
      <alignment horizontal="left" vertical="top" wrapText="1"/>
    </xf>
    <xf numFmtId="0" fontId="44" fillId="0" borderId="9" xfId="0" applyFont="1" applyBorder="1" applyAlignment="1">
      <alignment horizontal="left" vertical="top" wrapText="1"/>
    </xf>
    <xf numFmtId="0" fontId="44" fillId="0" borderId="10" xfId="0" applyFont="1" applyBorder="1" applyAlignment="1">
      <alignment horizontal="left" vertical="top" wrapText="1"/>
    </xf>
    <xf numFmtId="0" fontId="44" fillId="0" borderId="11" xfId="0" applyFont="1" applyBorder="1" applyAlignment="1">
      <alignment horizontal="left" vertical="top" wrapText="1"/>
    </xf>
    <xf numFmtId="0" fontId="43" fillId="0" borderId="3" xfId="0" applyFont="1" applyBorder="1" applyAlignment="1">
      <alignment horizontal="left"/>
    </xf>
    <xf numFmtId="0" fontId="43" fillId="0" borderId="15" xfId="0" applyFont="1" applyBorder="1" applyAlignment="1">
      <alignment horizontal="left"/>
    </xf>
    <xf numFmtId="0" fontId="43" fillId="0" borderId="16" xfId="0" applyFont="1" applyBorder="1" applyAlignment="1">
      <alignment horizontal="left"/>
    </xf>
    <xf numFmtId="0" fontId="43" fillId="0" borderId="17" xfId="0" applyFont="1" applyBorder="1" applyAlignment="1">
      <alignment horizontal="left"/>
    </xf>
    <xf numFmtId="0" fontId="38" fillId="0" borderId="95" xfId="0" applyFont="1" applyBorder="1" applyAlignment="1">
      <alignment horizontal="center" vertical="center" wrapText="1"/>
    </xf>
    <xf numFmtId="0" fontId="38" fillId="0" borderId="98" xfId="0" applyFont="1" applyBorder="1" applyAlignment="1">
      <alignment horizontal="center" vertical="center" wrapText="1"/>
    </xf>
    <xf numFmtId="0" fontId="38" fillId="0" borderId="103" xfId="0" applyFont="1" applyBorder="1" applyAlignment="1">
      <alignment horizontal="center" vertical="center"/>
    </xf>
    <xf numFmtId="0" fontId="38" fillId="0" borderId="141" xfId="0" applyFont="1" applyBorder="1" applyAlignment="1">
      <alignment horizontal="center" vertical="center"/>
    </xf>
    <xf numFmtId="0" fontId="36" fillId="0" borderId="95" xfId="0" applyFont="1" applyBorder="1" applyAlignment="1">
      <alignment horizontal="center" wrapText="1"/>
    </xf>
    <xf numFmtId="0" fontId="36" fillId="0" borderId="103" xfId="0" applyFont="1" applyBorder="1" applyAlignment="1">
      <alignment horizontal="center" wrapText="1"/>
    </xf>
    <xf numFmtId="0" fontId="36" fillId="0" borderId="96" xfId="0" applyFont="1" applyBorder="1" applyAlignment="1">
      <alignment horizontal="center" wrapText="1"/>
    </xf>
    <xf numFmtId="0" fontId="36" fillId="0" borderId="104" xfId="0" applyFont="1" applyBorder="1" applyAlignment="1">
      <alignment horizontal="center" wrapText="1"/>
    </xf>
    <xf numFmtId="0" fontId="36" fillId="0" borderId="97" xfId="0" applyFont="1" applyBorder="1" applyAlignment="1">
      <alignment horizontal="center" wrapText="1"/>
    </xf>
    <xf numFmtId="0" fontId="36" fillId="0" borderId="141" xfId="0" applyFont="1" applyBorder="1" applyAlignment="1">
      <alignment horizontal="center" wrapText="1"/>
    </xf>
    <xf numFmtId="0" fontId="36" fillId="0" borderId="70" xfId="0" applyFont="1" applyBorder="1" applyAlignment="1">
      <alignment horizontal="center"/>
    </xf>
    <xf numFmtId="0" fontId="36" fillId="0" borderId="71" xfId="0" applyFont="1" applyBorder="1" applyAlignment="1">
      <alignment horizontal="center"/>
    </xf>
    <xf numFmtId="0" fontId="36" fillId="0" borderId="197" xfId="0" applyFont="1" applyBorder="1" applyAlignment="1">
      <alignment horizontal="center"/>
    </xf>
    <xf numFmtId="0" fontId="38" fillId="0" borderId="138" xfId="0" applyFont="1" applyBorder="1" applyAlignment="1">
      <alignment horizontal="center" vertical="center" wrapText="1"/>
    </xf>
    <xf numFmtId="0" fontId="38" fillId="0" borderId="139" xfId="0" applyFont="1" applyBorder="1" applyAlignment="1">
      <alignment horizontal="center" vertical="center" wrapText="1"/>
    </xf>
    <xf numFmtId="0" fontId="38" fillId="0" borderId="140" xfId="0" applyFont="1" applyBorder="1" applyAlignment="1">
      <alignment horizontal="center" vertical="center" wrapText="1"/>
    </xf>
    <xf numFmtId="0" fontId="38" fillId="0" borderId="97" xfId="0" applyFont="1" applyBorder="1" applyAlignment="1">
      <alignment horizontal="center" vertical="center"/>
    </xf>
    <xf numFmtId="0" fontId="38" fillId="0" borderId="104" xfId="0" applyFont="1" applyBorder="1" applyAlignment="1">
      <alignment horizontal="center" vertical="center"/>
    </xf>
    <xf numFmtId="0" fontId="38" fillId="0" borderId="98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/>
    </xf>
    <xf numFmtId="0" fontId="36" fillId="0" borderId="1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78" fillId="10" borderId="194" xfId="0" applyFont="1" applyFill="1" applyBorder="1" applyAlignment="1">
      <alignment horizontal="center"/>
    </xf>
    <xf numFmtId="0" fontId="78" fillId="10" borderId="16" xfId="0" applyFont="1" applyFill="1" applyBorder="1" applyAlignment="1">
      <alignment horizontal="center"/>
    </xf>
    <xf numFmtId="0" fontId="78" fillId="10" borderId="17" xfId="0" applyFont="1" applyFill="1" applyBorder="1" applyAlignment="1">
      <alignment horizontal="center"/>
    </xf>
    <xf numFmtId="0" fontId="117" fillId="0" borderId="0" xfId="22" applyFont="1" applyAlignment="1">
      <alignment horizontal="left" vertical="center" wrapText="1"/>
    </xf>
    <xf numFmtId="0" fontId="112" fillId="0" borderId="15" xfId="22" applyFont="1" applyBorder="1" applyAlignment="1">
      <alignment horizontal="center"/>
    </xf>
    <xf numFmtId="0" fontId="112" fillId="0" borderId="16" xfId="22" applyFont="1" applyBorder="1" applyAlignment="1">
      <alignment horizontal="center"/>
    </xf>
    <xf numFmtId="0" fontId="112" fillId="0" borderId="17" xfId="22" applyFont="1" applyBorder="1" applyAlignment="1">
      <alignment horizontal="center"/>
    </xf>
    <xf numFmtId="0" fontId="121" fillId="0" borderId="15" xfId="22" quotePrefix="1" applyFont="1" applyBorder="1" applyAlignment="1">
      <alignment horizontal="center" vertical="center" wrapText="1"/>
    </xf>
    <xf numFmtId="0" fontId="121" fillId="0" borderId="16" xfId="22" applyFont="1" applyBorder="1" applyAlignment="1">
      <alignment horizontal="center" vertical="center" wrapText="1"/>
    </xf>
    <xf numFmtId="0" fontId="121" fillId="0" borderId="17" xfId="22" applyFont="1" applyBorder="1" applyAlignment="1">
      <alignment horizontal="center" vertical="center" wrapText="1"/>
    </xf>
    <xf numFmtId="0" fontId="122" fillId="0" borderId="15" xfId="26" quotePrefix="1" applyFont="1" applyBorder="1" applyAlignment="1">
      <alignment horizontal="center" vertical="center" wrapText="1"/>
    </xf>
    <xf numFmtId="0" fontId="122" fillId="0" borderId="16" xfId="26" applyFont="1" applyBorder="1" applyAlignment="1">
      <alignment horizontal="center" vertical="center" wrapText="1"/>
    </xf>
    <xf numFmtId="0" fontId="122" fillId="0" borderId="17" xfId="26" applyFont="1" applyBorder="1" applyAlignment="1">
      <alignment horizontal="center" vertical="center" wrapText="1"/>
    </xf>
    <xf numFmtId="0" fontId="122" fillId="0" borderId="15" xfId="26" applyFont="1" applyBorder="1" applyAlignment="1">
      <alignment horizontal="center" vertical="center" wrapText="1"/>
    </xf>
    <xf numFmtId="0" fontId="110" fillId="0" borderId="0" xfId="22" applyFont="1" applyAlignment="1">
      <alignment horizontal="left" vertical="center" wrapText="1"/>
    </xf>
    <xf numFmtId="0" fontId="108" fillId="0" borderId="0" xfId="22" applyAlignment="1">
      <alignment horizontal="left" vertical="center" wrapText="1"/>
    </xf>
    <xf numFmtId="9" fontId="108" fillId="0" borderId="15" xfId="27" applyFont="1" applyBorder="1" applyAlignment="1">
      <alignment horizontal="center" vertical="center" wrapText="1"/>
    </xf>
    <xf numFmtId="9" fontId="108" fillId="0" borderId="16" xfId="27" applyFont="1" applyBorder="1" applyAlignment="1">
      <alignment horizontal="center" vertical="center" wrapText="1"/>
    </xf>
    <xf numFmtId="9" fontId="108" fillId="0" borderId="17" xfId="27" applyFont="1" applyBorder="1" applyAlignment="1">
      <alignment horizontal="center" vertical="center" wrapText="1"/>
    </xf>
    <xf numFmtId="0" fontId="119" fillId="0" borderId="0" xfId="22" applyFont="1" applyAlignment="1">
      <alignment horizontal="left" vertical="center" wrapText="1"/>
    </xf>
    <xf numFmtId="0" fontId="108" fillId="0" borderId="15" xfId="22" applyBorder="1" applyAlignment="1">
      <alignment horizontal="center"/>
    </xf>
    <xf numFmtId="0" fontId="108" fillId="0" borderId="16" xfId="22" applyBorder="1" applyAlignment="1">
      <alignment horizontal="center"/>
    </xf>
    <xf numFmtId="0" fontId="108" fillId="0" borderId="17" xfId="22" applyBorder="1" applyAlignment="1">
      <alignment horizontal="center"/>
    </xf>
    <xf numFmtId="0" fontId="121" fillId="0" borderId="16" xfId="22" quotePrefix="1" applyFont="1" applyBorder="1" applyAlignment="1">
      <alignment horizontal="center" vertical="center" wrapText="1"/>
    </xf>
    <xf numFmtId="0" fontId="121" fillId="0" borderId="17" xfId="22" quotePrefix="1" applyFont="1" applyBorder="1" applyAlignment="1">
      <alignment horizontal="center" vertical="center" wrapText="1"/>
    </xf>
    <xf numFmtId="0" fontId="122" fillId="0" borderId="16" xfId="26" quotePrefix="1" applyFont="1" applyBorder="1" applyAlignment="1">
      <alignment horizontal="center" vertical="center" wrapText="1"/>
    </xf>
    <xf numFmtId="0" fontId="122" fillId="0" borderId="17" xfId="26" quotePrefix="1" applyFont="1" applyBorder="1" applyAlignment="1">
      <alignment horizontal="center" vertical="center" wrapText="1"/>
    </xf>
    <xf numFmtId="0" fontId="119" fillId="0" borderId="0" xfId="26" applyFont="1" applyAlignment="1">
      <alignment horizontal="left" vertical="center" wrapText="1"/>
    </xf>
    <xf numFmtId="0" fontId="117" fillId="0" borderId="0" xfId="26" applyFont="1" applyAlignment="1">
      <alignment horizontal="left" vertical="center" wrapText="1"/>
    </xf>
  </cellXfs>
  <cellStyles count="195">
    <cellStyle name="20 % - Aksentti6 2" xfId="191" xr:uid="{612A0053-EB38-4D3D-BC0C-43557479F314}"/>
    <cellStyle name="20% - Accent6" xfId="30" builtinId="50"/>
    <cellStyle name="Bad" xfId="29" builtinId="27"/>
    <cellStyle name="Calculation" xfId="3" builtinId="22"/>
    <cellStyle name="Explanatory Text" xfId="4" builtinId="53"/>
    <cellStyle name="Good" xfId="9" builtinId="26"/>
    <cellStyle name="Huomautus 2" xfId="12" xr:uid="{6F9FC22B-A59A-4B64-9842-9C9FAC3DA567}"/>
    <cellStyle name="Huomautus 2 2" xfId="33" xr:uid="{2CC268B6-06DA-4EC5-9082-9670E746BDED}"/>
    <cellStyle name="Huomautus 3" xfId="28" xr:uid="{DA7BE59D-A937-4FE8-9375-B7E517DBF677}"/>
    <cellStyle name="Hyperlink" xfId="7" builtinId="8"/>
    <cellStyle name="Input" xfId="1" builtinId="20" customBuiltin="1"/>
    <cellStyle name="Laskenta 10" xfId="44" xr:uid="{68CACFE3-6B02-4355-88D1-E165EA1A4284}"/>
    <cellStyle name="Laskenta 2" xfId="24" xr:uid="{BDE77E90-0477-4B8E-9DC2-5940FA7BC7AA}"/>
    <cellStyle name="Laskenta 2 2" xfId="35" xr:uid="{987D0799-B0CC-4761-BEE4-216817382A68}"/>
    <cellStyle name="Neutral" xfId="14" builtinId="28"/>
    <cellStyle name="Normaali 10" xfId="50" xr:uid="{00B3B6D4-1252-482B-954E-291DEBD2F02F}"/>
    <cellStyle name="Normaali 10 2" xfId="41" xr:uid="{6F3643F6-EA21-4CB2-9754-5D426B093936}"/>
    <cellStyle name="Normaali 10 2 2" xfId="63" xr:uid="{A6FE8728-262B-4B4D-9FA8-89D5168EAF52}"/>
    <cellStyle name="Normaali 10 2 2 2" xfId="78" xr:uid="{DE54CFB1-301B-4C11-9E79-C7F81D70D483}"/>
    <cellStyle name="Normaali 10 2 2 2 2" xfId="188" xr:uid="{B3D76735-D3AD-4604-9632-1C07A83E5223}"/>
    <cellStyle name="Normaali 10 2 2 2 3" xfId="147" xr:uid="{935298B5-1BF2-43E5-8A58-E6A00330B544}"/>
    <cellStyle name="Normaali 10 2 2 3" xfId="102" xr:uid="{9263641C-7815-4F33-A8EE-5707C2D99B2F}"/>
    <cellStyle name="Normaali 10 2 2 3 2" xfId="168" xr:uid="{47231C2D-12C0-460F-B1A6-B98D95F52F62}"/>
    <cellStyle name="Normaali 10 2 2 4" xfId="127" xr:uid="{4C27BAA2-4075-49CB-893A-34BFBFE4096D}"/>
    <cellStyle name="Normaali 10 2 3" xfId="71" xr:uid="{CB859116-3864-4F5C-B4DA-72792FA3C490}"/>
    <cellStyle name="Normaali 10 2 3 2" xfId="178" xr:uid="{186D2C10-7C13-43B7-A164-39414EF06680}"/>
    <cellStyle name="Normaali 10 2 3 3" xfId="137" xr:uid="{3CA9C9D9-3B55-4B96-918A-2993FBB1AE72}"/>
    <cellStyle name="Normaali 10 2 4" xfId="89" xr:uid="{9361F3D8-C21A-40D8-B09E-A7DBCC88A4C7}"/>
    <cellStyle name="Normaali 10 2 4 2" xfId="158" xr:uid="{CE3C7CAA-1DD8-4AF6-9B2D-2E84BE7339FE}"/>
    <cellStyle name="Normaali 10 2 5" xfId="117" xr:uid="{70A86011-BD24-4F77-B6D9-ABB2F6FC7FB3}"/>
    <cellStyle name="Normaali 10 2 6" xfId="56" xr:uid="{B8D6D1B2-073E-4E8F-A473-8F933A8B473A}"/>
    <cellStyle name="Normaali 10 3" xfId="94" xr:uid="{EB112B85-0C87-43E2-AC7C-9501C1406F90}"/>
    <cellStyle name="Normaali 10 4" xfId="64" xr:uid="{3C887C91-79D9-42E1-BEF9-6872F5296706}"/>
    <cellStyle name="Normaali 11" xfId="52" xr:uid="{ECC6BB3C-935B-468C-A6A7-F588EC67B972}"/>
    <cellStyle name="Normaali 12" xfId="51" xr:uid="{689207A7-C744-410A-9C40-BC997AEC4EC3}"/>
    <cellStyle name="Normaali 12 2" xfId="171" xr:uid="{D5C3A4A5-48E0-4E4F-AE63-9F17276EAD3A}"/>
    <cellStyle name="Normaali 12 3" xfId="130" xr:uid="{071574B0-9B33-4143-9553-57892FB78CCA}"/>
    <cellStyle name="Normaali 12 4" xfId="106" xr:uid="{51154351-C045-4A7E-848E-14D3503BBDB1}"/>
    <cellStyle name="Normaali 13" xfId="47" xr:uid="{D922C050-4408-47D7-B1EB-BDB16D08BFAD}"/>
    <cellStyle name="Normaali 13 2" xfId="74" xr:uid="{923BE88E-8451-4745-9275-7CA6F453E596}"/>
    <cellStyle name="Normaali 13 2 2" xfId="104" xr:uid="{825F6996-F664-4283-89BC-66E3B6A3CEF1}"/>
    <cellStyle name="Normaali 13 2 2 2" xfId="190" xr:uid="{A05C550F-ACEC-44E2-B99E-7F90F7A11C28}"/>
    <cellStyle name="Normaali 13 2 2 3" xfId="149" xr:uid="{BC0BC5AE-C4DD-4281-8EF6-7E59EAC6B77A}"/>
    <cellStyle name="Normaali 13 2 3" xfId="170" xr:uid="{20F1569D-81CA-4A3A-90FE-B2F925BFD1AD}"/>
    <cellStyle name="Normaali 13 2 4" xfId="129" xr:uid="{CC33F833-B46B-4899-98D8-E89FCD2FEAD1}"/>
    <cellStyle name="Normaali 13 3" xfId="91" xr:uid="{319DDBD4-066B-44D7-ACA9-71795E1CCC08}"/>
    <cellStyle name="Normaali 13 3 2" xfId="180" xr:uid="{98D99D74-8DC0-42F0-9F37-C2D01666751E}"/>
    <cellStyle name="Normaali 13 3 3" xfId="139" xr:uid="{0D1A5DE7-7EEE-44C2-99A4-BA21D43ACEC2}"/>
    <cellStyle name="Normaali 13 4" xfId="160" xr:uid="{8F73C4F2-8C1F-4316-936B-8926483D2469}"/>
    <cellStyle name="Normaali 13 5" xfId="119" xr:uid="{2EA77C89-4EDB-4F5D-BE7C-4718C43FCD6C}"/>
    <cellStyle name="Normaali 13 6" xfId="59" xr:uid="{D0CA03F7-C2B0-49C7-B832-9C43F07227A6}"/>
    <cellStyle name="Normaali 14" xfId="80" xr:uid="{002731FE-C82B-4A69-BE85-9DB65C17B1F8}"/>
    <cellStyle name="Normaali 15" xfId="79" xr:uid="{2DBA8854-F4C6-4CD6-AEB2-4805DB535BB5}"/>
    <cellStyle name="Normaali 15 2" xfId="151" xr:uid="{F8439AF9-3683-4CA5-A52E-EC2B294FED51}"/>
    <cellStyle name="Normaali 16" xfId="107" xr:uid="{0C66D1B7-202D-43D0-B633-49D6EB90A4F7}"/>
    <cellStyle name="Normaali 16 2" xfId="150" xr:uid="{173DBB4E-1D58-485D-82D7-C90B4661899C}"/>
    <cellStyle name="Normaali 17" xfId="110" xr:uid="{9DC92081-4D89-4B44-A93B-D8D23B737F00}"/>
    <cellStyle name="Normaali 18" xfId="109" xr:uid="{40FEE290-CB1C-480B-9F60-AA1EED2C605A}"/>
    <cellStyle name="Normaali 2" xfId="6" xr:uid="{D5014E46-54C9-43AC-A7DA-1996129660E7}"/>
    <cellStyle name="Normaali 2 2" xfId="18" xr:uid="{92B3063F-12F4-4670-838C-3886164D7F37}"/>
    <cellStyle name="Normaali 2 2 2" xfId="32" xr:uid="{738B25AB-76F7-43A1-9B25-4AC2F601A667}"/>
    <cellStyle name="Normaali 2 3" xfId="22" xr:uid="{C451BE9C-3F8D-402C-B804-9B322C8D5C9B}"/>
    <cellStyle name="Normaali 2 4" xfId="31" xr:uid="{003E3F47-27BC-4CD2-96DE-66FCFF58D671}"/>
    <cellStyle name="Normaali 3" xfId="15" xr:uid="{78854980-9A6B-439C-B457-0C716A2BBA0A}"/>
    <cellStyle name="Normaali 3 2" xfId="16" xr:uid="{50D22356-8904-4C0E-A9FF-D3B58400AADF}"/>
    <cellStyle name="Normaali 3 2 2" xfId="98" xr:uid="{00238301-2979-4792-BCBE-6E5B35F8FC08}"/>
    <cellStyle name="Normaali 3 2 2 2" xfId="143" xr:uid="{CBE7EA1D-DD18-48B4-BB4D-3493322B245F}"/>
    <cellStyle name="Normaali 3 2 2 2 2" xfId="184" xr:uid="{5E4A600C-C5A7-47B8-AE63-D9312B739C5D}"/>
    <cellStyle name="Normaali 3 2 2 3" xfId="164" xr:uid="{B7A9F4C2-17E5-49BF-BBF1-429DE4A56732}"/>
    <cellStyle name="Normaali 3 2 2 4" xfId="123" xr:uid="{6CF5E4D2-CB9F-4C74-AD7E-13DA9EDBB743}"/>
    <cellStyle name="Normaali 3 2 3" xfId="84" xr:uid="{13E99F49-7359-4822-B86A-6AEB9FF74750}"/>
    <cellStyle name="Normaali 3 2 3 2" xfId="174" xr:uid="{54874493-FE13-486C-9AF2-A83C41A34419}"/>
    <cellStyle name="Normaali 3 2 3 3" xfId="133" xr:uid="{734748C3-3AFC-4B15-AC1B-907077F5A2BE}"/>
    <cellStyle name="Normaali 3 2 4" xfId="154" xr:uid="{8AE154A6-003E-4903-B2A1-664726AABEA9}"/>
    <cellStyle name="Normaali 3 2 5" xfId="113" xr:uid="{5DF54E19-DD16-4A66-B4B8-F2C88536A8D0}"/>
    <cellStyle name="Normaali 3 2 6" xfId="73" xr:uid="{BDEB2AB1-BFCE-482C-8E5C-EE7E3BCD709C}"/>
    <cellStyle name="Normaali 3 2 7" xfId="194" xr:uid="{D50FAAD6-D86C-4560-B38E-8E64CFCF4B77}"/>
    <cellStyle name="Normaali 3 3" xfId="20" xr:uid="{1BF26007-3286-4C24-911D-1D1365795493}"/>
    <cellStyle name="Normaali 3 3 2" xfId="141" xr:uid="{526888C1-5A98-48BE-BFA5-0CD54248D55A}"/>
    <cellStyle name="Normaali 3 3 2 2" xfId="182" xr:uid="{B55B3C62-AB9E-465E-A009-0040DA89BA9D}"/>
    <cellStyle name="Normaali 3 3 3" xfId="162" xr:uid="{14F3F385-B7C4-41F2-9ED4-1A29FDA1E4FE}"/>
    <cellStyle name="Normaali 3 3 4" xfId="121" xr:uid="{D7AB4F91-A328-41B5-8F3A-A9759801E167}"/>
    <cellStyle name="Normaali 3 3 5" xfId="95" xr:uid="{3D41E12A-2A90-47DC-B502-59A009C02C40}"/>
    <cellStyle name="Normaali 3 3 6" xfId="193" xr:uid="{FCF7AFCC-E63F-47D3-A2B0-2E4DAFA1132B}"/>
    <cellStyle name="Normaali 3 4" xfId="46" xr:uid="{CCC218A9-8E81-4B89-876C-C87B4BF2B476}"/>
    <cellStyle name="Normaali 3 4 2" xfId="172" xr:uid="{68F2D799-6FE5-4678-A0C9-52DD4F031C11}"/>
    <cellStyle name="Normaali 3 4 3" xfId="131" xr:uid="{C482ED75-F094-41A6-832F-C662E5107198}"/>
    <cellStyle name="Normaali 3 4 4" xfId="81" xr:uid="{36EF9B76-D4DB-46FE-AFCE-BE0B026557FC}"/>
    <cellStyle name="Normaali 3 5" xfId="152" xr:uid="{F6A290B7-C781-4FEE-8EE1-859B93487326}"/>
    <cellStyle name="Normaali 3 6" xfId="111" xr:uid="{87B376F3-7C0B-4B2E-B0E6-8032C9B339E8}"/>
    <cellStyle name="Normaali 3 7" xfId="58" xr:uid="{1E917BF1-FE61-413A-9D36-DD335039ECB3}"/>
    <cellStyle name="Normaali 3 8" xfId="192" xr:uid="{EC362F7D-4939-4029-8F7F-148F2E0D1CC7}"/>
    <cellStyle name="Normaali 4" xfId="17" xr:uid="{4B3EFA86-DAA3-44E9-B543-D2992C171014}"/>
    <cellStyle name="Normaali 4 2" xfId="48" xr:uid="{B82B6172-E7AA-43F7-B1AB-BFE13ACA25CE}"/>
    <cellStyle name="Normaali 4 2 2" xfId="96" xr:uid="{C178F766-20C7-46E2-B6AE-4526027AF0C7}"/>
    <cellStyle name="Normaali 4 2 2 2" xfId="183" xr:uid="{9075F107-8BCB-419F-A102-87F6B337267F}"/>
    <cellStyle name="Normaali 4 2 2 3" xfId="142" xr:uid="{1CE5E309-7FD2-4E16-B1E0-D45741BD1802}"/>
    <cellStyle name="Normaali 4 2 3" xfId="163" xr:uid="{5B3E2075-386B-4C56-8893-66705E75EBA7}"/>
    <cellStyle name="Normaali 4 2 4" xfId="122" xr:uid="{A4782037-A1F6-4262-B914-5E5335EDB2E2}"/>
    <cellStyle name="Normaali 4 2 5" xfId="75" xr:uid="{991E821B-00A6-4FC0-A1C1-2DB8D8551083}"/>
    <cellStyle name="Normaali 4 3" xfId="82" xr:uid="{EB18A336-D2C3-4AF1-B38F-92F7CADBA79A}"/>
    <cellStyle name="Normaali 4 3 2" xfId="173" xr:uid="{39374615-532D-4840-850F-31B07FE52DA7}"/>
    <cellStyle name="Normaali 4 3 3" xfId="132" xr:uid="{978F26E8-1AF7-4311-8B53-181045BB05F8}"/>
    <cellStyle name="Normaali 4 4" xfId="153" xr:uid="{4FF687AF-E6ED-4B26-B64A-EB4AC3009449}"/>
    <cellStyle name="Normaali 4 5" xfId="39" xr:uid="{132C0CA4-C1D2-4DE8-9028-BEB4247C3F54}"/>
    <cellStyle name="Normaali 4 6" xfId="112" xr:uid="{5C0EE68C-71D9-452E-BAFA-840865BC6B25}"/>
    <cellStyle name="Normaali 4 7" xfId="60" xr:uid="{B4C15164-9C04-421E-8CD8-406217BDE991}"/>
    <cellStyle name="Normaali 5" xfId="19" xr:uid="{0D56D293-9128-420C-901E-3C5F618343E5}"/>
    <cellStyle name="Normaali 5 2" xfId="76" xr:uid="{0F042D98-F531-47F2-95D5-576AEED44865}"/>
    <cellStyle name="Normaali 5 2 2" xfId="85" xr:uid="{4DEB2014-63E4-4394-ACE4-16489F01DB0E}"/>
    <cellStyle name="Normaali 5 3" xfId="97" xr:uid="{53970872-1011-4987-A41F-F50BC8D3A422}"/>
    <cellStyle name="Normaali 5 4" xfId="83" xr:uid="{5BF6BA37-D9F5-4A53-8E81-7283927F904B}"/>
    <cellStyle name="Normaali 5 5" xfId="61" xr:uid="{DB11DFC0-B2D9-48FD-AE0A-3C629682AACC}"/>
    <cellStyle name="Normaali 6" xfId="21" xr:uid="{495E5FC9-1FF0-4FD0-AE93-C07B31A75024}"/>
    <cellStyle name="Normaali 6 2" xfId="105" xr:uid="{B014EF9B-5689-42A8-BBC3-D1DCEA6C17A2}"/>
    <cellStyle name="Normaali 6 3" xfId="92" xr:uid="{612CB967-4849-4E8F-B00D-B4FBBBCB79AC}"/>
    <cellStyle name="Normaali 6 4" xfId="65" xr:uid="{39634525-F43F-41C6-BF5F-DE2621AFA502}"/>
    <cellStyle name="Normaali 7" xfId="26" xr:uid="{C2EF7724-B485-4F37-B598-EF4426DE41D3}"/>
    <cellStyle name="Normaali 7 2" xfId="37" xr:uid="{A0A7D5F1-3328-4DF4-9055-384C7F8562C7}"/>
    <cellStyle name="Normaali 7 2 2" xfId="42" xr:uid="{5FDB8CAF-C767-4C7F-A384-23FF9E4592DB}"/>
    <cellStyle name="Normaali 7 2 2 2" xfId="72" xr:uid="{084438F8-B469-4854-8C07-B81CB9D1ED3A}"/>
    <cellStyle name="Normaali 7 2 2 2 2" xfId="103" xr:uid="{E8245FC7-9F54-42E8-BCF5-1588E1166A25}"/>
    <cellStyle name="Normaali 7 2 2 2 2 2" xfId="189" xr:uid="{FB26DEE2-8B96-45BD-946D-51770F58850A}"/>
    <cellStyle name="Normaali 7 2 2 2 2 3" xfId="148" xr:uid="{756043D1-CC90-4DE8-B716-C4244616D53F}"/>
    <cellStyle name="Normaali 7 2 2 2 3" xfId="169" xr:uid="{DB426140-D85A-4B34-B5E5-A1B7ACC8337A}"/>
    <cellStyle name="Normaali 7 2 2 2 4" xfId="128" xr:uid="{FE673F88-0C70-4815-8E89-DF51EC0A760A}"/>
    <cellStyle name="Normaali 7 2 2 3" xfId="90" xr:uid="{586AF724-4E07-4640-889F-821DEB57AB20}"/>
    <cellStyle name="Normaali 7 2 2 3 2" xfId="179" xr:uid="{48E4A73C-4F6E-4264-923D-B43E78BFD9B3}"/>
    <cellStyle name="Normaali 7 2 2 3 3" xfId="138" xr:uid="{849162CF-C196-4087-85C0-D4A045927D75}"/>
    <cellStyle name="Normaali 7 2 2 4" xfId="159" xr:uid="{1F342AB9-0A54-44EF-9D3E-08ED640E6F7F}"/>
    <cellStyle name="Normaali 7 2 2 5" xfId="118" xr:uid="{B625EE58-DE49-4072-9F6D-920D0BBABEFE}"/>
    <cellStyle name="Normaali 7 2 2 6" xfId="57" xr:uid="{3768C69A-2203-49E9-9C54-16AAFA5FF166}"/>
    <cellStyle name="Normaali 7 2 3" xfId="100" xr:uid="{C19F9B75-9A1F-47ED-B128-C3730DB948CE}"/>
    <cellStyle name="Normaali 7 2 3 2" xfId="186" xr:uid="{B1D257BC-7724-4688-9A01-EF2622496761}"/>
    <cellStyle name="Normaali 7 2 3 3" xfId="145" xr:uid="{9E16A85A-531A-4728-8C1C-89CE44147213}"/>
    <cellStyle name="Normaali 7 2 4" xfId="166" xr:uid="{7945DB6E-5703-46DF-B26A-D12E0D311823}"/>
    <cellStyle name="Normaali 7 2 5" xfId="125" xr:uid="{F694E5D1-B85D-4CF2-B6E4-DE075246B970}"/>
    <cellStyle name="Normaali 7 2 6" xfId="69" xr:uid="{2B8B5706-E0DB-4A36-BF8A-B2238858B96A}"/>
    <cellStyle name="Normaali 7 3" xfId="40" xr:uid="{1CF18268-B87A-4F85-A872-FBF8AC5456B7}"/>
    <cellStyle name="Normaali 7 3 2" xfId="70" xr:uid="{3DA659AC-6750-4475-8BFA-459502B3A97E}"/>
    <cellStyle name="Normaali 7 3 2 2" xfId="101" xr:uid="{01F0DE1F-D1C1-4EC9-965E-B23783D10CC9}"/>
    <cellStyle name="Normaali 7 3 2 2 2" xfId="187" xr:uid="{6256D3BB-38CA-4620-8E9D-29346C5248FB}"/>
    <cellStyle name="Normaali 7 3 2 2 3" xfId="146" xr:uid="{C35E7CBF-1800-4A00-9516-8A89CAB81119}"/>
    <cellStyle name="Normaali 7 3 2 3" xfId="167" xr:uid="{888BFB2D-FD4B-4454-AFBE-51271955E6FE}"/>
    <cellStyle name="Normaali 7 3 2 4" xfId="126" xr:uid="{0896BB48-4F85-4522-AAC5-2341C29B62E7}"/>
    <cellStyle name="Normaali 7 3 3" xfId="88" xr:uid="{45E045E2-91E1-4B22-98C7-6C7C623F89C0}"/>
    <cellStyle name="Normaali 7 3 3 2" xfId="177" xr:uid="{D5105747-F627-4DA2-9273-2D6345AD649E}"/>
    <cellStyle name="Normaali 7 3 3 3" xfId="136" xr:uid="{08D7E38F-C283-4FA0-89B4-B584F70DE061}"/>
    <cellStyle name="Normaali 7 3 4" xfId="157" xr:uid="{F6CCECB8-66A3-4BE7-A209-4C43859831FB}"/>
    <cellStyle name="Normaali 7 3 5" xfId="116" xr:uid="{CF6C5188-ED18-49F5-B65F-934D9C45A3C7}"/>
    <cellStyle name="Normaali 7 3 6" xfId="55" xr:uid="{AE8711A0-9025-4C81-992B-1A2463E19604}"/>
    <cellStyle name="Normaali 7 4" xfId="87" xr:uid="{C707CEF9-8BFC-4B80-B418-05264945D039}"/>
    <cellStyle name="Normaali 7 4 2" xfId="176" xr:uid="{CBE6D532-83E8-490C-8570-EF810C3B27EA}"/>
    <cellStyle name="Normaali 7 4 3" xfId="135" xr:uid="{DC16EB07-AF6C-47A6-80AE-CE0A368736E0}"/>
    <cellStyle name="Normaali 7 5" xfId="156" xr:uid="{C3E914B6-CBA7-4088-81DD-CE68C18E864D}"/>
    <cellStyle name="Normaali 7 6" xfId="115" xr:uid="{6CABCC09-7282-47B9-92B9-6712AE53D991}"/>
    <cellStyle name="Normaali 7 7" xfId="54" xr:uid="{80072519-86BC-4D9A-9701-1949CF77F8E6}"/>
    <cellStyle name="Normaali 8" xfId="38" xr:uid="{7C5181AB-2069-4082-934E-E8612B43F837}"/>
    <cellStyle name="Normaali 9" xfId="49" xr:uid="{39283B8E-3A88-4409-95D8-5353626A7AD4}"/>
    <cellStyle name="Normaali 9 2" xfId="77" xr:uid="{E8856993-09CA-49A7-BBE6-5A58117B4DF2}"/>
    <cellStyle name="Normaali 9 2 2" xfId="108" xr:uid="{F24E328C-88E8-4DB2-AC73-7F5EE2ADDBF5}"/>
    <cellStyle name="Normaali 9 2 2 2" xfId="181" xr:uid="{11E29C2A-B50C-4929-AC58-A50FF8559164}"/>
    <cellStyle name="Normaali 9 2 3" xfId="140" xr:uid="{146FA8D9-60AD-4A9B-B930-084CDB7F124D}"/>
    <cellStyle name="Normaali 9 3" xfId="93" xr:uid="{CA1ABEBD-2BBF-42C7-87EA-EB7013047D98}"/>
    <cellStyle name="Normaali 9 3 2" xfId="161" xr:uid="{AC965B81-A8EF-486B-890D-A5C4F095D5DF}"/>
    <cellStyle name="Normaali 9 4" xfId="120" xr:uid="{4A86C1AA-BABE-4935-8AB6-F5C4F4BE2F21}"/>
    <cellStyle name="Normaali 9 5" xfId="62" xr:uid="{A1D309BD-E919-4DCF-9DB3-903E3B72E915}"/>
    <cellStyle name="Normal" xfId="0" builtinId="0" customBuiltin="1"/>
    <cellStyle name="Note" xfId="5" builtinId="10" customBuiltin="1"/>
    <cellStyle name="Output" xfId="2" builtinId="21" customBuiltin="1"/>
    <cellStyle name="Per cent" xfId="8" builtinId="5"/>
    <cellStyle name="Prosenttia 2" xfId="27" xr:uid="{503945F3-3945-4068-A9EE-B3D84BC8F303}"/>
    <cellStyle name="Prosenttia 2 2" xfId="34" xr:uid="{7C3A9489-A49F-453B-A5DA-A4D0C4088493}"/>
    <cellStyle name="Prosenttia 2 2 2" xfId="99" xr:uid="{CA6B1282-A9D7-4B35-9DBB-F3C089ECC611}"/>
    <cellStyle name="Prosenttia 2 2 2 2" xfId="185" xr:uid="{F7C69876-FCCD-4A41-8EFF-E20741B34E5A}"/>
    <cellStyle name="Prosenttia 2 2 2 3" xfId="144" xr:uid="{FA701FF7-7C9B-4F79-B5C5-44E38E64D381}"/>
    <cellStyle name="Prosenttia 2 2 3" xfId="165" xr:uid="{C916D48D-D5B8-48A4-B92A-AB8FE0937A43}"/>
    <cellStyle name="Prosenttia 2 2 4" xfId="124" xr:uid="{86424741-C719-4B71-829B-6121AE968F82}"/>
    <cellStyle name="Prosenttia 2 2 5" xfId="68" xr:uid="{8BF7BA30-1BC3-4D58-B164-2F6B61A045A6}"/>
    <cellStyle name="Prosenttia 2 3" xfId="86" xr:uid="{AE97BBEC-DF80-44EF-A4CB-F9852213FF8A}"/>
    <cellStyle name="Prosenttia 2 3 2" xfId="175" xr:uid="{BD070915-9C6C-48F0-97F7-C2E364C651AD}"/>
    <cellStyle name="Prosenttia 2 3 3" xfId="134" xr:uid="{585515DE-8F94-4978-A7BF-D6EF9F46723C}"/>
    <cellStyle name="Prosenttia 2 4" xfId="155" xr:uid="{1D88306E-4753-4B04-9947-B015CFE02C5F}"/>
    <cellStyle name="Prosenttia 2 5" xfId="114" xr:uid="{84FCE639-4DDF-41B5-A4FD-112654934B6B}"/>
    <cellStyle name="Prosenttia 2 6" xfId="53" xr:uid="{8A4DFACA-025C-4355-B185-A9244C1157E4}"/>
    <cellStyle name="Prosenttia 3" xfId="67" xr:uid="{A44B1D26-11E8-4414-976C-E464EF83A950}"/>
    <cellStyle name="Selittävä teksti 2" xfId="66" xr:uid="{103D5AED-C266-467E-BA9C-F590189E84B1}"/>
    <cellStyle name="Syöttö 2" xfId="10" xr:uid="{9652CD16-B47B-4FD7-B9C8-AB4905FEADD6}"/>
    <cellStyle name="Syöttö 2 2" xfId="45" xr:uid="{7F004938-BDA5-4FB9-81AB-DF62D884F346}"/>
    <cellStyle name="Syöttö 3" xfId="13" xr:uid="{BABBFB00-21DE-4FFB-A666-9383132DFB7A}"/>
    <cellStyle name="Syöttö 4" xfId="23" xr:uid="{31489F5F-F898-4065-B6D8-BBFB5F47A872}"/>
    <cellStyle name="Tulostus 10" xfId="43" xr:uid="{B95BE52A-49C3-4730-8E90-CB1A3D6800E7}"/>
    <cellStyle name="Tulostus 2" xfId="11" xr:uid="{2FC676F6-4A7D-4790-BD27-8234C5B23B7F}"/>
    <cellStyle name="Tulostus 2 2" xfId="36" xr:uid="{9AFD3B2D-D0F3-4177-9197-1944F16ED299}"/>
    <cellStyle name="Tulostus 3" xfId="25" xr:uid="{A21EE81A-9336-4C2C-8FE0-B4A7FDE2AC52}"/>
  </cellStyles>
  <dxfs count="13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4D00"/>
        </patternFill>
      </fill>
    </dxf>
    <dxf>
      <fill>
        <patternFill>
          <bgColor rgb="FFFFB300"/>
        </patternFill>
      </fill>
    </dxf>
    <dxf>
      <fill>
        <patternFill>
          <bgColor rgb="FFFFFF00"/>
        </patternFill>
      </fill>
    </dxf>
    <dxf>
      <fill>
        <patternFill>
          <bgColor rgb="FFB3FF00"/>
        </patternFill>
      </fill>
    </dxf>
    <dxf>
      <fill>
        <patternFill>
          <bgColor rgb="FF4DFF00"/>
        </patternFill>
      </fill>
    </dxf>
    <dxf>
      <font>
        <b val="0"/>
        <i val="0"/>
        <color auto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1" tint="0.49998474074526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 style="thin">
          <color auto="1"/>
        </bottom>
      </border>
    </dxf>
    <dxf>
      <font>
        <color theme="0"/>
      </font>
      <border>
        <bottom/>
        <vertical/>
        <horizontal/>
      </border>
    </dxf>
    <dxf>
      <font>
        <color theme="0"/>
      </font>
    </dxf>
    <dxf>
      <font>
        <b/>
        <i val="0"/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C00000"/>
      </font>
    </dxf>
    <dxf>
      <font>
        <b val="0"/>
        <i/>
        <color theme="1" tint="0.49998474074526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 style="thin">
          <color auto="1"/>
        </bottom>
      </border>
    </dxf>
    <dxf>
      <font>
        <color theme="0"/>
      </font>
      <border>
        <bottom/>
        <vertical/>
        <horizontal/>
      </border>
    </dxf>
    <dxf>
      <font>
        <color theme="0"/>
      </font>
    </dxf>
    <dxf>
      <font>
        <b/>
        <i val="0"/>
        <color rgb="FFC0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4D00"/>
        </patternFill>
      </fill>
    </dxf>
    <dxf>
      <fill>
        <patternFill>
          <bgColor rgb="FFFFB300"/>
        </patternFill>
      </fill>
    </dxf>
    <dxf>
      <fill>
        <patternFill>
          <bgColor rgb="FFFFFF00"/>
        </patternFill>
      </fill>
    </dxf>
    <dxf>
      <fill>
        <patternFill>
          <bgColor rgb="FFB3FF00"/>
        </patternFill>
      </fill>
    </dxf>
    <dxf>
      <fill>
        <patternFill>
          <bgColor rgb="FF4DFF00"/>
        </patternFill>
      </fill>
    </dxf>
    <dxf>
      <font>
        <b val="0"/>
        <i val="0"/>
        <color auto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bottom/>
      </border>
    </dxf>
    <dxf>
      <font>
        <color rgb="FFFF0000"/>
      </font>
    </dxf>
    <dxf>
      <font>
        <color rgb="FFC00000"/>
      </font>
    </dxf>
    <dxf>
      <font>
        <b val="0"/>
        <i/>
        <color theme="1" tint="0.49998474074526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 style="thin">
          <color auto="1"/>
        </bottom>
      </border>
    </dxf>
    <dxf>
      <font>
        <color theme="0"/>
      </font>
      <border>
        <bottom/>
        <vertical/>
        <horizontal/>
      </border>
    </dxf>
    <dxf>
      <font>
        <color theme="0"/>
      </font>
    </dxf>
    <dxf>
      <font>
        <b/>
        <i val="0"/>
        <color rgb="FFC0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4D00"/>
        </patternFill>
      </fill>
    </dxf>
    <dxf>
      <fill>
        <patternFill>
          <bgColor rgb="FFFFB300"/>
        </patternFill>
      </fill>
    </dxf>
    <dxf>
      <fill>
        <patternFill>
          <bgColor rgb="FFFFFF00"/>
        </patternFill>
      </fill>
    </dxf>
    <dxf>
      <fill>
        <patternFill>
          <bgColor rgb="FFB3FF00"/>
        </patternFill>
      </fill>
    </dxf>
    <dxf>
      <fill>
        <patternFill>
          <bgColor rgb="FF4DFF00"/>
        </patternFill>
      </fill>
    </dxf>
    <dxf>
      <font>
        <b val="0"/>
        <i val="0"/>
        <color auto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bottom/>
      </border>
    </dxf>
    <dxf>
      <font>
        <color rgb="FFFF0000"/>
      </font>
    </dxf>
    <dxf>
      <font>
        <color rgb="FFC00000"/>
      </font>
    </dxf>
  </dxfs>
  <tableStyles count="1" defaultTableStyle="TableStyleMedium2" defaultPivotStyle="PivotStyleLight16">
    <tableStyle name="Invisible" pivot="0" table="0" count="0" xr9:uid="{BF2C822F-16DD-482D-BA23-177B8A38EA58}"/>
  </tableStyles>
  <colors>
    <mruColors>
      <color rgb="FFFFCCCC"/>
      <color rgb="FFF1F5F9"/>
      <color rgb="FFE4ECF4"/>
      <color rgb="FFF8F8F8"/>
      <color rgb="FFFFFF00"/>
      <color rgb="FFFF0000"/>
      <color rgb="FFF2F2F2"/>
      <color rgb="FFFFFFFF"/>
      <color rgb="FFFDFDFD"/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heetMetadata" Target="metadata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7"/>
          <c:order val="0"/>
          <c:tx>
            <c:strRef>
              <c:f>Tulokset!$C$10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22225"/>
            </c:spPr>
            <c:trendlineType val="poly"/>
            <c:order val="2"/>
            <c:dispRSqr val="0"/>
            <c:dispEq val="0"/>
          </c:trendline>
          <c:xVal>
            <c:numRef>
              <c:f>Tulokset!$AJ$12:$AJ$18</c:f>
              <c:numCache>
                <c:formatCode>0</c:formatCode>
                <c:ptCount val="7"/>
                <c:pt idx="0">
                  <c:v>394.99978706590116</c:v>
                </c:pt>
                <c:pt idx="1">
                  <c:v>345.77885090189358</c:v>
                </c:pt>
                <c:pt idx="2">
                  <c:v>305.9312896965755</c:v>
                </c:pt>
                <c:pt idx="3">
                  <c:v>268.58124964164961</c:v>
                </c:pt>
                <c:pt idx="4">
                  <c:v>219.93739247717846</c:v>
                </c:pt>
                <c:pt idx="5">
                  <c:v>163.20727778859165</c:v>
                </c:pt>
                <c:pt idx="6">
                  <c:v>144.81969406651527</c:v>
                </c:pt>
              </c:numCache>
            </c:numRef>
          </c:xVal>
          <c:yVal>
            <c:numRef>
              <c:f>Tulokset!$AI$12:$AI$18</c:f>
              <c:numCache>
                <c:formatCode>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CDA8-4686-AC45-4853354ECBDE}"/>
            </c:ext>
          </c:extLst>
        </c:ser>
        <c:ser>
          <c:idx val="8"/>
          <c:order val="1"/>
          <c:tx>
            <c:strRef>
              <c:f>Tulokset!$E$10</c:f>
              <c:strCache>
                <c:ptCount val="1"/>
                <c:pt idx="0">
                  <c:v>7,5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Tulokset!$AL$12:$AL$18</c:f>
              <c:numCache>
                <c:formatCode>0</c:formatCode>
                <c:ptCount val="7"/>
                <c:pt idx="0">
                  <c:v>347.42863009139211</c:v>
                </c:pt>
                <c:pt idx="1">
                  <c:v>299.99647040588872</c:v>
                </c:pt>
                <c:pt idx="2">
                  <c:v>267.01590307006563</c:v>
                </c:pt>
                <c:pt idx="3">
                  <c:v>230.48186494130303</c:v>
                </c:pt>
                <c:pt idx="4">
                  <c:v>188.91628166968172</c:v>
                </c:pt>
                <c:pt idx="5">
                  <c:v>139.39684893217751</c:v>
                </c:pt>
                <c:pt idx="6">
                  <c:v>122.11583213972344</c:v>
                </c:pt>
              </c:numCache>
            </c:numRef>
          </c:xVal>
          <c:yVal>
            <c:numRef>
              <c:f>Tulokset!$AK$12:$AK$18</c:f>
              <c:numCache>
                <c:formatCode>0</c:formatCode>
                <c:ptCount val="7"/>
                <c:pt idx="0">
                  <c:v>20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CDA8-4686-AC45-4853354ECBDE}"/>
            </c:ext>
          </c:extLst>
        </c:ser>
        <c:ser>
          <c:idx val="9"/>
          <c:order val="2"/>
          <c:tx>
            <c:strRef>
              <c:f>Tulokset!$G$10</c:f>
              <c:strCache>
                <c:ptCount val="1"/>
                <c:pt idx="0">
                  <c:v>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Tulokset!$AN$12:$AN$17</c:f>
              <c:numCache>
                <c:formatCode>0</c:formatCode>
                <c:ptCount val="6"/>
                <c:pt idx="0">
                  <c:v>212.75137427633652</c:v>
                </c:pt>
                <c:pt idx="1">
                  <c:v>183.74852856962409</c:v>
                </c:pt>
                <c:pt idx="2">
                  <c:v>161.46794292514093</c:v>
                </c:pt>
                <c:pt idx="3">
                  <c:v>137.56160906029334</c:v>
                </c:pt>
                <c:pt idx="4">
                  <c:v>111.61131265417077</c:v>
                </c:pt>
                <c:pt idx="5">
                  <c:v>75.29568053506101</c:v>
                </c:pt>
              </c:numCache>
            </c:numRef>
          </c:xVal>
          <c:yVal>
            <c:numRef>
              <c:f>Tulokset!$AM$12:$AM$17</c:f>
              <c:numCache>
                <c:formatCode>0</c:formatCode>
                <c:ptCount val="6"/>
                <c:pt idx="0">
                  <c:v>12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CDA8-4686-AC45-4853354ECBDE}"/>
            </c:ext>
          </c:extLst>
        </c:ser>
        <c:ser>
          <c:idx val="10"/>
          <c:order val="3"/>
          <c:tx>
            <c:strRef>
              <c:f>Tulokset!$I$10</c:f>
              <c:strCache>
                <c:ptCount val="1"/>
                <c:pt idx="0">
                  <c:v>3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Tulokset!$AP$12:$AP$16</c:f>
              <c:numCache>
                <c:formatCode>0</c:formatCode>
                <c:ptCount val="5"/>
                <c:pt idx="0">
                  <c:v>89.481836024503025</c:v>
                </c:pt>
                <c:pt idx="1">
                  <c:v>72.523685892477275</c:v>
                </c:pt>
                <c:pt idx="2">
                  <c:v>54.906045201213587</c:v>
                </c:pt>
                <c:pt idx="3">
                  <c:v>45.824505867407389</c:v>
                </c:pt>
                <c:pt idx="4">
                  <c:v>36.545409216661788</c:v>
                </c:pt>
              </c:numCache>
            </c:numRef>
          </c:xVal>
          <c:yVal>
            <c:numRef>
              <c:f>Tulokset!$AO$12:$AO$16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CDA8-4686-AC45-4853354ECBDE}"/>
            </c:ext>
          </c:extLst>
        </c:ser>
        <c:ser>
          <c:idx val="11"/>
          <c:order val="4"/>
          <c:tx>
            <c:v>Mitoituspiste tulo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'R-series ALU'!$E$33</c:f>
              <c:numCache>
                <c:formatCode>0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'R-series ALU'!$E$39</c:f>
              <c:numCache>
                <c:formatCode>General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CDA8-4686-AC45-4853354ECBDE}"/>
            </c:ext>
          </c:extLst>
        </c:ser>
        <c:ser>
          <c:idx val="5"/>
          <c:order val="5"/>
          <c:tx>
            <c:v>Mitoituspiste poisto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'R-series ALU'!$G$33</c:f>
              <c:numCache>
                <c:formatCode>0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'R-series ALU'!$G$39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D-CDA8-4686-AC45-4853354ECBDE}"/>
            </c:ext>
          </c:extLst>
        </c:ser>
        <c:ser>
          <c:idx val="0"/>
          <c:order val="6"/>
          <c:tx>
            <c:strRef>
              <c:f>Tulokset!$N$10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Tulokset!$AS$12:$AS$18</c:f>
              <c:numCache>
                <c:formatCode>0</c:formatCode>
                <c:ptCount val="7"/>
                <c:pt idx="0">
                  <c:v>419.52381685678353</c:v>
                </c:pt>
                <c:pt idx="1">
                  <c:v>381.75459086777886</c:v>
                </c:pt>
                <c:pt idx="2">
                  <c:v>350.02481026542023</c:v>
                </c:pt>
                <c:pt idx="3">
                  <c:v>318.87939901413677</c:v>
                </c:pt>
                <c:pt idx="4">
                  <c:v>274.91960210152467</c:v>
                </c:pt>
                <c:pt idx="5">
                  <c:v>212.33102060754882</c:v>
                </c:pt>
                <c:pt idx="6">
                  <c:v>159.39991603654673</c:v>
                </c:pt>
              </c:numCache>
            </c:numRef>
          </c:xVal>
          <c:yVal>
            <c:numRef>
              <c:f>Tulokset!$AR$12:$AR$18</c:f>
              <c:numCache>
                <c:formatCode>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614-4496-ADB2-F65F6734FD35}"/>
            </c:ext>
          </c:extLst>
        </c:ser>
        <c:ser>
          <c:idx val="1"/>
          <c:order val="7"/>
          <c:tx>
            <c:strRef>
              <c:f>Tulokset!$P$10</c:f>
              <c:strCache>
                <c:ptCount val="1"/>
                <c:pt idx="0">
                  <c:v>7,5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Tulokset!$AU$12:$AU$18</c:f>
              <c:numCache>
                <c:formatCode>0</c:formatCode>
                <c:ptCount val="7"/>
                <c:pt idx="0">
                  <c:v>405.67312697140477</c:v>
                </c:pt>
                <c:pt idx="1">
                  <c:v>364.18504668543818</c:v>
                </c:pt>
                <c:pt idx="2">
                  <c:v>333.42560754269954</c:v>
                </c:pt>
                <c:pt idx="3">
                  <c:v>298.66464952678604</c:v>
                </c:pt>
                <c:pt idx="4">
                  <c:v>257.75794307038529</c:v>
                </c:pt>
                <c:pt idx="5">
                  <c:v>205.46301889280178</c:v>
                </c:pt>
                <c:pt idx="6">
                  <c:v>141.31565714474192</c:v>
                </c:pt>
              </c:numCache>
            </c:numRef>
          </c:xVal>
          <c:yVal>
            <c:numRef>
              <c:f>Tulokset!$AT$12:$AT$18</c:f>
              <c:numCache>
                <c:formatCode>0</c:formatCode>
                <c:ptCount val="7"/>
                <c:pt idx="0">
                  <c:v>24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614-4496-ADB2-F65F6734FD35}"/>
            </c:ext>
          </c:extLst>
        </c:ser>
        <c:ser>
          <c:idx val="2"/>
          <c:order val="8"/>
          <c:tx>
            <c:strRef>
              <c:f>Tulokset!$R$10</c:f>
              <c:strCache>
                <c:ptCount val="1"/>
                <c:pt idx="0">
                  <c:v>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Tulokset!$AW$12:$AW$17</c:f>
              <c:numCache>
                <c:formatCode>0</c:formatCode>
                <c:ptCount val="6"/>
                <c:pt idx="0">
                  <c:v>260.22453947844366</c:v>
                </c:pt>
                <c:pt idx="1">
                  <c:v>234.13864556394313</c:v>
                </c:pt>
                <c:pt idx="2">
                  <c:v>209.42372608462733</c:v>
                </c:pt>
                <c:pt idx="3">
                  <c:v>182.21862759396353</c:v>
                </c:pt>
                <c:pt idx="4">
                  <c:v>151.57310872704667</c:v>
                </c:pt>
                <c:pt idx="5">
                  <c:v>70.46976066336677</c:v>
                </c:pt>
              </c:numCache>
            </c:numRef>
          </c:xVal>
          <c:yVal>
            <c:numRef>
              <c:f>Tulokset!$AV$12:$AV$17</c:f>
              <c:numCache>
                <c:formatCode>0</c:formatCode>
                <c:ptCount val="6"/>
                <c:pt idx="0">
                  <c:v>17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614-4496-ADB2-F65F6734FD35}"/>
            </c:ext>
          </c:extLst>
        </c:ser>
        <c:ser>
          <c:idx val="3"/>
          <c:order val="9"/>
          <c:tx>
            <c:strRef>
              <c:f>Tulokset!$T$10</c:f>
              <c:strCache>
                <c:ptCount val="1"/>
                <c:pt idx="0">
                  <c:v>3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Tulokset!$AY$12:$AY$16</c:f>
              <c:numCache>
                <c:formatCode>0</c:formatCode>
                <c:ptCount val="5"/>
                <c:pt idx="0">
                  <c:v>129.96145965454249</c:v>
                </c:pt>
                <c:pt idx="1">
                  <c:v>108.82418946716246</c:v>
                </c:pt>
                <c:pt idx="2">
                  <c:v>83.562157734557772</c:v>
                </c:pt>
                <c:pt idx="3">
                  <c:v>68.339150766280667</c:v>
                </c:pt>
                <c:pt idx="4">
                  <c:v>36.311774408580682</c:v>
                </c:pt>
              </c:numCache>
            </c:numRef>
          </c:xVal>
          <c:yVal>
            <c:numRef>
              <c:f>Tulokset!$AX$12:$AX$16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614-4496-ADB2-F65F6734FD35}"/>
            </c:ext>
          </c:extLst>
        </c:ser>
        <c:ser>
          <c:idx val="4"/>
          <c:order val="10"/>
          <c:tx>
            <c:v>Otsikot tulo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2C5095B8-76DB-6147-9D03-7DF70E6DADC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1614-4496-ADB2-F65F6734FD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26023E5-F13C-744E-AD53-908B799F79A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614-4496-ADB2-F65F6734FD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BAEAC90-177C-E34B-843D-4C8A0E12A6F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614-4496-ADB2-F65F6734FD3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642D516-3776-C84F-B39E-C915DD5D6BA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614-4496-ADB2-F65F6734F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(Tulokset!$AJ$18,Tulokset!$AL$18,Tulokset!$AN$17,Tulokset!$AP$16)</c:f>
              <c:numCache>
                <c:formatCode>0</c:formatCode>
                <c:ptCount val="4"/>
                <c:pt idx="0">
                  <c:v>144.81969406651527</c:v>
                </c:pt>
                <c:pt idx="1">
                  <c:v>122.11583213972344</c:v>
                </c:pt>
                <c:pt idx="2">
                  <c:v>75.29568053506101</c:v>
                </c:pt>
                <c:pt idx="3">
                  <c:v>36.545409216661788</c:v>
                </c:pt>
              </c:numCache>
            </c:numRef>
          </c:xVal>
          <c:yVal>
            <c:numRef>
              <c:f>(Tulokset!$AI$18,Tulokset!$AK$18,Tulokset!$AM$17,Tulokset!$AO$16)</c:f>
              <c:numCache>
                <c:formatCode>0</c:formatCode>
                <c:ptCount val="4"/>
                <c:pt idx="0">
                  <c:v>410</c:v>
                </c:pt>
                <c:pt idx="1">
                  <c:v>315</c:v>
                </c:pt>
                <c:pt idx="2">
                  <c:v>125</c:v>
                </c:pt>
                <c:pt idx="3">
                  <c:v>40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(Tulokset!$C$10,Tulokset!$E$10,Tulokset!$G$10,Tulokset!$I$10)</c15:f>
                <c15:dlblRangeCache>
                  <c:ptCount val="4"/>
                  <c:pt idx="0">
                    <c:v>10 V</c:v>
                  </c:pt>
                  <c:pt idx="1">
                    <c:v>7,5 V</c:v>
                  </c:pt>
                  <c:pt idx="2">
                    <c:v>5 V</c:v>
                  </c:pt>
                  <c:pt idx="3">
                    <c:v>3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1614-4496-ADB2-F65F6734FD35}"/>
            </c:ext>
          </c:extLst>
        </c:ser>
        <c:ser>
          <c:idx val="6"/>
          <c:order val="11"/>
          <c:tx>
            <c:v>Otsikot poisto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81EF2B01-F025-C141-BCC7-91A4FA3266C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1614-4496-ADB2-F65F6734FD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9A6519A-F2C4-1B46-AB4A-A37226176D5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614-4496-ADB2-F65F6734FD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CAF5FD0-4E85-A240-BF14-F1747533E67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614-4496-ADB2-F65F6734FD3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356F334-72C0-BF4B-A053-3661E052C8F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614-4496-ADB2-F65F6734F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fi-FI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(Tulokset!$AS$18,Tulokset!$AU$18,Tulokset!$AW$17,Tulokset!$AY$16)</c:f>
              <c:numCache>
                <c:formatCode>0</c:formatCode>
                <c:ptCount val="4"/>
                <c:pt idx="0">
                  <c:v>159.39991603654673</c:v>
                </c:pt>
                <c:pt idx="1">
                  <c:v>141.31565714474192</c:v>
                </c:pt>
                <c:pt idx="2">
                  <c:v>70.46976066336677</c:v>
                </c:pt>
                <c:pt idx="3">
                  <c:v>36.311774408580682</c:v>
                </c:pt>
              </c:numCache>
            </c:numRef>
          </c:xVal>
          <c:yVal>
            <c:numRef>
              <c:f>(Tulokset!$AR$18,Tulokset!$AT$18,Tulokset!$AV$17,Tulokset!$AX$16)</c:f>
              <c:numCache>
                <c:formatCode>0</c:formatCode>
                <c:ptCount val="4"/>
                <c:pt idx="0">
                  <c:v>422</c:v>
                </c:pt>
                <c:pt idx="1">
                  <c:v>340</c:v>
                </c:pt>
                <c:pt idx="2">
                  <c:v>140</c:v>
                </c:pt>
                <c:pt idx="3">
                  <c:v>43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(Tulokset!$N$10,Tulokset!$P$10,Tulokset!$R$10,Tulokset!$T$10)</c15:f>
                <c15:dlblRangeCache>
                  <c:ptCount val="4"/>
                  <c:pt idx="0">
                    <c:v>10 V</c:v>
                  </c:pt>
                  <c:pt idx="1">
                    <c:v>7,5 V</c:v>
                  </c:pt>
                  <c:pt idx="2">
                    <c:v>5 V</c:v>
                  </c:pt>
                  <c:pt idx="3">
                    <c:v>3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1614-4496-ADB2-F65F6734FD35}"/>
            </c:ext>
          </c:extLst>
        </c:ser>
        <c:ser>
          <c:idx val="13"/>
          <c:order val="12"/>
          <c:tx>
            <c:v>Tehostuspisteet tulo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9525">
                <a:solidFill>
                  <a:schemeClr val="tx1">
                    <a:lumMod val="75000"/>
                    <a:lumOff val="25000"/>
                    <a:alpha val="2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Tulokset!$DB$10:$DB$11</c:f>
              <c:numCache>
                <c:formatCode>0</c:formatCode>
                <c:ptCount val="2"/>
                <c:pt idx="0">
                  <c:v>3.6</c:v>
                </c:pt>
                <c:pt idx="1">
                  <c:v>35</c:v>
                </c:pt>
              </c:numCache>
            </c:numRef>
          </c:xVal>
          <c:yVal>
            <c:numRef>
              <c:f>Tulokset!$DC$10:$DC$11</c:f>
              <c:numCache>
                <c:formatCode>0</c:formatCode>
                <c:ptCount val="2"/>
                <c:pt idx="0">
                  <c:v>0.84636734693877558</c:v>
                </c:pt>
                <c:pt idx="1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761-418C-B229-174E1CE47846}"/>
            </c:ext>
          </c:extLst>
        </c:ser>
        <c:ser>
          <c:idx val="14"/>
          <c:order val="13"/>
          <c:tx>
            <c:v>Tehostuspisteet poisto</c:v>
          </c:tx>
          <c:spPr>
            <a:ln w="19050">
              <a:noFill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B761-418C-B229-174E1CE47846}"/>
              </c:ext>
            </c:extLst>
          </c:dPt>
          <c:trendline>
            <c:spPr>
              <a:ln w="9525">
                <a:solidFill>
                  <a:srgbClr val="FF0000">
                    <a:alpha val="2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Tulokset!$DB$14:$DB$15</c:f>
              <c:numCache>
                <c:formatCode>0</c:formatCode>
                <c:ptCount val="2"/>
                <c:pt idx="0">
                  <c:v>7.2</c:v>
                </c:pt>
                <c:pt idx="1">
                  <c:v>35</c:v>
                </c:pt>
              </c:numCache>
            </c:numRef>
          </c:xVal>
          <c:yVal>
            <c:numRef>
              <c:f>Tulokset!$DC$14:$DC$15</c:f>
              <c:numCache>
                <c:formatCode>0</c:formatCode>
                <c:ptCount val="2"/>
                <c:pt idx="0">
                  <c:v>4.2318367346938777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761-418C-B229-174E1CE47846}"/>
            </c:ext>
          </c:extLst>
        </c:ser>
        <c:ser>
          <c:idx val="15"/>
          <c:order val="14"/>
          <c:tx>
            <c:v>Mitoitusviivat tulo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A3-46DE-987E-24B1A34E8FCD}"/>
              </c:ext>
            </c:extLst>
          </c:dPt>
          <c:trendline>
            <c:spPr>
              <a:ln w="9525">
                <a:solidFill>
                  <a:schemeClr val="tx1">
                    <a:alpha val="6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Tulokset!$DB$11:$DB$12</c:f>
              <c:numCache>
                <c:formatCode>0</c:formatCode>
                <c:ptCount val="2"/>
                <c:pt idx="0">
                  <c:v>35</c:v>
                </c:pt>
                <c:pt idx="1">
                  <c:v>42</c:v>
                </c:pt>
              </c:numCache>
            </c:numRef>
          </c:xVal>
          <c:yVal>
            <c:numRef>
              <c:f>Tulokset!$DC$11:$DC$12</c:f>
              <c:numCache>
                <c:formatCode>0</c:formatCode>
                <c:ptCount val="2"/>
                <c:pt idx="0">
                  <c:v>80</c:v>
                </c:pt>
                <c:pt idx="1">
                  <c:v>115.19999999999999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761-418C-B229-174E1CE47846}"/>
            </c:ext>
          </c:extLst>
        </c:ser>
        <c:ser>
          <c:idx val="16"/>
          <c:order val="15"/>
          <c:tx>
            <c:v>Tehostusviivat poisto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rgbClr val="FF0000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rgbClr val="FF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A3-46DE-987E-24B1A34E8FCD}"/>
              </c:ext>
            </c:extLst>
          </c:dPt>
          <c:trendline>
            <c:spPr>
              <a:ln w="9525">
                <a:solidFill>
                  <a:srgbClr val="FF0000">
                    <a:alpha val="6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Tulokset!$DB$15:$DB$16</c:f>
              <c:numCache>
                <c:formatCode>0</c:formatCode>
                <c:ptCount val="2"/>
                <c:pt idx="0">
                  <c:v>35</c:v>
                </c:pt>
                <c:pt idx="1">
                  <c:v>42</c:v>
                </c:pt>
              </c:numCache>
            </c:numRef>
          </c:xVal>
          <c:yVal>
            <c:numRef>
              <c:f>Tulokset!$DC$15:$DC$16</c:f>
              <c:numCache>
                <c:formatCode>0</c:formatCode>
                <c:ptCount val="2"/>
                <c:pt idx="0">
                  <c:v>100</c:v>
                </c:pt>
                <c:pt idx="1">
                  <c:v>143.99999999999997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761-418C-B229-174E1CE47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Tulokset!$AK$6</c:f>
              <c:strCache>
                <c:ptCount val="1"/>
                <c:pt idx="0">
                  <c:v>Natężenie przepływu powietrza [m³/h]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Kirjasto!$M$5</c:f>
              <c:strCache>
                <c:ptCount val="1"/>
                <c:pt idx="0">
                  <c:v>Różnica ciśnień [Pa]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</c:plotArea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7.4974059348454011E-2"/>
                  <c:y val="-0.14711514087057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C5'!$N$59:$N$62</c:f>
              <c:numCache>
                <c:formatCode>0.0</c:formatCode>
                <c:ptCount val="4"/>
                <c:pt idx="0">
                  <c:v>629.17768837462597</c:v>
                </c:pt>
                <c:pt idx="1">
                  <c:v>532.65794809164368</c:v>
                </c:pt>
                <c:pt idx="2">
                  <c:v>450.08128754152114</c:v>
                </c:pt>
                <c:pt idx="3">
                  <c:v>348.23126989901903</c:v>
                </c:pt>
              </c:numCache>
            </c:numRef>
          </c:xVal>
          <c:yVal>
            <c:numRef>
              <c:f>'Laskenta tulopuoli C5'!$O$59:$O$62</c:f>
              <c:numCache>
                <c:formatCode>0.0</c:formatCode>
                <c:ptCount val="4"/>
                <c:pt idx="0">
                  <c:v>75.462279505439284</c:v>
                </c:pt>
                <c:pt idx="1">
                  <c:v>75.545028409837727</c:v>
                </c:pt>
                <c:pt idx="2">
                  <c:v>76.90227839282656</c:v>
                </c:pt>
                <c:pt idx="3">
                  <c:v>80.924803422663771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2A-4936-BFA6-8941DF9A6A48}"/>
            </c:ext>
          </c:extLst>
        </c:ser>
        <c:ser>
          <c:idx val="1"/>
          <c:order val="1"/>
          <c:tx>
            <c:strRef>
              <c:f>'Laskenta tulopuoli C5'!$C$64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12655566343080063"/>
                  <c:y val="7.48404342000434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2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C5'!$N$64:$N$67</c:f>
              <c:numCache>
                <c:formatCode>0.0</c:formatCode>
                <c:ptCount val="4"/>
                <c:pt idx="0">
                  <c:v>549.80364039694439</c:v>
                </c:pt>
                <c:pt idx="1">
                  <c:v>468.9663385731302</c:v>
                </c:pt>
                <c:pt idx="2">
                  <c:v>390.47715559199054</c:v>
                </c:pt>
                <c:pt idx="3">
                  <c:v>288.52325300426202</c:v>
                </c:pt>
              </c:numCache>
            </c:numRef>
          </c:xVal>
          <c:yVal>
            <c:numRef>
              <c:f>'Laskenta tulopuoli C5'!$O$64:$O$67</c:f>
              <c:numCache>
                <c:formatCode>0.0</c:formatCode>
                <c:ptCount val="4"/>
                <c:pt idx="0">
                  <c:v>72.753765860813573</c:v>
                </c:pt>
                <c:pt idx="1">
                  <c:v>72.714694319392635</c:v>
                </c:pt>
                <c:pt idx="2">
                  <c:v>74.279931700530938</c:v>
                </c:pt>
                <c:pt idx="3">
                  <c:v>77.576983980648919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2A-4936-BFA6-8941DF9A6A48}"/>
            </c:ext>
          </c:extLst>
        </c:ser>
        <c:ser>
          <c:idx val="2"/>
          <c:order val="2"/>
          <c:tx>
            <c:strRef>
              <c:f>'Laskenta tulopuoli C5'!$C$69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18146213201548506"/>
                  <c:y val="8.454950387484609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3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C5'!$N$69:$N$72</c:f>
              <c:numCache>
                <c:formatCode>0.0</c:formatCode>
                <c:ptCount val="4"/>
                <c:pt idx="0">
                  <c:v>395.54495018994675</c:v>
                </c:pt>
                <c:pt idx="1">
                  <c:v>345.88484092861643</c:v>
                </c:pt>
                <c:pt idx="2">
                  <c:v>286.08482041588422</c:v>
                </c:pt>
                <c:pt idx="3">
                  <c:v>208.46631996655969</c:v>
                </c:pt>
              </c:numCache>
            </c:numRef>
          </c:xVal>
          <c:yVal>
            <c:numRef>
              <c:f>'Laskenta tulopuoli C5'!$O$69:$O$72</c:f>
              <c:numCache>
                <c:formatCode>0.0</c:formatCode>
                <c:ptCount val="4"/>
                <c:pt idx="0">
                  <c:v>67.733794046754298</c:v>
                </c:pt>
                <c:pt idx="1">
                  <c:v>66.324854410521937</c:v>
                </c:pt>
                <c:pt idx="2">
                  <c:v>67.682274039692331</c:v>
                </c:pt>
                <c:pt idx="3">
                  <c:v>68.582481035887938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52A-4936-BFA6-8941DF9A6A48}"/>
            </c:ext>
          </c:extLst>
        </c:ser>
        <c:ser>
          <c:idx val="3"/>
          <c:order val="3"/>
          <c:tx>
            <c:strRef>
              <c:f>'Laskenta tulopuoli C5'!$C$74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23050945980553275"/>
                  <c:y val="4.884931556456869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4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C5'!$N$74:$N$77</c:f>
              <c:numCache>
                <c:formatCode>0.0</c:formatCode>
                <c:ptCount val="4"/>
                <c:pt idx="0">
                  <c:v>245.95007777378834</c:v>
                </c:pt>
                <c:pt idx="1">
                  <c:v>212.4938738313096</c:v>
                </c:pt>
                <c:pt idx="2">
                  <c:v>178.25322186533424</c:v>
                </c:pt>
                <c:pt idx="3">
                  <c:v>133.67050235069436</c:v>
                </c:pt>
              </c:numCache>
            </c:numRef>
          </c:xVal>
          <c:yVal>
            <c:numRef>
              <c:f>'Laskenta tulopuoli C5'!$O$74:$O$77</c:f>
              <c:numCache>
                <c:formatCode>0.0</c:formatCode>
                <c:ptCount val="4"/>
                <c:pt idx="0">
                  <c:v>56.064320354440241</c:v>
                </c:pt>
                <c:pt idx="1">
                  <c:v>55.848634076637381</c:v>
                </c:pt>
                <c:pt idx="2">
                  <c:v>57.266066149065502</c:v>
                </c:pt>
                <c:pt idx="3">
                  <c:v>59.021513629604186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52A-4936-BFA6-8941DF9A6A48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0.13903518385871783"/>
                  <c:y val="-0.1576813391757803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C5'!$AC$34:$AC$37</c:f>
              <c:numCache>
                <c:formatCode>0.0</c:formatCode>
                <c:ptCount val="4"/>
                <c:pt idx="0">
                  <c:v>607.51258153431093</c:v>
                </c:pt>
                <c:pt idx="1">
                  <c:v>536.00556116047687</c:v>
                </c:pt>
                <c:pt idx="2">
                  <c:v>385.83471671142053</c:v>
                </c:pt>
                <c:pt idx="3">
                  <c:v>242.8170625318144</c:v>
                </c:pt>
              </c:numCache>
            </c:numRef>
          </c:xVal>
          <c:yVal>
            <c:numRef>
              <c:f>'Laskenta tulopuoli C5'!$AG$34:$AG$37</c:f>
              <c:numCache>
                <c:formatCode>0.0</c:formatCode>
                <c:ptCount val="4"/>
                <c:pt idx="0">
                  <c:v>75.033071046244473</c:v>
                </c:pt>
                <c:pt idx="1">
                  <c:v>72.347086090049288</c:v>
                </c:pt>
                <c:pt idx="2">
                  <c:v>67.110601049553281</c:v>
                </c:pt>
                <c:pt idx="3">
                  <c:v>55.737964739063713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52A-4936-BFA6-8941DF9A6A48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C5'!$J$3</c:f>
              <c:numCache>
                <c:formatCode>0</c:formatCode>
                <c:ptCount val="1"/>
                <c:pt idx="0">
                  <c:v>450</c:v>
                </c:pt>
              </c:numCache>
            </c:numRef>
          </c:xVal>
          <c:yVal>
            <c:numRef>
              <c:f>'Laskenta tulopuoli C5'!$W$6</c:f>
              <c:numCache>
                <c:formatCode>0.0</c:formatCode>
                <c:ptCount val="1"/>
                <c:pt idx="0">
                  <c:v>69.091859588864153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52A-4936-BFA6-8941DF9A6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250_ENT'!$AA$4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250_ENT'!$AB$6:$AB$12</c:f>
              <c:numCache>
                <c:formatCode>0.0</c:formatCode>
                <c:ptCount val="7"/>
                <c:pt idx="0">
                  <c:v>284.56661771345591</c:v>
                </c:pt>
                <c:pt idx="1">
                  <c:v>274.01709916267305</c:v>
                </c:pt>
                <c:pt idx="2">
                  <c:v>255.25944979538457</c:v>
                </c:pt>
                <c:pt idx="3">
                  <c:v>234.65181680226124</c:v>
                </c:pt>
                <c:pt idx="4">
                  <c:v>195.92184836006501</c:v>
                </c:pt>
                <c:pt idx="5">
                  <c:v>150.95868441192366</c:v>
                </c:pt>
                <c:pt idx="6">
                  <c:v>112.95321319754504</c:v>
                </c:pt>
              </c:numCache>
            </c:numRef>
          </c:xVal>
          <c:yVal>
            <c:numRef>
              <c:f>'Laskenta tulopuoli 250_ENT'!$AA$6:$AA$12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470-4B8D-84E1-3CD40AFC289B}"/>
            </c:ext>
          </c:extLst>
        </c:ser>
        <c:ser>
          <c:idx val="1"/>
          <c:order val="1"/>
          <c:tx>
            <c:strRef>
              <c:f>'Laskenta tulopuoli 250_ENT'!$AC$4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250_ENT'!$AD$6:$AD$12</c:f>
              <c:numCache>
                <c:formatCode>0.0</c:formatCode>
                <c:ptCount val="7"/>
                <c:pt idx="0">
                  <c:v>284.56661771345591</c:v>
                </c:pt>
                <c:pt idx="1">
                  <c:v>274.01709916267305</c:v>
                </c:pt>
                <c:pt idx="2">
                  <c:v>255.25944979538457</c:v>
                </c:pt>
                <c:pt idx="3">
                  <c:v>234.65181680226124</c:v>
                </c:pt>
                <c:pt idx="4">
                  <c:v>195.92184836006501</c:v>
                </c:pt>
                <c:pt idx="5">
                  <c:v>150.95868441192366</c:v>
                </c:pt>
                <c:pt idx="6">
                  <c:v>112.95321319754504</c:v>
                </c:pt>
              </c:numCache>
            </c:numRef>
          </c:xVal>
          <c:yVal>
            <c:numRef>
              <c:f>'Laskenta tulopuoli 250_ENT'!$AC$6:$AC$12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470-4B8D-84E1-3CD40AFC289B}"/>
            </c:ext>
          </c:extLst>
        </c:ser>
        <c:ser>
          <c:idx val="2"/>
          <c:order val="2"/>
          <c:tx>
            <c:strRef>
              <c:f>'Laskenta tulopuoli 250_ENT'!$AE$4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250_ENT'!$AF$6:$AF$11</c:f>
              <c:numCache>
                <c:formatCode>0.0</c:formatCode>
                <c:ptCount val="6"/>
                <c:pt idx="0">
                  <c:v>220.0272127426278</c:v>
                </c:pt>
                <c:pt idx="1">
                  <c:v>202.04778027579948</c:v>
                </c:pt>
                <c:pt idx="2">
                  <c:v>181.71413323981204</c:v>
                </c:pt>
                <c:pt idx="3">
                  <c:v>157.7532490276617</c:v>
                </c:pt>
                <c:pt idx="4">
                  <c:v>127.0242914387899</c:v>
                </c:pt>
                <c:pt idx="5">
                  <c:v>83.35848194712591</c:v>
                </c:pt>
              </c:numCache>
            </c:numRef>
          </c:xVal>
          <c:yVal>
            <c:numRef>
              <c:f>'Laskenta tulopuoli 250_ENT'!$AE$6:$AE$11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470-4B8D-84E1-3CD40AFC289B}"/>
            </c:ext>
          </c:extLst>
        </c:ser>
        <c:ser>
          <c:idx val="3"/>
          <c:order val="3"/>
          <c:tx>
            <c:strRef>
              <c:f>'Laskenta tulopuoli 250_ENT'!$AG$4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250_ENT'!$AH$6:$AH$10</c:f>
              <c:numCache>
                <c:formatCode>0.0</c:formatCode>
                <c:ptCount val="5"/>
                <c:pt idx="0">
                  <c:v>128.55190799708276</c:v>
                </c:pt>
                <c:pt idx="1">
                  <c:v>120.45799561693227</c:v>
                </c:pt>
                <c:pt idx="2">
                  <c:v>102.64509341270374</c:v>
                </c:pt>
                <c:pt idx="3">
                  <c:v>81.682443931248443</c:v>
                </c:pt>
                <c:pt idx="4">
                  <c:v>54.882637981725303</c:v>
                </c:pt>
              </c:numCache>
            </c:numRef>
          </c:xVal>
          <c:yVal>
            <c:numRef>
              <c:f>'Laskenta tulopuoli 250_ENT'!$AG$6:$AG$10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470-4B8D-84E1-3CD40AFC289B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250_ENT'!$L$3</c:f>
              <c:numCache>
                <c:formatCode>0.0</c:formatCode>
                <c:ptCount val="1"/>
                <c:pt idx="0">
                  <c:v>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470-4B8D-84E1-3CD40AFC289B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250_ENT'!$AC$34:$AC$37</c:f>
              <c:numCache>
                <c:formatCode>0.0</c:formatCode>
                <c:ptCount val="4"/>
                <c:pt idx="0">
                  <c:v>102.30222754939838</c:v>
                </c:pt>
                <c:pt idx="1">
                  <c:v>82.516497657439885</c:v>
                </c:pt>
                <c:pt idx="2">
                  <c:v>58.577996607238198</c:v>
                </c:pt>
                <c:pt idx="3">
                  <c:v>37.915875474993129</c:v>
                </c:pt>
              </c:numCache>
            </c:numRef>
          </c:xVal>
          <c:yVal>
            <c:numRef>
              <c:f>'Laskenta tulopuoli 250_ENT'!$AD$34:$AD$37</c:f>
              <c:numCache>
                <c:formatCode>0.0</c:formatCode>
                <c:ptCount val="4"/>
                <c:pt idx="0">
                  <c:v>651.05311233567716</c:v>
                </c:pt>
                <c:pt idx="1">
                  <c:v>423.57255416653271</c:v>
                </c:pt>
                <c:pt idx="2">
                  <c:v>213.45939195488748</c:v>
                </c:pt>
                <c:pt idx="3">
                  <c:v>89.431067639692799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470-4B8D-84E1-3CD40AFC289B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250_ENT'!$O$22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250_ENT'!$O$23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470-4B8D-84E1-3CD40AFC2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250_ENT'!$AM$60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250_ENT'!$AN$60:$AN$67</c:f>
              <c:numCache>
                <c:formatCode>0.0</c:formatCode>
                <c:ptCount val="8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</c:numCache>
            </c:numRef>
          </c:xVal>
          <c:yVal>
            <c:numRef>
              <c:f>'Laskenta tulopuoli 250_ENT'!$AO$60:$AO$67</c:f>
              <c:numCache>
                <c:formatCode>0.0</c:formatCode>
                <c:ptCount val="8"/>
                <c:pt idx="0">
                  <c:v>722.42610700384864</c:v>
                </c:pt>
                <c:pt idx="1">
                  <c:v>739.53034803011769</c:v>
                </c:pt>
                <c:pt idx="2">
                  <c:v>717.88057288445566</c:v>
                </c:pt>
                <c:pt idx="3">
                  <c:v>675.41900858718213</c:v>
                </c:pt>
                <c:pt idx="4">
                  <c:v>623.23687622746013</c:v>
                </c:pt>
                <c:pt idx="5">
                  <c:v>572.2874906916403</c:v>
                </c:pt>
                <c:pt idx="6">
                  <c:v>618.04528681032571</c:v>
                </c:pt>
                <c:pt idx="7">
                  <c:v>562.76723154802846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2C-4817-82E1-A94C1181E3F0}"/>
            </c:ext>
          </c:extLst>
        </c:ser>
        <c:ser>
          <c:idx val="1"/>
          <c:order val="1"/>
          <c:tx>
            <c:strRef>
              <c:f>'Laskenta tulopuoli 250_ENT'!$AM$71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250_ENT'!$AN$71:$AN$78</c:f>
              <c:numCache>
                <c:formatCode>0.0</c:formatCode>
                <c:ptCount val="8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</c:numCache>
            </c:numRef>
          </c:xVal>
          <c:yVal>
            <c:numRef>
              <c:f>'Laskenta tulopuoli 250_ENT'!$AO$71:$AO$78</c:f>
              <c:numCache>
                <c:formatCode>0.0</c:formatCode>
                <c:ptCount val="8"/>
                <c:pt idx="0">
                  <c:v>480.47740951140975</c:v>
                </c:pt>
                <c:pt idx="1">
                  <c:v>499.25319556455048</c:v>
                </c:pt>
                <c:pt idx="2">
                  <c:v>489.60273417160482</c:v>
                </c:pt>
                <c:pt idx="3">
                  <c:v>465.36220734164971</c:v>
                </c:pt>
                <c:pt idx="4">
                  <c:v>405.83209680812467</c:v>
                </c:pt>
                <c:pt idx="5">
                  <c:v>432.65135686837277</c:v>
                </c:pt>
                <c:pt idx="6">
                  <c:v>433.6376239036544</c:v>
                </c:pt>
                <c:pt idx="7">
                  <c:v>410.00831718529457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F2C-4817-82E1-A94C1181E3F0}"/>
            </c:ext>
          </c:extLst>
        </c:ser>
        <c:ser>
          <c:idx val="2"/>
          <c:order val="2"/>
          <c:tx>
            <c:strRef>
              <c:f>'Laskenta tulopuoli 250_ENT'!$AM$82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250_ENT'!$AN$82:$AN$89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250_ENT'!$AO$82:$AO$89</c:f>
              <c:numCache>
                <c:formatCode>0.0</c:formatCode>
                <c:ptCount val="8"/>
                <c:pt idx="0">
                  <c:v>265.00501232977552</c:v>
                </c:pt>
                <c:pt idx="1">
                  <c:v>275.72121747030798</c:v>
                </c:pt>
                <c:pt idx="2">
                  <c:v>277.98938334266228</c:v>
                </c:pt>
                <c:pt idx="3">
                  <c:v>260.1718305683068</c:v>
                </c:pt>
                <c:pt idx="4">
                  <c:v>256.38645724089372</c:v>
                </c:pt>
                <c:pt idx="5">
                  <c:v>247.75451315166487</c:v>
                </c:pt>
                <c:pt idx="6">
                  <c:v>256.27772092943292</c:v>
                </c:pt>
                <c:pt idx="7">
                  <c:v>237.96625636891571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F2C-4817-82E1-A94C1181E3F0}"/>
            </c:ext>
          </c:extLst>
        </c:ser>
        <c:ser>
          <c:idx val="3"/>
          <c:order val="3"/>
          <c:tx>
            <c:strRef>
              <c:f>'Laskenta tulopuoli 250_ENT'!$AM$93</c:f>
              <c:strCache>
                <c:ptCount val="1"/>
                <c:pt idx="0">
                  <c:v>¤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250_ENT'!$AN$93:$AN$99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250_ENT'!$AO$93:$AO$99</c:f>
              <c:numCache>
                <c:formatCode>0.0</c:formatCode>
                <c:ptCount val="7"/>
                <c:pt idx="0">
                  <c:v>115.4382451776105</c:v>
                </c:pt>
                <c:pt idx="1">
                  <c:v>116.49698561821329</c:v>
                </c:pt>
                <c:pt idx="2">
                  <c:v>119.17840227299482</c:v>
                </c:pt>
                <c:pt idx="3">
                  <c:v>118.07500366378952</c:v>
                </c:pt>
                <c:pt idx="4">
                  <c:v>114.88763761184336</c:v>
                </c:pt>
                <c:pt idx="5">
                  <c:v>116.44711487432268</c:v>
                </c:pt>
                <c:pt idx="6">
                  <c:v>113.88939116261066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F2C-4817-82E1-A94C1181E3F0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250_ENT'!$AC$34:$AC$37</c:f>
              <c:numCache>
                <c:formatCode>0.0</c:formatCode>
                <c:ptCount val="4"/>
                <c:pt idx="0">
                  <c:v>102.30222754939838</c:v>
                </c:pt>
                <c:pt idx="1">
                  <c:v>82.516497657439885</c:v>
                </c:pt>
                <c:pt idx="2">
                  <c:v>58.577996607238198</c:v>
                </c:pt>
                <c:pt idx="3">
                  <c:v>37.915875474993129</c:v>
                </c:pt>
              </c:numCache>
            </c:numRef>
          </c:xVal>
          <c:yVal>
            <c:numRef>
              <c:f>'Laskenta tulopuoli 250_ENT'!$AL$34:$AL$37</c:f>
              <c:numCache>
                <c:formatCode>General</c:formatCode>
                <c:ptCount val="4"/>
                <c:pt idx="0">
                  <c:v>668.50506554139042</c:v>
                </c:pt>
                <c:pt idx="1">
                  <c:v>449.79401956446526</c:v>
                </c:pt>
                <c:pt idx="2">
                  <c:v>251.50373062372893</c:v>
                </c:pt>
                <c:pt idx="3">
                  <c:v>111.98223253163167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F2C-4817-82E1-A94C1181E3F0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250_ENT'!$W$2</c:f>
              <c:numCache>
                <c:formatCode>0.0</c:formatCode>
                <c:ptCount val="1"/>
                <c:pt idx="0">
                  <c:v>96.51553084621105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F2C-4817-82E1-A94C1181E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ENTALPIAKENNO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4527191434698623"/>
                  <c:y val="0.234953713154081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250_ENT'!$BE$11:$BE$18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tulopuoli 250_ENT'!$BF$11:$BF$18</c:f>
              <c:numCache>
                <c:formatCode>General</c:formatCode>
                <c:ptCount val="8"/>
                <c:pt idx="0">
                  <c:v>0</c:v>
                </c:pt>
                <c:pt idx="1">
                  <c:v>16.899999999999999</c:v>
                </c:pt>
                <c:pt idx="2">
                  <c:v>40.56</c:v>
                </c:pt>
                <c:pt idx="3">
                  <c:v>71.47</c:v>
                </c:pt>
                <c:pt idx="4">
                  <c:v>109.6</c:v>
                </c:pt>
                <c:pt idx="5">
                  <c:v>155.1</c:v>
                </c:pt>
                <c:pt idx="6">
                  <c:v>207.8</c:v>
                </c:pt>
                <c:pt idx="7">
                  <c:v>267.7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40-45E1-93C2-43B4DFE7C331}"/>
            </c:ext>
          </c:extLst>
        </c:ser>
        <c:ser>
          <c:idx val="1"/>
          <c:order val="1"/>
          <c:tx>
            <c:v>ALUMIINIKENNO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5294614621975118"/>
                  <c:y val="2.718924313674011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250_ENT'!$BE$11:$BE$18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tulopuoli 250_ENT'!$BG$11:$BG$18</c:f>
              <c:numCache>
                <c:formatCode>General</c:formatCode>
                <c:ptCount val="8"/>
                <c:pt idx="0">
                  <c:v>0</c:v>
                </c:pt>
                <c:pt idx="1">
                  <c:v>19</c:v>
                </c:pt>
                <c:pt idx="2">
                  <c:v>48</c:v>
                </c:pt>
                <c:pt idx="3">
                  <c:v>85</c:v>
                </c:pt>
                <c:pt idx="4">
                  <c:v>125</c:v>
                </c:pt>
                <c:pt idx="5">
                  <c:v>167</c:v>
                </c:pt>
                <c:pt idx="6">
                  <c:v>229</c:v>
                </c:pt>
                <c:pt idx="7">
                  <c:v>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40-45E1-93C2-43B4DFE7C331}"/>
            </c:ext>
          </c:extLst>
        </c:ser>
        <c:ser>
          <c:idx val="2"/>
          <c:order val="2"/>
          <c:tx>
            <c:v>EROTUS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5.4345394097130212E-2"/>
                  <c:y val="-0.174919934653864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250_ENT'!$BE$11:$BE$18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tulopuoli 250_ENT'!$BH$11:$BH$18</c:f>
              <c:numCache>
                <c:formatCode>General</c:formatCode>
                <c:ptCount val="8"/>
                <c:pt idx="0">
                  <c:v>0</c:v>
                </c:pt>
                <c:pt idx="1">
                  <c:v>-2.1000000000000014</c:v>
                </c:pt>
                <c:pt idx="2">
                  <c:v>-7.4399999999999977</c:v>
                </c:pt>
                <c:pt idx="3">
                  <c:v>-13.530000000000001</c:v>
                </c:pt>
                <c:pt idx="4">
                  <c:v>-15.400000000000006</c:v>
                </c:pt>
                <c:pt idx="5">
                  <c:v>-11.900000000000006</c:v>
                </c:pt>
                <c:pt idx="6">
                  <c:v>-21.199999999999989</c:v>
                </c:pt>
                <c:pt idx="7">
                  <c:v>-36.300000000000011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40-45E1-93C2-43B4DFE7C331}"/>
            </c:ext>
          </c:extLst>
        </c:ser>
        <c:ser>
          <c:idx val="3"/>
          <c:order val="3"/>
          <c:tx>
            <c:v>Testejä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250_ENT'!$BF$38:$BF$43</c:f>
              <c:numCache>
                <c:formatCode>General</c:formatCode>
                <c:ptCount val="6"/>
                <c:pt idx="0">
                  <c:v>300</c:v>
                </c:pt>
                <c:pt idx="1">
                  <c:v>200</c:v>
                </c:pt>
                <c:pt idx="2">
                  <c:v>100</c:v>
                </c:pt>
                <c:pt idx="3">
                  <c:v>150</c:v>
                </c:pt>
                <c:pt idx="4">
                  <c:v>75</c:v>
                </c:pt>
                <c:pt idx="5">
                  <c:v>50</c:v>
                </c:pt>
              </c:numCache>
            </c:numRef>
          </c:xVal>
          <c:yVal>
            <c:numRef>
              <c:f>'Laskenta tulopuoli 250_ENT'!$BJ$38:$BJ$43</c:f>
              <c:numCache>
                <c:formatCode>0.0</c:formatCode>
                <c:ptCount val="6"/>
                <c:pt idx="0">
                  <c:v>-24.787202380952465</c:v>
                </c:pt>
                <c:pt idx="1">
                  <c:v>-13.431369047619</c:v>
                </c:pt>
                <c:pt idx="2">
                  <c:v>-5.6341071428571468</c:v>
                </c:pt>
                <c:pt idx="3">
                  <c:v>-9.0879166666666436</c:v>
                </c:pt>
                <c:pt idx="4">
                  <c:v>-4.2408184523809496</c:v>
                </c:pt>
                <c:pt idx="5">
                  <c:v>-3.0699404761904816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F40-45E1-93C2-43B4DFE7C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1361311"/>
        <c:axId val="1461356511"/>
      </c:scatterChart>
      <c:valAx>
        <c:axId val="1461361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61356511"/>
        <c:crosses val="autoZero"/>
        <c:crossBetween val="midCat"/>
      </c:valAx>
      <c:valAx>
        <c:axId val="1461356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61361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Tulopuoli, </a:t>
            </a:r>
            <a:r>
              <a:rPr lang="fi-FI">
                <a:solidFill>
                  <a:schemeClr val="accent1"/>
                </a:solidFill>
              </a:rPr>
              <a:t>alumiini-</a:t>
            </a:r>
            <a:r>
              <a:rPr lang="fi-FI"/>
              <a:t> ja </a:t>
            </a:r>
            <a:r>
              <a:rPr lang="fi-FI">
                <a:solidFill>
                  <a:schemeClr val="accent2"/>
                </a:solidFill>
              </a:rPr>
              <a:t>entalpia</a:t>
            </a:r>
            <a:r>
              <a:rPr lang="fi-FI"/>
              <a:t>kennot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7.5V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250_ENT'!$BO$36:$BO$42</c:f>
              <c:numCache>
                <c:formatCode>0.0</c:formatCode>
                <c:ptCount val="7"/>
                <c:pt idx="0">
                  <c:v>276.93002872317612</c:v>
                </c:pt>
                <c:pt idx="1">
                  <c:v>266.48733485462003</c:v>
                </c:pt>
                <c:pt idx="2">
                  <c:v>247.90855499235673</c:v>
                </c:pt>
                <c:pt idx="3">
                  <c:v>227.47673751838894</c:v>
                </c:pt>
                <c:pt idx="4">
                  <c:v>188.98765340427627</c:v>
                </c:pt>
                <c:pt idx="5">
                  <c:v>144.00838062097975</c:v>
                </c:pt>
                <c:pt idx="6">
                  <c:v>105.265386166816</c:v>
                </c:pt>
              </c:numCache>
            </c:numRef>
          </c:xVal>
          <c:yVal>
            <c:numRef>
              <c:f>'Laskenta tulopuoli 250_ENT'!$BN$36:$BN$42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01-45A7-BE77-60A3E5805050}"/>
            </c:ext>
          </c:extLst>
        </c:ser>
        <c:ser>
          <c:idx val="2"/>
          <c:order val="1"/>
          <c:tx>
            <c:v>6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250_ENT'!$BS$36:$BS$41</c:f>
              <c:numCache>
                <c:formatCode>0.0</c:formatCode>
                <c:ptCount val="6"/>
                <c:pt idx="0">
                  <c:v>213.61335762915562</c:v>
                </c:pt>
                <c:pt idx="1">
                  <c:v>195.72898551317115</c:v>
                </c:pt>
                <c:pt idx="2">
                  <c:v>175.4581740263832</c:v>
                </c:pt>
                <c:pt idx="3">
                  <c:v>151.47576534370617</c:v>
                </c:pt>
                <c:pt idx="4">
                  <c:v>120.42188405539274</c:v>
                </c:pt>
                <c:pt idx="5">
                  <c:v>73.943002844798301</c:v>
                </c:pt>
              </c:numCache>
            </c:numRef>
          </c:xVal>
          <c:yVal>
            <c:numRef>
              <c:f>'Laskenta tulopuoli 250_ENT'!$BR$36:$BR$41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501-45A7-BE77-60A3E5805050}"/>
            </c:ext>
          </c:extLst>
        </c:ser>
        <c:ser>
          <c:idx val="3"/>
          <c:order val="2"/>
          <c:tx>
            <c:v>4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250_ENT'!$BU$36:$BU$40</c:f>
              <c:numCache>
                <c:formatCode>0.0</c:formatCode>
                <c:ptCount val="5"/>
                <c:pt idx="0">
                  <c:v>122.85148290021115</c:v>
                </c:pt>
                <c:pt idx="1">
                  <c:v>114.87245597479257</c:v>
                </c:pt>
                <c:pt idx="2">
                  <c:v>97.290460384499539</c:v>
                </c:pt>
                <c:pt idx="3">
                  <c:v>76.542309887609477</c:v>
                </c:pt>
                <c:pt idx="4">
                  <c:v>49.842265162290595</c:v>
                </c:pt>
              </c:numCache>
            </c:numRef>
          </c:xVal>
          <c:yVal>
            <c:numRef>
              <c:f>'Laskenta tulopuoli 250_ENT'!$BT$36:$BT$40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501-45A7-BE77-60A3E5805050}"/>
            </c:ext>
          </c:extLst>
        </c:ser>
        <c:ser>
          <c:idx val="4"/>
          <c:order val="3"/>
          <c:tx>
            <c:v>7.5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250_ENT'!$BX$36:$BX$42</c:f>
              <c:numCache>
                <c:formatCode>0.0</c:formatCode>
                <c:ptCount val="7"/>
                <c:pt idx="0">
                  <c:v>284.56661771345591</c:v>
                </c:pt>
                <c:pt idx="1">
                  <c:v>274.01709916267305</c:v>
                </c:pt>
                <c:pt idx="2">
                  <c:v>255.25944979538457</c:v>
                </c:pt>
                <c:pt idx="3">
                  <c:v>234.65181680226124</c:v>
                </c:pt>
                <c:pt idx="4">
                  <c:v>195.92184836006501</c:v>
                </c:pt>
                <c:pt idx="5">
                  <c:v>150.95868441192366</c:v>
                </c:pt>
                <c:pt idx="6">
                  <c:v>112.95321319754504</c:v>
                </c:pt>
              </c:numCache>
            </c:numRef>
          </c:xVal>
          <c:yVal>
            <c:numRef>
              <c:f>'Laskenta tulopuoli 250_ENT'!$BW$36:$BW$42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501-45A7-BE77-60A3E5805050}"/>
            </c:ext>
          </c:extLst>
        </c:ser>
        <c:ser>
          <c:idx val="6"/>
          <c:order val="4"/>
          <c:tx>
            <c:v>6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250_ENT'!$CB$36:$CB$41</c:f>
              <c:numCache>
                <c:formatCode>0.0</c:formatCode>
                <c:ptCount val="6"/>
                <c:pt idx="0">
                  <c:v>220.0272127426278</c:v>
                </c:pt>
                <c:pt idx="1">
                  <c:v>202.04778027579948</c:v>
                </c:pt>
                <c:pt idx="2">
                  <c:v>181.71413323981204</c:v>
                </c:pt>
                <c:pt idx="3">
                  <c:v>157.7532490276617</c:v>
                </c:pt>
                <c:pt idx="4">
                  <c:v>127.0242914387899</c:v>
                </c:pt>
                <c:pt idx="5">
                  <c:v>83.35848194712591</c:v>
                </c:pt>
              </c:numCache>
            </c:numRef>
          </c:xVal>
          <c:yVal>
            <c:numRef>
              <c:f>'Laskenta tulopuoli 250_ENT'!$CA$36:$CA$41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501-45A7-BE77-60A3E5805050}"/>
            </c:ext>
          </c:extLst>
        </c:ser>
        <c:ser>
          <c:idx val="7"/>
          <c:order val="5"/>
          <c:tx>
            <c:v>4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250_ENT'!$CD$36:$CD$40</c:f>
              <c:numCache>
                <c:formatCode>0.0</c:formatCode>
                <c:ptCount val="5"/>
                <c:pt idx="0">
                  <c:v>128.55190799708276</c:v>
                </c:pt>
                <c:pt idx="1">
                  <c:v>120.45799561693227</c:v>
                </c:pt>
                <c:pt idx="2">
                  <c:v>102.64509341270374</c:v>
                </c:pt>
                <c:pt idx="3">
                  <c:v>81.682443931248443</c:v>
                </c:pt>
                <c:pt idx="4">
                  <c:v>54.882637981725303</c:v>
                </c:pt>
              </c:numCache>
            </c:numRef>
          </c:xVal>
          <c:yVal>
            <c:numRef>
              <c:f>'Laskenta tulopuoli 250_ENT'!$CC$36:$CC$40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501-45A7-BE77-60A3E5805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7504783"/>
        <c:axId val="1477506223"/>
      </c:scatterChart>
      <c:valAx>
        <c:axId val="147750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7506223"/>
        <c:crosses val="autoZero"/>
        <c:crossBetween val="midCat"/>
      </c:valAx>
      <c:valAx>
        <c:axId val="147750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750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250_ENT'!$D$59:$D$62</c:f>
              <c:numCache>
                <c:formatCode>0.0</c:formatCode>
                <c:ptCount val="4"/>
                <c:pt idx="0">
                  <c:v>366.3</c:v>
                </c:pt>
                <c:pt idx="1">
                  <c:v>341.4</c:v>
                </c:pt>
                <c:pt idx="2">
                  <c:v>309.8</c:v>
                </c:pt>
                <c:pt idx="3">
                  <c:v>221</c:v>
                </c:pt>
              </c:numCache>
            </c:numRef>
          </c:xVal>
          <c:yVal>
            <c:numRef>
              <c:f>'Laskenta poistopuoli 250_ENT'!$E$59:$E$62</c:f>
              <c:numCache>
                <c:formatCode>0.0</c:formatCode>
                <c:ptCount val="4"/>
                <c:pt idx="0">
                  <c:v>62.097783424500207</c:v>
                </c:pt>
                <c:pt idx="1">
                  <c:v>61.404747810618019</c:v>
                </c:pt>
                <c:pt idx="2">
                  <c:v>60.573303422326219</c:v>
                </c:pt>
                <c:pt idx="3">
                  <c:v>60.013148119886417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37-467D-A843-1F5FF02DA678}"/>
            </c:ext>
          </c:extLst>
        </c:ser>
        <c:ser>
          <c:idx val="1"/>
          <c:order val="1"/>
          <c:tx>
            <c:strRef>
              <c:f>'Laskenta poistopuoli 250_ENT'!$C$64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250_ENT'!$D$64:$D$67</c:f>
              <c:numCache>
                <c:formatCode>0.0</c:formatCode>
                <c:ptCount val="4"/>
                <c:pt idx="0">
                  <c:v>304</c:v>
                </c:pt>
                <c:pt idx="1">
                  <c:v>281.7</c:v>
                </c:pt>
                <c:pt idx="2">
                  <c:v>255.1</c:v>
                </c:pt>
                <c:pt idx="3">
                  <c:v>180.1</c:v>
                </c:pt>
              </c:numCache>
            </c:numRef>
          </c:xVal>
          <c:yVal>
            <c:numRef>
              <c:f>'Laskenta poistopuoli 250_ENT'!$E$64:$E$67</c:f>
              <c:numCache>
                <c:formatCode>0.0</c:formatCode>
                <c:ptCount val="4"/>
                <c:pt idx="0">
                  <c:v>58.341740546145942</c:v>
                </c:pt>
                <c:pt idx="1">
                  <c:v>57.377484119444958</c:v>
                </c:pt>
                <c:pt idx="2">
                  <c:v>56.489949323611974</c:v>
                </c:pt>
                <c:pt idx="3">
                  <c:v>55.305009598786256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837-467D-A843-1F5FF02DA678}"/>
            </c:ext>
          </c:extLst>
        </c:ser>
        <c:ser>
          <c:idx val="2"/>
          <c:order val="2"/>
          <c:tx>
            <c:strRef>
              <c:f>'Laskenta poistopuoli 250_ENT'!$C$69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250_ENT'!$D$69:$D$72</c:f>
              <c:numCache>
                <c:formatCode>0.0</c:formatCode>
                <c:ptCount val="4"/>
                <c:pt idx="0">
                  <c:v>218.4</c:v>
                </c:pt>
                <c:pt idx="1">
                  <c:v>202.3</c:v>
                </c:pt>
                <c:pt idx="2">
                  <c:v>179.3</c:v>
                </c:pt>
                <c:pt idx="3">
                  <c:v>128</c:v>
                </c:pt>
              </c:numCache>
            </c:numRef>
          </c:xVal>
          <c:yVal>
            <c:numRef>
              <c:f>'Laskenta poistopuoli 250_ENT'!$E$69:$E$72</c:f>
              <c:numCache>
                <c:formatCode>0.0</c:formatCode>
                <c:ptCount val="4"/>
                <c:pt idx="0">
                  <c:v>51.6790949757684</c:v>
                </c:pt>
                <c:pt idx="1">
                  <c:v>50.407916560559215</c:v>
                </c:pt>
                <c:pt idx="2">
                  <c:v>50.113476278917901</c:v>
                </c:pt>
                <c:pt idx="3">
                  <c:v>49.839015741427502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837-467D-A843-1F5FF02DA678}"/>
            </c:ext>
          </c:extLst>
        </c:ser>
        <c:ser>
          <c:idx val="3"/>
          <c:order val="3"/>
          <c:tx>
            <c:strRef>
              <c:f>'Laskenta poistopuoli 250_ENT'!$C$74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250_ENT'!$D$74:$D$77</c:f>
              <c:numCache>
                <c:formatCode>0.0</c:formatCode>
                <c:ptCount val="4"/>
                <c:pt idx="0">
                  <c:v>135.1</c:v>
                </c:pt>
                <c:pt idx="1">
                  <c:v>124.4</c:v>
                </c:pt>
                <c:pt idx="2">
                  <c:v>113.2</c:v>
                </c:pt>
                <c:pt idx="3">
                  <c:v>78.2</c:v>
                </c:pt>
              </c:numCache>
            </c:numRef>
          </c:xVal>
          <c:yVal>
            <c:numRef>
              <c:f>'Laskenta poistopuoli 250_ENT'!$E$74:$E$77</c:f>
              <c:numCache>
                <c:formatCode>0.0</c:formatCode>
                <c:ptCount val="4"/>
                <c:pt idx="0">
                  <c:v>42.598859931585011</c:v>
                </c:pt>
                <c:pt idx="1">
                  <c:v>41.766385883723473</c:v>
                </c:pt>
                <c:pt idx="2">
                  <c:v>41.1225087051739</c:v>
                </c:pt>
                <c:pt idx="3">
                  <c:v>40.43354617963378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837-467D-A843-1F5FF02DA678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37-467D-A843-1F5FF02DA678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37-467D-A843-1F5FF02DA678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250_ENT'!$AC$34:$AC$37</c:f>
              <c:numCache>
                <c:formatCode>0.0</c:formatCode>
                <c:ptCount val="4"/>
                <c:pt idx="0">
                  <c:v>92.754537315521048</c:v>
                </c:pt>
                <c:pt idx="1">
                  <c:v>75.904720219964517</c:v>
                </c:pt>
                <c:pt idx="2">
                  <c:v>54.144666193233057</c:v>
                </c:pt>
                <c:pt idx="3">
                  <c:v>34.639732632442552</c:v>
                </c:pt>
              </c:numCache>
            </c:numRef>
          </c:xVal>
          <c:yVal>
            <c:numRef>
              <c:f>'Laskenta poistopuoli 250_ENT'!$AF$34:$AF$37</c:f>
              <c:numCache>
                <c:formatCode>0.0</c:formatCode>
                <c:ptCount val="4"/>
                <c:pt idx="0">
                  <c:v>57.606412724087427</c:v>
                </c:pt>
                <c:pt idx="1">
                  <c:v>51.981096501228485</c:v>
                </c:pt>
                <c:pt idx="2">
                  <c:v>48.029041004997005</c:v>
                </c:pt>
                <c:pt idx="3">
                  <c:v>38.294294101207107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E837-467D-A843-1F5FF02DA678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250_ENT'!$W$5</c:f>
              <c:numCache>
                <c:formatCode>0.0</c:formatCode>
                <c:ptCount val="1"/>
                <c:pt idx="0">
                  <c:v>38.651971792386632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E837-467D-A843-1F5FF02DA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250_ENT'!$N$59:$N$62</c:f>
              <c:numCache>
                <c:formatCode>0.0</c:formatCode>
                <c:ptCount val="4"/>
                <c:pt idx="0">
                  <c:v>367.27606807457477</c:v>
                </c:pt>
                <c:pt idx="1">
                  <c:v>341.06998870275049</c:v>
                </c:pt>
                <c:pt idx="2">
                  <c:v>303.07324445507652</c:v>
                </c:pt>
                <c:pt idx="3">
                  <c:v>223.5792236627149</c:v>
                </c:pt>
              </c:numCache>
            </c:numRef>
          </c:xVal>
          <c:yVal>
            <c:numRef>
              <c:f>'Laskenta poistopuoli 250_ENT'!$O$59:$O$62</c:f>
              <c:numCache>
                <c:formatCode>0.0</c:formatCode>
                <c:ptCount val="4"/>
                <c:pt idx="0">
                  <c:v>82.689090072186829</c:v>
                </c:pt>
                <c:pt idx="1">
                  <c:v>82.105276378556539</c:v>
                </c:pt>
                <c:pt idx="2">
                  <c:v>81.080240846621081</c:v>
                </c:pt>
                <c:pt idx="3">
                  <c:v>79.022331218565611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7AF-496B-9B79-B1F249B471F8}"/>
            </c:ext>
          </c:extLst>
        </c:ser>
        <c:ser>
          <c:idx val="1"/>
          <c:order val="1"/>
          <c:tx>
            <c:strRef>
              <c:f>'Laskenta poistopuoli 250_ENT'!$C$64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250_ENT'!$N$64:$N$67</c:f>
              <c:numCache>
                <c:formatCode>0.0</c:formatCode>
                <c:ptCount val="4"/>
                <c:pt idx="0">
                  <c:v>306.42216557619219</c:v>
                </c:pt>
                <c:pt idx="1">
                  <c:v>280.37540028596254</c:v>
                </c:pt>
                <c:pt idx="2">
                  <c:v>247.99195567141854</c:v>
                </c:pt>
                <c:pt idx="3">
                  <c:v>179.97539914207314</c:v>
                </c:pt>
              </c:numCache>
            </c:numRef>
          </c:xVal>
          <c:yVal>
            <c:numRef>
              <c:f>'Laskenta poistopuoli 250_ENT'!$O$64:$O$67</c:f>
              <c:numCache>
                <c:formatCode>0.0</c:formatCode>
                <c:ptCount val="4"/>
                <c:pt idx="0">
                  <c:v>78.99039262930242</c:v>
                </c:pt>
                <c:pt idx="1">
                  <c:v>78.069558159890079</c:v>
                </c:pt>
                <c:pt idx="2">
                  <c:v>76.942323327149879</c:v>
                </c:pt>
                <c:pt idx="3">
                  <c:v>74.326760800359523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AF-496B-9B79-B1F249B471F8}"/>
            </c:ext>
          </c:extLst>
        </c:ser>
        <c:ser>
          <c:idx val="2"/>
          <c:order val="2"/>
          <c:tx>
            <c:strRef>
              <c:f>'Laskenta poistopuoli 250_ENT'!$C$69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250_ENT'!$N$69:$N$72</c:f>
              <c:numCache>
                <c:formatCode>0.0</c:formatCode>
                <c:ptCount val="4"/>
                <c:pt idx="0">
                  <c:v>216.68199713194693</c:v>
                </c:pt>
                <c:pt idx="1">
                  <c:v>203.48048535677617</c:v>
                </c:pt>
                <c:pt idx="2">
                  <c:v>177.657613751502</c:v>
                </c:pt>
                <c:pt idx="3">
                  <c:v>129.31721034610501</c:v>
                </c:pt>
              </c:numCache>
            </c:numRef>
          </c:xVal>
          <c:yVal>
            <c:numRef>
              <c:f>'Laskenta poistopuoli 250_ENT'!$O$69:$O$72</c:f>
              <c:numCache>
                <c:formatCode>0.0</c:formatCode>
                <c:ptCount val="4"/>
                <c:pt idx="0">
                  <c:v>71.859694306887633</c:v>
                </c:pt>
                <c:pt idx="1">
                  <c:v>71.05536483352482</c:v>
                </c:pt>
                <c:pt idx="2">
                  <c:v>69.785748446535706</c:v>
                </c:pt>
                <c:pt idx="3">
                  <c:v>67.734414836531897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7AF-496B-9B79-B1F249B471F8}"/>
            </c:ext>
          </c:extLst>
        </c:ser>
        <c:ser>
          <c:idx val="3"/>
          <c:order val="3"/>
          <c:tx>
            <c:strRef>
              <c:f>'Laskenta poistopuoli 250_ENT'!$C$74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250_ENT'!$N$74:$N$77</c:f>
              <c:numCache>
                <c:formatCode>0.0</c:formatCode>
                <c:ptCount val="4"/>
                <c:pt idx="0">
                  <c:v>136.94470684441694</c:v>
                </c:pt>
                <c:pt idx="1">
                  <c:v>126.48327019359726</c:v>
                </c:pt>
                <c:pt idx="2">
                  <c:v>110.48203024842798</c:v>
                </c:pt>
                <c:pt idx="3">
                  <c:v>79.668407730229532</c:v>
                </c:pt>
              </c:numCache>
            </c:numRef>
          </c:xVal>
          <c:yVal>
            <c:numRef>
              <c:f>'Laskenta poistopuoli 250_ENT'!$O$74:$O$77</c:f>
              <c:numCache>
                <c:formatCode>0.0</c:formatCode>
                <c:ptCount val="4"/>
                <c:pt idx="0">
                  <c:v>61.636094765036098</c:v>
                </c:pt>
                <c:pt idx="1">
                  <c:v>60.708709459674338</c:v>
                </c:pt>
                <c:pt idx="2">
                  <c:v>59.434186199278997</c:v>
                </c:pt>
                <c:pt idx="3">
                  <c:v>57.542846550437403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7AF-496B-9B79-B1F249B471F8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577690279919046E-2"/>
                  <c:y val="-0.24662238488997335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250_ENT'!$AC$34:$AC$37</c:f>
              <c:numCache>
                <c:formatCode>0.0</c:formatCode>
                <c:ptCount val="4"/>
                <c:pt idx="0">
                  <c:v>92.754537315521048</c:v>
                </c:pt>
                <c:pt idx="1">
                  <c:v>75.904720219964517</c:v>
                </c:pt>
                <c:pt idx="2">
                  <c:v>54.144666193233057</c:v>
                </c:pt>
                <c:pt idx="3">
                  <c:v>34.639732632442552</c:v>
                </c:pt>
              </c:numCache>
            </c:numRef>
          </c:xVal>
          <c:yVal>
            <c:numRef>
              <c:f>'Laskenta poistopuoli 250_ENT'!$AG$34:$AG$37</c:f>
              <c:numCache>
                <c:formatCode>0.0</c:formatCode>
                <c:ptCount val="4"/>
                <c:pt idx="0">
                  <c:v>74.609989849001067</c:v>
                </c:pt>
                <c:pt idx="1">
                  <c:v>69.275960324343302</c:v>
                </c:pt>
                <c:pt idx="2">
                  <c:v>63.06536277971626</c:v>
                </c:pt>
                <c:pt idx="3">
                  <c:v>53.271595997204066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7AF-496B-9B79-B1F249B471F8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250_ENT'!$W$6</c:f>
              <c:numCache>
                <c:formatCode>0.0</c:formatCode>
                <c:ptCount val="1"/>
                <c:pt idx="0">
                  <c:v>53.343212740445182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7AF-496B-9B79-B1F249B47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250_ENT'!$AJ$36:$AJ$38</c:f>
              <c:numCache>
                <c:formatCode>0.0</c:formatCode>
                <c:ptCount val="3"/>
                <c:pt idx="0">
                  <c:v>75.904720219964517</c:v>
                </c:pt>
                <c:pt idx="1">
                  <c:v>54.144666193233057</c:v>
                </c:pt>
                <c:pt idx="2">
                  <c:v>34.639732632442552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8D-4AA0-A6BD-8BE77CD157B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250_ENT'!$AJ$34:$AJ$35</c:f>
              <c:numCache>
                <c:formatCode>0.0</c:formatCode>
                <c:ptCount val="2"/>
                <c:pt idx="0">
                  <c:v>92.754537315521048</c:v>
                </c:pt>
                <c:pt idx="1">
                  <c:v>85.845113705854843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B8D-4AA0-A6BD-8BE77CD157BE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250_ENT'!$W$9</c:f>
              <c:numCache>
                <c:formatCode>0.00</c:formatCode>
                <c:ptCount val="1"/>
                <c:pt idx="0">
                  <c:v>4.0447520185750632</c:v>
                </c:pt>
              </c:numCache>
            </c:numRef>
          </c:xVal>
          <c:yVal>
            <c:numRef>
              <c:f>'Laskenta poistopuoli 250_ENT'!$J$3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B8D-4AA0-A6BD-8BE77CD157BE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250_ENT'!$AC$34:$AC$37</c:f>
              <c:numCache>
                <c:formatCode>0.0</c:formatCode>
                <c:ptCount val="4"/>
                <c:pt idx="0">
                  <c:v>92.754537315521048</c:v>
                </c:pt>
                <c:pt idx="1">
                  <c:v>75.904720219964517</c:v>
                </c:pt>
                <c:pt idx="2">
                  <c:v>54.144666193233057</c:v>
                </c:pt>
                <c:pt idx="3">
                  <c:v>34.639732632442552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B8D-4AA0-A6BD-8BE77CD15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250_ENT'!$X$59:$X$66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250_ENT'!$Y$59:$Y$66</c:f>
              <c:numCache>
                <c:formatCode>0.0</c:formatCode>
                <c:ptCount val="8"/>
                <c:pt idx="0">
                  <c:v>302.32759265404218</c:v>
                </c:pt>
                <c:pt idx="1">
                  <c:v>356.54486395172677</c:v>
                </c:pt>
                <c:pt idx="2">
                  <c:v>421.03669396837233</c:v>
                </c:pt>
                <c:pt idx="3">
                  <c:v>457.54888920061728</c:v>
                </c:pt>
                <c:pt idx="4">
                  <c:v>508.8924685660923</c:v>
                </c:pt>
                <c:pt idx="5">
                  <c:v>519.47729833181302</c:v>
                </c:pt>
                <c:pt idx="6">
                  <c:v>499.98917692950459</c:v>
                </c:pt>
                <c:pt idx="7">
                  <c:v>515.99235857408132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BE-44EA-BD7B-F862754CDAEE}"/>
            </c:ext>
          </c:extLst>
        </c:ser>
        <c:ser>
          <c:idx val="1"/>
          <c:order val="1"/>
          <c:tx>
            <c:strRef>
              <c:f>'Laskenta poistopuoli 250_ENT'!$W$69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250_ENT'!$X$69:$X$77</c:f>
              <c:numCache>
                <c:formatCode>0.0</c:formatCode>
                <c:ptCount val="9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  <c:pt idx="6">
                  <c:v>280.37540028596254</c:v>
                </c:pt>
                <c:pt idx="7">
                  <c:v>306.42216557619219</c:v>
                </c:pt>
                <c:pt idx="8">
                  <c:v>68.235663849616046</c:v>
                </c:pt>
              </c:numCache>
            </c:numRef>
          </c:xVal>
          <c:yVal>
            <c:numRef>
              <c:f>'Laskenta poistopuoli 250_ENT'!$Y$69:$Y$77</c:f>
              <c:numCache>
                <c:formatCode>0.0</c:formatCode>
                <c:ptCount val="9"/>
                <c:pt idx="0">
                  <c:v>164.90844203665162</c:v>
                </c:pt>
                <c:pt idx="1">
                  <c:v>196.96128282198916</c:v>
                </c:pt>
                <c:pt idx="2">
                  <c:v>237.81117979773683</c:v>
                </c:pt>
                <c:pt idx="3">
                  <c:v>260.47989897572495</c:v>
                </c:pt>
                <c:pt idx="4">
                  <c:v>292.86254766640252</c:v>
                </c:pt>
                <c:pt idx="5">
                  <c:v>310.41418560822922</c:v>
                </c:pt>
                <c:pt idx="6">
                  <c:v>289.48558554113851</c:v>
                </c:pt>
                <c:pt idx="7">
                  <c:v>311.04275486404356</c:v>
                </c:pt>
                <c:pt idx="8">
                  <c:v>119.40185523650993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9BE-44EA-BD7B-F862754CDAEE}"/>
            </c:ext>
          </c:extLst>
        </c:ser>
        <c:ser>
          <c:idx val="2"/>
          <c:order val="2"/>
          <c:tx>
            <c:strRef>
              <c:f>'Laskenta poistopuoli 250_ENT'!$W$80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250_ENT'!$X$80:$X$87</c:f>
              <c:numCache>
                <c:formatCode>0.0</c:formatCode>
                <c:ptCount val="8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  <c:pt idx="6">
                  <c:v>203.48048535677617</c:v>
                </c:pt>
                <c:pt idx="7">
                  <c:v>216.68199713194693</c:v>
                </c:pt>
              </c:numCache>
            </c:numRef>
          </c:xVal>
          <c:yVal>
            <c:numRef>
              <c:f>'Laskenta poistopuoli 250_ENT'!$Y$80:$Y$87</c:f>
              <c:numCache>
                <c:formatCode>0.0</c:formatCode>
                <c:ptCount val="8"/>
                <c:pt idx="0">
                  <c:v>73.255512194579921</c:v>
                </c:pt>
                <c:pt idx="1">
                  <c:v>86.543140247698204</c:v>
                </c:pt>
                <c:pt idx="2">
                  <c:v>101.62904601770833</c:v>
                </c:pt>
                <c:pt idx="3">
                  <c:v>110.69899121354534</c:v>
                </c:pt>
                <c:pt idx="4">
                  <c:v>123.35633973294334</c:v>
                </c:pt>
                <c:pt idx="5">
                  <c:v>134.90921358508626</c:v>
                </c:pt>
                <c:pt idx="6">
                  <c:v>123.40172430505064</c:v>
                </c:pt>
                <c:pt idx="7">
                  <c:v>130.02142396481116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9BE-44EA-BD7B-F862754CDAEE}"/>
            </c:ext>
          </c:extLst>
        </c:ser>
        <c:ser>
          <c:idx val="3"/>
          <c:order val="3"/>
          <c:tx>
            <c:strRef>
              <c:f>'Laskenta poistopuoli 250_ENT'!$W$91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250_ENT'!$X$91:$X$98</c:f>
              <c:numCache>
                <c:formatCode>0.0</c:formatCode>
                <c:ptCount val="8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  <c:pt idx="6">
                  <c:v>126.48327019359726</c:v>
                </c:pt>
                <c:pt idx="7" formatCode="General">
                  <c:v>136.94470684441694</c:v>
                </c:pt>
              </c:numCache>
            </c:numRef>
          </c:xVal>
          <c:yVal>
            <c:numRef>
              <c:f>'Laskenta poistopuoli 250_ENT'!$Y$91:$Y$98</c:f>
              <c:numCache>
                <c:formatCode>0.0</c:formatCode>
                <c:ptCount val="8"/>
                <c:pt idx="0">
                  <c:v>29.409439010889692</c:v>
                </c:pt>
                <c:pt idx="1">
                  <c:v>33.309297611254642</c:v>
                </c:pt>
                <c:pt idx="2">
                  <c:v>37.281582637626165</c:v>
                </c:pt>
                <c:pt idx="3">
                  <c:v>39.567992760532817</c:v>
                </c:pt>
                <c:pt idx="4">
                  <c:v>42.914202318586497</c:v>
                </c:pt>
                <c:pt idx="5">
                  <c:v>43.891248017188815</c:v>
                </c:pt>
                <c:pt idx="6">
                  <c:v>43.27283236895304</c:v>
                </c:pt>
                <c:pt idx="7" formatCode="General">
                  <c:v>45.537563418715308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9BE-44EA-BD7B-F862754CDAEE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250_ENT'!$AC$34:$AC$38</c:f>
              <c:numCache>
                <c:formatCode>0.0</c:formatCode>
                <c:ptCount val="5"/>
                <c:pt idx="0">
                  <c:v>92.754537315521048</c:v>
                </c:pt>
                <c:pt idx="1">
                  <c:v>75.904720219964517</c:v>
                </c:pt>
                <c:pt idx="2">
                  <c:v>54.144666193233057</c:v>
                </c:pt>
                <c:pt idx="3">
                  <c:v>34.639732632442552</c:v>
                </c:pt>
                <c:pt idx="4">
                  <c:v>70.271383951393489</c:v>
                </c:pt>
              </c:numCache>
            </c:numRef>
          </c:xVal>
          <c:yVal>
            <c:numRef>
              <c:f>'Laskenta poistopuoli 250_ENT'!$AE$34:$AE$37</c:f>
              <c:numCache>
                <c:formatCode>0.0</c:formatCode>
                <c:ptCount val="4"/>
                <c:pt idx="0">
                  <c:v>163.50652014760232</c:v>
                </c:pt>
                <c:pt idx="1">
                  <c:v>122.42861155410327</c:v>
                </c:pt>
                <c:pt idx="2">
                  <c:v>55.321821742726733</c:v>
                </c:pt>
                <c:pt idx="3">
                  <c:v>23.708636902582121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9BE-44EA-BD7B-F862754CDAEE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250_ENT'!$W$13</c:f>
              <c:numCache>
                <c:formatCode>0.0</c:formatCode>
                <c:ptCount val="1"/>
                <c:pt idx="0">
                  <c:v>22.75385385573588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9BE-44EA-BD7B-F862754CD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250_ENT'!$AA$4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250_ENT'!$AB$6:$AB$12</c:f>
              <c:numCache>
                <c:formatCode>0.0</c:formatCode>
                <c:ptCount val="7"/>
                <c:pt idx="0">
                  <c:v>305.56978103696548</c:v>
                </c:pt>
                <c:pt idx="1">
                  <c:v>275.7539670848335</c:v>
                </c:pt>
                <c:pt idx="2">
                  <c:v>228.58806056040828</c:v>
                </c:pt>
                <c:pt idx="3">
                  <c:v>211.84738721415337</c:v>
                </c:pt>
                <c:pt idx="4">
                  <c:v>186.46259151604715</c:v>
                </c:pt>
                <c:pt idx="5">
                  <c:v>163.89856118333432</c:v>
                </c:pt>
                <c:pt idx="6">
                  <c:v>124.31146742228165</c:v>
                </c:pt>
              </c:numCache>
            </c:numRef>
          </c:xVal>
          <c:yVal>
            <c:numRef>
              <c:f>'Laskenta poistopuoli 250_ENT'!$AA$6:$AA$12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A6-4A1F-95FD-E56E879D566D}"/>
            </c:ext>
          </c:extLst>
        </c:ser>
        <c:ser>
          <c:idx val="1"/>
          <c:order val="1"/>
          <c:tx>
            <c:strRef>
              <c:f>'Laskenta poistopuoli 250_ENT'!$AC$4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250_ENT'!$AD$6:$AD$12</c:f>
              <c:numCache>
                <c:formatCode>0.0</c:formatCode>
                <c:ptCount val="7"/>
                <c:pt idx="0">
                  <c:v>305.56978103696548</c:v>
                </c:pt>
                <c:pt idx="1">
                  <c:v>275.7539670848335</c:v>
                </c:pt>
                <c:pt idx="2">
                  <c:v>228.58806056040828</c:v>
                </c:pt>
                <c:pt idx="3">
                  <c:v>211.84738721415337</c:v>
                </c:pt>
                <c:pt idx="4">
                  <c:v>186.46259151604715</c:v>
                </c:pt>
                <c:pt idx="5">
                  <c:v>163.89856118333432</c:v>
                </c:pt>
                <c:pt idx="6">
                  <c:v>124.31146742228165</c:v>
                </c:pt>
              </c:numCache>
            </c:numRef>
          </c:xVal>
          <c:yVal>
            <c:numRef>
              <c:f>'Laskenta poistopuoli 250_ENT'!$AC$6:$AC$12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5A6-4A1F-95FD-E56E879D566D}"/>
            </c:ext>
          </c:extLst>
        </c:ser>
        <c:ser>
          <c:idx val="2"/>
          <c:order val="2"/>
          <c:tx>
            <c:strRef>
              <c:f>'Laskenta poistopuoli 250_ENT'!$AE$4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250_ENT'!$AF$6:$AF$11</c:f>
              <c:numCache>
                <c:formatCode>0.0</c:formatCode>
                <c:ptCount val="6"/>
                <c:pt idx="0">
                  <c:v>239.54728928322191</c:v>
                </c:pt>
                <c:pt idx="1">
                  <c:v>219.45665468381333</c:v>
                </c:pt>
                <c:pt idx="2">
                  <c:v>196.82660562841531</c:v>
                </c:pt>
                <c:pt idx="3">
                  <c:v>170.34963183675882</c:v>
                </c:pt>
                <c:pt idx="4">
                  <c:v>136.94975137110086</c:v>
                </c:pt>
                <c:pt idx="5">
                  <c:v>101.02409261451852</c:v>
                </c:pt>
              </c:numCache>
            </c:numRef>
          </c:xVal>
          <c:yVal>
            <c:numRef>
              <c:f>'Laskenta poistopuoli 250_ENT'!$AE$6:$AE$11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5A6-4A1F-95FD-E56E879D566D}"/>
            </c:ext>
          </c:extLst>
        </c:ser>
        <c:ser>
          <c:idx val="3"/>
          <c:order val="3"/>
          <c:tx>
            <c:strRef>
              <c:f>'Laskenta poistopuoli 250_ENT'!$AG$4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250_ENT'!$AH$6:$AH$10</c:f>
              <c:numCache>
                <c:formatCode>0.0</c:formatCode>
                <c:ptCount val="5"/>
                <c:pt idx="0">
                  <c:v>144.57203925918452</c:v>
                </c:pt>
                <c:pt idx="1">
                  <c:v>136.21844953136045</c:v>
                </c:pt>
                <c:pt idx="2">
                  <c:v>117.54750231651833</c:v>
                </c:pt>
                <c:pt idx="3">
                  <c:v>94.770453161428435</c:v>
                </c:pt>
                <c:pt idx="4">
                  <c:v>62.626439612772486</c:v>
                </c:pt>
              </c:numCache>
            </c:numRef>
          </c:xVal>
          <c:yVal>
            <c:numRef>
              <c:f>'Laskenta poistopuoli 250_ENT'!$AG$6:$AG$10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5A6-4A1F-95FD-E56E879D566D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250_ENT'!$L$3</c:f>
              <c:numCache>
                <c:formatCode>0.0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5A6-4A1F-95FD-E56E879D566D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250_ENT'!$AC$34:$AC$37</c:f>
              <c:numCache>
                <c:formatCode>0.0</c:formatCode>
                <c:ptCount val="4"/>
                <c:pt idx="0">
                  <c:v>92.754537315521048</c:v>
                </c:pt>
                <c:pt idx="1">
                  <c:v>75.904720219964517</c:v>
                </c:pt>
                <c:pt idx="2">
                  <c:v>54.144666193233057</c:v>
                </c:pt>
                <c:pt idx="3">
                  <c:v>34.639732632442552</c:v>
                </c:pt>
              </c:numCache>
            </c:numRef>
          </c:xVal>
          <c:yVal>
            <c:numRef>
              <c:f>'Laskenta poistopuoli 250_ENT'!$AD$34:$AD$37</c:f>
              <c:numCache>
                <c:formatCode>0.0</c:formatCode>
                <c:ptCount val="4"/>
                <c:pt idx="0">
                  <c:v>642.24068161713626</c:v>
                </c:pt>
                <c:pt idx="1">
                  <c:v>430.09565247162618</c:v>
                </c:pt>
                <c:pt idx="2">
                  <c:v>218.84611742328491</c:v>
                </c:pt>
                <c:pt idx="3">
                  <c:v>89.572881922205696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5A6-4A1F-95FD-E56E879D5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250_ENT'!$AM$60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250_ENT'!$AN$60:$AN$67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250_ENT'!$AO$60:$AO$67</c:f>
              <c:numCache>
                <c:formatCode>0.0</c:formatCode>
                <c:ptCount val="8"/>
                <c:pt idx="0">
                  <c:v>721.34661173481254</c:v>
                </c:pt>
                <c:pt idx="1">
                  <c:v>715.9378701953035</c:v>
                </c:pt>
                <c:pt idx="2">
                  <c:v>682.75011971480819</c:v>
                </c:pt>
                <c:pt idx="3">
                  <c:v>645.18533974845593</c:v>
                </c:pt>
                <c:pt idx="4">
                  <c:v>586.03019621125861</c:v>
                </c:pt>
                <c:pt idx="5">
                  <c:v>518.51525144517996</c:v>
                </c:pt>
                <c:pt idx="6">
                  <c:v>579.62341036618864</c:v>
                </c:pt>
                <c:pt idx="7">
                  <c:v>514.97229930894991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AD-40F8-B463-11346A8FF7F4}"/>
            </c:ext>
          </c:extLst>
        </c:ser>
        <c:ser>
          <c:idx val="1"/>
          <c:order val="1"/>
          <c:tx>
            <c:strRef>
              <c:f>'Laskenta poistopuoli 250_ENT'!$AM$71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250_ENT'!$AN$71:$AN$76</c:f>
              <c:numCache>
                <c:formatCode>0.0</c:formatCode>
                <c:ptCount val="6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</c:numCache>
            </c:numRef>
          </c:xVal>
          <c:yVal>
            <c:numRef>
              <c:f>'Laskenta poistopuoli 250_ENT'!$AO$71:$AO$76</c:f>
              <c:numCache>
                <c:formatCode>0.0</c:formatCode>
                <c:ptCount val="6"/>
                <c:pt idx="0">
                  <c:v>473.91392562092256</c:v>
                </c:pt>
                <c:pt idx="1">
                  <c:v>473.1384992406995</c:v>
                </c:pt>
                <c:pt idx="2">
                  <c:v>462.69713755706249</c:v>
                </c:pt>
                <c:pt idx="3">
                  <c:v>445.05159760438255</c:v>
                </c:pt>
                <c:pt idx="4">
                  <c:v>408.52036683816453</c:v>
                </c:pt>
                <c:pt idx="5">
                  <c:v>374.87627917763552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AD-40F8-B463-11346A8FF7F4}"/>
            </c:ext>
          </c:extLst>
        </c:ser>
        <c:ser>
          <c:idx val="2"/>
          <c:order val="2"/>
          <c:tx>
            <c:strRef>
              <c:f>'Laskenta poistopuoli 250_ENT'!$AM$82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250_ENT'!$AN$82:$AN$87</c:f>
              <c:numCache>
                <c:formatCode>0.0</c:formatCode>
                <c:ptCount val="6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</c:numCache>
            </c:numRef>
          </c:xVal>
          <c:yVal>
            <c:numRef>
              <c:f>'Laskenta poistopuoli 250_ENT'!$AO$82:$AO$87</c:f>
              <c:numCache>
                <c:formatCode>0.0</c:formatCode>
                <c:ptCount val="6"/>
                <c:pt idx="0">
                  <c:v>255.30068106481482</c:v>
                </c:pt>
                <c:pt idx="1">
                  <c:v>256.34269128011908</c:v>
                </c:pt>
                <c:pt idx="2">
                  <c:v>253.81558432274147</c:v>
                </c:pt>
                <c:pt idx="3">
                  <c:v>243.93185845736002</c:v>
                </c:pt>
                <c:pt idx="4">
                  <c:v>228.34086817976635</c:v>
                </c:pt>
                <c:pt idx="5">
                  <c:v>215.69856850350868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AD-40F8-B463-11346A8FF7F4}"/>
            </c:ext>
          </c:extLst>
        </c:ser>
        <c:ser>
          <c:idx val="3"/>
          <c:order val="3"/>
          <c:tx>
            <c:strRef>
              <c:f>'Laskenta poistopuoli 250_ENT'!$AM$93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250_ENT'!$AN$93:$AN$98</c:f>
              <c:numCache>
                <c:formatCode>0.0</c:formatCode>
                <c:ptCount val="6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</c:numCache>
            </c:numRef>
          </c:xVal>
          <c:yVal>
            <c:numRef>
              <c:f>'Laskenta poistopuoli 250_ENT'!$AO$93:$AO$98</c:f>
              <c:numCache>
                <c:formatCode>0.0</c:formatCode>
                <c:ptCount val="6"/>
                <c:pt idx="0">
                  <c:v>109.31968624976143</c:v>
                </c:pt>
                <c:pt idx="1">
                  <c:v>111.65317186130773</c:v>
                </c:pt>
                <c:pt idx="2">
                  <c:v>110.42478023967983</c:v>
                </c:pt>
                <c:pt idx="3">
                  <c:v>110.02884818331296</c:v>
                </c:pt>
                <c:pt idx="4">
                  <c:v>102.35401122473381</c:v>
                </c:pt>
                <c:pt idx="5">
                  <c:v>100.48562347094051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FAD-40F8-B463-11346A8FF7F4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250_ENT'!$AC$34:$AC$37</c:f>
              <c:numCache>
                <c:formatCode>0.0</c:formatCode>
                <c:ptCount val="4"/>
                <c:pt idx="0">
                  <c:v>92.754537315521048</c:v>
                </c:pt>
                <c:pt idx="1">
                  <c:v>75.904720219964517</c:v>
                </c:pt>
                <c:pt idx="2">
                  <c:v>54.144666193233057</c:v>
                </c:pt>
                <c:pt idx="3">
                  <c:v>34.639732632442552</c:v>
                </c:pt>
              </c:numCache>
            </c:numRef>
          </c:xVal>
          <c:yVal>
            <c:numRef>
              <c:f>'Laskenta poistopuoli 250_ENT'!$AL$34:$AL$37</c:f>
              <c:numCache>
                <c:formatCode>General</c:formatCode>
                <c:ptCount val="4"/>
                <c:pt idx="0">
                  <c:v>628.32065584250836</c:v>
                </c:pt>
                <c:pt idx="1">
                  <c:v>423.60588511652588</c:v>
                </c:pt>
                <c:pt idx="2">
                  <c:v>237.450842997059</c:v>
                </c:pt>
                <c:pt idx="3">
                  <c:v>99.166048622616984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FAD-40F8-B463-11346A8FF7F4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250_ENT'!$W$2</c:f>
              <c:numCache>
                <c:formatCode>0.0</c:formatCode>
                <c:ptCount val="1"/>
                <c:pt idx="0">
                  <c:v>101.90545077196248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FAD-40F8-B463-11346A8FF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C5'!$AJ$36:$AJ$38</c:f>
              <c:numCache>
                <c:formatCode>0.0</c:formatCode>
                <c:ptCount val="3"/>
                <c:pt idx="0">
                  <c:v>536.00556116047687</c:v>
                </c:pt>
                <c:pt idx="1">
                  <c:v>385.83471671142053</c:v>
                </c:pt>
                <c:pt idx="2">
                  <c:v>242.8170625318144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E2-47E8-AB35-040062CFD47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8.5</c:v>
                </c:pt>
              </c:numCache>
            </c:numRef>
          </c:xVal>
          <c:yVal>
            <c:numRef>
              <c:f>'Laskenta tulopuoli C5'!$AJ$34:$AJ$35</c:f>
              <c:numCache>
                <c:formatCode>0.0</c:formatCode>
                <c:ptCount val="2"/>
                <c:pt idx="0">
                  <c:v>607.51258153431093</c:v>
                </c:pt>
                <c:pt idx="1">
                  <c:v>571.4619251108179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E2-47E8-AB35-040062CFD47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C5'!$W$9</c:f>
              <c:numCache>
                <c:formatCode>0.00</c:formatCode>
                <c:ptCount val="1"/>
                <c:pt idx="0">
                  <c:v>6.8428828118574261</c:v>
                </c:pt>
              </c:numCache>
            </c:numRef>
          </c:xVal>
          <c:yVal>
            <c:numRef>
              <c:f>'Laskenta tulopuoli C5'!$J$3</c:f>
              <c:numCache>
                <c:formatCode>0</c:formatCode>
                <c:ptCount val="1"/>
                <c:pt idx="0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E2-47E8-AB35-040062CFD47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6119690741928938"/>
                  <c:y val="-2.555358703515741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C5'!$AC$34:$AC$37</c:f>
              <c:numCache>
                <c:formatCode>0.0</c:formatCode>
                <c:ptCount val="4"/>
                <c:pt idx="0">
                  <c:v>607.51258153431093</c:v>
                </c:pt>
                <c:pt idx="1">
                  <c:v>536.00556116047687</c:v>
                </c:pt>
                <c:pt idx="2">
                  <c:v>385.83471671142053</c:v>
                </c:pt>
                <c:pt idx="3">
                  <c:v>242.8170625318144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8E2-47E8-AB35-040062CFD47B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tulopuoli C5'!$AR$36</c:f>
              <c:numCache>
                <c:formatCode>0.00</c:formatCode>
                <c:ptCount val="1"/>
                <c:pt idx="0">
                  <c:v>7.7637920605587816</c:v>
                </c:pt>
              </c:numCache>
            </c:numRef>
          </c:xVal>
          <c:yVal>
            <c:numRef>
              <c:f>'Laskenta tulopuoli C5'!$AO$36</c:f>
              <c:numCache>
                <c:formatCode>0.0</c:formatCode>
                <c:ptCount val="1"/>
                <c:pt idx="0">
                  <c:v>517.5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8E2-47E8-AB35-040062CFD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ENTALPIAKENNO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4527191434698623"/>
                  <c:y val="0.234953713154081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250_ENT'!$BE$11:$BE$18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poistopuoli 250_ENT'!$BF$11:$BF$18</c:f>
              <c:numCache>
                <c:formatCode>General</c:formatCode>
                <c:ptCount val="8"/>
                <c:pt idx="0">
                  <c:v>0</c:v>
                </c:pt>
                <c:pt idx="1">
                  <c:v>16.899999999999999</c:v>
                </c:pt>
                <c:pt idx="2">
                  <c:v>40.56</c:v>
                </c:pt>
                <c:pt idx="3">
                  <c:v>71.47</c:v>
                </c:pt>
                <c:pt idx="4">
                  <c:v>109.6</c:v>
                </c:pt>
                <c:pt idx="5">
                  <c:v>155.1</c:v>
                </c:pt>
                <c:pt idx="6">
                  <c:v>207.8</c:v>
                </c:pt>
                <c:pt idx="7">
                  <c:v>267.7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54-4888-8C3B-6D82F3AB32CB}"/>
            </c:ext>
          </c:extLst>
        </c:ser>
        <c:ser>
          <c:idx val="1"/>
          <c:order val="1"/>
          <c:tx>
            <c:v>ALUMIINIKENNO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5294614621975118"/>
                  <c:y val="2.718924313674011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250_ENT'!$BE$11:$BE$18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poistopuoli 250_ENT'!$BG$11:$BG$18</c:f>
              <c:numCache>
                <c:formatCode>General</c:formatCode>
                <c:ptCount val="8"/>
                <c:pt idx="0">
                  <c:v>0</c:v>
                </c:pt>
                <c:pt idx="1">
                  <c:v>19</c:v>
                </c:pt>
                <c:pt idx="2">
                  <c:v>48</c:v>
                </c:pt>
                <c:pt idx="3">
                  <c:v>85</c:v>
                </c:pt>
                <c:pt idx="4">
                  <c:v>125</c:v>
                </c:pt>
                <c:pt idx="5">
                  <c:v>167</c:v>
                </c:pt>
                <c:pt idx="6">
                  <c:v>229</c:v>
                </c:pt>
                <c:pt idx="7">
                  <c:v>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654-4888-8C3B-6D82F3AB32CB}"/>
            </c:ext>
          </c:extLst>
        </c:ser>
        <c:ser>
          <c:idx val="2"/>
          <c:order val="2"/>
          <c:tx>
            <c:v>EROTUS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5.4345394097130212E-2"/>
                  <c:y val="-0.174919934653864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250_ENT'!$BE$11:$BE$18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poistopuoli 250_ENT'!$BH$11:$BH$18</c:f>
              <c:numCache>
                <c:formatCode>General</c:formatCode>
                <c:ptCount val="8"/>
                <c:pt idx="0">
                  <c:v>0</c:v>
                </c:pt>
                <c:pt idx="1">
                  <c:v>-2.1000000000000014</c:v>
                </c:pt>
                <c:pt idx="2">
                  <c:v>-7.4399999999999977</c:v>
                </c:pt>
                <c:pt idx="3">
                  <c:v>-13.530000000000001</c:v>
                </c:pt>
                <c:pt idx="4">
                  <c:v>-15.400000000000006</c:v>
                </c:pt>
                <c:pt idx="5">
                  <c:v>-11.900000000000006</c:v>
                </c:pt>
                <c:pt idx="6">
                  <c:v>-21.199999999999989</c:v>
                </c:pt>
                <c:pt idx="7">
                  <c:v>-36.300000000000011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654-4888-8C3B-6D82F3AB32CB}"/>
            </c:ext>
          </c:extLst>
        </c:ser>
        <c:ser>
          <c:idx val="3"/>
          <c:order val="3"/>
          <c:tx>
            <c:v>Testejä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250_ENT'!$BF$38:$BF$43</c:f>
              <c:numCache>
                <c:formatCode>General</c:formatCode>
                <c:ptCount val="6"/>
                <c:pt idx="0">
                  <c:v>300</c:v>
                </c:pt>
                <c:pt idx="1">
                  <c:v>200</c:v>
                </c:pt>
                <c:pt idx="2">
                  <c:v>100</c:v>
                </c:pt>
                <c:pt idx="3">
                  <c:v>150</c:v>
                </c:pt>
                <c:pt idx="4">
                  <c:v>75</c:v>
                </c:pt>
                <c:pt idx="5">
                  <c:v>50</c:v>
                </c:pt>
              </c:numCache>
            </c:numRef>
          </c:xVal>
          <c:yVal>
            <c:numRef>
              <c:f>'Laskenta poistopuoli 250_ENT'!$BJ$38:$BJ$43</c:f>
              <c:numCache>
                <c:formatCode>0.0</c:formatCode>
                <c:ptCount val="6"/>
                <c:pt idx="0">
                  <c:v>-24.787202380952294</c:v>
                </c:pt>
                <c:pt idx="1">
                  <c:v>-13.431369047619</c:v>
                </c:pt>
                <c:pt idx="2">
                  <c:v>-5.6341071428571468</c:v>
                </c:pt>
                <c:pt idx="3">
                  <c:v>-9.087916666666672</c:v>
                </c:pt>
                <c:pt idx="4">
                  <c:v>-4.2408184523809496</c:v>
                </c:pt>
                <c:pt idx="5">
                  <c:v>-3.0699404761904532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654-4888-8C3B-6D82F3AB3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1361311"/>
        <c:axId val="1461356511"/>
      </c:scatterChart>
      <c:valAx>
        <c:axId val="1461361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61356511"/>
        <c:crosses val="autoZero"/>
        <c:crossBetween val="midCat"/>
      </c:valAx>
      <c:valAx>
        <c:axId val="1461356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61361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Poistopuoli, </a:t>
            </a:r>
            <a:r>
              <a:rPr lang="fi-FI">
                <a:solidFill>
                  <a:schemeClr val="accent1"/>
                </a:solidFill>
              </a:rPr>
              <a:t>alumiini-</a:t>
            </a:r>
            <a:r>
              <a:rPr lang="fi-FI"/>
              <a:t> ja </a:t>
            </a:r>
            <a:r>
              <a:rPr lang="fi-FI">
                <a:solidFill>
                  <a:schemeClr val="accent2"/>
                </a:solidFill>
              </a:rPr>
              <a:t>entalpia</a:t>
            </a:r>
            <a:r>
              <a:rPr lang="fi-FI"/>
              <a:t>kennot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7.5V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250_ENT'!$BO$36:$BO$42</c:f>
              <c:numCache>
                <c:formatCode>0.0</c:formatCode>
                <c:ptCount val="7"/>
                <c:pt idx="0">
                  <c:v>296.29699977143565</c:v>
                </c:pt>
                <c:pt idx="1">
                  <c:v>266.84949561947269</c:v>
                </c:pt>
                <c:pt idx="2">
                  <c:v>220.17522952287823</c:v>
                </c:pt>
                <c:pt idx="3">
                  <c:v>203.56687017959618</c:v>
                </c:pt>
                <c:pt idx="4">
                  <c:v>178.31318398600729</c:v>
                </c:pt>
                <c:pt idx="5">
                  <c:v>155.75560277579419</c:v>
                </c:pt>
                <c:pt idx="6">
                  <c:v>115.63284896931589</c:v>
                </c:pt>
              </c:numCache>
            </c:numRef>
          </c:xVal>
          <c:yVal>
            <c:numRef>
              <c:f>'Laskenta poistopuoli 250_ENT'!$BN$36:$BN$42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9E-49D1-9337-E1656DF3C2C0}"/>
            </c:ext>
          </c:extLst>
        </c:ser>
        <c:ser>
          <c:idx val="2"/>
          <c:order val="1"/>
          <c:tx>
            <c:v>6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250_ENT'!$BS$36:$BS$41</c:f>
              <c:numCache>
                <c:formatCode>0.0</c:formatCode>
                <c:ptCount val="6"/>
                <c:pt idx="0">
                  <c:v>231.45482058174542</c:v>
                </c:pt>
                <c:pt idx="1">
                  <c:v>211.56213987435652</c:v>
                </c:pt>
                <c:pt idx="2">
                  <c:v>189.11321368100411</c:v>
                </c:pt>
                <c:pt idx="3">
                  <c:v>162.761483860868</c:v>
                </c:pt>
                <c:pt idx="4">
                  <c:v>129.26947010597144</c:v>
                </c:pt>
                <c:pt idx="5">
                  <c:v>92.408694768599474</c:v>
                </c:pt>
              </c:numCache>
            </c:numRef>
          </c:xVal>
          <c:yVal>
            <c:numRef>
              <c:f>'Laskenta poistopuoli 250_ENT'!$BR$36:$BR$41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9E-49D1-9337-E1656DF3C2C0}"/>
            </c:ext>
          </c:extLst>
        </c:ser>
        <c:ser>
          <c:idx val="3"/>
          <c:order val="2"/>
          <c:tx>
            <c:v>4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250_ENT'!$BU$36:$BU$40</c:f>
              <c:numCache>
                <c:formatCode>0.0</c:formatCode>
                <c:ptCount val="5"/>
                <c:pt idx="0">
                  <c:v>137.79479127749656</c:v>
                </c:pt>
                <c:pt idx="1">
                  <c:v>129.5056281141523</c:v>
                </c:pt>
                <c:pt idx="2">
                  <c:v>110.92570358593754</c:v>
                </c:pt>
                <c:pt idx="3">
                  <c:v>88.098495554899614</c:v>
                </c:pt>
                <c:pt idx="4">
                  <c:v>55.102547399007342</c:v>
                </c:pt>
              </c:numCache>
            </c:numRef>
          </c:xVal>
          <c:yVal>
            <c:numRef>
              <c:f>'Laskenta poistopuoli 250_ENT'!$BT$36:$BT$40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89E-49D1-9337-E1656DF3C2C0}"/>
            </c:ext>
          </c:extLst>
        </c:ser>
        <c:ser>
          <c:idx val="4"/>
          <c:order val="3"/>
          <c:tx>
            <c:v>7.5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250_ENT'!$BX$36:$BX$42</c:f>
              <c:numCache>
                <c:formatCode>0.0</c:formatCode>
                <c:ptCount val="7"/>
                <c:pt idx="0">
                  <c:v>305.56978103696548</c:v>
                </c:pt>
                <c:pt idx="1">
                  <c:v>275.7539670848335</c:v>
                </c:pt>
                <c:pt idx="2">
                  <c:v>228.58806056040828</c:v>
                </c:pt>
                <c:pt idx="3">
                  <c:v>211.84738721415337</c:v>
                </c:pt>
                <c:pt idx="4">
                  <c:v>186.46259151604715</c:v>
                </c:pt>
                <c:pt idx="5">
                  <c:v>163.89856118333432</c:v>
                </c:pt>
                <c:pt idx="6">
                  <c:v>124.31146742228165</c:v>
                </c:pt>
              </c:numCache>
            </c:numRef>
          </c:xVal>
          <c:yVal>
            <c:numRef>
              <c:f>'Laskenta poistopuoli 250_ENT'!$BW$36:$BW$42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89E-49D1-9337-E1656DF3C2C0}"/>
            </c:ext>
          </c:extLst>
        </c:ser>
        <c:ser>
          <c:idx val="6"/>
          <c:order val="4"/>
          <c:tx>
            <c:v>6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250_ENT'!$CB$36:$CB$41</c:f>
              <c:numCache>
                <c:formatCode>0.0</c:formatCode>
                <c:ptCount val="6"/>
                <c:pt idx="0">
                  <c:v>239.54728928322191</c:v>
                </c:pt>
                <c:pt idx="1">
                  <c:v>219.45665468381333</c:v>
                </c:pt>
                <c:pt idx="2">
                  <c:v>196.82660562841531</c:v>
                </c:pt>
                <c:pt idx="3">
                  <c:v>170.34963183675882</c:v>
                </c:pt>
                <c:pt idx="4">
                  <c:v>136.94975137110086</c:v>
                </c:pt>
                <c:pt idx="5">
                  <c:v>101.02409261451852</c:v>
                </c:pt>
              </c:numCache>
            </c:numRef>
          </c:xVal>
          <c:yVal>
            <c:numRef>
              <c:f>'Laskenta poistopuoli 250_ENT'!$CA$36:$CA$41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89E-49D1-9337-E1656DF3C2C0}"/>
            </c:ext>
          </c:extLst>
        </c:ser>
        <c:ser>
          <c:idx val="7"/>
          <c:order val="5"/>
          <c:tx>
            <c:v>4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250_ENT'!$CD$36:$CD$40</c:f>
              <c:numCache>
                <c:formatCode>0.0</c:formatCode>
                <c:ptCount val="5"/>
                <c:pt idx="0">
                  <c:v>144.57203925918452</c:v>
                </c:pt>
                <c:pt idx="1">
                  <c:v>136.21844953136045</c:v>
                </c:pt>
                <c:pt idx="2">
                  <c:v>117.54750231651833</c:v>
                </c:pt>
                <c:pt idx="3">
                  <c:v>94.770453161428435</c:v>
                </c:pt>
                <c:pt idx="4">
                  <c:v>62.626439612772486</c:v>
                </c:pt>
              </c:numCache>
            </c:numRef>
          </c:xVal>
          <c:yVal>
            <c:numRef>
              <c:f>'Laskenta poistopuoli 250_ENT'!$CC$36:$CC$40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89E-49D1-9337-E1656DF3C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7504783"/>
        <c:axId val="1477506223"/>
      </c:scatterChart>
      <c:valAx>
        <c:axId val="147750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7506223"/>
        <c:crosses val="autoZero"/>
        <c:crossBetween val="midCat"/>
      </c:valAx>
      <c:valAx>
        <c:axId val="147750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750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130_ENT'!$N$15:$N$24</c:f>
              <c:numCache>
                <c:formatCode>General</c:formatCode>
                <c:ptCount val="10"/>
                <c:pt idx="5">
                  <c:v>500</c:v>
                </c:pt>
                <c:pt idx="6" formatCode="0.0">
                  <c:v>46.761998862738068</c:v>
                </c:pt>
                <c:pt idx="7" formatCode="0.0">
                  <c:v>42.07803596728656</c:v>
                </c:pt>
                <c:pt idx="8" formatCode="0.0">
                  <c:v>35.691045949143046</c:v>
                </c:pt>
                <c:pt idx="9" formatCode="0.0">
                  <c:v>29.02976791085376</c:v>
                </c:pt>
              </c:numCache>
            </c:numRef>
          </c:xVal>
          <c:yVal>
            <c:numRef>
              <c:f>'Laskenta vaipan läpi 130_ENT'!$Q$15:$Q$24</c:f>
              <c:numCache>
                <c:formatCode>General</c:formatCode>
                <c:ptCount val="10"/>
                <c:pt idx="5">
                  <c:v>4000</c:v>
                </c:pt>
                <c:pt idx="6" formatCode="0.0">
                  <c:v>28.38770669872595</c:v>
                </c:pt>
                <c:pt idx="7" formatCode="0.0">
                  <c:v>24.872746120590968</c:v>
                </c:pt>
                <c:pt idx="8" formatCode="0.0">
                  <c:v>17.577062138013034</c:v>
                </c:pt>
                <c:pt idx="9" formatCode="0.0">
                  <c:v>5.3019472550635438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80-473B-AD9F-99036F5F8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274984"/>
        <c:axId val="886276952"/>
      </c:scatterChart>
      <c:valAx>
        <c:axId val="8862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6952"/>
        <c:crosses val="autoZero"/>
        <c:crossBetween val="midCat"/>
      </c:valAx>
      <c:valAx>
        <c:axId val="88627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250_ENT'!$AI$6:$AP$6</c:f>
              <c:numCache>
                <c:formatCode>0.0</c:formatCode>
                <c:ptCount val="8"/>
                <c:pt idx="0">
                  <c:v>15.892209228358126</c:v>
                </c:pt>
                <c:pt idx="1">
                  <c:v>12.390296852760258</c:v>
                </c:pt>
                <c:pt idx="2">
                  <c:v>4.112607902486495</c:v>
                </c:pt>
                <c:pt idx="3">
                  <c:v>-9.0182970698818679</c:v>
                </c:pt>
                <c:pt idx="4">
                  <c:v>-14.465242753896689</c:v>
                </c:pt>
                <c:pt idx="5">
                  <c:v>-15.779984741048047</c:v>
                </c:pt>
                <c:pt idx="6">
                  <c:v>-15.534678562698971</c:v>
                </c:pt>
                <c:pt idx="7">
                  <c:v>-16.525415074159966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4-4590-8228-C743953F840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250_ENT'!$AI$7:$AP$7</c:f>
              <c:numCache>
                <c:formatCode>0.0</c:formatCode>
                <c:ptCount val="8"/>
                <c:pt idx="0">
                  <c:v>16.15839781661937</c:v>
                </c:pt>
                <c:pt idx="1">
                  <c:v>12.237056867910411</c:v>
                </c:pt>
                <c:pt idx="2">
                  <c:v>4.3223541109163648</c:v>
                </c:pt>
                <c:pt idx="3">
                  <c:v>-9.6510265124299082</c:v>
                </c:pt>
                <c:pt idx="4">
                  <c:v>-14.212039846494221</c:v>
                </c:pt>
                <c:pt idx="5">
                  <c:v>-16.391966198860842</c:v>
                </c:pt>
                <c:pt idx="6">
                  <c:v>-15.616838605059066</c:v>
                </c:pt>
                <c:pt idx="7">
                  <c:v>-16.696777305981719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4-4590-8228-C743953F8401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250_ENT'!$AI$8:$AP$8</c:f>
              <c:numCache>
                <c:formatCode>0.0</c:formatCode>
                <c:ptCount val="8"/>
                <c:pt idx="0">
                  <c:v>16.47614475441739</c:v>
                </c:pt>
                <c:pt idx="1">
                  <c:v>13.506505171812393</c:v>
                </c:pt>
                <c:pt idx="2">
                  <c:v>3.5305275760317159</c:v>
                </c:pt>
                <c:pt idx="3">
                  <c:v>-11.816875289243988</c:v>
                </c:pt>
                <c:pt idx="4">
                  <c:v>-15.81136627837985</c:v>
                </c:pt>
                <c:pt idx="5">
                  <c:v>-16.408441862324409</c:v>
                </c:pt>
                <c:pt idx="6">
                  <c:v>-17.829229980192622</c:v>
                </c:pt>
                <c:pt idx="7">
                  <c:v>-18.897640783128537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E4-4590-8228-C743953F8401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250_ENT'!$AI$9:$AP$9</c:f>
              <c:numCache>
                <c:formatCode>0.0</c:formatCode>
                <c:ptCount val="8"/>
                <c:pt idx="0">
                  <c:v>17.120820773013683</c:v>
                </c:pt>
                <c:pt idx="1">
                  <c:v>12.187913716943818</c:v>
                </c:pt>
                <c:pt idx="2">
                  <c:v>4.003202166531743</c:v>
                </c:pt>
                <c:pt idx="3">
                  <c:v>-9.2049934948282655</c:v>
                </c:pt>
                <c:pt idx="4">
                  <c:v>-13.221934040161486</c:v>
                </c:pt>
                <c:pt idx="5">
                  <c:v>-18.298214676881113</c:v>
                </c:pt>
                <c:pt idx="6">
                  <c:v>-16.526809077840689</c:v>
                </c:pt>
                <c:pt idx="7">
                  <c:v>-17.610055377026107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E4-4590-8228-C743953F8401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250_ENT'!$AI$10:$AP$10</c:f>
              <c:numCache>
                <c:formatCode>0.0</c:formatCode>
                <c:ptCount val="8"/>
                <c:pt idx="0">
                  <c:v>17.27959904904624</c:v>
                </c:pt>
                <c:pt idx="1">
                  <c:v>12.001819811878264</c:v>
                </c:pt>
                <c:pt idx="2">
                  <c:v>4.242918290410401</c:v>
                </c:pt>
                <c:pt idx="3">
                  <c:v>-9.5256621294263297</c:v>
                </c:pt>
                <c:pt idx="4">
                  <c:v>-13.499663314327584</c:v>
                </c:pt>
                <c:pt idx="5">
                  <c:v>-18.066973381583946</c:v>
                </c:pt>
                <c:pt idx="6">
                  <c:v>-16.617141908769781</c:v>
                </c:pt>
                <c:pt idx="7">
                  <c:v>-18.02686628889467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E4-4590-8228-C743953F8401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250_ENT'!$AI$11:$AP$11</c:f>
              <c:numCache>
                <c:formatCode>0.0</c:formatCode>
                <c:ptCount val="8"/>
                <c:pt idx="0">
                  <c:v>18.649137241509351</c:v>
                </c:pt>
                <c:pt idx="1">
                  <c:v>12.435987080883969</c:v>
                </c:pt>
                <c:pt idx="2">
                  <c:v>2.7968089202831052</c:v>
                </c:pt>
                <c:pt idx="3">
                  <c:v>-11.210120102424213</c:v>
                </c:pt>
                <c:pt idx="4">
                  <c:v>-14.655517805794382</c:v>
                </c:pt>
                <c:pt idx="5">
                  <c:v>-18.034362138387582</c:v>
                </c:pt>
                <c:pt idx="6">
                  <c:v>-19.848748611306853</c:v>
                </c:pt>
                <c:pt idx="7">
                  <c:v>-20.92987764070163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E4-4590-8228-C743953F8401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250_ENT'!$AI$12:$AP$12</c:f>
              <c:numCache>
                <c:formatCode>0.0</c:formatCode>
                <c:ptCount val="8"/>
                <c:pt idx="0">
                  <c:v>17.968871268612119</c:v>
                </c:pt>
                <c:pt idx="1">
                  <c:v>12.487033142273155</c:v>
                </c:pt>
                <c:pt idx="2">
                  <c:v>3.591233802437344</c:v>
                </c:pt>
                <c:pt idx="3">
                  <c:v>-8.4511014776597406</c:v>
                </c:pt>
                <c:pt idx="4">
                  <c:v>-12.675707610821242</c:v>
                </c:pt>
                <c:pt idx="5">
                  <c:v>-19.644585689622808</c:v>
                </c:pt>
                <c:pt idx="6">
                  <c:v>-17.94513656488375</c:v>
                </c:pt>
                <c:pt idx="7">
                  <c:v>-19.739901384291933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E4-4590-8228-C743953F8401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250_ENT'!$AI$13:$AP$13</c:f>
              <c:numCache>
                <c:formatCode>0.0</c:formatCode>
                <c:ptCount val="8"/>
                <c:pt idx="0">
                  <c:v>18.658351448908689</c:v>
                </c:pt>
                <c:pt idx="1">
                  <c:v>12.259907698724888</c:v>
                </c:pt>
                <c:pt idx="2">
                  <c:v>2.9398314082594368</c:v>
                </c:pt>
                <c:pt idx="3">
                  <c:v>-8.576155223044303</c:v>
                </c:pt>
                <c:pt idx="4">
                  <c:v>-11.813090026091018</c:v>
                </c:pt>
                <c:pt idx="5">
                  <c:v>-18.843051095724537</c:v>
                </c:pt>
                <c:pt idx="6">
                  <c:v>-18.778569362834368</c:v>
                </c:pt>
                <c:pt idx="7">
                  <c:v>-20.396806059381596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E4-4590-8228-C743953F8401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250_ENT'!$AI$14:$AP$14</c:f>
              <c:numCache>
                <c:formatCode>0.0</c:formatCode>
                <c:ptCount val="8"/>
                <c:pt idx="0">
                  <c:v>19.753520924686597</c:v>
                </c:pt>
                <c:pt idx="1">
                  <c:v>12.730179522959567</c:v>
                </c:pt>
                <c:pt idx="2">
                  <c:v>1.7867648912759933</c:v>
                </c:pt>
                <c:pt idx="3">
                  <c:v>-9.8377006024524292</c:v>
                </c:pt>
                <c:pt idx="4">
                  <c:v>-15.909018141675478</c:v>
                </c:pt>
                <c:pt idx="5">
                  <c:v>-19.536977175345569</c:v>
                </c:pt>
                <c:pt idx="6">
                  <c:v>-20.665188281053517</c:v>
                </c:pt>
                <c:pt idx="7">
                  <c:v>-22.498505678172393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E4-4590-8228-C743953F8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xVal>
            <c:numRef>
              <c:f>'Laskenta tulopuoli 350_ENT'!$D$59:$D$62</c:f>
              <c:numCache>
                <c:formatCode>0.0</c:formatCode>
                <c:ptCount val="4"/>
                <c:pt idx="0">
                  <c:v>344.7</c:v>
                </c:pt>
                <c:pt idx="1">
                  <c:v>324</c:v>
                </c:pt>
                <c:pt idx="2">
                  <c:v>292.5</c:v>
                </c:pt>
                <c:pt idx="3">
                  <c:v>199.8</c:v>
                </c:pt>
              </c:numCache>
            </c:numRef>
          </c:xVal>
          <c:yVal>
            <c:numRef>
              <c:f>'Laskenta tulopuoli 350_ENT'!$E$59:$E$62</c:f>
              <c:numCache>
                <c:formatCode>0.0</c:formatCode>
                <c:ptCount val="4"/>
                <c:pt idx="0">
                  <c:v>62.144673041028028</c:v>
                </c:pt>
                <c:pt idx="1">
                  <c:v>61.110829409089718</c:v>
                </c:pt>
                <c:pt idx="2">
                  <c:v>60.985409403702306</c:v>
                </c:pt>
                <c:pt idx="3">
                  <c:v>60.500427442168004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0B4-48CC-A241-107195D92452}"/>
            </c:ext>
          </c:extLst>
        </c:ser>
        <c:ser>
          <c:idx val="1"/>
          <c:order val="1"/>
          <c:tx>
            <c:strRef>
              <c:f>'Laskenta tulopuoli 350_ENT'!$C$64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350_ENT'!$D$64:$D$67</c:f>
              <c:numCache>
                <c:formatCode>0.0</c:formatCode>
                <c:ptCount val="4"/>
                <c:pt idx="0">
                  <c:v>281.5</c:v>
                </c:pt>
                <c:pt idx="1">
                  <c:v>263.3</c:v>
                </c:pt>
                <c:pt idx="2">
                  <c:v>237.6</c:v>
                </c:pt>
                <c:pt idx="3">
                  <c:v>163.80000000000001</c:v>
                </c:pt>
              </c:numCache>
            </c:numRef>
          </c:xVal>
          <c:yVal>
            <c:numRef>
              <c:f>'Laskenta tulopuoli 350_ENT'!$E$64:$E$67</c:f>
              <c:numCache>
                <c:formatCode>0.0</c:formatCode>
                <c:ptCount val="4"/>
                <c:pt idx="0">
                  <c:v>58.24228272767192</c:v>
                </c:pt>
                <c:pt idx="1">
                  <c:v>57.721583476668464</c:v>
                </c:pt>
                <c:pt idx="2">
                  <c:v>57.063736576510934</c:v>
                </c:pt>
                <c:pt idx="3">
                  <c:v>55.682298664375324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0B4-48CC-A241-107195D92452}"/>
            </c:ext>
          </c:extLst>
        </c:ser>
        <c:ser>
          <c:idx val="2"/>
          <c:order val="2"/>
          <c:tx>
            <c:strRef>
              <c:f>'Laskenta tulopuoli 350_ENT'!$C$69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350_ENT'!$D$69:$D$72</c:f>
              <c:numCache>
                <c:formatCode>0.0</c:formatCode>
                <c:ptCount val="4"/>
                <c:pt idx="0">
                  <c:v>199.7</c:v>
                </c:pt>
                <c:pt idx="1">
                  <c:v>189.6</c:v>
                </c:pt>
                <c:pt idx="2">
                  <c:v>172.1</c:v>
                </c:pt>
                <c:pt idx="3">
                  <c:v>116.3</c:v>
                </c:pt>
              </c:numCache>
            </c:numRef>
          </c:xVal>
          <c:yVal>
            <c:numRef>
              <c:f>'Laskenta tulopuoli 350_ENT'!$E$69:$E$72</c:f>
              <c:numCache>
                <c:formatCode>0.0</c:formatCode>
                <c:ptCount val="4"/>
                <c:pt idx="0">
                  <c:v>52.054568508290444</c:v>
                </c:pt>
                <c:pt idx="1">
                  <c:v>50.877843425757796</c:v>
                </c:pt>
                <c:pt idx="2">
                  <c:v>50.40068165114193</c:v>
                </c:pt>
                <c:pt idx="3">
                  <c:v>49.985155052847965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0B4-48CC-A241-107195D92452}"/>
            </c:ext>
          </c:extLst>
        </c:ser>
        <c:ser>
          <c:idx val="3"/>
          <c:order val="3"/>
          <c:tx>
            <c:strRef>
              <c:f>'Laskenta tulopuoli 350_ENT'!$C$74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350_ENT'!$D$74:$D$77</c:f>
              <c:numCache>
                <c:formatCode>0.0</c:formatCode>
                <c:ptCount val="4"/>
                <c:pt idx="0">
                  <c:v>120.9</c:v>
                </c:pt>
                <c:pt idx="1">
                  <c:v>111.7</c:v>
                </c:pt>
                <c:pt idx="2">
                  <c:v>102.2</c:v>
                </c:pt>
                <c:pt idx="3">
                  <c:v>75.400000000000006</c:v>
                </c:pt>
              </c:numCache>
            </c:numRef>
          </c:xVal>
          <c:yVal>
            <c:numRef>
              <c:f>'Laskenta tulopuoli 350_ENT'!$E$74:$E$77</c:f>
              <c:numCache>
                <c:formatCode>0.0</c:formatCode>
                <c:ptCount val="4"/>
                <c:pt idx="0">
                  <c:v>42.714217266282517</c:v>
                </c:pt>
                <c:pt idx="1">
                  <c:v>41.582199094486363</c:v>
                </c:pt>
                <c:pt idx="2">
                  <c:v>41.026264842676959</c:v>
                </c:pt>
                <c:pt idx="3">
                  <c:v>40.82876371299777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20B4-48CC-A241-107195D92452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20B4-48CC-A241-107195D92452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20B4-48CC-A241-107195D92452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2.674304082754787E-2"/>
                  <c:y val="-6.978125780825413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350_ENT'!$AC$34:$AC$37</c:f>
              <c:numCache>
                <c:formatCode>0.0</c:formatCode>
                <c:ptCount val="4"/>
                <c:pt idx="0">
                  <c:v>102.30222754939838</c:v>
                </c:pt>
                <c:pt idx="1">
                  <c:v>82.516497657439885</c:v>
                </c:pt>
                <c:pt idx="2">
                  <c:v>58.577996607238198</c:v>
                </c:pt>
                <c:pt idx="3">
                  <c:v>37.915875474993129</c:v>
                </c:pt>
              </c:numCache>
            </c:numRef>
          </c:xVal>
          <c:yVal>
            <c:numRef>
              <c:f>'Laskenta tulopuoli 350_ENT'!$AF$34:$AF$37</c:f>
              <c:numCache>
                <c:formatCode>0.0</c:formatCode>
                <c:ptCount val="4"/>
                <c:pt idx="0">
                  <c:v>59.271194955387301</c:v>
                </c:pt>
                <c:pt idx="1">
                  <c:v>53.432128271479861</c:v>
                </c:pt>
                <c:pt idx="2">
                  <c:v>48.374700520908959</c:v>
                </c:pt>
                <c:pt idx="3">
                  <c:v>38.932052844315898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20B4-48CC-A241-107195D9245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350_ENT'!$W$5</c:f>
              <c:numCache>
                <c:formatCode>0.0</c:formatCode>
                <c:ptCount val="1"/>
                <c:pt idx="0">
                  <c:v>37.340861970400134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20B4-48CC-A241-107195D92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350_ENT'!$N$59:$N$62</c:f>
              <c:numCache>
                <c:formatCode>0.0</c:formatCode>
                <c:ptCount val="4"/>
                <c:pt idx="0">
                  <c:v>347.55882244303535</c:v>
                </c:pt>
                <c:pt idx="1">
                  <c:v>318.57365469368182</c:v>
                </c:pt>
                <c:pt idx="2">
                  <c:v>289.31281640836551</c:v>
                </c:pt>
                <c:pt idx="3">
                  <c:v>207.42294296613554</c:v>
                </c:pt>
              </c:numCache>
            </c:numRef>
          </c:xVal>
          <c:yVal>
            <c:numRef>
              <c:f>'Laskenta tulopuoli 350_ENT'!$O$59:$O$62</c:f>
              <c:numCache>
                <c:formatCode>0.0</c:formatCode>
                <c:ptCount val="4"/>
                <c:pt idx="0">
                  <c:v>81.851516160933571</c:v>
                </c:pt>
                <c:pt idx="1">
                  <c:v>81.06411222486777</c:v>
                </c:pt>
                <c:pt idx="2">
                  <c:v>80.236796311049133</c:v>
                </c:pt>
                <c:pt idx="3">
                  <c:v>78.507118643238755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4E-4802-9773-261008FC14A3}"/>
            </c:ext>
          </c:extLst>
        </c:ser>
        <c:ser>
          <c:idx val="1"/>
          <c:order val="1"/>
          <c:tx>
            <c:strRef>
              <c:f>'Laskenta tulopuoli 350_ENT'!$C$64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350_ENT'!$N$64:$N$67</c:f>
              <c:numCache>
                <c:formatCode>0.0</c:formatCode>
                <c:ptCount val="4"/>
                <c:pt idx="0">
                  <c:v>283.96765425773657</c:v>
                </c:pt>
                <c:pt idx="1">
                  <c:v>261.96983501546862</c:v>
                </c:pt>
                <c:pt idx="2">
                  <c:v>234.55670322791551</c:v>
                </c:pt>
                <c:pt idx="3">
                  <c:v>167.45120469341205</c:v>
                </c:pt>
              </c:numCache>
            </c:numRef>
          </c:xVal>
          <c:yVal>
            <c:numRef>
              <c:f>'Laskenta tulopuoli 350_ENT'!$O$64:$O$67</c:f>
              <c:numCache>
                <c:formatCode>0.0</c:formatCode>
                <c:ptCount val="4"/>
                <c:pt idx="0">
                  <c:v>77.735360552640628</c:v>
                </c:pt>
                <c:pt idx="1">
                  <c:v>76.862945314317813</c:v>
                </c:pt>
                <c:pt idx="2">
                  <c:v>75.986323411337054</c:v>
                </c:pt>
                <c:pt idx="3">
                  <c:v>74.277783828246243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64E-4802-9773-261008FC14A3}"/>
            </c:ext>
          </c:extLst>
        </c:ser>
        <c:ser>
          <c:idx val="2"/>
          <c:order val="2"/>
          <c:tx>
            <c:strRef>
              <c:f>'Laskenta tulopuoli 350_ENT'!$C$69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350_ENT'!$N$69:$N$72</c:f>
              <c:numCache>
                <c:formatCode>0.0</c:formatCode>
                <c:ptCount val="4"/>
                <c:pt idx="0">
                  <c:v>196.59593379240673</c:v>
                </c:pt>
                <c:pt idx="1">
                  <c:v>188.24966838990059</c:v>
                </c:pt>
                <c:pt idx="2">
                  <c:v>164.38494862120547</c:v>
                </c:pt>
                <c:pt idx="3">
                  <c:v>119.65707821171999</c:v>
                </c:pt>
              </c:numCache>
            </c:numRef>
          </c:xVal>
          <c:yVal>
            <c:numRef>
              <c:f>'Laskenta tulopuoli 350_ENT'!$O$69:$O$72</c:f>
              <c:numCache>
                <c:formatCode>0.0</c:formatCode>
                <c:ptCount val="4"/>
                <c:pt idx="0">
                  <c:v>70.294486455567011</c:v>
                </c:pt>
                <c:pt idx="1">
                  <c:v>70.39393478183564</c:v>
                </c:pt>
                <c:pt idx="2">
                  <c:v>69.238525709591201</c:v>
                </c:pt>
                <c:pt idx="3">
                  <c:v>68.005684116574912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64E-4802-9773-261008FC14A3}"/>
            </c:ext>
          </c:extLst>
        </c:ser>
        <c:ser>
          <c:idx val="3"/>
          <c:order val="3"/>
          <c:tx>
            <c:strRef>
              <c:f>'Laskenta tulopuoli 350_ENT'!$C$74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350_ENT'!$N$74:$N$77</c:f>
              <c:numCache>
                <c:formatCode>0.0</c:formatCode>
                <c:ptCount val="4"/>
                <c:pt idx="0">
                  <c:v>120.06691977873932</c:v>
                </c:pt>
                <c:pt idx="1">
                  <c:v>110.21384224054002</c:v>
                </c:pt>
                <c:pt idx="2">
                  <c:v>101.54208149102088</c:v>
                </c:pt>
                <c:pt idx="3">
                  <c:v>71.51080035745774</c:v>
                </c:pt>
              </c:numCache>
            </c:numRef>
          </c:xVal>
          <c:yVal>
            <c:numRef>
              <c:f>'Laskenta tulopuoli 350_ENT'!$O$74:$O$77</c:f>
              <c:numCache>
                <c:formatCode>0.0</c:formatCode>
                <c:ptCount val="4"/>
                <c:pt idx="0">
                  <c:v>60.277409039035533</c:v>
                </c:pt>
                <c:pt idx="1">
                  <c:v>59.745318906529754</c:v>
                </c:pt>
                <c:pt idx="2">
                  <c:v>59.237513523597116</c:v>
                </c:pt>
                <c:pt idx="3">
                  <c:v>58.0702069810362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64E-4802-9773-261008FC14A3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1.8473446385078678E-2"/>
                  <c:y val="-7.269786616947292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350_ENT'!$AC$34:$AC$37</c:f>
              <c:numCache>
                <c:formatCode>0.0</c:formatCode>
                <c:ptCount val="4"/>
                <c:pt idx="0">
                  <c:v>102.30222754939838</c:v>
                </c:pt>
                <c:pt idx="1">
                  <c:v>82.516497657439885</c:v>
                </c:pt>
                <c:pt idx="2">
                  <c:v>58.577996607238198</c:v>
                </c:pt>
                <c:pt idx="3">
                  <c:v>37.915875474993129</c:v>
                </c:pt>
              </c:numCache>
            </c:numRef>
          </c:xVal>
          <c:yVal>
            <c:numRef>
              <c:f>'Laskenta tulopuoli 350_ENT'!$AG$34:$AG$37</c:f>
              <c:numCache>
                <c:formatCode>0.0</c:formatCode>
                <c:ptCount val="4"/>
                <c:pt idx="0">
                  <c:v>75.294847173186668</c:v>
                </c:pt>
                <c:pt idx="1">
                  <c:v>71.060765816515371</c:v>
                </c:pt>
                <c:pt idx="2">
                  <c:v>65.498096195133584</c:v>
                </c:pt>
                <c:pt idx="3">
                  <c:v>56.146767270411296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64E-4802-9773-261008FC14A3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350_ENT'!$W$6</c:f>
              <c:numCache>
                <c:formatCode>0.0</c:formatCode>
                <c:ptCount val="1"/>
                <c:pt idx="0">
                  <c:v>54.816477065637883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64E-4802-9773-261008FC1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350_ENT'!$AJ$36:$AJ$38</c:f>
              <c:numCache>
                <c:formatCode>0.0</c:formatCode>
                <c:ptCount val="3"/>
                <c:pt idx="0">
                  <c:v>82.516497657439885</c:v>
                </c:pt>
                <c:pt idx="1">
                  <c:v>58.577996607238198</c:v>
                </c:pt>
                <c:pt idx="2">
                  <c:v>37.915875474993129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F9-423E-A41E-07E7E1FB832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350_ENT'!$AJ$34:$AJ$35</c:f>
              <c:numCache>
                <c:formatCode>0.0</c:formatCode>
                <c:ptCount val="2"/>
                <c:pt idx="0">
                  <c:v>102.30222754939838</c:v>
                </c:pt>
                <c:pt idx="1">
                  <c:v>93.120589883392128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4F9-423E-A41E-07E7E1FB8324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350_ENT'!$W$9</c:f>
              <c:numCache>
                <c:formatCode>0.00</c:formatCode>
                <c:ptCount val="1"/>
                <c:pt idx="0">
                  <c:v>3.7590233552788086</c:v>
                </c:pt>
              </c:numCache>
            </c:numRef>
          </c:xVal>
          <c:yVal>
            <c:numRef>
              <c:f>'Laskenta tulopuoli 350_ENT'!$J$3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4F9-423E-A41E-07E7E1FB8324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350_ENT'!$AC$34:$AC$37</c:f>
              <c:numCache>
                <c:formatCode>0.0</c:formatCode>
                <c:ptCount val="4"/>
                <c:pt idx="0">
                  <c:v>102.30222754939838</c:v>
                </c:pt>
                <c:pt idx="1">
                  <c:v>82.516497657439885</c:v>
                </c:pt>
                <c:pt idx="2">
                  <c:v>58.577996607238198</c:v>
                </c:pt>
                <c:pt idx="3">
                  <c:v>37.915875474993129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4F9-423E-A41E-07E7E1FB8324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tulopuoli 350_ENT'!$AR$36</c:f>
              <c:numCache>
                <c:formatCode>0.0</c:formatCode>
                <c:ptCount val="1"/>
                <c:pt idx="0">
                  <c:v>4.3809452863345264</c:v>
                </c:pt>
              </c:numCache>
            </c:numRef>
          </c:xVal>
          <c:yVal>
            <c:numRef>
              <c:f>'Laskenta tulopuoli 350_ENT'!$AO$36</c:f>
              <c:numCache>
                <c:formatCode>0.0</c:formatCode>
                <c:ptCount val="1"/>
                <c:pt idx="0">
                  <c:v>41.666666666666664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4F9-423E-A41E-07E7E1FB8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350_ENT'!$X$59:$X$67</c:f>
              <c:numCache>
                <c:formatCode>0.0</c:formatCode>
                <c:ptCount val="9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  <c:pt idx="8">
                  <c:v>88.39543467590552</c:v>
                </c:pt>
              </c:numCache>
            </c:numRef>
          </c:xVal>
          <c:yVal>
            <c:numRef>
              <c:f>'Laskenta tulopuoli 350_ENT'!$Y$59:$Y$67</c:f>
              <c:numCache>
                <c:formatCode>0.0</c:formatCode>
                <c:ptCount val="9"/>
                <c:pt idx="0">
                  <c:v>269.87126140289683</c:v>
                </c:pt>
                <c:pt idx="1">
                  <c:v>344.24106644222212</c:v>
                </c:pt>
                <c:pt idx="2">
                  <c:v>404.74934395940249</c:v>
                </c:pt>
                <c:pt idx="3">
                  <c:v>441.21443337830112</c:v>
                </c:pt>
                <c:pt idx="4">
                  <c:v>476.01090864587957</c:v>
                </c:pt>
                <c:pt idx="5">
                  <c:v>508.64545939713418</c:v>
                </c:pt>
                <c:pt idx="6">
                  <c:v>470.25008534934227</c:v>
                </c:pt>
                <c:pt idx="7">
                  <c:v>500.70540336719438</c:v>
                </c:pt>
                <c:pt idx="8">
                  <c:v>219.51717363439141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72-4593-B67D-6671A0E33A94}"/>
            </c:ext>
          </c:extLst>
        </c:ser>
        <c:ser>
          <c:idx val="1"/>
          <c:order val="1"/>
          <c:tx>
            <c:strRef>
              <c:f>'Laskenta tulopuoli 350_ENT'!$W$70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350_ENT'!$X$70:$X$78</c:f>
              <c:numCache>
                <c:formatCode>0.0</c:formatCode>
                <c:ptCount val="9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  <c:pt idx="8">
                  <c:v>69.746589293639971</c:v>
                </c:pt>
              </c:numCache>
            </c:numRef>
          </c:xVal>
          <c:yVal>
            <c:numRef>
              <c:f>'Laskenta tulopuoli 350_ENT'!$Y$70:$Y$78</c:f>
              <c:numCache>
                <c:formatCode>0.0</c:formatCode>
                <c:ptCount val="9"/>
                <c:pt idx="0">
                  <c:v>149.69222564951269</c:v>
                </c:pt>
                <c:pt idx="1">
                  <c:v>194.21295707561856</c:v>
                </c:pt>
                <c:pt idx="2">
                  <c:v>226.86308284600184</c:v>
                </c:pt>
                <c:pt idx="3">
                  <c:v>250.01490513085002</c:v>
                </c:pt>
                <c:pt idx="4">
                  <c:v>291.75989245361296</c:v>
                </c:pt>
                <c:pt idx="5">
                  <c:v>272.36127011804143</c:v>
                </c:pt>
                <c:pt idx="6">
                  <c:v>272.86710131104024</c:v>
                </c:pt>
                <c:pt idx="7">
                  <c:v>293.34861075163002</c:v>
                </c:pt>
                <c:pt idx="8">
                  <c:v>122.34343264857729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D72-4593-B67D-6671A0E33A94}"/>
            </c:ext>
          </c:extLst>
        </c:ser>
        <c:ser>
          <c:idx val="2"/>
          <c:order val="2"/>
          <c:tx>
            <c:strRef>
              <c:f>'Laskenta tulopuoli 350_ENT'!$W$81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350_ENT'!$X$81:$X$88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350_ENT'!$Y$81:$Y$88</c:f>
              <c:numCache>
                <c:formatCode>0.0</c:formatCode>
                <c:ptCount val="8"/>
                <c:pt idx="0">
                  <c:v>68.338082142436136</c:v>
                </c:pt>
                <c:pt idx="1">
                  <c:v>85.817945626993549</c:v>
                </c:pt>
                <c:pt idx="2">
                  <c:v>100.58211420649553</c:v>
                </c:pt>
                <c:pt idx="3">
                  <c:v>108.18499603886791</c:v>
                </c:pt>
                <c:pt idx="4">
                  <c:v>122.06707576044337</c:v>
                </c:pt>
                <c:pt idx="5">
                  <c:v>127.03579746433738</c:v>
                </c:pt>
                <c:pt idx="6">
                  <c:v>121.47438704053738</c:v>
                </c:pt>
                <c:pt idx="7">
                  <c:v>120.34526296527847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72-4593-B67D-6671A0E33A94}"/>
            </c:ext>
          </c:extLst>
        </c:ser>
        <c:ser>
          <c:idx val="3"/>
          <c:order val="3"/>
          <c:tx>
            <c:strRef>
              <c:f>'Laskenta tulopuoli 350_ENT'!$W$92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350_ENT'!$X$92:$X$98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350_ENT'!$Y$92:$Y$98</c:f>
              <c:numCache>
                <c:formatCode>0.0</c:formatCode>
                <c:ptCount val="7"/>
                <c:pt idx="0">
                  <c:v>27.789129554462839</c:v>
                </c:pt>
                <c:pt idx="1">
                  <c:v>32.284696155606284</c:v>
                </c:pt>
                <c:pt idx="2">
                  <c:v>35.64020826027015</c:v>
                </c:pt>
                <c:pt idx="3">
                  <c:v>38.902321225263641</c:v>
                </c:pt>
                <c:pt idx="4">
                  <c:v>42.421503042537594</c:v>
                </c:pt>
                <c:pt idx="5">
                  <c:v>41.173887650695342</c:v>
                </c:pt>
                <c:pt idx="6">
                  <c:v>42.255082918151238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D72-4593-B67D-6671A0E33A94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350_ENT'!$AC$34:$AC$38</c:f>
              <c:numCache>
                <c:formatCode>0.0</c:formatCode>
                <c:ptCount val="5"/>
                <c:pt idx="0">
                  <c:v>102.30222754939838</c:v>
                </c:pt>
                <c:pt idx="1">
                  <c:v>82.516497657439885</c:v>
                </c:pt>
                <c:pt idx="2">
                  <c:v>58.577996607238198</c:v>
                </c:pt>
                <c:pt idx="3">
                  <c:v>37.915875474993129</c:v>
                </c:pt>
              </c:numCache>
            </c:numRef>
          </c:xVal>
          <c:yVal>
            <c:numRef>
              <c:f>'Laskenta tulopuoli 350_ENT'!$AE$34:$AE$37</c:f>
              <c:numCache>
                <c:formatCode>0.0</c:formatCode>
                <c:ptCount val="4"/>
                <c:pt idx="0">
                  <c:v>229.22945026558938</c:v>
                </c:pt>
                <c:pt idx="1">
                  <c:v>129.00543097061279</c:v>
                </c:pt>
                <c:pt idx="2">
                  <c:v>57.571242061674269</c:v>
                </c:pt>
                <c:pt idx="3">
                  <c:v>25.260015769487143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D72-4593-B67D-6671A0E33A94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350_ENT'!$W$13</c:f>
              <c:numCache>
                <c:formatCode>0.0</c:formatCode>
                <c:ptCount val="1"/>
                <c:pt idx="0">
                  <c:v>23.191384374974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D72-4593-B67D-6671A0E33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350_ENT'!$AA$4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350_ENT'!$AB$6:$AB$12</c:f>
              <c:numCache>
                <c:formatCode>0.0</c:formatCode>
                <c:ptCount val="7"/>
                <c:pt idx="0">
                  <c:v>376.857790816972</c:v>
                </c:pt>
                <c:pt idx="1">
                  <c:v>357.35113549736815</c:v>
                </c:pt>
                <c:pt idx="2">
                  <c:v>329.20191498228081</c:v>
                </c:pt>
                <c:pt idx="3">
                  <c:v>297.827893604721</c:v>
                </c:pt>
                <c:pt idx="4">
                  <c:v>261.77523969041579</c:v>
                </c:pt>
                <c:pt idx="5">
                  <c:v>217.99173826425962</c:v>
                </c:pt>
                <c:pt idx="6">
                  <c:v>148.86716033053662</c:v>
                </c:pt>
              </c:numCache>
            </c:numRef>
          </c:xVal>
          <c:yVal>
            <c:numRef>
              <c:f>'Laskenta tulopuoli 350_ENT'!$AA$6:$AA$12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AE-4B3D-B037-17E3C7D51DB4}"/>
            </c:ext>
          </c:extLst>
        </c:ser>
        <c:ser>
          <c:idx val="1"/>
          <c:order val="1"/>
          <c:tx>
            <c:strRef>
              <c:f>'Laskenta tulopuoli 350_ENT'!$AC$4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350_ENT'!$AD$6:$AD$12</c:f>
              <c:numCache>
                <c:formatCode>0.0</c:formatCode>
                <c:ptCount val="7"/>
                <c:pt idx="0">
                  <c:v>307.94858488224804</c:v>
                </c:pt>
                <c:pt idx="1">
                  <c:v>298.02146155585729</c:v>
                </c:pt>
                <c:pt idx="2">
                  <c:v>280.5727801082906</c:v>
                </c:pt>
                <c:pt idx="3">
                  <c:v>261.76377086640542</c:v>
                </c:pt>
                <c:pt idx="4">
                  <c:v>227.81893037255273</c:v>
                </c:pt>
                <c:pt idx="5">
                  <c:v>180.21616269737683</c:v>
                </c:pt>
                <c:pt idx="6">
                  <c:v>121.84675224810155</c:v>
                </c:pt>
              </c:numCache>
            </c:numRef>
          </c:xVal>
          <c:yVal>
            <c:numRef>
              <c:f>'Laskenta tulopuoli 350_ENT'!$AC$6:$AC$12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5AE-4B3D-B037-17E3C7D51DB4}"/>
            </c:ext>
          </c:extLst>
        </c:ser>
        <c:ser>
          <c:idx val="2"/>
          <c:order val="2"/>
          <c:tx>
            <c:strRef>
              <c:f>'Laskenta tulopuoli 350_ENT'!$AE$4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350_ENT'!$AF$6:$AF$11</c:f>
              <c:numCache>
                <c:formatCode>0.0</c:formatCode>
                <c:ptCount val="6"/>
                <c:pt idx="0">
                  <c:v>220.0272127426278</c:v>
                </c:pt>
                <c:pt idx="1">
                  <c:v>202.04778027579948</c:v>
                </c:pt>
                <c:pt idx="2">
                  <c:v>181.71413323981204</c:v>
                </c:pt>
                <c:pt idx="3">
                  <c:v>157.7532490276617</c:v>
                </c:pt>
                <c:pt idx="4">
                  <c:v>127.0242914387899</c:v>
                </c:pt>
                <c:pt idx="5">
                  <c:v>83.35848194712591</c:v>
                </c:pt>
              </c:numCache>
            </c:numRef>
          </c:xVal>
          <c:yVal>
            <c:numRef>
              <c:f>'Laskenta tulopuoli 350_ENT'!$AE$6:$AE$11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5AE-4B3D-B037-17E3C7D51DB4}"/>
            </c:ext>
          </c:extLst>
        </c:ser>
        <c:ser>
          <c:idx val="3"/>
          <c:order val="3"/>
          <c:tx>
            <c:strRef>
              <c:f>'Laskenta tulopuoli 350_ENT'!$AG$4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350_ENT'!$AH$6:$AH$10</c:f>
              <c:numCache>
                <c:formatCode>0.0</c:formatCode>
                <c:ptCount val="5"/>
                <c:pt idx="0">
                  <c:v>128.55190799708276</c:v>
                </c:pt>
                <c:pt idx="1">
                  <c:v>120.45799561693227</c:v>
                </c:pt>
                <c:pt idx="2">
                  <c:v>102.64509341270374</c:v>
                </c:pt>
                <c:pt idx="3">
                  <c:v>81.682443931248443</c:v>
                </c:pt>
                <c:pt idx="4">
                  <c:v>54.882637981725303</c:v>
                </c:pt>
              </c:numCache>
            </c:numRef>
          </c:xVal>
          <c:yVal>
            <c:numRef>
              <c:f>'Laskenta tulopuoli 350_ENT'!$AG$6:$AG$10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5AE-4B3D-B037-17E3C7D51DB4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350_ENT'!$L$3</c:f>
              <c:numCache>
                <c:formatCode>0.0</c:formatCode>
                <c:ptCount val="1"/>
                <c:pt idx="0">
                  <c:v>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5AE-4B3D-B037-17E3C7D51DB4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350_ENT'!$AC$34:$AC$37</c:f>
              <c:numCache>
                <c:formatCode>0.0</c:formatCode>
                <c:ptCount val="4"/>
                <c:pt idx="0">
                  <c:v>102.30222754939838</c:v>
                </c:pt>
                <c:pt idx="1">
                  <c:v>82.516497657439885</c:v>
                </c:pt>
                <c:pt idx="2">
                  <c:v>58.577996607238198</c:v>
                </c:pt>
                <c:pt idx="3">
                  <c:v>37.915875474993129</c:v>
                </c:pt>
              </c:numCache>
            </c:numRef>
          </c:xVal>
          <c:yVal>
            <c:numRef>
              <c:f>'Laskenta tulopuoli 350_ENT'!$AD$34:$AD$37</c:f>
              <c:numCache>
                <c:formatCode>0.0</c:formatCode>
                <c:ptCount val="4"/>
                <c:pt idx="0">
                  <c:v>651.05311233567716</c:v>
                </c:pt>
                <c:pt idx="1">
                  <c:v>423.57255416653271</c:v>
                </c:pt>
                <c:pt idx="2">
                  <c:v>213.45939195488748</c:v>
                </c:pt>
                <c:pt idx="3">
                  <c:v>89.431067639692799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5AE-4B3D-B037-17E3C7D51DB4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350_ENT'!$O$22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350_ENT'!$O$23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5AE-4B3D-B037-17E3C7D51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350_ENT'!$AM$60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350_ENT'!$AN$60:$AN$67</c:f>
              <c:numCache>
                <c:formatCode>0.0</c:formatCode>
                <c:ptCount val="8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</c:numCache>
            </c:numRef>
          </c:xVal>
          <c:yVal>
            <c:numRef>
              <c:f>'Laskenta tulopuoli 350_ENT'!$AO$60:$AO$67</c:f>
              <c:numCache>
                <c:formatCode>0.0</c:formatCode>
                <c:ptCount val="8"/>
                <c:pt idx="0">
                  <c:v>722.42610700384864</c:v>
                </c:pt>
                <c:pt idx="1">
                  <c:v>739.53034803011769</c:v>
                </c:pt>
                <c:pt idx="2">
                  <c:v>717.88057288445566</c:v>
                </c:pt>
                <c:pt idx="3">
                  <c:v>675.41900858718213</c:v>
                </c:pt>
                <c:pt idx="4">
                  <c:v>623.23687622746013</c:v>
                </c:pt>
                <c:pt idx="5">
                  <c:v>572.2874906916403</c:v>
                </c:pt>
                <c:pt idx="6">
                  <c:v>618.04528681032571</c:v>
                </c:pt>
                <c:pt idx="7">
                  <c:v>562.76723154802846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11-478A-8245-98DCC77F57A5}"/>
            </c:ext>
          </c:extLst>
        </c:ser>
        <c:ser>
          <c:idx val="1"/>
          <c:order val="1"/>
          <c:tx>
            <c:strRef>
              <c:f>'Laskenta tulopuoli 350_ENT'!$AM$71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350_ENT'!$AN$71:$AN$78</c:f>
              <c:numCache>
                <c:formatCode>0.0</c:formatCode>
                <c:ptCount val="8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</c:numCache>
            </c:numRef>
          </c:xVal>
          <c:yVal>
            <c:numRef>
              <c:f>'Laskenta tulopuoli 350_ENT'!$AO$71:$AO$78</c:f>
              <c:numCache>
                <c:formatCode>0.0</c:formatCode>
                <c:ptCount val="8"/>
                <c:pt idx="0">
                  <c:v>480.47740951140975</c:v>
                </c:pt>
                <c:pt idx="1">
                  <c:v>499.25319556455048</c:v>
                </c:pt>
                <c:pt idx="2">
                  <c:v>489.60273417160482</c:v>
                </c:pt>
                <c:pt idx="3">
                  <c:v>465.36220734164971</c:v>
                </c:pt>
                <c:pt idx="4">
                  <c:v>405.83209680812467</c:v>
                </c:pt>
                <c:pt idx="5">
                  <c:v>432.65135686837277</c:v>
                </c:pt>
                <c:pt idx="6">
                  <c:v>433.6376239036544</c:v>
                </c:pt>
                <c:pt idx="7">
                  <c:v>410.00831718529457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811-478A-8245-98DCC77F57A5}"/>
            </c:ext>
          </c:extLst>
        </c:ser>
        <c:ser>
          <c:idx val="2"/>
          <c:order val="2"/>
          <c:tx>
            <c:strRef>
              <c:f>'Laskenta tulopuoli 350_ENT'!$AM$82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350_ENT'!$AN$82:$AN$89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350_ENT'!$AO$82:$AO$89</c:f>
              <c:numCache>
                <c:formatCode>0.0</c:formatCode>
                <c:ptCount val="8"/>
                <c:pt idx="0">
                  <c:v>265.00501232977552</c:v>
                </c:pt>
                <c:pt idx="1">
                  <c:v>275.72121747030798</c:v>
                </c:pt>
                <c:pt idx="2">
                  <c:v>277.98938334266228</c:v>
                </c:pt>
                <c:pt idx="3">
                  <c:v>260.1718305683068</c:v>
                </c:pt>
                <c:pt idx="4">
                  <c:v>256.38645724089372</c:v>
                </c:pt>
                <c:pt idx="5">
                  <c:v>247.75451315166487</c:v>
                </c:pt>
                <c:pt idx="6">
                  <c:v>256.27772092943292</c:v>
                </c:pt>
                <c:pt idx="7">
                  <c:v>237.96625636891571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811-478A-8245-98DCC77F57A5}"/>
            </c:ext>
          </c:extLst>
        </c:ser>
        <c:ser>
          <c:idx val="3"/>
          <c:order val="3"/>
          <c:tx>
            <c:strRef>
              <c:f>'Laskenta tulopuoli 350_ENT'!$AM$93</c:f>
              <c:strCache>
                <c:ptCount val="1"/>
                <c:pt idx="0">
                  <c:v>¤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350_ENT'!$AN$93:$AN$99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350_ENT'!$AO$93:$AO$99</c:f>
              <c:numCache>
                <c:formatCode>0.0</c:formatCode>
                <c:ptCount val="7"/>
                <c:pt idx="0">
                  <c:v>115.4382451776105</c:v>
                </c:pt>
                <c:pt idx="1">
                  <c:v>116.49698561821329</c:v>
                </c:pt>
                <c:pt idx="2">
                  <c:v>119.17840227299482</c:v>
                </c:pt>
                <c:pt idx="3">
                  <c:v>118.07500366378952</c:v>
                </c:pt>
                <c:pt idx="4">
                  <c:v>114.88763761184336</c:v>
                </c:pt>
                <c:pt idx="5">
                  <c:v>116.44711487432268</c:v>
                </c:pt>
                <c:pt idx="6">
                  <c:v>113.88939116261066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811-478A-8245-98DCC77F57A5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350_ENT'!$AC$34:$AC$37</c:f>
              <c:numCache>
                <c:formatCode>0.0</c:formatCode>
                <c:ptCount val="4"/>
                <c:pt idx="0">
                  <c:v>102.30222754939838</c:v>
                </c:pt>
                <c:pt idx="1">
                  <c:v>82.516497657439885</c:v>
                </c:pt>
                <c:pt idx="2">
                  <c:v>58.577996607238198</c:v>
                </c:pt>
                <c:pt idx="3">
                  <c:v>37.915875474993129</c:v>
                </c:pt>
              </c:numCache>
            </c:numRef>
          </c:xVal>
          <c:yVal>
            <c:numRef>
              <c:f>'Laskenta tulopuoli 350_ENT'!$AL$34:$AL$37</c:f>
              <c:numCache>
                <c:formatCode>General</c:formatCode>
                <c:ptCount val="4"/>
                <c:pt idx="0">
                  <c:v>668.50506554139042</c:v>
                </c:pt>
                <c:pt idx="1">
                  <c:v>449.79401956446526</c:v>
                </c:pt>
                <c:pt idx="2">
                  <c:v>251.50373062372893</c:v>
                </c:pt>
                <c:pt idx="3">
                  <c:v>111.98223253163167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811-478A-8245-98DCC77F57A5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350_ENT'!$W$2</c:f>
              <c:numCache>
                <c:formatCode>0.0</c:formatCode>
                <c:ptCount val="1"/>
                <c:pt idx="0">
                  <c:v>96.51553084621105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811-478A-8245-98DCC77F5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C5'!$X$59:$X$70</c:f>
              <c:numCache>
                <c:formatCode>0.0</c:formatCode>
                <c:ptCount val="12"/>
                <c:pt idx="0">
                  <c:v>110.18915387804911</c:v>
                </c:pt>
                <c:pt idx="1">
                  <c:v>136.43414354966512</c:v>
                </c:pt>
                <c:pt idx="2">
                  <c:v>244.34577649341912</c:v>
                </c:pt>
                <c:pt idx="3">
                  <c:v>287.92378430542857</c:v>
                </c:pt>
                <c:pt idx="4">
                  <c:v>325.00060286575126</c:v>
                </c:pt>
                <c:pt idx="5">
                  <c:v>367.67696731313396</c:v>
                </c:pt>
                <c:pt idx="6">
                  <c:v>422.40029469418704</c:v>
                </c:pt>
                <c:pt idx="7">
                  <c:v>458.55440474029535</c:v>
                </c:pt>
                <c:pt idx="8">
                  <c:v>502.5198255229879</c:v>
                </c:pt>
                <c:pt idx="9">
                  <c:v>538.99940207028442</c:v>
                </c:pt>
                <c:pt idx="10">
                  <c:v>576.22666298714682</c:v>
                </c:pt>
                <c:pt idx="11">
                  <c:v>616.02444621087636</c:v>
                </c:pt>
              </c:numCache>
            </c:numRef>
          </c:xVal>
          <c:yVal>
            <c:numRef>
              <c:f>'Laskenta tulopuoli C5'!$Y$59:$Y$70</c:f>
              <c:numCache>
                <c:formatCode>0.0</c:formatCode>
                <c:ptCount val="12"/>
                <c:pt idx="0">
                  <c:v>595.93760715020903</c:v>
                </c:pt>
                <c:pt idx="1">
                  <c:v>615.30503087383704</c:v>
                </c:pt>
                <c:pt idx="2">
                  <c:v>686.56237760659815</c:v>
                </c:pt>
                <c:pt idx="3">
                  <c:v>731.12241183796675</c:v>
                </c:pt>
                <c:pt idx="4">
                  <c:v>725.58635672098774</c:v>
                </c:pt>
                <c:pt idx="5">
                  <c:v>725.45298360357344</c:v>
                </c:pt>
                <c:pt idx="6">
                  <c:v>715.66926214595003</c:v>
                </c:pt>
                <c:pt idx="7">
                  <c:v>725.92923935658655</c:v>
                </c:pt>
                <c:pt idx="8">
                  <c:v>726.01319961048898</c:v>
                </c:pt>
                <c:pt idx="9">
                  <c:v>723.10259129668827</c:v>
                </c:pt>
                <c:pt idx="10">
                  <c:v>725.5132088142559</c:v>
                </c:pt>
                <c:pt idx="11">
                  <c:v>718.75363130123674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73-4B57-94F3-876AD0EA3B21}"/>
            </c:ext>
          </c:extLst>
        </c:ser>
        <c:ser>
          <c:idx val="1"/>
          <c:order val="1"/>
          <c:tx>
            <c:strRef>
              <c:f>'Laskenta tulopuoli C5'!$W$73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C5'!$X$73:$X$81</c:f>
              <c:numCache>
                <c:formatCode>0.0</c:formatCode>
                <c:ptCount val="9"/>
                <c:pt idx="0">
                  <c:v>92.715984398123922</c:v>
                </c:pt>
                <c:pt idx="1">
                  <c:v>153.8436504885284</c:v>
                </c:pt>
                <c:pt idx="2">
                  <c:v>253.42738758866832</c:v>
                </c:pt>
                <c:pt idx="3">
                  <c:v>324.46714326457584</c:v>
                </c:pt>
                <c:pt idx="4">
                  <c:v>388.88146120155363</c:v>
                </c:pt>
                <c:pt idx="5">
                  <c:v>435.03170293522749</c:v>
                </c:pt>
                <c:pt idx="6">
                  <c:v>483.29235357810359</c:v>
                </c:pt>
                <c:pt idx="7">
                  <c:v>528.55687778939728</c:v>
                </c:pt>
                <c:pt idx="8">
                  <c:v>551.9146958158334</c:v>
                </c:pt>
              </c:numCache>
            </c:numRef>
          </c:xVal>
          <c:yVal>
            <c:numRef>
              <c:f>'Laskenta tulopuoli C5'!$Y$73:$Y$81</c:f>
              <c:numCache>
                <c:formatCode>0.0</c:formatCode>
                <c:ptCount val="9"/>
                <c:pt idx="0">
                  <c:v>334.32405536817663</c:v>
                </c:pt>
                <c:pt idx="1">
                  <c:v>372.63604278483638</c:v>
                </c:pt>
                <c:pt idx="2">
                  <c:v>430.72261723601497</c:v>
                </c:pt>
                <c:pt idx="3">
                  <c:v>464.73565247258693</c:v>
                </c:pt>
                <c:pt idx="4">
                  <c:v>482.62744042958218</c:v>
                </c:pt>
                <c:pt idx="5">
                  <c:v>495.34300948889341</c:v>
                </c:pt>
                <c:pt idx="6">
                  <c:v>499.73023062619956</c:v>
                </c:pt>
                <c:pt idx="7">
                  <c:v>503.17968984604948</c:v>
                </c:pt>
                <c:pt idx="8">
                  <c:v>503.04986857377685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73-4B57-94F3-876AD0EA3B21}"/>
            </c:ext>
          </c:extLst>
        </c:ser>
        <c:ser>
          <c:idx val="2"/>
          <c:order val="2"/>
          <c:tx>
            <c:strRef>
              <c:f>'Laskenta tulopuoli C5'!$W$84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C5'!$X$84:$X$89</c:f>
              <c:numCache>
                <c:formatCode>0.0</c:formatCode>
                <c:ptCount val="6"/>
                <c:pt idx="0">
                  <c:v>386.47731571014606</c:v>
                </c:pt>
                <c:pt idx="1">
                  <c:v>355.90538751815342</c:v>
                </c:pt>
                <c:pt idx="2">
                  <c:v>292.8673076125429</c:v>
                </c:pt>
                <c:pt idx="3">
                  <c:v>201.68191762748367</c:v>
                </c:pt>
                <c:pt idx="4">
                  <c:v>93.238346141265808</c:v>
                </c:pt>
                <c:pt idx="5">
                  <c:v>68.604450793153305</c:v>
                </c:pt>
              </c:numCache>
            </c:numRef>
          </c:xVal>
          <c:yVal>
            <c:numRef>
              <c:f>'Laskenta tulopuoli C5'!$Y$84:$Y$89</c:f>
              <c:numCache>
                <c:formatCode>0.0</c:formatCode>
                <c:ptCount val="6"/>
                <c:pt idx="0">
                  <c:v>218.05587529074802</c:v>
                </c:pt>
                <c:pt idx="1">
                  <c:v>217.64280457984552</c:v>
                </c:pt>
                <c:pt idx="2">
                  <c:v>210.05668755065179</c:v>
                </c:pt>
                <c:pt idx="3">
                  <c:v>191.05362970131466</c:v>
                </c:pt>
                <c:pt idx="4">
                  <c:v>155.45689299810556</c:v>
                </c:pt>
                <c:pt idx="5">
                  <c:v>143.2885911431818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73-4B57-94F3-876AD0EA3B21}"/>
            </c:ext>
          </c:extLst>
        </c:ser>
        <c:ser>
          <c:idx val="3"/>
          <c:order val="3"/>
          <c:tx>
            <c:strRef>
              <c:f>'Laskenta tulopuoli C5'!$W$92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C5'!$X$92:$X$95</c:f>
              <c:numCache>
                <c:formatCode>0.0</c:formatCode>
                <c:ptCount val="4"/>
                <c:pt idx="0">
                  <c:v>53.292289119833931</c:v>
                </c:pt>
                <c:pt idx="1">
                  <c:v>104.21651001085566</c:v>
                </c:pt>
                <c:pt idx="2">
                  <c:v>167.5410329672066</c:v>
                </c:pt>
                <c:pt idx="3">
                  <c:v>216.84638045748369</c:v>
                </c:pt>
              </c:numCache>
            </c:numRef>
          </c:xVal>
          <c:yVal>
            <c:numRef>
              <c:f>'Laskenta tulopuoli C5'!$Y$92:$Y$95</c:f>
              <c:numCache>
                <c:formatCode>0.0</c:formatCode>
                <c:ptCount val="4"/>
                <c:pt idx="0">
                  <c:v>55.971420297200829</c:v>
                </c:pt>
                <c:pt idx="1">
                  <c:v>63.723843132930966</c:v>
                </c:pt>
                <c:pt idx="2">
                  <c:v>71.321981885103696</c:v>
                </c:pt>
                <c:pt idx="3">
                  <c:v>75.281589498576281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73-4B57-94F3-876AD0EA3B21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C5'!$AC$34:$AC$38</c:f>
              <c:numCache>
                <c:formatCode>0.0</c:formatCode>
                <c:ptCount val="5"/>
                <c:pt idx="0">
                  <c:v>607.51258153431093</c:v>
                </c:pt>
                <c:pt idx="1">
                  <c:v>536.00556116047687</c:v>
                </c:pt>
                <c:pt idx="2">
                  <c:v>385.83471671142053</c:v>
                </c:pt>
                <c:pt idx="3">
                  <c:v>242.8170625318144</c:v>
                </c:pt>
              </c:numCache>
            </c:numRef>
          </c:xVal>
          <c:yVal>
            <c:numRef>
              <c:f>'Laskenta tulopuoli C5'!$AE$34:$AE$37</c:f>
              <c:numCache>
                <c:formatCode>0.0</c:formatCode>
                <c:ptCount val="4"/>
                <c:pt idx="0">
                  <c:v>710.81728886533961</c:v>
                </c:pt>
                <c:pt idx="1">
                  <c:v>503.52894971760304</c:v>
                </c:pt>
                <c:pt idx="2">
                  <c:v>218.37605746096733</c:v>
                </c:pt>
                <c:pt idx="3">
                  <c:v>76.824553170707972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073-4B57-94F3-876AD0EA3B2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C5'!$J$3</c:f>
              <c:numCache>
                <c:formatCode>0</c:formatCode>
                <c:ptCount val="1"/>
                <c:pt idx="0">
                  <c:v>450</c:v>
                </c:pt>
              </c:numCache>
            </c:numRef>
          </c:xVal>
          <c:yVal>
            <c:numRef>
              <c:f>'Laskenta tulopuoli C5'!$W$13</c:f>
              <c:numCache>
                <c:formatCode>0.0</c:formatCode>
                <c:ptCount val="1"/>
                <c:pt idx="0">
                  <c:v>315.55597452041849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073-4B57-94F3-876AD0EA3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ENTALPIAKENNO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4527191434698623"/>
                  <c:y val="0.234953713154081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350_ENT'!$BE$11:$BE$18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tulopuoli 350_ENT'!$BF$11:$BF$18</c:f>
              <c:numCache>
                <c:formatCode>General</c:formatCode>
                <c:ptCount val="8"/>
                <c:pt idx="0">
                  <c:v>0</c:v>
                </c:pt>
                <c:pt idx="1">
                  <c:v>16.899999999999999</c:v>
                </c:pt>
                <c:pt idx="2">
                  <c:v>40.56</c:v>
                </c:pt>
                <c:pt idx="3">
                  <c:v>71.47</c:v>
                </c:pt>
                <c:pt idx="4">
                  <c:v>109.6</c:v>
                </c:pt>
                <c:pt idx="5">
                  <c:v>155.1</c:v>
                </c:pt>
                <c:pt idx="6">
                  <c:v>207.8</c:v>
                </c:pt>
                <c:pt idx="7">
                  <c:v>267.7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FA-4BD0-94C0-DBA1165F7745}"/>
            </c:ext>
          </c:extLst>
        </c:ser>
        <c:ser>
          <c:idx val="1"/>
          <c:order val="1"/>
          <c:tx>
            <c:v>ALUMIINIKENNO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5294614621975118"/>
                  <c:y val="2.718924313674011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350_ENT'!$BE$11:$BE$18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tulopuoli 350_ENT'!$BG$11:$BG$18</c:f>
              <c:numCache>
                <c:formatCode>General</c:formatCode>
                <c:ptCount val="8"/>
                <c:pt idx="0">
                  <c:v>0</c:v>
                </c:pt>
                <c:pt idx="1">
                  <c:v>19</c:v>
                </c:pt>
                <c:pt idx="2">
                  <c:v>48</c:v>
                </c:pt>
                <c:pt idx="3">
                  <c:v>85</c:v>
                </c:pt>
                <c:pt idx="4">
                  <c:v>125</c:v>
                </c:pt>
                <c:pt idx="5">
                  <c:v>167</c:v>
                </c:pt>
                <c:pt idx="6">
                  <c:v>229</c:v>
                </c:pt>
                <c:pt idx="7">
                  <c:v>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FA-4BD0-94C0-DBA1165F7745}"/>
            </c:ext>
          </c:extLst>
        </c:ser>
        <c:ser>
          <c:idx val="2"/>
          <c:order val="2"/>
          <c:tx>
            <c:v>EROTUS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5.4345394097130212E-2"/>
                  <c:y val="-0.174919934653864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350_ENT'!$BE$11:$BE$18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tulopuoli 350_ENT'!$BH$11:$BH$18</c:f>
              <c:numCache>
                <c:formatCode>General</c:formatCode>
                <c:ptCount val="8"/>
                <c:pt idx="0">
                  <c:v>0</c:v>
                </c:pt>
                <c:pt idx="1">
                  <c:v>-2.1000000000000014</c:v>
                </c:pt>
                <c:pt idx="2">
                  <c:v>-7.4399999999999977</c:v>
                </c:pt>
                <c:pt idx="3">
                  <c:v>-13.530000000000001</c:v>
                </c:pt>
                <c:pt idx="4">
                  <c:v>-15.400000000000006</c:v>
                </c:pt>
                <c:pt idx="5">
                  <c:v>-11.900000000000006</c:v>
                </c:pt>
                <c:pt idx="6">
                  <c:v>-21.199999999999989</c:v>
                </c:pt>
                <c:pt idx="7">
                  <c:v>-36.300000000000011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FA-4BD0-94C0-DBA1165F7745}"/>
            </c:ext>
          </c:extLst>
        </c:ser>
        <c:ser>
          <c:idx val="3"/>
          <c:order val="3"/>
          <c:tx>
            <c:v>Testejä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350_ENT'!$BF$38:$BF$43</c:f>
              <c:numCache>
                <c:formatCode>General</c:formatCode>
                <c:ptCount val="6"/>
                <c:pt idx="0">
                  <c:v>300</c:v>
                </c:pt>
                <c:pt idx="1">
                  <c:v>200</c:v>
                </c:pt>
                <c:pt idx="2">
                  <c:v>100</c:v>
                </c:pt>
                <c:pt idx="3">
                  <c:v>150</c:v>
                </c:pt>
                <c:pt idx="4">
                  <c:v>75</c:v>
                </c:pt>
                <c:pt idx="5">
                  <c:v>50</c:v>
                </c:pt>
              </c:numCache>
            </c:numRef>
          </c:xVal>
          <c:yVal>
            <c:numRef>
              <c:f>'Laskenta tulopuoli 350_ENT'!$BJ$38:$BJ$43</c:f>
              <c:numCache>
                <c:formatCode>0.0</c:formatCode>
                <c:ptCount val="6"/>
                <c:pt idx="0">
                  <c:v>-24.787202380952465</c:v>
                </c:pt>
                <c:pt idx="1">
                  <c:v>-13.431369047619</c:v>
                </c:pt>
                <c:pt idx="2">
                  <c:v>-5.6341071428571468</c:v>
                </c:pt>
                <c:pt idx="3">
                  <c:v>-9.0879166666666436</c:v>
                </c:pt>
                <c:pt idx="4">
                  <c:v>-4.2408184523809496</c:v>
                </c:pt>
                <c:pt idx="5">
                  <c:v>-3.0699404761904816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7FA-4BD0-94C0-DBA1165F7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1361311"/>
        <c:axId val="1461356511"/>
      </c:scatterChart>
      <c:valAx>
        <c:axId val="1461361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61356511"/>
        <c:crosses val="autoZero"/>
        <c:crossBetween val="midCat"/>
      </c:valAx>
      <c:valAx>
        <c:axId val="1461356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61361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Tulopuoli, </a:t>
            </a:r>
            <a:r>
              <a:rPr lang="fi-FI">
                <a:solidFill>
                  <a:schemeClr val="accent1"/>
                </a:solidFill>
              </a:rPr>
              <a:t>alumiini-</a:t>
            </a:r>
            <a:r>
              <a:rPr lang="fi-FI"/>
              <a:t> ja </a:t>
            </a:r>
            <a:r>
              <a:rPr lang="fi-FI">
                <a:solidFill>
                  <a:schemeClr val="accent2"/>
                </a:solidFill>
              </a:rPr>
              <a:t>entalpia</a:t>
            </a:r>
            <a:r>
              <a:rPr lang="fi-FI"/>
              <a:t>kennot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350_ENT'!$BO$36:$BO$42</c:f>
              <c:numCache>
                <c:formatCode>0.0</c:formatCode>
                <c:ptCount val="7"/>
                <c:pt idx="0">
                  <c:v>368.02333717549868</c:v>
                </c:pt>
                <c:pt idx="1">
                  <c:v>348.74296772600093</c:v>
                </c:pt>
                <c:pt idx="2">
                  <c:v>320.90760039583563</c:v>
                </c:pt>
                <c:pt idx="3">
                  <c:v>289.85995878473915</c:v>
                </c:pt>
                <c:pt idx="4">
                  <c:v>254.13770997194598</c:v>
                </c:pt>
                <c:pt idx="5">
                  <c:v>210.64715881769263</c:v>
                </c:pt>
                <c:pt idx="6">
                  <c:v>141.35108796400908</c:v>
                </c:pt>
              </c:numCache>
            </c:numRef>
          </c:xVal>
          <c:yVal>
            <c:numRef>
              <c:f>'Laskenta tulopuoli 350_ENT'!$BN$36:$BN$42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E5-4203-B9AC-0D4E38EB780B}"/>
            </c:ext>
          </c:extLst>
        </c:ser>
        <c:ser>
          <c:idx val="1"/>
          <c:order val="1"/>
          <c:tx>
            <c:v>8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350_ENT'!$BQ$36:$BQ$42</c:f>
              <c:numCache>
                <c:formatCode>0.0</c:formatCode>
                <c:ptCount val="7"/>
                <c:pt idx="0">
                  <c:v>299.78303188704132</c:v>
                </c:pt>
                <c:pt idx="1">
                  <c:v>289.97555040775342</c:v>
                </c:pt>
                <c:pt idx="2">
                  <c:v>272.7308916827721</c:v>
                </c:pt>
                <c:pt idx="3">
                  <c:v>254.13099309054866</c:v>
                </c:pt>
                <c:pt idx="4">
                  <c:v>220.52447882740637</c:v>
                </c:pt>
                <c:pt idx="5">
                  <c:v>173.2504723348554</c:v>
                </c:pt>
                <c:pt idx="6">
                  <c:v>114.64592676119456</c:v>
                </c:pt>
              </c:numCache>
            </c:numRef>
          </c:xVal>
          <c:yVal>
            <c:numRef>
              <c:f>'Laskenta tulopuoli 350_ENT'!$BP$36:$BP$42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E5-4203-B9AC-0D4E38EB780B}"/>
            </c:ext>
          </c:extLst>
        </c:ser>
        <c:ser>
          <c:idx val="2"/>
          <c:order val="2"/>
          <c:tx>
            <c:v>6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350_ENT'!$BS$36:$BS$41</c:f>
              <c:numCache>
                <c:formatCode>0.0</c:formatCode>
                <c:ptCount val="6"/>
                <c:pt idx="0">
                  <c:v>213.61335762915562</c:v>
                </c:pt>
                <c:pt idx="1">
                  <c:v>195.72898551317115</c:v>
                </c:pt>
                <c:pt idx="2">
                  <c:v>175.4581740263832</c:v>
                </c:pt>
                <c:pt idx="3">
                  <c:v>151.47576534370617</c:v>
                </c:pt>
                <c:pt idx="4">
                  <c:v>120.42188405539274</c:v>
                </c:pt>
                <c:pt idx="5">
                  <c:v>73.943002844798301</c:v>
                </c:pt>
              </c:numCache>
            </c:numRef>
          </c:xVal>
          <c:yVal>
            <c:numRef>
              <c:f>'Laskenta tulopuoli 350_ENT'!$BR$36:$BR$41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E5-4203-B9AC-0D4E38EB780B}"/>
            </c:ext>
          </c:extLst>
        </c:ser>
        <c:ser>
          <c:idx val="3"/>
          <c:order val="3"/>
          <c:tx>
            <c:v>4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350_ENT'!$BU$36:$BU$40</c:f>
              <c:numCache>
                <c:formatCode>0.0</c:formatCode>
                <c:ptCount val="5"/>
                <c:pt idx="0">
                  <c:v>122.85148290021115</c:v>
                </c:pt>
                <c:pt idx="1">
                  <c:v>114.87245597479257</c:v>
                </c:pt>
                <c:pt idx="2">
                  <c:v>97.290460384499539</c:v>
                </c:pt>
                <c:pt idx="3">
                  <c:v>76.542309887609477</c:v>
                </c:pt>
                <c:pt idx="4">
                  <c:v>49.842265162290595</c:v>
                </c:pt>
              </c:numCache>
            </c:numRef>
          </c:xVal>
          <c:yVal>
            <c:numRef>
              <c:f>'Laskenta tulopuoli 350_ENT'!$BT$36:$BT$40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E5-4203-B9AC-0D4E38EB780B}"/>
            </c:ext>
          </c:extLst>
        </c:ser>
        <c:ser>
          <c:idx val="4"/>
          <c:order val="4"/>
          <c:tx>
            <c:v>10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350_ENT'!$BX$36:$BX$42</c:f>
              <c:numCache>
                <c:formatCode>0.0</c:formatCode>
                <c:ptCount val="7"/>
                <c:pt idx="0">
                  <c:v>376.857790816972</c:v>
                </c:pt>
                <c:pt idx="1">
                  <c:v>357.35113549736815</c:v>
                </c:pt>
                <c:pt idx="2">
                  <c:v>329.20191498228081</c:v>
                </c:pt>
                <c:pt idx="3">
                  <c:v>297.827893604721</c:v>
                </c:pt>
                <c:pt idx="4">
                  <c:v>261.77523969041579</c:v>
                </c:pt>
                <c:pt idx="5">
                  <c:v>217.99173826425962</c:v>
                </c:pt>
                <c:pt idx="6">
                  <c:v>148.86716033053662</c:v>
                </c:pt>
              </c:numCache>
            </c:numRef>
          </c:xVal>
          <c:yVal>
            <c:numRef>
              <c:f>'Laskenta tulopuoli 350_ENT'!$BW$36:$BW$42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AE5-4203-B9AC-0D4E38EB780B}"/>
            </c:ext>
          </c:extLst>
        </c:ser>
        <c:ser>
          <c:idx val="5"/>
          <c:order val="5"/>
          <c:tx>
            <c:v>8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350_ENT'!$BZ$36:$BZ$42</c:f>
              <c:numCache>
                <c:formatCode>0.0</c:formatCode>
                <c:ptCount val="7"/>
                <c:pt idx="0">
                  <c:v>307.94858488224804</c:v>
                </c:pt>
                <c:pt idx="1">
                  <c:v>298.02146155585729</c:v>
                </c:pt>
                <c:pt idx="2">
                  <c:v>280.5727801082906</c:v>
                </c:pt>
                <c:pt idx="3">
                  <c:v>261.76377086640542</c:v>
                </c:pt>
                <c:pt idx="4">
                  <c:v>227.81893037255273</c:v>
                </c:pt>
                <c:pt idx="5">
                  <c:v>180.21616269737683</c:v>
                </c:pt>
                <c:pt idx="6">
                  <c:v>121.84675224810155</c:v>
                </c:pt>
              </c:numCache>
            </c:numRef>
          </c:xVal>
          <c:yVal>
            <c:numRef>
              <c:f>'Laskenta tulopuoli 350_ENT'!$BY$36:$BY$42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AE5-4203-B9AC-0D4E38EB780B}"/>
            </c:ext>
          </c:extLst>
        </c:ser>
        <c:ser>
          <c:idx val="6"/>
          <c:order val="6"/>
          <c:tx>
            <c:v>6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350_ENT'!$CB$36:$CB$41</c:f>
              <c:numCache>
                <c:formatCode>0.0</c:formatCode>
                <c:ptCount val="6"/>
                <c:pt idx="0">
                  <c:v>220.0272127426278</c:v>
                </c:pt>
                <c:pt idx="1">
                  <c:v>202.04778027579948</c:v>
                </c:pt>
                <c:pt idx="2">
                  <c:v>181.71413323981204</c:v>
                </c:pt>
                <c:pt idx="3">
                  <c:v>157.7532490276617</c:v>
                </c:pt>
                <c:pt idx="4">
                  <c:v>127.0242914387899</c:v>
                </c:pt>
                <c:pt idx="5">
                  <c:v>83.35848194712591</c:v>
                </c:pt>
              </c:numCache>
            </c:numRef>
          </c:xVal>
          <c:yVal>
            <c:numRef>
              <c:f>'Laskenta tulopuoli 350_ENT'!$CA$36:$CA$41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AE5-4203-B9AC-0D4E38EB780B}"/>
            </c:ext>
          </c:extLst>
        </c:ser>
        <c:ser>
          <c:idx val="7"/>
          <c:order val="7"/>
          <c:tx>
            <c:v>4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350_ENT'!$CD$36:$CD$40</c:f>
              <c:numCache>
                <c:formatCode>0.0</c:formatCode>
                <c:ptCount val="5"/>
                <c:pt idx="0">
                  <c:v>128.55190799708276</c:v>
                </c:pt>
                <c:pt idx="1">
                  <c:v>120.45799561693227</c:v>
                </c:pt>
                <c:pt idx="2">
                  <c:v>102.64509341270374</c:v>
                </c:pt>
                <c:pt idx="3">
                  <c:v>81.682443931248443</c:v>
                </c:pt>
                <c:pt idx="4">
                  <c:v>54.882637981725303</c:v>
                </c:pt>
              </c:numCache>
            </c:numRef>
          </c:xVal>
          <c:yVal>
            <c:numRef>
              <c:f>'Laskenta tulopuoli 350_ENT'!$CC$36:$CC$40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AE5-4203-B9AC-0D4E38EB7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7504783"/>
        <c:axId val="1477506223"/>
      </c:scatterChart>
      <c:valAx>
        <c:axId val="147750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7506223"/>
        <c:crosses val="autoZero"/>
        <c:crossBetween val="midCat"/>
      </c:valAx>
      <c:valAx>
        <c:axId val="147750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750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350_ENT'!$D$59:$D$62</c:f>
              <c:numCache>
                <c:formatCode>0.0</c:formatCode>
                <c:ptCount val="4"/>
                <c:pt idx="0">
                  <c:v>366.3</c:v>
                </c:pt>
                <c:pt idx="1">
                  <c:v>341.4</c:v>
                </c:pt>
                <c:pt idx="2">
                  <c:v>309.8</c:v>
                </c:pt>
                <c:pt idx="3">
                  <c:v>221</c:v>
                </c:pt>
              </c:numCache>
            </c:numRef>
          </c:xVal>
          <c:yVal>
            <c:numRef>
              <c:f>'Laskenta poistopuoli 350_ENT'!$E$59:$E$62</c:f>
              <c:numCache>
                <c:formatCode>0.0</c:formatCode>
                <c:ptCount val="4"/>
                <c:pt idx="0">
                  <c:v>62.097783424500207</c:v>
                </c:pt>
                <c:pt idx="1">
                  <c:v>61.404747810618019</c:v>
                </c:pt>
                <c:pt idx="2">
                  <c:v>60.573303422326219</c:v>
                </c:pt>
                <c:pt idx="3">
                  <c:v>60.013148119886417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6E-4833-ABD3-85536019F29A}"/>
            </c:ext>
          </c:extLst>
        </c:ser>
        <c:ser>
          <c:idx val="1"/>
          <c:order val="1"/>
          <c:tx>
            <c:strRef>
              <c:f>'Laskenta poistopuoli 350_ENT'!$C$64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350_ENT'!$D$64:$D$67</c:f>
              <c:numCache>
                <c:formatCode>0.0</c:formatCode>
                <c:ptCount val="4"/>
                <c:pt idx="0">
                  <c:v>304</c:v>
                </c:pt>
                <c:pt idx="1">
                  <c:v>281.7</c:v>
                </c:pt>
                <c:pt idx="2">
                  <c:v>255.1</c:v>
                </c:pt>
                <c:pt idx="3">
                  <c:v>180.1</c:v>
                </c:pt>
              </c:numCache>
            </c:numRef>
          </c:xVal>
          <c:yVal>
            <c:numRef>
              <c:f>'Laskenta poistopuoli 350_ENT'!$E$64:$E$67</c:f>
              <c:numCache>
                <c:formatCode>0.0</c:formatCode>
                <c:ptCount val="4"/>
                <c:pt idx="0">
                  <c:v>58.341740546145942</c:v>
                </c:pt>
                <c:pt idx="1">
                  <c:v>57.377484119444958</c:v>
                </c:pt>
                <c:pt idx="2">
                  <c:v>56.489949323611974</c:v>
                </c:pt>
                <c:pt idx="3">
                  <c:v>55.305009598786256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66E-4833-ABD3-85536019F29A}"/>
            </c:ext>
          </c:extLst>
        </c:ser>
        <c:ser>
          <c:idx val="2"/>
          <c:order val="2"/>
          <c:tx>
            <c:strRef>
              <c:f>'Laskenta poistopuoli 350_ENT'!$C$69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350_ENT'!$D$69:$D$72</c:f>
              <c:numCache>
                <c:formatCode>0.0</c:formatCode>
                <c:ptCount val="4"/>
                <c:pt idx="0">
                  <c:v>218.4</c:v>
                </c:pt>
                <c:pt idx="1">
                  <c:v>202.3</c:v>
                </c:pt>
                <c:pt idx="2">
                  <c:v>179.3</c:v>
                </c:pt>
                <c:pt idx="3">
                  <c:v>128</c:v>
                </c:pt>
              </c:numCache>
            </c:numRef>
          </c:xVal>
          <c:yVal>
            <c:numRef>
              <c:f>'Laskenta poistopuoli 350_ENT'!$E$69:$E$72</c:f>
              <c:numCache>
                <c:formatCode>0.0</c:formatCode>
                <c:ptCount val="4"/>
                <c:pt idx="0">
                  <c:v>51.6790949757684</c:v>
                </c:pt>
                <c:pt idx="1">
                  <c:v>50.407916560559215</c:v>
                </c:pt>
                <c:pt idx="2">
                  <c:v>50.113476278917901</c:v>
                </c:pt>
                <c:pt idx="3">
                  <c:v>49.839015741427502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66E-4833-ABD3-85536019F29A}"/>
            </c:ext>
          </c:extLst>
        </c:ser>
        <c:ser>
          <c:idx val="3"/>
          <c:order val="3"/>
          <c:tx>
            <c:strRef>
              <c:f>'Laskenta poistopuoli 350_ENT'!$C$74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350_ENT'!$D$74:$D$77</c:f>
              <c:numCache>
                <c:formatCode>0.0</c:formatCode>
                <c:ptCount val="4"/>
                <c:pt idx="0">
                  <c:v>135.1</c:v>
                </c:pt>
                <c:pt idx="1">
                  <c:v>124.4</c:v>
                </c:pt>
                <c:pt idx="2">
                  <c:v>113.2</c:v>
                </c:pt>
                <c:pt idx="3">
                  <c:v>78.2</c:v>
                </c:pt>
              </c:numCache>
            </c:numRef>
          </c:xVal>
          <c:yVal>
            <c:numRef>
              <c:f>'Laskenta poistopuoli 350_ENT'!$E$74:$E$77</c:f>
              <c:numCache>
                <c:formatCode>0.0</c:formatCode>
                <c:ptCount val="4"/>
                <c:pt idx="0">
                  <c:v>42.598859931585011</c:v>
                </c:pt>
                <c:pt idx="1">
                  <c:v>41.766385883723473</c:v>
                </c:pt>
                <c:pt idx="2">
                  <c:v>41.1225087051739</c:v>
                </c:pt>
                <c:pt idx="3">
                  <c:v>40.43354617963378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66E-4833-ABD3-85536019F29A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166E-4833-ABD3-85536019F29A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166E-4833-ABD3-85536019F29A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350_ENT'!$AC$34:$AC$37</c:f>
              <c:numCache>
                <c:formatCode>0.0</c:formatCode>
                <c:ptCount val="4"/>
                <c:pt idx="0">
                  <c:v>92.754537315521048</c:v>
                </c:pt>
                <c:pt idx="1">
                  <c:v>75.904720219964517</c:v>
                </c:pt>
                <c:pt idx="2">
                  <c:v>54.144666193233057</c:v>
                </c:pt>
                <c:pt idx="3">
                  <c:v>34.639732632442552</c:v>
                </c:pt>
              </c:numCache>
            </c:numRef>
          </c:xVal>
          <c:yVal>
            <c:numRef>
              <c:f>'Laskenta poistopuoli 350_ENT'!$AF$34:$AF$37</c:f>
              <c:numCache>
                <c:formatCode>0.0</c:formatCode>
                <c:ptCount val="4"/>
                <c:pt idx="0">
                  <c:v>57.606412724087427</c:v>
                </c:pt>
                <c:pt idx="1">
                  <c:v>51.981096501228485</c:v>
                </c:pt>
                <c:pt idx="2">
                  <c:v>48.029041004997005</c:v>
                </c:pt>
                <c:pt idx="3">
                  <c:v>38.294294101207107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166E-4833-ABD3-85536019F29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350_ENT'!$W$5</c:f>
              <c:numCache>
                <c:formatCode>0.0</c:formatCode>
                <c:ptCount val="1"/>
                <c:pt idx="0">
                  <c:v>38.651971792386632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166E-4833-ABD3-85536019F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350_ENT'!$N$59:$N$62</c:f>
              <c:numCache>
                <c:formatCode>0.0</c:formatCode>
                <c:ptCount val="4"/>
                <c:pt idx="0">
                  <c:v>367.27606807457477</c:v>
                </c:pt>
                <c:pt idx="1">
                  <c:v>341.06998870275049</c:v>
                </c:pt>
                <c:pt idx="2">
                  <c:v>303.07324445507652</c:v>
                </c:pt>
                <c:pt idx="3">
                  <c:v>223.5792236627149</c:v>
                </c:pt>
              </c:numCache>
            </c:numRef>
          </c:xVal>
          <c:yVal>
            <c:numRef>
              <c:f>'Laskenta poistopuoli 350_ENT'!$O$59:$O$62</c:f>
              <c:numCache>
                <c:formatCode>0.0</c:formatCode>
                <c:ptCount val="4"/>
                <c:pt idx="0">
                  <c:v>82.689090072186829</c:v>
                </c:pt>
                <c:pt idx="1">
                  <c:v>82.105276378556539</c:v>
                </c:pt>
                <c:pt idx="2">
                  <c:v>81.080240846621081</c:v>
                </c:pt>
                <c:pt idx="3">
                  <c:v>79.022331218565611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E6-44F4-B4AD-F6EA3EA83B98}"/>
            </c:ext>
          </c:extLst>
        </c:ser>
        <c:ser>
          <c:idx val="1"/>
          <c:order val="1"/>
          <c:tx>
            <c:strRef>
              <c:f>'Laskenta poistopuoli 350_ENT'!$C$64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350_ENT'!$N$64:$N$67</c:f>
              <c:numCache>
                <c:formatCode>0.0</c:formatCode>
                <c:ptCount val="4"/>
                <c:pt idx="0">
                  <c:v>306.42216557619219</c:v>
                </c:pt>
                <c:pt idx="1">
                  <c:v>280.37540028596254</c:v>
                </c:pt>
                <c:pt idx="2">
                  <c:v>247.99195567141854</c:v>
                </c:pt>
                <c:pt idx="3">
                  <c:v>179.97539914207314</c:v>
                </c:pt>
              </c:numCache>
            </c:numRef>
          </c:xVal>
          <c:yVal>
            <c:numRef>
              <c:f>'Laskenta poistopuoli 350_ENT'!$O$64:$O$67</c:f>
              <c:numCache>
                <c:formatCode>0.0</c:formatCode>
                <c:ptCount val="4"/>
                <c:pt idx="0">
                  <c:v>78.99039262930242</c:v>
                </c:pt>
                <c:pt idx="1">
                  <c:v>78.069558159890079</c:v>
                </c:pt>
                <c:pt idx="2">
                  <c:v>76.942323327149879</c:v>
                </c:pt>
                <c:pt idx="3">
                  <c:v>74.326760800359523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FE6-44F4-B4AD-F6EA3EA83B98}"/>
            </c:ext>
          </c:extLst>
        </c:ser>
        <c:ser>
          <c:idx val="2"/>
          <c:order val="2"/>
          <c:tx>
            <c:strRef>
              <c:f>'Laskenta poistopuoli 350_ENT'!$C$69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350_ENT'!$N$69:$N$72</c:f>
              <c:numCache>
                <c:formatCode>0.0</c:formatCode>
                <c:ptCount val="4"/>
                <c:pt idx="0">
                  <c:v>216.68199713194693</c:v>
                </c:pt>
                <c:pt idx="1">
                  <c:v>203.48048535677617</c:v>
                </c:pt>
                <c:pt idx="2">
                  <c:v>177.657613751502</c:v>
                </c:pt>
                <c:pt idx="3">
                  <c:v>129.31721034610501</c:v>
                </c:pt>
              </c:numCache>
            </c:numRef>
          </c:xVal>
          <c:yVal>
            <c:numRef>
              <c:f>'Laskenta poistopuoli 350_ENT'!$O$69:$O$72</c:f>
              <c:numCache>
                <c:formatCode>0.0</c:formatCode>
                <c:ptCount val="4"/>
                <c:pt idx="0">
                  <c:v>71.859694306887633</c:v>
                </c:pt>
                <c:pt idx="1">
                  <c:v>71.05536483352482</c:v>
                </c:pt>
                <c:pt idx="2">
                  <c:v>69.785748446535706</c:v>
                </c:pt>
                <c:pt idx="3">
                  <c:v>67.734414836531897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FE6-44F4-B4AD-F6EA3EA83B98}"/>
            </c:ext>
          </c:extLst>
        </c:ser>
        <c:ser>
          <c:idx val="3"/>
          <c:order val="3"/>
          <c:tx>
            <c:strRef>
              <c:f>'Laskenta poistopuoli 350_ENT'!$C$74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350_ENT'!$N$74:$N$77</c:f>
              <c:numCache>
                <c:formatCode>0.0</c:formatCode>
                <c:ptCount val="4"/>
                <c:pt idx="0">
                  <c:v>136.94470684441694</c:v>
                </c:pt>
                <c:pt idx="1">
                  <c:v>126.48327019359726</c:v>
                </c:pt>
                <c:pt idx="2">
                  <c:v>110.48203024842798</c:v>
                </c:pt>
                <c:pt idx="3">
                  <c:v>79.668407730229532</c:v>
                </c:pt>
              </c:numCache>
            </c:numRef>
          </c:xVal>
          <c:yVal>
            <c:numRef>
              <c:f>'Laskenta poistopuoli 350_ENT'!$O$74:$O$77</c:f>
              <c:numCache>
                <c:formatCode>0.0</c:formatCode>
                <c:ptCount val="4"/>
                <c:pt idx="0">
                  <c:v>61.636094765036098</c:v>
                </c:pt>
                <c:pt idx="1">
                  <c:v>60.708709459674338</c:v>
                </c:pt>
                <c:pt idx="2">
                  <c:v>59.434186199278997</c:v>
                </c:pt>
                <c:pt idx="3">
                  <c:v>57.542846550437403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FE6-44F4-B4AD-F6EA3EA83B98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577690279919046E-2"/>
                  <c:y val="-0.24662238488997335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350_ENT'!$AC$34:$AC$37</c:f>
              <c:numCache>
                <c:formatCode>0.0</c:formatCode>
                <c:ptCount val="4"/>
                <c:pt idx="0">
                  <c:v>92.754537315521048</c:v>
                </c:pt>
                <c:pt idx="1">
                  <c:v>75.904720219964517</c:v>
                </c:pt>
                <c:pt idx="2">
                  <c:v>54.144666193233057</c:v>
                </c:pt>
                <c:pt idx="3">
                  <c:v>34.639732632442552</c:v>
                </c:pt>
              </c:numCache>
            </c:numRef>
          </c:xVal>
          <c:yVal>
            <c:numRef>
              <c:f>'Laskenta poistopuoli 350_ENT'!$AG$34:$AG$37</c:f>
              <c:numCache>
                <c:formatCode>0.0</c:formatCode>
                <c:ptCount val="4"/>
                <c:pt idx="0">
                  <c:v>74.609989849001067</c:v>
                </c:pt>
                <c:pt idx="1">
                  <c:v>69.275960324343302</c:v>
                </c:pt>
                <c:pt idx="2">
                  <c:v>63.06536277971626</c:v>
                </c:pt>
                <c:pt idx="3">
                  <c:v>53.271595997204066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FE6-44F4-B4AD-F6EA3EA83B98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350_ENT'!$W$6</c:f>
              <c:numCache>
                <c:formatCode>0.0</c:formatCode>
                <c:ptCount val="1"/>
                <c:pt idx="0">
                  <c:v>53.343212740445182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FE6-44F4-B4AD-F6EA3EA83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350_ENT'!$AJ$36:$AJ$38</c:f>
              <c:numCache>
                <c:formatCode>0.0</c:formatCode>
                <c:ptCount val="3"/>
                <c:pt idx="0">
                  <c:v>75.904720219964517</c:v>
                </c:pt>
                <c:pt idx="1">
                  <c:v>54.144666193233057</c:v>
                </c:pt>
                <c:pt idx="2">
                  <c:v>34.639732632442552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F4-4207-AFC0-48BEA8F5325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350_ENT'!$AJ$34:$AJ$35</c:f>
              <c:numCache>
                <c:formatCode>0.0</c:formatCode>
                <c:ptCount val="2"/>
                <c:pt idx="0">
                  <c:v>92.754537315521048</c:v>
                </c:pt>
                <c:pt idx="1">
                  <c:v>85.845113705854843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CF4-4207-AFC0-48BEA8F5325F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350_ENT'!$W$9</c:f>
              <c:numCache>
                <c:formatCode>0.00</c:formatCode>
                <c:ptCount val="1"/>
                <c:pt idx="0">
                  <c:v>4.0447520185750632</c:v>
                </c:pt>
              </c:numCache>
            </c:numRef>
          </c:xVal>
          <c:yVal>
            <c:numRef>
              <c:f>'Laskenta poistopuoli 350_ENT'!$J$3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CF4-4207-AFC0-48BEA8F5325F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350_ENT'!$AC$34:$AC$37</c:f>
              <c:numCache>
                <c:formatCode>0.0</c:formatCode>
                <c:ptCount val="4"/>
                <c:pt idx="0">
                  <c:v>92.754537315521048</c:v>
                </c:pt>
                <c:pt idx="1">
                  <c:v>75.904720219964517</c:v>
                </c:pt>
                <c:pt idx="2">
                  <c:v>54.144666193233057</c:v>
                </c:pt>
                <c:pt idx="3">
                  <c:v>34.639732632442552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CF4-4207-AFC0-48BEA8F5325F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poistopuoli 350_ENT'!$AR$36</c:f>
              <c:numCache>
                <c:formatCode>0.0</c:formatCode>
                <c:ptCount val="1"/>
                <c:pt idx="0">
                  <c:v>4.7085742947170921</c:v>
                </c:pt>
              </c:numCache>
            </c:numRef>
          </c:xVal>
          <c:yVal>
            <c:numRef>
              <c:f>'Laskenta poistopuoli 350_ENT'!$AO$36</c:f>
              <c:numCache>
                <c:formatCode>0.0</c:formatCode>
                <c:ptCount val="1"/>
                <c:pt idx="0">
                  <c:v>41.666666666666664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CF4-4207-AFC0-48BEA8F53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350_ENT'!$X$59:$X$66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350_ENT'!$Y$59:$Y$66</c:f>
              <c:numCache>
                <c:formatCode>0.0</c:formatCode>
                <c:ptCount val="8"/>
                <c:pt idx="0">
                  <c:v>302.32759265404218</c:v>
                </c:pt>
                <c:pt idx="1">
                  <c:v>356.54486395172677</c:v>
                </c:pt>
                <c:pt idx="2">
                  <c:v>421.03669396837233</c:v>
                </c:pt>
                <c:pt idx="3">
                  <c:v>457.54888920061728</c:v>
                </c:pt>
                <c:pt idx="4">
                  <c:v>508.8924685660923</c:v>
                </c:pt>
                <c:pt idx="5">
                  <c:v>519.47729833181302</c:v>
                </c:pt>
                <c:pt idx="6">
                  <c:v>499.98917692950459</c:v>
                </c:pt>
                <c:pt idx="7">
                  <c:v>515.99235857408132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40-43C4-94AB-539934BEF136}"/>
            </c:ext>
          </c:extLst>
        </c:ser>
        <c:ser>
          <c:idx val="1"/>
          <c:order val="1"/>
          <c:tx>
            <c:strRef>
              <c:f>'Laskenta poistopuoli 350_ENT'!$W$69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350_ENT'!$X$69:$X$77</c:f>
              <c:numCache>
                <c:formatCode>0.0</c:formatCode>
                <c:ptCount val="9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  <c:pt idx="6">
                  <c:v>280.37540028596254</c:v>
                </c:pt>
                <c:pt idx="7">
                  <c:v>306.42216557619219</c:v>
                </c:pt>
                <c:pt idx="8">
                  <c:v>68.235663849616046</c:v>
                </c:pt>
              </c:numCache>
            </c:numRef>
          </c:xVal>
          <c:yVal>
            <c:numRef>
              <c:f>'Laskenta poistopuoli 350_ENT'!$Y$69:$Y$77</c:f>
              <c:numCache>
                <c:formatCode>0.0</c:formatCode>
                <c:ptCount val="9"/>
                <c:pt idx="0">
                  <c:v>164.90844203665162</c:v>
                </c:pt>
                <c:pt idx="1">
                  <c:v>196.96128282198916</c:v>
                </c:pt>
                <c:pt idx="2">
                  <c:v>237.81117979773683</c:v>
                </c:pt>
                <c:pt idx="3">
                  <c:v>260.47989897572495</c:v>
                </c:pt>
                <c:pt idx="4">
                  <c:v>292.86254766640252</c:v>
                </c:pt>
                <c:pt idx="5">
                  <c:v>310.41418560822922</c:v>
                </c:pt>
                <c:pt idx="6">
                  <c:v>289.48558554113851</c:v>
                </c:pt>
                <c:pt idx="7">
                  <c:v>311.04275486404356</c:v>
                </c:pt>
                <c:pt idx="8">
                  <c:v>119.40185523650993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40-43C4-94AB-539934BEF136}"/>
            </c:ext>
          </c:extLst>
        </c:ser>
        <c:ser>
          <c:idx val="2"/>
          <c:order val="2"/>
          <c:tx>
            <c:strRef>
              <c:f>'Laskenta poistopuoli 350_ENT'!$W$80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350_ENT'!$X$80:$X$87</c:f>
              <c:numCache>
                <c:formatCode>0.0</c:formatCode>
                <c:ptCount val="8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  <c:pt idx="6">
                  <c:v>203.48048535677617</c:v>
                </c:pt>
                <c:pt idx="7">
                  <c:v>216.68199713194693</c:v>
                </c:pt>
              </c:numCache>
            </c:numRef>
          </c:xVal>
          <c:yVal>
            <c:numRef>
              <c:f>'Laskenta poistopuoli 350_ENT'!$Y$80:$Y$87</c:f>
              <c:numCache>
                <c:formatCode>0.0</c:formatCode>
                <c:ptCount val="8"/>
                <c:pt idx="0">
                  <c:v>73.255512194579921</c:v>
                </c:pt>
                <c:pt idx="1">
                  <c:v>86.543140247698204</c:v>
                </c:pt>
                <c:pt idx="2">
                  <c:v>101.62904601770833</c:v>
                </c:pt>
                <c:pt idx="3">
                  <c:v>110.69899121354534</c:v>
                </c:pt>
                <c:pt idx="4">
                  <c:v>123.35633973294334</c:v>
                </c:pt>
                <c:pt idx="5">
                  <c:v>134.90921358508626</c:v>
                </c:pt>
                <c:pt idx="6">
                  <c:v>123.40172430505064</c:v>
                </c:pt>
                <c:pt idx="7">
                  <c:v>130.02142396481116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D40-43C4-94AB-539934BEF136}"/>
            </c:ext>
          </c:extLst>
        </c:ser>
        <c:ser>
          <c:idx val="3"/>
          <c:order val="3"/>
          <c:tx>
            <c:strRef>
              <c:f>'Laskenta poistopuoli 350_ENT'!$W$91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350_ENT'!$X$91:$X$98</c:f>
              <c:numCache>
                <c:formatCode>0.0</c:formatCode>
                <c:ptCount val="8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  <c:pt idx="6">
                  <c:v>126.48327019359726</c:v>
                </c:pt>
                <c:pt idx="7" formatCode="General">
                  <c:v>136.94470684441694</c:v>
                </c:pt>
              </c:numCache>
            </c:numRef>
          </c:xVal>
          <c:yVal>
            <c:numRef>
              <c:f>'Laskenta poistopuoli 350_ENT'!$Y$91:$Y$98</c:f>
              <c:numCache>
                <c:formatCode>0.0</c:formatCode>
                <c:ptCount val="8"/>
                <c:pt idx="0">
                  <c:v>29.409439010889692</c:v>
                </c:pt>
                <c:pt idx="1">
                  <c:v>33.309297611254642</c:v>
                </c:pt>
                <c:pt idx="2">
                  <c:v>37.281582637626165</c:v>
                </c:pt>
                <c:pt idx="3">
                  <c:v>39.567992760532817</c:v>
                </c:pt>
                <c:pt idx="4">
                  <c:v>42.914202318586497</c:v>
                </c:pt>
                <c:pt idx="5">
                  <c:v>43.891248017188815</c:v>
                </c:pt>
                <c:pt idx="6">
                  <c:v>43.27283236895304</c:v>
                </c:pt>
                <c:pt idx="7" formatCode="General">
                  <c:v>45.537563418715308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D40-43C4-94AB-539934BEF136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350_ENT'!$AC$34:$AC$38</c:f>
              <c:numCache>
                <c:formatCode>0.0</c:formatCode>
                <c:ptCount val="5"/>
                <c:pt idx="0">
                  <c:v>92.754537315521048</c:v>
                </c:pt>
                <c:pt idx="1">
                  <c:v>75.904720219964517</c:v>
                </c:pt>
                <c:pt idx="2">
                  <c:v>54.144666193233057</c:v>
                </c:pt>
                <c:pt idx="3">
                  <c:v>34.639732632442552</c:v>
                </c:pt>
              </c:numCache>
            </c:numRef>
          </c:xVal>
          <c:yVal>
            <c:numRef>
              <c:f>'Laskenta poistopuoli 350_ENT'!$AE$34:$AE$37</c:f>
              <c:numCache>
                <c:formatCode>0.0</c:formatCode>
                <c:ptCount val="4"/>
                <c:pt idx="0">
                  <c:v>163.50652014760232</c:v>
                </c:pt>
                <c:pt idx="1">
                  <c:v>122.42861155410327</c:v>
                </c:pt>
                <c:pt idx="2">
                  <c:v>55.321821742726733</c:v>
                </c:pt>
                <c:pt idx="3">
                  <c:v>23.708636902582121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D40-43C4-94AB-539934BEF136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350_ENT'!$W$13</c:f>
              <c:numCache>
                <c:formatCode>0.0</c:formatCode>
                <c:ptCount val="1"/>
                <c:pt idx="0">
                  <c:v>22.75385385573588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D40-43C4-94AB-539934BEF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350_ENT'!$AA$4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350_ENT'!$AB$6:$AB$12</c:f>
              <c:numCache>
                <c:formatCode>0.0</c:formatCode>
                <c:ptCount val="7"/>
                <c:pt idx="0">
                  <c:v>396.45045145316698</c:v>
                </c:pt>
                <c:pt idx="1">
                  <c:v>377.32184914146467</c:v>
                </c:pt>
                <c:pt idx="2">
                  <c:v>349.62156878587024</c:v>
                </c:pt>
                <c:pt idx="3">
                  <c:v>318.56735160571776</c:v>
                </c:pt>
                <c:pt idx="4">
                  <c:v>282.53076043038789</c:v>
                </c:pt>
                <c:pt idx="5">
                  <c:v>237.87791416174588</c:v>
                </c:pt>
                <c:pt idx="6">
                  <c:v>171.26024658923819</c:v>
                </c:pt>
              </c:numCache>
            </c:numRef>
          </c:xVal>
          <c:yVal>
            <c:numRef>
              <c:f>'Laskenta poistopuoli 350_ENT'!$AA$6:$AA$12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00-4E40-BCEF-5F9426E2189C}"/>
            </c:ext>
          </c:extLst>
        </c:ser>
        <c:ser>
          <c:idx val="1"/>
          <c:order val="1"/>
          <c:tx>
            <c:strRef>
              <c:f>'Laskenta poistopuoli 350_ENT'!$AC$4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350_ENT'!$AD$6:$AD$12</c:f>
              <c:numCache>
                <c:formatCode>0.0</c:formatCode>
                <c:ptCount val="7"/>
                <c:pt idx="0">
                  <c:v>332.67701038530055</c:v>
                </c:pt>
                <c:pt idx="1">
                  <c:v>322.08762402000161</c:v>
                </c:pt>
                <c:pt idx="2">
                  <c:v>303.47553307941456</c:v>
                </c:pt>
                <c:pt idx="3">
                  <c:v>283.41350774799275</c:v>
                </c:pt>
                <c:pt idx="4">
                  <c:v>274.89854418504655</c:v>
                </c:pt>
                <c:pt idx="5">
                  <c:v>266.05549847333492</c:v>
                </c:pt>
                <c:pt idx="6">
                  <c:v>139.71249307521012</c:v>
                </c:pt>
              </c:numCache>
            </c:numRef>
          </c:xVal>
          <c:yVal>
            <c:numRef>
              <c:f>'Laskenta poistopuoli 350_ENT'!$AC$6:$AC$12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00-4E40-BCEF-5F9426E2189C}"/>
            </c:ext>
          </c:extLst>
        </c:ser>
        <c:ser>
          <c:idx val="2"/>
          <c:order val="2"/>
          <c:tx>
            <c:strRef>
              <c:f>'Laskenta poistopuoli 350_ENT'!$AE$4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350_ENT'!$AF$6:$AF$11</c:f>
              <c:numCache>
                <c:formatCode>0.0</c:formatCode>
                <c:ptCount val="6"/>
                <c:pt idx="0">
                  <c:v>239.54728928322191</c:v>
                </c:pt>
                <c:pt idx="1">
                  <c:v>219.45665468381333</c:v>
                </c:pt>
                <c:pt idx="2">
                  <c:v>196.82660562841531</c:v>
                </c:pt>
                <c:pt idx="3">
                  <c:v>170.34963183675882</c:v>
                </c:pt>
                <c:pt idx="4">
                  <c:v>136.94975137110086</c:v>
                </c:pt>
                <c:pt idx="5">
                  <c:v>101.02409261451852</c:v>
                </c:pt>
              </c:numCache>
            </c:numRef>
          </c:xVal>
          <c:yVal>
            <c:numRef>
              <c:f>'Laskenta poistopuoli 350_ENT'!$AE$6:$AE$11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000-4E40-BCEF-5F9426E2189C}"/>
            </c:ext>
          </c:extLst>
        </c:ser>
        <c:ser>
          <c:idx val="3"/>
          <c:order val="3"/>
          <c:tx>
            <c:strRef>
              <c:f>'Laskenta poistopuoli 350_ENT'!$AG$4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350_ENT'!$AH$6:$AH$10</c:f>
              <c:numCache>
                <c:formatCode>0.0</c:formatCode>
                <c:ptCount val="5"/>
                <c:pt idx="0">
                  <c:v>144.57203925918452</c:v>
                </c:pt>
                <c:pt idx="1">
                  <c:v>136.21844953136045</c:v>
                </c:pt>
                <c:pt idx="2">
                  <c:v>117.54750231651833</c:v>
                </c:pt>
                <c:pt idx="3">
                  <c:v>94.770453161428435</c:v>
                </c:pt>
                <c:pt idx="4">
                  <c:v>62.626439612772486</c:v>
                </c:pt>
              </c:numCache>
            </c:numRef>
          </c:xVal>
          <c:yVal>
            <c:numRef>
              <c:f>'Laskenta poistopuoli 350_ENT'!$AG$6:$AG$10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000-4E40-BCEF-5F9426E2189C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350_ENT'!$L$3</c:f>
              <c:numCache>
                <c:formatCode>0.0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000-4E40-BCEF-5F9426E2189C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350_ENT'!$AC$34:$AC$37</c:f>
              <c:numCache>
                <c:formatCode>0.0</c:formatCode>
                <c:ptCount val="4"/>
                <c:pt idx="0">
                  <c:v>92.754537315521048</c:v>
                </c:pt>
                <c:pt idx="1">
                  <c:v>75.904720219964517</c:v>
                </c:pt>
                <c:pt idx="2">
                  <c:v>54.144666193233057</c:v>
                </c:pt>
                <c:pt idx="3">
                  <c:v>34.639732632442552</c:v>
                </c:pt>
              </c:numCache>
            </c:numRef>
          </c:xVal>
          <c:yVal>
            <c:numRef>
              <c:f>'Laskenta poistopuoli 350_ENT'!$AD$34:$AD$37</c:f>
              <c:numCache>
                <c:formatCode>0.0</c:formatCode>
                <c:ptCount val="4"/>
                <c:pt idx="0">
                  <c:v>642.24068161713626</c:v>
                </c:pt>
                <c:pt idx="1">
                  <c:v>430.09565247162618</c:v>
                </c:pt>
                <c:pt idx="2">
                  <c:v>218.84611742328491</c:v>
                </c:pt>
                <c:pt idx="3">
                  <c:v>89.572881922205696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000-4E40-BCEF-5F9426E21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350_ENT'!$AM$60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350_ENT'!$AN$60:$AN$67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350_ENT'!$AO$60:$AO$67</c:f>
              <c:numCache>
                <c:formatCode>0.0</c:formatCode>
                <c:ptCount val="8"/>
                <c:pt idx="0">
                  <c:v>721.34661173481254</c:v>
                </c:pt>
                <c:pt idx="1">
                  <c:v>715.9378701953035</c:v>
                </c:pt>
                <c:pt idx="2">
                  <c:v>682.75011971480819</c:v>
                </c:pt>
                <c:pt idx="3">
                  <c:v>645.18533974845593</c:v>
                </c:pt>
                <c:pt idx="4">
                  <c:v>586.03019621125861</c:v>
                </c:pt>
                <c:pt idx="5">
                  <c:v>518.51525144517996</c:v>
                </c:pt>
                <c:pt idx="6">
                  <c:v>579.62341036618864</c:v>
                </c:pt>
                <c:pt idx="7">
                  <c:v>514.97229930894991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8C-485C-8ED2-A88C3BE3DC96}"/>
            </c:ext>
          </c:extLst>
        </c:ser>
        <c:ser>
          <c:idx val="1"/>
          <c:order val="1"/>
          <c:tx>
            <c:strRef>
              <c:f>'Laskenta poistopuoli 350_ENT'!$AM$71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350_ENT'!$AN$71:$AN$76</c:f>
              <c:numCache>
                <c:formatCode>0.0</c:formatCode>
                <c:ptCount val="6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</c:numCache>
            </c:numRef>
          </c:xVal>
          <c:yVal>
            <c:numRef>
              <c:f>'Laskenta poistopuoli 350_ENT'!$AO$71:$AO$76</c:f>
              <c:numCache>
                <c:formatCode>0.0</c:formatCode>
                <c:ptCount val="6"/>
                <c:pt idx="0">
                  <c:v>473.91392562092256</c:v>
                </c:pt>
                <c:pt idx="1">
                  <c:v>473.1384992406995</c:v>
                </c:pt>
                <c:pt idx="2">
                  <c:v>462.69713755706249</c:v>
                </c:pt>
                <c:pt idx="3">
                  <c:v>445.05159760438255</c:v>
                </c:pt>
                <c:pt idx="4">
                  <c:v>408.52036683816453</c:v>
                </c:pt>
                <c:pt idx="5">
                  <c:v>374.87627917763552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58C-485C-8ED2-A88C3BE3DC96}"/>
            </c:ext>
          </c:extLst>
        </c:ser>
        <c:ser>
          <c:idx val="2"/>
          <c:order val="2"/>
          <c:tx>
            <c:strRef>
              <c:f>'Laskenta poistopuoli 350_ENT'!$AM$82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350_ENT'!$AN$82:$AN$87</c:f>
              <c:numCache>
                <c:formatCode>0.0</c:formatCode>
                <c:ptCount val="6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</c:numCache>
            </c:numRef>
          </c:xVal>
          <c:yVal>
            <c:numRef>
              <c:f>'Laskenta poistopuoli 350_ENT'!$AO$82:$AO$87</c:f>
              <c:numCache>
                <c:formatCode>0.0</c:formatCode>
                <c:ptCount val="6"/>
                <c:pt idx="0">
                  <c:v>255.30068106481482</c:v>
                </c:pt>
                <c:pt idx="1">
                  <c:v>256.34269128011908</c:v>
                </c:pt>
                <c:pt idx="2">
                  <c:v>253.81558432274147</c:v>
                </c:pt>
                <c:pt idx="3">
                  <c:v>243.93185845736002</c:v>
                </c:pt>
                <c:pt idx="4">
                  <c:v>228.34086817976635</c:v>
                </c:pt>
                <c:pt idx="5">
                  <c:v>215.69856850350868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58C-485C-8ED2-A88C3BE3DC96}"/>
            </c:ext>
          </c:extLst>
        </c:ser>
        <c:ser>
          <c:idx val="3"/>
          <c:order val="3"/>
          <c:tx>
            <c:strRef>
              <c:f>'Laskenta poistopuoli 350_ENT'!$AM$93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350_ENT'!$AN$93:$AN$98</c:f>
              <c:numCache>
                <c:formatCode>0.0</c:formatCode>
                <c:ptCount val="6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</c:numCache>
            </c:numRef>
          </c:xVal>
          <c:yVal>
            <c:numRef>
              <c:f>'Laskenta poistopuoli 350_ENT'!$AO$93:$AO$98</c:f>
              <c:numCache>
                <c:formatCode>0.0</c:formatCode>
                <c:ptCount val="6"/>
                <c:pt idx="0">
                  <c:v>109.31968624976143</c:v>
                </c:pt>
                <c:pt idx="1">
                  <c:v>111.65317186130773</c:v>
                </c:pt>
                <c:pt idx="2">
                  <c:v>110.42478023967983</c:v>
                </c:pt>
                <c:pt idx="3">
                  <c:v>110.02884818331296</c:v>
                </c:pt>
                <c:pt idx="4">
                  <c:v>102.35401122473381</c:v>
                </c:pt>
                <c:pt idx="5">
                  <c:v>100.48562347094051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58C-485C-8ED2-A88C3BE3DC96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350_ENT'!$AC$34:$AC$37</c:f>
              <c:numCache>
                <c:formatCode>0.0</c:formatCode>
                <c:ptCount val="4"/>
                <c:pt idx="0">
                  <c:v>92.754537315521048</c:v>
                </c:pt>
                <c:pt idx="1">
                  <c:v>75.904720219964517</c:v>
                </c:pt>
                <c:pt idx="2">
                  <c:v>54.144666193233057</c:v>
                </c:pt>
                <c:pt idx="3">
                  <c:v>34.639732632442552</c:v>
                </c:pt>
              </c:numCache>
            </c:numRef>
          </c:xVal>
          <c:yVal>
            <c:numRef>
              <c:f>'Laskenta poistopuoli 350_ENT'!$AL$34:$AL$37</c:f>
              <c:numCache>
                <c:formatCode>General</c:formatCode>
                <c:ptCount val="4"/>
                <c:pt idx="0">
                  <c:v>628.32065584250836</c:v>
                </c:pt>
                <c:pt idx="1">
                  <c:v>423.60588511652588</c:v>
                </c:pt>
                <c:pt idx="2">
                  <c:v>237.450842997059</c:v>
                </c:pt>
                <c:pt idx="3">
                  <c:v>99.166048622616984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58C-485C-8ED2-A88C3BE3DC96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350_ENT'!$W$2</c:f>
              <c:numCache>
                <c:formatCode>0.0</c:formatCode>
                <c:ptCount val="1"/>
                <c:pt idx="0">
                  <c:v>101.90545077196248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58C-485C-8ED2-A88C3BE3D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ENTALPIAKENNO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4527191434698623"/>
                  <c:y val="0.234953713154081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350_ENT'!$BE$11:$BE$18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poistopuoli 350_ENT'!$BF$11:$BF$18</c:f>
              <c:numCache>
                <c:formatCode>General</c:formatCode>
                <c:ptCount val="8"/>
                <c:pt idx="0">
                  <c:v>0</c:v>
                </c:pt>
                <c:pt idx="1">
                  <c:v>16.899999999999999</c:v>
                </c:pt>
                <c:pt idx="2">
                  <c:v>40.56</c:v>
                </c:pt>
                <c:pt idx="3">
                  <c:v>71.47</c:v>
                </c:pt>
                <c:pt idx="4">
                  <c:v>109.6</c:v>
                </c:pt>
                <c:pt idx="5">
                  <c:v>155.1</c:v>
                </c:pt>
                <c:pt idx="6">
                  <c:v>207.8</c:v>
                </c:pt>
                <c:pt idx="7">
                  <c:v>267.7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16-467F-9B4C-E2E15ED0F830}"/>
            </c:ext>
          </c:extLst>
        </c:ser>
        <c:ser>
          <c:idx val="1"/>
          <c:order val="1"/>
          <c:tx>
            <c:v>ALUMIINIKENNO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5294614621975118"/>
                  <c:y val="2.718924313674011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350_ENT'!$BE$11:$BE$18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poistopuoli 350_ENT'!$BG$11:$BG$18</c:f>
              <c:numCache>
                <c:formatCode>General</c:formatCode>
                <c:ptCount val="8"/>
                <c:pt idx="0">
                  <c:v>0</c:v>
                </c:pt>
                <c:pt idx="1">
                  <c:v>19</c:v>
                </c:pt>
                <c:pt idx="2">
                  <c:v>48</c:v>
                </c:pt>
                <c:pt idx="3">
                  <c:v>85</c:v>
                </c:pt>
                <c:pt idx="4">
                  <c:v>125</c:v>
                </c:pt>
                <c:pt idx="5">
                  <c:v>167</c:v>
                </c:pt>
                <c:pt idx="6">
                  <c:v>229</c:v>
                </c:pt>
                <c:pt idx="7">
                  <c:v>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16-467F-9B4C-E2E15ED0F830}"/>
            </c:ext>
          </c:extLst>
        </c:ser>
        <c:ser>
          <c:idx val="2"/>
          <c:order val="2"/>
          <c:tx>
            <c:v>EROTUS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5.4345394097130212E-2"/>
                  <c:y val="-0.174919934653864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350_ENT'!$BE$11:$BE$18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poistopuoli 350_ENT'!$BH$11:$BH$18</c:f>
              <c:numCache>
                <c:formatCode>General</c:formatCode>
                <c:ptCount val="8"/>
                <c:pt idx="0">
                  <c:v>0</c:v>
                </c:pt>
                <c:pt idx="1">
                  <c:v>-2.1000000000000014</c:v>
                </c:pt>
                <c:pt idx="2">
                  <c:v>-7.4399999999999977</c:v>
                </c:pt>
                <c:pt idx="3">
                  <c:v>-13.530000000000001</c:v>
                </c:pt>
                <c:pt idx="4">
                  <c:v>-15.400000000000006</c:v>
                </c:pt>
                <c:pt idx="5">
                  <c:v>-11.900000000000006</c:v>
                </c:pt>
                <c:pt idx="6">
                  <c:v>-21.199999999999989</c:v>
                </c:pt>
                <c:pt idx="7">
                  <c:v>-36.300000000000011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16-467F-9B4C-E2E15ED0F830}"/>
            </c:ext>
          </c:extLst>
        </c:ser>
        <c:ser>
          <c:idx val="3"/>
          <c:order val="3"/>
          <c:tx>
            <c:v>Testejä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350_ENT'!$BF$38:$BF$43</c:f>
              <c:numCache>
                <c:formatCode>General</c:formatCode>
                <c:ptCount val="6"/>
                <c:pt idx="0">
                  <c:v>300</c:v>
                </c:pt>
                <c:pt idx="1">
                  <c:v>200</c:v>
                </c:pt>
                <c:pt idx="2">
                  <c:v>100</c:v>
                </c:pt>
                <c:pt idx="3">
                  <c:v>150</c:v>
                </c:pt>
                <c:pt idx="4">
                  <c:v>75</c:v>
                </c:pt>
                <c:pt idx="5">
                  <c:v>50</c:v>
                </c:pt>
              </c:numCache>
            </c:numRef>
          </c:xVal>
          <c:yVal>
            <c:numRef>
              <c:f>'Laskenta poistopuoli 350_ENT'!$BJ$38:$BJ$43</c:f>
              <c:numCache>
                <c:formatCode>0.0</c:formatCode>
                <c:ptCount val="6"/>
                <c:pt idx="0">
                  <c:v>-24.787202380952294</c:v>
                </c:pt>
                <c:pt idx="1">
                  <c:v>-13.431369047619</c:v>
                </c:pt>
                <c:pt idx="2">
                  <c:v>-5.6341071428571468</c:v>
                </c:pt>
                <c:pt idx="3">
                  <c:v>-9.087916666666672</c:v>
                </c:pt>
                <c:pt idx="4">
                  <c:v>-4.2408184523809496</c:v>
                </c:pt>
                <c:pt idx="5">
                  <c:v>-3.0699404761904532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A16-467F-9B4C-E2E15ED0F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1361311"/>
        <c:axId val="1461356511"/>
      </c:scatterChart>
      <c:valAx>
        <c:axId val="1461361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61356511"/>
        <c:crosses val="autoZero"/>
        <c:crossBetween val="midCat"/>
      </c:valAx>
      <c:valAx>
        <c:axId val="1461356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61361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Poistopuoli, </a:t>
            </a:r>
            <a:r>
              <a:rPr lang="fi-FI">
                <a:solidFill>
                  <a:schemeClr val="accent1"/>
                </a:solidFill>
              </a:rPr>
              <a:t>alumiini-</a:t>
            </a:r>
            <a:r>
              <a:rPr lang="fi-FI"/>
              <a:t> ja </a:t>
            </a:r>
            <a:r>
              <a:rPr lang="fi-FI">
                <a:solidFill>
                  <a:schemeClr val="accent2"/>
                </a:solidFill>
              </a:rPr>
              <a:t>entalpia</a:t>
            </a:r>
            <a:r>
              <a:rPr lang="fi-FI"/>
              <a:t>kennot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350_ENT'!$BO$36:$BO$42</c:f>
              <c:numCache>
                <c:formatCode>0.0</c:formatCode>
                <c:ptCount val="7"/>
                <c:pt idx="0">
                  <c:v>387.02425293331947</c:v>
                </c:pt>
                <c:pt idx="1">
                  <c:v>368.06471553994226</c:v>
                </c:pt>
                <c:pt idx="2">
                  <c:v>340.58746162202522</c:v>
                </c:pt>
                <c:pt idx="3">
                  <c:v>309.74196635006911</c:v>
                </c:pt>
                <c:pt idx="4">
                  <c:v>273.86522624529636</c:v>
                </c:pt>
                <c:pt idx="5">
                  <c:v>229.19151617790286</c:v>
                </c:pt>
                <c:pt idx="6">
                  <c:v>161.19891501315857</c:v>
                </c:pt>
              </c:numCache>
            </c:numRef>
          </c:xVal>
          <c:yVal>
            <c:numRef>
              <c:f>'Laskenta poistopuoli 350_ENT'!$BN$36:$BN$42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F4-44F3-9E33-3608E512F580}"/>
            </c:ext>
          </c:extLst>
        </c:ser>
        <c:ser>
          <c:idx val="1"/>
          <c:order val="1"/>
          <c:tx>
            <c:v>8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350_ENT'!$BQ$36:$BQ$42</c:f>
              <c:numCache>
                <c:formatCode>0.0</c:formatCode>
                <c:ptCount val="7"/>
                <c:pt idx="0">
                  <c:v>322.84873701660229</c:v>
                </c:pt>
                <c:pt idx="1">
                  <c:v>312.4056077515325</c:v>
                </c:pt>
                <c:pt idx="2">
                  <c:v>294.04327330941805</c:v>
                </c:pt>
                <c:pt idx="3">
                  <c:v>274.23785237808198</c:v>
                </c:pt>
                <c:pt idx="4">
                  <c:v>265.8270250865362</c:v>
                </c:pt>
                <c:pt idx="5">
                  <c:v>257.08860009311786</c:v>
                </c:pt>
                <c:pt idx="6">
                  <c:v>131.22913099377979</c:v>
                </c:pt>
              </c:numCache>
            </c:numRef>
          </c:xVal>
          <c:yVal>
            <c:numRef>
              <c:f>'Laskenta poistopuoli 350_ENT'!$BP$36:$BP$42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F4-44F3-9E33-3608E512F580}"/>
            </c:ext>
          </c:extLst>
        </c:ser>
        <c:ser>
          <c:idx val="2"/>
          <c:order val="2"/>
          <c:tx>
            <c:v>6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350_ENT'!$BS$36:$BS$41</c:f>
              <c:numCache>
                <c:formatCode>0.0</c:formatCode>
                <c:ptCount val="6"/>
                <c:pt idx="0">
                  <c:v>231.45482058174542</c:v>
                </c:pt>
                <c:pt idx="1">
                  <c:v>211.56213987435652</c:v>
                </c:pt>
                <c:pt idx="2">
                  <c:v>189.11321368100411</c:v>
                </c:pt>
                <c:pt idx="3">
                  <c:v>162.761483860868</c:v>
                </c:pt>
                <c:pt idx="4">
                  <c:v>129.26947010597144</c:v>
                </c:pt>
                <c:pt idx="5">
                  <c:v>92.408694768599474</c:v>
                </c:pt>
              </c:numCache>
            </c:numRef>
          </c:xVal>
          <c:yVal>
            <c:numRef>
              <c:f>'Laskenta poistopuoli 350_ENT'!$BR$36:$BR$41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F4-44F3-9E33-3608E512F580}"/>
            </c:ext>
          </c:extLst>
        </c:ser>
        <c:ser>
          <c:idx val="3"/>
          <c:order val="3"/>
          <c:tx>
            <c:v>4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350_ENT'!$BU$36:$BU$40</c:f>
              <c:numCache>
                <c:formatCode>0.0</c:formatCode>
                <c:ptCount val="5"/>
                <c:pt idx="0">
                  <c:v>137.79479127749656</c:v>
                </c:pt>
                <c:pt idx="1">
                  <c:v>129.5056281141523</c:v>
                </c:pt>
                <c:pt idx="2">
                  <c:v>110.92570358593754</c:v>
                </c:pt>
                <c:pt idx="3">
                  <c:v>88.098495554899614</c:v>
                </c:pt>
                <c:pt idx="4">
                  <c:v>55.102547399007342</c:v>
                </c:pt>
              </c:numCache>
            </c:numRef>
          </c:xVal>
          <c:yVal>
            <c:numRef>
              <c:f>'Laskenta poistopuoli 350_ENT'!$BT$36:$BT$40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5F4-44F3-9E33-3608E512F580}"/>
            </c:ext>
          </c:extLst>
        </c:ser>
        <c:ser>
          <c:idx val="4"/>
          <c:order val="4"/>
          <c:tx>
            <c:v>10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350_ENT'!$BX$36:$BX$42</c:f>
              <c:numCache>
                <c:formatCode>0.0</c:formatCode>
                <c:ptCount val="7"/>
                <c:pt idx="0">
                  <c:v>396.45045145316698</c:v>
                </c:pt>
                <c:pt idx="1">
                  <c:v>377.32184914146467</c:v>
                </c:pt>
                <c:pt idx="2">
                  <c:v>349.62156878587024</c:v>
                </c:pt>
                <c:pt idx="3">
                  <c:v>318.56735160571776</c:v>
                </c:pt>
                <c:pt idx="4">
                  <c:v>282.53076043038789</c:v>
                </c:pt>
                <c:pt idx="5">
                  <c:v>237.87791416174588</c:v>
                </c:pt>
                <c:pt idx="6">
                  <c:v>171.26024658923819</c:v>
                </c:pt>
              </c:numCache>
            </c:numRef>
          </c:xVal>
          <c:yVal>
            <c:numRef>
              <c:f>'Laskenta poistopuoli 350_ENT'!$BW$36:$BW$42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5F4-44F3-9E33-3608E512F580}"/>
            </c:ext>
          </c:extLst>
        </c:ser>
        <c:ser>
          <c:idx val="5"/>
          <c:order val="5"/>
          <c:tx>
            <c:v>8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350_ENT'!$BZ$36:$BZ$42</c:f>
              <c:numCache>
                <c:formatCode>0.0</c:formatCode>
                <c:ptCount val="7"/>
                <c:pt idx="0">
                  <c:v>332.67701038530055</c:v>
                </c:pt>
                <c:pt idx="1">
                  <c:v>322.08762402000161</c:v>
                </c:pt>
                <c:pt idx="2">
                  <c:v>303.47553307941456</c:v>
                </c:pt>
                <c:pt idx="3">
                  <c:v>283.41350774799275</c:v>
                </c:pt>
                <c:pt idx="4">
                  <c:v>274.89854418504655</c:v>
                </c:pt>
                <c:pt idx="5">
                  <c:v>266.05549847333492</c:v>
                </c:pt>
                <c:pt idx="6">
                  <c:v>139.71249307521012</c:v>
                </c:pt>
              </c:numCache>
            </c:numRef>
          </c:xVal>
          <c:yVal>
            <c:numRef>
              <c:f>'Laskenta poistopuoli 350_ENT'!$BY$36:$BY$42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5F4-44F3-9E33-3608E512F580}"/>
            </c:ext>
          </c:extLst>
        </c:ser>
        <c:ser>
          <c:idx val="6"/>
          <c:order val="6"/>
          <c:tx>
            <c:v>6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350_ENT'!$CB$36:$CB$41</c:f>
              <c:numCache>
                <c:formatCode>0.0</c:formatCode>
                <c:ptCount val="6"/>
                <c:pt idx="0">
                  <c:v>239.54728928322191</c:v>
                </c:pt>
                <c:pt idx="1">
                  <c:v>219.45665468381333</c:v>
                </c:pt>
                <c:pt idx="2">
                  <c:v>196.82660562841531</c:v>
                </c:pt>
                <c:pt idx="3">
                  <c:v>170.34963183675882</c:v>
                </c:pt>
                <c:pt idx="4">
                  <c:v>136.94975137110086</c:v>
                </c:pt>
                <c:pt idx="5">
                  <c:v>101.02409261451852</c:v>
                </c:pt>
              </c:numCache>
            </c:numRef>
          </c:xVal>
          <c:yVal>
            <c:numRef>
              <c:f>'Laskenta poistopuoli 350_ENT'!$CA$36:$CA$41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5F4-44F3-9E33-3608E512F580}"/>
            </c:ext>
          </c:extLst>
        </c:ser>
        <c:ser>
          <c:idx val="7"/>
          <c:order val="7"/>
          <c:tx>
            <c:v>4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350_ENT'!$CD$36:$CD$40</c:f>
              <c:numCache>
                <c:formatCode>0.0</c:formatCode>
                <c:ptCount val="5"/>
                <c:pt idx="0">
                  <c:v>144.57203925918452</c:v>
                </c:pt>
                <c:pt idx="1">
                  <c:v>136.21844953136045</c:v>
                </c:pt>
                <c:pt idx="2">
                  <c:v>117.54750231651833</c:v>
                </c:pt>
                <c:pt idx="3">
                  <c:v>94.770453161428435</c:v>
                </c:pt>
                <c:pt idx="4">
                  <c:v>62.626439612772486</c:v>
                </c:pt>
              </c:numCache>
            </c:numRef>
          </c:xVal>
          <c:yVal>
            <c:numRef>
              <c:f>'Laskenta poistopuoli 350_ENT'!$CC$36:$CC$40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5F4-44F3-9E33-3608E512F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7504783"/>
        <c:axId val="1477506223"/>
      </c:scatterChart>
      <c:valAx>
        <c:axId val="147750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7506223"/>
        <c:crosses val="autoZero"/>
        <c:crossBetween val="midCat"/>
      </c:valAx>
      <c:valAx>
        <c:axId val="147750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750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C5'!$AA$4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8753361599030889"/>
                  <c:y val="-0.767820603417841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C5'!$AB$6:$AB$12</c:f>
              <c:numCache>
                <c:formatCode>0.0</c:formatCode>
                <c:ptCount val="7"/>
                <c:pt idx="0">
                  <c:v>654.25037329157124</c:v>
                </c:pt>
                <c:pt idx="1">
                  <c:v>629.36379914838335</c:v>
                </c:pt>
                <c:pt idx="2">
                  <c:v>594.97595729709474</c:v>
                </c:pt>
                <c:pt idx="3">
                  <c:v>559.03881062391019</c:v>
                </c:pt>
                <c:pt idx="4">
                  <c:v>521.32193237327101</c:v>
                </c:pt>
                <c:pt idx="5">
                  <c:v>481.53139436024861</c:v>
                </c:pt>
                <c:pt idx="6">
                  <c:v>473.2925954290904</c:v>
                </c:pt>
              </c:numCache>
            </c:numRef>
          </c:xVal>
          <c:yVal>
            <c:numRef>
              <c:f>'Laskenta tulopuoli C5'!$AA$6:$AA$12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2B-4B68-8693-D6AB832AB7C3}"/>
            </c:ext>
          </c:extLst>
        </c:ser>
        <c:ser>
          <c:idx val="1"/>
          <c:order val="1"/>
          <c:tx>
            <c:strRef>
              <c:f>'Laskenta tulopuoli C5'!$AC$4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30057924490207955"/>
                  <c:y val="-0.672555980930155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C5'!$AD$6:$AD$12</c:f>
              <c:numCache>
                <c:formatCode>0.0</c:formatCode>
                <c:ptCount val="7"/>
                <c:pt idx="0">
                  <c:v>582.83308011693862</c:v>
                </c:pt>
                <c:pt idx="1">
                  <c:v>570.11547619002181</c:v>
                </c:pt>
                <c:pt idx="2">
                  <c:v>548.36777867485296</c:v>
                </c:pt>
                <c:pt idx="3">
                  <c:v>525.8682520064591</c:v>
                </c:pt>
                <c:pt idx="4">
                  <c:v>488.08981935508075</c:v>
                </c:pt>
                <c:pt idx="5">
                  <c:v>442.46956587231512</c:v>
                </c:pt>
                <c:pt idx="6">
                  <c:v>330.67113176285858</c:v>
                </c:pt>
              </c:numCache>
            </c:numRef>
          </c:xVal>
          <c:yVal>
            <c:numRef>
              <c:f>'Laskenta tulopuoli C5'!$AC$6:$AC$12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510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2B-4B68-8693-D6AB832AB7C3}"/>
            </c:ext>
          </c:extLst>
        </c:ser>
        <c:ser>
          <c:idx val="2"/>
          <c:order val="2"/>
          <c:tx>
            <c:strRef>
              <c:f>'Laskenta tulopuoli C5'!$AE$4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-0.10958429234807188"/>
                  <c:y val="-0.564742157224931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C5'!$AF$6:$AF$11</c:f>
              <c:numCache>
                <c:formatCode>0.0</c:formatCode>
                <c:ptCount val="6"/>
                <c:pt idx="0">
                  <c:v>418.68869265387121</c:v>
                </c:pt>
                <c:pt idx="1">
                  <c:v>395.52550235940686</c:v>
                </c:pt>
                <c:pt idx="2">
                  <c:v>371.15944670020446</c:v>
                </c:pt>
                <c:pt idx="3">
                  <c:v>345.38106086358533</c:v>
                </c:pt>
                <c:pt idx="4">
                  <c:v>317.91195418861821</c:v>
                </c:pt>
                <c:pt idx="5">
                  <c:v>190.64733408241827</c:v>
                </c:pt>
              </c:numCache>
            </c:numRef>
          </c:xVal>
          <c:yVal>
            <c:numRef>
              <c:f>'Laskenta tulopuoli C5'!$AE$6:$AE$11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2B-4B68-8693-D6AB832AB7C3}"/>
            </c:ext>
          </c:extLst>
        </c:ser>
        <c:ser>
          <c:idx val="3"/>
          <c:order val="3"/>
          <c:tx>
            <c:strRef>
              <c:f>'Laskenta tulopuoli C5'!$AG$4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8.0201090248334342E-2"/>
                  <c:y val="-0.4606460515785079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C5'!$AH$6:$AH$10</c:f>
              <c:numCache>
                <c:formatCode>0.0</c:formatCode>
                <c:ptCount val="5"/>
                <c:pt idx="0">
                  <c:v>257.85106453446394</c:v>
                </c:pt>
                <c:pt idx="1">
                  <c:v>248.64190471104959</c:v>
                </c:pt>
                <c:pt idx="2">
                  <c:v>229.53785769609709</c:v>
                </c:pt>
                <c:pt idx="3">
                  <c:v>209.39421485538645</c:v>
                </c:pt>
                <c:pt idx="4">
                  <c:v>82.992893577309133</c:v>
                </c:pt>
              </c:numCache>
            </c:numRef>
          </c:xVal>
          <c:yVal>
            <c:numRef>
              <c:f>'Laskenta tulopuoli C5'!$AG$6:$AG$10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32B-4B68-8693-D6AB832AB7C3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C5'!$J$3</c:f>
              <c:numCache>
                <c:formatCode>0</c:formatCode>
                <c:ptCount val="1"/>
                <c:pt idx="0">
                  <c:v>450</c:v>
                </c:pt>
              </c:numCache>
            </c:numRef>
          </c:xVal>
          <c:yVal>
            <c:numRef>
              <c:f>'Laskenta tulopuoli C5'!$L$3</c:f>
              <c:numCache>
                <c:formatCode>0.0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32B-4B68-8693-D6AB832AB7C3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C5'!$AC$34:$AC$37</c:f>
              <c:numCache>
                <c:formatCode>0.0</c:formatCode>
                <c:ptCount val="4"/>
                <c:pt idx="0">
                  <c:v>607.51258153431093</c:v>
                </c:pt>
                <c:pt idx="1">
                  <c:v>536.00556116047687</c:v>
                </c:pt>
                <c:pt idx="2">
                  <c:v>385.83471671142053</c:v>
                </c:pt>
                <c:pt idx="3">
                  <c:v>242.8170625318144</c:v>
                </c:pt>
              </c:numCache>
            </c:numRef>
          </c:xVal>
          <c:yVal>
            <c:numRef>
              <c:f>'Laskenta tulopuoli C5'!$AD$34:$AD$37</c:f>
              <c:numCache>
                <c:formatCode>0.0</c:formatCode>
                <c:ptCount val="4"/>
                <c:pt idx="0">
                  <c:v>164.03179409888139</c:v>
                </c:pt>
                <c:pt idx="1">
                  <c:v>127.68976070886993</c:v>
                </c:pt>
                <c:pt idx="2">
                  <c:v>66.163746053236537</c:v>
                </c:pt>
                <c:pt idx="3">
                  <c:v>26.204500380701774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32B-4B68-8693-D6AB832AB7C3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C5'!$O$23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C5'!$O$24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32B-4B68-8693-D6AB832AB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130_ENT'!$N$15:$N$24</c:f>
              <c:numCache>
                <c:formatCode>General</c:formatCode>
                <c:ptCount val="10"/>
                <c:pt idx="5">
                  <c:v>500</c:v>
                </c:pt>
                <c:pt idx="6" formatCode="0.0">
                  <c:v>46.761998862738068</c:v>
                </c:pt>
                <c:pt idx="7" formatCode="0.0">
                  <c:v>42.07803596728656</c:v>
                </c:pt>
                <c:pt idx="8" formatCode="0.0">
                  <c:v>35.691045949143046</c:v>
                </c:pt>
                <c:pt idx="9" formatCode="0.0">
                  <c:v>29.02976791085376</c:v>
                </c:pt>
              </c:numCache>
            </c:numRef>
          </c:xVal>
          <c:yVal>
            <c:numRef>
              <c:f>'Laskenta vaipan läpi 130_ENT'!$Q$15:$Q$24</c:f>
              <c:numCache>
                <c:formatCode>General</c:formatCode>
                <c:ptCount val="10"/>
                <c:pt idx="5">
                  <c:v>4000</c:v>
                </c:pt>
                <c:pt idx="6" formatCode="0.0">
                  <c:v>28.38770669872595</c:v>
                </c:pt>
                <c:pt idx="7" formatCode="0.0">
                  <c:v>24.872746120590968</c:v>
                </c:pt>
                <c:pt idx="8" formatCode="0.0">
                  <c:v>17.577062138013034</c:v>
                </c:pt>
                <c:pt idx="9" formatCode="0.0">
                  <c:v>5.3019472550635438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F0-4275-92A5-70DF31A06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274984"/>
        <c:axId val="886276952"/>
      </c:scatterChart>
      <c:valAx>
        <c:axId val="8862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6952"/>
        <c:crosses val="autoZero"/>
        <c:crossBetween val="midCat"/>
      </c:valAx>
      <c:valAx>
        <c:axId val="88627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350_ENT'!$AI$6:$AP$6</c:f>
              <c:numCache>
                <c:formatCode>0.0</c:formatCode>
                <c:ptCount val="8"/>
                <c:pt idx="0">
                  <c:v>15.892209228358126</c:v>
                </c:pt>
                <c:pt idx="1">
                  <c:v>12.390296852760258</c:v>
                </c:pt>
                <c:pt idx="2">
                  <c:v>4.112607902486495</c:v>
                </c:pt>
                <c:pt idx="3">
                  <c:v>-9.0182970698818679</c:v>
                </c:pt>
                <c:pt idx="4">
                  <c:v>-14.465242753896689</c:v>
                </c:pt>
                <c:pt idx="5">
                  <c:v>-15.779984741048047</c:v>
                </c:pt>
                <c:pt idx="6">
                  <c:v>-15.534678562698971</c:v>
                </c:pt>
                <c:pt idx="7">
                  <c:v>-16.525415074159966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A-4C03-85C0-7050B84E20CE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350_ENT'!$AI$7:$AP$7</c:f>
              <c:numCache>
                <c:formatCode>0.0</c:formatCode>
                <c:ptCount val="8"/>
                <c:pt idx="0">
                  <c:v>16.15839781661937</c:v>
                </c:pt>
                <c:pt idx="1">
                  <c:v>12.237056867910411</c:v>
                </c:pt>
                <c:pt idx="2">
                  <c:v>4.3223541109163648</c:v>
                </c:pt>
                <c:pt idx="3">
                  <c:v>-9.6510265124299082</c:v>
                </c:pt>
                <c:pt idx="4">
                  <c:v>-14.212039846494221</c:v>
                </c:pt>
                <c:pt idx="5">
                  <c:v>-16.391966198860842</c:v>
                </c:pt>
                <c:pt idx="6">
                  <c:v>-15.616838605059066</c:v>
                </c:pt>
                <c:pt idx="7">
                  <c:v>-16.696777305981719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4A-4C03-85C0-7050B84E20CE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350_ENT'!$AI$8:$AP$8</c:f>
              <c:numCache>
                <c:formatCode>0.0</c:formatCode>
                <c:ptCount val="8"/>
                <c:pt idx="0">
                  <c:v>16.47614475441739</c:v>
                </c:pt>
                <c:pt idx="1">
                  <c:v>13.506505171812393</c:v>
                </c:pt>
                <c:pt idx="2">
                  <c:v>3.5305275760317159</c:v>
                </c:pt>
                <c:pt idx="3">
                  <c:v>-11.816875289243988</c:v>
                </c:pt>
                <c:pt idx="4">
                  <c:v>-15.81136627837985</c:v>
                </c:pt>
                <c:pt idx="5">
                  <c:v>-16.408441862324409</c:v>
                </c:pt>
                <c:pt idx="6">
                  <c:v>-17.829229980192622</c:v>
                </c:pt>
                <c:pt idx="7">
                  <c:v>-18.897640783128537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4A-4C03-85C0-7050B84E20CE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350_ENT'!$AI$9:$AP$9</c:f>
              <c:numCache>
                <c:formatCode>0.0</c:formatCode>
                <c:ptCount val="8"/>
                <c:pt idx="0">
                  <c:v>17.120820773013683</c:v>
                </c:pt>
                <c:pt idx="1">
                  <c:v>12.187913716943818</c:v>
                </c:pt>
                <c:pt idx="2">
                  <c:v>4.003202166531743</c:v>
                </c:pt>
                <c:pt idx="3">
                  <c:v>-9.2049934948282655</c:v>
                </c:pt>
                <c:pt idx="4">
                  <c:v>-13.221934040161486</c:v>
                </c:pt>
                <c:pt idx="5">
                  <c:v>-18.298214676881113</c:v>
                </c:pt>
                <c:pt idx="6">
                  <c:v>-16.526809077840689</c:v>
                </c:pt>
                <c:pt idx="7">
                  <c:v>-17.610055377026107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4A-4C03-85C0-7050B84E20CE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350_ENT'!$AI$10:$AP$10</c:f>
              <c:numCache>
                <c:formatCode>0.0</c:formatCode>
                <c:ptCount val="8"/>
                <c:pt idx="0">
                  <c:v>17.27959904904624</c:v>
                </c:pt>
                <c:pt idx="1">
                  <c:v>12.001819811878264</c:v>
                </c:pt>
                <c:pt idx="2">
                  <c:v>4.242918290410401</c:v>
                </c:pt>
                <c:pt idx="3">
                  <c:v>-9.5256621294263297</c:v>
                </c:pt>
                <c:pt idx="4">
                  <c:v>-13.499663314327584</c:v>
                </c:pt>
                <c:pt idx="5">
                  <c:v>-18.066973381583946</c:v>
                </c:pt>
                <c:pt idx="6">
                  <c:v>-16.617141908769781</c:v>
                </c:pt>
                <c:pt idx="7">
                  <c:v>-18.02686628889467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4A-4C03-85C0-7050B84E20CE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350_ENT'!$AI$11:$AP$11</c:f>
              <c:numCache>
                <c:formatCode>0.0</c:formatCode>
                <c:ptCount val="8"/>
                <c:pt idx="0">
                  <c:v>18.649137241509351</c:v>
                </c:pt>
                <c:pt idx="1">
                  <c:v>12.435987080883969</c:v>
                </c:pt>
                <c:pt idx="2">
                  <c:v>2.7968089202831052</c:v>
                </c:pt>
                <c:pt idx="3">
                  <c:v>-11.210120102424213</c:v>
                </c:pt>
                <c:pt idx="4">
                  <c:v>-14.655517805794382</c:v>
                </c:pt>
                <c:pt idx="5">
                  <c:v>-18.034362138387582</c:v>
                </c:pt>
                <c:pt idx="6">
                  <c:v>-19.848748611306853</c:v>
                </c:pt>
                <c:pt idx="7">
                  <c:v>-20.92987764070163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4A-4C03-85C0-7050B84E20CE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350_ENT'!$AI$12:$AP$12</c:f>
              <c:numCache>
                <c:formatCode>0.0</c:formatCode>
                <c:ptCount val="8"/>
                <c:pt idx="0">
                  <c:v>17.968871268612119</c:v>
                </c:pt>
                <c:pt idx="1">
                  <c:v>12.487033142273155</c:v>
                </c:pt>
                <c:pt idx="2">
                  <c:v>3.591233802437344</c:v>
                </c:pt>
                <c:pt idx="3">
                  <c:v>-8.4511014776597406</c:v>
                </c:pt>
                <c:pt idx="4">
                  <c:v>-12.675707610821242</c:v>
                </c:pt>
                <c:pt idx="5">
                  <c:v>-19.644585689622808</c:v>
                </c:pt>
                <c:pt idx="6">
                  <c:v>-17.94513656488375</c:v>
                </c:pt>
                <c:pt idx="7">
                  <c:v>-19.739901384291933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4A-4C03-85C0-7050B84E20CE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350_ENT'!$AI$13:$AP$13</c:f>
              <c:numCache>
                <c:formatCode>0.0</c:formatCode>
                <c:ptCount val="8"/>
                <c:pt idx="0">
                  <c:v>18.658351448908689</c:v>
                </c:pt>
                <c:pt idx="1">
                  <c:v>12.259907698724888</c:v>
                </c:pt>
                <c:pt idx="2">
                  <c:v>2.9398314082594368</c:v>
                </c:pt>
                <c:pt idx="3">
                  <c:v>-8.576155223044303</c:v>
                </c:pt>
                <c:pt idx="4">
                  <c:v>-11.813090026091018</c:v>
                </c:pt>
                <c:pt idx="5">
                  <c:v>-18.843051095724537</c:v>
                </c:pt>
                <c:pt idx="6">
                  <c:v>-18.778569362834368</c:v>
                </c:pt>
                <c:pt idx="7">
                  <c:v>-20.396806059381596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4A-4C03-85C0-7050B84E20CE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350_ENT'!$AI$14:$AP$14</c:f>
              <c:numCache>
                <c:formatCode>0.0</c:formatCode>
                <c:ptCount val="8"/>
                <c:pt idx="0">
                  <c:v>19.753520924686597</c:v>
                </c:pt>
                <c:pt idx="1">
                  <c:v>12.730179522959567</c:v>
                </c:pt>
                <c:pt idx="2">
                  <c:v>1.7867648912759933</c:v>
                </c:pt>
                <c:pt idx="3">
                  <c:v>-9.8377006024524292</c:v>
                </c:pt>
                <c:pt idx="4">
                  <c:v>-15.909018141675478</c:v>
                </c:pt>
                <c:pt idx="5">
                  <c:v>-19.536977175345569</c:v>
                </c:pt>
                <c:pt idx="6">
                  <c:v>-20.665188281053517</c:v>
                </c:pt>
                <c:pt idx="7">
                  <c:v>-22.498505678172393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4A-4C03-85C0-7050B84E2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100_ENT'!$D$59:$D$62</c:f>
              <c:numCache>
                <c:formatCode>0.0</c:formatCode>
                <c:ptCount val="4"/>
                <c:pt idx="0">
                  <c:v>95.520909090909086</c:v>
                </c:pt>
                <c:pt idx="1">
                  <c:v>78.172727272727286</c:v>
                </c:pt>
                <c:pt idx="2">
                  <c:v>56.99727272727273</c:v>
                </c:pt>
                <c:pt idx="3">
                  <c:v>32.736363636363635</c:v>
                </c:pt>
              </c:numCache>
            </c:numRef>
          </c:xVal>
          <c:yVal>
            <c:numRef>
              <c:f>'Laskenta tulopuoli 100_ENT'!$E$59:$E$62</c:f>
              <c:numCache>
                <c:formatCode>0.0</c:formatCode>
                <c:ptCount val="4"/>
                <c:pt idx="0">
                  <c:v>60.180326897119542</c:v>
                </c:pt>
                <c:pt idx="1">
                  <c:v>61.456607403903462</c:v>
                </c:pt>
                <c:pt idx="2">
                  <c:v>62.50621121454131</c:v>
                </c:pt>
                <c:pt idx="3">
                  <c:v>62.149005233465246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08-4A2A-AB37-66ED0282ACF1}"/>
            </c:ext>
          </c:extLst>
        </c:ser>
        <c:ser>
          <c:idx val="1"/>
          <c:order val="1"/>
          <c:tx>
            <c:strRef>
              <c:f>'Laskenta tulopuoli 100_ENT'!$C$64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100_ENT'!$D$64:$D$67</c:f>
              <c:numCache>
                <c:formatCode>0.0</c:formatCode>
                <c:ptCount val="4"/>
                <c:pt idx="0">
                  <c:v>71.593636363636364</c:v>
                </c:pt>
                <c:pt idx="1">
                  <c:v>58.130909090909093</c:v>
                </c:pt>
                <c:pt idx="2">
                  <c:v>42.961818181818181</c:v>
                </c:pt>
                <c:pt idx="3">
                  <c:v>24.492727272727276</c:v>
                </c:pt>
              </c:numCache>
            </c:numRef>
          </c:xVal>
          <c:yVal>
            <c:numRef>
              <c:f>'Laskenta tulopuoli 100_ENT'!$E$64:$E$67</c:f>
              <c:numCache>
                <c:formatCode>0.0</c:formatCode>
                <c:ptCount val="4"/>
                <c:pt idx="0">
                  <c:v>55.838973854241011</c:v>
                </c:pt>
                <c:pt idx="1">
                  <c:v>56.980393615773181</c:v>
                </c:pt>
                <c:pt idx="2">
                  <c:v>56.813930556628023</c:v>
                </c:pt>
                <c:pt idx="3">
                  <c:v>56.538389487610488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08-4A2A-AB37-66ED0282ACF1}"/>
            </c:ext>
          </c:extLst>
        </c:ser>
        <c:ser>
          <c:idx val="2"/>
          <c:order val="2"/>
          <c:tx>
            <c:strRef>
              <c:f>'Laskenta tulopuoli 100_ENT'!$C$69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100_ENT'!$D$69:$D$72</c:f>
              <c:numCache>
                <c:formatCode>0.0</c:formatCode>
                <c:ptCount val="4"/>
                <c:pt idx="0">
                  <c:v>48.453636363636363</c:v>
                </c:pt>
                <c:pt idx="1">
                  <c:v>39.006666666666668</c:v>
                </c:pt>
                <c:pt idx="2">
                  <c:v>29.039090909090906</c:v>
                </c:pt>
                <c:pt idx="3">
                  <c:v>17.136363636363637</c:v>
                </c:pt>
              </c:numCache>
            </c:numRef>
          </c:xVal>
          <c:yVal>
            <c:numRef>
              <c:f>'Laskenta tulopuoli 100_ENT'!$E$69:$E$72</c:f>
              <c:numCache>
                <c:formatCode>0.0</c:formatCode>
                <c:ptCount val="4"/>
                <c:pt idx="0">
                  <c:v>49.799365980303392</c:v>
                </c:pt>
                <c:pt idx="1">
                  <c:v>50.541339372801886</c:v>
                </c:pt>
                <c:pt idx="2">
                  <c:v>50.173067772041257</c:v>
                </c:pt>
                <c:pt idx="3">
                  <c:v>49.774669272965056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708-4A2A-AB37-66ED0282ACF1}"/>
            </c:ext>
          </c:extLst>
        </c:ser>
        <c:ser>
          <c:idx val="3"/>
          <c:order val="3"/>
          <c:tx>
            <c:strRef>
              <c:f>'Laskenta tulopuoli 100_ENT'!$C$74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100_ENT'!$D$74:$D$77</c:f>
              <c:numCache>
                <c:formatCode>0.0</c:formatCode>
                <c:ptCount val="4"/>
                <c:pt idx="0">
                  <c:v>21.903636363636362</c:v>
                </c:pt>
                <c:pt idx="1">
                  <c:v>19.979090909090907</c:v>
                </c:pt>
                <c:pt idx="2">
                  <c:v>14.368181818181819</c:v>
                </c:pt>
                <c:pt idx="3">
                  <c:v>8.8800000000000008</c:v>
                </c:pt>
              </c:numCache>
            </c:numRef>
          </c:xVal>
          <c:yVal>
            <c:numRef>
              <c:f>'Laskenta tulopuoli 100_ENT'!$E$74:$E$77</c:f>
              <c:numCache>
                <c:formatCode>0.0</c:formatCode>
                <c:ptCount val="4"/>
                <c:pt idx="0">
                  <c:v>38.632326393106936</c:v>
                </c:pt>
                <c:pt idx="1">
                  <c:v>39.344215844681003</c:v>
                </c:pt>
                <c:pt idx="2">
                  <c:v>37.758734004584319</c:v>
                </c:pt>
                <c:pt idx="3">
                  <c:v>37.81432117265679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708-4A2A-AB37-66ED0282ACF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08-4A2A-AB37-66ED0282ACF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708-4A2A-AB37-66ED0282ACF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100_ENT'!$AC$34:$AC$37</c:f>
              <c:numCache>
                <c:formatCode>0.0</c:formatCode>
                <c:ptCount val="4"/>
                <c:pt idx="0">
                  <c:v>65.68073441363849</c:v>
                </c:pt>
                <c:pt idx="1">
                  <c:v>48.827620513530974</c:v>
                </c:pt>
                <c:pt idx="2">
                  <c:v>33.951434989495752</c:v>
                </c:pt>
                <c:pt idx="3">
                  <c:v>16.731414162833396</c:v>
                </c:pt>
              </c:numCache>
            </c:numRef>
          </c:xVal>
          <c:yVal>
            <c:numRef>
              <c:f>'Laskenta tulopuoli 100_ENT'!$AF$34:$AF$37</c:f>
              <c:numCache>
                <c:formatCode>0.0</c:formatCode>
                <c:ptCount val="4"/>
                <c:pt idx="0">
                  <c:v>62.185377817756802</c:v>
                </c:pt>
                <c:pt idx="1">
                  <c:v>56.990184915336407</c:v>
                </c:pt>
                <c:pt idx="2">
                  <c:v>50.408240270052204</c:v>
                </c:pt>
                <c:pt idx="3">
                  <c:v>38.315511356203451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708-4A2A-AB37-66ED0282ACF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100_ENT'!$W$5</c:f>
              <c:numCache>
                <c:formatCode>0.0</c:formatCode>
                <c:ptCount val="1"/>
                <c:pt idx="0">
                  <c:v>50.988690515830783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708-4A2A-AB37-66ED0282A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100_ENT'!$N$59:$N$62</c:f>
              <c:numCache>
                <c:formatCode>0.0</c:formatCode>
                <c:ptCount val="4"/>
                <c:pt idx="0">
                  <c:v>95.407272727272726</c:v>
                </c:pt>
                <c:pt idx="1">
                  <c:v>77.219090909090923</c:v>
                </c:pt>
                <c:pt idx="2">
                  <c:v>59.029999999999994</c:v>
                </c:pt>
                <c:pt idx="3">
                  <c:v>38.99818181818182</c:v>
                </c:pt>
              </c:numCache>
            </c:numRef>
          </c:xVal>
          <c:yVal>
            <c:numRef>
              <c:f>'Laskenta tulopuoli 100_ENT'!$O$59:$O$62</c:f>
              <c:numCache>
                <c:formatCode>0.0</c:formatCode>
                <c:ptCount val="4"/>
                <c:pt idx="0">
                  <c:v>72.434028068386084</c:v>
                </c:pt>
                <c:pt idx="1">
                  <c:v>73.081985525444978</c:v>
                </c:pt>
                <c:pt idx="2">
                  <c:v>73.639643529409511</c:v>
                </c:pt>
                <c:pt idx="3">
                  <c:v>74.143482700632447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B5-4BBF-B050-D77F183BAAD5}"/>
            </c:ext>
          </c:extLst>
        </c:ser>
        <c:ser>
          <c:idx val="1"/>
          <c:order val="1"/>
          <c:tx>
            <c:strRef>
              <c:f>'Laskenta tulopuoli 100_ENT'!$C$64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100_ENT'!$N$64:$N$67</c:f>
              <c:numCache>
                <c:formatCode>0.0</c:formatCode>
                <c:ptCount val="4"/>
                <c:pt idx="0">
                  <c:v>71.99636363636364</c:v>
                </c:pt>
                <c:pt idx="1">
                  <c:v>56.690000000000012</c:v>
                </c:pt>
                <c:pt idx="2">
                  <c:v>44.324545454545458</c:v>
                </c:pt>
                <c:pt idx="3">
                  <c:v>29.030909090909088</c:v>
                </c:pt>
              </c:numCache>
            </c:numRef>
          </c:xVal>
          <c:yVal>
            <c:numRef>
              <c:f>'Laskenta tulopuoli 100_ENT'!$O$64:$O$67</c:f>
              <c:numCache>
                <c:formatCode>0.0</c:formatCode>
                <c:ptCount val="4"/>
                <c:pt idx="0">
                  <c:v>67.703973728550324</c:v>
                </c:pt>
                <c:pt idx="1">
                  <c:v>67.260898795552592</c:v>
                </c:pt>
                <c:pt idx="2">
                  <c:v>67.765318576720148</c:v>
                </c:pt>
                <c:pt idx="3">
                  <c:v>67.64137602780049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B5-4BBF-B050-D77F183BAAD5}"/>
            </c:ext>
          </c:extLst>
        </c:ser>
        <c:ser>
          <c:idx val="2"/>
          <c:order val="2"/>
          <c:tx>
            <c:strRef>
              <c:f>'Laskenta tulopuoli 100_ENT'!$C$69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100_ENT'!$N$69:$N$72</c:f>
              <c:numCache>
                <c:formatCode>0.0</c:formatCode>
                <c:ptCount val="4"/>
                <c:pt idx="0">
                  <c:v>49.231818181818191</c:v>
                </c:pt>
                <c:pt idx="1">
                  <c:v>40.072727272727271</c:v>
                </c:pt>
                <c:pt idx="2">
                  <c:v>30.720000000000002</c:v>
                </c:pt>
                <c:pt idx="3">
                  <c:v>19.857272727272729</c:v>
                </c:pt>
              </c:numCache>
            </c:numRef>
          </c:xVal>
          <c:yVal>
            <c:numRef>
              <c:f>'Laskenta tulopuoli 100_ENT'!$O$69:$O$72</c:f>
              <c:numCache>
                <c:formatCode>0.0</c:formatCode>
                <c:ptCount val="4"/>
                <c:pt idx="0">
                  <c:v>60.990690037945541</c:v>
                </c:pt>
                <c:pt idx="1">
                  <c:v>60.942920884584417</c:v>
                </c:pt>
                <c:pt idx="2">
                  <c:v>61.016773499151313</c:v>
                </c:pt>
                <c:pt idx="3">
                  <c:v>60.158306495107098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B5-4BBF-B050-D77F183BAAD5}"/>
            </c:ext>
          </c:extLst>
        </c:ser>
        <c:ser>
          <c:idx val="3"/>
          <c:order val="3"/>
          <c:tx>
            <c:strRef>
              <c:f>'Laskenta tulopuoli 100_ENT'!$C$74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100_ENT'!$N$74:$N$77</c:f>
              <c:numCache>
                <c:formatCode>0.0</c:formatCode>
                <c:ptCount val="4"/>
                <c:pt idx="0">
                  <c:v>21.793636363636359</c:v>
                </c:pt>
                <c:pt idx="1">
                  <c:v>19.188181818181821</c:v>
                </c:pt>
                <c:pt idx="2">
                  <c:v>15.046363636363639</c:v>
                </c:pt>
                <c:pt idx="3">
                  <c:v>9.67090909090909</c:v>
                </c:pt>
              </c:numCache>
            </c:numRef>
          </c:xVal>
          <c:yVal>
            <c:numRef>
              <c:f>'Laskenta tulopuoli 100_ENT'!$O$74:$O$77</c:f>
              <c:numCache>
                <c:formatCode>0.0</c:formatCode>
                <c:ptCount val="4"/>
                <c:pt idx="0">
                  <c:v>49.813501297965026</c:v>
                </c:pt>
                <c:pt idx="1">
                  <c:v>50.04941091899903</c:v>
                </c:pt>
                <c:pt idx="2">
                  <c:v>49.468484079007489</c:v>
                </c:pt>
                <c:pt idx="3">
                  <c:v>48.329792466244619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7B5-4BBF-B050-D77F183BAAD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100_ENT'!$AC$34:$AC$37</c:f>
              <c:numCache>
                <c:formatCode>0.0</c:formatCode>
                <c:ptCount val="4"/>
                <c:pt idx="0">
                  <c:v>65.68073441363849</c:v>
                </c:pt>
                <c:pt idx="1">
                  <c:v>48.827620513530974</c:v>
                </c:pt>
                <c:pt idx="2">
                  <c:v>33.951434989495752</c:v>
                </c:pt>
                <c:pt idx="3">
                  <c:v>16.731414162833396</c:v>
                </c:pt>
              </c:numCache>
            </c:numRef>
          </c:xVal>
          <c:yVal>
            <c:numRef>
              <c:f>'Laskenta tulopuoli 100_ENT'!$AG$34:$AG$37</c:f>
              <c:numCache>
                <c:formatCode>0.0</c:formatCode>
                <c:ptCount val="4"/>
                <c:pt idx="0">
                  <c:v>73.446329924553979</c:v>
                </c:pt>
                <c:pt idx="1">
                  <c:v>67.502697274371826</c:v>
                </c:pt>
                <c:pt idx="2">
                  <c:v>60.99454181797703</c:v>
                </c:pt>
                <c:pt idx="3">
                  <c:v>49.767932382854006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7B5-4BBF-B050-D77F183BAAD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100_ENT'!$W$6</c:f>
              <c:numCache>
                <c:formatCode>0.0</c:formatCode>
                <c:ptCount val="1"/>
                <c:pt idx="0">
                  <c:v>61.958525024740858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7B5-4BBF-B050-D77F183BA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100_ENT'!$AI$36:$AI$38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tulopuoli 100_ENT'!$AJ$36:$AJ$38</c:f>
              <c:numCache>
                <c:formatCode>0.0</c:formatCode>
                <c:ptCount val="3"/>
                <c:pt idx="0">
                  <c:v>48.827620513530974</c:v>
                </c:pt>
                <c:pt idx="1">
                  <c:v>33.951434989495752</c:v>
                </c:pt>
                <c:pt idx="2">
                  <c:v>16.731414162833396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97-4EE5-A2D0-5C66197EF3F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tulopuoli 100_ENT'!$AJ$34:$AJ$35</c:f>
              <c:numCache>
                <c:formatCode>0.0</c:formatCode>
                <c:ptCount val="2"/>
                <c:pt idx="0">
                  <c:v>65.68073441363849</c:v>
                </c:pt>
                <c:pt idx="1">
                  <c:v>57.543640110864231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097-4EE5-A2D0-5C66197EF3F7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100_ENT'!$W$9</c:f>
              <c:numCache>
                <c:formatCode>0.0</c:formatCode>
                <c:ptCount val="1"/>
                <c:pt idx="0">
                  <c:v>5.0031425347573784</c:v>
                </c:pt>
              </c:numCache>
            </c:numRef>
          </c:xVal>
          <c:yVal>
            <c:numRef>
              <c:f>'Laskenta tulopuoli 100_ENT'!$J$3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097-4EE5-A2D0-5C66197EF3F7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100_ENT'!$AO$36</c:f>
              <c:numCache>
                <c:formatCode>0.0</c:formatCode>
                <c:ptCount val="1"/>
                <c:pt idx="0">
                  <c:v>5.7629238961820493</c:v>
                </c:pt>
              </c:numCache>
            </c:numRef>
          </c:xVal>
          <c:yVal>
            <c:numRef>
              <c:f>'Laskenta tulopuoli 100_ENT'!$AL$36</c:f>
              <c:numCache>
                <c:formatCode>0.0</c:formatCode>
                <c:ptCount val="1"/>
                <c:pt idx="0">
                  <c:v>41.666666666666664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097-4EE5-A2D0-5C66197EF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100_ENT'!$X$59:$X$66</c:f>
              <c:numCache>
                <c:formatCode>0.0</c:formatCode>
                <c:ptCount val="8"/>
                <c:pt idx="0">
                  <c:v>95.520909090909086</c:v>
                </c:pt>
                <c:pt idx="1">
                  <c:v>78.172727272727286</c:v>
                </c:pt>
                <c:pt idx="2">
                  <c:v>56.99727272727273</c:v>
                </c:pt>
                <c:pt idx="3">
                  <c:v>32.736363636363635</c:v>
                </c:pt>
                <c:pt idx="4">
                  <c:v>95.407272727272726</c:v>
                </c:pt>
                <c:pt idx="5">
                  <c:v>77.219090909090923</c:v>
                </c:pt>
                <c:pt idx="6">
                  <c:v>59.029999999999994</c:v>
                </c:pt>
                <c:pt idx="7">
                  <c:v>38.99818181818182</c:v>
                </c:pt>
              </c:numCache>
            </c:numRef>
          </c:xVal>
          <c:yVal>
            <c:numRef>
              <c:f>'Laskenta tulopuoli 100_ENT'!$Y$59:$Y$66</c:f>
              <c:numCache>
                <c:formatCode>0.0</c:formatCode>
                <c:ptCount val="8"/>
                <c:pt idx="0">
                  <c:v>106.65063291523533</c:v>
                </c:pt>
                <c:pt idx="1">
                  <c:v>95.448490538974724</c:v>
                </c:pt>
                <c:pt idx="2">
                  <c:v>80.537498818479889</c:v>
                </c:pt>
                <c:pt idx="3">
                  <c:v>66.133043858226713</c:v>
                </c:pt>
                <c:pt idx="4">
                  <c:v>106.19633938032837</c:v>
                </c:pt>
                <c:pt idx="5">
                  <c:v>91.725088498374021</c:v>
                </c:pt>
                <c:pt idx="6">
                  <c:v>82.855372720521331</c:v>
                </c:pt>
                <c:pt idx="7">
                  <c:v>69.415027502984827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55-410D-9416-C9FE2B5FB305}"/>
            </c:ext>
          </c:extLst>
        </c:ser>
        <c:ser>
          <c:idx val="1"/>
          <c:order val="1"/>
          <c:tx>
            <c:strRef>
              <c:f>'Laskenta tulopuoli 100_ENT'!$W$68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100_ENT'!$X$68:$X$74</c:f>
              <c:numCache>
                <c:formatCode>0.0</c:formatCode>
                <c:ptCount val="7"/>
                <c:pt idx="0">
                  <c:v>71.593636363636364</c:v>
                </c:pt>
                <c:pt idx="1">
                  <c:v>58.130909090909093</c:v>
                </c:pt>
                <c:pt idx="2">
                  <c:v>24.492727272727276</c:v>
                </c:pt>
                <c:pt idx="3">
                  <c:v>71.99636363636364</c:v>
                </c:pt>
                <c:pt idx="4">
                  <c:v>56.690000000000012</c:v>
                </c:pt>
                <c:pt idx="5">
                  <c:v>44.324545454545458</c:v>
                </c:pt>
                <c:pt idx="6">
                  <c:v>29.030909090909088</c:v>
                </c:pt>
              </c:numCache>
            </c:numRef>
          </c:xVal>
          <c:yVal>
            <c:numRef>
              <c:f>'Laskenta tulopuoli 100_ENT'!$Y$68:$Y$74</c:f>
              <c:numCache>
                <c:formatCode>0.0</c:formatCode>
                <c:ptCount val="7"/>
                <c:pt idx="0">
                  <c:v>52.194949899355123</c:v>
                </c:pt>
                <c:pt idx="1">
                  <c:v>45.464837323019012</c:v>
                </c:pt>
                <c:pt idx="2">
                  <c:v>32.090640557202242</c:v>
                </c:pt>
                <c:pt idx="3">
                  <c:v>52.536219188228884</c:v>
                </c:pt>
                <c:pt idx="4">
                  <c:v>43.668066011702436</c:v>
                </c:pt>
                <c:pt idx="5">
                  <c:v>38.977527480776331</c:v>
                </c:pt>
                <c:pt idx="6">
                  <c:v>33.518757421823459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E55-410D-9416-C9FE2B5FB305}"/>
            </c:ext>
          </c:extLst>
        </c:ser>
        <c:ser>
          <c:idx val="2"/>
          <c:order val="2"/>
          <c:tx>
            <c:strRef>
              <c:f>'Laskenta tulopuoli 100_ENT'!$W$76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100_ENT'!$X$76:$X$82</c:f>
              <c:numCache>
                <c:formatCode>0.0</c:formatCode>
                <c:ptCount val="7"/>
                <c:pt idx="0">
                  <c:v>48.453636363636363</c:v>
                </c:pt>
                <c:pt idx="1">
                  <c:v>39.006666666666668</c:v>
                </c:pt>
                <c:pt idx="2">
                  <c:v>17.136363636363637</c:v>
                </c:pt>
                <c:pt idx="3">
                  <c:v>49.231818181818191</c:v>
                </c:pt>
                <c:pt idx="4">
                  <c:v>40.072727272727271</c:v>
                </c:pt>
                <c:pt idx="5">
                  <c:v>30.720000000000002</c:v>
                </c:pt>
                <c:pt idx="6">
                  <c:v>19.857272727272729</c:v>
                </c:pt>
              </c:numCache>
            </c:numRef>
          </c:xVal>
          <c:yVal>
            <c:numRef>
              <c:f>'Laskenta tulopuoli 100_ENT'!$Y$76:$Y$82</c:f>
              <c:numCache>
                <c:formatCode>0.0</c:formatCode>
                <c:ptCount val="7"/>
                <c:pt idx="0">
                  <c:v>22.084999954212599</c:v>
                </c:pt>
                <c:pt idx="1">
                  <c:v>20.340828016323975</c:v>
                </c:pt>
                <c:pt idx="2">
                  <c:v>15.776092335456077</c:v>
                </c:pt>
                <c:pt idx="3">
                  <c:v>23.249163831892666</c:v>
                </c:pt>
                <c:pt idx="4">
                  <c:v>20.640400917798857</c:v>
                </c:pt>
                <c:pt idx="5">
                  <c:v>18.90122564173631</c:v>
                </c:pt>
                <c:pt idx="6">
                  <c:v>16.28554460898053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E55-410D-9416-C9FE2B5FB305}"/>
            </c:ext>
          </c:extLst>
        </c:ser>
        <c:ser>
          <c:idx val="3"/>
          <c:order val="3"/>
          <c:tx>
            <c:strRef>
              <c:f>'Laskenta tulopuoli 100_ENT'!$W$84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100_ENT'!$X$84:$X$90</c:f>
              <c:numCache>
                <c:formatCode>0.0</c:formatCode>
                <c:ptCount val="7"/>
                <c:pt idx="0">
                  <c:v>21.903636363636362</c:v>
                </c:pt>
                <c:pt idx="1">
                  <c:v>19.979090909090907</c:v>
                </c:pt>
                <c:pt idx="2">
                  <c:v>14.368181818181819</c:v>
                </c:pt>
                <c:pt idx="3">
                  <c:v>21.793636363636359</c:v>
                </c:pt>
                <c:pt idx="4">
                  <c:v>19.188181818181821</c:v>
                </c:pt>
                <c:pt idx="5">
                  <c:v>15.046363636363639</c:v>
                </c:pt>
                <c:pt idx="6">
                  <c:v>9.67090909090909</c:v>
                </c:pt>
              </c:numCache>
            </c:numRef>
          </c:xVal>
          <c:yVal>
            <c:numRef>
              <c:f>'Laskenta tulopuoli 100_ENT'!$Y$84:$Y$90</c:f>
              <c:numCache>
                <c:formatCode>0.0</c:formatCode>
                <c:ptCount val="7"/>
                <c:pt idx="0">
                  <c:v>6.6132263513281977</c:v>
                </c:pt>
                <c:pt idx="1">
                  <c:v>6.6144485250853018</c:v>
                </c:pt>
                <c:pt idx="2">
                  <c:v>6.0285714153053958</c:v>
                </c:pt>
                <c:pt idx="3">
                  <c:v>6.6531657966354825</c:v>
                </c:pt>
                <c:pt idx="4">
                  <c:v>6.4972963143468565</c:v>
                </c:pt>
                <c:pt idx="5">
                  <c:v>6.237904494197366</c:v>
                </c:pt>
                <c:pt idx="6">
                  <c:v>5.7652596451523648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E55-410D-9416-C9FE2B5FB30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100_ENT'!$AC$34:$AC$38</c:f>
              <c:numCache>
                <c:formatCode>0.0</c:formatCode>
                <c:ptCount val="5"/>
                <c:pt idx="0">
                  <c:v>65.68073441363849</c:v>
                </c:pt>
                <c:pt idx="1">
                  <c:v>48.827620513530974</c:v>
                </c:pt>
                <c:pt idx="2">
                  <c:v>33.951434989495752</c:v>
                </c:pt>
                <c:pt idx="3">
                  <c:v>16.731414162833396</c:v>
                </c:pt>
              </c:numCache>
            </c:numRef>
          </c:xVal>
          <c:yVal>
            <c:numRef>
              <c:f>'Laskenta tulopuoli 100_ENT'!$AE$34:$AE$37</c:f>
              <c:numCache>
                <c:formatCode>0.0</c:formatCode>
                <c:ptCount val="4"/>
                <c:pt idx="0">
                  <c:v>86.126456995977861</c:v>
                </c:pt>
                <c:pt idx="1">
                  <c:v>40.701982031288438</c:v>
                </c:pt>
                <c:pt idx="2">
                  <c:v>19.365385937716219</c:v>
                </c:pt>
                <c:pt idx="3">
                  <c:v>6.3119945496939174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E55-410D-9416-C9FE2B5FB30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100_ENT'!$W$13</c:f>
              <c:numCache>
                <c:formatCode>0.0</c:formatCode>
                <c:ptCount val="1"/>
                <c:pt idx="0">
                  <c:v>18.882880930027859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E55-410D-9416-C9FE2B5FB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100_ENT'!$AA$4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100_ENT'!$AB$6:$AB$12</c:f>
              <c:numCache>
                <c:formatCode>0.0</c:formatCode>
                <c:ptCount val="7"/>
                <c:pt idx="0">
                  <c:v>105.55992375280067</c:v>
                </c:pt>
                <c:pt idx="1">
                  <c:v>91.334084830633799</c:v>
                </c:pt>
                <c:pt idx="2">
                  <c:v>79.861474107511413</c:v>
                </c:pt>
                <c:pt idx="3">
                  <c:v>69.154705393973089</c:v>
                </c:pt>
                <c:pt idx="4">
                  <c:v>55.301465600422567</c:v>
                </c:pt>
                <c:pt idx="5">
                  <c:v>39.334311694441077</c:v>
                </c:pt>
                <c:pt idx="6">
                  <c:v>36.814967342900474</c:v>
                </c:pt>
              </c:numCache>
            </c:numRef>
          </c:xVal>
          <c:yVal>
            <c:numRef>
              <c:f>'Laskenta tulopuoli 100_ENT'!$AA$6:$AA$12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33-44FD-9C87-2057B27222B6}"/>
            </c:ext>
          </c:extLst>
        </c:ser>
        <c:ser>
          <c:idx val="1"/>
          <c:order val="1"/>
          <c:tx>
            <c:strRef>
              <c:f>'Laskenta tulopuoli 100_ENT'!$AC$4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100_ENT'!$AD$6:$AD$12</c:f>
              <c:numCache>
                <c:formatCode>0.0</c:formatCode>
                <c:ptCount val="7"/>
                <c:pt idx="0">
                  <c:v>80.704641716435873</c:v>
                </c:pt>
                <c:pt idx="1">
                  <c:v>73.838694391688321</c:v>
                </c:pt>
                <c:pt idx="2">
                  <c:v>61.665564184927057</c:v>
                </c:pt>
                <c:pt idx="3">
                  <c:v>48.356228284154241</c:v>
                </c:pt>
                <c:pt idx="4">
                  <c:v>42.633564679818207</c:v>
                </c:pt>
                <c:pt idx="5">
                  <c:v>36.633999759441082</c:v>
                </c:pt>
                <c:pt idx="6">
                  <c:v>27.014459006801598</c:v>
                </c:pt>
              </c:numCache>
            </c:numRef>
          </c:xVal>
          <c:yVal>
            <c:numRef>
              <c:f>'Laskenta tulopuoli 100_ENT'!$AC$6:$AC$12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633-44FD-9C87-2057B27222B6}"/>
            </c:ext>
          </c:extLst>
        </c:ser>
        <c:ser>
          <c:idx val="2"/>
          <c:order val="2"/>
          <c:tx>
            <c:strRef>
              <c:f>'Laskenta tulopuoli 100_ENT'!$AE$4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100_ENT'!$AF$6:$AF$11</c:f>
              <c:numCache>
                <c:formatCode>0.0</c:formatCode>
                <c:ptCount val="6"/>
                <c:pt idx="0">
                  <c:v>54.339001915022031</c:v>
                </c:pt>
                <c:pt idx="1">
                  <c:v>44.807769064929076</c:v>
                </c:pt>
                <c:pt idx="2">
                  <c:v>38.065608935044438</c:v>
                </c:pt>
                <c:pt idx="3">
                  <c:v>30.953738781884212</c:v>
                </c:pt>
                <c:pt idx="4">
                  <c:v>23.403717201633526</c:v>
                </c:pt>
                <c:pt idx="5">
                  <c:v>19.436728566723829</c:v>
                </c:pt>
              </c:numCache>
            </c:numRef>
          </c:xVal>
          <c:yVal>
            <c:numRef>
              <c:f>'Laskenta tulopuoli 100_ENT'!$AE$6:$AE$11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633-44FD-9C87-2057B27222B6}"/>
            </c:ext>
          </c:extLst>
        </c:ser>
        <c:ser>
          <c:idx val="3"/>
          <c:order val="3"/>
          <c:tx>
            <c:strRef>
              <c:f>'Laskenta tulopuoli 100_ENT'!$AG$4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100_ENT'!$AH$6:$AH$10</c:f>
              <c:numCache>
                <c:formatCode>0.0</c:formatCode>
                <c:ptCount val="5"/>
                <c:pt idx="0">
                  <c:v>20.411043893478237</c:v>
                </c:pt>
                <c:pt idx="1">
                  <c:v>15.414623288200497</c:v>
                </c:pt>
                <c:pt idx="2">
                  <c:v>12.814599421780468</c:v>
                </c:pt>
                <c:pt idx="3">
                  <c:v>10.138839913756215</c:v>
                </c:pt>
                <c:pt idx="4">
                  <c:v>7.9390146933981729</c:v>
                </c:pt>
              </c:numCache>
            </c:numRef>
          </c:xVal>
          <c:yVal>
            <c:numRef>
              <c:f>'Laskenta tulopuoli 100_ENT'!$AG$6:$AG$10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633-44FD-9C87-2057B27222B6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100_ENT'!$L$3</c:f>
              <c:numCache>
                <c:formatCode>0.0</c:formatCode>
                <c:ptCount val="1"/>
                <c:pt idx="0">
                  <c:v>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633-44FD-9C87-2057B27222B6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100_ENT'!$AC$34:$AC$37</c:f>
              <c:numCache>
                <c:formatCode>0.0</c:formatCode>
                <c:ptCount val="4"/>
                <c:pt idx="0">
                  <c:v>65.68073441363849</c:v>
                </c:pt>
                <c:pt idx="1">
                  <c:v>48.827620513530974</c:v>
                </c:pt>
                <c:pt idx="2">
                  <c:v>33.951434989495752</c:v>
                </c:pt>
                <c:pt idx="3">
                  <c:v>16.731414162833396</c:v>
                </c:pt>
              </c:numCache>
            </c:numRef>
          </c:xVal>
          <c:yVal>
            <c:numRef>
              <c:f>'Laskenta tulopuoli 100_ENT'!$AD$34:$AD$37</c:f>
              <c:numCache>
                <c:formatCode>0.0</c:formatCode>
                <c:ptCount val="4"/>
                <c:pt idx="0">
                  <c:v>268.36275357873274</c:v>
                </c:pt>
                <c:pt idx="1">
                  <c:v>148.31236494803295</c:v>
                </c:pt>
                <c:pt idx="2">
                  <c:v>71.707157733521285</c:v>
                </c:pt>
                <c:pt idx="3">
                  <c:v>17.41452119880902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633-44FD-9C87-2057B2722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100_ENT'!$D$59:$D$62</c:f>
              <c:numCache>
                <c:formatCode>0.0</c:formatCode>
                <c:ptCount val="4"/>
                <c:pt idx="0">
                  <c:v>107.47020000000001</c:v>
                </c:pt>
                <c:pt idx="1">
                  <c:v>97.16458181818183</c:v>
                </c:pt>
                <c:pt idx="2">
                  <c:v>77.45038181818181</c:v>
                </c:pt>
                <c:pt idx="3">
                  <c:v>55.766072727272736</c:v>
                </c:pt>
              </c:numCache>
            </c:numRef>
          </c:xVal>
          <c:yVal>
            <c:numRef>
              <c:f>'Laskenta poistopuoli 100_ENT'!$E$59:$E$62</c:f>
              <c:numCache>
                <c:formatCode>0.0</c:formatCode>
                <c:ptCount val="4"/>
                <c:pt idx="0">
                  <c:v>61.13403135247551</c:v>
                </c:pt>
                <c:pt idx="1">
                  <c:v>61.463135764555233</c:v>
                </c:pt>
                <c:pt idx="2">
                  <c:v>62.476142119666449</c:v>
                </c:pt>
                <c:pt idx="3">
                  <c:v>62.786941941504857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2E-4E5C-9408-EE063A1F899A}"/>
            </c:ext>
          </c:extLst>
        </c:ser>
        <c:ser>
          <c:idx val="1"/>
          <c:order val="1"/>
          <c:tx>
            <c:strRef>
              <c:f>'Laskenta poistopuoli 100_ENT'!$C$64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100_ENT'!$D$64:$D$67</c:f>
              <c:numCache>
                <c:formatCode>0.0</c:formatCode>
                <c:ptCount val="4"/>
                <c:pt idx="0">
                  <c:v>85.219390909090919</c:v>
                </c:pt>
                <c:pt idx="1">
                  <c:v>75.308918181818171</c:v>
                </c:pt>
                <c:pt idx="2">
                  <c:v>59.091099999999997</c:v>
                </c:pt>
                <c:pt idx="3">
                  <c:v>42.177563636363637</c:v>
                </c:pt>
              </c:numCache>
            </c:numRef>
          </c:xVal>
          <c:yVal>
            <c:numRef>
              <c:f>'Laskenta poistopuoli 100_ENT'!$E$64:$E$67</c:f>
              <c:numCache>
                <c:formatCode>0.0</c:formatCode>
                <c:ptCount val="4"/>
                <c:pt idx="0">
                  <c:v>56.226832789947956</c:v>
                </c:pt>
                <c:pt idx="1">
                  <c:v>56.986921976424952</c:v>
                </c:pt>
                <c:pt idx="2">
                  <c:v>56.387195431614472</c:v>
                </c:pt>
                <c:pt idx="3">
                  <c:v>56.610398713632122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42E-4E5C-9408-EE063A1F899A}"/>
            </c:ext>
          </c:extLst>
        </c:ser>
        <c:ser>
          <c:idx val="2"/>
          <c:order val="2"/>
          <c:tx>
            <c:strRef>
              <c:f>'Laskenta poistopuoli 100_ENT'!$C$69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100_ENT'!$D$69:$D$72</c:f>
              <c:numCache>
                <c:formatCode>0.0</c:formatCode>
                <c:ptCount val="4"/>
                <c:pt idx="0">
                  <c:v>59.232490909090913</c:v>
                </c:pt>
                <c:pt idx="1">
                  <c:v>52.589927272727273</c:v>
                </c:pt>
                <c:pt idx="2">
                  <c:v>42.68132727272728</c:v>
                </c:pt>
                <c:pt idx="3">
                  <c:v>31.091018181818189</c:v>
                </c:pt>
              </c:numCache>
            </c:numRef>
          </c:xVal>
          <c:yVal>
            <c:numRef>
              <c:f>'Laskenta poistopuoli 100_ENT'!$E$69:$E$72</c:f>
              <c:numCache>
                <c:formatCode>0.0</c:formatCode>
                <c:ptCount val="4"/>
                <c:pt idx="0">
                  <c:v>49.375419806217764</c:v>
                </c:pt>
                <c:pt idx="1">
                  <c:v>50.547867733453664</c:v>
                </c:pt>
                <c:pt idx="2">
                  <c:v>49.836422150407898</c:v>
                </c:pt>
                <c:pt idx="3">
                  <c:v>49.141774046972884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42E-4E5C-9408-EE063A1F899A}"/>
            </c:ext>
          </c:extLst>
        </c:ser>
        <c:ser>
          <c:idx val="3"/>
          <c:order val="3"/>
          <c:tx>
            <c:strRef>
              <c:f>'Laskenta poistopuoli 100_ENT'!$C$74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100_ENT'!$D$74:$D$77</c:f>
              <c:numCache>
                <c:formatCode>0.0</c:formatCode>
                <c:ptCount val="4"/>
                <c:pt idx="0">
                  <c:v>31.706209090909095</c:v>
                </c:pt>
                <c:pt idx="1">
                  <c:v>26.826818181818176</c:v>
                </c:pt>
                <c:pt idx="2">
                  <c:v>21.224554545454549</c:v>
                </c:pt>
                <c:pt idx="3">
                  <c:v>16.087663636363636</c:v>
                </c:pt>
              </c:numCache>
            </c:numRef>
          </c:xVal>
          <c:yVal>
            <c:numRef>
              <c:f>'Laskenta poistopuoli 100_ENT'!$E$74:$E$77</c:f>
              <c:numCache>
                <c:formatCode>0.0</c:formatCode>
                <c:ptCount val="4"/>
                <c:pt idx="0">
                  <c:v>38.574210349979992</c:v>
                </c:pt>
                <c:pt idx="1">
                  <c:v>39.350744205332788</c:v>
                </c:pt>
                <c:pt idx="2">
                  <c:v>37.7927756489185</c:v>
                </c:pt>
                <c:pt idx="3">
                  <c:v>37.346744413222602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42E-4E5C-9408-EE063A1F899A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2E-4E5C-9408-EE063A1F899A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42E-4E5C-9408-EE063A1F899A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100_ENT'!$AC$34:$AC$37</c:f>
              <c:numCache>
                <c:formatCode>0.0</c:formatCode>
                <c:ptCount val="4"/>
                <c:pt idx="0">
                  <c:v>67.021037831114924</c:v>
                </c:pt>
                <c:pt idx="1">
                  <c:v>51.119498526276722</c:v>
                </c:pt>
                <c:pt idx="2">
                  <c:v>36.633098774100091</c:v>
                </c:pt>
                <c:pt idx="3">
                  <c:v>18.725587349549915</c:v>
                </c:pt>
              </c:numCache>
            </c:numRef>
          </c:xVal>
          <c:yVal>
            <c:numRef>
              <c:f>'Laskenta poistopuoli 100_ENT'!$AF$34:$AF$37</c:f>
              <c:numCache>
                <c:formatCode>0.0</c:formatCode>
                <c:ptCount val="4"/>
                <c:pt idx="0">
                  <c:v>62.644005047994796</c:v>
                </c:pt>
                <c:pt idx="1">
                  <c:v>56.639364925438649</c:v>
                </c:pt>
                <c:pt idx="2">
                  <c:v>49.738275987667514</c:v>
                </c:pt>
                <c:pt idx="3">
                  <c:v>37.818332224258718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42E-4E5C-9408-EE063A1F899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100_ENT'!$W$5</c:f>
              <c:numCache>
                <c:formatCode>0.0</c:formatCode>
                <c:ptCount val="1"/>
                <c:pt idx="0">
                  <c:v>49.386974053205257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42E-4E5C-9408-EE063A1F8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100_ENT'!$N$59:$N$62</c:f>
              <c:numCache>
                <c:formatCode>0.0</c:formatCode>
                <c:ptCount val="4"/>
                <c:pt idx="0">
                  <c:v>104.62084545454545</c:v>
                </c:pt>
                <c:pt idx="1">
                  <c:v>87.716672727272737</c:v>
                </c:pt>
                <c:pt idx="2">
                  <c:v>60.068663636363638</c:v>
                </c:pt>
                <c:pt idx="3">
                  <c:v>38.46300909090909</c:v>
                </c:pt>
              </c:numCache>
            </c:numRef>
          </c:xVal>
          <c:yVal>
            <c:numRef>
              <c:f>'Laskenta poistopuoli 100_ENT'!$O$59:$O$62</c:f>
              <c:numCache>
                <c:formatCode>0.0</c:formatCode>
                <c:ptCount val="4"/>
                <c:pt idx="0">
                  <c:v>73.349403929077283</c:v>
                </c:pt>
                <c:pt idx="1">
                  <c:v>73.586568674570273</c:v>
                </c:pt>
                <c:pt idx="2">
                  <c:v>74.903691388935115</c:v>
                </c:pt>
                <c:pt idx="3">
                  <c:v>74.98237026058645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E6-4503-AFB6-7CD06A85ED13}"/>
            </c:ext>
          </c:extLst>
        </c:ser>
        <c:ser>
          <c:idx val="1"/>
          <c:order val="1"/>
          <c:tx>
            <c:strRef>
              <c:f>'Laskenta poistopuoli 100_ENT'!$C$64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100_ENT'!$N$64:$N$67</c:f>
              <c:numCache>
                <c:formatCode>0.0</c:formatCode>
                <c:ptCount val="4"/>
                <c:pt idx="0">
                  <c:v>81.794172727272723</c:v>
                </c:pt>
                <c:pt idx="1">
                  <c:v>68.961309090909083</c:v>
                </c:pt>
                <c:pt idx="2">
                  <c:v>46.599072727272727</c:v>
                </c:pt>
                <c:pt idx="3">
                  <c:v>29.631227272727273</c:v>
                </c:pt>
              </c:numCache>
            </c:numRef>
          </c:xVal>
          <c:yVal>
            <c:numRef>
              <c:f>'Laskenta poistopuoli 100_ENT'!$O$64:$O$67</c:f>
              <c:numCache>
                <c:formatCode>0.0</c:formatCode>
                <c:ptCount val="4"/>
                <c:pt idx="0">
                  <c:v>68.625830013402279</c:v>
                </c:pt>
                <c:pt idx="1">
                  <c:v>68.692809828117717</c:v>
                </c:pt>
                <c:pt idx="2">
                  <c:v>69.362565246831508</c:v>
                </c:pt>
                <c:pt idx="3">
                  <c:v>69.325721365716447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CE6-4503-AFB6-7CD06A85ED13}"/>
            </c:ext>
          </c:extLst>
        </c:ser>
        <c:ser>
          <c:idx val="2"/>
          <c:order val="2"/>
          <c:tx>
            <c:strRef>
              <c:f>'Laskenta poistopuoli 100_ENT'!$C$69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100_ENT'!$N$69:$N$72</c:f>
              <c:numCache>
                <c:formatCode>0.0</c:formatCode>
                <c:ptCount val="4"/>
                <c:pt idx="0">
                  <c:v>57.921581818181828</c:v>
                </c:pt>
                <c:pt idx="1">
                  <c:v>49.687200000000004</c:v>
                </c:pt>
                <c:pt idx="2">
                  <c:v>33.798045454545452</c:v>
                </c:pt>
                <c:pt idx="3">
                  <c:v>21.24609090909091</c:v>
                </c:pt>
              </c:numCache>
            </c:numRef>
          </c:xVal>
          <c:yVal>
            <c:numRef>
              <c:f>'Laskenta poistopuoli 100_ENT'!$O$69:$O$72</c:f>
              <c:numCache>
                <c:formatCode>0.0</c:formatCode>
                <c:ptCount val="4"/>
                <c:pt idx="0">
                  <c:v>62.212651636773103</c:v>
                </c:pt>
                <c:pt idx="1">
                  <c:v>62.579738505250276</c:v>
                </c:pt>
                <c:pt idx="2">
                  <c:v>62.978561224871314</c:v>
                </c:pt>
                <c:pt idx="3">
                  <c:v>62.520601425604632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CE6-4503-AFB6-7CD06A85ED13}"/>
            </c:ext>
          </c:extLst>
        </c:ser>
        <c:ser>
          <c:idx val="3"/>
          <c:order val="3"/>
          <c:tx>
            <c:strRef>
              <c:f>'Laskenta poistopuoli 100_ENT'!$C$74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100_ENT'!$N$74:$N$77</c:f>
              <c:numCache>
                <c:formatCode>0.0</c:formatCode>
                <c:ptCount val="4"/>
                <c:pt idx="0">
                  <c:v>28.261327272727272</c:v>
                </c:pt>
                <c:pt idx="1">
                  <c:v>23.704045454545458</c:v>
                </c:pt>
                <c:pt idx="2">
                  <c:v>16.993127272727271</c:v>
                </c:pt>
                <c:pt idx="3">
                  <c:v>11.464836363636362</c:v>
                </c:pt>
              </c:numCache>
            </c:numRef>
          </c:xVal>
          <c:yVal>
            <c:numRef>
              <c:f>'Laskenta poistopuoli 100_ENT'!$O$74:$O$77</c:f>
              <c:numCache>
                <c:formatCode>0.0</c:formatCode>
                <c:ptCount val="4"/>
                <c:pt idx="0">
                  <c:v>50.304556178333428</c:v>
                </c:pt>
                <c:pt idx="1">
                  <c:v>50.910345390046182</c:v>
                </c:pt>
                <c:pt idx="2">
                  <c:v>50.609911956999383</c:v>
                </c:pt>
                <c:pt idx="3">
                  <c:v>49.874271233326027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CE6-4503-AFB6-7CD06A85ED13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100_ENT'!$AC$34:$AC$37</c:f>
              <c:numCache>
                <c:formatCode>0.0</c:formatCode>
                <c:ptCount val="4"/>
                <c:pt idx="0">
                  <c:v>67.021037831114924</c:v>
                </c:pt>
                <c:pt idx="1">
                  <c:v>51.119498526276722</c:v>
                </c:pt>
                <c:pt idx="2">
                  <c:v>36.633098774100091</c:v>
                </c:pt>
                <c:pt idx="3">
                  <c:v>18.725587349549915</c:v>
                </c:pt>
              </c:numCache>
            </c:numRef>
          </c:xVal>
          <c:yVal>
            <c:numRef>
              <c:f>'Laskenta poistopuoli 100_ENT'!$AG$34:$AG$37</c:f>
              <c:numCache>
                <c:formatCode>0.0</c:formatCode>
                <c:ptCount val="4"/>
                <c:pt idx="0">
                  <c:v>74.491984111439152</c:v>
                </c:pt>
                <c:pt idx="1">
                  <c:v>69.167460992575258</c:v>
                </c:pt>
                <c:pt idx="2">
                  <c:v>62.936979150699045</c:v>
                </c:pt>
                <c:pt idx="3">
                  <c:v>50.818855386610061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CE6-4503-AFB6-7CD06A85ED13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100_ENT'!$W$6</c:f>
              <c:numCache>
                <c:formatCode>0.0</c:formatCode>
                <c:ptCount val="1"/>
                <c:pt idx="0">
                  <c:v>62.131109456119262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CE6-4503-AFB6-7CD06A85E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100_ENT'!$AI$36:$AI$38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poistopuoli 100_ENT'!$AJ$36:$AJ$38</c:f>
              <c:numCache>
                <c:formatCode>0.0</c:formatCode>
                <c:ptCount val="3"/>
                <c:pt idx="0">
                  <c:v>51.119498526276722</c:v>
                </c:pt>
                <c:pt idx="1">
                  <c:v>36.633098774100091</c:v>
                </c:pt>
                <c:pt idx="2">
                  <c:v>18.725587349549915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18-4A78-9060-B2CE7F9D4FC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poistopuoli 100_ENT'!$AJ$34:$AJ$35</c:f>
              <c:numCache>
                <c:formatCode>0.0</c:formatCode>
                <c:ptCount val="2"/>
                <c:pt idx="0">
                  <c:v>67.021037831114924</c:v>
                </c:pt>
                <c:pt idx="1">
                  <c:v>60.13032268091743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18-4A78-9060-B2CE7F9D4FCA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100_ENT'!$W$9</c:f>
              <c:numCache>
                <c:formatCode>0.0</c:formatCode>
                <c:ptCount val="1"/>
                <c:pt idx="0">
                  <c:v>4.7499370969529489</c:v>
                </c:pt>
              </c:numCache>
            </c:numRef>
          </c:xVal>
          <c:yVal>
            <c:numRef>
              <c:f>'Laskenta poistopuoli 100_ENT'!$J$3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818-4A78-9060-B2CE7F9D4FCA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100_ENT'!$AO$36</c:f>
              <c:numCache>
                <c:formatCode>0.0</c:formatCode>
                <c:ptCount val="1"/>
                <c:pt idx="0">
                  <c:v>5.5015737287422501</c:v>
                </c:pt>
              </c:numCache>
            </c:numRef>
          </c:xVal>
          <c:yVal>
            <c:numRef>
              <c:f>'Laskenta poistopuoli 100_ENT'!$AL$36</c:f>
              <c:numCache>
                <c:formatCode>0.0</c:formatCode>
                <c:ptCount val="1"/>
                <c:pt idx="0">
                  <c:v>41.666666666666664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818-4A78-9060-B2CE7F9D4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Suodattimet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3475409011373578"/>
                  <c:y val="-4.1666666666666669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C5'!$BG$9:$BG$13</c:f>
              <c:numCache>
                <c:formatCode>0.0</c:formatCode>
                <c:ptCount val="5"/>
                <c:pt idx="0">
                  <c:v>616.19844494351491</c:v>
                </c:pt>
                <c:pt idx="1">
                  <c:v>589.81331595633981</c:v>
                </c:pt>
                <c:pt idx="2">
                  <c:v>398.23114566001288</c:v>
                </c:pt>
                <c:pt idx="3">
                  <c:v>279.75020595412758</c:v>
                </c:pt>
                <c:pt idx="4">
                  <c:v>152.44227895465414</c:v>
                </c:pt>
              </c:numCache>
            </c:numRef>
          </c:xVal>
          <c:yVal>
            <c:numRef>
              <c:f>'Laskenta tulopuoli C5'!$BH$9:$BH$13</c:f>
              <c:numCache>
                <c:formatCode>0.0</c:formatCode>
                <c:ptCount val="5"/>
                <c:pt idx="0">
                  <c:v>144.333</c:v>
                </c:pt>
                <c:pt idx="1">
                  <c:v>138.11699999999999</c:v>
                </c:pt>
                <c:pt idx="2">
                  <c:v>82.931000000000012</c:v>
                </c:pt>
                <c:pt idx="3">
                  <c:v>53.301000000000002</c:v>
                </c:pt>
                <c:pt idx="4">
                  <c:v>25.874000000000002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33-4575-99E6-015AEF2B91A6}"/>
            </c:ext>
          </c:extLst>
        </c:ser>
        <c:ser>
          <c:idx val="1"/>
          <c:order val="1"/>
          <c:tx>
            <c:strRef>
              <c:f>'Laskenta tulopuoli C5'!$BJ$7</c:f>
              <c:strCache>
                <c:ptCount val="1"/>
                <c:pt idx="0">
                  <c:v>ePM 65% F7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1798510498687664"/>
                  <c:y val="-0.1184700349956255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C5'!$BJ$9:$BJ$17</c:f>
              <c:numCache>
                <c:formatCode>0.0</c:formatCode>
                <c:ptCount val="9"/>
                <c:pt idx="0">
                  <c:v>92.715984398123922</c:v>
                </c:pt>
                <c:pt idx="1">
                  <c:v>153.8436504885284</c:v>
                </c:pt>
                <c:pt idx="2">
                  <c:v>253.42738758866832</c:v>
                </c:pt>
                <c:pt idx="3">
                  <c:v>324.46714326457584</c:v>
                </c:pt>
                <c:pt idx="4">
                  <c:v>388.88146120155363</c:v>
                </c:pt>
                <c:pt idx="5">
                  <c:v>435.03170293522749</c:v>
                </c:pt>
                <c:pt idx="6">
                  <c:v>483.29235357810359</c:v>
                </c:pt>
                <c:pt idx="7">
                  <c:v>528.55687778939728</c:v>
                </c:pt>
                <c:pt idx="8">
                  <c:v>551.9146958158334</c:v>
                </c:pt>
              </c:numCache>
            </c:numRef>
          </c:xVal>
          <c:yVal>
            <c:numRef>
              <c:f>'Laskenta tulopuoli C5'!$BK$9:$BK$17</c:f>
              <c:numCache>
                <c:formatCode>0.0</c:formatCode>
                <c:ptCount val="9"/>
                <c:pt idx="0">
                  <c:v>11.728</c:v>
                </c:pt>
                <c:pt idx="1">
                  <c:v>19.863000000000003</c:v>
                </c:pt>
                <c:pt idx="2">
                  <c:v>34.451000000000001</c:v>
                </c:pt>
                <c:pt idx="3">
                  <c:v>44.194000000000003</c:v>
                </c:pt>
                <c:pt idx="4">
                  <c:v>54.279999999999994</c:v>
                </c:pt>
                <c:pt idx="5">
                  <c:v>61.194999999999993</c:v>
                </c:pt>
                <c:pt idx="6">
                  <c:v>69.11699999999999</c:v>
                </c:pt>
                <c:pt idx="7">
                  <c:v>77.183000000000007</c:v>
                </c:pt>
                <c:pt idx="8">
                  <c:v>81.073999999999998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33-4575-99E6-015AEF2B91A6}"/>
            </c:ext>
          </c:extLst>
        </c:ser>
        <c:ser>
          <c:idx val="2"/>
          <c:order val="2"/>
          <c:tx>
            <c:strRef>
              <c:f>'Laskenta tulopuoli C5'!$BM$7</c:f>
              <c:strCache>
                <c:ptCount val="1"/>
                <c:pt idx="0">
                  <c:v>ePM10 50% M5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0.23266010498687664"/>
                  <c:y val="-9.681722076407116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C5'!$BM$9:$BM$13</c:f>
              <c:numCache>
                <c:formatCode>0.0</c:formatCode>
                <c:ptCount val="5"/>
                <c:pt idx="0">
                  <c:v>147.37290418265499</c:v>
                </c:pt>
                <c:pt idx="1">
                  <c:v>238.16859601854648</c:v>
                </c:pt>
                <c:pt idx="2">
                  <c:v>349.7764409051448</c:v>
                </c:pt>
                <c:pt idx="3">
                  <c:v>409.0468858558321</c:v>
                </c:pt>
                <c:pt idx="4">
                  <c:v>498.8209699968836</c:v>
                </c:pt>
              </c:numCache>
            </c:numRef>
          </c:xVal>
          <c:yVal>
            <c:numRef>
              <c:f>'Laskenta tulopuoli C5'!$BN$9:$BN$13</c:f>
              <c:numCache>
                <c:formatCode>0.0</c:formatCode>
                <c:ptCount val="5"/>
                <c:pt idx="0">
                  <c:v>5.5680000000000005</c:v>
                </c:pt>
                <c:pt idx="1">
                  <c:v>9.8779999999999983</c:v>
                </c:pt>
                <c:pt idx="2">
                  <c:v>16.643000000000001</c:v>
                </c:pt>
                <c:pt idx="3">
                  <c:v>20.114999999999998</c:v>
                </c:pt>
                <c:pt idx="4">
                  <c:v>26.437999999999999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33-4575-99E6-015AEF2B9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911056"/>
        <c:axId val="63909616"/>
      </c:scatterChart>
      <c:valAx>
        <c:axId val="63911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909616"/>
        <c:crosses val="autoZero"/>
        <c:crossBetween val="midCat"/>
      </c:valAx>
      <c:valAx>
        <c:axId val="6390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911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100_ENT'!$X$59:$X$66</c:f>
              <c:numCache>
                <c:formatCode>0.0</c:formatCode>
                <c:ptCount val="8"/>
                <c:pt idx="0">
                  <c:v>107.47020000000001</c:v>
                </c:pt>
                <c:pt idx="1">
                  <c:v>97.16458181818183</c:v>
                </c:pt>
                <c:pt idx="2">
                  <c:v>77.45038181818181</c:v>
                </c:pt>
                <c:pt idx="3">
                  <c:v>55.766072727272736</c:v>
                </c:pt>
                <c:pt idx="4">
                  <c:v>104.62084545454545</c:v>
                </c:pt>
                <c:pt idx="5">
                  <c:v>87.716672727272737</c:v>
                </c:pt>
                <c:pt idx="6">
                  <c:v>60.068663636363638</c:v>
                </c:pt>
                <c:pt idx="7">
                  <c:v>38.46300909090909</c:v>
                </c:pt>
              </c:numCache>
            </c:numRef>
          </c:xVal>
          <c:yVal>
            <c:numRef>
              <c:f>'Laskenta poistopuoli 100_ENT'!$Y$59:$Y$66</c:f>
              <c:numCache>
                <c:formatCode>0.0</c:formatCode>
                <c:ptCount val="8"/>
                <c:pt idx="0">
                  <c:v>116.62868994636517</c:v>
                </c:pt>
                <c:pt idx="1">
                  <c:v>107.89046746765455</c:v>
                </c:pt>
                <c:pt idx="2">
                  <c:v>92.233101144109327</c:v>
                </c:pt>
                <c:pt idx="3">
                  <c:v>76.472486133861551</c:v>
                </c:pt>
                <c:pt idx="4">
                  <c:v>117.15166181231858</c:v>
                </c:pt>
                <c:pt idx="5">
                  <c:v>108.25149905730171</c:v>
                </c:pt>
                <c:pt idx="6">
                  <c:v>88.100138396815751</c:v>
                </c:pt>
                <c:pt idx="7">
                  <c:v>75.666190479058542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09-4F35-81A2-50CD7C50B41F}"/>
            </c:ext>
          </c:extLst>
        </c:ser>
        <c:ser>
          <c:idx val="1"/>
          <c:order val="1"/>
          <c:tx>
            <c:strRef>
              <c:f>'Laskenta poistopuoli 100_ENT'!$W$68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100_ENT'!$X$68:$X$74</c:f>
              <c:numCache>
                <c:formatCode>0.0</c:formatCode>
                <c:ptCount val="7"/>
                <c:pt idx="0">
                  <c:v>85.219390909090919</c:v>
                </c:pt>
                <c:pt idx="1">
                  <c:v>75.308918181818171</c:v>
                </c:pt>
                <c:pt idx="2">
                  <c:v>42.177563636363637</c:v>
                </c:pt>
                <c:pt idx="3">
                  <c:v>81.794172727272723</c:v>
                </c:pt>
                <c:pt idx="4">
                  <c:v>68.961309090909083</c:v>
                </c:pt>
                <c:pt idx="5">
                  <c:v>46.599072727272727</c:v>
                </c:pt>
                <c:pt idx="6">
                  <c:v>29.631227272727273</c:v>
                </c:pt>
              </c:numCache>
            </c:numRef>
          </c:xVal>
          <c:yVal>
            <c:numRef>
              <c:f>'Laskenta poistopuoli 100_ENT'!$Y$68:$Y$74</c:f>
              <c:numCache>
                <c:formatCode>0.0</c:formatCode>
                <c:ptCount val="7"/>
                <c:pt idx="0">
                  <c:v>60.577810396612868</c:v>
                </c:pt>
                <c:pt idx="1">
                  <c:v>55.527582956445499</c:v>
                </c:pt>
                <c:pt idx="2">
                  <c:v>37.764911609904139</c:v>
                </c:pt>
                <c:pt idx="3">
                  <c:v>61.609359236476912</c:v>
                </c:pt>
                <c:pt idx="4">
                  <c:v>55.253225557202001</c:v>
                </c:pt>
                <c:pt idx="5">
                  <c:v>44.871075383176873</c:v>
                </c:pt>
                <c:pt idx="6">
                  <c:v>37.472218612103255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09-4F35-81A2-50CD7C50B41F}"/>
            </c:ext>
          </c:extLst>
        </c:ser>
        <c:ser>
          <c:idx val="2"/>
          <c:order val="2"/>
          <c:tx>
            <c:strRef>
              <c:f>'Laskenta poistopuoli 100_ENT'!$W$76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100_ENT'!$X$76:$X$82</c:f>
              <c:numCache>
                <c:formatCode>0.0</c:formatCode>
                <c:ptCount val="7"/>
                <c:pt idx="0">
                  <c:v>59.232490909090913</c:v>
                </c:pt>
                <c:pt idx="1">
                  <c:v>52.589927272727273</c:v>
                </c:pt>
                <c:pt idx="2">
                  <c:v>31.091018181818189</c:v>
                </c:pt>
                <c:pt idx="3">
                  <c:v>57.921581818181828</c:v>
                </c:pt>
                <c:pt idx="4">
                  <c:v>49.687200000000004</c:v>
                </c:pt>
                <c:pt idx="5">
                  <c:v>33.798045454545452</c:v>
                </c:pt>
                <c:pt idx="6">
                  <c:v>21.24609090909091</c:v>
                </c:pt>
              </c:numCache>
            </c:numRef>
          </c:xVal>
          <c:yVal>
            <c:numRef>
              <c:f>'Laskenta poistopuoli 100_ENT'!$Y$76:$Y$82</c:f>
              <c:numCache>
                <c:formatCode>0.0</c:formatCode>
                <c:ptCount val="7"/>
                <c:pt idx="0">
                  <c:v>25.417263103473928</c:v>
                </c:pt>
                <c:pt idx="1">
                  <c:v>24.344285214676759</c:v>
                </c:pt>
                <c:pt idx="2">
                  <c:v>18.071598855872615</c:v>
                </c:pt>
                <c:pt idx="3">
                  <c:v>26.864447987055424</c:v>
                </c:pt>
                <c:pt idx="4">
                  <c:v>24.610628081174507</c:v>
                </c:pt>
                <c:pt idx="5">
                  <c:v>20.989449770999862</c:v>
                </c:pt>
                <c:pt idx="6">
                  <c:v>17.303475403537568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09-4F35-81A2-50CD7C50B41F}"/>
            </c:ext>
          </c:extLst>
        </c:ser>
        <c:ser>
          <c:idx val="3"/>
          <c:order val="3"/>
          <c:tx>
            <c:strRef>
              <c:f>'Laskenta poistopuoli 100_ENT'!$W$84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100_ENT'!$X$84:$X$90</c:f>
              <c:numCache>
                <c:formatCode>0.0</c:formatCode>
                <c:ptCount val="7"/>
                <c:pt idx="0">
                  <c:v>31.706209090909095</c:v>
                </c:pt>
                <c:pt idx="1">
                  <c:v>26.826818181818176</c:v>
                </c:pt>
                <c:pt idx="2">
                  <c:v>21.224554545454549</c:v>
                </c:pt>
                <c:pt idx="3">
                  <c:v>28.261327272727272</c:v>
                </c:pt>
                <c:pt idx="4">
                  <c:v>23.704045454545458</c:v>
                </c:pt>
                <c:pt idx="5">
                  <c:v>16.993127272727271</c:v>
                </c:pt>
                <c:pt idx="6">
                  <c:v>11.464836363636362</c:v>
                </c:pt>
              </c:numCache>
            </c:numRef>
          </c:xVal>
          <c:yVal>
            <c:numRef>
              <c:f>'Laskenta poistopuoli 100_ENT'!$Y$84:$Y$90</c:f>
              <c:numCache>
                <c:formatCode>0.0</c:formatCode>
                <c:ptCount val="7"/>
                <c:pt idx="0">
                  <c:v>7.6542509640036691</c:v>
                </c:pt>
                <c:pt idx="1">
                  <c:v>7.0952373016298811</c:v>
                </c:pt>
                <c:pt idx="2">
                  <c:v>6.4091373237387206</c:v>
                </c:pt>
                <c:pt idx="3">
                  <c:v>7.4176728977971926</c:v>
                </c:pt>
                <c:pt idx="4">
                  <c:v>6.9120341052630758</c:v>
                </c:pt>
                <c:pt idx="5">
                  <c:v>6.4396716809091377</c:v>
                </c:pt>
                <c:pt idx="6">
                  <c:v>6.1312138558419154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609-4F35-81A2-50CD7C50B41F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100_ENT'!$AC$34:$AC$38</c:f>
              <c:numCache>
                <c:formatCode>0.0</c:formatCode>
                <c:ptCount val="5"/>
                <c:pt idx="0">
                  <c:v>67.021037831114924</c:v>
                </c:pt>
                <c:pt idx="1">
                  <c:v>51.119498526276722</c:v>
                </c:pt>
                <c:pt idx="2">
                  <c:v>36.633098774100091</c:v>
                </c:pt>
                <c:pt idx="3">
                  <c:v>18.725587349549915</c:v>
                </c:pt>
              </c:numCache>
            </c:numRef>
          </c:xVal>
          <c:yVal>
            <c:numRef>
              <c:f>'Laskenta poistopuoli 100_ENT'!$AE$34:$AE$37</c:f>
              <c:numCache>
                <c:formatCode>0.0</c:formatCode>
                <c:ptCount val="4"/>
                <c:pt idx="0">
                  <c:v>88.497252392673403</c:v>
                </c:pt>
                <c:pt idx="1">
                  <c:v>45.177242314137828</c:v>
                </c:pt>
                <c:pt idx="2">
                  <c:v>20.854062898587856</c:v>
                </c:pt>
                <c:pt idx="3">
                  <c:v>6.4454564131275482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609-4F35-81A2-50CD7C50B41F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100_ENT'!$W$13</c:f>
              <c:numCache>
                <c:formatCode>0.0</c:formatCode>
                <c:ptCount val="1"/>
                <c:pt idx="0">
                  <c:v>17.934301963298594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609-4F35-81A2-50CD7C50B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100_ENT'!$AA$4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100_ENT'!$AB$6:$AB$12</c:f>
              <c:numCache>
                <c:formatCode>0.0</c:formatCode>
                <c:ptCount val="7"/>
                <c:pt idx="0">
                  <c:v>115.67880715777122</c:v>
                </c:pt>
                <c:pt idx="1">
                  <c:v>103.49402125954791</c:v>
                </c:pt>
                <c:pt idx="2">
                  <c:v>93.392194792281046</c:v>
                </c:pt>
                <c:pt idx="3">
                  <c:v>83.647531933078071</c:v>
                </c:pt>
                <c:pt idx="4">
                  <c:v>70.340226812771604</c:v>
                </c:pt>
                <c:pt idx="5">
                  <c:v>53.15774384679068</c:v>
                </c:pt>
                <c:pt idx="6">
                  <c:v>41.2632427578814</c:v>
                </c:pt>
              </c:numCache>
            </c:numRef>
          </c:xVal>
          <c:yVal>
            <c:numRef>
              <c:f>'Laskenta poistopuoli 100_ENT'!$AA$6:$AA$12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28-4FCC-B404-813A996CE1D6}"/>
            </c:ext>
          </c:extLst>
        </c:ser>
        <c:ser>
          <c:idx val="1"/>
          <c:order val="1"/>
          <c:tx>
            <c:strRef>
              <c:f>'Laskenta poistopuoli 100_ENT'!$AC$4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100_ENT'!$AD$6:$AD$12</c:f>
              <c:numCache>
                <c:formatCode>0.0</c:formatCode>
                <c:ptCount val="7"/>
                <c:pt idx="0">
                  <c:v>91.988373586551461</c:v>
                </c:pt>
                <c:pt idx="1">
                  <c:v>86.286536155517794</c:v>
                </c:pt>
                <c:pt idx="2">
                  <c:v>75.900637350102883</c:v>
                </c:pt>
                <c:pt idx="3">
                  <c:v>63.979035472792781</c:v>
                </c:pt>
                <c:pt idx="4">
                  <c:v>58.592403493552204</c:v>
                </c:pt>
                <c:pt idx="5">
                  <c:v>52.709351379206979</c:v>
                </c:pt>
                <c:pt idx="6">
                  <c:v>32.044849239800861</c:v>
                </c:pt>
              </c:numCache>
            </c:numRef>
          </c:xVal>
          <c:yVal>
            <c:numRef>
              <c:f>'Laskenta poistopuoli 100_ENT'!$AC$6:$AC$12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228-4FCC-B404-813A996CE1D6}"/>
            </c:ext>
          </c:extLst>
        </c:ser>
        <c:ser>
          <c:idx val="2"/>
          <c:order val="2"/>
          <c:tx>
            <c:strRef>
              <c:f>'Laskenta poistopuoli 100_ENT'!$AE$4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100_ENT'!$AF$6:$AF$11</c:f>
              <c:numCache>
                <c:formatCode>0.0</c:formatCode>
                <c:ptCount val="6"/>
                <c:pt idx="0">
                  <c:v>63.494874015749062</c:v>
                </c:pt>
                <c:pt idx="1">
                  <c:v>56.973770904089747</c:v>
                </c:pt>
                <c:pt idx="2">
                  <c:v>51.145153604780376</c:v>
                </c:pt>
                <c:pt idx="3">
                  <c:v>44.536021272153903</c:v>
                </c:pt>
                <c:pt idx="4">
                  <c:v>36.710790610696051</c:v>
                </c:pt>
                <c:pt idx="5">
                  <c:v>23.297949159489587</c:v>
                </c:pt>
              </c:numCache>
            </c:numRef>
          </c:xVal>
          <c:yVal>
            <c:numRef>
              <c:f>'Laskenta poistopuoli 100_ENT'!$AE$6:$AE$11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228-4FCC-B404-813A996CE1D6}"/>
            </c:ext>
          </c:extLst>
        </c:ser>
        <c:ser>
          <c:idx val="3"/>
          <c:order val="3"/>
          <c:tx>
            <c:strRef>
              <c:f>'Laskenta poistopuoli 100_ENT'!$AG$4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100_ENT'!$AH$6:$AH$10</c:f>
              <c:numCache>
                <c:formatCode>0.0</c:formatCode>
                <c:ptCount val="5"/>
                <c:pt idx="0">
                  <c:v>29.670491870313402</c:v>
                </c:pt>
                <c:pt idx="1">
                  <c:v>22.578901953211147</c:v>
                </c:pt>
                <c:pt idx="2">
                  <c:v>16.488965411522997</c:v>
                </c:pt>
                <c:pt idx="3">
                  <c:v>13.708304384736721</c:v>
                </c:pt>
                <c:pt idx="4">
                  <c:v>11.06772203702376</c:v>
                </c:pt>
              </c:numCache>
            </c:numRef>
          </c:xVal>
          <c:yVal>
            <c:numRef>
              <c:f>'Laskenta poistopuoli 100_ENT'!$AG$6:$AG$10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228-4FCC-B404-813A996CE1D6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100_ENT'!$L$3</c:f>
              <c:numCache>
                <c:formatCode>General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228-4FCC-B404-813A996CE1D6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100_ENT'!$AC$34:$AC$37</c:f>
              <c:numCache>
                <c:formatCode>0.0</c:formatCode>
                <c:ptCount val="4"/>
                <c:pt idx="0">
                  <c:v>67.021037831114924</c:v>
                </c:pt>
                <c:pt idx="1">
                  <c:v>51.119498526276722</c:v>
                </c:pt>
                <c:pt idx="2">
                  <c:v>36.633098774100091</c:v>
                </c:pt>
                <c:pt idx="3">
                  <c:v>18.725587349549915</c:v>
                </c:pt>
              </c:numCache>
            </c:numRef>
          </c:xVal>
          <c:yVal>
            <c:numRef>
              <c:f>'Laskenta poistopuoli 100_ENT'!$AD$34:$AD$37</c:f>
              <c:numCache>
                <c:formatCode>0.0</c:formatCode>
                <c:ptCount val="4"/>
                <c:pt idx="0">
                  <c:v>335.31252983998957</c:v>
                </c:pt>
                <c:pt idx="1">
                  <c:v>195.07456834174653</c:v>
                </c:pt>
                <c:pt idx="2">
                  <c:v>100.17856326687517</c:v>
                </c:pt>
                <c:pt idx="3">
                  <c:v>26.17570469231817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228-4FCC-B404-813A996CE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150_ENT'!$D$59:$D$62</c:f>
              <c:numCache>
                <c:formatCode>0.0</c:formatCode>
                <c:ptCount val="4"/>
                <c:pt idx="0">
                  <c:v>157.28305069533172</c:v>
                </c:pt>
                <c:pt idx="1">
                  <c:v>146.55078601347955</c:v>
                </c:pt>
                <c:pt idx="2">
                  <c:v>135.16967854746008</c:v>
                </c:pt>
                <c:pt idx="3">
                  <c:v>122.87386253386013</c:v>
                </c:pt>
              </c:numCache>
            </c:numRef>
          </c:xVal>
          <c:yVal>
            <c:numRef>
              <c:f>'Laskenta tulopuoli 150_ENT'!$E$59:$E$62</c:f>
              <c:numCache>
                <c:formatCode>0.0</c:formatCode>
                <c:ptCount val="4"/>
                <c:pt idx="0">
                  <c:v>59.584121033260161</c:v>
                </c:pt>
                <c:pt idx="1">
                  <c:v>59.034665171222933</c:v>
                </c:pt>
                <c:pt idx="2">
                  <c:v>58.616529819458627</c:v>
                </c:pt>
                <c:pt idx="3">
                  <c:v>57.87243224523074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74-4667-9620-17020F7DC07B}"/>
            </c:ext>
          </c:extLst>
        </c:ser>
        <c:ser>
          <c:idx val="1"/>
          <c:order val="1"/>
          <c:tx>
            <c:strRef>
              <c:f>'Laskenta tulopuoli 150_ENT'!$C$64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150_ENT'!$D$64:$D$67</c:f>
              <c:numCache>
                <c:formatCode>0.0</c:formatCode>
                <c:ptCount val="4"/>
                <c:pt idx="0">
                  <c:v>115.79564526412705</c:v>
                </c:pt>
                <c:pt idx="1">
                  <c:v>106.97675022173922</c:v>
                </c:pt>
                <c:pt idx="2">
                  <c:v>98.206572415924612</c:v>
                </c:pt>
                <c:pt idx="3">
                  <c:v>88.917966582246621</c:v>
                </c:pt>
              </c:numCache>
            </c:numRef>
          </c:xVal>
          <c:yVal>
            <c:numRef>
              <c:f>'Laskenta tulopuoli 150_ENT'!$E$64:$E$67</c:f>
              <c:numCache>
                <c:formatCode>0.0</c:formatCode>
                <c:ptCount val="4"/>
                <c:pt idx="0">
                  <c:v>56.197280887668541</c:v>
                </c:pt>
                <c:pt idx="1">
                  <c:v>55.237406763421937</c:v>
                </c:pt>
                <c:pt idx="2">
                  <c:v>54.74149561639608</c:v>
                </c:pt>
                <c:pt idx="3">
                  <c:v>55.175030795562357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674-4667-9620-17020F7DC07B}"/>
            </c:ext>
          </c:extLst>
        </c:ser>
        <c:ser>
          <c:idx val="2"/>
          <c:order val="2"/>
          <c:tx>
            <c:strRef>
              <c:f>'Laskenta tulopuoli 150_ENT'!$C$69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150_ENT'!$D$69:$D$72</c:f>
              <c:numCache>
                <c:formatCode>0.0</c:formatCode>
                <c:ptCount val="4"/>
                <c:pt idx="0">
                  <c:v>84.357257896408399</c:v>
                </c:pt>
                <c:pt idx="1">
                  <c:v>78.503845274925567</c:v>
                </c:pt>
                <c:pt idx="2">
                  <c:v>72.383196337283366</c:v>
                </c:pt>
                <c:pt idx="3">
                  <c:v>65.600686333526227</c:v>
                </c:pt>
              </c:numCache>
            </c:numRef>
          </c:xVal>
          <c:yVal>
            <c:numRef>
              <c:f>'Laskenta tulopuoli 150_ENT'!$E$69:$E$72</c:f>
              <c:numCache>
                <c:formatCode>0.0</c:formatCode>
                <c:ptCount val="4"/>
                <c:pt idx="0">
                  <c:v>51.396877204560091</c:v>
                </c:pt>
                <c:pt idx="1">
                  <c:v>50.687179139252699</c:v>
                </c:pt>
                <c:pt idx="2">
                  <c:v>50.612475302246779</c:v>
                </c:pt>
                <c:pt idx="3">
                  <c:v>49.639499165934055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674-4667-9620-17020F7DC07B}"/>
            </c:ext>
          </c:extLst>
        </c:ser>
        <c:ser>
          <c:idx val="3"/>
          <c:order val="3"/>
          <c:tx>
            <c:strRef>
              <c:f>'Laskenta tulopuoli 150_ENT'!$C$74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150_ENT'!$D$74:$D$77</c:f>
              <c:numCache>
                <c:formatCode>0.0</c:formatCode>
                <c:ptCount val="4"/>
                <c:pt idx="0">
                  <c:v>45.043697488606703</c:v>
                </c:pt>
                <c:pt idx="1">
                  <c:v>42.867192759507176</c:v>
                </c:pt>
                <c:pt idx="2">
                  <c:v>40.200875313800047</c:v>
                </c:pt>
                <c:pt idx="3">
                  <c:v>36.701633625452011</c:v>
                </c:pt>
              </c:numCache>
            </c:numRef>
          </c:xVal>
          <c:yVal>
            <c:numRef>
              <c:f>'Laskenta tulopuoli 150_ENT'!$E$74:$E$77</c:f>
              <c:numCache>
                <c:formatCode>0.0</c:formatCode>
                <c:ptCount val="4"/>
                <c:pt idx="0">
                  <c:v>38.857851553991033</c:v>
                </c:pt>
                <c:pt idx="1">
                  <c:v>38.771970649710418</c:v>
                </c:pt>
                <c:pt idx="2">
                  <c:v>38.312133032218668</c:v>
                </c:pt>
                <c:pt idx="3">
                  <c:v>38.385869540907585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674-4667-9620-17020F7DC07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74-4667-9620-17020F7DC07B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B674-4667-9620-17020F7DC07B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7356411529639876"/>
                  <c:y val="-8.642336735740974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150_ENT'!$AC$34:$AC$36</c:f>
              <c:numCache>
                <c:formatCode>0.0</c:formatCode>
                <c:ptCount val="3"/>
                <c:pt idx="0">
                  <c:v>94.900610378830393</c:v>
                </c:pt>
                <c:pt idx="1">
                  <c:v>70.546164812943033</c:v>
                </c:pt>
                <c:pt idx="2">
                  <c:v>52.561149272825489</c:v>
                </c:pt>
              </c:numCache>
            </c:numRef>
          </c:xVal>
          <c:yVal>
            <c:numRef>
              <c:f>'Laskenta tulopuoli 150_ENT'!$AF$34:$AF$36</c:f>
              <c:numCache>
                <c:formatCode>0.0</c:formatCode>
                <c:ptCount val="3"/>
                <c:pt idx="0">
                  <c:v>56.111956801467315</c:v>
                </c:pt>
                <c:pt idx="1">
                  <c:v>58.073557849808779</c:v>
                </c:pt>
                <c:pt idx="2">
                  <c:v>48.013308135963882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674-4667-9620-17020F7DC07B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150_ENT'!$W$5</c:f>
              <c:numCache>
                <c:formatCode>0.0</c:formatCode>
                <c:ptCount val="1"/>
                <c:pt idx="0">
                  <c:v>41.559850828106313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674-4667-9620-17020F7DC07B}"/>
            </c:ext>
          </c:extLst>
        </c:ser>
        <c:ser>
          <c:idx val="6"/>
          <c:order val="6"/>
          <c:tx>
            <c:v>3-5V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7861767279090113E-2"/>
                  <c:y val="-0.14231798038923177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150_ENT'!$AC$35:$AC$37</c:f>
              <c:numCache>
                <c:formatCode>0.0</c:formatCode>
                <c:ptCount val="3"/>
                <c:pt idx="0">
                  <c:v>70.546164812943033</c:v>
                </c:pt>
                <c:pt idx="1">
                  <c:v>52.561149272825489</c:v>
                </c:pt>
                <c:pt idx="2">
                  <c:v>29.620422575768554</c:v>
                </c:pt>
              </c:numCache>
            </c:numRef>
          </c:xVal>
          <c:yVal>
            <c:numRef>
              <c:f>'Laskenta tulopuoli 150_ENT'!$AF$35:$AF$37</c:f>
              <c:numCache>
                <c:formatCode>0.0</c:formatCode>
                <c:ptCount val="3"/>
                <c:pt idx="0">
                  <c:v>58.073557849808779</c:v>
                </c:pt>
                <c:pt idx="1">
                  <c:v>48.013308135963882</c:v>
                </c:pt>
                <c:pt idx="2">
                  <c:v>38.984114432492937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674-4667-9620-17020F7DC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2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8.6096276494048666E-4"/>
                  <c:y val="0.21036261209017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150_ENT'!$N$59:$N$62</c:f>
              <c:numCache>
                <c:formatCode>0.0</c:formatCode>
                <c:ptCount val="4"/>
                <c:pt idx="0">
                  <c:v>157.12388402585512</c:v>
                </c:pt>
                <c:pt idx="1">
                  <c:v>146.40382196258597</c:v>
                </c:pt>
                <c:pt idx="2">
                  <c:v>134.62489122030723</c:v>
                </c:pt>
                <c:pt idx="3">
                  <c:v>122.81318999787912</c:v>
                </c:pt>
              </c:numCache>
            </c:numRef>
          </c:xVal>
          <c:yVal>
            <c:numRef>
              <c:f>'Laskenta tulopuoli 150_ENT'!$O$59:$O$62</c:f>
              <c:numCache>
                <c:formatCode>0.0</c:formatCode>
                <c:ptCount val="4"/>
                <c:pt idx="0">
                  <c:v>73.586266756288396</c:v>
                </c:pt>
                <c:pt idx="1">
                  <c:v>72.598590028138631</c:v>
                </c:pt>
                <c:pt idx="2">
                  <c:v>71.643458641188545</c:v>
                </c:pt>
                <c:pt idx="3">
                  <c:v>71.624683220101119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91-4E76-84A0-9D549E8F2147}"/>
            </c:ext>
          </c:extLst>
        </c:ser>
        <c:ser>
          <c:idx val="1"/>
          <c:order val="1"/>
          <c:tx>
            <c:strRef>
              <c:f>'Laskenta tulopuoli 150_ENT'!$C$64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150_ENT'!$N$64:$N$67</c:f>
              <c:numCache>
                <c:formatCode>0.0</c:formatCode>
                <c:ptCount val="4"/>
                <c:pt idx="0">
                  <c:v>115.7527395118049</c:v>
                </c:pt>
                <c:pt idx="1">
                  <c:v>106.91665501286138</c:v>
                </c:pt>
                <c:pt idx="2">
                  <c:v>97.668417506006648</c:v>
                </c:pt>
                <c:pt idx="3">
                  <c:v>88.471240528681378</c:v>
                </c:pt>
              </c:numCache>
            </c:numRef>
          </c:xVal>
          <c:yVal>
            <c:numRef>
              <c:f>'Laskenta tulopuoli 150_ENT'!$O$64:$O$67</c:f>
              <c:numCache>
                <c:formatCode>0.0</c:formatCode>
                <c:ptCount val="4"/>
                <c:pt idx="0">
                  <c:v>69.410422694236928</c:v>
                </c:pt>
                <c:pt idx="1">
                  <c:v>68.273831250714295</c:v>
                </c:pt>
                <c:pt idx="2">
                  <c:v>68.062176855408353</c:v>
                </c:pt>
                <c:pt idx="3">
                  <c:v>66.721187940680181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91-4E76-84A0-9D549E8F2147}"/>
            </c:ext>
          </c:extLst>
        </c:ser>
        <c:ser>
          <c:idx val="2"/>
          <c:order val="2"/>
          <c:tx>
            <c:strRef>
              <c:f>'Laskenta tulopuoli 150_ENT'!$C$69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150_ENT'!$N$69:$N$72</c:f>
              <c:numCache>
                <c:formatCode>0.0</c:formatCode>
                <c:ptCount val="4"/>
                <c:pt idx="0">
                  <c:v>84.276112176172617</c:v>
                </c:pt>
                <c:pt idx="1">
                  <c:v>78.366665869479021</c:v>
                </c:pt>
                <c:pt idx="2">
                  <c:v>71.9434750225589</c:v>
                </c:pt>
                <c:pt idx="3">
                  <c:v>65.492862624326236</c:v>
                </c:pt>
              </c:numCache>
            </c:numRef>
          </c:xVal>
          <c:yVal>
            <c:numRef>
              <c:f>'Laskenta tulopuoli 150_ENT'!$O$69:$O$72</c:f>
              <c:numCache>
                <c:formatCode>0.0</c:formatCode>
                <c:ptCount val="4"/>
                <c:pt idx="0">
                  <c:v>62.221587821743327</c:v>
                </c:pt>
                <c:pt idx="1">
                  <c:v>61.769751245014781</c:v>
                </c:pt>
                <c:pt idx="2">
                  <c:v>61.518377533862719</c:v>
                </c:pt>
                <c:pt idx="3">
                  <c:v>60.996208646351839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91-4E76-84A0-9D549E8F2147}"/>
            </c:ext>
          </c:extLst>
        </c:ser>
        <c:ser>
          <c:idx val="3"/>
          <c:order val="3"/>
          <c:tx>
            <c:strRef>
              <c:f>'Laskenta tulopuoli 150_ENT'!$C$74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150_ENT'!$N$74:$N$77</c:f>
              <c:numCache>
                <c:formatCode>0.0</c:formatCode>
                <c:ptCount val="4"/>
                <c:pt idx="0">
                  <c:v>45.056263579141628</c:v>
                </c:pt>
                <c:pt idx="1">
                  <c:v>42.835910101814022</c:v>
                </c:pt>
                <c:pt idx="2">
                  <c:v>40.04683467591375</c:v>
                </c:pt>
                <c:pt idx="3">
                  <c:v>36.610447186451644</c:v>
                </c:pt>
              </c:numCache>
            </c:numRef>
          </c:xVal>
          <c:yVal>
            <c:numRef>
              <c:f>'Laskenta tulopuoli 150_ENT'!$O$74:$O$77</c:f>
              <c:numCache>
                <c:formatCode>0.0</c:formatCode>
                <c:ptCount val="4"/>
                <c:pt idx="0">
                  <c:v>51.172241569318196</c:v>
                </c:pt>
                <c:pt idx="1">
                  <c:v>51.491026615654533</c:v>
                </c:pt>
                <c:pt idx="2">
                  <c:v>51.101913029693968</c:v>
                </c:pt>
                <c:pt idx="3">
                  <c:v>50.408682683836055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491-4E76-84A0-9D549E8F2147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733499720590898"/>
                  <c:y val="-7.756739207480754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150_ENT'!$AC$34:$AC$36</c:f>
              <c:numCache>
                <c:formatCode>0.0</c:formatCode>
                <c:ptCount val="3"/>
                <c:pt idx="0">
                  <c:v>94.900610378830393</c:v>
                </c:pt>
                <c:pt idx="1">
                  <c:v>70.546164812943033</c:v>
                </c:pt>
                <c:pt idx="2">
                  <c:v>52.561149272825489</c:v>
                </c:pt>
              </c:numCache>
            </c:numRef>
          </c:xVal>
          <c:yVal>
            <c:numRef>
              <c:f>'Laskenta tulopuoli 150_ENT'!$AG$34:$AG$36</c:f>
              <c:numCache>
                <c:formatCode>0.0</c:formatCode>
                <c:ptCount val="3"/>
                <c:pt idx="0">
                  <c:v>73.428305005485569</c:v>
                </c:pt>
                <c:pt idx="1">
                  <c:v>64.743220013449601</c:v>
                </c:pt>
                <c:pt idx="2">
                  <c:v>60.097907315597602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491-4E76-84A0-9D549E8F2147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150_ENT'!$W$8</c:f>
              <c:numCache>
                <c:formatCode>0.0</c:formatCode>
                <c:ptCount val="1"/>
                <c:pt idx="0">
                  <c:v>50.418302348437102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491-4E76-84A0-9D549E8F2147}"/>
            </c:ext>
          </c:extLst>
        </c:ser>
        <c:ser>
          <c:idx val="6"/>
          <c:order val="6"/>
          <c:tx>
            <c:v>3-6,5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707132560351225"/>
                  <c:y val="3.7450341433633216E-3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150_ENT'!$AC$35:$AC$37</c:f>
              <c:numCache>
                <c:formatCode>0.0</c:formatCode>
                <c:ptCount val="3"/>
                <c:pt idx="0">
                  <c:v>70.546164812943033</c:v>
                </c:pt>
                <c:pt idx="1">
                  <c:v>52.561149272825489</c:v>
                </c:pt>
                <c:pt idx="2">
                  <c:v>29.620422575768554</c:v>
                </c:pt>
              </c:numCache>
            </c:numRef>
          </c:xVal>
          <c:yVal>
            <c:numRef>
              <c:f>'Laskenta tulopuoli 150_ENT'!$AG$35:$AG$37</c:f>
              <c:numCache>
                <c:formatCode>0.0</c:formatCode>
                <c:ptCount val="3"/>
                <c:pt idx="0">
                  <c:v>64.743220013449601</c:v>
                </c:pt>
                <c:pt idx="1">
                  <c:v>60.097907315597602</c:v>
                </c:pt>
                <c:pt idx="2">
                  <c:v>46.749568960217189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491-4E76-84A0-9D549E8F2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8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55366704954692"/>
                  <c:y val="6.15187971392051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150_ENT'!$AJ$34:$AJ$35</c:f>
              <c:numCache>
                <c:formatCode>0.0</c:formatCode>
                <c:ptCount val="2"/>
                <c:pt idx="0">
                  <c:v>94.900610378830393</c:v>
                </c:pt>
                <c:pt idx="1">
                  <c:v>70.546164812943033</c:v>
                </c:pt>
              </c:numCache>
            </c:numRef>
          </c:xVal>
          <c:yVal>
            <c:numRef>
              <c:f>'Laskenta tulopuoli 150_ENT'!$AI$34:$AI$35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13-43BC-A8E0-7EA57A9FE238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150_ENT'!$W$12</c:f>
              <c:numCache>
                <c:formatCode>0.0</c:formatCode>
                <c:ptCount val="1"/>
                <c:pt idx="0">
                  <c:v>3.4477966939849738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C13-43BC-A8E0-7EA57A9FE238}"/>
            </c:ext>
          </c:extLst>
        </c:ser>
        <c:ser>
          <c:idx val="2"/>
          <c:order val="2"/>
          <c:tx>
            <c:v>3-6,5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tulopuoli 150_ENT'!$AC$35:$AC$37</c:f>
              <c:numCache>
                <c:formatCode>0.0</c:formatCode>
                <c:ptCount val="3"/>
                <c:pt idx="0">
                  <c:v>70.546164812943033</c:v>
                </c:pt>
                <c:pt idx="1">
                  <c:v>52.561149272825489</c:v>
                </c:pt>
                <c:pt idx="2">
                  <c:v>29.620422575768554</c:v>
                </c:pt>
              </c:numCache>
            </c:numRef>
          </c:xVal>
          <c:yVal>
            <c:numRef>
              <c:f>'Laskenta tulopuoli 150_ENT'!$U$35:$U$37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C13-43BC-A8E0-7EA57A9FE238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150_ENT'!$AL$36</c:f>
              <c:numCache>
                <c:formatCode>0.0</c:formatCode>
                <c:ptCount val="1"/>
                <c:pt idx="0">
                  <c:v>41.666666666666664</c:v>
                </c:pt>
              </c:numCache>
            </c:numRef>
          </c:xVal>
          <c:yVal>
            <c:numRef>
              <c:f>'Laskenta tulopuoli 150_ENT'!$AO$36</c:f>
              <c:numCache>
                <c:formatCode>0.0</c:formatCode>
                <c:ptCount val="1"/>
                <c:pt idx="0">
                  <c:v>4.0422100101689029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C13-43BC-A8E0-7EA57A9FE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150_ENT'!$X$59:$X$66</c:f>
              <c:numCache>
                <c:formatCode>0.0</c:formatCode>
                <c:ptCount val="8"/>
                <c:pt idx="0">
                  <c:v>157.28305069533172</c:v>
                </c:pt>
                <c:pt idx="1">
                  <c:v>146.55078601347955</c:v>
                </c:pt>
                <c:pt idx="2">
                  <c:v>135.16967854746008</c:v>
                </c:pt>
                <c:pt idx="3">
                  <c:v>122.87386253386013</c:v>
                </c:pt>
                <c:pt idx="4">
                  <c:v>157.12388402585512</c:v>
                </c:pt>
                <c:pt idx="5">
                  <c:v>146.40382196258597</c:v>
                </c:pt>
                <c:pt idx="6">
                  <c:v>134.62489122030723</c:v>
                </c:pt>
                <c:pt idx="7">
                  <c:v>122.81318999787912</c:v>
                </c:pt>
              </c:numCache>
            </c:numRef>
          </c:xVal>
          <c:yVal>
            <c:numRef>
              <c:f>'Laskenta tulopuoli 150_ENT'!$Y$59:$Y$66</c:f>
              <c:numCache>
                <c:formatCode>0.0</c:formatCode>
                <c:ptCount val="8"/>
                <c:pt idx="0">
                  <c:v>166.48112332133923</c:v>
                </c:pt>
                <c:pt idx="1">
                  <c:v>166.42923332157457</c:v>
                </c:pt>
                <c:pt idx="2">
                  <c:v>166.52729894333069</c:v>
                </c:pt>
                <c:pt idx="3">
                  <c:v>166.32352391719792</c:v>
                </c:pt>
                <c:pt idx="4">
                  <c:v>168.36896936050229</c:v>
                </c:pt>
                <c:pt idx="5">
                  <c:v>168.14315376683695</c:v>
                </c:pt>
                <c:pt idx="6">
                  <c:v>168.27049338091555</c:v>
                </c:pt>
                <c:pt idx="7">
                  <c:v>168.09244462004463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1F-4700-A356-DFF51154F527}"/>
            </c:ext>
          </c:extLst>
        </c:ser>
        <c:ser>
          <c:idx val="1"/>
          <c:order val="1"/>
          <c:tx>
            <c:strRef>
              <c:f>'Laskenta tulopuoli 150_ENT'!$W$68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150_ENT'!$X$68:$X$74</c:f>
              <c:numCache>
                <c:formatCode>0.0</c:formatCode>
                <c:ptCount val="7"/>
                <c:pt idx="0">
                  <c:v>115.79564526412705</c:v>
                </c:pt>
                <c:pt idx="1">
                  <c:v>106.97675022173922</c:v>
                </c:pt>
                <c:pt idx="2">
                  <c:v>88.917966582246621</c:v>
                </c:pt>
                <c:pt idx="3">
                  <c:v>115.7527395118049</c:v>
                </c:pt>
                <c:pt idx="4">
                  <c:v>106.91665501286138</c:v>
                </c:pt>
                <c:pt idx="5">
                  <c:v>97.668417506006648</c:v>
                </c:pt>
                <c:pt idx="6">
                  <c:v>88.471240528681378</c:v>
                </c:pt>
              </c:numCache>
            </c:numRef>
          </c:xVal>
          <c:yVal>
            <c:numRef>
              <c:f>'Laskenta tulopuoli 150_ENT'!$Y$68:$Y$74</c:f>
              <c:numCache>
                <c:formatCode>0.0</c:formatCode>
                <c:ptCount val="7"/>
                <c:pt idx="0">
                  <c:v>80.608112872381284</c:v>
                </c:pt>
                <c:pt idx="1">
                  <c:v>80.694248796772087</c:v>
                </c:pt>
                <c:pt idx="2">
                  <c:v>78.903619549585414</c:v>
                </c:pt>
                <c:pt idx="3">
                  <c:v>81.524141516906852</c:v>
                </c:pt>
                <c:pt idx="4">
                  <c:v>81.530004886189204</c:v>
                </c:pt>
                <c:pt idx="5">
                  <c:v>80.071634336582761</c:v>
                </c:pt>
                <c:pt idx="6">
                  <c:v>79.731279286309771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11F-4700-A356-DFF51154F527}"/>
            </c:ext>
          </c:extLst>
        </c:ser>
        <c:ser>
          <c:idx val="2"/>
          <c:order val="2"/>
          <c:tx>
            <c:strRef>
              <c:f>'Laskenta tulopuoli 150_ENT'!$W$76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150_ENT'!$X$76:$X$82</c:f>
              <c:numCache>
                <c:formatCode>0.0</c:formatCode>
                <c:ptCount val="7"/>
                <c:pt idx="0">
                  <c:v>84.357257896408399</c:v>
                </c:pt>
                <c:pt idx="1">
                  <c:v>78.503845274925567</c:v>
                </c:pt>
                <c:pt idx="2">
                  <c:v>65.600686333526227</c:v>
                </c:pt>
                <c:pt idx="3">
                  <c:v>84.276112176172617</c:v>
                </c:pt>
                <c:pt idx="4">
                  <c:v>78.366665869479021</c:v>
                </c:pt>
                <c:pt idx="5">
                  <c:v>71.9434750225589</c:v>
                </c:pt>
                <c:pt idx="6">
                  <c:v>65.492862624326236</c:v>
                </c:pt>
              </c:numCache>
            </c:numRef>
          </c:xVal>
          <c:yVal>
            <c:numRef>
              <c:f>'Laskenta tulopuoli 150_ENT'!$Y$76:$Y$82</c:f>
              <c:numCache>
                <c:formatCode>0.0</c:formatCode>
                <c:ptCount val="7"/>
                <c:pt idx="0">
                  <c:v>39.263936860617122</c:v>
                </c:pt>
                <c:pt idx="1">
                  <c:v>39.205095983284998</c:v>
                </c:pt>
                <c:pt idx="2">
                  <c:v>38.567327276797485</c:v>
                </c:pt>
                <c:pt idx="3">
                  <c:v>39.708361053428277</c:v>
                </c:pt>
                <c:pt idx="4">
                  <c:v>39.612367593859325</c:v>
                </c:pt>
                <c:pt idx="5">
                  <c:v>39.564974448031926</c:v>
                </c:pt>
                <c:pt idx="6">
                  <c:v>38.97346583117239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11F-4700-A356-DFF51154F527}"/>
            </c:ext>
          </c:extLst>
        </c:ser>
        <c:ser>
          <c:idx val="3"/>
          <c:order val="3"/>
          <c:tx>
            <c:strRef>
              <c:f>'Laskenta tulopuoli 150_ENT'!$W$84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150_ENT'!$X$84:$X$90</c:f>
              <c:numCache>
                <c:formatCode>0.0</c:formatCode>
                <c:ptCount val="7"/>
                <c:pt idx="0">
                  <c:v>45.043697488606703</c:v>
                </c:pt>
                <c:pt idx="1">
                  <c:v>42.867192759507176</c:v>
                </c:pt>
                <c:pt idx="2">
                  <c:v>40.200875313800047</c:v>
                </c:pt>
                <c:pt idx="3">
                  <c:v>45.056263579141628</c:v>
                </c:pt>
                <c:pt idx="4">
                  <c:v>42.835910101814022</c:v>
                </c:pt>
                <c:pt idx="5">
                  <c:v>40.04683467591375</c:v>
                </c:pt>
                <c:pt idx="6">
                  <c:v>36.610447186451644</c:v>
                </c:pt>
              </c:numCache>
            </c:numRef>
          </c:xVal>
          <c:yVal>
            <c:numRef>
              <c:f>'Laskenta tulopuoli 150_ENT'!$Y$84:$Y$90</c:f>
              <c:numCache>
                <c:formatCode>0.0</c:formatCode>
                <c:ptCount val="7"/>
                <c:pt idx="0">
                  <c:v>12.340574913574338</c:v>
                </c:pt>
                <c:pt idx="1">
                  <c:v>12.170740859137242</c:v>
                </c:pt>
                <c:pt idx="2">
                  <c:v>12.068060072659554</c:v>
                </c:pt>
                <c:pt idx="3">
                  <c:v>12.47957178325729</c:v>
                </c:pt>
                <c:pt idx="4">
                  <c:v>12.297721047662893</c:v>
                </c:pt>
                <c:pt idx="5">
                  <c:v>12.206532294709383</c:v>
                </c:pt>
                <c:pt idx="6">
                  <c:v>12.062555970967841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11F-4700-A356-DFF51154F527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150_ENT'!$AC$34:$AC$38</c:f>
              <c:numCache>
                <c:formatCode>0.0</c:formatCode>
                <c:ptCount val="5"/>
                <c:pt idx="0">
                  <c:v>94.900610378830393</c:v>
                </c:pt>
                <c:pt idx="1">
                  <c:v>70.546164812943033</c:v>
                </c:pt>
                <c:pt idx="2">
                  <c:v>52.561149272825489</c:v>
                </c:pt>
                <c:pt idx="3">
                  <c:v>29.620422575768554</c:v>
                </c:pt>
              </c:numCache>
            </c:numRef>
          </c:xVal>
          <c:yVal>
            <c:numRef>
              <c:f>'Laskenta tulopuoli 150_ENT'!$AE$34:$AE$37</c:f>
              <c:numCache>
                <c:formatCode>0.0</c:formatCode>
                <c:ptCount val="4"/>
                <c:pt idx="0">
                  <c:v>166.94289409818376</c:v>
                </c:pt>
                <c:pt idx="1">
                  <c:v>75.787338367670941</c:v>
                </c:pt>
                <c:pt idx="2">
                  <c:v>36.797023285222394</c:v>
                </c:pt>
                <c:pt idx="3">
                  <c:v>12.321982351995995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11F-4700-A356-DFF51154F527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150_ENT'!$W$16</c:f>
              <c:numCache>
                <c:formatCode>0.0</c:formatCode>
                <c:ptCount val="1"/>
                <c:pt idx="0">
                  <c:v>14.831422496293676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11F-4700-A356-DFF51154F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150_ENT'!$AA$4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150_ENT'!$AB$6:$AB$12</c:f>
              <c:numCache>
                <c:formatCode>0.0</c:formatCode>
                <c:ptCount val="7"/>
                <c:pt idx="0">
                  <c:v>164.68916428096787</c:v>
                </c:pt>
                <c:pt idx="1">
                  <c:v>156.33824873484488</c:v>
                </c:pt>
                <c:pt idx="2">
                  <c:v>146.58883133740329</c:v>
                </c:pt>
                <c:pt idx="3">
                  <c:v>138.22644841705758</c:v>
                </c:pt>
                <c:pt idx="4">
                  <c:v>128.463624829699</c:v>
                </c:pt>
                <c:pt idx="5">
                  <c:v>124.27734168192819</c:v>
                </c:pt>
                <c:pt idx="6">
                  <c:v>114.50416792437591</c:v>
                </c:pt>
              </c:numCache>
            </c:numRef>
          </c:xVal>
          <c:yVal>
            <c:numRef>
              <c:f>'Laskenta tulopuoli 150_ENT'!$AA$6:$AA$12</c:f>
              <c:numCache>
                <c:formatCode>0.0</c:formatCode>
                <c:ptCount val="7"/>
                <c:pt idx="0">
                  <c:v>60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350</c:v>
                </c:pt>
                <c:pt idx="6">
                  <c:v>420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86-4AE3-83A7-1A40935F26BB}"/>
            </c:ext>
          </c:extLst>
        </c:ser>
        <c:ser>
          <c:idx val="1"/>
          <c:order val="1"/>
          <c:tx>
            <c:strRef>
              <c:f>'Laskenta tulopuoli 150_ENT'!$AC$4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150_ENT'!$AD$6:$AD$12</c:f>
              <c:numCache>
                <c:formatCode>0.0</c:formatCode>
                <c:ptCount val="7"/>
                <c:pt idx="0">
                  <c:v>121.06721286656557</c:v>
                </c:pt>
                <c:pt idx="1">
                  <c:v>118.95547364278103</c:v>
                </c:pt>
                <c:pt idx="2">
                  <c:v>108.72757540655722</c:v>
                </c:pt>
                <c:pt idx="3">
                  <c:v>98.993053012637731</c:v>
                </c:pt>
                <c:pt idx="4">
                  <c:v>95.222301961660534</c:v>
                </c:pt>
                <c:pt idx="5">
                  <c:v>91.516389636149285</c:v>
                </c:pt>
                <c:pt idx="6">
                  <c:v>82.51468853794691</c:v>
                </c:pt>
              </c:numCache>
            </c:numRef>
          </c:xVal>
          <c:yVal>
            <c:numRef>
              <c:f>'Laskenta tulopuoli 150_ENT'!$AC$6:$AC$12</c:f>
              <c:numCache>
                <c:formatCode>0.0</c:formatCode>
                <c:ptCount val="7"/>
                <c:pt idx="0">
                  <c:v>40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86-4AE3-83A7-1A40935F26BB}"/>
            </c:ext>
          </c:extLst>
        </c:ser>
        <c:ser>
          <c:idx val="2"/>
          <c:order val="2"/>
          <c:tx>
            <c:strRef>
              <c:f>'Laskenta tulopuoli 150_ENT'!$AE$4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150_ENT'!$AF$6:$AF$11</c:f>
              <c:numCache>
                <c:formatCode>0.0</c:formatCode>
                <c:ptCount val="6"/>
                <c:pt idx="0">
                  <c:v>87.031407197974815</c:v>
                </c:pt>
                <c:pt idx="1">
                  <c:v>83.42811903148889</c:v>
                </c:pt>
                <c:pt idx="2">
                  <c:v>78.654122417993619</c:v>
                </c:pt>
                <c:pt idx="3">
                  <c:v>73.914173663721783</c:v>
                </c:pt>
                <c:pt idx="4">
                  <c:v>69.207554513858213</c:v>
                </c:pt>
                <c:pt idx="5">
                  <c:v>62.208608606064594</c:v>
                </c:pt>
              </c:numCache>
            </c:numRef>
          </c:xVal>
          <c:yVal>
            <c:numRef>
              <c:f>'Laskenta tulopuoli 150_ENT'!$AE$6:$AE$11</c:f>
              <c:numCache>
                <c:formatCode>0.0</c:formatCode>
                <c:ptCount val="6"/>
                <c:pt idx="0">
                  <c:v>25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786-4AE3-83A7-1A40935F26BB}"/>
            </c:ext>
          </c:extLst>
        </c:ser>
        <c:ser>
          <c:idx val="3"/>
          <c:order val="3"/>
          <c:tx>
            <c:strRef>
              <c:f>'Laskenta tulopuoli 150_ENT'!$AG$4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150_ENT'!$AH$6:$AH$10</c:f>
              <c:numCache>
                <c:formatCode>0.0</c:formatCode>
                <c:ptCount val="5"/>
                <c:pt idx="0">
                  <c:v>46.040286179214114</c:v>
                </c:pt>
                <c:pt idx="1">
                  <c:v>42.712694256060544</c:v>
                </c:pt>
                <c:pt idx="2">
                  <c:v>40.984448126885262</c:v>
                </c:pt>
                <c:pt idx="3">
                  <c:v>39.208521433821417</c:v>
                </c:pt>
                <c:pt idx="4">
                  <c:v>31.533758619712255</c:v>
                </c:pt>
              </c:numCache>
            </c:numRef>
          </c:xVal>
          <c:yVal>
            <c:numRef>
              <c:f>'Laskenta tulopuoli 150_ENT'!$AG$6:$AG$10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86-4AE3-83A7-1A40935F26BB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150_ENT'!$L$3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86-4AE3-83A7-1A40935F26BB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150_ENT'!$AC$34:$AC$37</c:f>
              <c:numCache>
                <c:formatCode>0.0</c:formatCode>
                <c:ptCount val="4"/>
                <c:pt idx="0">
                  <c:v>94.900610378830393</c:v>
                </c:pt>
                <c:pt idx="1">
                  <c:v>70.546164812943033</c:v>
                </c:pt>
                <c:pt idx="2">
                  <c:v>52.561149272825489</c:v>
                </c:pt>
                <c:pt idx="3">
                  <c:v>29.620422575768554</c:v>
                </c:pt>
              </c:numCache>
            </c:numRef>
          </c:xVal>
          <c:yVal>
            <c:numRef>
              <c:f>'Laskenta tulopuoli 150_ENT'!$AD$34:$AD$37</c:f>
              <c:numCache>
                <c:formatCode>0.0</c:formatCode>
                <c:ptCount val="4"/>
                <c:pt idx="0">
                  <c:v>560.25307689388046</c:v>
                </c:pt>
                <c:pt idx="1">
                  <c:v>309.59437129344673</c:v>
                </c:pt>
                <c:pt idx="2">
                  <c:v>171.86044987645411</c:v>
                </c:pt>
                <c:pt idx="3">
                  <c:v>54.579397723342133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86-4AE3-83A7-1A40935F2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('Laskenta tulopuoli 150_ENT'!$X$59,'Laskenta tulopuoli 150_ENT'!$X$68,'Laskenta tulopuoli 150_ENT'!$X$76,'Laskenta tulopuoli 150_ENT'!$X$84)</c:f>
              <c:numCache>
                <c:formatCode>0.0</c:formatCode>
                <c:ptCount val="4"/>
                <c:pt idx="0">
                  <c:v>157.28305069533172</c:v>
                </c:pt>
                <c:pt idx="1">
                  <c:v>115.79564526412705</c:v>
                </c:pt>
                <c:pt idx="2">
                  <c:v>84.357257896408399</c:v>
                </c:pt>
                <c:pt idx="3">
                  <c:v>45.043697488606703</c:v>
                </c:pt>
              </c:numCache>
            </c:numRef>
          </c:xVal>
          <c:yVal>
            <c:numRef>
              <c:f>('Laskenta tulopuoli 150_ENT'!$Y$59,'Laskenta tulopuoli 150_ENT'!$Y$68,'Laskenta tulopuoli 150_ENT'!$Y$76,'Laskenta tulopuoli 150_ENT'!$Y$84)</c:f>
              <c:numCache>
                <c:formatCode>0.0</c:formatCode>
                <c:ptCount val="4"/>
                <c:pt idx="0">
                  <c:v>166.48112332133923</c:v>
                </c:pt>
                <c:pt idx="1">
                  <c:v>80.608112872381284</c:v>
                </c:pt>
                <c:pt idx="2">
                  <c:v>39.263936860617122</c:v>
                </c:pt>
                <c:pt idx="3">
                  <c:v>12.340574913574338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1E-4333-B3C5-92C46CF24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751088"/>
        <c:axId val="660751416"/>
      </c:scatterChart>
      <c:valAx>
        <c:axId val="660751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751416"/>
        <c:crosses val="autoZero"/>
        <c:crossBetween val="midCat"/>
      </c:valAx>
      <c:valAx>
        <c:axId val="66075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751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ENTALPIAKENNO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4527191434698623"/>
                  <c:y val="0.234953713154081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150_ENT'!$AT$11:$AT$18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tulopuoli 150_ENT'!$AU$11:$AU$18</c:f>
              <c:numCache>
                <c:formatCode>General</c:formatCode>
                <c:ptCount val="8"/>
                <c:pt idx="0">
                  <c:v>0</c:v>
                </c:pt>
                <c:pt idx="1">
                  <c:v>16.899999999999999</c:v>
                </c:pt>
                <c:pt idx="2">
                  <c:v>40.56</c:v>
                </c:pt>
                <c:pt idx="3">
                  <c:v>71.47</c:v>
                </c:pt>
                <c:pt idx="4">
                  <c:v>109.6</c:v>
                </c:pt>
                <c:pt idx="5">
                  <c:v>155.1</c:v>
                </c:pt>
                <c:pt idx="6">
                  <c:v>207.8</c:v>
                </c:pt>
                <c:pt idx="7">
                  <c:v>267.7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3C-4C12-A78F-17F299E49191}"/>
            </c:ext>
          </c:extLst>
        </c:ser>
        <c:ser>
          <c:idx val="1"/>
          <c:order val="1"/>
          <c:tx>
            <c:v>ALUMIINIKENNO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5294614621975118"/>
                  <c:y val="2.718924313674011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150_ENT'!$AT$11:$AT$18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tulopuoli 150_ENT'!$AV$11:$AV$18</c:f>
              <c:numCache>
                <c:formatCode>General</c:formatCode>
                <c:ptCount val="8"/>
                <c:pt idx="0">
                  <c:v>0</c:v>
                </c:pt>
                <c:pt idx="1">
                  <c:v>19</c:v>
                </c:pt>
                <c:pt idx="2">
                  <c:v>48</c:v>
                </c:pt>
                <c:pt idx="3">
                  <c:v>85</c:v>
                </c:pt>
                <c:pt idx="4">
                  <c:v>125</c:v>
                </c:pt>
                <c:pt idx="5">
                  <c:v>167</c:v>
                </c:pt>
                <c:pt idx="6">
                  <c:v>229</c:v>
                </c:pt>
                <c:pt idx="7">
                  <c:v>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3C-4C12-A78F-17F299E49191}"/>
            </c:ext>
          </c:extLst>
        </c:ser>
        <c:ser>
          <c:idx val="2"/>
          <c:order val="2"/>
          <c:tx>
            <c:v>EROTUS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5.4345394097130212E-2"/>
                  <c:y val="-0.174919934653864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150_ENT'!$AT$11:$AT$18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tulopuoli 150_ENT'!$AW$11:$AW$18</c:f>
              <c:numCache>
                <c:formatCode>General</c:formatCode>
                <c:ptCount val="8"/>
                <c:pt idx="0">
                  <c:v>0</c:v>
                </c:pt>
                <c:pt idx="1">
                  <c:v>-2.1000000000000014</c:v>
                </c:pt>
                <c:pt idx="2">
                  <c:v>-7.4399999999999977</c:v>
                </c:pt>
                <c:pt idx="3">
                  <c:v>-13.530000000000001</c:v>
                </c:pt>
                <c:pt idx="4">
                  <c:v>-15.400000000000006</c:v>
                </c:pt>
                <c:pt idx="5">
                  <c:v>-11.900000000000006</c:v>
                </c:pt>
                <c:pt idx="6">
                  <c:v>-21.199999999999989</c:v>
                </c:pt>
                <c:pt idx="7">
                  <c:v>-36.300000000000011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83C-4C12-A78F-17F299E49191}"/>
            </c:ext>
          </c:extLst>
        </c:ser>
        <c:ser>
          <c:idx val="3"/>
          <c:order val="3"/>
          <c:tx>
            <c:v>Testejä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150_ENT'!$AU$38:$AU$43</c:f>
              <c:numCache>
                <c:formatCode>General</c:formatCode>
                <c:ptCount val="6"/>
                <c:pt idx="0">
                  <c:v>100</c:v>
                </c:pt>
                <c:pt idx="1">
                  <c:v>60</c:v>
                </c:pt>
                <c:pt idx="2">
                  <c:v>40</c:v>
                </c:pt>
                <c:pt idx="3">
                  <c:v>80</c:v>
                </c:pt>
                <c:pt idx="4">
                  <c:v>50</c:v>
                </c:pt>
                <c:pt idx="5">
                  <c:v>30</c:v>
                </c:pt>
              </c:numCache>
            </c:numRef>
          </c:xVal>
          <c:yVal>
            <c:numRef>
              <c:f>'Laskenta tulopuoli 150_ENT'!$AY$38:$AY$43</c:f>
              <c:numCache>
                <c:formatCode>0.0</c:formatCode>
                <c:ptCount val="6"/>
                <c:pt idx="0">
                  <c:v>-5.6341071428571468</c:v>
                </c:pt>
                <c:pt idx="1">
                  <c:v>-3.511602380952354</c:v>
                </c:pt>
                <c:pt idx="2">
                  <c:v>-2.6638642857143395</c:v>
                </c:pt>
                <c:pt idx="3">
                  <c:v>-4.5016833333332897</c:v>
                </c:pt>
                <c:pt idx="4">
                  <c:v>-3.0699404761904248</c:v>
                </c:pt>
                <c:pt idx="5">
                  <c:v>-2.2933738095237004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83C-4C12-A78F-17F299E49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1361311"/>
        <c:axId val="1461356511"/>
      </c:scatterChart>
      <c:valAx>
        <c:axId val="1461361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61356511"/>
        <c:crosses val="autoZero"/>
        <c:crossBetween val="midCat"/>
      </c:valAx>
      <c:valAx>
        <c:axId val="1461356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61361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Tulopuoli, </a:t>
            </a:r>
            <a:r>
              <a:rPr lang="fi-FI">
                <a:solidFill>
                  <a:schemeClr val="accent1"/>
                </a:solidFill>
              </a:rPr>
              <a:t>alumiini-</a:t>
            </a:r>
            <a:r>
              <a:rPr lang="fi-FI"/>
              <a:t> ja </a:t>
            </a:r>
            <a:r>
              <a:rPr lang="fi-FI">
                <a:solidFill>
                  <a:schemeClr val="accent2"/>
                </a:solidFill>
              </a:rPr>
              <a:t>entalpia</a:t>
            </a:r>
            <a:r>
              <a:rPr lang="fi-FI"/>
              <a:t>kennot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150_ENT'!$BD$36:$BD$42</c:f>
              <c:numCache>
                <c:formatCode>0.0</c:formatCode>
                <c:ptCount val="7"/>
                <c:pt idx="0">
                  <c:v>163.27621827727629</c:v>
                </c:pt>
                <c:pt idx="1">
                  <c:v>155.01781265788924</c:v>
                </c:pt>
                <c:pt idx="2">
                  <c:v>145.37230967576792</c:v>
                </c:pt>
                <c:pt idx="3">
                  <c:v>137.09553750932855</c:v>
                </c:pt>
                <c:pt idx="4">
                  <c:v>127.42853528220249</c:v>
                </c:pt>
                <c:pt idx="5">
                  <c:v>123.28197466777817</c:v>
                </c:pt>
                <c:pt idx="6">
                  <c:v>113.59833638037064</c:v>
                </c:pt>
              </c:numCache>
            </c:numRef>
          </c:xVal>
          <c:yVal>
            <c:numRef>
              <c:f>'Laskenta tulopuoli 150_ENT'!$BC$36:$BC$42</c:f>
              <c:numCache>
                <c:formatCode>0.0</c:formatCode>
                <c:ptCount val="7"/>
                <c:pt idx="0">
                  <c:v>60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350</c:v>
                </c:pt>
                <c:pt idx="6">
                  <c:v>420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47-4C4D-A06A-5FF9BFE4CFCB}"/>
            </c:ext>
          </c:extLst>
        </c:ser>
        <c:ser>
          <c:idx val="1"/>
          <c:order val="1"/>
          <c:tx>
            <c:v>7.5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150_ENT'!$BF$36:$BF$42</c:f>
              <c:numCache>
                <c:formatCode>0.0</c:formatCode>
                <c:ptCount val="7"/>
                <c:pt idx="0">
                  <c:v>119.61125525000722</c:v>
                </c:pt>
                <c:pt idx="1">
                  <c:v>117.54420481108893</c:v>
                </c:pt>
                <c:pt idx="2">
                  <c:v>107.51569663316263</c:v>
                </c:pt>
                <c:pt idx="3">
                  <c:v>97.947292697105993</c:v>
                </c:pt>
                <c:pt idx="4">
                  <c:v>94.235341332553887</c:v>
                </c:pt>
                <c:pt idx="5">
                  <c:v>90.584425650551594</c:v>
                </c:pt>
                <c:pt idx="6">
                  <c:v>81.705583352655495</c:v>
                </c:pt>
              </c:numCache>
            </c:numRef>
          </c:xVal>
          <c:yVal>
            <c:numRef>
              <c:f>'Laskenta tulopuoli 150_ENT'!$BE$36:$BE$42</c:f>
              <c:numCache>
                <c:formatCode>0.0</c:formatCode>
                <c:ptCount val="7"/>
                <c:pt idx="0">
                  <c:v>40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547-4C4D-A06A-5FF9BFE4CFCB}"/>
            </c:ext>
          </c:extLst>
        </c:ser>
        <c:ser>
          <c:idx val="2"/>
          <c:order val="2"/>
          <c:tx>
            <c:v>5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150_ENT'!$BH$36:$BH$41</c:f>
              <c:numCache>
                <c:formatCode>0.0</c:formatCode>
                <c:ptCount val="6"/>
                <c:pt idx="0">
                  <c:v>85.871546877565663</c:v>
                </c:pt>
                <c:pt idx="1">
                  <c:v>82.320877538980454</c:v>
                </c:pt>
                <c:pt idx="2">
                  <c:v>77.614114597794</c:v>
                </c:pt>
                <c:pt idx="3">
                  <c:v>72.938172794171322</c:v>
                </c:pt>
                <c:pt idx="4">
                  <c:v>68.292454467686269</c:v>
                </c:pt>
                <c:pt idx="5">
                  <c:v>61.379285336312044</c:v>
                </c:pt>
              </c:numCache>
            </c:numRef>
          </c:xVal>
          <c:yVal>
            <c:numRef>
              <c:f>'Laskenta tulopuoli 150_ENT'!$BG$36:$BG$41</c:f>
              <c:numCache>
                <c:formatCode>0.0</c:formatCode>
                <c:ptCount val="6"/>
                <c:pt idx="0">
                  <c:v>25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547-4C4D-A06A-5FF9BFE4CFCB}"/>
            </c:ext>
          </c:extLst>
        </c:ser>
        <c:ser>
          <c:idx val="3"/>
          <c:order val="3"/>
          <c:tx>
            <c:v>3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150_ENT'!$BJ$36:$BJ$40</c:f>
              <c:numCache>
                <c:formatCode>0.0</c:formatCode>
                <c:ptCount val="5"/>
                <c:pt idx="0">
                  <c:v>45.102913284775056</c:v>
                </c:pt>
                <c:pt idx="1">
                  <c:v>41.773612621820391</c:v>
                </c:pt>
                <c:pt idx="2">
                  <c:v>40.043863570173315</c:v>
                </c:pt>
                <c:pt idx="3">
                  <c:v>38.265905843604642</c:v>
                </c:pt>
                <c:pt idx="4">
                  <c:v>30.575525636930571</c:v>
                </c:pt>
              </c:numCache>
            </c:numRef>
          </c:xVal>
          <c:yVal>
            <c:numRef>
              <c:f>'Laskenta tulopuoli 150_ENT'!$BI$36:$BI$40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547-4C4D-A06A-5FF9BFE4CFCB}"/>
            </c:ext>
          </c:extLst>
        </c:ser>
        <c:ser>
          <c:idx val="4"/>
          <c:order val="4"/>
          <c:tx>
            <c:v>10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150_ENT'!$BM$36:$BM$42</c:f>
              <c:numCache>
                <c:formatCode>0.0</c:formatCode>
                <c:ptCount val="7"/>
                <c:pt idx="0">
                  <c:v>164.68916428096787</c:v>
                </c:pt>
                <c:pt idx="1">
                  <c:v>156.33824873484488</c:v>
                </c:pt>
                <c:pt idx="2">
                  <c:v>146.58883133740329</c:v>
                </c:pt>
                <c:pt idx="3">
                  <c:v>138.22644841705758</c:v>
                </c:pt>
                <c:pt idx="4">
                  <c:v>128.463624829699</c:v>
                </c:pt>
                <c:pt idx="5">
                  <c:v>124.27734168192819</c:v>
                </c:pt>
                <c:pt idx="6">
                  <c:v>114.50416792437591</c:v>
                </c:pt>
              </c:numCache>
            </c:numRef>
          </c:xVal>
          <c:yVal>
            <c:numRef>
              <c:f>'Laskenta tulopuoli 150_ENT'!$BL$36:$BL$42</c:f>
              <c:numCache>
                <c:formatCode>0.0</c:formatCode>
                <c:ptCount val="7"/>
                <c:pt idx="0">
                  <c:v>60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350</c:v>
                </c:pt>
                <c:pt idx="6">
                  <c:v>420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547-4C4D-A06A-5FF9BFE4CFCB}"/>
            </c:ext>
          </c:extLst>
        </c:ser>
        <c:ser>
          <c:idx val="5"/>
          <c:order val="5"/>
          <c:tx>
            <c:v>7.5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150_ENT'!$BO$36:$BO$42</c:f>
              <c:numCache>
                <c:formatCode>0.0</c:formatCode>
                <c:ptCount val="7"/>
                <c:pt idx="0">
                  <c:v>121.06721286656557</c:v>
                </c:pt>
                <c:pt idx="1">
                  <c:v>118.95547364278103</c:v>
                </c:pt>
                <c:pt idx="2">
                  <c:v>108.72757540655722</c:v>
                </c:pt>
                <c:pt idx="3">
                  <c:v>98.993053012637731</c:v>
                </c:pt>
                <c:pt idx="4">
                  <c:v>95.222301961660534</c:v>
                </c:pt>
                <c:pt idx="5">
                  <c:v>91.516389636149285</c:v>
                </c:pt>
                <c:pt idx="6">
                  <c:v>82.51468853794691</c:v>
                </c:pt>
              </c:numCache>
            </c:numRef>
          </c:xVal>
          <c:yVal>
            <c:numRef>
              <c:f>'Laskenta tulopuoli 150_ENT'!$BN$36:$BN$42</c:f>
              <c:numCache>
                <c:formatCode>0.0</c:formatCode>
                <c:ptCount val="7"/>
                <c:pt idx="0">
                  <c:v>40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547-4C4D-A06A-5FF9BFE4CFCB}"/>
            </c:ext>
          </c:extLst>
        </c:ser>
        <c:ser>
          <c:idx val="6"/>
          <c:order val="6"/>
          <c:tx>
            <c:v>5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150_ENT'!$BQ$36:$BQ$41</c:f>
              <c:numCache>
                <c:formatCode>0.0</c:formatCode>
                <c:ptCount val="6"/>
                <c:pt idx="0">
                  <c:v>87.031407197974815</c:v>
                </c:pt>
                <c:pt idx="1">
                  <c:v>83.42811903148889</c:v>
                </c:pt>
                <c:pt idx="2">
                  <c:v>78.654122417993619</c:v>
                </c:pt>
                <c:pt idx="3">
                  <c:v>73.914173663721783</c:v>
                </c:pt>
                <c:pt idx="4">
                  <c:v>69.207554513858213</c:v>
                </c:pt>
                <c:pt idx="5">
                  <c:v>62.208608606064594</c:v>
                </c:pt>
              </c:numCache>
            </c:numRef>
          </c:xVal>
          <c:yVal>
            <c:numRef>
              <c:f>'Laskenta tulopuoli 150_ENT'!$BP$36:$BP$41</c:f>
              <c:numCache>
                <c:formatCode>0.0</c:formatCode>
                <c:ptCount val="6"/>
                <c:pt idx="0">
                  <c:v>25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547-4C4D-A06A-5FF9BFE4CFCB}"/>
            </c:ext>
          </c:extLst>
        </c:ser>
        <c:ser>
          <c:idx val="7"/>
          <c:order val="7"/>
          <c:tx>
            <c:v>3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150_ENT'!$BS$36:$BS$40</c:f>
              <c:numCache>
                <c:formatCode>0.0</c:formatCode>
                <c:ptCount val="5"/>
                <c:pt idx="0">
                  <c:v>46.040286179214114</c:v>
                </c:pt>
                <c:pt idx="1">
                  <c:v>42.712694256060544</c:v>
                </c:pt>
                <c:pt idx="2">
                  <c:v>40.984448126885262</c:v>
                </c:pt>
                <c:pt idx="3">
                  <c:v>39.208521433821417</c:v>
                </c:pt>
                <c:pt idx="4">
                  <c:v>31.533758619712255</c:v>
                </c:pt>
              </c:numCache>
            </c:numRef>
          </c:xVal>
          <c:yVal>
            <c:numRef>
              <c:f>'Laskenta tulopuoli 150_ENT'!$BR$36:$BR$40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547-4C4D-A06A-5FF9BFE4C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7504783"/>
        <c:axId val="1477506223"/>
      </c:scatterChart>
      <c:valAx>
        <c:axId val="147750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7506223"/>
        <c:crosses val="autoZero"/>
        <c:crossBetween val="midCat"/>
      </c:valAx>
      <c:valAx>
        <c:axId val="147750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750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7463845144356958"/>
                  <c:y val="4.198745990084572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C5'!$BG$35:$BG$42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tulopuoli C5'!$BL$35:$BL$42</c:f>
              <c:numCache>
                <c:formatCode>0.0</c:formatCode>
                <c:ptCount val="8"/>
                <c:pt idx="0">
                  <c:v>0.49729170014446034</c:v>
                </c:pt>
                <c:pt idx="1">
                  <c:v>2.5987455668642259</c:v>
                </c:pt>
                <c:pt idx="2">
                  <c:v>5.5573318339740574</c:v>
                </c:pt>
                <c:pt idx="3">
                  <c:v>9.1481979556772863</c:v>
                </c:pt>
                <c:pt idx="4">
                  <c:v>17.789057672780771</c:v>
                </c:pt>
                <c:pt idx="5">
                  <c:v>27.968190846353394</c:v>
                </c:pt>
                <c:pt idx="6">
                  <c:v>39.390680916873336</c:v>
                </c:pt>
                <c:pt idx="7">
                  <c:v>51.868601872307437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57-4488-9F1B-B85623B0BE37}"/>
            </c:ext>
          </c:extLst>
        </c:ser>
        <c:ser>
          <c:idx val="1"/>
          <c:order val="1"/>
          <c:tx>
            <c:strRef>
              <c:f>'Laskenta tulopuoli C5'!$BM$34</c:f>
              <c:strCache>
                <c:ptCount val="1"/>
                <c:pt idx="0">
                  <c:v>M5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8441229221347331"/>
                  <c:y val="-4.7685185185185183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C5'!$BG$35:$BG$42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tulopuoli C5'!$BM$35:$BM$42</c:f>
              <c:numCache>
                <c:formatCode>0.0</c:formatCode>
                <c:ptCount val="8"/>
                <c:pt idx="0">
                  <c:v>-4.5597664671080587</c:v>
                </c:pt>
                <c:pt idx="1">
                  <c:v>-9.2299862063821578</c:v>
                </c:pt>
                <c:pt idx="2">
                  <c:v>-13.885115218604678</c:v>
                </c:pt>
                <c:pt idx="3">
                  <c:v>-18.511275410150176</c:v>
                </c:pt>
                <c:pt idx="4">
                  <c:v>-27.665249978619464</c:v>
                </c:pt>
                <c:pt idx="5">
                  <c:v>-36.687800308323908</c:v>
                </c:pt>
                <c:pt idx="6">
                  <c:v>-45.584769373688815</c:v>
                </c:pt>
                <c:pt idx="7">
                  <c:v>-54.363168878472827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257-4488-9F1B-B85623B0B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223647"/>
        <c:axId val="196212607"/>
      </c:scatterChart>
      <c:valAx>
        <c:axId val="196223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212607"/>
        <c:crosses val="autoZero"/>
        <c:crossBetween val="midCat"/>
      </c:valAx>
      <c:valAx>
        <c:axId val="196212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2236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2.4864297368234377E-2"/>
                  <c:y val="0.200411712307563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150_ENT'!$D$59:$D$62</c:f>
              <c:numCache>
                <c:formatCode>0.0</c:formatCode>
                <c:ptCount val="4"/>
                <c:pt idx="0">
                  <c:v>177.37307385653068</c:v>
                </c:pt>
                <c:pt idx="1">
                  <c:v>163.0789877970802</c:v>
                </c:pt>
                <c:pt idx="2">
                  <c:v>150.05253955002848</c:v>
                </c:pt>
                <c:pt idx="3">
                  <c:v>139.45609818368541</c:v>
                </c:pt>
              </c:numCache>
            </c:numRef>
          </c:xVal>
          <c:yVal>
            <c:numRef>
              <c:f>'Laskenta poistopuoli 150_ENT'!$E$59:$E$62</c:f>
              <c:numCache>
                <c:formatCode>0.0</c:formatCode>
                <c:ptCount val="4"/>
                <c:pt idx="0">
                  <c:v>59.060591218014309</c:v>
                </c:pt>
                <c:pt idx="1">
                  <c:v>58.487634881019723</c:v>
                </c:pt>
                <c:pt idx="2">
                  <c:v>58.850988893487546</c:v>
                </c:pt>
                <c:pt idx="3">
                  <c:v>57.67195124759094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29-4D04-AC26-4B1597ED2AED}"/>
            </c:ext>
          </c:extLst>
        </c:ser>
        <c:ser>
          <c:idx val="1"/>
          <c:order val="1"/>
          <c:tx>
            <c:strRef>
              <c:f>'Laskenta poistopuoli 150_ENT'!$C$64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2813232129767563"/>
                  <c:y val="0.184368556889940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150_ENT'!$D$64:$D$67</c:f>
              <c:numCache>
                <c:formatCode>0.0</c:formatCode>
                <c:ptCount val="4"/>
                <c:pt idx="0">
                  <c:v>128.90693428688564</c:v>
                </c:pt>
                <c:pt idx="1">
                  <c:v>118.92053609192801</c:v>
                </c:pt>
                <c:pt idx="2">
                  <c:v>108.09236183775965</c:v>
                </c:pt>
                <c:pt idx="3">
                  <c:v>97.637725898629455</c:v>
                </c:pt>
              </c:numCache>
            </c:numRef>
          </c:xVal>
          <c:yVal>
            <c:numRef>
              <c:f>'Laskenta poistopuoli 150_ENT'!$E$64:$E$67</c:f>
              <c:numCache>
                <c:formatCode>0.0</c:formatCode>
                <c:ptCount val="4"/>
                <c:pt idx="0">
                  <c:v>54.451504598514305</c:v>
                </c:pt>
                <c:pt idx="1">
                  <c:v>54.067114966227088</c:v>
                </c:pt>
                <c:pt idx="2">
                  <c:v>55.01792182177379</c:v>
                </c:pt>
                <c:pt idx="3">
                  <c:v>54.297349049625566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29-4D04-AC26-4B1597ED2AED}"/>
            </c:ext>
          </c:extLst>
        </c:ser>
        <c:ser>
          <c:idx val="2"/>
          <c:order val="2"/>
          <c:tx>
            <c:strRef>
              <c:f>'Laskenta poistopuoli 150_ENT'!$C$69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9.0959684093542409E-2"/>
                  <c:y val="0.1950959713504456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150_ENT'!$D$69:$D$72</c:f>
              <c:numCache>
                <c:formatCode>0.0</c:formatCode>
                <c:ptCount val="4"/>
                <c:pt idx="0">
                  <c:v>96.446026922929775</c:v>
                </c:pt>
                <c:pt idx="1">
                  <c:v>89.482984390049424</c:v>
                </c:pt>
                <c:pt idx="2">
                  <c:v>81.913305263117934</c:v>
                </c:pt>
                <c:pt idx="3">
                  <c:v>74.605066551746319</c:v>
                </c:pt>
              </c:numCache>
            </c:numRef>
          </c:xVal>
          <c:yVal>
            <c:numRef>
              <c:f>'Laskenta poistopuoli 150_ENT'!$E$69:$E$72</c:f>
              <c:numCache>
                <c:formatCode>0.0</c:formatCode>
                <c:ptCount val="4"/>
                <c:pt idx="0">
                  <c:v>50.705217763769895</c:v>
                </c:pt>
                <c:pt idx="1">
                  <c:v>49.862182652532596</c:v>
                </c:pt>
                <c:pt idx="2">
                  <c:v>49.69054596207009</c:v>
                </c:pt>
                <c:pt idx="3">
                  <c:v>49.842714107243317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29-4D04-AC26-4B1597ED2AED}"/>
            </c:ext>
          </c:extLst>
        </c:ser>
        <c:ser>
          <c:idx val="3"/>
          <c:order val="3"/>
          <c:tx>
            <c:strRef>
              <c:f>'Laskenta poistopuoli 150_ENT'!$C$74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5"/>
            <c:dispRSqr val="1"/>
            <c:dispEq val="1"/>
            <c:trendlineLbl>
              <c:layout>
                <c:manualLayout>
                  <c:x val="0.23805178406753211"/>
                  <c:y val="9.54278764026631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150_ENT'!$D$74:$D$77</c:f>
              <c:numCache>
                <c:formatCode>0.0</c:formatCode>
                <c:ptCount val="4"/>
                <c:pt idx="0">
                  <c:v>52.691549157468963</c:v>
                </c:pt>
                <c:pt idx="1">
                  <c:v>50.633657357814492</c:v>
                </c:pt>
                <c:pt idx="2">
                  <c:v>47.425486734660552</c:v>
                </c:pt>
                <c:pt idx="3">
                  <c:v>43.955253994144648</c:v>
                </c:pt>
              </c:numCache>
            </c:numRef>
          </c:xVal>
          <c:yVal>
            <c:numRef>
              <c:f>'Laskenta poistopuoli 150_ENT'!$E$74:$E$77</c:f>
              <c:numCache>
                <c:formatCode>0.0</c:formatCode>
                <c:ptCount val="4"/>
                <c:pt idx="0">
                  <c:v>41.380052436275669</c:v>
                </c:pt>
                <c:pt idx="1">
                  <c:v>41.607142667549759</c:v>
                </c:pt>
                <c:pt idx="2">
                  <c:v>42.11228816912228</c:v>
                </c:pt>
                <c:pt idx="3">
                  <c:v>41.40651007171919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A29-4D04-AC26-4B1597ED2AE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29-4D04-AC26-4B1597ED2AED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A29-4D04-AC26-4B1597ED2AED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7356411529639876"/>
                  <c:y val="-8.642336735740974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150_ENT'!$AC$34:$AC$36</c:f>
              <c:numCache>
                <c:formatCode>0.0</c:formatCode>
                <c:ptCount val="3"/>
                <c:pt idx="0">
                  <c:v>100.64007706546248</c:v>
                </c:pt>
                <c:pt idx="1">
                  <c:v>67.708078107414849</c:v>
                </c:pt>
                <c:pt idx="2">
                  <c:v>52.200831097637398</c:v>
                </c:pt>
              </c:numCache>
            </c:numRef>
          </c:xVal>
          <c:yVal>
            <c:numRef>
              <c:f>'Laskenta poistopuoli 150_ENT'!$AF$34:$AF$36</c:f>
              <c:numCache>
                <c:formatCode>0.0</c:formatCode>
                <c:ptCount val="3"/>
                <c:pt idx="0">
                  <c:v>53.887457382090659</c:v>
                </c:pt>
                <c:pt idx="1">
                  <c:v>53.064225914690645</c:v>
                </c:pt>
                <c:pt idx="2">
                  <c:v>48.776887852981119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A29-4D04-AC26-4B1597ED2AE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150_ENT'!$W$5</c:f>
              <c:numCache>
                <c:formatCode>0.0</c:formatCode>
                <c:ptCount val="1"/>
                <c:pt idx="0">
                  <c:v>43.62808829312722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A29-4D04-AC26-4B1597ED2AED}"/>
            </c:ext>
          </c:extLst>
        </c:ser>
        <c:ser>
          <c:idx val="6"/>
          <c:order val="6"/>
          <c:tx>
            <c:v>3-5V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7861767279090113E-2"/>
                  <c:y val="-0.14231798038923177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150_ENT'!$AC$35:$AC$37</c:f>
              <c:numCache>
                <c:formatCode>0.0</c:formatCode>
                <c:ptCount val="3"/>
                <c:pt idx="0">
                  <c:v>67.708078107414849</c:v>
                </c:pt>
                <c:pt idx="1">
                  <c:v>52.200831097637398</c:v>
                </c:pt>
                <c:pt idx="2">
                  <c:v>30.244070732389282</c:v>
                </c:pt>
              </c:numCache>
            </c:numRef>
          </c:xVal>
          <c:yVal>
            <c:numRef>
              <c:f>'Laskenta poistopuoli 150_ENT'!$AF$35:$AF$37</c:f>
              <c:numCache>
                <c:formatCode>0.0</c:formatCode>
                <c:ptCount val="3"/>
                <c:pt idx="0">
                  <c:v>53.064225914690645</c:v>
                </c:pt>
                <c:pt idx="1">
                  <c:v>48.776887852981119</c:v>
                </c:pt>
                <c:pt idx="2">
                  <c:v>41.877482090091789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A29-4D04-AC26-4B1597ED2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2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8.6096276494048666E-4"/>
                  <c:y val="0.21036261209017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150_ENT'!$N$59:$N$62</c:f>
              <c:numCache>
                <c:formatCode>0.0</c:formatCode>
                <c:ptCount val="4"/>
                <c:pt idx="0">
                  <c:v>177.73570182908642</c:v>
                </c:pt>
                <c:pt idx="1">
                  <c:v>163.49986992681139</c:v>
                </c:pt>
                <c:pt idx="2">
                  <c:v>150.93715952891725</c:v>
                </c:pt>
                <c:pt idx="3">
                  <c:v>139.8137012360778</c:v>
                </c:pt>
              </c:numCache>
            </c:numRef>
          </c:xVal>
          <c:yVal>
            <c:numRef>
              <c:f>'Laskenta poistopuoli 150_ENT'!$O$59:$O$62</c:f>
              <c:numCache>
                <c:formatCode>0.0</c:formatCode>
                <c:ptCount val="4"/>
                <c:pt idx="0">
                  <c:v>75.33438936131401</c:v>
                </c:pt>
                <c:pt idx="1">
                  <c:v>74.723775090917528</c:v>
                </c:pt>
                <c:pt idx="2">
                  <c:v>74.042236453158083</c:v>
                </c:pt>
                <c:pt idx="3">
                  <c:v>73.327605236408132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98-40B9-807D-C40120B99196}"/>
            </c:ext>
          </c:extLst>
        </c:ser>
        <c:ser>
          <c:idx val="1"/>
          <c:order val="1"/>
          <c:tx>
            <c:strRef>
              <c:f>'Laskenta poistopuoli 150_ENT'!$C$64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150_ENT'!$N$64:$N$67</c:f>
              <c:numCache>
                <c:formatCode>0.0</c:formatCode>
                <c:ptCount val="4"/>
                <c:pt idx="0">
                  <c:v>129.19990627446921</c:v>
                </c:pt>
                <c:pt idx="1">
                  <c:v>118.49379513279769</c:v>
                </c:pt>
                <c:pt idx="2">
                  <c:v>107.73788615282413</c:v>
                </c:pt>
                <c:pt idx="3">
                  <c:v>96.456384991227822</c:v>
                </c:pt>
              </c:numCache>
            </c:numRef>
          </c:xVal>
          <c:yVal>
            <c:numRef>
              <c:f>'Laskenta poistopuoli 150_ENT'!$O$64:$O$67</c:f>
              <c:numCache>
                <c:formatCode>0.0</c:formatCode>
                <c:ptCount val="4"/>
                <c:pt idx="0">
                  <c:v>71.015258117342043</c:v>
                </c:pt>
                <c:pt idx="1">
                  <c:v>69.207392594698533</c:v>
                </c:pt>
                <c:pt idx="2">
                  <c:v>69.667473858703929</c:v>
                </c:pt>
                <c:pt idx="3">
                  <c:v>68.747405149388015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698-40B9-807D-C40120B99196}"/>
            </c:ext>
          </c:extLst>
        </c:ser>
        <c:ser>
          <c:idx val="2"/>
          <c:order val="2"/>
          <c:tx>
            <c:strRef>
              <c:f>'Laskenta poistopuoli 150_ENT'!$C$69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150_ENT'!$N$69:$N$72</c:f>
              <c:numCache>
                <c:formatCode>0.0</c:formatCode>
                <c:ptCount val="4"/>
                <c:pt idx="0">
                  <c:v>96.677155462994648</c:v>
                </c:pt>
                <c:pt idx="1">
                  <c:v>89.050003982355406</c:v>
                </c:pt>
                <c:pt idx="2">
                  <c:v>81.113386537818101</c:v>
                </c:pt>
                <c:pt idx="3">
                  <c:v>73.662533531132837</c:v>
                </c:pt>
              </c:numCache>
            </c:numRef>
          </c:xVal>
          <c:yVal>
            <c:numRef>
              <c:f>'Laskenta poistopuoli 150_ENT'!$O$69:$O$72</c:f>
              <c:numCache>
                <c:formatCode>0.0</c:formatCode>
                <c:ptCount val="4"/>
                <c:pt idx="0">
                  <c:v>63.474654182224072</c:v>
                </c:pt>
                <c:pt idx="1">
                  <c:v>63.121110432341567</c:v>
                </c:pt>
                <c:pt idx="2">
                  <c:v>62.964148018821327</c:v>
                </c:pt>
                <c:pt idx="3">
                  <c:v>62.499440267629495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698-40B9-807D-C40120B99196}"/>
            </c:ext>
          </c:extLst>
        </c:ser>
        <c:ser>
          <c:idx val="3"/>
          <c:order val="3"/>
          <c:tx>
            <c:strRef>
              <c:f>'Laskenta poistopuoli 150_ENT'!$C$74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150_ENT'!$N$74:$N$77</c:f>
              <c:numCache>
                <c:formatCode>0.0</c:formatCode>
                <c:ptCount val="4"/>
                <c:pt idx="0">
                  <c:v>52.674432772712962</c:v>
                </c:pt>
                <c:pt idx="1">
                  <c:v>50.314053190972899</c:v>
                </c:pt>
                <c:pt idx="2">
                  <c:v>47.062148526651839</c:v>
                </c:pt>
                <c:pt idx="3">
                  <c:v>43.017634077035808</c:v>
                </c:pt>
              </c:numCache>
            </c:numRef>
          </c:xVal>
          <c:yVal>
            <c:numRef>
              <c:f>'Laskenta poistopuoli 150_ENT'!$O$74:$O$77</c:f>
              <c:numCache>
                <c:formatCode>0.0</c:formatCode>
                <c:ptCount val="4"/>
                <c:pt idx="0">
                  <c:v>52.459873209173018</c:v>
                </c:pt>
                <c:pt idx="1">
                  <c:v>51.838959953428834</c:v>
                </c:pt>
                <c:pt idx="2">
                  <c:v>51.742817256488848</c:v>
                </c:pt>
                <c:pt idx="3">
                  <c:v>51.013721065119356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698-40B9-807D-C40120B99196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733499720590898"/>
                  <c:y val="-7.756739207480754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150_ENT'!$AC$34:$AC$36</c:f>
              <c:numCache>
                <c:formatCode>0.0</c:formatCode>
                <c:ptCount val="3"/>
                <c:pt idx="0">
                  <c:v>100.64007706546248</c:v>
                </c:pt>
                <c:pt idx="1">
                  <c:v>67.708078107414849</c:v>
                </c:pt>
                <c:pt idx="2">
                  <c:v>52.200831097637398</c:v>
                </c:pt>
              </c:numCache>
            </c:numRef>
          </c:xVal>
          <c:yVal>
            <c:numRef>
              <c:f>'Laskenta poistopuoli 150_ENT'!$AG$34:$AG$36</c:f>
              <c:numCache>
                <c:formatCode>0.0</c:formatCode>
                <c:ptCount val="3"/>
                <c:pt idx="0">
                  <c:v>69.976882967247889</c:v>
                </c:pt>
                <c:pt idx="1">
                  <c:v>70.548249435941557</c:v>
                </c:pt>
                <c:pt idx="2">
                  <c:v>61.194308544541435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698-40B9-807D-C40120B99196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150_ENT'!$W$8</c:f>
              <c:numCache>
                <c:formatCode>0.0</c:formatCode>
                <c:ptCount val="1"/>
                <c:pt idx="0">
                  <c:v>52.470768897953512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698-40B9-807D-C40120B99196}"/>
            </c:ext>
          </c:extLst>
        </c:ser>
        <c:ser>
          <c:idx val="6"/>
          <c:order val="6"/>
          <c:tx>
            <c:v>3-6,5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707132560351225"/>
                  <c:y val="3.7450341433633216E-3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150_ENT'!$AC$35:$AC$37</c:f>
              <c:numCache>
                <c:formatCode>0.0</c:formatCode>
                <c:ptCount val="3"/>
                <c:pt idx="0">
                  <c:v>67.708078107414849</c:v>
                </c:pt>
                <c:pt idx="1">
                  <c:v>52.200831097637398</c:v>
                </c:pt>
                <c:pt idx="2">
                  <c:v>30.244070732389282</c:v>
                </c:pt>
              </c:numCache>
            </c:numRef>
          </c:xVal>
          <c:yVal>
            <c:numRef>
              <c:f>'Laskenta poistopuoli 150_ENT'!$AG$35:$AG$37</c:f>
              <c:numCache>
                <c:formatCode>0.0</c:formatCode>
                <c:ptCount val="3"/>
                <c:pt idx="0">
                  <c:v>70.548249435941557</c:v>
                </c:pt>
                <c:pt idx="1">
                  <c:v>61.194308544541435</c:v>
                </c:pt>
                <c:pt idx="2">
                  <c:v>49.490376283702858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698-40B9-807D-C40120B99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8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55366704954692"/>
                  <c:y val="6.15187971392051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150_ENT'!$AJ$34:$AJ$35</c:f>
              <c:numCache>
                <c:formatCode>0.0</c:formatCode>
                <c:ptCount val="2"/>
                <c:pt idx="0">
                  <c:v>100.64007706546248</c:v>
                </c:pt>
                <c:pt idx="1">
                  <c:v>67.708078107414849</c:v>
                </c:pt>
              </c:numCache>
            </c:numRef>
          </c:xVal>
          <c:yVal>
            <c:numRef>
              <c:f>'Laskenta poistopuoli 150_ENT'!$AI$34:$AI$35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FB-4BA4-B887-B853990943C7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150_ENT'!$W$12</c:f>
              <c:numCache>
                <c:formatCode>0.0</c:formatCode>
                <c:ptCount val="1"/>
                <c:pt idx="0">
                  <c:v>3.4036573836203621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FB-4BA4-B887-B853990943C7}"/>
            </c:ext>
          </c:extLst>
        </c:ser>
        <c:ser>
          <c:idx val="2"/>
          <c:order val="2"/>
          <c:tx>
            <c:v>3-6,5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poistopuoli 150_ENT'!$AC$35:$AC$37</c:f>
              <c:numCache>
                <c:formatCode>0.0</c:formatCode>
                <c:ptCount val="3"/>
                <c:pt idx="0">
                  <c:v>67.708078107414849</c:v>
                </c:pt>
                <c:pt idx="1">
                  <c:v>52.200831097637398</c:v>
                </c:pt>
                <c:pt idx="2">
                  <c:v>30.244070732389282</c:v>
                </c:pt>
              </c:numCache>
            </c:numRef>
          </c:xVal>
          <c:yVal>
            <c:numRef>
              <c:f>'Laskenta poistopuoli 150_ENT'!$U$35:$U$37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FFB-4BA4-B887-B853990943C7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150_ENT'!$AL$36</c:f>
              <c:numCache>
                <c:formatCode>0.0</c:formatCode>
                <c:ptCount val="1"/>
                <c:pt idx="0">
                  <c:v>41.666666666666664</c:v>
                </c:pt>
              </c:numCache>
            </c:numRef>
          </c:xVal>
          <c:yVal>
            <c:numRef>
              <c:f>'Laskenta poistopuoli 150_ENT'!$AO$36</c:f>
              <c:numCache>
                <c:formatCode>0.0</c:formatCode>
                <c:ptCount val="1"/>
                <c:pt idx="0">
                  <c:v>4.0513482616353453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FFB-4BA4-B887-B85399094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150_ENT'!$X$59:$X$66</c:f>
              <c:numCache>
                <c:formatCode>0.0</c:formatCode>
                <c:ptCount val="8"/>
                <c:pt idx="0">
                  <c:v>177.37307385653068</c:v>
                </c:pt>
                <c:pt idx="1">
                  <c:v>163.0789877970802</c:v>
                </c:pt>
                <c:pt idx="2">
                  <c:v>150.05253955002848</c:v>
                </c:pt>
                <c:pt idx="3">
                  <c:v>139.45609818368541</c:v>
                </c:pt>
                <c:pt idx="4">
                  <c:v>177.73570182908642</c:v>
                </c:pt>
                <c:pt idx="5">
                  <c:v>163.49986992681139</c:v>
                </c:pt>
                <c:pt idx="6">
                  <c:v>150.93715952891725</c:v>
                </c:pt>
                <c:pt idx="7">
                  <c:v>139.8137012360778</c:v>
                </c:pt>
              </c:numCache>
            </c:numRef>
          </c:xVal>
          <c:yVal>
            <c:numRef>
              <c:f>'Laskenta poistopuoli 150_ENT'!$Y$59:$Y$66</c:f>
              <c:numCache>
                <c:formatCode>0.0</c:formatCode>
                <c:ptCount val="8"/>
                <c:pt idx="0">
                  <c:v>168.54259322528048</c:v>
                </c:pt>
                <c:pt idx="1">
                  <c:v>167.59942656948792</c:v>
                </c:pt>
                <c:pt idx="2">
                  <c:v>169.17807377970442</c:v>
                </c:pt>
                <c:pt idx="3">
                  <c:v>169.16904544949875</c:v>
                </c:pt>
                <c:pt idx="4">
                  <c:v>166.12773047785547</c:v>
                </c:pt>
                <c:pt idx="5">
                  <c:v>166.43802423984073</c:v>
                </c:pt>
                <c:pt idx="6">
                  <c:v>167.04225955146646</c:v>
                </c:pt>
                <c:pt idx="7">
                  <c:v>166.27144487679067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D9-4F55-8634-E75FAAE258A5}"/>
            </c:ext>
          </c:extLst>
        </c:ser>
        <c:ser>
          <c:idx val="1"/>
          <c:order val="1"/>
          <c:tx>
            <c:strRef>
              <c:f>'Laskenta poistopuoli 150_ENT'!$W$68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150_ENT'!$X$68:$X$74</c:f>
              <c:numCache>
                <c:formatCode>0.0</c:formatCode>
                <c:ptCount val="7"/>
                <c:pt idx="0">
                  <c:v>128.90693428688564</c:v>
                </c:pt>
                <c:pt idx="1">
                  <c:v>118.92053609192801</c:v>
                </c:pt>
                <c:pt idx="2">
                  <c:v>97.637725898629455</c:v>
                </c:pt>
                <c:pt idx="3">
                  <c:v>129.19990627446921</c:v>
                </c:pt>
                <c:pt idx="4">
                  <c:v>118.49379513279769</c:v>
                </c:pt>
                <c:pt idx="5">
                  <c:v>107.73788615282413</c:v>
                </c:pt>
                <c:pt idx="6">
                  <c:v>96.456384991227822</c:v>
                </c:pt>
              </c:numCache>
            </c:numRef>
          </c:xVal>
          <c:yVal>
            <c:numRef>
              <c:f>'Laskenta poistopuoli 150_ENT'!$Y$68:$Y$74</c:f>
              <c:numCache>
                <c:formatCode>0.0</c:formatCode>
                <c:ptCount val="7"/>
                <c:pt idx="0">
                  <c:v>74.820392141737685</c:v>
                </c:pt>
                <c:pt idx="1">
                  <c:v>75.833334962098107</c:v>
                </c:pt>
                <c:pt idx="2">
                  <c:v>75.029888520884157</c:v>
                </c:pt>
                <c:pt idx="3">
                  <c:v>74.664735053247043</c:v>
                </c:pt>
                <c:pt idx="4">
                  <c:v>75.607005937099942</c:v>
                </c:pt>
                <c:pt idx="5">
                  <c:v>75.008544459619515</c:v>
                </c:pt>
                <c:pt idx="6">
                  <c:v>76.147690977104276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D9-4F55-8634-E75FAAE258A5}"/>
            </c:ext>
          </c:extLst>
        </c:ser>
        <c:ser>
          <c:idx val="2"/>
          <c:order val="2"/>
          <c:tx>
            <c:strRef>
              <c:f>'Laskenta poistopuoli 150_ENT'!$W$76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150_ENT'!$X$76:$X$82</c:f>
              <c:numCache>
                <c:formatCode>0.0</c:formatCode>
                <c:ptCount val="7"/>
                <c:pt idx="0">
                  <c:v>96.446026922929775</c:v>
                </c:pt>
                <c:pt idx="1">
                  <c:v>89.482984390049424</c:v>
                </c:pt>
                <c:pt idx="2">
                  <c:v>74.605066551746319</c:v>
                </c:pt>
                <c:pt idx="3">
                  <c:v>96.677155462994648</c:v>
                </c:pt>
                <c:pt idx="4">
                  <c:v>89.050003982355406</c:v>
                </c:pt>
                <c:pt idx="5">
                  <c:v>81.113386537818101</c:v>
                </c:pt>
                <c:pt idx="6">
                  <c:v>73.662533531132837</c:v>
                </c:pt>
              </c:numCache>
            </c:numRef>
          </c:xVal>
          <c:yVal>
            <c:numRef>
              <c:f>'Laskenta poistopuoli 150_ENT'!$Y$76:$Y$82</c:f>
              <c:numCache>
                <c:formatCode>0.0</c:formatCode>
                <c:ptCount val="7"/>
                <c:pt idx="0">
                  <c:v>37.521574862086936</c:v>
                </c:pt>
                <c:pt idx="1">
                  <c:v>38.03015416313044</c:v>
                </c:pt>
                <c:pt idx="2">
                  <c:v>37.553374474480925</c:v>
                </c:pt>
                <c:pt idx="3">
                  <c:v>37.671500566760479</c:v>
                </c:pt>
                <c:pt idx="4">
                  <c:v>38.131443787846948</c:v>
                </c:pt>
                <c:pt idx="5">
                  <c:v>38.111301196784787</c:v>
                </c:pt>
                <c:pt idx="6">
                  <c:v>37.03115401994468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8D9-4F55-8634-E75FAAE258A5}"/>
            </c:ext>
          </c:extLst>
        </c:ser>
        <c:ser>
          <c:idx val="3"/>
          <c:order val="3"/>
          <c:tx>
            <c:strRef>
              <c:f>'Laskenta poistopuoli 150_ENT'!$W$84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150_ENT'!$X$84:$X$90</c:f>
              <c:numCache>
                <c:formatCode>0.0</c:formatCode>
                <c:ptCount val="7"/>
                <c:pt idx="0">
                  <c:v>52.691549157468963</c:v>
                </c:pt>
                <c:pt idx="1">
                  <c:v>50.633657357814492</c:v>
                </c:pt>
                <c:pt idx="2">
                  <c:v>47.425486734660552</c:v>
                </c:pt>
                <c:pt idx="3">
                  <c:v>52.674432772712962</c:v>
                </c:pt>
                <c:pt idx="4">
                  <c:v>50.314053190972899</c:v>
                </c:pt>
                <c:pt idx="5">
                  <c:v>47.062148526651839</c:v>
                </c:pt>
                <c:pt idx="6">
                  <c:v>43.017634077035808</c:v>
                </c:pt>
              </c:numCache>
            </c:numRef>
          </c:xVal>
          <c:yVal>
            <c:numRef>
              <c:f>'Laskenta poistopuoli 150_ENT'!$Y$84:$Y$90</c:f>
              <c:numCache>
                <c:formatCode>0.0</c:formatCode>
                <c:ptCount val="7"/>
                <c:pt idx="0">
                  <c:v>12.146003600193032</c:v>
                </c:pt>
                <c:pt idx="1">
                  <c:v>12.05591376347108</c:v>
                </c:pt>
                <c:pt idx="2">
                  <c:v>12.128112153149525</c:v>
                </c:pt>
                <c:pt idx="3">
                  <c:v>12.163996986693864</c:v>
                </c:pt>
                <c:pt idx="4">
                  <c:v>12.018930654554175</c:v>
                </c:pt>
                <c:pt idx="5">
                  <c:v>12.057302090130493</c:v>
                </c:pt>
                <c:pt idx="6">
                  <c:v>11.924120066096666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8D9-4F55-8634-E75FAAE258A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150_ENT'!$AC$34:$AC$38</c:f>
              <c:numCache>
                <c:formatCode>0.0</c:formatCode>
                <c:ptCount val="5"/>
                <c:pt idx="0">
                  <c:v>100.64007706546248</c:v>
                </c:pt>
                <c:pt idx="1">
                  <c:v>67.708078107414849</c:v>
                </c:pt>
                <c:pt idx="2">
                  <c:v>52.200831097637398</c:v>
                </c:pt>
                <c:pt idx="3">
                  <c:v>30.244070732389282</c:v>
                </c:pt>
              </c:numCache>
            </c:numRef>
          </c:xVal>
          <c:yVal>
            <c:numRef>
              <c:f>'Laskenta poistopuoli 150_ENT'!$AE$34:$AE$37</c:f>
              <c:numCache>
                <c:formatCode>0.0</c:formatCode>
                <c:ptCount val="4"/>
                <c:pt idx="0">
                  <c:v>169.43574564840276</c:v>
                </c:pt>
                <c:pt idx="1">
                  <c:v>73.748824180172548</c:v>
                </c:pt>
                <c:pt idx="2">
                  <c:v>31.257269164199577</c:v>
                </c:pt>
                <c:pt idx="3">
                  <c:v>11.426165698771166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8D9-4F55-8634-E75FAAE258A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150_ENT'!$W$16</c:f>
              <c:numCache>
                <c:formatCode>0.0</c:formatCode>
                <c:ptCount val="1"/>
                <c:pt idx="0">
                  <c:v>13.661473130403767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8D9-4F55-8634-E75FAAE25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150_ENT'!$AA$4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150_ENT'!$AB$6:$AB$12</c:f>
              <c:numCache>
                <c:formatCode>0.0</c:formatCode>
                <c:ptCount val="7"/>
                <c:pt idx="0">
                  <c:v>181.77869057311793</c:v>
                </c:pt>
                <c:pt idx="1">
                  <c:v>177.24711473659906</c:v>
                </c:pt>
                <c:pt idx="2">
                  <c:v>163.95870969060681</c:v>
                </c:pt>
                <c:pt idx="3">
                  <c:v>154.52064814384127</c:v>
                </c:pt>
                <c:pt idx="4">
                  <c:v>144.89362815563373</c:v>
                </c:pt>
                <c:pt idx="5">
                  <c:v>136.29910964571815</c:v>
                </c:pt>
                <c:pt idx="6">
                  <c:v>129.54283234586202</c:v>
                </c:pt>
              </c:numCache>
            </c:numRef>
          </c:xVal>
          <c:yVal>
            <c:numRef>
              <c:f>'Laskenta poistopuoli 150_ENT'!$AA$6:$AA$12</c:f>
              <c:numCache>
                <c:formatCode>0.0</c:formatCode>
                <c:ptCount val="7"/>
                <c:pt idx="0">
                  <c:v>100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6D-4BE1-8C29-97227806EEAF}"/>
            </c:ext>
          </c:extLst>
        </c:ser>
        <c:ser>
          <c:idx val="1"/>
          <c:order val="1"/>
          <c:tx>
            <c:strRef>
              <c:f>'Laskenta poistopuoli 150_ENT'!$AC$4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150_ENT'!$AD$6:$AD$12</c:f>
              <c:numCache>
                <c:formatCode>0.0</c:formatCode>
                <c:ptCount val="7"/>
                <c:pt idx="0">
                  <c:v>133.02077164686926</c:v>
                </c:pt>
                <c:pt idx="1">
                  <c:v>133.02077164686926</c:v>
                </c:pt>
                <c:pt idx="2">
                  <c:v>120.97570091639558</c:v>
                </c:pt>
                <c:pt idx="3">
                  <c:v>109.3336223187892</c:v>
                </c:pt>
                <c:pt idx="4">
                  <c:v>104.78093084349958</c:v>
                </c:pt>
                <c:pt idx="5">
                  <c:v>100.28442653274774</c:v>
                </c:pt>
                <c:pt idx="6">
                  <c:v>90.362402112613097</c:v>
                </c:pt>
              </c:numCache>
            </c:numRef>
          </c:xVal>
          <c:yVal>
            <c:numRef>
              <c:f>'Laskenta poistopuoli 150_ENT'!$AC$6:$AC$12</c:f>
              <c:numCache>
                <c:formatCode>0.0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56D-4BE1-8C29-97227806EEAF}"/>
            </c:ext>
          </c:extLst>
        </c:ser>
        <c:ser>
          <c:idx val="2"/>
          <c:order val="2"/>
          <c:tx>
            <c:strRef>
              <c:f>'Laskenta poistopuoli 150_ENT'!$AE$4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150_ENT'!$AF$6:$AF$11</c:f>
              <c:numCache>
                <c:formatCode>0.0</c:formatCode>
                <c:ptCount val="6"/>
                <c:pt idx="0">
                  <c:v>97.869351818976341</c:v>
                </c:pt>
                <c:pt idx="1">
                  <c:v>96.341221718555602</c:v>
                </c:pt>
                <c:pt idx="2">
                  <c:v>90.3580825260903</c:v>
                </c:pt>
                <c:pt idx="3">
                  <c:v>84.567084347681643</c:v>
                </c:pt>
                <c:pt idx="4">
                  <c:v>78.950825326358625</c:v>
                </c:pt>
                <c:pt idx="5">
                  <c:v>68.709516695144444</c:v>
                </c:pt>
              </c:numCache>
            </c:numRef>
          </c:xVal>
          <c:yVal>
            <c:numRef>
              <c:f>'Laskenta poistopuoli 150_ENT'!$AE$6:$AE$11</c:f>
              <c:numCache>
                <c:formatCode>0.0</c:formatCode>
                <c:ptCount val="6"/>
                <c:pt idx="0">
                  <c:v>35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6D-4BE1-8C29-97227806EEAF}"/>
            </c:ext>
          </c:extLst>
        </c:ser>
        <c:ser>
          <c:idx val="3"/>
          <c:order val="3"/>
          <c:tx>
            <c:strRef>
              <c:f>'Laskenta poistopuoli 150_ENT'!$AG$4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150_ENT'!$AH$6:$AH$10</c:f>
              <c:numCache>
                <c:formatCode>0.0</c:formatCode>
                <c:ptCount val="5"/>
                <c:pt idx="0">
                  <c:v>53.529905260257379</c:v>
                </c:pt>
                <c:pt idx="1">
                  <c:v>51.668157815233783</c:v>
                </c:pt>
                <c:pt idx="2">
                  <c:v>49.756583660446097</c:v>
                </c:pt>
                <c:pt idx="3">
                  <c:v>47.79095425763191</c:v>
                </c:pt>
                <c:pt idx="4">
                  <c:v>36.950275816920829</c:v>
                </c:pt>
              </c:numCache>
            </c:numRef>
          </c:xVal>
          <c:yVal>
            <c:numRef>
              <c:f>'Laskenta poistopuoli 150_ENT'!$AG$6:$AG$10</c:f>
              <c:numCache>
                <c:formatCode>0.0</c:formatCode>
                <c:ptCount val="5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56D-4BE1-8C29-97227806EEAF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150_ENT'!$L$3</c:f>
              <c:numCache>
                <c:formatCode>General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56D-4BE1-8C29-97227806EEAF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150_ENT'!$AC$34:$AC$37</c:f>
              <c:numCache>
                <c:formatCode>0.0</c:formatCode>
                <c:ptCount val="4"/>
                <c:pt idx="0">
                  <c:v>100.64007706546248</c:v>
                </c:pt>
                <c:pt idx="1">
                  <c:v>67.708078107414849</c:v>
                </c:pt>
                <c:pt idx="2">
                  <c:v>52.200831097637398</c:v>
                </c:pt>
                <c:pt idx="3">
                  <c:v>30.244070732389282</c:v>
                </c:pt>
              </c:numCache>
            </c:numRef>
          </c:xVal>
          <c:yVal>
            <c:numRef>
              <c:f>'Laskenta poistopuoli 150_ENT'!$AD$34:$AD$37</c:f>
              <c:numCache>
                <c:formatCode>0.0</c:formatCode>
                <c:ptCount val="4"/>
                <c:pt idx="0">
                  <c:v>756.08288322151338</c:v>
                </c:pt>
                <c:pt idx="1">
                  <c:v>342.22241997709807</c:v>
                </c:pt>
                <c:pt idx="2">
                  <c:v>203.41469320704871</c:v>
                </c:pt>
                <c:pt idx="3">
                  <c:v>68.282273868343651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56D-4BE1-8C29-97227806E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ENTALPIAKENNO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4527191434698623"/>
                  <c:y val="0.234953713154081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150_ENT'!$AT$11:$AT$18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poistopuoli 150_ENT'!$AU$11:$AU$18</c:f>
              <c:numCache>
                <c:formatCode>General</c:formatCode>
                <c:ptCount val="8"/>
                <c:pt idx="0">
                  <c:v>0</c:v>
                </c:pt>
                <c:pt idx="1">
                  <c:v>16.899999999999999</c:v>
                </c:pt>
                <c:pt idx="2">
                  <c:v>40.56</c:v>
                </c:pt>
                <c:pt idx="3">
                  <c:v>71.47</c:v>
                </c:pt>
                <c:pt idx="4">
                  <c:v>109.6</c:v>
                </c:pt>
                <c:pt idx="5">
                  <c:v>155.1</c:v>
                </c:pt>
                <c:pt idx="6">
                  <c:v>207.8</c:v>
                </c:pt>
                <c:pt idx="7">
                  <c:v>267.7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871-4549-B66B-605A181BF7E0}"/>
            </c:ext>
          </c:extLst>
        </c:ser>
        <c:ser>
          <c:idx val="1"/>
          <c:order val="1"/>
          <c:tx>
            <c:v>ALUMIINIKENNO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5294614621975118"/>
                  <c:y val="2.718924313674011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150_ENT'!$AT$11:$AT$18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poistopuoli 150_ENT'!$AV$11:$AV$18</c:f>
              <c:numCache>
                <c:formatCode>General</c:formatCode>
                <c:ptCount val="8"/>
                <c:pt idx="0">
                  <c:v>0</c:v>
                </c:pt>
                <c:pt idx="1">
                  <c:v>19</c:v>
                </c:pt>
                <c:pt idx="2">
                  <c:v>48</c:v>
                </c:pt>
                <c:pt idx="3">
                  <c:v>85</c:v>
                </c:pt>
                <c:pt idx="4">
                  <c:v>125</c:v>
                </c:pt>
                <c:pt idx="5">
                  <c:v>167</c:v>
                </c:pt>
                <c:pt idx="6">
                  <c:v>229</c:v>
                </c:pt>
                <c:pt idx="7">
                  <c:v>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871-4549-B66B-605A181BF7E0}"/>
            </c:ext>
          </c:extLst>
        </c:ser>
        <c:ser>
          <c:idx val="2"/>
          <c:order val="2"/>
          <c:tx>
            <c:v>EROTUS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5.4345394097130212E-2"/>
                  <c:y val="-0.174919934653864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150_ENT'!$AT$11:$AT$18</c:f>
              <c:numCache>
                <c:formatCode>General</c:formatCode>
                <c:ptCount val="8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'Laskenta poistopuoli 150_ENT'!$AW$11:$AW$18</c:f>
              <c:numCache>
                <c:formatCode>General</c:formatCode>
                <c:ptCount val="8"/>
                <c:pt idx="0">
                  <c:v>0</c:v>
                </c:pt>
                <c:pt idx="1">
                  <c:v>-2.1000000000000014</c:v>
                </c:pt>
                <c:pt idx="2">
                  <c:v>-7.4399999999999977</c:v>
                </c:pt>
                <c:pt idx="3">
                  <c:v>-13.530000000000001</c:v>
                </c:pt>
                <c:pt idx="4">
                  <c:v>-15.400000000000006</c:v>
                </c:pt>
                <c:pt idx="5">
                  <c:v>-11.900000000000006</c:v>
                </c:pt>
                <c:pt idx="6">
                  <c:v>-21.199999999999989</c:v>
                </c:pt>
                <c:pt idx="7">
                  <c:v>-36.300000000000011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871-4549-B66B-605A181BF7E0}"/>
            </c:ext>
          </c:extLst>
        </c:ser>
        <c:ser>
          <c:idx val="3"/>
          <c:order val="3"/>
          <c:tx>
            <c:v>Testejä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150_ENT'!$AU$38:$AU$43</c:f>
              <c:numCache>
                <c:formatCode>General</c:formatCode>
                <c:ptCount val="6"/>
                <c:pt idx="0">
                  <c:v>150</c:v>
                </c:pt>
                <c:pt idx="1">
                  <c:v>120</c:v>
                </c:pt>
                <c:pt idx="2">
                  <c:v>80</c:v>
                </c:pt>
                <c:pt idx="3">
                  <c:v>80</c:v>
                </c:pt>
                <c:pt idx="4">
                  <c:v>50</c:v>
                </c:pt>
                <c:pt idx="5">
                  <c:v>30</c:v>
                </c:pt>
              </c:numCache>
            </c:numRef>
          </c:xVal>
          <c:yVal>
            <c:numRef>
              <c:f>'Laskenta poistopuoli 150_ENT'!$AY$38:$AY$43</c:f>
              <c:numCache>
                <c:formatCode>0.0</c:formatCode>
                <c:ptCount val="6"/>
                <c:pt idx="0">
                  <c:v>-9.087916666665933</c:v>
                </c:pt>
                <c:pt idx="1">
                  <c:v>-6.9088738095242661</c:v>
                </c:pt>
                <c:pt idx="2">
                  <c:v>-4.5016833333334034</c:v>
                </c:pt>
                <c:pt idx="3">
                  <c:v>-4.5016833333333466</c:v>
                </c:pt>
                <c:pt idx="4">
                  <c:v>-3.0699404761904248</c:v>
                </c:pt>
                <c:pt idx="5">
                  <c:v>-2.2933738095238141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871-4549-B66B-605A181BF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1361311"/>
        <c:axId val="1461356511"/>
      </c:scatterChart>
      <c:valAx>
        <c:axId val="1461361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61356511"/>
        <c:crosses val="autoZero"/>
        <c:crossBetween val="midCat"/>
      </c:valAx>
      <c:valAx>
        <c:axId val="1461356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61361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Poistopuoli, </a:t>
            </a:r>
            <a:r>
              <a:rPr lang="fi-FI">
                <a:solidFill>
                  <a:schemeClr val="accent1"/>
                </a:solidFill>
              </a:rPr>
              <a:t>alumiini-</a:t>
            </a:r>
            <a:r>
              <a:rPr lang="fi-FI"/>
              <a:t> ja </a:t>
            </a:r>
            <a:r>
              <a:rPr lang="fi-FI">
                <a:solidFill>
                  <a:schemeClr val="accent2"/>
                </a:solidFill>
              </a:rPr>
              <a:t>entalpia</a:t>
            </a:r>
            <a:r>
              <a:rPr lang="fi-FI"/>
              <a:t>kennot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150_ENT'!$BD$36:$BD$42</c:f>
              <c:numCache>
                <c:formatCode>0.0</c:formatCode>
                <c:ptCount val="7"/>
                <c:pt idx="0">
                  <c:v>179.11691580328477</c:v>
                </c:pt>
                <c:pt idx="1">
                  <c:v>174.89861666422897</c:v>
                </c:pt>
                <c:pt idx="2">
                  <c:v>162.27597672313368</c:v>
                </c:pt>
                <c:pt idx="3">
                  <c:v>153.16260121404989</c:v>
                </c:pt>
                <c:pt idx="4">
                  <c:v>143.78770801919913</c:v>
                </c:pt>
                <c:pt idx="5">
                  <c:v>135.37071942904149</c:v>
                </c:pt>
                <c:pt idx="6">
                  <c:v>128.73037088287538</c:v>
                </c:pt>
              </c:numCache>
            </c:numRef>
          </c:xVal>
          <c:yVal>
            <c:numRef>
              <c:f>'Laskenta poistopuoli 150_ENT'!$BC$36:$BC$42</c:f>
              <c:numCache>
                <c:formatCode>0.0</c:formatCode>
                <c:ptCount val="7"/>
                <c:pt idx="0">
                  <c:v>100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47-4ED5-9C2B-82D935369F9F}"/>
            </c:ext>
          </c:extLst>
        </c:ser>
        <c:ser>
          <c:idx val="1"/>
          <c:order val="1"/>
          <c:tx>
            <c:v>6.5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150_ENT'!$BF$36:$BF$42</c:f>
              <c:numCache>
                <c:formatCode>0.0</c:formatCode>
                <c:ptCount val="7"/>
                <c:pt idx="0">
                  <c:v>131.14254504164199</c:v>
                </c:pt>
                <c:pt idx="1">
                  <c:v>131.14254504164199</c:v>
                </c:pt>
                <c:pt idx="2">
                  <c:v>119.35417996021101</c:v>
                </c:pt>
                <c:pt idx="3">
                  <c:v>107.93377609376739</c:v>
                </c:pt>
                <c:pt idx="4">
                  <c:v>103.46121449007943</c:v>
                </c:pt>
                <c:pt idx="5">
                  <c:v>99.040422729184755</c:v>
                </c:pt>
                <c:pt idx="6">
                  <c:v>89.273980043178298</c:v>
                </c:pt>
              </c:numCache>
            </c:numRef>
          </c:xVal>
          <c:yVal>
            <c:numRef>
              <c:f>'Laskenta poistopuoli 150_ENT'!$BE$36:$BE$42</c:f>
              <c:numCache>
                <c:formatCode>0.0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47-4ED5-9C2B-82D935369F9F}"/>
            </c:ext>
          </c:extLst>
        </c:ser>
        <c:ser>
          <c:idx val="2"/>
          <c:order val="2"/>
          <c:tx>
            <c:v>5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150_ENT'!$BH$36:$BH$41</c:f>
              <c:numCache>
                <c:formatCode>0.0</c:formatCode>
                <c:ptCount val="6"/>
                <c:pt idx="0">
                  <c:v>96.216817804800328</c:v>
                </c:pt>
                <c:pt idx="1">
                  <c:v>94.729294500929157</c:v>
                </c:pt>
                <c:pt idx="2">
                  <c:v>88.896594856540219</c:v>
                </c:pt>
                <c:pt idx="3">
                  <c:v>83.239100699553205</c:v>
                </c:pt>
                <c:pt idx="4">
                  <c:v>77.741912106746298</c:v>
                </c:pt>
                <c:pt idx="5">
                  <c:v>67.694020441116294</c:v>
                </c:pt>
              </c:numCache>
            </c:numRef>
          </c:xVal>
          <c:yVal>
            <c:numRef>
              <c:f>'Laskenta poistopuoli 150_ENT'!$BG$36:$BG$41</c:f>
              <c:numCache>
                <c:formatCode>0.0</c:formatCode>
                <c:ptCount val="6"/>
                <c:pt idx="0">
                  <c:v>35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047-4ED5-9C2B-82D935369F9F}"/>
            </c:ext>
          </c:extLst>
        </c:ser>
        <c:ser>
          <c:idx val="3"/>
          <c:order val="3"/>
          <c:tx>
            <c:v>3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150_ENT'!$BJ$36:$BJ$40</c:f>
              <c:numCache>
                <c:formatCode>0.0</c:formatCode>
                <c:ptCount val="5"/>
                <c:pt idx="0">
                  <c:v>52.354855059834129</c:v>
                </c:pt>
                <c:pt idx="1">
                  <c:v>50.492611628762866</c:v>
                </c:pt>
                <c:pt idx="2">
                  <c:v>48.580002546231498</c:v>
                </c:pt>
                <c:pt idx="3">
                  <c:v>46.612705838811827</c:v>
                </c:pt>
                <c:pt idx="4">
                  <c:v>35.748954672957019</c:v>
                </c:pt>
              </c:numCache>
            </c:numRef>
          </c:xVal>
          <c:yVal>
            <c:numRef>
              <c:f>'Laskenta poistopuoli 150_ENT'!$BI$36:$BI$40</c:f>
              <c:numCache>
                <c:formatCode>0.0</c:formatCode>
                <c:ptCount val="5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047-4ED5-9C2B-82D935369F9F}"/>
            </c:ext>
          </c:extLst>
        </c:ser>
        <c:ser>
          <c:idx val="4"/>
          <c:order val="4"/>
          <c:tx>
            <c:v>10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150_ENT'!$BM$36:$BM$42</c:f>
              <c:numCache>
                <c:formatCode>0.0</c:formatCode>
                <c:ptCount val="7"/>
                <c:pt idx="0">
                  <c:v>181.77869057311793</c:v>
                </c:pt>
                <c:pt idx="1">
                  <c:v>177.24711473659906</c:v>
                </c:pt>
                <c:pt idx="2">
                  <c:v>163.95870969060681</c:v>
                </c:pt>
                <c:pt idx="3">
                  <c:v>154.52064814384127</c:v>
                </c:pt>
                <c:pt idx="4">
                  <c:v>144.89362815563373</c:v>
                </c:pt>
                <c:pt idx="5">
                  <c:v>136.29910964571815</c:v>
                </c:pt>
                <c:pt idx="6">
                  <c:v>129.54283234586202</c:v>
                </c:pt>
              </c:numCache>
            </c:numRef>
          </c:xVal>
          <c:yVal>
            <c:numRef>
              <c:f>'Laskenta poistopuoli 150_ENT'!$BL$36:$BL$42</c:f>
              <c:numCache>
                <c:formatCode>0.0</c:formatCode>
                <c:ptCount val="7"/>
                <c:pt idx="0">
                  <c:v>100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047-4ED5-9C2B-82D935369F9F}"/>
            </c:ext>
          </c:extLst>
        </c:ser>
        <c:ser>
          <c:idx val="5"/>
          <c:order val="5"/>
          <c:tx>
            <c:v>6.5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150_ENT'!$BO$36:$BO$42</c:f>
              <c:numCache>
                <c:formatCode>0.0</c:formatCode>
                <c:ptCount val="7"/>
                <c:pt idx="0">
                  <c:v>133.02077164686926</c:v>
                </c:pt>
                <c:pt idx="1">
                  <c:v>133.02077164686926</c:v>
                </c:pt>
                <c:pt idx="2">
                  <c:v>120.97570091639558</c:v>
                </c:pt>
                <c:pt idx="3">
                  <c:v>109.3336223187892</c:v>
                </c:pt>
                <c:pt idx="4">
                  <c:v>104.78093084349958</c:v>
                </c:pt>
                <c:pt idx="5">
                  <c:v>100.28442653274774</c:v>
                </c:pt>
                <c:pt idx="6">
                  <c:v>90.362402112613097</c:v>
                </c:pt>
              </c:numCache>
            </c:numRef>
          </c:xVal>
          <c:yVal>
            <c:numRef>
              <c:f>'Laskenta poistopuoli 150_ENT'!$BN$36:$BN$42</c:f>
              <c:numCache>
                <c:formatCode>0.0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047-4ED5-9C2B-82D935369F9F}"/>
            </c:ext>
          </c:extLst>
        </c:ser>
        <c:ser>
          <c:idx val="6"/>
          <c:order val="6"/>
          <c:tx>
            <c:v>5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150_ENT'!$BQ$36:$BQ$41</c:f>
              <c:numCache>
                <c:formatCode>0.0</c:formatCode>
                <c:ptCount val="6"/>
                <c:pt idx="0">
                  <c:v>97.869351818976341</c:v>
                </c:pt>
                <c:pt idx="1">
                  <c:v>96.341221718555602</c:v>
                </c:pt>
                <c:pt idx="2">
                  <c:v>90.3580825260903</c:v>
                </c:pt>
                <c:pt idx="3">
                  <c:v>84.567084347681643</c:v>
                </c:pt>
                <c:pt idx="4">
                  <c:v>78.950825326358625</c:v>
                </c:pt>
                <c:pt idx="5">
                  <c:v>68.709516695144444</c:v>
                </c:pt>
              </c:numCache>
            </c:numRef>
          </c:xVal>
          <c:yVal>
            <c:numRef>
              <c:f>'Laskenta poistopuoli 150_ENT'!$BP$36:$BP$41</c:f>
              <c:numCache>
                <c:formatCode>0.0</c:formatCode>
                <c:ptCount val="6"/>
                <c:pt idx="0">
                  <c:v>35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047-4ED5-9C2B-82D935369F9F}"/>
            </c:ext>
          </c:extLst>
        </c:ser>
        <c:ser>
          <c:idx val="7"/>
          <c:order val="7"/>
          <c:tx>
            <c:v>3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150_ENT'!$BS$36:$BS$40</c:f>
              <c:numCache>
                <c:formatCode>0.0</c:formatCode>
                <c:ptCount val="5"/>
                <c:pt idx="0">
                  <c:v>53.529905260257379</c:v>
                </c:pt>
                <c:pt idx="1">
                  <c:v>51.668157815233783</c:v>
                </c:pt>
                <c:pt idx="2">
                  <c:v>49.756583660446097</c:v>
                </c:pt>
                <c:pt idx="3">
                  <c:v>47.79095425763191</c:v>
                </c:pt>
                <c:pt idx="4">
                  <c:v>36.950275816920829</c:v>
                </c:pt>
              </c:numCache>
            </c:numRef>
          </c:xVal>
          <c:yVal>
            <c:numRef>
              <c:f>'Laskenta poistopuoli 150_ENT'!$BR$36:$BR$40</c:f>
              <c:numCache>
                <c:formatCode>0.0</c:formatCode>
                <c:ptCount val="5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047-4ED5-9C2B-82D935369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7504783"/>
        <c:axId val="1477506223"/>
      </c:scatterChart>
      <c:valAx>
        <c:axId val="147750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7506223"/>
        <c:crosses val="autoZero"/>
        <c:crossBetween val="midCat"/>
      </c:valAx>
      <c:valAx>
        <c:axId val="147750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750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Pysyvyysarvoja</a:t>
            </a:r>
          </a:p>
        </c:rich>
      </c:tx>
      <c:layout>
        <c:manualLayout>
          <c:xMode val="edge"/>
          <c:yMode val="edge"/>
          <c:x val="0.39697766097240472"/>
          <c:y val="2.1624961383997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Säädata_ENT!$L$3</c:f>
              <c:strCache>
                <c:ptCount val="1"/>
                <c:pt idx="0">
                  <c:v>SWE - Stockholm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Säädata_ENT!$G$4:$G$84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Säädata_ENT!$L$4:$L$84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3.4246575342465754E-4</c:v>
                </c:pt>
                <c:pt idx="29">
                  <c:v>1.3698630136986301E-3</c:v>
                </c:pt>
                <c:pt idx="30">
                  <c:v>4.9086757990867581E-3</c:v>
                </c:pt>
                <c:pt idx="31">
                  <c:v>6.735159817351598E-3</c:v>
                </c:pt>
                <c:pt idx="32">
                  <c:v>9.1324200913242004E-3</c:v>
                </c:pt>
                <c:pt idx="33">
                  <c:v>1.1301369863013699E-2</c:v>
                </c:pt>
                <c:pt idx="34">
                  <c:v>2.3858447488584476E-2</c:v>
                </c:pt>
                <c:pt idx="35">
                  <c:v>4.2922374429223746E-2</c:v>
                </c:pt>
                <c:pt idx="36">
                  <c:v>5.6849315068493153E-2</c:v>
                </c:pt>
                <c:pt idx="37">
                  <c:v>8.0936073059360736E-2</c:v>
                </c:pt>
                <c:pt idx="38">
                  <c:v>0.1110730593607306</c:v>
                </c:pt>
                <c:pt idx="39">
                  <c:v>0.15719178082191781</c:v>
                </c:pt>
                <c:pt idx="40">
                  <c:v>0.21255707762557077</c:v>
                </c:pt>
                <c:pt idx="41">
                  <c:v>0.24155251141552511</c:v>
                </c:pt>
                <c:pt idx="42">
                  <c:v>0.30034246575342466</c:v>
                </c:pt>
                <c:pt idx="43">
                  <c:v>0.3485159817351598</c:v>
                </c:pt>
                <c:pt idx="44">
                  <c:v>0.40251141552511416</c:v>
                </c:pt>
                <c:pt idx="45">
                  <c:v>0.44121004566210048</c:v>
                </c:pt>
                <c:pt idx="46">
                  <c:v>0.46187214611872146</c:v>
                </c:pt>
                <c:pt idx="47">
                  <c:v>0.5044520547945206</c:v>
                </c:pt>
                <c:pt idx="48">
                  <c:v>0.54589041095890412</c:v>
                </c:pt>
                <c:pt idx="49">
                  <c:v>0.58036529680365301</c:v>
                </c:pt>
                <c:pt idx="50">
                  <c:v>0.62180365296803652</c:v>
                </c:pt>
                <c:pt idx="51">
                  <c:v>0.64634703196347032</c:v>
                </c:pt>
                <c:pt idx="52">
                  <c:v>0.69668949771689492</c:v>
                </c:pt>
                <c:pt idx="53">
                  <c:v>0.74589041095890407</c:v>
                </c:pt>
                <c:pt idx="54">
                  <c:v>0.79063926940639273</c:v>
                </c:pt>
                <c:pt idx="55">
                  <c:v>0.83755707762557075</c:v>
                </c:pt>
                <c:pt idx="56">
                  <c:v>0.86472602739726023</c:v>
                </c:pt>
                <c:pt idx="57">
                  <c:v>0.90559360730593608</c:v>
                </c:pt>
                <c:pt idx="58">
                  <c:v>0.93618721461187215</c:v>
                </c:pt>
                <c:pt idx="59">
                  <c:v>0.96175799086757996</c:v>
                </c:pt>
                <c:pt idx="60">
                  <c:v>0.97636986301369866</c:v>
                </c:pt>
                <c:pt idx="61">
                  <c:v>0.98344748858447484</c:v>
                </c:pt>
                <c:pt idx="62">
                  <c:v>0.99155251141552514</c:v>
                </c:pt>
                <c:pt idx="63">
                  <c:v>0.99691780821917808</c:v>
                </c:pt>
                <c:pt idx="64">
                  <c:v>0.99977168949771689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5B-479F-A360-BCB056188D73}"/>
            </c:ext>
          </c:extLst>
        </c:ser>
        <c:ser>
          <c:idx val="1"/>
          <c:order val="1"/>
          <c:tx>
            <c:strRef>
              <c:f>Säädata_ENT!$M$3</c:f>
              <c:strCache>
                <c:ptCount val="1"/>
                <c:pt idx="0">
                  <c:v>SWE - Gothenburg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Säädata_ENT!$G$4:$G$84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Säädata_ENT!$M$4:$M$84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2.2831050228310502E-4</c:v>
                </c:pt>
                <c:pt idx="25">
                  <c:v>2.1689497716894978E-3</c:v>
                </c:pt>
                <c:pt idx="26">
                  <c:v>2.5114155251141552E-3</c:v>
                </c:pt>
                <c:pt idx="27">
                  <c:v>3.5388127853881279E-3</c:v>
                </c:pt>
                <c:pt idx="28">
                  <c:v>7.3059360730593605E-3</c:v>
                </c:pt>
                <c:pt idx="29">
                  <c:v>1.2671232876712329E-2</c:v>
                </c:pt>
                <c:pt idx="30">
                  <c:v>1.5753424657534248E-2</c:v>
                </c:pt>
                <c:pt idx="31">
                  <c:v>1.7579908675799085E-2</c:v>
                </c:pt>
                <c:pt idx="32">
                  <c:v>2.363013698630137E-2</c:v>
                </c:pt>
                <c:pt idx="33">
                  <c:v>3.1849315068493152E-2</c:v>
                </c:pt>
                <c:pt idx="34">
                  <c:v>4.2808219178082189E-2</c:v>
                </c:pt>
                <c:pt idx="35">
                  <c:v>5.9018264840182647E-2</c:v>
                </c:pt>
                <c:pt idx="36">
                  <c:v>7.031963470319634E-2</c:v>
                </c:pt>
                <c:pt idx="37">
                  <c:v>0.10148401826484019</c:v>
                </c:pt>
                <c:pt idx="38">
                  <c:v>0.13515981735159818</c:v>
                </c:pt>
                <c:pt idx="39">
                  <c:v>0.16666666666666666</c:v>
                </c:pt>
                <c:pt idx="40">
                  <c:v>0.20468036529680364</c:v>
                </c:pt>
                <c:pt idx="41">
                  <c:v>0.22500000000000001</c:v>
                </c:pt>
                <c:pt idx="42">
                  <c:v>0.27111872146118721</c:v>
                </c:pt>
                <c:pt idx="43">
                  <c:v>0.32522831050228312</c:v>
                </c:pt>
                <c:pt idx="44">
                  <c:v>0.36780821917808221</c:v>
                </c:pt>
                <c:pt idx="45">
                  <c:v>0.41746575342465753</c:v>
                </c:pt>
                <c:pt idx="46">
                  <c:v>0.43938356164383563</c:v>
                </c:pt>
                <c:pt idx="47">
                  <c:v>0.48276255707762555</c:v>
                </c:pt>
                <c:pt idx="48">
                  <c:v>0.53139269406392697</c:v>
                </c:pt>
                <c:pt idx="49">
                  <c:v>0.58150684931506846</c:v>
                </c:pt>
                <c:pt idx="50">
                  <c:v>0.62408675799086755</c:v>
                </c:pt>
                <c:pt idx="51">
                  <c:v>0.64566210045662098</c:v>
                </c:pt>
                <c:pt idx="52">
                  <c:v>0.69372146118721456</c:v>
                </c:pt>
                <c:pt idx="53">
                  <c:v>0.74257990867579904</c:v>
                </c:pt>
                <c:pt idx="54">
                  <c:v>0.7909817351598174</c:v>
                </c:pt>
                <c:pt idx="55">
                  <c:v>0.8392694063926941</c:v>
                </c:pt>
                <c:pt idx="56">
                  <c:v>0.86073059360730597</c:v>
                </c:pt>
                <c:pt idx="57">
                  <c:v>0.89223744292237439</c:v>
                </c:pt>
                <c:pt idx="58">
                  <c:v>0.92682648401826484</c:v>
                </c:pt>
                <c:pt idx="59">
                  <c:v>0.9488584474885845</c:v>
                </c:pt>
                <c:pt idx="60">
                  <c:v>0.966324200913242</c:v>
                </c:pt>
                <c:pt idx="61">
                  <c:v>0.97328767123287674</c:v>
                </c:pt>
                <c:pt idx="62">
                  <c:v>0.98436073059360729</c:v>
                </c:pt>
                <c:pt idx="63">
                  <c:v>0.9926940639269406</c:v>
                </c:pt>
                <c:pt idx="64">
                  <c:v>0.99760273972602742</c:v>
                </c:pt>
                <c:pt idx="65">
                  <c:v>0.99977168949771689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5B-479F-A360-BCB056188D73}"/>
            </c:ext>
          </c:extLst>
        </c:ser>
        <c:ser>
          <c:idx val="2"/>
          <c:order val="2"/>
          <c:tx>
            <c:strRef>
              <c:f>Säädata_ENT!$N$3</c:f>
              <c:strCache>
                <c:ptCount val="1"/>
                <c:pt idx="0">
                  <c:v>NOR - Oslo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Säädata_ENT!$G$4:$G$84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Säädata_ENT!$N$4:$N$84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4.5662100456621003E-4</c:v>
                </c:pt>
                <c:pt idx="23">
                  <c:v>1.8264840182648401E-3</c:v>
                </c:pt>
                <c:pt idx="24">
                  <c:v>3.767123287671233E-3</c:v>
                </c:pt>
                <c:pt idx="25">
                  <c:v>6.392694063926941E-3</c:v>
                </c:pt>
                <c:pt idx="26">
                  <c:v>7.4200913242009128E-3</c:v>
                </c:pt>
                <c:pt idx="27">
                  <c:v>1.1301369863013699E-2</c:v>
                </c:pt>
                <c:pt idx="28">
                  <c:v>1.4041095890410958E-2</c:v>
                </c:pt>
                <c:pt idx="29">
                  <c:v>1.872146118721461E-2</c:v>
                </c:pt>
                <c:pt idx="30">
                  <c:v>2.1232876712328767E-2</c:v>
                </c:pt>
                <c:pt idx="31">
                  <c:v>2.3173515981735161E-2</c:v>
                </c:pt>
                <c:pt idx="32">
                  <c:v>3.0365296803652967E-2</c:v>
                </c:pt>
                <c:pt idx="33">
                  <c:v>3.9041095890410958E-2</c:v>
                </c:pt>
                <c:pt idx="34">
                  <c:v>5.3538812785388128E-2</c:v>
                </c:pt>
                <c:pt idx="35">
                  <c:v>7.4543378995433784E-2</c:v>
                </c:pt>
                <c:pt idx="36">
                  <c:v>8.6872146118721461E-2</c:v>
                </c:pt>
                <c:pt idx="37">
                  <c:v>0.11780821917808219</c:v>
                </c:pt>
                <c:pt idx="38">
                  <c:v>0.16244292237442923</c:v>
                </c:pt>
                <c:pt idx="39">
                  <c:v>0.21118721461187215</c:v>
                </c:pt>
                <c:pt idx="40">
                  <c:v>0.25753424657534246</c:v>
                </c:pt>
                <c:pt idx="41">
                  <c:v>0.28150684931506847</c:v>
                </c:pt>
                <c:pt idx="42">
                  <c:v>0.33550228310502284</c:v>
                </c:pt>
                <c:pt idx="43">
                  <c:v>0.38824200913242007</c:v>
                </c:pt>
                <c:pt idx="44">
                  <c:v>0.44189497716894977</c:v>
                </c:pt>
                <c:pt idx="45">
                  <c:v>0.48162100456621004</c:v>
                </c:pt>
                <c:pt idx="46">
                  <c:v>0.49771689497716892</c:v>
                </c:pt>
                <c:pt idx="47">
                  <c:v>0.53230593607305932</c:v>
                </c:pt>
                <c:pt idx="48">
                  <c:v>0.56666666666666665</c:v>
                </c:pt>
                <c:pt idx="49">
                  <c:v>0.60136986301369866</c:v>
                </c:pt>
                <c:pt idx="50">
                  <c:v>0.64577625570776254</c:v>
                </c:pt>
                <c:pt idx="51">
                  <c:v>0.67168949771689501</c:v>
                </c:pt>
                <c:pt idx="52">
                  <c:v>0.72568493150684932</c:v>
                </c:pt>
                <c:pt idx="53">
                  <c:v>0.77579908675799092</c:v>
                </c:pt>
                <c:pt idx="54">
                  <c:v>0.82248858447488582</c:v>
                </c:pt>
                <c:pt idx="55">
                  <c:v>0.86130136986301364</c:v>
                </c:pt>
                <c:pt idx="56">
                  <c:v>0.88299086757990863</c:v>
                </c:pt>
                <c:pt idx="57">
                  <c:v>0.9178082191780822</c:v>
                </c:pt>
                <c:pt idx="58">
                  <c:v>0.94509132420091324</c:v>
                </c:pt>
                <c:pt idx="59">
                  <c:v>0.96369863013698631</c:v>
                </c:pt>
                <c:pt idx="60">
                  <c:v>0.97659817351598177</c:v>
                </c:pt>
                <c:pt idx="61">
                  <c:v>0.9817351598173516</c:v>
                </c:pt>
                <c:pt idx="62">
                  <c:v>0.98847031963470322</c:v>
                </c:pt>
                <c:pt idx="63">
                  <c:v>0.99372146118721461</c:v>
                </c:pt>
                <c:pt idx="64">
                  <c:v>0.9963470319634703</c:v>
                </c:pt>
                <c:pt idx="65">
                  <c:v>0.99840182648401832</c:v>
                </c:pt>
                <c:pt idx="66">
                  <c:v>0.99908675799086755</c:v>
                </c:pt>
                <c:pt idx="67">
                  <c:v>0.99965753424657533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05B-479F-A360-BCB056188D73}"/>
            </c:ext>
          </c:extLst>
        </c:ser>
        <c:ser>
          <c:idx val="3"/>
          <c:order val="3"/>
          <c:tx>
            <c:strRef>
              <c:f>Säädata_ENT!$O$3</c:f>
              <c:strCache>
                <c:ptCount val="1"/>
                <c:pt idx="0">
                  <c:v>LAT - Riga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Säädata_ENT!$G$4:$G$84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Säädata_ENT!$O$4:$O$84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3.4246575342465754E-4</c:v>
                </c:pt>
                <c:pt idx="22">
                  <c:v>2.5114155251141552E-3</c:v>
                </c:pt>
                <c:pt idx="23">
                  <c:v>3.6529680365296802E-3</c:v>
                </c:pt>
                <c:pt idx="24">
                  <c:v>9.8173515981735161E-3</c:v>
                </c:pt>
                <c:pt idx="25">
                  <c:v>1.2442922374429224E-2</c:v>
                </c:pt>
                <c:pt idx="26">
                  <c:v>1.3926940639269407E-2</c:v>
                </c:pt>
                <c:pt idx="27">
                  <c:v>1.6210045662100457E-2</c:v>
                </c:pt>
                <c:pt idx="28">
                  <c:v>1.9863013698630139E-2</c:v>
                </c:pt>
                <c:pt idx="29">
                  <c:v>2.9109589041095889E-2</c:v>
                </c:pt>
                <c:pt idx="30">
                  <c:v>3.6415525114155252E-2</c:v>
                </c:pt>
                <c:pt idx="31">
                  <c:v>3.9497716894977171E-2</c:v>
                </c:pt>
                <c:pt idx="32">
                  <c:v>4.8401826484018265E-2</c:v>
                </c:pt>
                <c:pt idx="33">
                  <c:v>6.837899543378996E-2</c:v>
                </c:pt>
                <c:pt idx="34">
                  <c:v>8.7899543378995429E-2</c:v>
                </c:pt>
                <c:pt idx="35">
                  <c:v>0.11347031963470319</c:v>
                </c:pt>
                <c:pt idx="36">
                  <c:v>0.1291095890410959</c:v>
                </c:pt>
                <c:pt idx="37">
                  <c:v>0.16598173515981735</c:v>
                </c:pt>
                <c:pt idx="38">
                  <c:v>0.20228310502283106</c:v>
                </c:pt>
                <c:pt idx="39">
                  <c:v>0.24463470319634703</c:v>
                </c:pt>
                <c:pt idx="40">
                  <c:v>0.28938356164383561</c:v>
                </c:pt>
                <c:pt idx="41">
                  <c:v>0.31050228310502281</c:v>
                </c:pt>
                <c:pt idx="42">
                  <c:v>0.35239726027397261</c:v>
                </c:pt>
                <c:pt idx="43">
                  <c:v>0.39063926940639271</c:v>
                </c:pt>
                <c:pt idx="44">
                  <c:v>0.42659817351598173</c:v>
                </c:pt>
                <c:pt idx="45">
                  <c:v>0.46575342465753422</c:v>
                </c:pt>
                <c:pt idx="46">
                  <c:v>0.47979452054794519</c:v>
                </c:pt>
                <c:pt idx="47">
                  <c:v>0.51598173515981738</c:v>
                </c:pt>
                <c:pt idx="48">
                  <c:v>0.5474885844748858</c:v>
                </c:pt>
                <c:pt idx="49">
                  <c:v>0.58287671232876714</c:v>
                </c:pt>
                <c:pt idx="50">
                  <c:v>0.6257990867579909</c:v>
                </c:pt>
                <c:pt idx="51">
                  <c:v>0.64840182648401823</c:v>
                </c:pt>
                <c:pt idx="52">
                  <c:v>0.69326484018264845</c:v>
                </c:pt>
                <c:pt idx="53">
                  <c:v>0.73390410958904106</c:v>
                </c:pt>
                <c:pt idx="54">
                  <c:v>0.77214611872146122</c:v>
                </c:pt>
                <c:pt idx="55">
                  <c:v>0.81084474885844748</c:v>
                </c:pt>
                <c:pt idx="56">
                  <c:v>0.83116438356164379</c:v>
                </c:pt>
                <c:pt idx="57">
                  <c:v>0.86906392694063928</c:v>
                </c:pt>
                <c:pt idx="58">
                  <c:v>0.90148401826484015</c:v>
                </c:pt>
                <c:pt idx="59">
                  <c:v>0.92625570776255706</c:v>
                </c:pt>
                <c:pt idx="60">
                  <c:v>0.95079908675799085</c:v>
                </c:pt>
                <c:pt idx="61">
                  <c:v>0.96198630136986296</c:v>
                </c:pt>
                <c:pt idx="62">
                  <c:v>0.97408675799086752</c:v>
                </c:pt>
                <c:pt idx="63">
                  <c:v>0.98413242009132418</c:v>
                </c:pt>
                <c:pt idx="64">
                  <c:v>0.99132420091324203</c:v>
                </c:pt>
                <c:pt idx="65">
                  <c:v>0.99566210045662096</c:v>
                </c:pt>
                <c:pt idx="66">
                  <c:v>0.99760273972602742</c:v>
                </c:pt>
                <c:pt idx="67">
                  <c:v>0.99931506849315066</c:v>
                </c:pt>
                <c:pt idx="68">
                  <c:v>0.99988584474885844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05B-479F-A360-BCB056188D73}"/>
            </c:ext>
          </c:extLst>
        </c:ser>
        <c:ser>
          <c:idx val="4"/>
          <c:order val="4"/>
          <c:tx>
            <c:strRef>
              <c:f>Säädata_ENT!$P$3</c:f>
              <c:strCache>
                <c:ptCount val="1"/>
                <c:pt idx="0">
                  <c:v>LTU - Vilnius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Säädata_ENT!$G$4:$G$84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Säädata_ENT!$P$4:$P$84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1.1415525114155251E-4</c:v>
                </c:pt>
                <c:pt idx="17">
                  <c:v>1.1415525114155251E-3</c:v>
                </c:pt>
                <c:pt idx="18">
                  <c:v>2.2831050228310501E-3</c:v>
                </c:pt>
                <c:pt idx="19">
                  <c:v>3.3105022831050228E-3</c:v>
                </c:pt>
                <c:pt idx="20">
                  <c:v>5.5936073059360729E-3</c:v>
                </c:pt>
                <c:pt idx="21">
                  <c:v>6.392694063926941E-3</c:v>
                </c:pt>
                <c:pt idx="22">
                  <c:v>7.0776255707762558E-3</c:v>
                </c:pt>
                <c:pt idx="23">
                  <c:v>7.9908675799086754E-3</c:v>
                </c:pt>
                <c:pt idx="24">
                  <c:v>1.1301369863013699E-2</c:v>
                </c:pt>
                <c:pt idx="25">
                  <c:v>1.3470319634703196E-2</c:v>
                </c:pt>
                <c:pt idx="26">
                  <c:v>1.5639269406392695E-2</c:v>
                </c:pt>
                <c:pt idx="27">
                  <c:v>2.0205479452054795E-2</c:v>
                </c:pt>
                <c:pt idx="28">
                  <c:v>2.8995433789954339E-2</c:v>
                </c:pt>
                <c:pt idx="29">
                  <c:v>3.6073059360730596E-2</c:v>
                </c:pt>
                <c:pt idx="30">
                  <c:v>4.5890410958904108E-2</c:v>
                </c:pt>
                <c:pt idx="31">
                  <c:v>5.2054794520547946E-2</c:v>
                </c:pt>
                <c:pt idx="32">
                  <c:v>6.7009132420091322E-2</c:v>
                </c:pt>
                <c:pt idx="33">
                  <c:v>8.2762557077625573E-2</c:v>
                </c:pt>
                <c:pt idx="34">
                  <c:v>0.10582191780821917</c:v>
                </c:pt>
                <c:pt idx="35">
                  <c:v>0.13070776255707764</c:v>
                </c:pt>
                <c:pt idx="36">
                  <c:v>0.14874429223744293</c:v>
                </c:pt>
                <c:pt idx="37">
                  <c:v>0.19075342465753425</c:v>
                </c:pt>
                <c:pt idx="38">
                  <c:v>0.22910958904109588</c:v>
                </c:pt>
                <c:pt idx="39">
                  <c:v>0.27100456621004565</c:v>
                </c:pt>
                <c:pt idx="40">
                  <c:v>0.30810502283105023</c:v>
                </c:pt>
                <c:pt idx="41">
                  <c:v>0.32968036529680367</c:v>
                </c:pt>
                <c:pt idx="42">
                  <c:v>0.36723744292237442</c:v>
                </c:pt>
                <c:pt idx="43">
                  <c:v>0.40273972602739727</c:v>
                </c:pt>
                <c:pt idx="44">
                  <c:v>0.4343607305936073</c:v>
                </c:pt>
                <c:pt idx="45">
                  <c:v>0.46700913242009134</c:v>
                </c:pt>
                <c:pt idx="46">
                  <c:v>0.48881278538812784</c:v>
                </c:pt>
                <c:pt idx="47">
                  <c:v>0.52465753424657535</c:v>
                </c:pt>
                <c:pt idx="48">
                  <c:v>0.5592465753424658</c:v>
                </c:pt>
                <c:pt idx="49">
                  <c:v>0.59509132420091326</c:v>
                </c:pt>
                <c:pt idx="50">
                  <c:v>0.63401826484018264</c:v>
                </c:pt>
                <c:pt idx="51">
                  <c:v>0.65228310502283104</c:v>
                </c:pt>
                <c:pt idx="52">
                  <c:v>0.68949771689497719</c:v>
                </c:pt>
                <c:pt idx="53">
                  <c:v>0.72397260273972608</c:v>
                </c:pt>
                <c:pt idx="54">
                  <c:v>0.75821917808219175</c:v>
                </c:pt>
                <c:pt idx="55">
                  <c:v>0.79429223744292232</c:v>
                </c:pt>
                <c:pt idx="56">
                  <c:v>0.81198630136986305</c:v>
                </c:pt>
                <c:pt idx="57">
                  <c:v>0.8504566210045662</c:v>
                </c:pt>
                <c:pt idx="58">
                  <c:v>0.88789954337899546</c:v>
                </c:pt>
                <c:pt idx="59">
                  <c:v>0.91837899543378998</c:v>
                </c:pt>
                <c:pt idx="60">
                  <c:v>0.94200913242009132</c:v>
                </c:pt>
                <c:pt idx="61">
                  <c:v>0.95125570776255708</c:v>
                </c:pt>
                <c:pt idx="62">
                  <c:v>0.96643835616438356</c:v>
                </c:pt>
                <c:pt idx="63">
                  <c:v>0.97785388127853878</c:v>
                </c:pt>
                <c:pt idx="64">
                  <c:v>0.98732876712328765</c:v>
                </c:pt>
                <c:pt idx="65">
                  <c:v>0.99326484018264838</c:v>
                </c:pt>
                <c:pt idx="66">
                  <c:v>0.9953196347031964</c:v>
                </c:pt>
                <c:pt idx="67">
                  <c:v>0.99805936073059365</c:v>
                </c:pt>
                <c:pt idx="68">
                  <c:v>0.99931506849315066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05B-479F-A360-BCB056188D73}"/>
            </c:ext>
          </c:extLst>
        </c:ser>
        <c:ser>
          <c:idx val="5"/>
          <c:order val="5"/>
          <c:tx>
            <c:strRef>
              <c:f>Säädata_ENT!$Q$3</c:f>
              <c:strCache>
                <c:ptCount val="1"/>
                <c:pt idx="0">
                  <c:v>POL - Warsaw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Säädata_ENT!$G$4:$G$84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Säädata_ENT!$Q$4:$Q$84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3.4246575342465754E-4</c:v>
                </c:pt>
                <c:pt idx="23">
                  <c:v>1.0273972602739725E-3</c:v>
                </c:pt>
                <c:pt idx="24">
                  <c:v>2.054794520547945E-3</c:v>
                </c:pt>
                <c:pt idx="25">
                  <c:v>3.767123287671233E-3</c:v>
                </c:pt>
                <c:pt idx="26">
                  <c:v>4.7945205479452057E-3</c:v>
                </c:pt>
                <c:pt idx="27">
                  <c:v>6.735159817351598E-3</c:v>
                </c:pt>
                <c:pt idx="28">
                  <c:v>9.7031963470319629E-3</c:v>
                </c:pt>
                <c:pt idx="29">
                  <c:v>1.3356164383561644E-2</c:v>
                </c:pt>
                <c:pt idx="30">
                  <c:v>1.8036529680365298E-2</c:v>
                </c:pt>
                <c:pt idx="31">
                  <c:v>2.0547945205479451E-2</c:v>
                </c:pt>
                <c:pt idx="32">
                  <c:v>2.5228310502283104E-2</c:v>
                </c:pt>
                <c:pt idx="33">
                  <c:v>3.4018264840182645E-2</c:v>
                </c:pt>
                <c:pt idx="34">
                  <c:v>4.9086757990867577E-2</c:v>
                </c:pt>
                <c:pt idx="35">
                  <c:v>6.9977168949771684E-2</c:v>
                </c:pt>
                <c:pt idx="36">
                  <c:v>8.3447488584474885E-2</c:v>
                </c:pt>
                <c:pt idx="37">
                  <c:v>0.11529680365296803</c:v>
                </c:pt>
                <c:pt idx="38">
                  <c:v>0.15376712328767123</c:v>
                </c:pt>
                <c:pt idx="39">
                  <c:v>0.19121004566210045</c:v>
                </c:pt>
                <c:pt idx="40">
                  <c:v>0.22979452054794522</c:v>
                </c:pt>
                <c:pt idx="41">
                  <c:v>0.24520547945205479</c:v>
                </c:pt>
                <c:pt idx="42">
                  <c:v>0.27716894977168949</c:v>
                </c:pt>
                <c:pt idx="43">
                  <c:v>0.31324200913242012</c:v>
                </c:pt>
                <c:pt idx="44">
                  <c:v>0.3476027397260274</c:v>
                </c:pt>
                <c:pt idx="45">
                  <c:v>0.38367579908675797</c:v>
                </c:pt>
                <c:pt idx="46">
                  <c:v>0.40742009132420093</c:v>
                </c:pt>
                <c:pt idx="47">
                  <c:v>0.4480593607305936</c:v>
                </c:pt>
                <c:pt idx="48">
                  <c:v>0.48413242009132418</c:v>
                </c:pt>
                <c:pt idx="49">
                  <c:v>0.52465753424657535</c:v>
                </c:pt>
                <c:pt idx="50">
                  <c:v>0.5639269406392694</c:v>
                </c:pt>
                <c:pt idx="51">
                  <c:v>0.58424657534246571</c:v>
                </c:pt>
                <c:pt idx="52">
                  <c:v>0.62785388127853881</c:v>
                </c:pt>
                <c:pt idx="53">
                  <c:v>0.66997716894977166</c:v>
                </c:pt>
                <c:pt idx="54">
                  <c:v>0.7179223744292238</c:v>
                </c:pt>
                <c:pt idx="55">
                  <c:v>0.76210045662100456</c:v>
                </c:pt>
                <c:pt idx="56">
                  <c:v>0.78047945205479452</c:v>
                </c:pt>
                <c:pt idx="57">
                  <c:v>0.82351598173515983</c:v>
                </c:pt>
                <c:pt idx="58">
                  <c:v>0.86461187214611868</c:v>
                </c:pt>
                <c:pt idx="59">
                  <c:v>0.89452054794520552</c:v>
                </c:pt>
                <c:pt idx="60">
                  <c:v>0.92123287671232879</c:v>
                </c:pt>
                <c:pt idx="61">
                  <c:v>0.93287671232876712</c:v>
                </c:pt>
                <c:pt idx="62">
                  <c:v>0.95091324200913241</c:v>
                </c:pt>
                <c:pt idx="63">
                  <c:v>0.9671232876712329</c:v>
                </c:pt>
                <c:pt idx="64">
                  <c:v>0.97819634703196345</c:v>
                </c:pt>
                <c:pt idx="65">
                  <c:v>0.98732876712328765</c:v>
                </c:pt>
                <c:pt idx="66">
                  <c:v>0.99018264840182646</c:v>
                </c:pt>
                <c:pt idx="67">
                  <c:v>0.99543378995433784</c:v>
                </c:pt>
                <c:pt idx="68">
                  <c:v>0.99760273972602742</c:v>
                </c:pt>
                <c:pt idx="69">
                  <c:v>0.9992009132420091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05B-479F-A360-BCB056188D73}"/>
            </c:ext>
          </c:extLst>
        </c:ser>
        <c:ser>
          <c:idx val="6"/>
          <c:order val="6"/>
          <c:tx>
            <c:strRef>
              <c:f>Säädata_ENT!$R$3</c:f>
              <c:strCache>
                <c:ptCount val="1"/>
                <c:pt idx="0">
                  <c:v>POL - Krakow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Säädata_ENT!$G$4:$G$84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Säädata_ENT!$R$4:$R$84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1.1415525114155251E-4</c:v>
                </c:pt>
                <c:pt idx="24">
                  <c:v>1.8264840182648401E-3</c:v>
                </c:pt>
                <c:pt idx="25">
                  <c:v>3.4246575342465752E-3</c:v>
                </c:pt>
                <c:pt idx="26">
                  <c:v>4.4520547945205479E-3</c:v>
                </c:pt>
                <c:pt idx="27">
                  <c:v>7.534246575342466E-3</c:v>
                </c:pt>
                <c:pt idx="28">
                  <c:v>1.0159817351598174E-2</c:v>
                </c:pt>
                <c:pt idx="29">
                  <c:v>1.3812785388127854E-2</c:v>
                </c:pt>
                <c:pt idx="30">
                  <c:v>1.6552511415525113E-2</c:v>
                </c:pt>
                <c:pt idx="31">
                  <c:v>1.872146118721461E-2</c:v>
                </c:pt>
                <c:pt idx="32">
                  <c:v>2.5684931506849314E-2</c:v>
                </c:pt>
                <c:pt idx="33">
                  <c:v>3.8698630136986302E-2</c:v>
                </c:pt>
                <c:pt idx="34">
                  <c:v>5.4337899543378997E-2</c:v>
                </c:pt>
                <c:pt idx="35">
                  <c:v>7.0205479452054798E-2</c:v>
                </c:pt>
                <c:pt idx="36">
                  <c:v>8.1735159817351605E-2</c:v>
                </c:pt>
                <c:pt idx="37">
                  <c:v>0.10251141552511416</c:v>
                </c:pt>
                <c:pt idx="38">
                  <c:v>0.13390410958904109</c:v>
                </c:pt>
                <c:pt idx="39">
                  <c:v>0.16929223744292238</c:v>
                </c:pt>
                <c:pt idx="40">
                  <c:v>0.20833333333333334</c:v>
                </c:pt>
                <c:pt idx="41">
                  <c:v>0.22888127853881279</c:v>
                </c:pt>
                <c:pt idx="42">
                  <c:v>0.26529680365296804</c:v>
                </c:pt>
                <c:pt idx="43">
                  <c:v>0.30445205479452053</c:v>
                </c:pt>
                <c:pt idx="44">
                  <c:v>0.3393835616438356</c:v>
                </c:pt>
                <c:pt idx="45">
                  <c:v>0.37614155251141551</c:v>
                </c:pt>
                <c:pt idx="46">
                  <c:v>0.39474885844748858</c:v>
                </c:pt>
                <c:pt idx="47">
                  <c:v>0.43378995433789952</c:v>
                </c:pt>
                <c:pt idx="48">
                  <c:v>0.47066210045662099</c:v>
                </c:pt>
                <c:pt idx="49">
                  <c:v>0.50924657534246576</c:v>
                </c:pt>
                <c:pt idx="50">
                  <c:v>0.55251141552511418</c:v>
                </c:pt>
                <c:pt idx="51">
                  <c:v>0.57043378995433791</c:v>
                </c:pt>
                <c:pt idx="52">
                  <c:v>0.60696347031963471</c:v>
                </c:pt>
                <c:pt idx="53">
                  <c:v>0.65228310502283104</c:v>
                </c:pt>
                <c:pt idx="54">
                  <c:v>0.69086757990867576</c:v>
                </c:pt>
                <c:pt idx="55">
                  <c:v>0.72910958904109591</c:v>
                </c:pt>
                <c:pt idx="56">
                  <c:v>0.75102739726027401</c:v>
                </c:pt>
                <c:pt idx="57">
                  <c:v>0.7901826484018265</c:v>
                </c:pt>
                <c:pt idx="58">
                  <c:v>0.82773972602739732</c:v>
                </c:pt>
                <c:pt idx="59">
                  <c:v>0.86472602739726023</c:v>
                </c:pt>
                <c:pt idx="60">
                  <c:v>0.8969178082191781</c:v>
                </c:pt>
                <c:pt idx="61">
                  <c:v>0.91255707762557081</c:v>
                </c:pt>
                <c:pt idx="62">
                  <c:v>0.93515981735159814</c:v>
                </c:pt>
                <c:pt idx="63">
                  <c:v>0.95525114155251145</c:v>
                </c:pt>
                <c:pt idx="64">
                  <c:v>0.97111872146118716</c:v>
                </c:pt>
                <c:pt idx="65">
                  <c:v>0.98344748858447484</c:v>
                </c:pt>
                <c:pt idx="66">
                  <c:v>0.98755707762557077</c:v>
                </c:pt>
                <c:pt idx="67">
                  <c:v>0.99337899543378994</c:v>
                </c:pt>
                <c:pt idx="68">
                  <c:v>0.99726027397260275</c:v>
                </c:pt>
                <c:pt idx="69">
                  <c:v>0.99863013698630132</c:v>
                </c:pt>
                <c:pt idx="70">
                  <c:v>0.99977168949771689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05B-479F-A360-BCB056188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180400"/>
        <c:axId val="252783936"/>
      </c:scatterChart>
      <c:valAx>
        <c:axId val="247180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°C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2783936"/>
        <c:crosses val="autoZero"/>
        <c:crossBetween val="midCat"/>
      </c:valAx>
      <c:valAx>
        <c:axId val="25278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47180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LEV-455-230, pituus 350 mm, s=2.3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hyötysuhde_ENT'!$E$98</c:f>
              <c:strCache>
                <c:ptCount val="1"/>
                <c:pt idx="0">
                  <c:v>LEV-455-230, pituus 350 mm, s=2.3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hyötysuhde_ENT'!$E$105:$E$113</c:f>
              <c:numCache>
                <c:formatCode>General</c:formatCode>
                <c:ptCount val="9"/>
                <c:pt idx="0">
                  <c:v>100</c:v>
                </c:pt>
                <c:pt idx="1">
                  <c:v>90</c:v>
                </c:pt>
                <c:pt idx="2">
                  <c:v>80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22</c:v>
                </c:pt>
              </c:numCache>
            </c:numRef>
          </c:xVal>
          <c:yVal>
            <c:numRef>
              <c:f>'Kojeet ja kennon hyötysuhde_ENT'!$F$105:$F$113</c:f>
              <c:numCache>
                <c:formatCode>0.0\ %</c:formatCode>
                <c:ptCount val="9"/>
                <c:pt idx="0">
                  <c:v>0.78100000000000003</c:v>
                </c:pt>
                <c:pt idx="1">
                  <c:v>0.78400000000000003</c:v>
                </c:pt>
                <c:pt idx="2">
                  <c:v>0.78700000000000003</c:v>
                </c:pt>
                <c:pt idx="3">
                  <c:v>0.79100000000000004</c:v>
                </c:pt>
                <c:pt idx="4">
                  <c:v>0.79500000000000004</c:v>
                </c:pt>
                <c:pt idx="5">
                  <c:v>0.80200000000000005</c:v>
                </c:pt>
                <c:pt idx="6">
                  <c:v>0.81299999999999994</c:v>
                </c:pt>
                <c:pt idx="7">
                  <c:v>0.83399999999999996</c:v>
                </c:pt>
                <c:pt idx="8">
                  <c:v>0.86399999999999999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DF-49D2-9B83-660CA8D61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LEV-500-270, pituus 350 mm, s=2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hyötysuhde_ENT'!$E$124</c:f>
              <c:strCache>
                <c:ptCount val="1"/>
                <c:pt idx="0">
                  <c:v>LEV-500-270, pituus 350 mm, s=2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hyötysuhde_ENT'!$E$131:$E$139</c:f>
              <c:numCache>
                <c:formatCode>General</c:formatCode>
                <c:ptCount val="9"/>
                <c:pt idx="0">
                  <c:v>120</c:v>
                </c:pt>
                <c:pt idx="1">
                  <c:v>100</c:v>
                </c:pt>
                <c:pt idx="2">
                  <c:v>90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25</c:v>
                </c:pt>
              </c:numCache>
            </c:numRef>
          </c:xVal>
          <c:yVal>
            <c:numRef>
              <c:f>'Kojeet ja kennon hyötysuhde_ENT'!$F$131:$F$139</c:f>
              <c:numCache>
                <c:formatCode>0.0\ %</c:formatCode>
                <c:ptCount val="9"/>
                <c:pt idx="0">
                  <c:v>0.79100000000000004</c:v>
                </c:pt>
                <c:pt idx="1">
                  <c:v>0.79700000000000004</c:v>
                </c:pt>
                <c:pt idx="2">
                  <c:v>0.80100000000000005</c:v>
                </c:pt>
                <c:pt idx="3">
                  <c:v>0.81299999999999994</c:v>
                </c:pt>
                <c:pt idx="4">
                  <c:v>0.82099999999999995</c:v>
                </c:pt>
                <c:pt idx="5">
                  <c:v>0.83099999999999996</c:v>
                </c:pt>
                <c:pt idx="6">
                  <c:v>0.84299999999999997</c:v>
                </c:pt>
                <c:pt idx="7">
                  <c:v>0.85899999999999999</c:v>
                </c:pt>
                <c:pt idx="8">
                  <c:v>0.87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B9-407B-A9F0-D84B7784F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C5'!$BQ$52:$BQ$56</c:f>
              <c:numCache>
                <c:formatCode>General</c:formatCode>
                <c:ptCount val="5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</c:numCache>
            </c:numRef>
          </c:xVal>
          <c:yVal>
            <c:numRef>
              <c:f>'Laskenta tulopuoli C5'!$BR$52:$BR$56</c:f>
              <c:numCache>
                <c:formatCode>0.0</c:formatCode>
                <c:ptCount val="5"/>
                <c:pt idx="0">
                  <c:v>763.72536534345102</c:v>
                </c:pt>
                <c:pt idx="1">
                  <c:v>673.40707460886188</c:v>
                </c:pt>
                <c:pt idx="2">
                  <c:v>547.41802387470148</c:v>
                </c:pt>
                <c:pt idx="3">
                  <c:v>385.75821314096987</c:v>
                </c:pt>
                <c:pt idx="4">
                  <c:v>188.42764240766712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19-4A08-962F-F8877F7D1062}"/>
            </c:ext>
          </c:extLst>
        </c:ser>
        <c:ser>
          <c:idx val="1"/>
          <c:order val="1"/>
          <c:tx>
            <c:v>Laskettu F8 suodattimella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C5'!$BQ$52:$BQ$56</c:f>
              <c:numCache>
                <c:formatCode>General</c:formatCode>
                <c:ptCount val="5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</c:numCache>
            </c:numRef>
          </c:xVal>
          <c:yVal>
            <c:numRef>
              <c:f>'Laskenta tulopuoli C5'!$BS$52:$BS$56</c:f>
              <c:numCache>
                <c:formatCode>0.0</c:formatCode>
                <c:ptCount val="5"/>
                <c:pt idx="0">
                  <c:v>766.49260320485018</c:v>
                </c:pt>
                <c:pt idx="1">
                  <c:v>682.87046601288398</c:v>
                </c:pt>
                <c:pt idx="2">
                  <c:v>565.16956350452858</c:v>
                </c:pt>
                <c:pt idx="3">
                  <c:v>413.38989567978422</c:v>
                </c:pt>
                <c:pt idx="4">
                  <c:v>227.53146253865077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19-4A08-962F-F8877F7D1062}"/>
            </c:ext>
          </c:extLst>
        </c:ser>
        <c:ser>
          <c:idx val="2"/>
          <c:order val="2"/>
          <c:tx>
            <c:v>F8 suodattimen lisä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tulopuoli C5'!$BQ$52:$BQ$56</c:f>
              <c:numCache>
                <c:formatCode>General</c:formatCode>
                <c:ptCount val="5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</c:numCache>
            </c:numRef>
          </c:xVal>
          <c:yVal>
            <c:numRef>
              <c:f>'Laskenta tulopuoli C5'!$BU$52:$BU$56</c:f>
              <c:numCache>
                <c:formatCode>0.0</c:formatCode>
                <c:ptCount val="5"/>
                <c:pt idx="0">
                  <c:v>2.7672378613991446</c:v>
                </c:pt>
                <c:pt idx="1">
                  <c:v>9.4633914040220528</c:v>
                </c:pt>
                <c:pt idx="2">
                  <c:v>17.751539629827093</c:v>
                </c:pt>
                <c:pt idx="3">
                  <c:v>27.631682538814268</c:v>
                </c:pt>
                <c:pt idx="4">
                  <c:v>39.103820130983571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19-4A08-962F-F8877F7D1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996256"/>
        <c:axId val="396293456"/>
      </c:scatterChart>
      <c:valAx>
        <c:axId val="352996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96293456"/>
        <c:crosses val="autoZero"/>
        <c:crossBetween val="midCat"/>
      </c:valAx>
      <c:valAx>
        <c:axId val="39629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529962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LEV-620-394-500-(lamelli 2,2)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4535039370078739"/>
                  <c:y val="-0.443118985126859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hyötysuhde_ENT'!$U$102:$U$109</c:f>
              <c:numCache>
                <c:formatCode>General</c:formatCode>
                <c:ptCount val="8"/>
                <c:pt idx="0">
                  <c:v>50</c:v>
                </c:pt>
                <c:pt idx="1">
                  <c:v>75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'Kojeet ja kennon hyötysuhde_ENT'!$W$101:$W$108</c:f>
              <c:numCache>
                <c:formatCode>General</c:formatCode>
                <c:ptCount val="8"/>
                <c:pt idx="0">
                  <c:v>83.5</c:v>
                </c:pt>
                <c:pt idx="1">
                  <c:v>81.5</c:v>
                </c:pt>
                <c:pt idx="2">
                  <c:v>80.2</c:v>
                </c:pt>
                <c:pt idx="3">
                  <c:v>78.5</c:v>
                </c:pt>
                <c:pt idx="4">
                  <c:v>77.2</c:v>
                </c:pt>
                <c:pt idx="5">
                  <c:v>76.2</c:v>
                </c:pt>
                <c:pt idx="6">
                  <c:v>75.599999999999994</c:v>
                </c:pt>
                <c:pt idx="7">
                  <c:v>75.3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BC-494E-8339-2629FD780E1C}"/>
            </c:ext>
          </c:extLst>
        </c:ser>
        <c:ser>
          <c:idx val="1"/>
          <c:order val="1"/>
          <c:tx>
            <c:v>Usanon laskentamalli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hyötysuhde_ENT'!$V$130:$V$136</c:f>
              <c:numCache>
                <c:formatCode>General</c:formatCode>
                <c:ptCount val="7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350</c:v>
                </c:pt>
              </c:numCache>
            </c:numRef>
          </c:xVal>
          <c:yVal>
            <c:numRef>
              <c:f>'Kojeet ja kennon hyötysuhde_ENT'!$AG$130:$AG$136</c:f>
              <c:numCache>
                <c:formatCode>General</c:formatCode>
                <c:ptCount val="7"/>
                <c:pt idx="0">
                  <c:v>79.5</c:v>
                </c:pt>
                <c:pt idx="1">
                  <c:v>79.5</c:v>
                </c:pt>
                <c:pt idx="2">
                  <c:v>79.5</c:v>
                </c:pt>
                <c:pt idx="3">
                  <c:v>79.273759267300321</c:v>
                </c:pt>
                <c:pt idx="4">
                  <c:v>78.235849475724109</c:v>
                </c:pt>
                <c:pt idx="5">
                  <c:v>77.532048776957595</c:v>
                </c:pt>
                <c:pt idx="6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BC-494E-8339-2629FD780E1C}"/>
            </c:ext>
          </c:extLst>
        </c:ser>
        <c:ser>
          <c:idx val="2"/>
          <c:order val="2"/>
          <c:tx>
            <c:v>Usano sovitteeseen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287612429741248"/>
                  <c:y val="-0.189936102814734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hyötysuhde_ENT'!$V$133:$V$136</c:f>
              <c:numCache>
                <c:formatCode>General</c:formatCode>
                <c:ptCount val="4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</c:numCache>
            </c:numRef>
          </c:xVal>
          <c:yVal>
            <c:numRef>
              <c:f>'Kojeet ja kennon hyötysuhde_ENT'!$AG$133:$AG$136</c:f>
              <c:numCache>
                <c:formatCode>General</c:formatCode>
                <c:ptCount val="4"/>
                <c:pt idx="0">
                  <c:v>79.273759267300321</c:v>
                </c:pt>
                <c:pt idx="1">
                  <c:v>78.235849475724109</c:v>
                </c:pt>
                <c:pt idx="2">
                  <c:v>77.532048776957595</c:v>
                </c:pt>
                <c:pt idx="3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ABC-494E-8339-2629FD780E1C}"/>
            </c:ext>
          </c:extLst>
        </c:ser>
        <c:ser>
          <c:idx val="3"/>
          <c:order val="3"/>
          <c:tx>
            <c:v>Mitoutispiste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hyötysuhde_ENT'!$AC$119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'Kojeet ja kennon hyötysuhde_ENT'!$AL$121</c:f>
              <c:numCache>
                <c:formatCode>0.0</c:formatCode>
                <c:ptCount val="1"/>
                <c:pt idx="0">
                  <c:v>85.508582110138761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ABC-494E-8339-2629FD780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850696"/>
        <c:axId val="660852992"/>
      </c:scatterChart>
      <c:valAx>
        <c:axId val="660850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dm3/s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2992"/>
        <c:crosses val="autoZero"/>
        <c:crossBetween val="midCat"/>
      </c:valAx>
      <c:valAx>
        <c:axId val="66085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Hyötysuhde tulo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0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13141-7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hyötysuhde_ENT'!$E$24:$E$29</c:f>
              <c:numCache>
                <c:formatCode>General</c:formatCode>
                <c:ptCount val="6"/>
                <c:pt idx="0">
                  <c:v>20</c:v>
                </c:pt>
                <c:pt idx="1">
                  <c:v>45</c:v>
                </c:pt>
                <c:pt idx="2">
                  <c:v>55</c:v>
                </c:pt>
                <c:pt idx="3">
                  <c:v>65</c:v>
                </c:pt>
                <c:pt idx="4">
                  <c:v>75</c:v>
                </c:pt>
                <c:pt idx="5">
                  <c:v>87</c:v>
                </c:pt>
              </c:numCache>
            </c:numRef>
          </c:xVal>
          <c:yVal>
            <c:numRef>
              <c:f>'Kojeet ja kennon hyötysuhde_ENT'!$G$24:$G$29</c:f>
              <c:numCache>
                <c:formatCode>0.0</c:formatCode>
                <c:ptCount val="6"/>
                <c:pt idx="0">
                  <c:v>85</c:v>
                </c:pt>
                <c:pt idx="1">
                  <c:v>83.972857630618719</c:v>
                </c:pt>
                <c:pt idx="2">
                  <c:v>82.425335498360226</c:v>
                </c:pt>
                <c:pt idx="3">
                  <c:v>81.158831640316947</c:v>
                </c:pt>
                <c:pt idx="4">
                  <c:v>80.089413242567431</c:v>
                </c:pt>
                <c:pt idx="5">
                  <c:v>78.995128354275536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29-472E-9CC7-D5657D0F92B9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hyötysuhde_ENT'!$F$36</c:f>
              <c:numCache>
                <c:formatCode>0.0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'Kojeet ja kennon hyötysuhde_ENT'!$F$38</c:f>
              <c:numCache>
                <c:formatCode>0.0</c:formatCode>
                <c:ptCount val="1"/>
                <c:pt idx="0">
                  <c:v>84.395127271364345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29-472E-9CC7-D5657D0F9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308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hyötysuhde_ENT'!$E$24:$E$30</c:f>
              <c:numCache>
                <c:formatCode>General</c:formatCode>
                <c:ptCount val="7"/>
                <c:pt idx="0">
                  <c:v>20</c:v>
                </c:pt>
                <c:pt idx="1">
                  <c:v>45</c:v>
                </c:pt>
                <c:pt idx="2">
                  <c:v>55</c:v>
                </c:pt>
                <c:pt idx="3">
                  <c:v>65</c:v>
                </c:pt>
                <c:pt idx="4">
                  <c:v>75</c:v>
                </c:pt>
                <c:pt idx="5">
                  <c:v>87</c:v>
                </c:pt>
                <c:pt idx="6">
                  <c:v>100</c:v>
                </c:pt>
              </c:numCache>
            </c:numRef>
          </c:xVal>
          <c:yVal>
            <c:numRef>
              <c:f>'Kojeet ja kennon hyötysuhde_ENT'!$H$24:$H$30</c:f>
              <c:numCache>
                <c:formatCode>0.0</c:formatCode>
                <c:ptCount val="7"/>
                <c:pt idx="0">
                  <c:v>85</c:v>
                </c:pt>
                <c:pt idx="1">
                  <c:v>83.972857630618719</c:v>
                </c:pt>
                <c:pt idx="2">
                  <c:v>82.425335498360226</c:v>
                </c:pt>
                <c:pt idx="3">
                  <c:v>81.158831640316947</c:v>
                </c:pt>
                <c:pt idx="4">
                  <c:v>80.089413242567431</c:v>
                </c:pt>
                <c:pt idx="5">
                  <c:v>78.995128354275536</c:v>
                </c:pt>
                <c:pt idx="6">
                  <c:v>77.981963966212504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8F-409F-BDBF-7508828D654D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hyötysuhde_ENT'!$F$36</c:f>
              <c:numCache>
                <c:formatCode>0.0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'Kojeet ja kennon hyötysuhde_ENT'!$F$39</c:f>
              <c:numCache>
                <c:formatCode>0.0</c:formatCode>
                <c:ptCount val="1"/>
                <c:pt idx="0">
                  <c:v>84.395127271364345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8F-409F-BDBF-7508828D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Entalpia- ja alumiinikenno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Entalpia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'Kojeet ja kennon hyötysuhde_ENT'!$AC$36:$AC$42</c:f>
              <c:numCache>
                <c:formatCode>General</c:formatCode>
                <c:ptCount val="7"/>
                <c:pt idx="0">
                  <c:v>18</c:v>
                </c:pt>
                <c:pt idx="1">
                  <c:v>37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115</c:v>
                </c:pt>
                <c:pt idx="6">
                  <c:v>140</c:v>
                </c:pt>
              </c:numCache>
            </c:numRef>
          </c:xVal>
          <c:yVal>
            <c:numRef>
              <c:f>'Kojeet ja kennon hyötysuhde_ENT'!$AE$36:$AE$42</c:f>
              <c:numCache>
                <c:formatCode>0.00</c:formatCode>
                <c:ptCount val="7"/>
                <c:pt idx="0">
                  <c:v>85</c:v>
                </c:pt>
                <c:pt idx="1">
                  <c:v>83.956879413043666</c:v>
                </c:pt>
                <c:pt idx="2">
                  <c:v>81.415097886302561</c:v>
                </c:pt>
                <c:pt idx="3">
                  <c:v>78.665696430023232</c:v>
                </c:pt>
                <c:pt idx="4">
                  <c:v>76.672888956679259</c:v>
                </c:pt>
                <c:pt idx="5">
                  <c:v>74.777823747604515</c:v>
                </c:pt>
                <c:pt idx="6">
                  <c:v>73.290969396373313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92-4DDA-A93A-0AA9BA2D2D47}"/>
            </c:ext>
          </c:extLst>
        </c:ser>
        <c:ser>
          <c:idx val="1"/>
          <c:order val="1"/>
          <c:tx>
            <c:v>Alumiini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hyötysuhde_ENT'!$AH$36:$AH$42</c:f>
              <c:numCache>
                <c:formatCode>0.0</c:formatCode>
                <c:ptCount val="7"/>
                <c:pt idx="0">
                  <c:v>18</c:v>
                </c:pt>
                <c:pt idx="1">
                  <c:v>29</c:v>
                </c:pt>
                <c:pt idx="2">
                  <c:v>36</c:v>
                </c:pt>
                <c:pt idx="3">
                  <c:v>60</c:v>
                </c:pt>
                <c:pt idx="4">
                  <c:v>90</c:v>
                </c:pt>
                <c:pt idx="5">
                  <c:v>140</c:v>
                </c:pt>
                <c:pt idx="6">
                  <c:v>140</c:v>
                </c:pt>
              </c:numCache>
            </c:numRef>
          </c:xVal>
          <c:yVal>
            <c:numRef>
              <c:f>'Kojeet ja kennon hyötysuhde_ENT'!$AK$36:$AK$42</c:f>
              <c:numCache>
                <c:formatCode>0.00</c:formatCode>
                <c:ptCount val="7"/>
                <c:pt idx="0">
                  <c:v>79.5</c:v>
                </c:pt>
                <c:pt idx="1">
                  <c:v>79</c:v>
                </c:pt>
                <c:pt idx="2">
                  <c:v>78.5</c:v>
                </c:pt>
                <c:pt idx="3">
                  <c:v>77.5</c:v>
                </c:pt>
                <c:pt idx="4">
                  <c:v>76</c:v>
                </c:pt>
                <c:pt idx="5">
                  <c:v>74</c:v>
                </c:pt>
                <c:pt idx="6" formatCode="0.0">
                  <c:v>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92-4DDA-A93A-0AA9BA2D2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24015"/>
        <c:axId val="122119695"/>
      </c:scatterChart>
      <c:valAx>
        <c:axId val="1221240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22119695"/>
        <c:crosses val="autoZero"/>
        <c:crossBetween val="midCat"/>
      </c:valAx>
      <c:valAx>
        <c:axId val="122119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221240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Entalpia- ja alumiinikenno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'Kojeet ja kennon hyötysuhde_ENT'!$AC$11:$AC$17</c:f>
              <c:numCache>
                <c:formatCode>General</c:formatCode>
                <c:ptCount val="7"/>
                <c:pt idx="0">
                  <c:v>20</c:v>
                </c:pt>
                <c:pt idx="1">
                  <c:v>45</c:v>
                </c:pt>
                <c:pt idx="2">
                  <c:v>55</c:v>
                </c:pt>
                <c:pt idx="3">
                  <c:v>65</c:v>
                </c:pt>
                <c:pt idx="4">
                  <c:v>75</c:v>
                </c:pt>
                <c:pt idx="5">
                  <c:v>87</c:v>
                </c:pt>
                <c:pt idx="6">
                  <c:v>100</c:v>
                </c:pt>
              </c:numCache>
            </c:numRef>
          </c:xVal>
          <c:yVal>
            <c:numRef>
              <c:f>'Kojeet ja kennon hyötysuhde_ENT'!$AE$11:$AE$17</c:f>
              <c:numCache>
                <c:formatCode>0.00</c:formatCode>
                <c:ptCount val="7"/>
                <c:pt idx="0">
                  <c:v>85</c:v>
                </c:pt>
                <c:pt idx="1">
                  <c:v>83.972857630618719</c:v>
                </c:pt>
                <c:pt idx="2">
                  <c:v>82.425335498360226</c:v>
                </c:pt>
                <c:pt idx="3">
                  <c:v>81.158831640316947</c:v>
                </c:pt>
                <c:pt idx="4">
                  <c:v>80.089413242567431</c:v>
                </c:pt>
                <c:pt idx="5">
                  <c:v>78.995128354275536</c:v>
                </c:pt>
                <c:pt idx="6">
                  <c:v>77.981963966212504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BE-4F46-AA9E-764B90DCA610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hyötysuhde_ENT'!$AH$11:$AH$17</c:f>
              <c:numCache>
                <c:formatCode>0.0</c:formatCode>
                <c:ptCount val="7"/>
                <c:pt idx="0">
                  <c:v>18</c:v>
                </c:pt>
                <c:pt idx="1">
                  <c:v>28</c:v>
                </c:pt>
                <c:pt idx="2">
                  <c:v>36</c:v>
                </c:pt>
                <c:pt idx="3">
                  <c:v>61.5</c:v>
                </c:pt>
                <c:pt idx="4">
                  <c:v>90</c:v>
                </c:pt>
                <c:pt idx="5">
                  <c:v>130</c:v>
                </c:pt>
                <c:pt idx="6">
                  <c:v>130</c:v>
                </c:pt>
              </c:numCache>
            </c:numRef>
          </c:xVal>
          <c:yVal>
            <c:numRef>
              <c:f>'Kojeet ja kennon hyötysuhde_ENT'!$AK$11:$AK$17</c:f>
              <c:numCache>
                <c:formatCode>0.00</c:formatCode>
                <c:ptCount val="7"/>
                <c:pt idx="0">
                  <c:v>81.75</c:v>
                </c:pt>
                <c:pt idx="1">
                  <c:v>81.5</c:v>
                </c:pt>
                <c:pt idx="2">
                  <c:v>81</c:v>
                </c:pt>
                <c:pt idx="3">
                  <c:v>80.3</c:v>
                </c:pt>
                <c:pt idx="4">
                  <c:v>79.5</c:v>
                </c:pt>
                <c:pt idx="5">
                  <c:v>78.2</c:v>
                </c:pt>
                <c:pt idx="6" formatCode="0.0">
                  <c:v>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BE-4F46-AA9E-764B90DCA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24015"/>
        <c:axId val="122119695"/>
      </c:scatterChart>
      <c:valAx>
        <c:axId val="1221240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22119695"/>
        <c:crosses val="autoZero"/>
        <c:crossBetween val="midCat"/>
      </c:valAx>
      <c:valAx>
        <c:axId val="122119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221240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Entalpia- ja alumiinikenno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'Kojeet ja kennon hyötysuhde_ENT'!$AC$71:$AC$77</c:f>
              <c:numCache>
                <c:formatCode>General</c:formatCode>
                <c:ptCount val="7"/>
                <c:pt idx="0">
                  <c:v>15</c:v>
                </c:pt>
                <c:pt idx="1">
                  <c:v>33.700000000000003</c:v>
                </c:pt>
                <c:pt idx="2">
                  <c:v>45</c:v>
                </c:pt>
                <c:pt idx="3">
                  <c:v>55</c:v>
                </c:pt>
                <c:pt idx="4">
                  <c:v>68</c:v>
                </c:pt>
                <c:pt idx="5">
                  <c:v>82</c:v>
                </c:pt>
                <c:pt idx="6">
                  <c:v>100</c:v>
                </c:pt>
              </c:numCache>
            </c:numRef>
          </c:xVal>
          <c:yVal>
            <c:numRef>
              <c:f>'Kojeet ja kennon hyötysuhde_ENT'!$AE$71:$AE$77</c:f>
              <c:numCache>
                <c:formatCode>0.00</c:formatCode>
                <c:ptCount val="7"/>
                <c:pt idx="0">
                  <c:v>85</c:v>
                </c:pt>
                <c:pt idx="1">
                  <c:v>83.947816751442701</c:v>
                </c:pt>
                <c:pt idx="2">
                  <c:v>81.920550336297012</c:v>
                </c:pt>
                <c:pt idx="3">
                  <c:v>80.542541715541788</c:v>
                </c:pt>
                <c:pt idx="4">
                  <c:v>79.110739230397641</c:v>
                </c:pt>
                <c:pt idx="5">
                  <c:v>77.868544796409211</c:v>
                </c:pt>
                <c:pt idx="6">
                  <c:v>76.573064035004634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CE-4B4D-8F1B-FBA191CD5A5A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hyötysuhde_ENT'!$AH$71:$AH$77</c:f>
              <c:numCache>
                <c:formatCode>0.0</c:formatCode>
                <c:ptCount val="7"/>
                <c:pt idx="0" formatCode="General">
                  <c:v>15</c:v>
                </c:pt>
                <c:pt idx="1">
                  <c:v>28</c:v>
                </c:pt>
                <c:pt idx="2">
                  <c:v>36</c:v>
                </c:pt>
                <c:pt idx="3">
                  <c:v>61.5</c:v>
                </c:pt>
                <c:pt idx="4">
                  <c:v>90</c:v>
                </c:pt>
                <c:pt idx="5">
                  <c:v>130</c:v>
                </c:pt>
                <c:pt idx="6">
                  <c:v>130</c:v>
                </c:pt>
              </c:numCache>
            </c:numRef>
          </c:xVal>
          <c:yVal>
            <c:numRef>
              <c:f>'Kojeet ja kennon hyötysuhde_ENT'!$AK$71:$AK$77</c:f>
              <c:numCache>
                <c:formatCode>0.00</c:formatCode>
                <c:ptCount val="7"/>
                <c:pt idx="0" formatCode="General">
                  <c:v>81.8</c:v>
                </c:pt>
                <c:pt idx="1">
                  <c:v>81.599999999999994</c:v>
                </c:pt>
                <c:pt idx="2">
                  <c:v>81.2</c:v>
                </c:pt>
                <c:pt idx="3">
                  <c:v>80.25</c:v>
                </c:pt>
                <c:pt idx="4">
                  <c:v>79.3</c:v>
                </c:pt>
                <c:pt idx="5">
                  <c:v>78</c:v>
                </c:pt>
                <c:pt idx="6">
                  <c:v>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CE-4B4D-8F1B-FBA191CD5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24015"/>
        <c:axId val="122119695"/>
      </c:scatterChart>
      <c:valAx>
        <c:axId val="1221240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22119695"/>
        <c:crosses val="autoZero"/>
        <c:crossBetween val="midCat"/>
      </c:valAx>
      <c:valAx>
        <c:axId val="122119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221240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Entalpia- ja alumiinikenno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'Kojeet ja kennon hyötysuhde_ENT'!$AC$48:$AC$54</c:f>
              <c:numCache>
                <c:formatCode>General</c:formatCode>
                <c:ptCount val="7"/>
                <c:pt idx="0">
                  <c:v>40</c:v>
                </c:pt>
                <c:pt idx="1">
                  <c:v>78</c:v>
                </c:pt>
                <c:pt idx="2">
                  <c:v>110</c:v>
                </c:pt>
                <c:pt idx="3">
                  <c:v>160</c:v>
                </c:pt>
                <c:pt idx="4">
                  <c:v>220</c:v>
                </c:pt>
                <c:pt idx="5">
                  <c:v>280</c:v>
                </c:pt>
                <c:pt idx="6">
                  <c:v>340</c:v>
                </c:pt>
              </c:numCache>
            </c:numRef>
          </c:xVal>
          <c:yVal>
            <c:numRef>
              <c:f>'Kojeet ja kennon hyötysuhde_ENT'!$AE$48:$AE$54</c:f>
              <c:numCache>
                <c:formatCode>0.00</c:formatCode>
                <c:ptCount val="7"/>
                <c:pt idx="0">
                  <c:v>85</c:v>
                </c:pt>
                <c:pt idx="1">
                  <c:v>84.0330730125103</c:v>
                </c:pt>
                <c:pt idx="2">
                  <c:v>81.246764299333762</c:v>
                </c:pt>
                <c:pt idx="3">
                  <c:v>78.314949742262243</c:v>
                </c:pt>
                <c:pt idx="4">
                  <c:v>75.90650649929313</c:v>
                </c:pt>
                <c:pt idx="5">
                  <c:v>74.132022404676448</c:v>
                </c:pt>
                <c:pt idx="6">
                  <c:v>72.733599731458426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D0-4E9F-A318-7FA5F2000FAE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hyötysuhde_ENT'!$AH$48:$AH$54</c:f>
              <c:numCache>
                <c:formatCode>0.0</c:formatCode>
                <c:ptCount val="7"/>
                <c:pt idx="0">
                  <c:v>18</c:v>
                </c:pt>
                <c:pt idx="1">
                  <c:v>29</c:v>
                </c:pt>
                <c:pt idx="2">
                  <c:v>36</c:v>
                </c:pt>
                <c:pt idx="3">
                  <c:v>80</c:v>
                </c:pt>
                <c:pt idx="4">
                  <c:v>120</c:v>
                </c:pt>
                <c:pt idx="5">
                  <c:v>180</c:v>
                </c:pt>
                <c:pt idx="6">
                  <c:v>180</c:v>
                </c:pt>
              </c:numCache>
            </c:numRef>
          </c:xVal>
          <c:yVal>
            <c:numRef>
              <c:f>'Kojeet ja kennon hyötysuhde_ENT'!$AK$48:$AK$54</c:f>
              <c:numCache>
                <c:formatCode>0.00</c:formatCode>
                <c:ptCount val="7"/>
                <c:pt idx="0">
                  <c:v>82</c:v>
                </c:pt>
                <c:pt idx="1">
                  <c:v>81.75</c:v>
                </c:pt>
                <c:pt idx="2">
                  <c:v>81.5</c:v>
                </c:pt>
                <c:pt idx="3">
                  <c:v>80.5</c:v>
                </c:pt>
                <c:pt idx="4">
                  <c:v>80</c:v>
                </c:pt>
                <c:pt idx="5">
                  <c:v>79.5</c:v>
                </c:pt>
                <c:pt idx="6" formatCode="0.0">
                  <c:v>79.5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D0-4E9F-A318-7FA5F2000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24015"/>
        <c:axId val="122119695"/>
      </c:scatterChart>
      <c:valAx>
        <c:axId val="1221240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22119695"/>
        <c:crosses val="autoZero"/>
        <c:crossBetween val="midCat"/>
      </c:valAx>
      <c:valAx>
        <c:axId val="122119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221240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Entalpia- ja alumiinikenno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'Kojeet ja kennon hyötysuhde_ENT'!$AC$60:$AC$66</c:f>
              <c:numCache>
                <c:formatCode>General</c:formatCode>
                <c:ptCount val="7"/>
                <c:pt idx="0">
                  <c:v>40</c:v>
                </c:pt>
                <c:pt idx="1">
                  <c:v>78</c:v>
                </c:pt>
                <c:pt idx="2">
                  <c:v>110</c:v>
                </c:pt>
                <c:pt idx="3">
                  <c:v>160</c:v>
                </c:pt>
                <c:pt idx="4">
                  <c:v>220</c:v>
                </c:pt>
                <c:pt idx="5">
                  <c:v>280</c:v>
                </c:pt>
                <c:pt idx="6">
                  <c:v>340</c:v>
                </c:pt>
              </c:numCache>
            </c:numRef>
          </c:xVal>
          <c:yVal>
            <c:numRef>
              <c:f>'Kojeet ja kennon hyötysuhde_ENT'!$AE$60:$AE$66</c:f>
              <c:numCache>
                <c:formatCode>0.00</c:formatCode>
                <c:ptCount val="7"/>
                <c:pt idx="0">
                  <c:v>85</c:v>
                </c:pt>
                <c:pt idx="1">
                  <c:v>84.0330730125103</c:v>
                </c:pt>
                <c:pt idx="2">
                  <c:v>81.246764299333762</c:v>
                </c:pt>
                <c:pt idx="3">
                  <c:v>78.314949742262243</c:v>
                </c:pt>
                <c:pt idx="4">
                  <c:v>75.90650649929313</c:v>
                </c:pt>
                <c:pt idx="5">
                  <c:v>74.132022404676448</c:v>
                </c:pt>
                <c:pt idx="6">
                  <c:v>72.733599731458426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14-4070-A13C-B2E145425FD3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hyötysuhde_ENT'!$AH$60:$AH$66</c:f>
              <c:numCache>
                <c:formatCode>General</c:formatCode>
                <c:ptCount val="7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350</c:v>
                </c:pt>
              </c:numCache>
            </c:numRef>
          </c:xVal>
          <c:yVal>
            <c:numRef>
              <c:f>'Kojeet ja kennon hyötysuhde_ENT'!$AK$60:$AK$66</c:f>
              <c:numCache>
                <c:formatCode>0.00</c:formatCode>
                <c:ptCount val="7"/>
                <c:pt idx="0">
                  <c:v>81</c:v>
                </c:pt>
                <c:pt idx="1">
                  <c:v>80.5</c:v>
                </c:pt>
                <c:pt idx="2">
                  <c:v>80</c:v>
                </c:pt>
                <c:pt idx="3">
                  <c:v>79.5</c:v>
                </c:pt>
                <c:pt idx="4">
                  <c:v>78.7</c:v>
                </c:pt>
                <c:pt idx="5">
                  <c:v>78</c:v>
                </c:pt>
                <c:pt idx="6">
                  <c:v>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14-4070-A13C-B2E145425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24015"/>
        <c:axId val="122119695"/>
      </c:scatterChart>
      <c:valAx>
        <c:axId val="1221240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22119695"/>
        <c:crosses val="autoZero"/>
        <c:crossBetween val="midCat"/>
      </c:valAx>
      <c:valAx>
        <c:axId val="122119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221240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Poisto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keittiöoh 53mini_ENT'!$C$12:$J$12</c:f>
              <c:numCache>
                <c:formatCode>0.0</c:formatCode>
                <c:ptCount val="8"/>
                <c:pt idx="0">
                  <c:v>74.652204430997017</c:v>
                </c:pt>
                <c:pt idx="1">
                  <c:v>55.65220443099701</c:v>
                </c:pt>
                <c:pt idx="2">
                  <c:v>50.65220443099701</c:v>
                </c:pt>
                <c:pt idx="3">
                  <c:v>47.65220443099701</c:v>
                </c:pt>
                <c:pt idx="4">
                  <c:v>41.65220443099701</c:v>
                </c:pt>
                <c:pt idx="5">
                  <c:v>34.65220443099701</c:v>
                </c:pt>
                <c:pt idx="6">
                  <c:v>25.65220443099701</c:v>
                </c:pt>
                <c:pt idx="7">
                  <c:v>19.65220443099701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4-43BF-8E15-B428A0C7DB59}"/>
            </c:ext>
          </c:extLst>
        </c:ser>
        <c:ser>
          <c:idx val="1"/>
          <c:order val="1"/>
          <c:tx>
            <c:v>Jäte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keittiöoh 53mini_ENT'!$C$13:$J$13</c:f>
              <c:numCache>
                <c:formatCode>0</c:formatCode>
                <c:ptCount val="8"/>
                <c:pt idx="0">
                  <c:v>81.797611511157953</c:v>
                </c:pt>
                <c:pt idx="1">
                  <c:v>65.797611511157953</c:v>
                </c:pt>
                <c:pt idx="2">
                  <c:v>63.797611511157953</c:v>
                </c:pt>
                <c:pt idx="3">
                  <c:v>56.797611511157953</c:v>
                </c:pt>
                <c:pt idx="4">
                  <c:v>53.797611511157953</c:v>
                </c:pt>
                <c:pt idx="5">
                  <c:v>51.797611511157953</c:v>
                </c:pt>
                <c:pt idx="6">
                  <c:v>46.797611511157953</c:v>
                </c:pt>
                <c:pt idx="7">
                  <c:v>42.797611511157953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4-43BF-8E15-B428A0C7DB59}"/>
            </c:ext>
          </c:extLst>
        </c:ser>
        <c:ser>
          <c:idx val="2"/>
          <c:order val="2"/>
          <c:tx>
            <c:v>Keittiö</c:v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'Laskenta keittiöoh 53mini_ENT'!$C$16:$J$16</c:f>
              <c:numCache>
                <c:formatCode>0</c:formatCode>
                <c:ptCount val="8"/>
                <c:pt idx="0">
                  <c:v>78.582178325085522</c:v>
                </c:pt>
                <c:pt idx="1">
                  <c:v>61.739448679093577</c:v>
                </c:pt>
                <c:pt idx="2">
                  <c:v>59.853989387109671</c:v>
                </c:pt>
                <c:pt idx="3">
                  <c:v>54.053989387109667</c:v>
                </c:pt>
                <c:pt idx="4">
                  <c:v>50.153989387109668</c:v>
                </c:pt>
                <c:pt idx="5">
                  <c:v>45.796719033101624</c:v>
                </c:pt>
                <c:pt idx="6">
                  <c:v>38.339448679093579</c:v>
                </c:pt>
                <c:pt idx="7">
                  <c:v>32.382178325085533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4-43BF-8E15-B428A0C7D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020031"/>
        <c:axId val="25004671"/>
      </c:lineChart>
      <c:catAx>
        <c:axId val="2502003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004671"/>
        <c:crosses val="autoZero"/>
        <c:auto val="1"/>
        <c:lblAlgn val="ctr"/>
        <c:lblOffset val="100"/>
        <c:noMultiLvlLbl val="0"/>
      </c:catAx>
      <c:valAx>
        <c:axId val="25004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020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1725896762904633"/>
                  <c:y val="4.438247302420530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350_ENT'!$N$8:$N$14</c:f>
              <c:numCache>
                <c:formatCode>0</c:formatCode>
                <c:ptCount val="7"/>
                <c:pt idx="0">
                  <c:v>4388.9688496702984</c:v>
                </c:pt>
                <c:pt idx="1">
                  <c:v>5309.2365116979418</c:v>
                </c:pt>
                <c:pt idx="2">
                  <c:v>8494.7784187167072</c:v>
                </c:pt>
                <c:pt idx="3">
                  <c:v>4388.9688496702984</c:v>
                </c:pt>
                <c:pt idx="4">
                  <c:v>3964.2299287344631</c:v>
                </c:pt>
                <c:pt idx="5">
                  <c:v>3539.4910077986274</c:v>
                </c:pt>
                <c:pt idx="6">
                  <c:v>3114.7520868627926</c:v>
                </c:pt>
              </c:numCache>
            </c:numRef>
          </c:xVal>
          <c:yVal>
            <c:numRef>
              <c:f>'Laskenta vesipatteri 350_ENT'!$O$8:$O$14</c:f>
              <c:numCache>
                <c:formatCode>0.0</c:formatCode>
                <c:ptCount val="7"/>
                <c:pt idx="0">
                  <c:v>0.29666666666665975</c:v>
                </c:pt>
                <c:pt idx="1">
                  <c:v>-0.4704301075268873</c:v>
                </c:pt>
                <c:pt idx="2">
                  <c:v>0.72365591397849016</c:v>
                </c:pt>
                <c:pt idx="3">
                  <c:v>0.29666666666665975</c:v>
                </c:pt>
                <c:pt idx="4">
                  <c:v>0.41311827956988623</c:v>
                </c:pt>
                <c:pt idx="5">
                  <c:v>-0.4704301075268873</c:v>
                </c:pt>
                <c:pt idx="6">
                  <c:v>-0.85397849462366082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49-4031-9EBF-20A6F0EDFEF3}"/>
            </c:ext>
          </c:extLst>
        </c:ser>
        <c:ser>
          <c:idx val="1"/>
          <c:order val="1"/>
          <c:tx>
            <c:v>100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3798556430446199E-2"/>
                  <c:y val="0.392374963546223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350_ENT'!$N$18:$N$22</c:f>
              <c:numCache>
                <c:formatCode>0</c:formatCode>
                <c:ptCount val="5"/>
                <c:pt idx="0">
                  <c:v>3822.6502884225179</c:v>
                </c:pt>
                <c:pt idx="1">
                  <c:v>7078.9820155972548</c:v>
                </c:pt>
                <c:pt idx="2">
                  <c:v>6512.6634543494738</c:v>
                </c:pt>
                <c:pt idx="3">
                  <c:v>5663.1856124778033</c:v>
                </c:pt>
                <c:pt idx="4">
                  <c:v>4955.2874109180793</c:v>
                </c:pt>
              </c:numCache>
            </c:numRef>
          </c:xVal>
          <c:yVal>
            <c:numRef>
              <c:f>'Laskenta vesipatteri 350_ENT'!$O$18:$O$22</c:f>
              <c:numCache>
                <c:formatCode>0.0</c:formatCode>
                <c:ptCount val="5"/>
                <c:pt idx="0">
                  <c:v>-4.9372606692935204</c:v>
                </c:pt>
                <c:pt idx="1">
                  <c:v>0.89649814085133528</c:v>
                </c:pt>
                <c:pt idx="2">
                  <c:v>1.1047782895832228</c:v>
                </c:pt>
                <c:pt idx="3">
                  <c:v>-0.58280148731893533</c:v>
                </c:pt>
                <c:pt idx="4">
                  <c:v>-1.0724513014040689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49-4031-9EBF-20A6F0EDFEF3}"/>
            </c:ext>
          </c:extLst>
        </c:ser>
        <c:ser>
          <c:idx val="2"/>
          <c:order val="2"/>
          <c:tx>
            <c:v>200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350_ENT'!$N$26:$N$30</c:f>
              <c:numCache>
                <c:formatCode>0</c:formatCode>
                <c:ptCount val="5"/>
                <c:pt idx="0">
                  <c:v>6158.7143535696114</c:v>
                </c:pt>
                <c:pt idx="1">
                  <c:v>11184.791584643664</c:v>
                </c:pt>
                <c:pt idx="2">
                  <c:v>9910.5748218361587</c:v>
                </c:pt>
                <c:pt idx="3">
                  <c:v>8494.7784187167072</c:v>
                </c:pt>
                <c:pt idx="4">
                  <c:v>7503.72093653309</c:v>
                </c:pt>
              </c:numCache>
            </c:numRef>
          </c:xVal>
          <c:yVal>
            <c:numRef>
              <c:f>'Laskenta vesipatteri 350_ENT'!$O$26:$O$30</c:f>
              <c:numCache>
                <c:formatCode>0.0</c:formatCode>
                <c:ptCount val="5"/>
                <c:pt idx="0">
                  <c:v>-4.338843364415558</c:v>
                </c:pt>
                <c:pt idx="1">
                  <c:v>1.4390129038334791</c:v>
                </c:pt>
                <c:pt idx="2">
                  <c:v>-0.11100122445134986</c:v>
                </c:pt>
                <c:pt idx="3">
                  <c:v>-2.1665724781011555</c:v>
                </c:pt>
                <c:pt idx="4">
                  <c:v>-2.2054723556560205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49-4031-9EBF-20A6F0EDFEF3}"/>
            </c:ext>
          </c:extLst>
        </c:ser>
        <c:ser>
          <c:idx val="3"/>
          <c:order val="3"/>
          <c:tx>
            <c:v>300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350_ENT'!$N$34:$N$38</c:f>
              <c:numCache>
                <c:formatCode>0</c:formatCode>
                <c:ptCount val="5"/>
                <c:pt idx="0">
                  <c:v>7645.3005768450357</c:v>
                </c:pt>
                <c:pt idx="1">
                  <c:v>14299.543671506455</c:v>
                </c:pt>
                <c:pt idx="2">
                  <c:v>12175.849066827279</c:v>
                </c:pt>
                <c:pt idx="3">
                  <c:v>10760.052663707826</c:v>
                </c:pt>
                <c:pt idx="4">
                  <c:v>9202.676620276432</c:v>
                </c:pt>
              </c:numCache>
            </c:numRef>
          </c:xVal>
          <c:yVal>
            <c:numRef>
              <c:f>'Laskenta vesipatteri 350_ENT'!$O$34:$O$38</c:f>
              <c:numCache>
                <c:formatCode>0.0</c:formatCode>
                <c:ptCount val="5"/>
                <c:pt idx="0">
                  <c:v>-4.4844630116410027</c:v>
                </c:pt>
                <c:pt idx="1">
                  <c:v>2.5297009951182972</c:v>
                </c:pt>
                <c:pt idx="2">
                  <c:v>-0.93510608336461587</c:v>
                </c:pt>
                <c:pt idx="3">
                  <c:v>-1.7449774690198936</c:v>
                </c:pt>
                <c:pt idx="4">
                  <c:v>-2.9858359932406984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49-4031-9EBF-20A6F0EDF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286560"/>
        <c:axId val="630285904"/>
      </c:scatterChart>
      <c:valAx>
        <c:axId val="63028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5904"/>
        <c:crosses val="autoZero"/>
        <c:crossBetween val="midCat"/>
      </c:valAx>
      <c:valAx>
        <c:axId val="6302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100"/>
              <a:t>Muutos</a:t>
            </a:r>
            <a:r>
              <a:rPr lang="fi-FI" sz="1100" baseline="0"/>
              <a:t> mitattuun konstruktioon valituilla pattereilla</a:t>
            </a:r>
            <a:endParaRPr lang="fi-FI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C5'!$BG$88:$BG$95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tulopuoli C5'!$BU$88:$BU$95</c:f>
              <c:numCache>
                <c:formatCode>0.0</c:formatCode>
                <c:ptCount val="8"/>
                <c:pt idx="0">
                  <c:v>-0.33986762810880661</c:v>
                </c:pt>
                <c:pt idx="1">
                  <c:v>-1.1027829885067084</c:v>
                </c:pt>
                <c:pt idx="2">
                  <c:v>-2.1953882717493856</c:v>
                </c:pt>
                <c:pt idx="3">
                  <c:v>-3.5782469972410822</c:v>
                </c:pt>
                <c:pt idx="4">
                  <c:v>-7.1234699601260143</c:v>
                </c:pt>
                <c:pt idx="5">
                  <c:v>-11.610490646580137</c:v>
                </c:pt>
                <c:pt idx="6">
                  <c:v>-16.959531830783696</c:v>
                </c:pt>
                <c:pt idx="7">
                  <c:v>-23.113826800387677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EA-40B9-B07A-BEB9BA981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044671"/>
        <c:axId val="1610048511"/>
      </c:scatterChart>
      <c:valAx>
        <c:axId val="16100446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10048511"/>
        <c:crosses val="autoZero"/>
        <c:crossBetween val="midCat"/>
      </c:valAx>
      <c:valAx>
        <c:axId val="1610048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Paine-ero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10044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350_ENT'!$S$24:$S$27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350_ENT'!$T$24:$T$27</c:f>
              <c:numCache>
                <c:formatCode>0.00</c:formatCode>
                <c:ptCount val="4"/>
                <c:pt idx="0">
                  <c:v>0.3</c:v>
                </c:pt>
                <c:pt idx="1">
                  <c:v>-4.5</c:v>
                </c:pt>
                <c:pt idx="2">
                  <c:v>-4.5</c:v>
                </c:pt>
                <c:pt idx="3">
                  <c:v>-4.5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84-4905-B8A7-BBE57550D3F0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'Laskenta vesipatteri 350_ENT'!$I$6</c:f>
              <c:numCache>
                <c:formatCode>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vesipatteri 350_ENT'!$S$22</c:f>
              <c:numCache>
                <c:formatCode>0.00</c:formatCode>
                <c:ptCount val="1"/>
                <c:pt idx="0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84-4905-B8A7-BBE57550D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forward val="50"/>
            <c:dispRSqr val="1"/>
            <c:dispEq val="1"/>
            <c:trendlineLbl>
              <c:layout>
                <c:manualLayout>
                  <c:x val="-0.28496216097987753"/>
                  <c:y val="-2.3564814814814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350_ENT'!$M$43:$M$46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350_ENT'!$N$43:$N$46</c:f>
              <c:numCache>
                <c:formatCode>0.000</c:formatCode>
                <c:ptCount val="4"/>
                <c:pt idx="0">
                  <c:v>0.10403848305179553</c:v>
                </c:pt>
                <c:pt idx="1">
                  <c:v>0.14328085241730276</c:v>
                </c:pt>
                <c:pt idx="2">
                  <c:v>0.19780158360503025</c:v>
                </c:pt>
                <c:pt idx="3">
                  <c:v>0.23202548533776235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05-4DB9-AB76-AB2E6DA59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3.7706396433266814E-2"/>
                  <c:y val="0.15623941137710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53mini'!$D$59:$D$62</c:f>
              <c:numCache>
                <c:formatCode>0.0</c:formatCode>
                <c:ptCount val="4"/>
                <c:pt idx="0">
                  <c:v>92.208864266379081</c:v>
                </c:pt>
                <c:pt idx="1">
                  <c:v>85.914487240323069</c:v>
                </c:pt>
                <c:pt idx="2">
                  <c:v>77.649489374205316</c:v>
                </c:pt>
                <c:pt idx="3">
                  <c:v>67.619832438075576</c:v>
                </c:pt>
              </c:numCache>
            </c:numRef>
          </c:xVal>
          <c:yVal>
            <c:numRef>
              <c:f>'Laskenta tulopuoli 53mini'!$E$59:$E$62</c:f>
              <c:numCache>
                <c:formatCode>0.0</c:formatCode>
                <c:ptCount val="4"/>
                <c:pt idx="0">
                  <c:v>61.274171526017128</c:v>
                </c:pt>
                <c:pt idx="1">
                  <c:v>59.788162984136761</c:v>
                </c:pt>
                <c:pt idx="2">
                  <c:v>59.882295324484154</c:v>
                </c:pt>
                <c:pt idx="3">
                  <c:v>60.274559745133089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49-4FF0-AE97-426A6947C2AB}"/>
            </c:ext>
          </c:extLst>
        </c:ser>
        <c:ser>
          <c:idx val="1"/>
          <c:order val="1"/>
          <c:tx>
            <c:strRef>
              <c:f>'Laskenta tulopuoli 53mini'!$C$64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53mini'!$D$64:$D$67</c:f>
              <c:numCache>
                <c:formatCode>0.0</c:formatCode>
                <c:ptCount val="4"/>
                <c:pt idx="0">
                  <c:v>78.090334198261289</c:v>
                </c:pt>
                <c:pt idx="1">
                  <c:v>71.054290512587201</c:v>
                </c:pt>
                <c:pt idx="2">
                  <c:v>61.630342534175419</c:v>
                </c:pt>
                <c:pt idx="3">
                  <c:v>51.341596907423138</c:v>
                </c:pt>
              </c:numCache>
            </c:numRef>
          </c:xVal>
          <c:yVal>
            <c:numRef>
              <c:f>'Laskenta tulopuoli 53mini'!$E$64:$E$67</c:f>
              <c:numCache>
                <c:formatCode>0.0</c:formatCode>
                <c:ptCount val="4"/>
                <c:pt idx="0">
                  <c:v>57.769543972600623</c:v>
                </c:pt>
                <c:pt idx="1">
                  <c:v>56.656298830243443</c:v>
                </c:pt>
                <c:pt idx="2">
                  <c:v>55.9635967131656</c:v>
                </c:pt>
                <c:pt idx="3">
                  <c:v>55.174554357451846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149-4FF0-AE97-426A6947C2AB}"/>
            </c:ext>
          </c:extLst>
        </c:ser>
        <c:ser>
          <c:idx val="2"/>
          <c:order val="2"/>
          <c:tx>
            <c:strRef>
              <c:f>'Laskenta tulopuoli 53mini'!$C$69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53mini'!$D$69:$D$72</c:f>
              <c:numCache>
                <c:formatCode>0.0</c:formatCode>
                <c:ptCount val="4"/>
                <c:pt idx="0">
                  <c:v>66.525256503016237</c:v>
                </c:pt>
                <c:pt idx="1">
                  <c:v>60.751202111356157</c:v>
                </c:pt>
                <c:pt idx="2">
                  <c:v>51.521768300431745</c:v>
                </c:pt>
                <c:pt idx="3">
                  <c:v>39.062391135313241</c:v>
                </c:pt>
              </c:numCache>
            </c:numRef>
          </c:xVal>
          <c:yVal>
            <c:numRef>
              <c:f>'Laskenta tulopuoli 53mini'!$E$69:$E$72</c:f>
              <c:numCache>
                <c:formatCode>0.0</c:formatCode>
                <c:ptCount val="4"/>
                <c:pt idx="0">
                  <c:v>54.283952713595298</c:v>
                </c:pt>
                <c:pt idx="1">
                  <c:v>52.935194980770433</c:v>
                </c:pt>
                <c:pt idx="2">
                  <c:v>52.216580385357283</c:v>
                </c:pt>
                <c:pt idx="3">
                  <c:v>51.650818664504186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149-4FF0-AE97-426A6947C2AB}"/>
            </c:ext>
          </c:extLst>
        </c:ser>
        <c:ser>
          <c:idx val="3"/>
          <c:order val="3"/>
          <c:tx>
            <c:strRef>
              <c:f>'Laskenta tulopuoli 53mini'!$C$74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500076915261491"/>
                  <c:y val="0.134977096132800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53mini'!$D$74:$D$77</c:f>
              <c:numCache>
                <c:formatCode>0.0</c:formatCode>
                <c:ptCount val="4"/>
                <c:pt idx="0">
                  <c:v>39.233197570699382</c:v>
                </c:pt>
                <c:pt idx="1">
                  <c:v>36.387864836203569</c:v>
                </c:pt>
                <c:pt idx="2">
                  <c:v>31.665338481542531</c:v>
                </c:pt>
                <c:pt idx="3">
                  <c:v>24.552841058481452</c:v>
                </c:pt>
              </c:numCache>
            </c:numRef>
          </c:xVal>
          <c:yVal>
            <c:numRef>
              <c:f>'Laskenta tulopuoli 53mini'!$E$74:$E$77</c:f>
              <c:numCache>
                <c:formatCode>0.0</c:formatCode>
                <c:ptCount val="4"/>
                <c:pt idx="0">
                  <c:v>44.627027031629972</c:v>
                </c:pt>
                <c:pt idx="1">
                  <c:v>42.897867194101742</c:v>
                </c:pt>
                <c:pt idx="2">
                  <c:v>42.457779304360287</c:v>
                </c:pt>
                <c:pt idx="3">
                  <c:v>41.605638643581962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149-4FF0-AE97-426A6947C2A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49-4FF0-AE97-426A6947C2AB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149-4FF0-AE97-426A6947C2AB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53mini'!$AH$34:$AH$37</c:f>
              <c:numCache>
                <c:formatCode>0.0</c:formatCode>
                <c:ptCount val="4"/>
                <c:pt idx="0">
                  <c:v>26.016825935440803</c:v>
                </c:pt>
                <c:pt idx="1">
                  <c:v>19.146986762641678</c:v>
                </c:pt>
                <c:pt idx="2">
                  <c:v>15.450387303939419</c:v>
                </c:pt>
                <c:pt idx="3">
                  <c:v>10.007957352461849</c:v>
                </c:pt>
              </c:numCache>
            </c:numRef>
          </c:xVal>
          <c:yVal>
            <c:numRef>
              <c:f>'Laskenta tulopuoli 53mini'!$AI$34:$AI$37</c:f>
              <c:numCache>
                <c:formatCode>0.0</c:formatCode>
                <c:ptCount val="4"/>
                <c:pt idx="0">
                  <c:v>78.627111748459384</c:v>
                </c:pt>
                <c:pt idx="1">
                  <c:v>55.762673271617075</c:v>
                </c:pt>
                <c:pt idx="2">
                  <c:v>54.352985303883536</c:v>
                </c:pt>
                <c:pt idx="3">
                  <c:v>45.409898824502804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149-4FF0-AE97-426A6947C2AB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53mini'!$J$3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53mini'!$W$5</c:f>
              <c:numCache>
                <c:formatCode>0.0</c:formatCode>
                <c:ptCount val="1"/>
                <c:pt idx="0">
                  <c:v>41.188273100099721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149-4FF0-AE97-426A6947C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53mini'!$N$59:$N$62</c:f>
              <c:numCache>
                <c:formatCode>0.0</c:formatCode>
                <c:ptCount val="4"/>
                <c:pt idx="0">
                  <c:v>92.51719528747023</c:v>
                </c:pt>
                <c:pt idx="1">
                  <c:v>85.971656356331508</c:v>
                </c:pt>
                <c:pt idx="2">
                  <c:v>77.456897830128071</c:v>
                </c:pt>
                <c:pt idx="3">
                  <c:v>67.542919873403633</c:v>
                </c:pt>
              </c:numCache>
            </c:numRef>
          </c:xVal>
          <c:yVal>
            <c:numRef>
              <c:f>'Laskenta tulopuoli 53mini'!$O$59:$O$62</c:f>
              <c:numCache>
                <c:formatCode>0.0</c:formatCode>
                <c:ptCount val="4"/>
                <c:pt idx="0">
                  <c:v>76.524353896278924</c:v>
                </c:pt>
                <c:pt idx="1">
                  <c:v>76.22994011572807</c:v>
                </c:pt>
                <c:pt idx="2">
                  <c:v>76.135253010845418</c:v>
                </c:pt>
                <c:pt idx="3">
                  <c:v>76.562989638955656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09-4A64-9EFF-9C44609D75F5}"/>
            </c:ext>
          </c:extLst>
        </c:ser>
        <c:ser>
          <c:idx val="1"/>
          <c:order val="1"/>
          <c:tx>
            <c:strRef>
              <c:f>'Laskenta tulopuoli 53mini'!$C$64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1066990338690714"/>
                  <c:y val="0.1308379476316998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53mini'!$N$64:$N$67</c:f>
              <c:numCache>
                <c:formatCode>0.0</c:formatCode>
                <c:ptCount val="4"/>
                <c:pt idx="0">
                  <c:v>78.126219403864539</c:v>
                </c:pt>
                <c:pt idx="1">
                  <c:v>71.063022065508562</c:v>
                </c:pt>
                <c:pt idx="2">
                  <c:v>61.257710681232382</c:v>
                </c:pt>
                <c:pt idx="3">
                  <c:v>50.779180423158394</c:v>
                </c:pt>
              </c:numCache>
            </c:numRef>
          </c:xVal>
          <c:yVal>
            <c:numRef>
              <c:f>'Laskenta tulopuoli 53mini'!$O$64:$O$67</c:f>
              <c:numCache>
                <c:formatCode>0.0</c:formatCode>
                <c:ptCount val="4"/>
                <c:pt idx="0">
                  <c:v>72.528763239506318</c:v>
                </c:pt>
                <c:pt idx="1">
                  <c:v>71.92768072809983</c:v>
                </c:pt>
                <c:pt idx="2">
                  <c:v>71.102572149844761</c:v>
                </c:pt>
                <c:pt idx="3">
                  <c:v>70.575723544336398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809-4A64-9EFF-9C44609D75F5}"/>
            </c:ext>
          </c:extLst>
        </c:ser>
        <c:ser>
          <c:idx val="2"/>
          <c:order val="2"/>
          <c:tx>
            <c:strRef>
              <c:f>'Laskenta tulopuoli 53mini'!$C$69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2957970056758917"/>
                  <c:y val="0.179376058463258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53mini'!$N$69:$N$72</c:f>
              <c:numCache>
                <c:formatCode>0.0</c:formatCode>
                <c:ptCount val="4"/>
                <c:pt idx="0">
                  <c:v>66.07437797183222</c:v>
                </c:pt>
                <c:pt idx="1">
                  <c:v>60.736620463698408</c:v>
                </c:pt>
                <c:pt idx="2">
                  <c:v>51.023413859620192</c:v>
                </c:pt>
                <c:pt idx="3">
                  <c:v>38.107442768055868</c:v>
                </c:pt>
              </c:numCache>
            </c:numRef>
          </c:xVal>
          <c:yVal>
            <c:numRef>
              <c:f>'Laskenta tulopuoli 53mini'!$O$69:$O$72</c:f>
              <c:numCache>
                <c:formatCode>0.0</c:formatCode>
                <c:ptCount val="4"/>
                <c:pt idx="0">
                  <c:v>68.675735253102147</c:v>
                </c:pt>
                <c:pt idx="1">
                  <c:v>68.000333869387376</c:v>
                </c:pt>
                <c:pt idx="2">
                  <c:v>67.401713029957151</c:v>
                </c:pt>
                <c:pt idx="3">
                  <c:v>66.826551042557327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809-4A64-9EFF-9C44609D75F5}"/>
            </c:ext>
          </c:extLst>
        </c:ser>
        <c:ser>
          <c:idx val="3"/>
          <c:order val="3"/>
          <c:tx>
            <c:strRef>
              <c:f>'Laskenta tulopuoli 53mini'!$C$74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42425264025862269"/>
                  <c:y val="0.1691694934314434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53mini'!$N$74:$N$77</c:f>
              <c:numCache>
                <c:formatCode>0.0</c:formatCode>
                <c:ptCount val="4"/>
                <c:pt idx="0">
                  <c:v>39.475997985609681</c:v>
                </c:pt>
                <c:pt idx="1">
                  <c:v>36.528782330877029</c:v>
                </c:pt>
                <c:pt idx="2">
                  <c:v>31.337857744647224</c:v>
                </c:pt>
                <c:pt idx="3">
                  <c:v>23.843033292862099</c:v>
                </c:pt>
              </c:numCache>
            </c:numRef>
          </c:xVal>
          <c:yVal>
            <c:numRef>
              <c:f>'Laskenta tulopuoli 53mini'!$O$74:$O$77</c:f>
              <c:numCache>
                <c:formatCode>0.0</c:formatCode>
                <c:ptCount val="4"/>
                <c:pt idx="0">
                  <c:v>58.140517289590825</c:v>
                </c:pt>
                <c:pt idx="1">
                  <c:v>57.780773039492558</c:v>
                </c:pt>
                <c:pt idx="2">
                  <c:v>57.344675138755122</c:v>
                </c:pt>
                <c:pt idx="3">
                  <c:v>56.770799616907006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809-4A64-9EFF-9C44609D75F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53mini'!$AH$34:$AH$37</c:f>
              <c:numCache>
                <c:formatCode>0.0</c:formatCode>
                <c:ptCount val="4"/>
                <c:pt idx="0">
                  <c:v>26.016825935440803</c:v>
                </c:pt>
                <c:pt idx="1">
                  <c:v>19.146986762641678</c:v>
                </c:pt>
                <c:pt idx="2">
                  <c:v>15.450387303939419</c:v>
                </c:pt>
                <c:pt idx="3">
                  <c:v>10.007957352461849</c:v>
                </c:pt>
              </c:numCache>
            </c:numRef>
          </c:xVal>
          <c:yVal>
            <c:numRef>
              <c:f>'Laskenta tulopuoli 53mini'!$AJ$34:$AJ$37</c:f>
              <c:numCache>
                <c:formatCode>0.0</c:formatCode>
                <c:ptCount val="4"/>
                <c:pt idx="0">
                  <c:v>84.015486913443283</c:v>
                </c:pt>
                <c:pt idx="1">
                  <c:v>70.244521408764868</c:v>
                </c:pt>
                <c:pt idx="2">
                  <c:v>67.274181625097597</c:v>
                </c:pt>
                <c:pt idx="3">
                  <c:v>56.222011675460173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809-4A64-9EFF-9C44609D75F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53mini'!$J$3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53mini'!$W$6</c:f>
              <c:numCache>
                <c:formatCode>0.0</c:formatCode>
                <c:ptCount val="1"/>
                <c:pt idx="0">
                  <c:v>54.390620981661087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809-4A64-9EFF-9C44609D7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53mini'!$AL$35:$AL$41</c:f>
              <c:numCache>
                <c:formatCode>General</c:formatCode>
                <c:ptCount val="7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</c:numCache>
            </c:numRef>
          </c:xVal>
          <c:yVal>
            <c:numRef>
              <c:f>'Laskenta tulopuoli 53mini'!$AM$35:$AM$41</c:f>
              <c:numCache>
                <c:formatCode>0.0</c:formatCode>
                <c:ptCount val="7"/>
                <c:pt idx="0">
                  <c:v>21.243023031183093</c:v>
                </c:pt>
                <c:pt idx="1">
                  <c:v>19.146986762641678</c:v>
                </c:pt>
                <c:pt idx="2">
                  <c:v>15.450387303939419</c:v>
                </c:pt>
                <c:pt idx="3">
                  <c:v>12.942046315875974</c:v>
                </c:pt>
                <c:pt idx="4">
                  <c:v>10.007957352461849</c:v>
                </c:pt>
                <c:pt idx="5">
                  <c:v>7.2208495642660875</c:v>
                </c:pt>
                <c:pt idx="6">
                  <c:v>4.4705227344030343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93-4CFD-B338-175D5459A51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53mini'!$AN$34:$AN$35</c:f>
              <c:numCache>
                <c:formatCode>General</c:formatCode>
                <c:ptCount val="2"/>
                <c:pt idx="0">
                  <c:v>10</c:v>
                </c:pt>
                <c:pt idx="1">
                  <c:v>8.1999999999999993</c:v>
                </c:pt>
              </c:numCache>
            </c:numRef>
          </c:xVal>
          <c:yVal>
            <c:numRef>
              <c:f>'Laskenta tulopuoli 53mini'!$AO$34:$AO$35</c:f>
              <c:numCache>
                <c:formatCode>0.0</c:formatCode>
                <c:ptCount val="2"/>
                <c:pt idx="0">
                  <c:v>26.016825935440803</c:v>
                </c:pt>
                <c:pt idx="1">
                  <c:v>22.024505322232322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93-4CFD-B338-175D5459A517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53mini'!$W$9</c:f>
              <c:numCache>
                <c:formatCode>0.0</c:formatCode>
                <c:ptCount val="1"/>
                <c:pt idx="0">
                  <c:v>3.8732271670147895</c:v>
                </c:pt>
              </c:numCache>
            </c:numRef>
          </c:xVal>
          <c:yVal>
            <c:numRef>
              <c:f>'Laskenta tulopuoli 53mini'!$J$3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93-4CFD-B338-175D5459A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0.30358954579704656"/>
                  <c:y val="-7.55377678345630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53mini'!$C$85:$C$99</c:f>
              <c:numCache>
                <c:formatCode>0.0</c:formatCode>
                <c:ptCount val="15"/>
                <c:pt idx="0">
                  <c:v>21.555491314587435</c:v>
                </c:pt>
                <c:pt idx="1">
                  <c:v>30.777305569227099</c:v>
                </c:pt>
                <c:pt idx="2">
                  <c:v>56.188237201733436</c:v>
                </c:pt>
                <c:pt idx="3">
                  <c:v>62.160267773358939</c:v>
                </c:pt>
                <c:pt idx="4">
                  <c:v>68.571821229975711</c:v>
                </c:pt>
                <c:pt idx="5">
                  <c:v>74.128215204822709</c:v>
                </c:pt>
                <c:pt idx="6">
                  <c:v>78.595763873017845</c:v>
                </c:pt>
                <c:pt idx="7">
                  <c:v>83.229908738096086</c:v>
                </c:pt>
                <c:pt idx="8">
                  <c:v>87.798014439928195</c:v>
                </c:pt>
                <c:pt idx="9">
                  <c:v>92.354452179170124</c:v>
                </c:pt>
                <c:pt idx="10">
                  <c:v>97.314878666915007</c:v>
                </c:pt>
                <c:pt idx="11">
                  <c:v>92.51719528747023</c:v>
                </c:pt>
                <c:pt idx="12">
                  <c:v>85.971656356331508</c:v>
                </c:pt>
                <c:pt idx="13">
                  <c:v>77.456897830128071</c:v>
                </c:pt>
                <c:pt idx="14">
                  <c:v>67.542919873403633</c:v>
                </c:pt>
              </c:numCache>
            </c:numRef>
          </c:xVal>
          <c:yVal>
            <c:numRef>
              <c:f>'Laskenta tulopuoli 53mini'!$K$85:$K$99</c:f>
              <c:numCache>
                <c:formatCode>0.0</c:formatCode>
                <c:ptCount val="15"/>
                <c:pt idx="0">
                  <c:v>79.833228063191797</c:v>
                </c:pt>
                <c:pt idx="1">
                  <c:v>85.508359439021973</c:v>
                </c:pt>
                <c:pt idx="2">
                  <c:v>106.70803150841374</c:v>
                </c:pt>
                <c:pt idx="3">
                  <c:v>109.77884220048772</c:v>
                </c:pt>
                <c:pt idx="4">
                  <c:v>112.69302133214126</c:v>
                </c:pt>
                <c:pt idx="5">
                  <c:v>114.09709521245601</c:v>
                </c:pt>
                <c:pt idx="6">
                  <c:v>114.99991068548066</c:v>
                </c:pt>
                <c:pt idx="7">
                  <c:v>115.70038413934974</c:v>
                </c:pt>
                <c:pt idx="8">
                  <c:v>116.00959767143212</c:v>
                </c:pt>
                <c:pt idx="9">
                  <c:v>116.17031625326662</c:v>
                </c:pt>
                <c:pt idx="10">
                  <c:v>116.65431448208044</c:v>
                </c:pt>
                <c:pt idx="11">
                  <c:v>116.3395231419871</c:v>
                </c:pt>
                <c:pt idx="12">
                  <c:v>115.95164875873581</c:v>
                </c:pt>
                <c:pt idx="13">
                  <c:v>115.16419571022183</c:v>
                </c:pt>
                <c:pt idx="14">
                  <c:v>112.37575854673311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F2-4B91-ADCF-31EE8592D5EE}"/>
            </c:ext>
          </c:extLst>
        </c:ser>
        <c:ser>
          <c:idx val="1"/>
          <c:order val="1"/>
          <c:tx>
            <c:strRef>
              <c:f>'Laskenta tulopuoli 53mini'!$C$101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1017928940677306"/>
                  <c:y val="3.106850908860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53mini'!$C$103:$C$112</c:f>
              <c:numCache>
                <c:formatCode>0.0</c:formatCode>
                <c:ptCount val="10"/>
                <c:pt idx="0">
                  <c:v>17.311290112813221</c:v>
                </c:pt>
                <c:pt idx="1">
                  <c:v>25.484394938404527</c:v>
                </c:pt>
                <c:pt idx="2">
                  <c:v>52.397968756254464</c:v>
                </c:pt>
                <c:pt idx="3">
                  <c:v>60.273508524315986</c:v>
                </c:pt>
                <c:pt idx="4">
                  <c:v>67.091944946704729</c:v>
                </c:pt>
                <c:pt idx="5">
                  <c:v>74.202841470813595</c:v>
                </c:pt>
                <c:pt idx="6">
                  <c:v>79.524705173243134</c:v>
                </c:pt>
                <c:pt idx="7">
                  <c:v>85.762973684653119</c:v>
                </c:pt>
                <c:pt idx="8">
                  <c:v>91.476719889010795</c:v>
                </c:pt>
                <c:pt idx="9">
                  <c:v>97.128922438489539</c:v>
                </c:pt>
              </c:numCache>
            </c:numRef>
          </c:xVal>
          <c:yVal>
            <c:numRef>
              <c:f>'Laskenta tulopuoli 53mini'!$K$103:$K$112</c:f>
              <c:numCache>
                <c:formatCode>0.0</c:formatCode>
                <c:ptCount val="10"/>
                <c:pt idx="0">
                  <c:v>46.318045923583355</c:v>
                </c:pt>
                <c:pt idx="1">
                  <c:v>49.537054466581459</c:v>
                </c:pt>
                <c:pt idx="2">
                  <c:v>72.442216508977879</c:v>
                </c:pt>
                <c:pt idx="3">
                  <c:v>79.923247286743404</c:v>
                </c:pt>
                <c:pt idx="4">
                  <c:v>87.914736075772325</c:v>
                </c:pt>
                <c:pt idx="5">
                  <c:v>94.918318641988293</c:v>
                </c:pt>
                <c:pt idx="6">
                  <c:v>100.2589313610363</c:v>
                </c:pt>
                <c:pt idx="7">
                  <c:v>106.86559330971659</c:v>
                </c:pt>
                <c:pt idx="8">
                  <c:v>112.68238817630187</c:v>
                </c:pt>
                <c:pt idx="9">
                  <c:v>116.74346733878755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F2-4B91-ADCF-31EE8592D5EE}"/>
            </c:ext>
          </c:extLst>
        </c:ser>
        <c:ser>
          <c:idx val="2"/>
          <c:order val="2"/>
          <c:tx>
            <c:strRef>
              <c:f>'Laskenta tulopuoli 53mini'!$C$114</c:f>
              <c:strCache>
                <c:ptCount val="1"/>
                <c:pt idx="0">
                  <c:v>7V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9254376958996663"/>
                  <c:y val="-0.354269398993954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53mini'!$C$116:$C$123</c:f>
              <c:numCache>
                <c:formatCode>0.0</c:formatCode>
                <c:ptCount val="8"/>
                <c:pt idx="0">
                  <c:v>84.226713042912976</c:v>
                </c:pt>
                <c:pt idx="1">
                  <c:v>78.787850205729612</c:v>
                </c:pt>
                <c:pt idx="2">
                  <c:v>72.566443529441287</c:v>
                </c:pt>
                <c:pt idx="3">
                  <c:v>65.926059549039294</c:v>
                </c:pt>
                <c:pt idx="4">
                  <c:v>58.590613625391555</c:v>
                </c:pt>
                <c:pt idx="5">
                  <c:v>48.879036273450126</c:v>
                </c:pt>
                <c:pt idx="6">
                  <c:v>38.592276049878052</c:v>
                </c:pt>
                <c:pt idx="7">
                  <c:v>15.072467348295577</c:v>
                </c:pt>
              </c:numCache>
            </c:numRef>
          </c:xVal>
          <c:yVal>
            <c:numRef>
              <c:f>'Laskenta tulopuoli 53mini'!$K$116:$K$123</c:f>
              <c:numCache>
                <c:formatCode>0.0</c:formatCode>
                <c:ptCount val="8"/>
                <c:pt idx="0">
                  <c:v>80.128791902988354</c:v>
                </c:pt>
                <c:pt idx="1">
                  <c:v>75.874090088360788</c:v>
                </c:pt>
                <c:pt idx="2">
                  <c:v>71.022856389795251</c:v>
                </c:pt>
                <c:pt idx="3">
                  <c:v>65.915415226586148</c:v>
                </c:pt>
                <c:pt idx="4">
                  <c:v>60.032900875661596</c:v>
                </c:pt>
                <c:pt idx="5">
                  <c:v>52.77292953908929</c:v>
                </c:pt>
                <c:pt idx="6">
                  <c:v>44.836555604768606</c:v>
                </c:pt>
                <c:pt idx="7">
                  <c:v>32.982831580131908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EF2-4B91-ADCF-31EE8592D5EE}"/>
            </c:ext>
          </c:extLst>
        </c:ser>
        <c:ser>
          <c:idx val="3"/>
          <c:order val="3"/>
          <c:tx>
            <c:strRef>
              <c:f>'Laskenta tulopuoli 53mini'!$C$129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3463651985463307"/>
                  <c:y val="3.732163535072194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53mini'!$C$131:$C$143</c:f>
              <c:numCache>
                <c:formatCode>0.0</c:formatCode>
                <c:ptCount val="13"/>
                <c:pt idx="0">
                  <c:v>13.400951363531069</c:v>
                </c:pt>
                <c:pt idx="1">
                  <c:v>24.485731807549911</c:v>
                </c:pt>
                <c:pt idx="2">
                  <c:v>41.959682054283981</c:v>
                </c:pt>
                <c:pt idx="3">
                  <c:v>47.58124337864745</c:v>
                </c:pt>
                <c:pt idx="4">
                  <c:v>52.662169366406111</c:v>
                </c:pt>
                <c:pt idx="5">
                  <c:v>57.120989296818244</c:v>
                </c:pt>
                <c:pt idx="6">
                  <c:v>62.682990876029329</c:v>
                </c:pt>
                <c:pt idx="7">
                  <c:v>67.037622114153848</c:v>
                </c:pt>
                <c:pt idx="8">
                  <c:v>70.08964803924313</c:v>
                </c:pt>
                <c:pt idx="9">
                  <c:v>66.07437797183222</c:v>
                </c:pt>
                <c:pt idx="10">
                  <c:v>60.736620463698408</c:v>
                </c:pt>
                <c:pt idx="11">
                  <c:v>51.023413859620192</c:v>
                </c:pt>
                <c:pt idx="12">
                  <c:v>38.107442768055868</c:v>
                </c:pt>
              </c:numCache>
            </c:numRef>
          </c:xVal>
          <c:yVal>
            <c:numRef>
              <c:f>'Laskenta tulopuoli 53mini'!$K$131:$K$143</c:f>
              <c:numCache>
                <c:formatCode>0.0</c:formatCode>
                <c:ptCount val="13"/>
                <c:pt idx="0">
                  <c:v>22.994892084400352</c:v>
                </c:pt>
                <c:pt idx="1">
                  <c:v>26.305964820498399</c:v>
                </c:pt>
                <c:pt idx="2">
                  <c:v>35.439644262882311</c:v>
                </c:pt>
                <c:pt idx="3">
                  <c:v>38.357748035227793</c:v>
                </c:pt>
                <c:pt idx="4">
                  <c:v>41.319098954789858</c:v>
                </c:pt>
                <c:pt idx="5">
                  <c:v>43.67338065470377</c:v>
                </c:pt>
                <c:pt idx="6">
                  <c:v>46.538351182866229</c:v>
                </c:pt>
                <c:pt idx="7">
                  <c:v>48.910793114921432</c:v>
                </c:pt>
                <c:pt idx="8">
                  <c:v>50.626905030896587</c:v>
                </c:pt>
                <c:pt idx="9">
                  <c:v>48.247425296229011</c:v>
                </c:pt>
                <c:pt idx="10">
                  <c:v>44.909569634425793</c:v>
                </c:pt>
                <c:pt idx="11">
                  <c:v>40.435122809199662</c:v>
                </c:pt>
                <c:pt idx="12">
                  <c:v>35.936627601992882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EF2-4B91-ADCF-31EE8592D5EE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1.5666206636909243E-2"/>
                  <c:y val="-1.654605401217685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53mini'!$AC$34:$AC$41</c:f>
              <c:numCache>
                <c:formatCode>0.0</c:formatCode>
                <c:ptCount val="8"/>
                <c:pt idx="0">
                  <c:v>26.016825935440803</c:v>
                </c:pt>
                <c:pt idx="1">
                  <c:v>21.243023031183093</c:v>
                </c:pt>
                <c:pt idx="2">
                  <c:v>19.146986762641678</c:v>
                </c:pt>
                <c:pt idx="3">
                  <c:v>15.450387303939419</c:v>
                </c:pt>
                <c:pt idx="4">
                  <c:v>12.942046315875974</c:v>
                </c:pt>
                <c:pt idx="5">
                  <c:v>10.007957352461849</c:v>
                </c:pt>
                <c:pt idx="6">
                  <c:v>7.2208495642660875</c:v>
                </c:pt>
                <c:pt idx="7">
                  <c:v>4.4705227344030343</c:v>
                </c:pt>
              </c:numCache>
            </c:numRef>
          </c:xVal>
          <c:yVal>
            <c:numRef>
              <c:f>'Laskenta tulopuoli 53mini'!$AE$34:$AE$41</c:f>
              <c:numCache>
                <c:formatCode>0.0</c:formatCode>
                <c:ptCount val="8"/>
                <c:pt idx="0">
                  <c:v>83.037062862878884</c:v>
                </c:pt>
                <c:pt idx="1">
                  <c:v>47.783712424393087</c:v>
                </c:pt>
                <c:pt idx="2">
                  <c:v>34.702843968516554</c:v>
                </c:pt>
                <c:pt idx="3">
                  <c:v>23.487394850479518</c:v>
                </c:pt>
                <c:pt idx="4">
                  <c:v>15.783837547258667</c:v>
                </c:pt>
                <c:pt idx="5">
                  <c:v>10.112341005879266</c:v>
                </c:pt>
                <c:pt idx="6">
                  <c:v>6.4363246734247701</c:v>
                </c:pt>
                <c:pt idx="7">
                  <c:v>4.3922054987342642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EF2-4B91-ADCF-31EE8592D5EE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53mini'!$J$3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53mini'!$W$13</c:f>
              <c:numCache>
                <c:formatCode>0.0</c:formatCode>
                <c:ptCount val="1"/>
                <c:pt idx="0">
                  <c:v>10.030011429004201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EF2-4B91-ADCF-31EE8592D5EE}"/>
            </c:ext>
          </c:extLst>
        </c:ser>
        <c:ser>
          <c:idx val="6"/>
          <c:order val="6"/>
          <c:tx>
            <c:strRef>
              <c:f>'Laskenta tulopuoli 53mini'!$C$145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349709184441589"/>
                  <c:y val="-8.789999814230366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53mini'!$C$147:$C$154</c:f>
              <c:numCache>
                <c:formatCode>0.0</c:formatCode>
                <c:ptCount val="8"/>
                <c:pt idx="0">
                  <c:v>56.108706043813946</c:v>
                </c:pt>
                <c:pt idx="1">
                  <c:v>52.610803297029939</c:v>
                </c:pt>
                <c:pt idx="2">
                  <c:v>49.022927183474209</c:v>
                </c:pt>
                <c:pt idx="3">
                  <c:v>44.73207655672141</c:v>
                </c:pt>
                <c:pt idx="4">
                  <c:v>40.151805346700648</c:v>
                </c:pt>
                <c:pt idx="5">
                  <c:v>35.428056320100808</c:v>
                </c:pt>
                <c:pt idx="6">
                  <c:v>29.946480485233359</c:v>
                </c:pt>
                <c:pt idx="7">
                  <c:v>11.179272393277332</c:v>
                </c:pt>
              </c:numCache>
            </c:numRef>
          </c:xVal>
          <c:yVal>
            <c:numRef>
              <c:f>'Laskenta tulopuoli 53mini'!$K$147:$K$154</c:f>
              <c:numCache>
                <c:formatCode>0.0</c:formatCode>
                <c:ptCount val="8"/>
                <c:pt idx="0">
                  <c:v>30.657160598072295</c:v>
                </c:pt>
                <c:pt idx="1">
                  <c:v>29.427278430174766</c:v>
                </c:pt>
                <c:pt idx="2">
                  <c:v>27.997652349199392</c:v>
                </c:pt>
                <c:pt idx="3">
                  <c:v>26.425259410215936</c:v>
                </c:pt>
                <c:pt idx="4">
                  <c:v>24.692228909601873</c:v>
                </c:pt>
                <c:pt idx="5">
                  <c:v>22.712623576796137</c:v>
                </c:pt>
                <c:pt idx="6">
                  <c:v>20.60691836010993</c:v>
                </c:pt>
                <c:pt idx="7">
                  <c:v>15.394065069985658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EF2-4B91-ADCF-31EE8592D5EE}"/>
            </c:ext>
          </c:extLst>
        </c:ser>
        <c:ser>
          <c:idx val="7"/>
          <c:order val="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53mini'!$C$85:$C$95</c:f>
              <c:numCache>
                <c:formatCode>0.0</c:formatCode>
                <c:ptCount val="11"/>
                <c:pt idx="0">
                  <c:v>21.555491314587435</c:v>
                </c:pt>
                <c:pt idx="1">
                  <c:v>30.777305569227099</c:v>
                </c:pt>
                <c:pt idx="2">
                  <c:v>56.188237201733436</c:v>
                </c:pt>
                <c:pt idx="3">
                  <c:v>62.160267773358939</c:v>
                </c:pt>
                <c:pt idx="4">
                  <c:v>68.571821229975711</c:v>
                </c:pt>
                <c:pt idx="5">
                  <c:v>74.128215204822709</c:v>
                </c:pt>
                <c:pt idx="6">
                  <c:v>78.595763873017845</c:v>
                </c:pt>
                <c:pt idx="7">
                  <c:v>83.229908738096086</c:v>
                </c:pt>
                <c:pt idx="8">
                  <c:v>87.798014439928195</c:v>
                </c:pt>
                <c:pt idx="9">
                  <c:v>92.354452179170124</c:v>
                </c:pt>
                <c:pt idx="10">
                  <c:v>97.314878666915007</c:v>
                </c:pt>
              </c:numCache>
            </c:numRef>
          </c:xVal>
          <c:yVal>
            <c:numRef>
              <c:f>'Laskenta tulopuoli 53mini'!$K$85:$K$95</c:f>
              <c:numCache>
                <c:formatCode>0.0</c:formatCode>
                <c:ptCount val="11"/>
                <c:pt idx="0">
                  <c:v>79.833228063191797</c:v>
                </c:pt>
                <c:pt idx="1">
                  <c:v>85.508359439021973</c:v>
                </c:pt>
                <c:pt idx="2">
                  <c:v>106.70803150841374</c:v>
                </c:pt>
                <c:pt idx="3">
                  <c:v>109.77884220048772</c:v>
                </c:pt>
                <c:pt idx="4">
                  <c:v>112.69302133214126</c:v>
                </c:pt>
                <c:pt idx="5">
                  <c:v>114.09709521245601</c:v>
                </c:pt>
                <c:pt idx="6">
                  <c:v>114.99991068548066</c:v>
                </c:pt>
                <c:pt idx="7">
                  <c:v>115.70038413934974</c:v>
                </c:pt>
                <c:pt idx="8">
                  <c:v>116.00959767143212</c:v>
                </c:pt>
                <c:pt idx="9">
                  <c:v>116.17031625326662</c:v>
                </c:pt>
                <c:pt idx="10">
                  <c:v>116.65431448208044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EF2-4B91-ADCF-31EE8592D5EE}"/>
            </c:ext>
          </c:extLst>
        </c:ser>
        <c:ser>
          <c:idx val="9"/>
          <c:order val="8"/>
          <c:tx>
            <c:strRef>
              <c:f>'Laskenta tulopuoli 53mini'!$C$156:$M$156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3141933219276708"/>
                  <c:y val="3.556972450363386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53mini'!$C$158:$C$168</c:f>
              <c:numCache>
                <c:formatCode>0.0</c:formatCode>
                <c:ptCount val="11"/>
                <c:pt idx="0">
                  <c:v>8.7020229843785071</c:v>
                </c:pt>
                <c:pt idx="1">
                  <c:v>18.138656964471075</c:v>
                </c:pt>
                <c:pt idx="2">
                  <c:v>26.092460237557564</c:v>
                </c:pt>
                <c:pt idx="3">
                  <c:v>31.482845779390328</c:v>
                </c:pt>
                <c:pt idx="4">
                  <c:v>35.399179583348761</c:v>
                </c:pt>
                <c:pt idx="5">
                  <c:v>38.576192202519259</c:v>
                </c:pt>
                <c:pt idx="6">
                  <c:v>41.605917277547576</c:v>
                </c:pt>
                <c:pt idx="7">
                  <c:v>39.475997985609681</c:v>
                </c:pt>
                <c:pt idx="8">
                  <c:v>36.528782330877029</c:v>
                </c:pt>
                <c:pt idx="9">
                  <c:v>31.337857744647224</c:v>
                </c:pt>
                <c:pt idx="10">
                  <c:v>23.843033292862099</c:v>
                </c:pt>
              </c:numCache>
            </c:numRef>
          </c:xVal>
          <c:yVal>
            <c:numRef>
              <c:f>'Laskenta tulopuoli 53mini'!$K$158:$K$168</c:f>
              <c:numCache>
                <c:formatCode>0.0</c:formatCode>
                <c:ptCount val="11"/>
                <c:pt idx="0">
                  <c:v>9.9647819443576005</c:v>
                </c:pt>
                <c:pt idx="1">
                  <c:v>11.285940922643414</c:v>
                </c:pt>
                <c:pt idx="2">
                  <c:v>13.152668359229462</c:v>
                </c:pt>
                <c:pt idx="3">
                  <c:v>14.467230176886737</c:v>
                </c:pt>
                <c:pt idx="4">
                  <c:v>15.457217416852041</c:v>
                </c:pt>
                <c:pt idx="5">
                  <c:v>16.211045468066871</c:v>
                </c:pt>
                <c:pt idx="6">
                  <c:v>16.953289405090995</c:v>
                </c:pt>
                <c:pt idx="7">
                  <c:v>16.597364474282625</c:v>
                </c:pt>
                <c:pt idx="8">
                  <c:v>15.735562266904543</c:v>
                </c:pt>
                <c:pt idx="9">
                  <c:v>14.645314177297895</c:v>
                </c:pt>
                <c:pt idx="10">
                  <c:v>13.394503822480059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21-4B2F-98A8-BF317534FA94}"/>
            </c:ext>
          </c:extLst>
        </c:ser>
        <c:ser>
          <c:idx val="10"/>
          <c:order val="9"/>
          <c:tx>
            <c:strRef>
              <c:f>'Laskenta tulopuoli 53mini'!$C$170:$M$170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90037187512207"/>
                  <c:y val="5.46833556600911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53mini'!$C$172:$C$175</c:f>
              <c:numCache>
                <c:formatCode>0.0</c:formatCode>
                <c:ptCount val="4"/>
                <c:pt idx="0">
                  <c:v>27.807071669221358</c:v>
                </c:pt>
                <c:pt idx="1">
                  <c:v>25.144328944340472</c:v>
                </c:pt>
                <c:pt idx="2">
                  <c:v>21.877979611299835</c:v>
                </c:pt>
                <c:pt idx="3">
                  <c:v>7.0716056604581814</c:v>
                </c:pt>
              </c:numCache>
            </c:numRef>
          </c:xVal>
          <c:yVal>
            <c:numRef>
              <c:f>'Laskenta tulopuoli 53mini'!$K$172:$K$175</c:f>
              <c:numCache>
                <c:formatCode>0.0</c:formatCode>
                <c:ptCount val="4"/>
                <c:pt idx="0">
                  <c:v>8.8598195584635651</c:v>
                </c:pt>
                <c:pt idx="1">
                  <c:v>8.4968509198557758</c:v>
                </c:pt>
                <c:pt idx="2">
                  <c:v>8.0260468020024707</c:v>
                </c:pt>
                <c:pt idx="3">
                  <c:v>6.4238765175608652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C21-4B2F-98A8-BF317534FA94}"/>
            </c:ext>
          </c:extLst>
        </c:ser>
        <c:ser>
          <c:idx val="8"/>
          <c:order val="10"/>
          <c:tx>
            <c:strRef>
              <c:f>'Laskenta tulopuoli 53mini'!$C$177:$M$177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7.7983864717462437E-2"/>
                  <c:y val="-9.6677718085752141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53mini'!$C$179:$C$181</c:f>
              <c:numCache>
                <c:formatCode>0.0</c:formatCode>
                <c:ptCount val="3"/>
                <c:pt idx="0">
                  <c:v>3.7710077831888471</c:v>
                </c:pt>
                <c:pt idx="1">
                  <c:v>7.6690941209584045</c:v>
                </c:pt>
                <c:pt idx="2">
                  <c:v>14.476565670296269</c:v>
                </c:pt>
              </c:numCache>
            </c:numRef>
          </c:xVal>
          <c:yVal>
            <c:numRef>
              <c:f>'Laskenta tulopuoli 53mini'!$K$179:$K$181</c:f>
              <c:numCache>
                <c:formatCode>0.0</c:formatCode>
                <c:ptCount val="3"/>
                <c:pt idx="0">
                  <c:v>4.3951621914971239</c:v>
                </c:pt>
                <c:pt idx="1">
                  <c:v>4.4354680225252423</c:v>
                </c:pt>
                <c:pt idx="2">
                  <c:v>4.8377507661479147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C35-4A56-AAB0-1996AD1F583A}"/>
            </c:ext>
          </c:extLst>
        </c:ser>
        <c:ser>
          <c:idx val="11"/>
          <c:order val="11"/>
          <c:tx>
            <c:v>Tulokanavan Lw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('Laskenta tulopuoli 53mini'!$N$59:$N$62,'Laskenta tulopuoli 53mini'!$N$64:$N$67,'Laskenta tulopuoli 53mini'!$N$69:$N$72,'Laskenta tulopuoli 53mini'!$N$74:$N$77)</c:f>
              <c:numCache>
                <c:formatCode>0.0</c:formatCode>
                <c:ptCount val="16"/>
                <c:pt idx="0">
                  <c:v>92.51719528747023</c:v>
                </c:pt>
                <c:pt idx="1">
                  <c:v>85.971656356331508</c:v>
                </c:pt>
                <c:pt idx="2">
                  <c:v>77.456897830128071</c:v>
                </c:pt>
                <c:pt idx="3">
                  <c:v>67.542919873403633</c:v>
                </c:pt>
                <c:pt idx="4">
                  <c:v>78.126219403864539</c:v>
                </c:pt>
                <c:pt idx="5">
                  <c:v>71.063022065508562</c:v>
                </c:pt>
                <c:pt idx="6">
                  <c:v>61.257710681232382</c:v>
                </c:pt>
                <c:pt idx="7">
                  <c:v>50.779180423158394</c:v>
                </c:pt>
                <c:pt idx="8">
                  <c:v>66.07437797183222</c:v>
                </c:pt>
                <c:pt idx="9">
                  <c:v>60.736620463698408</c:v>
                </c:pt>
                <c:pt idx="10">
                  <c:v>51.023413859620192</c:v>
                </c:pt>
                <c:pt idx="11">
                  <c:v>38.107442768055868</c:v>
                </c:pt>
                <c:pt idx="12">
                  <c:v>39.475997985609681</c:v>
                </c:pt>
                <c:pt idx="13">
                  <c:v>36.528782330877029</c:v>
                </c:pt>
                <c:pt idx="14">
                  <c:v>31.337857744647224</c:v>
                </c:pt>
                <c:pt idx="15">
                  <c:v>23.843033292862099</c:v>
                </c:pt>
              </c:numCache>
            </c:numRef>
          </c:xVal>
          <c:yVal>
            <c:numRef>
              <c:f>('Laskenta tulopuoli 53mini'!$P$59:$P$62,'Laskenta tulopuoli 53mini'!$P$64:$P$67,'Laskenta tulopuoli 53mini'!$P$69:$P$72,'Laskenta tulopuoli 53mini'!$P$74:$P$77)</c:f>
              <c:numCache>
                <c:formatCode>0.0</c:formatCode>
                <c:ptCount val="16"/>
                <c:pt idx="0">
                  <c:v>116.3395231419871</c:v>
                </c:pt>
                <c:pt idx="1">
                  <c:v>115.95164875873581</c:v>
                </c:pt>
                <c:pt idx="2">
                  <c:v>115.16419571022183</c:v>
                </c:pt>
                <c:pt idx="3">
                  <c:v>112.37575854673311</c:v>
                </c:pt>
                <c:pt idx="4">
                  <c:v>75.549282385964176</c:v>
                </c:pt>
                <c:pt idx="5">
                  <c:v>69.56896225196374</c:v>
                </c:pt>
                <c:pt idx="6">
                  <c:v>62.654615389940865</c:v>
                </c:pt>
                <c:pt idx="7">
                  <c:v>54.698784338712194</c:v>
                </c:pt>
                <c:pt idx="8">
                  <c:v>48.247425296229011</c:v>
                </c:pt>
                <c:pt idx="9">
                  <c:v>44.909569634425793</c:v>
                </c:pt>
                <c:pt idx="10">
                  <c:v>40.435122809199662</c:v>
                </c:pt>
                <c:pt idx="11">
                  <c:v>35.936627601992882</c:v>
                </c:pt>
                <c:pt idx="12">
                  <c:v>16.597364474282625</c:v>
                </c:pt>
                <c:pt idx="13">
                  <c:v>15.735562266904543</c:v>
                </c:pt>
                <c:pt idx="14">
                  <c:v>14.645314177297895</c:v>
                </c:pt>
                <c:pt idx="15">
                  <c:v>13.394503822480059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F33-493C-B2DF-F52F06FDF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53mini'!$AA$4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53mini'!$AB$6:$AB$12</c:f>
              <c:numCache>
                <c:formatCode>0.0</c:formatCode>
                <c:ptCount val="7"/>
                <c:pt idx="0">
                  <c:v>95.380316017540977</c:v>
                </c:pt>
                <c:pt idx="1">
                  <c:v>88.947735868714446</c:v>
                </c:pt>
                <c:pt idx="2">
                  <c:v>83.762679772606006</c:v>
                </c:pt>
                <c:pt idx="3">
                  <c:v>78.926454069340437</c:v>
                </c:pt>
                <c:pt idx="4">
                  <c:v>72.674163985891298</c:v>
                </c:pt>
                <c:pt idx="5">
                  <c:v>67.656938734011845</c:v>
                </c:pt>
                <c:pt idx="6">
                  <c:v>58.104961702759233</c:v>
                </c:pt>
              </c:numCache>
            </c:numRef>
          </c:xVal>
          <c:yVal>
            <c:numRef>
              <c:f>'Laskenta tulopuoli 53mini'!$AA$6:$AA$12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370</c:v>
                </c:pt>
                <c:pt idx="6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51-48BB-B977-B0EE902BBD23}"/>
            </c:ext>
          </c:extLst>
        </c:ser>
        <c:ser>
          <c:idx val="1"/>
          <c:order val="1"/>
          <c:tx>
            <c:strRef>
              <c:f>'Laskenta tulopuoli 53mini'!$AC$4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53mini'!$AD$6:$AD$12</c:f>
              <c:numCache>
                <c:formatCode>0.0</c:formatCode>
                <c:ptCount val="7"/>
                <c:pt idx="0">
                  <c:v>96.337047181791775</c:v>
                </c:pt>
                <c:pt idx="1">
                  <c:v>93.166373727890999</c:v>
                </c:pt>
                <c:pt idx="2">
                  <c:v>87.544769993364028</c:v>
                </c:pt>
                <c:pt idx="3">
                  <c:v>81.398298036661288</c:v>
                </c:pt>
                <c:pt idx="4">
                  <c:v>78.755411382447988</c:v>
                </c:pt>
                <c:pt idx="5">
                  <c:v>75.984592486169944</c:v>
                </c:pt>
                <c:pt idx="6">
                  <c:v>49.818926735208919</c:v>
                </c:pt>
              </c:numCache>
            </c:numRef>
          </c:xVal>
          <c:yVal>
            <c:numRef>
              <c:f>'Laskenta tulopuoli 53mini'!$AC$6:$AC$12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E51-48BB-B977-B0EE902BBD23}"/>
            </c:ext>
          </c:extLst>
        </c:ser>
        <c:ser>
          <c:idx val="2"/>
          <c:order val="2"/>
          <c:tx>
            <c:strRef>
              <c:f>'Laskenta tulopuoli 53mini'!$AE$4</c:f>
              <c:strCache>
                <c:ptCount val="1"/>
                <c:pt idx="0">
                  <c:v>7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53mini'!$AF$6:$AF$11</c:f>
              <c:numCache>
                <c:formatCode>0.0</c:formatCode>
                <c:ptCount val="6"/>
                <c:pt idx="0">
                  <c:v>84.039568816164177</c:v>
                </c:pt>
                <c:pt idx="1">
                  <c:v>80.225850223781507</c:v>
                </c:pt>
                <c:pt idx="2">
                  <c:v>77.567381007801956</c:v>
                </c:pt>
                <c:pt idx="3">
                  <c:v>74.803260102765194</c:v>
                </c:pt>
                <c:pt idx="4">
                  <c:v>71.919790815766788</c:v>
                </c:pt>
                <c:pt idx="5">
                  <c:v>54.917543457145847</c:v>
                </c:pt>
              </c:numCache>
            </c:numRef>
          </c:xVal>
          <c:yVal>
            <c:numRef>
              <c:f>'Laskenta tulopuoli 53mini'!$AE$6:$AE$11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E51-48BB-B977-B0EE902BBD23}"/>
            </c:ext>
          </c:extLst>
        </c:ser>
        <c:ser>
          <c:idx val="3"/>
          <c:order val="3"/>
          <c:tx>
            <c:strRef>
              <c:f>'Laskenta tulopuoli 53mini'!$AG$4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53mini'!$AH$6:$AH$10</c:f>
              <c:numCache>
                <c:formatCode>0.0</c:formatCode>
                <c:ptCount val="5"/>
                <c:pt idx="0">
                  <c:v>69.526415226309226</c:v>
                </c:pt>
                <c:pt idx="1">
                  <c:v>67.297184955677153</c:v>
                </c:pt>
                <c:pt idx="2">
                  <c:v>65.758212482557326</c:v>
                </c:pt>
                <c:pt idx="3">
                  <c:v>62.53553498412861</c:v>
                </c:pt>
                <c:pt idx="4">
                  <c:v>45.390768542105448</c:v>
                </c:pt>
              </c:numCache>
            </c:numRef>
          </c:xVal>
          <c:yVal>
            <c:numRef>
              <c:f>'Laskenta tulopuoli 53mini'!$AG$6:$AG$10</c:f>
              <c:numCache>
                <c:formatCode>0.0</c:formatCode>
                <c:ptCount val="5"/>
                <c:pt idx="0">
                  <c:v>10</c:v>
                </c:pt>
                <c:pt idx="1">
                  <c:v>25</c:v>
                </c:pt>
                <c:pt idx="2">
                  <c:v>35</c:v>
                </c:pt>
                <c:pt idx="3">
                  <c:v>55</c:v>
                </c:pt>
                <c:pt idx="4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E51-48BB-B977-B0EE902BBD23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53mini'!$J$3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53mini'!$L$3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E51-48BB-B977-B0EE902BBD23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53mini'!$AC$34:$AC$41</c:f>
              <c:numCache>
                <c:formatCode>0.0</c:formatCode>
                <c:ptCount val="8"/>
                <c:pt idx="0">
                  <c:v>26.016825935440803</c:v>
                </c:pt>
                <c:pt idx="1">
                  <c:v>21.243023031183093</c:v>
                </c:pt>
                <c:pt idx="2">
                  <c:v>19.146986762641678</c:v>
                </c:pt>
                <c:pt idx="3">
                  <c:v>15.450387303939419</c:v>
                </c:pt>
                <c:pt idx="4">
                  <c:v>12.942046315875974</c:v>
                </c:pt>
                <c:pt idx="5">
                  <c:v>10.007957352461849</c:v>
                </c:pt>
                <c:pt idx="6">
                  <c:v>7.2208495642660875</c:v>
                </c:pt>
                <c:pt idx="7">
                  <c:v>4.4705227344030343</c:v>
                </c:pt>
              </c:numCache>
            </c:numRef>
          </c:xVal>
          <c:yVal>
            <c:numRef>
              <c:f>'Laskenta tulopuoli 53mini'!$AD$34:$AD$41</c:f>
              <c:numCache>
                <c:formatCode>0.0</c:formatCode>
                <c:ptCount val="8"/>
                <c:pt idx="0">
                  <c:v>572.88509410906977</c:v>
                </c:pt>
                <c:pt idx="1">
                  <c:v>381.93683046163233</c:v>
                </c:pt>
                <c:pt idx="2">
                  <c:v>310.28428036378983</c:v>
                </c:pt>
                <c:pt idx="3">
                  <c:v>202.04013082310874</c:v>
                </c:pt>
                <c:pt idx="4">
                  <c:v>141.76362151418348</c:v>
                </c:pt>
                <c:pt idx="5">
                  <c:v>84.771485151235254</c:v>
                </c:pt>
                <c:pt idx="6">
                  <c:v>44.130159206511834</c:v>
                </c:pt>
                <c:pt idx="7">
                  <c:v>16.915136836168784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E51-48BB-B977-B0EE902BBD23}"/>
            </c:ext>
          </c:extLst>
        </c:ser>
        <c:ser>
          <c:idx val="6"/>
          <c:order val="6"/>
          <c:tx>
            <c:strRef>
              <c:f>'Laskenta tulopuoli 53mini'!$C$21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53mini'!$AJ$6:$AJ$10</c:f>
              <c:numCache>
                <c:formatCode>0.0</c:formatCode>
                <c:ptCount val="5"/>
                <c:pt idx="0">
                  <c:v>54.760964406628652</c:v>
                </c:pt>
                <c:pt idx="1">
                  <c:v>53.056757316027998</c:v>
                </c:pt>
                <c:pt idx="2">
                  <c:v>49.424616329456704</c:v>
                </c:pt>
                <c:pt idx="3">
                  <c:v>45.415680268947852</c:v>
                </c:pt>
                <c:pt idx="4">
                  <c:v>28.670725134221712</c:v>
                </c:pt>
              </c:numCache>
            </c:numRef>
          </c:xVal>
          <c:yVal>
            <c:numRef>
              <c:f>'Laskenta tulopuoli 53mini'!$AI$6:$AI$10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E51-48BB-B977-B0EE902BBD23}"/>
            </c:ext>
          </c:extLst>
        </c:ser>
        <c:ser>
          <c:idx val="7"/>
          <c:order val="7"/>
          <c:tx>
            <c:strRef>
              <c:f>'Laskenta tulopuoli 53mini'!$C$24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53mini'!$AL$6:$AL$9</c:f>
              <c:numCache>
                <c:formatCode>0.0</c:formatCode>
                <c:ptCount val="4"/>
                <c:pt idx="0">
                  <c:v>40.015801166334754</c:v>
                </c:pt>
                <c:pt idx="1">
                  <c:v>37.747929468346427</c:v>
                </c:pt>
                <c:pt idx="2">
                  <c:v>32.617007985442889</c:v>
                </c:pt>
                <c:pt idx="3">
                  <c:v>29.619409120844775</c:v>
                </c:pt>
              </c:numCache>
            </c:numRef>
          </c:xVal>
          <c:yVal>
            <c:numRef>
              <c:f>'Laskenta tulopuoli 53mini'!$AK$6:$AK$9</c:f>
              <c:numCache>
                <c:formatCode>0.0</c:formatCode>
                <c:ptCount val="4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5E0-41EF-8197-7CA24F18B43D}"/>
            </c:ext>
          </c:extLst>
        </c:ser>
        <c:ser>
          <c:idx val="8"/>
          <c:order val="8"/>
          <c:tx>
            <c:strRef>
              <c:f>'Laskenta tulopuoli 53mini'!$C$27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53mini'!$AN$6:$AN$8</c:f>
              <c:numCache>
                <c:formatCode>0.0</c:formatCode>
                <c:ptCount val="3"/>
                <c:pt idx="0">
                  <c:v>25.96175640860292</c:v>
                </c:pt>
                <c:pt idx="1">
                  <c:v>22.03903525784218</c:v>
                </c:pt>
                <c:pt idx="2">
                  <c:v>12.008452396903799</c:v>
                </c:pt>
              </c:numCache>
            </c:numRef>
          </c:xVal>
          <c:yVal>
            <c:numRef>
              <c:f>'Laskenta tulopuoli 53mini'!$AM$6:$AM$8</c:f>
              <c:numCache>
                <c:formatCode>0.0</c:formatCode>
                <c:ptCount val="3"/>
                <c:pt idx="0">
                  <c:v>8</c:v>
                </c:pt>
                <c:pt idx="1">
                  <c:v>20</c:v>
                </c:pt>
                <c:pt idx="2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5E0-41EF-8197-7CA24F18B43D}"/>
            </c:ext>
          </c:extLst>
        </c:ser>
        <c:ser>
          <c:idx val="9"/>
          <c:order val="9"/>
          <c:tx>
            <c:strRef>
              <c:f>'Laskenta tulopuoli 53mini'!$AO$4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53mini'!$AO$6:$AO$9</c:f>
              <c:numCache>
                <c:formatCode>0.0</c:formatCode>
                <c:ptCount val="4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</c:numCache>
            </c:numRef>
          </c:xVal>
          <c:yVal>
            <c:numRef>
              <c:f>'Laskenta tulopuoli 53mini'!$AP$6:$AP$9</c:f>
              <c:numCache>
                <c:formatCode>0.0</c:formatCode>
                <c:ptCount val="4"/>
                <c:pt idx="0">
                  <c:v>10.7761604447183</c:v>
                </c:pt>
                <c:pt idx="1">
                  <c:v>9.5218408484633397</c:v>
                </c:pt>
                <c:pt idx="2">
                  <c:v>8.3176997954591556</c:v>
                </c:pt>
                <c:pt idx="3">
                  <c:v>7.1581574718994183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976-4453-B592-C27553F78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3.7706396433266814E-2"/>
                  <c:y val="0.15623941137710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53mini'!$D$59:$D$62</c:f>
              <c:numCache>
                <c:formatCode>0.0</c:formatCode>
                <c:ptCount val="4"/>
                <c:pt idx="0">
                  <c:v>98.742746590211411</c:v>
                </c:pt>
                <c:pt idx="1">
                  <c:v>91.307230306676516</c:v>
                </c:pt>
                <c:pt idx="2">
                  <c:v>82.853756230402922</c:v>
                </c:pt>
                <c:pt idx="3">
                  <c:v>74.241934545069</c:v>
                </c:pt>
              </c:numCache>
            </c:numRef>
          </c:xVal>
          <c:yVal>
            <c:numRef>
              <c:f>'Laskenta poistopuoli 53mini'!$E$59:$E$62</c:f>
              <c:numCache>
                <c:formatCode>0.0</c:formatCode>
                <c:ptCount val="4"/>
                <c:pt idx="0">
                  <c:v>61.265531640187902</c:v>
                </c:pt>
                <c:pt idx="1">
                  <c:v>62.209822222790692</c:v>
                </c:pt>
                <c:pt idx="2">
                  <c:v>61.599338678817837</c:v>
                </c:pt>
                <c:pt idx="3">
                  <c:v>62.089800135990373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BB-4537-BE7F-E70DBF6C8EB1}"/>
            </c:ext>
          </c:extLst>
        </c:ser>
        <c:ser>
          <c:idx val="1"/>
          <c:order val="1"/>
          <c:tx>
            <c:strRef>
              <c:f>'Laskenta poistopuoli 53mini'!$C$64</c:f>
              <c:strCache>
                <c:ptCount val="1"/>
                <c:pt idx="0">
                  <c:v>7V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53mini'!$D$64:$D$67</c:f>
              <c:numCache>
                <c:formatCode>0.0</c:formatCode>
                <c:ptCount val="4"/>
                <c:pt idx="0">
                  <c:v>94.190053945822427</c:v>
                </c:pt>
                <c:pt idx="1">
                  <c:v>84.079536443313629</c:v>
                </c:pt>
                <c:pt idx="2">
                  <c:v>69.435413257497288</c:v>
                </c:pt>
                <c:pt idx="3">
                  <c:v>53.784361557743459</c:v>
                </c:pt>
              </c:numCache>
            </c:numRef>
          </c:xVal>
          <c:yVal>
            <c:numRef>
              <c:f>'Laskenta poistopuoli 53mini'!$E$64:$E$67</c:f>
              <c:numCache>
                <c:formatCode>0.0</c:formatCode>
                <c:ptCount val="4"/>
                <c:pt idx="0">
                  <c:v>59.705673498474269</c:v>
                </c:pt>
                <c:pt idx="1">
                  <c:v>59.796816837604069</c:v>
                </c:pt>
                <c:pt idx="2">
                  <c:v>58.255891169795191</c:v>
                </c:pt>
                <c:pt idx="3">
                  <c:v>57.571924509460288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BB-4537-BE7F-E70DBF6C8EB1}"/>
            </c:ext>
          </c:extLst>
        </c:ser>
        <c:ser>
          <c:idx val="2"/>
          <c:order val="2"/>
          <c:tx>
            <c:strRef>
              <c:f>'Laskenta poistopuoli 53mini'!$C$69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53mini'!$D$69:$D$72</c:f>
              <c:numCache>
                <c:formatCode>0.0</c:formatCode>
                <c:ptCount val="4"/>
                <c:pt idx="0">
                  <c:v>78.286672626886102</c:v>
                </c:pt>
                <c:pt idx="1">
                  <c:v>70.13631814653786</c:v>
                </c:pt>
                <c:pt idx="2">
                  <c:v>58.92131648445168</c:v>
                </c:pt>
                <c:pt idx="3">
                  <c:v>45.778382609119895</c:v>
                </c:pt>
              </c:numCache>
            </c:numRef>
          </c:xVal>
          <c:yVal>
            <c:numRef>
              <c:f>'Laskenta poistopuoli 53mini'!$E$69:$E$72</c:f>
              <c:numCache>
                <c:formatCode>0.0</c:formatCode>
                <c:ptCount val="4"/>
                <c:pt idx="0">
                  <c:v>55.730044858160277</c:v>
                </c:pt>
                <c:pt idx="1">
                  <c:v>56.062204993388313</c:v>
                </c:pt>
                <c:pt idx="2">
                  <c:v>54.362652724338176</c:v>
                </c:pt>
                <c:pt idx="3">
                  <c:v>54.449785231889216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BB-4537-BE7F-E70DBF6C8EB1}"/>
            </c:ext>
          </c:extLst>
        </c:ser>
        <c:ser>
          <c:idx val="3"/>
          <c:order val="3"/>
          <c:tx>
            <c:strRef>
              <c:f>'Laskenta poistopuoli 53mini'!$C$74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500076915261491"/>
                  <c:y val="0.134977096132800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53mini'!$D$74:$D$77</c:f>
              <c:numCache>
                <c:formatCode>0.0</c:formatCode>
                <c:ptCount val="4"/>
                <c:pt idx="0">
                  <c:v>48.102429720469871</c:v>
                </c:pt>
                <c:pt idx="1">
                  <c:v>43.402594673017632</c:v>
                </c:pt>
                <c:pt idx="2">
                  <c:v>37.059545515229644</c:v>
                </c:pt>
                <c:pt idx="3">
                  <c:v>28.980933579546868</c:v>
                </c:pt>
              </c:numCache>
            </c:numRef>
          </c:xVal>
          <c:yVal>
            <c:numRef>
              <c:f>'Laskenta poistopuoli 53mini'!$E$74:$E$77</c:f>
              <c:numCache>
                <c:formatCode>0.0</c:formatCode>
                <c:ptCount val="4"/>
                <c:pt idx="0">
                  <c:v>45.556998303940148</c:v>
                </c:pt>
                <c:pt idx="1">
                  <c:v>45.29870597031541</c:v>
                </c:pt>
                <c:pt idx="2">
                  <c:v>44.703669707368292</c:v>
                </c:pt>
                <c:pt idx="3">
                  <c:v>44.293790386380152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BBB-4537-BE7F-E70DBF6C8EB1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B-4537-BE7F-E70DBF6C8EB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B-4537-BE7F-E70DBF6C8EB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53mini'!$AH$34:$AH$37</c:f>
              <c:numCache>
                <c:formatCode>0.0</c:formatCode>
                <c:ptCount val="4"/>
                <c:pt idx="0">
                  <c:v>26.604918096688834</c:v>
                </c:pt>
                <c:pt idx="1">
                  <c:v>16.821028572680941</c:v>
                </c:pt>
                <c:pt idx="2">
                  <c:v>14.336314184673641</c:v>
                </c:pt>
                <c:pt idx="3">
                  <c:v>9.3784128587041202</c:v>
                </c:pt>
              </c:numCache>
            </c:numRef>
          </c:xVal>
          <c:yVal>
            <c:numRef>
              <c:f>'Laskenta poistopuoli 53mini'!$AI$34:$AI$37</c:f>
              <c:numCache>
                <c:formatCode>0.0</c:formatCode>
                <c:ptCount val="4"/>
                <c:pt idx="0">
                  <c:v>57.564656561428002</c:v>
                </c:pt>
                <c:pt idx="1">
                  <c:v>54.124446469359235</c:v>
                </c:pt>
                <c:pt idx="2">
                  <c:v>53.945281169063811</c:v>
                </c:pt>
                <c:pt idx="3">
                  <c:v>43.509318709746701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BBB-4537-BE7F-E70DBF6C8EB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53mini'!$J$3</c:f>
              <c:numCache>
                <c:formatCode>0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53mini'!$W$5</c:f>
              <c:numCache>
                <c:formatCode>0.0</c:formatCode>
                <c:ptCount val="1"/>
                <c:pt idx="0">
                  <c:v>46.048070361263228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BBB-4537-BE7F-E70DBF6C8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53mini'!$N$59:$N$62</c:f>
              <c:numCache>
                <c:formatCode>0.0</c:formatCode>
                <c:ptCount val="4"/>
                <c:pt idx="0">
                  <c:v>98.652487497614416</c:v>
                </c:pt>
                <c:pt idx="1">
                  <c:v>91.691329274443603</c:v>
                </c:pt>
                <c:pt idx="2">
                  <c:v>81.263362550605734</c:v>
                </c:pt>
                <c:pt idx="3">
                  <c:v>71.053550839244878</c:v>
                </c:pt>
              </c:numCache>
            </c:numRef>
          </c:xVal>
          <c:yVal>
            <c:numRef>
              <c:f>'Laskenta poistopuoli 53mini'!$O$59:$O$62</c:f>
              <c:numCache>
                <c:formatCode>0.0</c:formatCode>
                <c:ptCount val="4"/>
                <c:pt idx="0">
                  <c:v>77.93610461192263</c:v>
                </c:pt>
                <c:pt idx="1">
                  <c:v>77.444489766490562</c:v>
                </c:pt>
                <c:pt idx="2">
                  <c:v>77.111012956821682</c:v>
                </c:pt>
                <c:pt idx="3">
                  <c:v>77.169274378833549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3E-496C-BBEE-5F3E3EF7C50D}"/>
            </c:ext>
          </c:extLst>
        </c:ser>
        <c:ser>
          <c:idx val="1"/>
          <c:order val="1"/>
          <c:tx>
            <c:strRef>
              <c:f>'Laskenta poistopuoli 53mini'!$C$64</c:f>
              <c:strCache>
                <c:ptCount val="1"/>
                <c:pt idx="0">
                  <c:v>7V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53mini'!$N$64:$N$67</c:f>
              <c:numCache>
                <c:formatCode>0.0</c:formatCode>
                <c:ptCount val="4"/>
                <c:pt idx="0">
                  <c:v>93.684238593623874</c:v>
                </c:pt>
                <c:pt idx="1">
                  <c:v>84.938969521756022</c:v>
                </c:pt>
                <c:pt idx="2">
                  <c:v>67.236714157684546</c:v>
                </c:pt>
                <c:pt idx="3">
                  <c:v>48.914015326659239</c:v>
                </c:pt>
              </c:numCache>
            </c:numRef>
          </c:xVal>
          <c:yVal>
            <c:numRef>
              <c:f>'Laskenta poistopuoli 53mini'!$O$64:$O$67</c:f>
              <c:numCache>
                <c:formatCode>0.0</c:formatCode>
                <c:ptCount val="4"/>
                <c:pt idx="0">
                  <c:v>76.373501407128956</c:v>
                </c:pt>
                <c:pt idx="1">
                  <c:v>74.854988684210909</c:v>
                </c:pt>
                <c:pt idx="2">
                  <c:v>73.232404836893735</c:v>
                </c:pt>
                <c:pt idx="3">
                  <c:v>72.198652001358937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63E-496C-BBEE-5F3E3EF7C50D}"/>
            </c:ext>
          </c:extLst>
        </c:ser>
        <c:ser>
          <c:idx val="2"/>
          <c:order val="2"/>
          <c:tx>
            <c:strRef>
              <c:f>'Laskenta poistopuoli 53mini'!$C$69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53mini'!$N$69:$N$72</c:f>
              <c:numCache>
                <c:formatCode>0.0</c:formatCode>
                <c:ptCount val="4"/>
                <c:pt idx="0">
                  <c:v>78.629009779933412</c:v>
                </c:pt>
                <c:pt idx="1">
                  <c:v>70.86179174027356</c:v>
                </c:pt>
                <c:pt idx="2">
                  <c:v>56.953288719972342</c:v>
                </c:pt>
                <c:pt idx="3">
                  <c:v>41.878833404632474</c:v>
                </c:pt>
              </c:numCache>
            </c:numRef>
          </c:xVal>
          <c:yVal>
            <c:numRef>
              <c:f>'Laskenta poistopuoli 53mini'!$O$69:$O$72</c:f>
              <c:numCache>
                <c:formatCode>0.0</c:formatCode>
                <c:ptCount val="4"/>
                <c:pt idx="0">
                  <c:v>72.305242314882378</c:v>
                </c:pt>
                <c:pt idx="1">
                  <c:v>70.929871069723376</c:v>
                </c:pt>
                <c:pt idx="2">
                  <c:v>69.430318017613317</c:v>
                </c:pt>
                <c:pt idx="3">
                  <c:v>68.451805138444385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63E-496C-BBEE-5F3E3EF7C50D}"/>
            </c:ext>
          </c:extLst>
        </c:ser>
        <c:ser>
          <c:idx val="3"/>
          <c:order val="3"/>
          <c:tx>
            <c:strRef>
              <c:f>'Laskenta poistopuoli 53mini'!$C$74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53mini'!$N$74:$N$77</c:f>
              <c:numCache>
                <c:formatCode>0.0</c:formatCode>
                <c:ptCount val="4"/>
                <c:pt idx="0">
                  <c:v>48.308451150254491</c:v>
                </c:pt>
                <c:pt idx="1">
                  <c:v>43.742563491964916</c:v>
                </c:pt>
                <c:pt idx="2">
                  <c:v>36.047788278297979</c:v>
                </c:pt>
                <c:pt idx="3">
                  <c:v>26.870389836662625</c:v>
                </c:pt>
              </c:numCache>
            </c:numRef>
          </c:xVal>
          <c:yVal>
            <c:numRef>
              <c:f>'Laskenta poistopuoli 53mini'!$O$74:$O$77</c:f>
              <c:numCache>
                <c:formatCode>0.0</c:formatCode>
                <c:ptCount val="4"/>
                <c:pt idx="0">
                  <c:v>61.383090130980236</c:v>
                </c:pt>
                <c:pt idx="1">
                  <c:v>60.335167484587622</c:v>
                </c:pt>
                <c:pt idx="2">
                  <c:v>59.190493799307653</c:v>
                </c:pt>
                <c:pt idx="3">
                  <c:v>58.527477243791985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63E-496C-BBEE-5F3E3EF7C50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53mini'!$AH$34:$AH$37</c:f>
              <c:numCache>
                <c:formatCode>0.0</c:formatCode>
                <c:ptCount val="4"/>
                <c:pt idx="0">
                  <c:v>26.604918096688834</c:v>
                </c:pt>
                <c:pt idx="1">
                  <c:v>16.821028572680941</c:v>
                </c:pt>
                <c:pt idx="2">
                  <c:v>14.336314184673641</c:v>
                </c:pt>
                <c:pt idx="3">
                  <c:v>9.3784128587041202</c:v>
                </c:pt>
              </c:numCache>
            </c:numRef>
          </c:xVal>
          <c:yVal>
            <c:numRef>
              <c:f>'Laskenta poistopuoli 53mini'!$AJ$34:$AJ$37</c:f>
              <c:numCache>
                <c:formatCode>0.0</c:formatCode>
                <c:ptCount val="4"/>
                <c:pt idx="0">
                  <c:v>82.280283368158209</c:v>
                </c:pt>
                <c:pt idx="1">
                  <c:v>73.164976290393994</c:v>
                </c:pt>
                <c:pt idx="2">
                  <c:v>69.15343767050588</c:v>
                </c:pt>
                <c:pt idx="3">
                  <c:v>59.719995992766748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63E-496C-BBEE-5F3E3EF7C50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53mini'!$J$3</c:f>
              <c:numCache>
                <c:formatCode>0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53mini'!$W$6</c:f>
              <c:numCache>
                <c:formatCode>0.0</c:formatCode>
                <c:ptCount val="1"/>
                <c:pt idx="0">
                  <c:v>60.732711914755939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63E-496C-BBEE-5F3E3EF7C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53mini'!$AL$35:$AL$41</c:f>
              <c:numCache>
                <c:formatCode>General</c:formatCode>
                <c:ptCount val="7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</c:numCache>
            </c:numRef>
          </c:xVal>
          <c:yVal>
            <c:numRef>
              <c:f>'Laskenta poistopuoli 53mini'!$AM$35:$AM$41</c:f>
              <c:numCache>
                <c:formatCode>0.0</c:formatCode>
                <c:ptCount val="7"/>
                <c:pt idx="0">
                  <c:v>17.301691803731856</c:v>
                </c:pt>
                <c:pt idx="1">
                  <c:v>16.821028572680941</c:v>
                </c:pt>
                <c:pt idx="2">
                  <c:v>14.336314184673641</c:v>
                </c:pt>
                <c:pt idx="3">
                  <c:v>11.890748228169031</c:v>
                </c:pt>
                <c:pt idx="4">
                  <c:v>9.3784128587041202</c:v>
                </c:pt>
                <c:pt idx="5">
                  <c:v>6.7756541538847133</c:v>
                </c:pt>
                <c:pt idx="6">
                  <c:v>4.1119730066265028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55-4518-BA03-99F7AC57F24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53mini'!$AN$34:$AN$35</c:f>
              <c:numCache>
                <c:formatCode>General</c:formatCode>
                <c:ptCount val="2"/>
                <c:pt idx="0">
                  <c:v>10</c:v>
                </c:pt>
                <c:pt idx="1">
                  <c:v>8</c:v>
                </c:pt>
              </c:numCache>
            </c:numRef>
          </c:xVal>
          <c:yVal>
            <c:numRef>
              <c:f>'Laskenta poistopuoli 53mini'!$AO$34:$AO$35</c:f>
              <c:numCache>
                <c:formatCode>0.0</c:formatCode>
                <c:ptCount val="2"/>
                <c:pt idx="0">
                  <c:v>26.604918096688834</c:v>
                </c:pt>
                <c:pt idx="1">
                  <c:v>18.439882532089904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55-4518-BA03-99F7AC57F249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53mini'!$W$9</c:f>
              <c:numCache>
                <c:formatCode>0.0</c:formatCode>
                <c:ptCount val="1"/>
                <c:pt idx="0">
                  <c:v>4.2224887892319165</c:v>
                </c:pt>
              </c:numCache>
            </c:numRef>
          </c:xVal>
          <c:yVal>
            <c:numRef>
              <c:f>'Laskenta poistopuoli 53mini'!$J$3</c:f>
              <c:numCache>
                <c:formatCode>0</c:formatCode>
                <c:ptCount val="1"/>
                <c:pt idx="0">
                  <c:v>9.7222222222222214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55-4518-BA03-99F7AC57F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C5'!$D$59:$D$62</c:f>
              <c:numCache>
                <c:formatCode>0.0</c:formatCode>
                <c:ptCount val="4"/>
                <c:pt idx="0">
                  <c:v>659.74777394030639</c:v>
                </c:pt>
                <c:pt idx="1">
                  <c:v>568.52649588001736</c:v>
                </c:pt>
                <c:pt idx="2">
                  <c:v>489.96282161159729</c:v>
                </c:pt>
                <c:pt idx="3">
                  <c:v>368.79959938967784</c:v>
                </c:pt>
              </c:numCache>
            </c:numRef>
          </c:xVal>
          <c:yVal>
            <c:numRef>
              <c:f>'Laskenta poistopuoli C5'!$E$59:$E$62</c:f>
              <c:numCache>
                <c:formatCode>0.0</c:formatCode>
                <c:ptCount val="4"/>
                <c:pt idx="0">
                  <c:v>59.504945869055348</c:v>
                </c:pt>
                <c:pt idx="1">
                  <c:v>58.803978275778192</c:v>
                </c:pt>
                <c:pt idx="2">
                  <c:v>60.138959595926607</c:v>
                </c:pt>
                <c:pt idx="3">
                  <c:v>65.101418355422581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5A-4893-89EE-B2FC92AB3CFE}"/>
            </c:ext>
          </c:extLst>
        </c:ser>
        <c:ser>
          <c:idx val="1"/>
          <c:order val="1"/>
          <c:tx>
            <c:strRef>
              <c:f>'Laskenta poistopuoli C5'!$C$64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C5'!$D$64:$D$67</c:f>
              <c:numCache>
                <c:formatCode>0.0</c:formatCode>
                <c:ptCount val="4"/>
                <c:pt idx="0">
                  <c:v>593.18755608109893</c:v>
                </c:pt>
                <c:pt idx="1">
                  <c:v>512.47903369866151</c:v>
                </c:pt>
                <c:pt idx="2">
                  <c:v>440.15284535326958</c:v>
                </c:pt>
                <c:pt idx="3">
                  <c:v>304.88365385737308</c:v>
                </c:pt>
              </c:numCache>
            </c:numRef>
          </c:xVal>
          <c:yVal>
            <c:numRef>
              <c:f>'Laskenta poistopuoli C5'!$E$64:$E$67</c:f>
              <c:numCache>
                <c:formatCode>0.0</c:formatCode>
                <c:ptCount val="4"/>
                <c:pt idx="0">
                  <c:v>56.951001475564766</c:v>
                </c:pt>
                <c:pt idx="1">
                  <c:v>56.551844589514474</c:v>
                </c:pt>
                <c:pt idx="2">
                  <c:v>59.059301371869097</c:v>
                </c:pt>
                <c:pt idx="3">
                  <c:v>63.131068945160543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5A-4893-89EE-B2FC92AB3CFE}"/>
            </c:ext>
          </c:extLst>
        </c:ser>
        <c:ser>
          <c:idx val="2"/>
          <c:order val="2"/>
          <c:tx>
            <c:strRef>
              <c:f>'Laskenta poistopuoli C5'!$C$69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C5'!$D$69:$D$72</c:f>
              <c:numCache>
                <c:formatCode>0.0</c:formatCode>
                <c:ptCount val="4"/>
                <c:pt idx="0">
                  <c:v>430.30872909001937</c:v>
                </c:pt>
                <c:pt idx="1">
                  <c:v>368.90614526736601</c:v>
                </c:pt>
                <c:pt idx="2">
                  <c:v>317.3986650009623</c:v>
                </c:pt>
                <c:pt idx="3">
                  <c:v>217.42027214016494</c:v>
                </c:pt>
              </c:numCache>
            </c:numRef>
          </c:xVal>
          <c:yVal>
            <c:numRef>
              <c:f>'Laskenta poistopuoli C5'!$E$69:$E$72</c:f>
              <c:numCache>
                <c:formatCode>0.0</c:formatCode>
                <c:ptCount val="4"/>
                <c:pt idx="0">
                  <c:v>51.397697447343972</c:v>
                </c:pt>
                <c:pt idx="1">
                  <c:v>51.037513345127785</c:v>
                </c:pt>
                <c:pt idx="2">
                  <c:v>52.190283617600741</c:v>
                </c:pt>
                <c:pt idx="3">
                  <c:v>54.684693977224782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A5A-4893-89EE-B2FC92AB3CFE}"/>
            </c:ext>
          </c:extLst>
        </c:ser>
        <c:ser>
          <c:idx val="3"/>
          <c:order val="3"/>
          <c:tx>
            <c:strRef>
              <c:f>'Laskenta poistopuoli C5'!$C$74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C5'!$D$74:$D$77</c:f>
              <c:numCache>
                <c:formatCode>0.0</c:formatCode>
                <c:ptCount val="4"/>
                <c:pt idx="0">
                  <c:v>266.43484969305598</c:v>
                </c:pt>
                <c:pt idx="1">
                  <c:v>233.04270388510514</c:v>
                </c:pt>
                <c:pt idx="2">
                  <c:v>205.04785756402154</c:v>
                </c:pt>
                <c:pt idx="3">
                  <c:v>143.42845546559386</c:v>
                </c:pt>
              </c:numCache>
            </c:numRef>
          </c:xVal>
          <c:yVal>
            <c:numRef>
              <c:f>'Laskenta poistopuoli C5'!$E$74:$E$77</c:f>
              <c:numCache>
                <c:formatCode>0.0</c:formatCode>
                <c:ptCount val="4"/>
                <c:pt idx="0">
                  <c:v>42.19961491072317</c:v>
                </c:pt>
                <c:pt idx="1">
                  <c:v>41.878496746319378</c:v>
                </c:pt>
                <c:pt idx="2">
                  <c:v>43.508336621902302</c:v>
                </c:pt>
                <c:pt idx="3">
                  <c:v>48.035214640180726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A5A-4893-89EE-B2FC92AB3CFE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5A-4893-89EE-B2FC92AB3CFE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5A-4893-89EE-B2FC92AB3CFE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C5'!$AC$34:$AC$37</c:f>
              <c:numCache>
                <c:formatCode>0.0</c:formatCode>
                <c:ptCount val="4"/>
                <c:pt idx="0">
                  <c:v>630.85203284584327</c:v>
                </c:pt>
                <c:pt idx="1">
                  <c:v>567.9176681107507</c:v>
                </c:pt>
                <c:pt idx="2">
                  <c:v>413.51117866177191</c:v>
                </c:pt>
                <c:pt idx="3">
                  <c:v>258.94974384138897</c:v>
                </c:pt>
              </c:numCache>
            </c:numRef>
          </c:xVal>
          <c:yVal>
            <c:numRef>
              <c:f>'Laskenta poistopuoli C5'!$AF$34:$AF$37</c:f>
              <c:numCache>
                <c:formatCode>0.0</c:formatCode>
                <c:ptCount val="4"/>
                <c:pt idx="0">
                  <c:v>58.930757036670251</c:v>
                </c:pt>
                <c:pt idx="1">
                  <c:v>56.692098710497135</c:v>
                </c:pt>
                <c:pt idx="2">
                  <c:v>51.161700534493356</c:v>
                </c:pt>
                <c:pt idx="3">
                  <c:v>41.8774167758015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9A5A-4893-89EE-B2FC92AB3CFE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C5'!$J$3</c:f>
              <c:numCache>
                <c:formatCode>0</c:formatCode>
                <c:ptCount val="1"/>
                <c:pt idx="0">
                  <c:v>450</c:v>
                </c:pt>
              </c:numCache>
            </c:numRef>
          </c:xVal>
          <c:yVal>
            <c:numRef>
              <c:f>'Laskenta poistopuoli C5'!$W$5</c:f>
              <c:numCache>
                <c:formatCode>0.0</c:formatCode>
                <c:ptCount val="1"/>
                <c:pt idx="0">
                  <c:v>52.481771481749483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9A5A-4893-89EE-B2FC92AB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0.30358954579704656"/>
                  <c:y val="-7.55377678345630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53mini'!$C$86:$C$99</c:f>
              <c:numCache>
                <c:formatCode>0.0</c:formatCode>
                <c:ptCount val="14"/>
                <c:pt idx="0">
                  <c:v>52.935794480610994</c:v>
                </c:pt>
                <c:pt idx="1">
                  <c:v>60.196416414121977</c:v>
                </c:pt>
                <c:pt idx="2">
                  <c:v>66.850049956983753</c:v>
                </c:pt>
                <c:pt idx="3">
                  <c:v>72.092515518762838</c:v>
                </c:pt>
                <c:pt idx="4">
                  <c:v>78.430238209908183</c:v>
                </c:pt>
                <c:pt idx="5">
                  <c:v>83.705668780180915</c:v>
                </c:pt>
                <c:pt idx="6">
                  <c:v>88.850876918216699</c:v>
                </c:pt>
                <c:pt idx="7">
                  <c:v>94.351532550284048</c:v>
                </c:pt>
                <c:pt idx="8">
                  <c:v>99.246817401902931</c:v>
                </c:pt>
                <c:pt idx="9">
                  <c:v>104.32503301510096</c:v>
                </c:pt>
                <c:pt idx="10">
                  <c:v>98.742746590211411</c:v>
                </c:pt>
                <c:pt idx="11">
                  <c:v>91.307230306676516</c:v>
                </c:pt>
                <c:pt idx="12">
                  <c:v>82.853756230402922</c:v>
                </c:pt>
                <c:pt idx="13">
                  <c:v>74.241934545069</c:v>
                </c:pt>
              </c:numCache>
            </c:numRef>
          </c:xVal>
          <c:yVal>
            <c:numRef>
              <c:f>'Laskenta poistopuoli 53mini'!$K$86:$K$99</c:f>
              <c:numCache>
                <c:formatCode>0.0</c:formatCode>
                <c:ptCount val="14"/>
                <c:pt idx="0">
                  <c:v>107.1717419780138</c:v>
                </c:pt>
                <c:pt idx="1">
                  <c:v>111.86402712305474</c:v>
                </c:pt>
                <c:pt idx="2">
                  <c:v>114.05230252357103</c:v>
                </c:pt>
                <c:pt idx="3">
                  <c:v>115.20550247884994</c:v>
                </c:pt>
                <c:pt idx="4">
                  <c:v>115.33462837521566</c:v>
                </c:pt>
                <c:pt idx="5">
                  <c:v>115.89167490537216</c:v>
                </c:pt>
                <c:pt idx="6">
                  <c:v>116.43062639071822</c:v>
                </c:pt>
                <c:pt idx="7">
                  <c:v>116.88174825791347</c:v>
                </c:pt>
                <c:pt idx="8">
                  <c:v>117.27725841655079</c:v>
                </c:pt>
                <c:pt idx="9">
                  <c:v>117.44447919875502</c:v>
                </c:pt>
                <c:pt idx="10">
                  <c:v>116.21024435328435</c:v>
                </c:pt>
                <c:pt idx="11">
                  <c:v>115.03221834091013</c:v>
                </c:pt>
                <c:pt idx="12">
                  <c:v>113.87960125221184</c:v>
                </c:pt>
                <c:pt idx="13">
                  <c:v>112.12193536557662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EC-4D7A-AA17-343AC68230FF}"/>
            </c:ext>
          </c:extLst>
        </c:ser>
        <c:ser>
          <c:idx val="1"/>
          <c:order val="1"/>
          <c:tx>
            <c:strRef>
              <c:f>'Laskenta poistopuoli 53mini'!$C$104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1017928940677306"/>
                  <c:y val="3.106850908860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53mini'!$C$110:$C$116</c:f>
              <c:numCache>
                <c:formatCode>0.0</c:formatCode>
                <c:ptCount val="7"/>
                <c:pt idx="0">
                  <c:v>88.346620615970906</c:v>
                </c:pt>
                <c:pt idx="1">
                  <c:v>84.392974971168883</c:v>
                </c:pt>
                <c:pt idx="2">
                  <c:v>77.579823889888303</c:v>
                </c:pt>
                <c:pt idx="3">
                  <c:v>68.157968954652915</c:v>
                </c:pt>
                <c:pt idx="4">
                  <c:v>57.088283609370528</c:v>
                </c:pt>
                <c:pt idx="5">
                  <c:v>45.821199046294701</c:v>
                </c:pt>
                <c:pt idx="6">
                  <c:v>16.03249318817603</c:v>
                </c:pt>
              </c:numCache>
            </c:numRef>
          </c:xVal>
          <c:yVal>
            <c:numRef>
              <c:f>'Laskenta poistopuoli 53mini'!$K$110:$K$116</c:f>
              <c:numCache>
                <c:formatCode>0.0</c:formatCode>
                <c:ptCount val="7"/>
                <c:pt idx="0">
                  <c:v>115.62401354560232</c:v>
                </c:pt>
                <c:pt idx="1">
                  <c:v>115.03512976188136</c:v>
                </c:pt>
                <c:pt idx="2">
                  <c:v>108.0412609734754</c:v>
                </c:pt>
                <c:pt idx="3">
                  <c:v>96.67737759856962</c:v>
                </c:pt>
                <c:pt idx="4">
                  <c:v>83.928908513481048</c:v>
                </c:pt>
                <c:pt idx="5">
                  <c:v>71.26197544176398</c:v>
                </c:pt>
                <c:pt idx="6">
                  <c:v>44.86625036767358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AEC-4D7A-AA17-343AC68230FF}"/>
            </c:ext>
          </c:extLst>
        </c:ser>
        <c:ser>
          <c:idx val="2"/>
          <c:order val="2"/>
          <c:tx>
            <c:strRef>
              <c:f>'Laskenta poistopuoli 53mini'!$C$118</c:f>
              <c:strCache>
                <c:ptCount val="1"/>
                <c:pt idx="0">
                  <c:v>7V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9254376958996663"/>
                  <c:y val="-0.354269398993954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53mini'!$C$120:$C$134</c:f>
              <c:numCache>
                <c:formatCode>0.0</c:formatCode>
                <c:ptCount val="15"/>
                <c:pt idx="0">
                  <c:v>15.799549507199115</c:v>
                </c:pt>
                <c:pt idx="1">
                  <c:v>51.128838371369135</c:v>
                </c:pt>
                <c:pt idx="2">
                  <c:v>60.245452542821475</c:v>
                </c:pt>
                <c:pt idx="3">
                  <c:v>68.191354988839507</c:v>
                </c:pt>
                <c:pt idx="4">
                  <c:v>74.926029613736688</c:v>
                </c:pt>
                <c:pt idx="5">
                  <c:v>80.815123949068777</c:v>
                </c:pt>
                <c:pt idx="6">
                  <c:v>86.150582458184942</c:v>
                </c:pt>
                <c:pt idx="7">
                  <c:v>93.769133628379237</c:v>
                </c:pt>
                <c:pt idx="8">
                  <c:v>99.530285532717997</c:v>
                </c:pt>
                <c:pt idx="9">
                  <c:v>94.190053945822427</c:v>
                </c:pt>
                <c:pt idx="10">
                  <c:v>84.079536443313629</c:v>
                </c:pt>
                <c:pt idx="11">
                  <c:v>69.435413257497288</c:v>
                </c:pt>
                <c:pt idx="12">
                  <c:v>93.684238593623874</c:v>
                </c:pt>
                <c:pt idx="13">
                  <c:v>84.938969521756022</c:v>
                </c:pt>
                <c:pt idx="14">
                  <c:v>67.236714157684546</c:v>
                </c:pt>
              </c:numCache>
            </c:numRef>
          </c:xVal>
          <c:yVal>
            <c:numRef>
              <c:f>'Laskenta poistopuoli 53mini'!$K$120:$K$134</c:f>
              <c:numCache>
                <c:formatCode>0.0</c:formatCode>
                <c:ptCount val="15"/>
                <c:pt idx="0">
                  <c:v>33.596537743665735</c:v>
                </c:pt>
                <c:pt idx="1">
                  <c:v>59.590984922988532</c:v>
                </c:pt>
                <c:pt idx="2">
                  <c:v>67.555205370176154</c:v>
                </c:pt>
                <c:pt idx="3">
                  <c:v>73.937935233279433</c:v>
                </c:pt>
                <c:pt idx="4">
                  <c:v>80.254864853355954</c:v>
                </c:pt>
                <c:pt idx="5">
                  <c:v>86.055215808458428</c:v>
                </c:pt>
                <c:pt idx="6">
                  <c:v>91.158449534674943</c:v>
                </c:pt>
                <c:pt idx="7">
                  <c:v>99.227558659690871</c:v>
                </c:pt>
                <c:pt idx="8">
                  <c:v>105.49298198277867</c:v>
                </c:pt>
                <c:pt idx="9">
                  <c:v>98.661858881069861</c:v>
                </c:pt>
                <c:pt idx="10">
                  <c:v>86.695619421533181</c:v>
                </c:pt>
                <c:pt idx="11">
                  <c:v>76.36872224980641</c:v>
                </c:pt>
                <c:pt idx="12">
                  <c:v>97.143807702138176</c:v>
                </c:pt>
                <c:pt idx="13">
                  <c:v>86.483732412262924</c:v>
                </c:pt>
                <c:pt idx="14">
                  <c:v>74.070932265823956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AEC-4D7A-AA17-343AC68230FF}"/>
            </c:ext>
          </c:extLst>
        </c:ser>
        <c:ser>
          <c:idx val="3"/>
          <c:order val="3"/>
          <c:tx>
            <c:strRef>
              <c:f>'Laskenta poistopuoli 53mini'!$C$136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3463651985463307"/>
                  <c:y val="3.732163535072194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53mini'!$C$138:$C$153</c:f>
              <c:numCache>
                <c:formatCode>0.0</c:formatCode>
                <c:ptCount val="16"/>
                <c:pt idx="0">
                  <c:v>82.810183971981445</c:v>
                </c:pt>
                <c:pt idx="1">
                  <c:v>79.019673818076285</c:v>
                </c:pt>
                <c:pt idx="2">
                  <c:v>75.001399095710752</c:v>
                </c:pt>
                <c:pt idx="3">
                  <c:v>70.47230092636191</c:v>
                </c:pt>
                <c:pt idx="4">
                  <c:v>65.987694006431695</c:v>
                </c:pt>
                <c:pt idx="5">
                  <c:v>60.592487002274083</c:v>
                </c:pt>
                <c:pt idx="6">
                  <c:v>54.391055371869335</c:v>
                </c:pt>
                <c:pt idx="7">
                  <c:v>49.007052658519648</c:v>
                </c:pt>
                <c:pt idx="8">
                  <c:v>40.785937356594836</c:v>
                </c:pt>
                <c:pt idx="9">
                  <c:v>13.907472545168961</c:v>
                </c:pt>
                <c:pt idx="10">
                  <c:v>78.286672626886102</c:v>
                </c:pt>
                <c:pt idx="11">
                  <c:v>70.13631814653786</c:v>
                </c:pt>
                <c:pt idx="12">
                  <c:v>58.92131648445168</c:v>
                </c:pt>
                <c:pt idx="13">
                  <c:v>78.629009779933412</c:v>
                </c:pt>
                <c:pt idx="14">
                  <c:v>70.86179174027356</c:v>
                </c:pt>
                <c:pt idx="15">
                  <c:v>56.953288719972342</c:v>
                </c:pt>
              </c:numCache>
            </c:numRef>
          </c:xVal>
          <c:yVal>
            <c:numRef>
              <c:f>'Laskenta poistopuoli 53mini'!$K$138:$K$153</c:f>
              <c:numCache>
                <c:formatCode>0.0</c:formatCode>
                <c:ptCount val="16"/>
                <c:pt idx="0">
                  <c:v>65.56240342406528</c:v>
                </c:pt>
                <c:pt idx="1">
                  <c:v>62.81907768749317</c:v>
                </c:pt>
                <c:pt idx="2">
                  <c:v>60.138119223103722</c:v>
                </c:pt>
                <c:pt idx="3">
                  <c:v>56.91973067067552</c:v>
                </c:pt>
                <c:pt idx="4">
                  <c:v>53.094380526806766</c:v>
                </c:pt>
                <c:pt idx="5">
                  <c:v>49.519056101056613</c:v>
                </c:pt>
                <c:pt idx="6">
                  <c:v>45.677174086315709</c:v>
                </c:pt>
                <c:pt idx="7">
                  <c:v>42.371673394046965</c:v>
                </c:pt>
                <c:pt idx="8">
                  <c:v>37.175480838667852</c:v>
                </c:pt>
                <c:pt idx="9">
                  <c:v>23.160696903004986</c:v>
                </c:pt>
                <c:pt idx="10">
                  <c:v>61.834991560803509</c:v>
                </c:pt>
                <c:pt idx="11">
                  <c:v>55.197267659479841</c:v>
                </c:pt>
                <c:pt idx="12">
                  <c:v>49.394813375094301</c:v>
                </c:pt>
                <c:pt idx="13">
                  <c:v>62.705350004708741</c:v>
                </c:pt>
                <c:pt idx="14">
                  <c:v>55.250037167637878</c:v>
                </c:pt>
                <c:pt idx="15">
                  <c:v>47.631701083523424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AEC-4D7A-AA17-343AC68230FF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1.5666206636909243E-2"/>
                  <c:y val="-1.654605401217685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53mini'!$AC$34:$AC$40</c:f>
              <c:numCache>
                <c:formatCode>0.0</c:formatCode>
                <c:ptCount val="7"/>
                <c:pt idx="0">
                  <c:v>26.604918096688834</c:v>
                </c:pt>
                <c:pt idx="1">
                  <c:v>17.301691803731856</c:v>
                </c:pt>
                <c:pt idx="2">
                  <c:v>16.821028572680941</c:v>
                </c:pt>
                <c:pt idx="3">
                  <c:v>14.336314184673641</c:v>
                </c:pt>
                <c:pt idx="4">
                  <c:v>11.890748228169031</c:v>
                </c:pt>
                <c:pt idx="5">
                  <c:v>9.3784128587041202</c:v>
                </c:pt>
                <c:pt idx="6">
                  <c:v>6.7756541538847133</c:v>
                </c:pt>
              </c:numCache>
            </c:numRef>
          </c:xVal>
          <c:yVal>
            <c:numRef>
              <c:f>'Laskenta poistopuoli 53mini'!$AE$34:$AE$40</c:f>
              <c:numCache>
                <c:formatCode>0.0</c:formatCode>
                <c:ptCount val="7"/>
                <c:pt idx="0">
                  <c:v>97.77516159417371</c:v>
                </c:pt>
                <c:pt idx="1">
                  <c:v>45.528721815858574</c:v>
                </c:pt>
                <c:pt idx="2">
                  <c:v>34.492707859387735</c:v>
                </c:pt>
                <c:pt idx="3">
                  <c:v>23.407821971370602</c:v>
                </c:pt>
                <c:pt idx="4">
                  <c:v>15.694328929644222</c:v>
                </c:pt>
                <c:pt idx="5">
                  <c:v>10.036046404632911</c:v>
                </c:pt>
                <c:pt idx="6">
                  <c:v>6.4581543664554317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AEC-4D7A-AA17-343AC68230FF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53mini'!$J$3</c:f>
              <c:numCache>
                <c:formatCode>0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53mini'!$W$13</c:f>
              <c:numCache>
                <c:formatCode>0.0</c:formatCode>
                <c:ptCount val="1"/>
                <c:pt idx="0">
                  <c:v>9.8753865152497227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AEC-4D7A-AA17-343AC68230FF}"/>
            </c:ext>
          </c:extLst>
        </c:ser>
        <c:ser>
          <c:idx val="6"/>
          <c:order val="6"/>
          <c:tx>
            <c:strRef>
              <c:f>'Laskenta poistopuoli 53mini'!$C$155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349709184441589"/>
                  <c:y val="-8.789999814230366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53mini'!$C$157:$C$164</c:f>
              <c:numCache>
                <c:formatCode>0.0</c:formatCode>
                <c:ptCount val="8"/>
                <c:pt idx="0">
                  <c:v>11.384846984323948</c:v>
                </c:pt>
                <c:pt idx="1">
                  <c:v>34.531370705214478</c:v>
                </c:pt>
                <c:pt idx="2">
                  <c:v>41.425278265669888</c:v>
                </c:pt>
                <c:pt idx="3">
                  <c:v>47.231349507173377</c:v>
                </c:pt>
                <c:pt idx="4">
                  <c:v>51.746791312718564</c:v>
                </c:pt>
                <c:pt idx="5">
                  <c:v>56.14997598416398</c:v>
                </c:pt>
                <c:pt idx="6">
                  <c:v>61.498409350401033</c:v>
                </c:pt>
                <c:pt idx="7">
                  <c:v>66.727911144381636</c:v>
                </c:pt>
              </c:numCache>
            </c:numRef>
          </c:xVal>
          <c:yVal>
            <c:numRef>
              <c:f>'Laskenta poistopuoli 53mini'!$K$157:$K$164</c:f>
              <c:numCache>
                <c:formatCode>0.0</c:formatCode>
                <c:ptCount val="8"/>
                <c:pt idx="0">
                  <c:v>15.527629952437218</c:v>
                </c:pt>
                <c:pt idx="1">
                  <c:v>24.064636961853513</c:v>
                </c:pt>
                <c:pt idx="2">
                  <c:v>27.131810416410989</c:v>
                </c:pt>
                <c:pt idx="3">
                  <c:v>29.313014435953669</c:v>
                </c:pt>
                <c:pt idx="4">
                  <c:v>31.539347102768506</c:v>
                </c:pt>
                <c:pt idx="5">
                  <c:v>33.892000573467882</c:v>
                </c:pt>
                <c:pt idx="6">
                  <c:v>36.283209317974041</c:v>
                </c:pt>
                <c:pt idx="7">
                  <c:v>38.887767903398796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AEC-4D7A-AA17-343AC68230FF}"/>
            </c:ext>
          </c:extLst>
        </c:ser>
        <c:ser>
          <c:idx val="7"/>
          <c:order val="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53mini'!$C$86:$C$102</c:f>
              <c:numCache>
                <c:formatCode>0.0</c:formatCode>
                <c:ptCount val="17"/>
                <c:pt idx="0">
                  <c:v>52.935794480610994</c:v>
                </c:pt>
                <c:pt idx="1">
                  <c:v>60.196416414121977</c:v>
                </c:pt>
                <c:pt idx="2">
                  <c:v>66.850049956983753</c:v>
                </c:pt>
                <c:pt idx="3">
                  <c:v>72.092515518762838</c:v>
                </c:pt>
                <c:pt idx="4">
                  <c:v>78.430238209908183</c:v>
                </c:pt>
                <c:pt idx="5">
                  <c:v>83.705668780180915</c:v>
                </c:pt>
                <c:pt idx="6">
                  <c:v>88.850876918216699</c:v>
                </c:pt>
                <c:pt idx="7">
                  <c:v>94.351532550284048</c:v>
                </c:pt>
                <c:pt idx="8">
                  <c:v>99.246817401902931</c:v>
                </c:pt>
                <c:pt idx="9">
                  <c:v>104.32503301510096</c:v>
                </c:pt>
                <c:pt idx="10">
                  <c:v>98.742746590211411</c:v>
                </c:pt>
                <c:pt idx="11">
                  <c:v>91.307230306676516</c:v>
                </c:pt>
                <c:pt idx="12">
                  <c:v>82.853756230402922</c:v>
                </c:pt>
                <c:pt idx="13">
                  <c:v>74.241934545069</c:v>
                </c:pt>
                <c:pt idx="14">
                  <c:v>98.652487497614416</c:v>
                </c:pt>
                <c:pt idx="15">
                  <c:v>91.691329274443603</c:v>
                </c:pt>
                <c:pt idx="16">
                  <c:v>81.263362550605734</c:v>
                </c:pt>
              </c:numCache>
            </c:numRef>
          </c:xVal>
          <c:yVal>
            <c:numRef>
              <c:f>'Laskenta poistopuoli 53mini'!$K$86:$K$102</c:f>
              <c:numCache>
                <c:formatCode>0.0</c:formatCode>
                <c:ptCount val="17"/>
                <c:pt idx="0">
                  <c:v>107.1717419780138</c:v>
                </c:pt>
                <c:pt idx="1">
                  <c:v>111.86402712305474</c:v>
                </c:pt>
                <c:pt idx="2">
                  <c:v>114.05230252357103</c:v>
                </c:pt>
                <c:pt idx="3">
                  <c:v>115.20550247884994</c:v>
                </c:pt>
                <c:pt idx="4">
                  <c:v>115.33462837521566</c:v>
                </c:pt>
                <c:pt idx="5">
                  <c:v>115.89167490537216</c:v>
                </c:pt>
                <c:pt idx="6">
                  <c:v>116.43062639071822</c:v>
                </c:pt>
                <c:pt idx="7">
                  <c:v>116.88174825791347</c:v>
                </c:pt>
                <c:pt idx="8">
                  <c:v>117.27725841655079</c:v>
                </c:pt>
                <c:pt idx="9">
                  <c:v>117.44447919875502</c:v>
                </c:pt>
                <c:pt idx="10">
                  <c:v>116.21024435328435</c:v>
                </c:pt>
                <c:pt idx="11">
                  <c:v>115.03221834091013</c:v>
                </c:pt>
                <c:pt idx="12">
                  <c:v>113.87960125221184</c:v>
                </c:pt>
                <c:pt idx="13">
                  <c:v>112.12193536557662</c:v>
                </c:pt>
                <c:pt idx="14">
                  <c:v>116.5274562748061</c:v>
                </c:pt>
                <c:pt idx="15">
                  <c:v>116.11077717775966</c:v>
                </c:pt>
                <c:pt idx="16">
                  <c:v>115.11642203590731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AEC-4D7A-AA17-343AC68230FF}"/>
            </c:ext>
          </c:extLst>
        </c:ser>
        <c:ser>
          <c:idx val="9"/>
          <c:order val="8"/>
          <c:tx>
            <c:strRef>
              <c:f>'Laskenta poistopuoli 53mini'!$C$166:$M$166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3141933219276708"/>
                  <c:y val="3.556972450363386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53mini'!$C$168:$C$179</c:f>
              <c:numCache>
                <c:formatCode>0.0</c:formatCode>
                <c:ptCount val="12"/>
                <c:pt idx="0">
                  <c:v>50.594110477267272</c:v>
                </c:pt>
                <c:pt idx="1">
                  <c:v>47.171129229978334</c:v>
                </c:pt>
                <c:pt idx="2">
                  <c:v>43.806261938415503</c:v>
                </c:pt>
                <c:pt idx="3">
                  <c:v>38.974923126839606</c:v>
                </c:pt>
                <c:pt idx="4">
                  <c:v>34.217164679266496</c:v>
                </c:pt>
                <c:pt idx="5">
                  <c:v>29.225164199935808</c:v>
                </c:pt>
                <c:pt idx="6">
                  <c:v>21.708027585537948</c:v>
                </c:pt>
                <c:pt idx="7">
                  <c:v>8.8472126181212989</c:v>
                </c:pt>
                <c:pt idx="8">
                  <c:v>48.102429720469871</c:v>
                </c:pt>
                <c:pt idx="9">
                  <c:v>43.402594673017632</c:v>
                </c:pt>
                <c:pt idx="10">
                  <c:v>37.059545515229644</c:v>
                </c:pt>
                <c:pt idx="11">
                  <c:v>28.980933579546868</c:v>
                </c:pt>
              </c:numCache>
            </c:numRef>
          </c:xVal>
          <c:yVal>
            <c:numRef>
              <c:f>'Laskenta poistopuoli 53mini'!$K$168:$K$179</c:f>
              <c:numCache>
                <c:formatCode>0.0</c:formatCode>
                <c:ptCount val="12"/>
                <c:pt idx="0">
                  <c:v>21.095299339979306</c:v>
                </c:pt>
                <c:pt idx="1">
                  <c:v>19.99420264023642</c:v>
                </c:pt>
                <c:pt idx="2">
                  <c:v>18.842965972102125</c:v>
                </c:pt>
                <c:pt idx="3">
                  <c:v>17.599541615480167</c:v>
                </c:pt>
                <c:pt idx="4">
                  <c:v>16.188317881157047</c:v>
                </c:pt>
                <c:pt idx="5">
                  <c:v>14.808779834216191</c:v>
                </c:pt>
                <c:pt idx="6">
                  <c:v>12.450211901002875</c:v>
                </c:pt>
                <c:pt idx="7">
                  <c:v>10.034532155755411</c:v>
                </c:pt>
                <c:pt idx="8">
                  <c:v>20.519391977210955</c:v>
                </c:pt>
                <c:pt idx="9">
                  <c:v>18.794457888074728</c:v>
                </c:pt>
                <c:pt idx="10">
                  <c:v>17.429035529323933</c:v>
                </c:pt>
                <c:pt idx="11">
                  <c:v>15.644540282791711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AEC-4D7A-AA17-343AC68230FF}"/>
            </c:ext>
          </c:extLst>
        </c:ser>
        <c:ser>
          <c:idx val="10"/>
          <c:order val="9"/>
          <c:tx>
            <c:strRef>
              <c:f>'Laskenta poistopuoli 53mini'!$C$181:$M$181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90037187512207"/>
                  <c:y val="5.46833556600911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53mini'!$C$183:$C$187</c:f>
              <c:numCache>
                <c:formatCode>0.0</c:formatCode>
                <c:ptCount val="5"/>
                <c:pt idx="0">
                  <c:v>6.5509089256984874</c:v>
                </c:pt>
                <c:pt idx="1">
                  <c:v>19.707226791678767</c:v>
                </c:pt>
                <c:pt idx="2">
                  <c:v>26.753510871053262</c:v>
                </c:pt>
                <c:pt idx="3">
                  <c:v>30.989531465025948</c:v>
                </c:pt>
                <c:pt idx="4">
                  <c:v>34.392515764513497</c:v>
                </c:pt>
              </c:numCache>
            </c:numRef>
          </c:xVal>
          <c:yVal>
            <c:numRef>
              <c:f>'Laskenta poistopuoli 53mini'!$K$183:$K$187</c:f>
              <c:numCache>
                <c:formatCode>0.0</c:formatCode>
                <c:ptCount val="5"/>
                <c:pt idx="0">
                  <c:v>6.4300818035165612</c:v>
                </c:pt>
                <c:pt idx="1">
                  <c:v>8.1252998518277533</c:v>
                </c:pt>
                <c:pt idx="2">
                  <c:v>9.1930343735982234</c:v>
                </c:pt>
                <c:pt idx="3">
                  <c:v>9.8071738647800277</c:v>
                </c:pt>
                <c:pt idx="4">
                  <c:v>10.460232604253974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AEC-4D7A-AA17-343AC6823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53mini'!$AA$4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53mini'!$AB$6:$AB$12</c:f>
              <c:numCache>
                <c:formatCode>0.0</c:formatCode>
                <c:ptCount val="7"/>
                <c:pt idx="0">
                  <c:v>103.57553241263072</c:v>
                </c:pt>
                <c:pt idx="1">
                  <c:v>94.880901963147465</c:v>
                </c:pt>
                <c:pt idx="2">
                  <c:v>88.807959332100708</c:v>
                </c:pt>
                <c:pt idx="3">
                  <c:v>83.402123627509837</c:v>
                </c:pt>
                <c:pt idx="4">
                  <c:v>76.831301252434912</c:v>
                </c:pt>
                <c:pt idx="5">
                  <c:v>71.942009838283937</c:v>
                </c:pt>
                <c:pt idx="6">
                  <c:v>62.662556243440676</c:v>
                </c:pt>
              </c:numCache>
            </c:numRef>
          </c:xVal>
          <c:yVal>
            <c:numRef>
              <c:f>'Laskenta poistopuoli 53mini'!$AA$6:$AA$12</c:f>
              <c:numCache>
                <c:formatCode>0.0</c:formatCode>
                <c:ptCount val="7"/>
                <c:pt idx="0">
                  <c:v>15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370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3E-4676-BCBA-A4DD2EDD19BE}"/>
            </c:ext>
          </c:extLst>
        </c:ser>
        <c:ser>
          <c:idx val="1"/>
          <c:order val="1"/>
          <c:tx>
            <c:strRef>
              <c:f>'Laskenta poistopuoli 53mini'!$AC$4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53mini'!$AD$6:$AD$12</c:f>
              <c:numCache>
                <c:formatCode>0.0</c:formatCode>
                <c:ptCount val="7"/>
                <c:pt idx="0">
                  <c:v>103.56426593475659</c:v>
                </c:pt>
                <c:pt idx="1">
                  <c:v>100.68992023693473</c:v>
                </c:pt>
                <c:pt idx="2">
                  <c:v>96.312360679370698</c:v>
                </c:pt>
                <c:pt idx="3">
                  <c:v>91.536434304785857</c:v>
                </c:pt>
                <c:pt idx="4">
                  <c:v>89.48699640745069</c:v>
                </c:pt>
                <c:pt idx="5">
                  <c:v>87.341571419937026</c:v>
                </c:pt>
                <c:pt idx="6">
                  <c:v>60.282027789731337</c:v>
                </c:pt>
              </c:numCache>
            </c:numRef>
          </c:xVal>
          <c:yVal>
            <c:numRef>
              <c:f>'Laskenta poistopuoli 53mini'!$AC$6:$AC$12</c:f>
              <c:numCache>
                <c:formatCode>0.0</c:formatCode>
                <c:ptCount val="7"/>
                <c:pt idx="0">
                  <c:v>15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3E-4676-BCBA-A4DD2EDD19BE}"/>
            </c:ext>
          </c:extLst>
        </c:ser>
        <c:ser>
          <c:idx val="2"/>
          <c:order val="2"/>
          <c:tx>
            <c:strRef>
              <c:f>'Laskenta poistopuoli 53mini'!$AE$4</c:f>
              <c:strCache>
                <c:ptCount val="1"/>
                <c:pt idx="0">
                  <c:v>7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53mini'!$AF$6:$AF$11</c:f>
              <c:numCache>
                <c:formatCode>0.0</c:formatCode>
                <c:ptCount val="6"/>
                <c:pt idx="0">
                  <c:v>98.863748472513095</c:v>
                </c:pt>
                <c:pt idx="1">
                  <c:v>94.863745143000813</c:v>
                </c:pt>
                <c:pt idx="2">
                  <c:v>92.068115196745225</c:v>
                </c:pt>
                <c:pt idx="3">
                  <c:v>89.154081732102</c:v>
                </c:pt>
                <c:pt idx="4">
                  <c:v>86.10519059739714</c:v>
                </c:pt>
                <c:pt idx="5">
                  <c:v>48.048861693966089</c:v>
                </c:pt>
              </c:numCache>
            </c:numRef>
          </c:xVal>
          <c:yVal>
            <c:numRef>
              <c:f>'Laskenta poistopuoli 53mini'!$AE$6:$AE$11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270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3E-4676-BCBA-A4DD2EDD19BE}"/>
            </c:ext>
          </c:extLst>
        </c:ser>
        <c:ser>
          <c:idx val="3"/>
          <c:order val="3"/>
          <c:tx>
            <c:strRef>
              <c:f>'Laskenta poistopuoli 53mini'!$AG$4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53mini'!$AH$6:$AH$10</c:f>
              <c:numCache>
                <c:formatCode>0.0</c:formatCode>
                <c:ptCount val="5"/>
                <c:pt idx="0">
                  <c:v>81.983013493976628</c:v>
                </c:pt>
                <c:pt idx="1">
                  <c:v>79.696567243836242</c:v>
                </c:pt>
                <c:pt idx="2">
                  <c:v>78.122767590392229</c:v>
                </c:pt>
                <c:pt idx="3">
                  <c:v>74.841120229685856</c:v>
                </c:pt>
                <c:pt idx="4">
                  <c:v>46.436616599215917</c:v>
                </c:pt>
              </c:numCache>
            </c:numRef>
          </c:xVal>
          <c:yVal>
            <c:numRef>
              <c:f>'Laskenta poistopuoli 53mini'!$AG$6:$AG$10</c:f>
              <c:numCache>
                <c:formatCode>0.0</c:formatCode>
                <c:ptCount val="5"/>
                <c:pt idx="0">
                  <c:v>10</c:v>
                </c:pt>
                <c:pt idx="1">
                  <c:v>25</c:v>
                </c:pt>
                <c:pt idx="2">
                  <c:v>35</c:v>
                </c:pt>
                <c:pt idx="3">
                  <c:v>55</c:v>
                </c:pt>
                <c:pt idx="4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3E-4676-BCBA-A4DD2EDD19B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53mini'!$J$3</c:f>
              <c:numCache>
                <c:formatCode>0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53mini'!$L$3</c:f>
              <c:numCache>
                <c:formatCode>0.0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73E-4676-BCBA-A4DD2EDD19BE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53mini'!$AC$34:$AC$41</c:f>
              <c:numCache>
                <c:formatCode>0.0</c:formatCode>
                <c:ptCount val="8"/>
                <c:pt idx="0">
                  <c:v>26.604918096688834</c:v>
                </c:pt>
                <c:pt idx="1">
                  <c:v>17.301691803731856</c:v>
                </c:pt>
                <c:pt idx="2">
                  <c:v>16.821028572680941</c:v>
                </c:pt>
                <c:pt idx="3">
                  <c:v>14.336314184673641</c:v>
                </c:pt>
                <c:pt idx="4">
                  <c:v>11.890748228169031</c:v>
                </c:pt>
                <c:pt idx="5">
                  <c:v>9.3784128587041202</c:v>
                </c:pt>
                <c:pt idx="6">
                  <c:v>6.7756541538847133</c:v>
                </c:pt>
                <c:pt idx="7">
                  <c:v>4.1119730066265028</c:v>
                </c:pt>
              </c:numCache>
            </c:numRef>
          </c:xVal>
          <c:yVal>
            <c:numRef>
              <c:f>'Laskenta poistopuoli 53mini'!$AD$34:$AD$41</c:f>
              <c:numCache>
                <c:formatCode>0.0</c:formatCode>
                <c:ptCount val="8"/>
                <c:pt idx="0">
                  <c:v>748.84643293326656</c:v>
                </c:pt>
                <c:pt idx="1">
                  <c:v>316.6985362413335</c:v>
                </c:pt>
                <c:pt idx="2">
                  <c:v>299.34637951580521</c:v>
                </c:pt>
                <c:pt idx="3">
                  <c:v>217.44224988128204</c:v>
                </c:pt>
                <c:pt idx="4">
                  <c:v>149.5847362283377</c:v>
                </c:pt>
                <c:pt idx="5">
                  <c:v>93.05240617290255</c:v>
                </c:pt>
                <c:pt idx="6">
                  <c:v>48.57036573070981</c:v>
                </c:pt>
                <c:pt idx="7">
                  <c:v>17.88831454805192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73E-4676-BCBA-A4DD2EDD19BE}"/>
            </c:ext>
          </c:extLst>
        </c:ser>
        <c:ser>
          <c:idx val="6"/>
          <c:order val="6"/>
          <c:tx>
            <c:strRef>
              <c:f>'Laskenta poistopuoli 53mini'!$C$21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53mini'!$AJ$6:$AJ$10</c:f>
              <c:numCache>
                <c:formatCode>0.0</c:formatCode>
                <c:ptCount val="5"/>
                <c:pt idx="0">
                  <c:v>65.508263329639192</c:v>
                </c:pt>
                <c:pt idx="1">
                  <c:v>63.637604496298707</c:v>
                </c:pt>
                <c:pt idx="2">
                  <c:v>59.6662850941036</c:v>
                </c:pt>
                <c:pt idx="3">
                  <c:v>55.313706862535192</c:v>
                </c:pt>
                <c:pt idx="4">
                  <c:v>37.871590945814823</c:v>
                </c:pt>
              </c:numCache>
            </c:numRef>
          </c:xVal>
          <c:yVal>
            <c:numRef>
              <c:f>'Laskenta poistopuoli 53mini'!$AI$6:$AI$10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73E-4676-BCBA-A4DD2EDD19BE}"/>
            </c:ext>
          </c:extLst>
        </c:ser>
        <c:ser>
          <c:idx val="7"/>
          <c:order val="7"/>
          <c:tx>
            <c:strRef>
              <c:f>'Laskenta poistopuoli 53mini'!$C$24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53mini'!$AL$6:$AL$9</c:f>
              <c:numCache>
                <c:formatCode>0.0</c:formatCode>
                <c:ptCount val="4"/>
                <c:pt idx="0">
                  <c:v>48.797613651027639</c:v>
                </c:pt>
                <c:pt idx="1">
                  <c:v>46.415338122451843</c:v>
                </c:pt>
                <c:pt idx="2">
                  <c:v>34.64658196138771</c:v>
                </c:pt>
                <c:pt idx="3">
                  <c:v>25.668533811416562</c:v>
                </c:pt>
              </c:numCache>
            </c:numRef>
          </c:xVal>
          <c:yVal>
            <c:numRef>
              <c:f>'Laskenta poistopuoli 53mini'!$AK$6:$AK$9</c:f>
              <c:numCache>
                <c:formatCode>0.0</c:formatCode>
                <c:ptCount val="4"/>
                <c:pt idx="0">
                  <c:v>10</c:v>
                </c:pt>
                <c:pt idx="1">
                  <c:v>20</c:v>
                </c:pt>
                <c:pt idx="2">
                  <c:v>60</c:v>
                </c:pt>
                <c:pt idx="3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73E-4676-BCBA-A4DD2EDD19BE}"/>
            </c:ext>
          </c:extLst>
        </c:ser>
        <c:ser>
          <c:idx val="8"/>
          <c:order val="8"/>
          <c:tx>
            <c:strRef>
              <c:f>'Laskenta poistopuoli 53mini'!$C$27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53mini'!$AN$6:$AN$8</c:f>
              <c:numCache>
                <c:formatCode>0.0</c:formatCode>
                <c:ptCount val="3"/>
                <c:pt idx="0">
                  <c:v>32.198829381813553</c:v>
                </c:pt>
                <c:pt idx="1">
                  <c:v>28.017033069008061</c:v>
                </c:pt>
                <c:pt idx="2">
                  <c:v>18.151133945730049</c:v>
                </c:pt>
              </c:numCache>
            </c:numRef>
          </c:xVal>
          <c:yVal>
            <c:numRef>
              <c:f>'Laskenta poistopuoli 53mini'!$AM$6:$AM$8</c:f>
              <c:numCache>
                <c:formatCode>0.0</c:formatCode>
                <c:ptCount val="3"/>
                <c:pt idx="0">
                  <c:v>8</c:v>
                </c:pt>
                <c:pt idx="1">
                  <c:v>20</c:v>
                </c:pt>
                <c:pt idx="2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973E-4676-BCBA-A4DD2EDD19BE}"/>
            </c:ext>
          </c:extLst>
        </c:ser>
        <c:ser>
          <c:idx val="9"/>
          <c:order val="9"/>
          <c:tx>
            <c:strRef>
              <c:f>'Laskenta poistopuoli 53mini'!$AO$4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53mini'!$AP$6:$AP$9</c:f>
              <c:numCache>
                <c:formatCode>0.0</c:formatCode>
                <c:ptCount val="4"/>
                <c:pt idx="0">
                  <c:v>16.041783235142876</c:v>
                </c:pt>
                <c:pt idx="1">
                  <c:v>13.000281264577914</c:v>
                </c:pt>
                <c:pt idx="2">
                  <c:v>11.527166136435172</c:v>
                </c:pt>
                <c:pt idx="3">
                  <c:v>9.7946796341437654</c:v>
                </c:pt>
              </c:numCache>
            </c:numRef>
          </c:xVal>
          <c:yVal>
            <c:numRef>
              <c:f>'Laskenta poistopuoli 53mini'!$AO$6:$AO$9</c:f>
              <c:numCache>
                <c:formatCode>0.0</c:formatCode>
                <c:ptCount val="4"/>
                <c:pt idx="0">
                  <c:v>5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03E-4849-AE77-06E0E5A94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-1.1771771771771772E-3"/>
                  <c:y val="0.214158383641521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53mini'!$D$59:$D$62</c:f>
              <c:numCache>
                <c:formatCode>0.0</c:formatCode>
                <c:ptCount val="4"/>
                <c:pt idx="0">
                  <c:v>142.33692589140077</c:v>
                </c:pt>
                <c:pt idx="1">
                  <c:v>135.55354520352333</c:v>
                </c:pt>
                <c:pt idx="2">
                  <c:v>120.87292567048598</c:v>
                </c:pt>
                <c:pt idx="3">
                  <c:v>99.354279744439367</c:v>
                </c:pt>
              </c:numCache>
            </c:numRef>
          </c:xVal>
          <c:yVal>
            <c:numRef>
              <c:f>'Laskenta poisto 53mini'!$E$59:$E$62</c:f>
              <c:numCache>
                <c:formatCode>0.0</c:formatCode>
                <c:ptCount val="4"/>
                <c:pt idx="0">
                  <c:v>63.504792074772809</c:v>
                </c:pt>
                <c:pt idx="1">
                  <c:v>63.293976534273817</c:v>
                </c:pt>
                <c:pt idx="2">
                  <c:v>63.858494061413182</c:v>
                </c:pt>
                <c:pt idx="3">
                  <c:v>64.001811053093547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4C-4A5B-9269-ADD1007D1340}"/>
            </c:ext>
          </c:extLst>
        </c:ser>
        <c:ser>
          <c:idx val="1"/>
          <c:order val="1"/>
          <c:tx>
            <c:strRef>
              <c:f>'Laskenta poisto 53mini'!$C$64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-1.9939939939939939E-2"/>
                  <c:y val="0.279999694583704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 53mini'!$E$64:$E$67</c:f>
              <c:numCache>
                <c:formatCode>0.0</c:formatCode>
                <c:ptCount val="4"/>
                <c:pt idx="0">
                  <c:v>60.755407441724529</c:v>
                </c:pt>
                <c:pt idx="1">
                  <c:v>59.863910817556906</c:v>
                </c:pt>
                <c:pt idx="2">
                  <c:v>59.500309027733529</c:v>
                </c:pt>
                <c:pt idx="3">
                  <c:v>59.437175303534943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4C-4A5B-9269-ADD1007D1340}"/>
            </c:ext>
          </c:extLst>
        </c:ser>
        <c:ser>
          <c:idx val="2"/>
          <c:order val="2"/>
          <c:tx>
            <c:strRef>
              <c:f>'Laskenta poisto 53mini'!$C$69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1578898583622993"/>
                  <c:y val="0.230266707166140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53mini'!$D$69:$D$72</c:f>
              <c:numCache>
                <c:formatCode>0.0</c:formatCode>
                <c:ptCount val="4"/>
                <c:pt idx="0">
                  <c:v>93.509550571045949</c:v>
                </c:pt>
                <c:pt idx="1">
                  <c:v>84.603189103799437</c:v>
                </c:pt>
                <c:pt idx="2">
                  <c:v>73.637239543770193</c:v>
                </c:pt>
                <c:pt idx="3">
                  <c:v>62.440986792248914</c:v>
                </c:pt>
              </c:numCache>
            </c:numRef>
          </c:xVal>
          <c:yVal>
            <c:numRef>
              <c:f>'Laskenta poisto 53mini'!$E$69:$E$72</c:f>
              <c:numCache>
                <c:formatCode>0.0</c:formatCode>
                <c:ptCount val="4"/>
                <c:pt idx="0">
                  <c:v>54.415504897675802</c:v>
                </c:pt>
                <c:pt idx="1">
                  <c:v>53.466522438874719</c:v>
                </c:pt>
                <c:pt idx="2">
                  <c:v>52.965459876340411</c:v>
                </c:pt>
                <c:pt idx="3">
                  <c:v>53.03990267809472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14C-4A5B-9269-ADD1007D1340}"/>
            </c:ext>
          </c:extLst>
        </c:ser>
        <c:ser>
          <c:idx val="3"/>
          <c:order val="3"/>
          <c:tx>
            <c:strRef>
              <c:f>'Laskenta poisto 53mini'!$C$74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41774410631103542"/>
                  <c:y val="0.18949172286048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 53mini'!$E$74:$E$77</c:f>
              <c:numCache>
                <c:formatCode>0.0</c:formatCode>
                <c:ptCount val="4"/>
                <c:pt idx="0">
                  <c:v>45.027312949970536</c:v>
                </c:pt>
                <c:pt idx="1">
                  <c:v>45.390878440304824</c:v>
                </c:pt>
                <c:pt idx="2">
                  <c:v>44.940241651074359</c:v>
                </c:pt>
                <c:pt idx="3">
                  <c:v>44.609229142732467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14C-4A5B-9269-ADD1007D1340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4C-4A5B-9269-ADD1007D1340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14C-4A5B-9269-ADD1007D1340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8415521032843866"/>
                  <c:y val="-8.2353118025979957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53mini'!$AC$34:$AC$37</c:f>
              <c:numCache>
                <c:formatCode>0.0</c:formatCode>
                <c:ptCount val="4"/>
                <c:pt idx="0">
                  <c:v>18.634963492840118</c:v>
                </c:pt>
                <c:pt idx="1">
                  <c:v>18.499163848496991</c:v>
                </c:pt>
                <c:pt idx="2">
                  <c:v>13.988415531192842</c:v>
                </c:pt>
                <c:pt idx="3">
                  <c:v>9.3748400640852481</c:v>
                </c:pt>
              </c:numCache>
            </c:numRef>
          </c:xVal>
          <c:yVal>
            <c:numRef>
              <c:f>'Laskenta poisto 53mini'!$AF$34:$AF$37</c:f>
              <c:numCache>
                <c:formatCode>0.0</c:formatCode>
                <c:ptCount val="4"/>
                <c:pt idx="0">
                  <c:v>64.313601679932304</c:v>
                </c:pt>
                <c:pt idx="1">
                  <c:v>68.893445796700803</c:v>
                </c:pt>
                <c:pt idx="2">
                  <c:v>61.187514173591907</c:v>
                </c:pt>
                <c:pt idx="3">
                  <c:v>38.062854326063324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14C-4A5B-9269-ADD1007D1340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 53mini'!$J$3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 53mini'!$W$5</c:f>
              <c:numCache>
                <c:formatCode>0.0</c:formatCode>
                <c:ptCount val="1"/>
                <c:pt idx="0">
                  <c:v>41.55210182060717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14C-4A5B-9269-ADD1007D1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53mini'!$N$59:$N$62</c:f>
              <c:numCache>
                <c:formatCode>0.0</c:formatCode>
                <c:ptCount val="4"/>
                <c:pt idx="0">
                  <c:v>142.31089483268275</c:v>
                </c:pt>
                <c:pt idx="1">
                  <c:v>135.75297833011399</c:v>
                </c:pt>
                <c:pt idx="2">
                  <c:v>121.88498248796257</c:v>
                </c:pt>
                <c:pt idx="3">
                  <c:v>98.845904208709058</c:v>
                </c:pt>
              </c:numCache>
            </c:numRef>
          </c:xVal>
          <c:yVal>
            <c:numRef>
              <c:f>'Laskenta poisto 53mini'!$O$59:$O$62</c:f>
              <c:numCache>
                <c:formatCode>0.0</c:formatCode>
                <c:ptCount val="4"/>
                <c:pt idx="0">
                  <c:v>76.38069339977983</c:v>
                </c:pt>
                <c:pt idx="1">
                  <c:v>75.606125966760828</c:v>
                </c:pt>
                <c:pt idx="2">
                  <c:v>75.27508361363077</c:v>
                </c:pt>
                <c:pt idx="3">
                  <c:v>75.51677763329937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09-4189-AE1B-291878E79FB5}"/>
            </c:ext>
          </c:extLst>
        </c:ser>
        <c:ser>
          <c:idx val="1"/>
          <c:order val="1"/>
          <c:tx>
            <c:strRef>
              <c:f>'Laskenta poisto 53mini'!$C$64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53mini'!$N$64:$N$67</c:f>
              <c:numCache>
                <c:formatCode>0.0</c:formatCode>
                <c:ptCount val="4"/>
                <c:pt idx="0">
                  <c:v>124.39645653823712</c:v>
                </c:pt>
                <c:pt idx="1">
                  <c:v>115.27995865272432</c:v>
                </c:pt>
                <c:pt idx="2">
                  <c:v>101.91624124775765</c:v>
                </c:pt>
                <c:pt idx="3">
                  <c:v>83.81228756595587</c:v>
                </c:pt>
              </c:numCache>
            </c:numRef>
          </c:xVal>
          <c:yVal>
            <c:numRef>
              <c:f>'Laskenta poisto 53mini'!$O$64:$O$67</c:f>
              <c:numCache>
                <c:formatCode>0.0</c:formatCode>
                <c:ptCount val="4"/>
                <c:pt idx="0">
                  <c:v>73.274158998284477</c:v>
                </c:pt>
                <c:pt idx="1">
                  <c:v>72.04948224384114</c:v>
                </c:pt>
                <c:pt idx="2">
                  <c:v>71.079127309114256</c:v>
                </c:pt>
                <c:pt idx="3">
                  <c:v>71.200535622630397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D09-4189-AE1B-291878E79FB5}"/>
            </c:ext>
          </c:extLst>
        </c:ser>
        <c:ser>
          <c:idx val="2"/>
          <c:order val="2"/>
          <c:tx>
            <c:strRef>
              <c:f>'Laskenta poisto 53mini'!$C$69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 53mini'!$O$69:$O$72</c:f>
              <c:numCache>
                <c:formatCode>0.0</c:formatCode>
                <c:ptCount val="4"/>
                <c:pt idx="0">
                  <c:v>66.574724987435175</c:v>
                </c:pt>
                <c:pt idx="1">
                  <c:v>65.900228657656129</c:v>
                </c:pt>
                <c:pt idx="2">
                  <c:v>64.745187392101812</c:v>
                </c:pt>
                <c:pt idx="3">
                  <c:v>64.778560386905198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09-4189-AE1B-291878E79FB5}"/>
            </c:ext>
          </c:extLst>
        </c:ser>
        <c:ser>
          <c:idx val="3"/>
          <c:order val="3"/>
          <c:tx>
            <c:strRef>
              <c:f>'Laskenta poisto 53mini'!$C$74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53mini'!$N$74:$N$77</c:f>
              <c:numCache>
                <c:formatCode>0.0</c:formatCode>
                <c:ptCount val="4"/>
                <c:pt idx="0">
                  <c:v>58.419544531154315</c:v>
                </c:pt>
                <c:pt idx="1">
                  <c:v>52.196889475840962</c:v>
                </c:pt>
                <c:pt idx="2">
                  <c:v>45.892068901589042</c:v>
                </c:pt>
                <c:pt idx="3">
                  <c:v>38.225352061782701</c:v>
                </c:pt>
              </c:numCache>
            </c:numRef>
          </c:xVal>
          <c:yVal>
            <c:numRef>
              <c:f>'Laskenta poisto 53mini'!$O$74:$O$77</c:f>
              <c:numCache>
                <c:formatCode>0.0</c:formatCode>
                <c:ptCount val="4"/>
                <c:pt idx="0">
                  <c:v>57.040901964604288</c:v>
                </c:pt>
                <c:pt idx="1">
                  <c:v>56.496554636920223</c:v>
                </c:pt>
                <c:pt idx="2">
                  <c:v>55.851746083342412</c:v>
                </c:pt>
                <c:pt idx="3">
                  <c:v>55.770251275797165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D09-4189-AE1B-291878E79FB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53mini'!$AC$34:$AC$37</c:f>
              <c:numCache>
                <c:formatCode>0.0</c:formatCode>
                <c:ptCount val="4"/>
                <c:pt idx="0">
                  <c:v>18.634963492840118</c:v>
                </c:pt>
                <c:pt idx="1">
                  <c:v>18.499163848496991</c:v>
                </c:pt>
                <c:pt idx="2">
                  <c:v>13.988415531192842</c:v>
                </c:pt>
                <c:pt idx="3">
                  <c:v>9.3748400640852481</c:v>
                </c:pt>
              </c:numCache>
            </c:numRef>
          </c:xVal>
          <c:yVal>
            <c:numRef>
              <c:f>'Laskenta poisto 53mini'!$AG$34:$AG$37</c:f>
              <c:numCache>
                <c:formatCode>0.0</c:formatCode>
                <c:ptCount val="4"/>
                <c:pt idx="0">
                  <c:v>89.843876460133714</c:v>
                </c:pt>
                <c:pt idx="1">
                  <c:v>85.784294027871582</c:v>
                </c:pt>
                <c:pt idx="2">
                  <c:v>69.055657784981463</c:v>
                </c:pt>
                <c:pt idx="3">
                  <c:v>58.308511580935303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D09-4189-AE1B-291878E79FB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 53mini'!$J$3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 53mini'!$W$6</c:f>
              <c:numCache>
                <c:formatCode>0.0</c:formatCode>
                <c:ptCount val="1"/>
                <c:pt idx="0">
                  <c:v>57.878098091357003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D09-4189-AE1B-291878E7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 53mini'!$AM$35:$AM$38</c:f>
              <c:numCache>
                <c:formatCode>0.0</c:formatCode>
                <c:ptCount val="4"/>
                <c:pt idx="0">
                  <c:v>18.968571569297918</c:v>
                </c:pt>
                <c:pt idx="1">
                  <c:v>18.499163848496991</c:v>
                </c:pt>
                <c:pt idx="2">
                  <c:v>13.988415531192842</c:v>
                </c:pt>
                <c:pt idx="3">
                  <c:v>9.3748400640852481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F8-48B4-85D9-23F7D448AD6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7654053814097757E-2"/>
                  <c:y val="0.164188156777800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 53mini'!$AM$34:$AM$35</c:f>
              <c:numCache>
                <c:formatCode>0.0</c:formatCode>
                <c:ptCount val="2"/>
                <c:pt idx="0">
                  <c:v>18.634963492840118</c:v>
                </c:pt>
                <c:pt idx="1">
                  <c:v>18.968571569297918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AF8-48B4-85D9-23F7D448AD6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 53mini'!$W$9</c:f>
              <c:numCache>
                <c:formatCode>0.0</c:formatCode>
                <c:ptCount val="1"/>
                <c:pt idx="0">
                  <c:v>4.0101274764904495</c:v>
                </c:pt>
              </c:numCache>
            </c:numRef>
          </c:xVal>
          <c:yVal>
            <c:numRef>
              <c:f>'Laskenta poisto 53mini'!$J$3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AF8-48B4-85D9-23F7D448A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9.6325788086510059E-2"/>
                  <c:y val="-3.99871039742079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53mini'!$X$63:$X$68</c:f>
              <c:numCache>
                <c:formatCode>0.0</c:formatCode>
                <c:ptCount val="6"/>
                <c:pt idx="0">
                  <c:v>126.45313821471686</c:v>
                </c:pt>
                <c:pt idx="1">
                  <c:v>121.46818656102965</c:v>
                </c:pt>
                <c:pt idx="2">
                  <c:v>113.97454094383536</c:v>
                </c:pt>
                <c:pt idx="3">
                  <c:v>98.894194031361593</c:v>
                </c:pt>
                <c:pt idx="4">
                  <c:v>82.599850212683407</c:v>
                </c:pt>
                <c:pt idx="5">
                  <c:v>59.628845690569321</c:v>
                </c:pt>
              </c:numCache>
            </c:numRef>
          </c:xVal>
          <c:yVal>
            <c:numRef>
              <c:f>'Laskenta poisto 53mini'!$Y$63:$Y$68</c:f>
              <c:numCache>
                <c:formatCode>0.0</c:formatCode>
                <c:ptCount val="6"/>
                <c:pt idx="0">
                  <c:v>170.40340335914607</c:v>
                </c:pt>
                <c:pt idx="1">
                  <c:v>169.75780539499809</c:v>
                </c:pt>
                <c:pt idx="2">
                  <c:v>167.39901054092508</c:v>
                </c:pt>
                <c:pt idx="3">
                  <c:v>151.94567006146681</c:v>
                </c:pt>
                <c:pt idx="4">
                  <c:v>138.15078073532626</c:v>
                </c:pt>
                <c:pt idx="5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C0-44E5-9ABF-9210F57D297A}"/>
            </c:ext>
          </c:extLst>
        </c:ser>
        <c:ser>
          <c:idx val="1"/>
          <c:order val="1"/>
          <c:tx>
            <c:strRef>
              <c:f>'Laskenta poisto 53mini'!$W$70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53mini'!$X$70:$X$76</c:f>
              <c:numCache>
                <c:formatCode>0.0</c:formatCode>
                <c:ptCount val="7"/>
                <c:pt idx="0">
                  <c:v>48.113768648848222</c:v>
                </c:pt>
                <c:pt idx="1">
                  <c:v>69.725952249164479</c:v>
                </c:pt>
                <c:pt idx="2">
                  <c:v>94.145823061534287</c:v>
                </c:pt>
                <c:pt idx="3">
                  <c:v>104.21457877159305</c:v>
                </c:pt>
                <c:pt idx="4">
                  <c:v>112.57223888931715</c:v>
                </c:pt>
                <c:pt idx="5">
                  <c:v>121.08321064793208</c:v>
                </c:pt>
                <c:pt idx="6">
                  <c:v>128.25979843355867</c:v>
                </c:pt>
              </c:numCache>
            </c:numRef>
          </c:xVal>
          <c:yVal>
            <c:numRef>
              <c:f>'Laskenta poisto 53mini'!$Y$70:$Y$76</c:f>
              <c:numCache>
                <c:formatCode>0.0</c:formatCode>
                <c:ptCount val="7"/>
                <c:pt idx="0">
                  <c:v>66.989400705630914</c:v>
                </c:pt>
                <c:pt idx="1">
                  <c:v>81.624373459526382</c:v>
                </c:pt>
                <c:pt idx="2">
                  <c:v>99.999477318025953</c:v>
                </c:pt>
                <c:pt idx="3">
                  <c:v>103.48805129721504</c:v>
                </c:pt>
                <c:pt idx="4">
                  <c:v>108.26752691162672</c:v>
                </c:pt>
                <c:pt idx="5">
                  <c:v>114.19640879671721</c:v>
                </c:pt>
                <c:pt idx="6">
                  <c:v>120.0773159902373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C0-44E5-9ABF-9210F57D297A}"/>
            </c:ext>
          </c:extLst>
        </c:ser>
        <c:ser>
          <c:idx val="2"/>
          <c:order val="2"/>
          <c:tx>
            <c:strRef>
              <c:f>'Laskenta poisto 53mini'!$W$78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53mini'!$X$78:$X$82</c:f>
              <c:numCache>
                <c:formatCode>0.0</c:formatCode>
                <c:ptCount val="5"/>
                <c:pt idx="0">
                  <c:v>95.288588606918864</c:v>
                </c:pt>
                <c:pt idx="1">
                  <c:v>84.236237037741418</c:v>
                </c:pt>
                <c:pt idx="2">
                  <c:v>67.284582916698795</c:v>
                </c:pt>
                <c:pt idx="3">
                  <c:v>38.781474840211665</c:v>
                </c:pt>
                <c:pt idx="4">
                  <c:v>28.199869006956831</c:v>
                </c:pt>
              </c:numCache>
            </c:numRef>
          </c:xVal>
          <c:yVal>
            <c:numRef>
              <c:f>'Laskenta poisto 53mini'!$Y$78:$Y$82</c:f>
              <c:numCache>
                <c:formatCode>0.0</c:formatCode>
                <c:ptCount val="5"/>
                <c:pt idx="0">
                  <c:v>55.926419615573145</c:v>
                </c:pt>
                <c:pt idx="1">
                  <c:v>50.599349202971588</c:v>
                </c:pt>
                <c:pt idx="2">
                  <c:v>43.796688567953638</c:v>
                </c:pt>
                <c:pt idx="3">
                  <c:v>32.110345134320482</c:v>
                </c:pt>
                <c:pt idx="4">
                  <c:v>28.517985540807324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C0-44E5-9ABF-9210F57D297A}"/>
            </c:ext>
          </c:extLst>
        </c:ser>
        <c:ser>
          <c:idx val="3"/>
          <c:order val="3"/>
          <c:tx>
            <c:strRef>
              <c:f>'Laskenta poisto 53mini'!$W$86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53mini'!$X$86:$X$89</c:f>
              <c:numCache>
                <c:formatCode>0.0</c:formatCode>
                <c:ptCount val="4"/>
                <c:pt idx="0">
                  <c:v>18.229681878656653</c:v>
                </c:pt>
                <c:pt idx="1">
                  <c:v>38.356644506032225</c:v>
                </c:pt>
                <c:pt idx="2">
                  <c:v>50.652024686808119</c:v>
                </c:pt>
                <c:pt idx="3">
                  <c:v>58.713396920140099</c:v>
                </c:pt>
              </c:numCache>
            </c:numRef>
          </c:xVal>
          <c:yVal>
            <c:numRef>
              <c:f>'Laskenta poisto 53mini'!$Y$86:$Y$89</c:f>
              <c:numCache>
                <c:formatCode>0.0</c:formatCode>
                <c:ptCount val="4"/>
                <c:pt idx="0">
                  <c:v>11.829330691825657</c:v>
                </c:pt>
                <c:pt idx="1">
                  <c:v>14.906650602251696</c:v>
                </c:pt>
                <c:pt idx="2">
                  <c:v>17.447344781188477</c:v>
                </c:pt>
                <c:pt idx="3">
                  <c:v>18.86532265222845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2C0-44E5-9ABF-9210F57D297A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53mini'!$AC$34:$AC$38</c:f>
              <c:numCache>
                <c:formatCode>0.0</c:formatCode>
                <c:ptCount val="5"/>
                <c:pt idx="0">
                  <c:v>18.634963492840118</c:v>
                </c:pt>
                <c:pt idx="1">
                  <c:v>18.499163848496991</c:v>
                </c:pt>
                <c:pt idx="2">
                  <c:v>13.988415531192842</c:v>
                </c:pt>
                <c:pt idx="3">
                  <c:v>9.3748400640852481</c:v>
                </c:pt>
                <c:pt idx="4">
                  <c:v>18.968571569297918</c:v>
                </c:pt>
              </c:numCache>
            </c:numRef>
          </c:xVal>
          <c:yVal>
            <c:numRef>
              <c:f>'Laskenta poisto 53mini'!$AE$34:$AE$38</c:f>
              <c:numCache>
                <c:formatCode>0.0</c:formatCode>
                <c:ptCount val="5"/>
                <c:pt idx="0">
                  <c:v>70.154931206864731</c:v>
                </c:pt>
                <c:pt idx="1">
                  <c:v>45.594456409541138</c:v>
                </c:pt>
                <c:pt idx="2">
                  <c:v>23.497156585053748</c:v>
                </c:pt>
                <c:pt idx="3">
                  <c:v>10.626131292627683</c:v>
                </c:pt>
                <c:pt idx="4">
                  <c:v>66.177200324101648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2C0-44E5-9ABF-9210F57D297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 53mini'!$J$3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 53mini'!$W$13</c:f>
              <c:numCache>
                <c:formatCode>0.0</c:formatCode>
                <c:ptCount val="1"/>
                <c:pt idx="0">
                  <c:v>10.866355056765862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2C0-44E5-9ABF-9210F57D297A}"/>
            </c:ext>
          </c:extLst>
        </c:ser>
        <c:ser>
          <c:idx val="6"/>
          <c:order val="6"/>
          <c:tx>
            <c:strRef>
              <c:f>'Laskenta poisto 53mini'!$W$92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53mini'!$X$92:$X$96</c:f>
              <c:numCache>
                <c:formatCode>0.0</c:formatCode>
                <c:ptCount val="5"/>
                <c:pt idx="0">
                  <c:v>120.12416008604148</c:v>
                </c:pt>
                <c:pt idx="1">
                  <c:v>104.28237943386655</c:v>
                </c:pt>
                <c:pt idx="2">
                  <c:v>70.69056308182347</c:v>
                </c:pt>
                <c:pt idx="3">
                  <c:v>49.564301038903714</c:v>
                </c:pt>
                <c:pt idx="4">
                  <c:v>88.638894657469507</c:v>
                </c:pt>
              </c:numCache>
            </c:numRef>
          </c:xVal>
          <c:yVal>
            <c:numRef>
              <c:f>'Laskenta poisto 53mini'!$Y$92:$Y$96</c:f>
              <c:numCache>
                <c:formatCode>0.0</c:formatCode>
                <c:ptCount val="5"/>
                <c:pt idx="0">
                  <c:v>158.71858363035491</c:v>
                </c:pt>
                <c:pt idx="1">
                  <c:v>143.40845802475638</c:v>
                </c:pt>
                <c:pt idx="2">
                  <c:v>111.60794943452888</c:v>
                </c:pt>
                <c:pt idx="3">
                  <c:v>91.87637660025311</c:v>
                </c:pt>
                <c:pt idx="4">
                  <c:v>126.91451442541967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42C0-44E5-9ABF-9210F57D297A}"/>
            </c:ext>
          </c:extLst>
        </c:ser>
        <c:ser>
          <c:idx val="7"/>
          <c:order val="7"/>
          <c:tx>
            <c:strRef>
              <c:f>'Laskenta poisto 53mini'!$W$59</c:f>
              <c:strCache>
                <c:ptCount val="1"/>
                <c:pt idx="0">
                  <c:v>10V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 53mini'!$X$59:$X$68</c:f>
              <c:numCache>
                <c:formatCode>0.0</c:formatCode>
                <c:ptCount val="10"/>
                <c:pt idx="0">
                  <c:v>145.93280562131633</c:v>
                </c:pt>
                <c:pt idx="1">
                  <c:v>141.05384772765888</c:v>
                </c:pt>
                <c:pt idx="2">
                  <c:v>137.14938858370206</c:v>
                </c:pt>
                <c:pt idx="3">
                  <c:v>131.55494143634706</c:v>
                </c:pt>
                <c:pt idx="4">
                  <c:v>126.45313821471686</c:v>
                </c:pt>
                <c:pt idx="5">
                  <c:v>121.46818656102965</c:v>
                </c:pt>
                <c:pt idx="6">
                  <c:v>113.97454094383536</c:v>
                </c:pt>
                <c:pt idx="7">
                  <c:v>98.894194031361593</c:v>
                </c:pt>
                <c:pt idx="8">
                  <c:v>82.599850212683407</c:v>
                </c:pt>
                <c:pt idx="9">
                  <c:v>59.628845690569321</c:v>
                </c:pt>
              </c:numCache>
            </c:numRef>
          </c:xVal>
          <c:yVal>
            <c:numRef>
              <c:f>'Laskenta poisto 53mini'!$Y$59:$Y$68</c:f>
              <c:numCache>
                <c:formatCode>0.0</c:formatCode>
                <c:ptCount val="10"/>
                <c:pt idx="0">
                  <c:v>171.33659884692841</c:v>
                </c:pt>
                <c:pt idx="1">
                  <c:v>171.20476167067767</c:v>
                </c:pt>
                <c:pt idx="2">
                  <c:v>170.53321022331545</c:v>
                </c:pt>
                <c:pt idx="3">
                  <c:v>170.80421961235893</c:v>
                </c:pt>
                <c:pt idx="4">
                  <c:v>170.40340335914607</c:v>
                </c:pt>
                <c:pt idx="5">
                  <c:v>169.75780539499809</c:v>
                </c:pt>
                <c:pt idx="6">
                  <c:v>167.39901054092508</c:v>
                </c:pt>
                <c:pt idx="7">
                  <c:v>151.94567006146681</c:v>
                </c:pt>
                <c:pt idx="8">
                  <c:v>138.15078073532626</c:v>
                </c:pt>
                <c:pt idx="9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2C0-44E5-9ABF-9210F57D297A}"/>
            </c:ext>
          </c:extLst>
        </c:ser>
        <c:ser>
          <c:idx val="8"/>
          <c:order val="8"/>
          <c:tx>
            <c:v>6V ääni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 53mini'!$N$69:$N$72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 53mini'!$P$69:$P$72</c:f>
              <c:numCache>
                <c:formatCode>0.0</c:formatCode>
                <c:ptCount val="4"/>
                <c:pt idx="0">
                  <c:v>51.840740552727752</c:v>
                </c:pt>
                <c:pt idx="1">
                  <c:v>49.063899227254822</c:v>
                </c:pt>
                <c:pt idx="2">
                  <c:v>44.520187546631931</c:v>
                </c:pt>
                <c:pt idx="3">
                  <c:v>37.896921857869309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2C0-44E5-9ABF-9210F57D297A}"/>
            </c:ext>
          </c:extLst>
        </c:ser>
        <c:ser>
          <c:idx val="9"/>
          <c:order val="9"/>
          <c:tx>
            <c:v>4 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 53mini'!$D$74:$D$77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 53mini'!$F$74:$F$77</c:f>
              <c:numCache>
                <c:formatCode>0.0</c:formatCode>
                <c:ptCount val="4"/>
                <c:pt idx="0">
                  <c:v>18.288711059751751</c:v>
                </c:pt>
                <c:pt idx="1">
                  <c:v>17.173412186741277</c:v>
                </c:pt>
                <c:pt idx="2">
                  <c:v>15.976519793234619</c:v>
                </c:pt>
                <c:pt idx="3">
                  <c:v>14.286412768134158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2C0-44E5-9ABF-9210F57D297A}"/>
            </c:ext>
          </c:extLst>
        </c:ser>
        <c:ser>
          <c:idx val="10"/>
          <c:order val="10"/>
          <c:tx>
            <c:v>8V äänimiitaus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 53mini'!$D$64:$D$67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 53mini'!$F$64:$F$67</c:f>
              <c:numCache>
                <c:formatCode>0.0</c:formatCode>
                <c:ptCount val="4"/>
                <c:pt idx="0">
                  <c:v>113.60317789708478</c:v>
                </c:pt>
                <c:pt idx="1">
                  <c:v>105.55857205937565</c:v>
                </c:pt>
                <c:pt idx="2">
                  <c:v>97.976349714782643</c:v>
                </c:pt>
                <c:pt idx="3">
                  <c:v>86.958592380060594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42C0-44E5-9ABF-9210F57D2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 53mini'!$AA$4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4428258967629047E-2"/>
                  <c:y val="-0.744498972134675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53mini'!$AB$6:$AB$12</c:f>
              <c:numCache>
                <c:formatCode>0.0</c:formatCode>
                <c:ptCount val="7"/>
                <c:pt idx="0">
                  <c:v>149.37198438834608</c:v>
                </c:pt>
                <c:pt idx="1">
                  <c:v>140.44019694340693</c:v>
                </c:pt>
                <c:pt idx="2">
                  <c:v>133.12312176781919</c:v>
                </c:pt>
                <c:pt idx="3">
                  <c:v>126.16844933408204</c:v>
                </c:pt>
                <c:pt idx="4">
                  <c:v>116.90930697190107</c:v>
                </c:pt>
                <c:pt idx="5">
                  <c:v>105.63452662019705</c:v>
                </c:pt>
                <c:pt idx="6">
                  <c:v>89.816310441248532</c:v>
                </c:pt>
              </c:numCache>
            </c:numRef>
          </c:xVal>
          <c:yVal>
            <c:numRef>
              <c:f>'Laskenta poisto 53mini'!$AA$6:$AA$12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BE4-4F4E-9A6F-B5AEF05DC7D7}"/>
            </c:ext>
          </c:extLst>
        </c:ser>
        <c:ser>
          <c:idx val="1"/>
          <c:order val="1"/>
          <c:tx>
            <c:strRef>
              <c:f>'Laskenta poisto 53mini'!$AC$4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53mini'!$AD$6:$AD$12</c:f>
              <c:numCache>
                <c:formatCode>0.0</c:formatCode>
                <c:ptCount val="7"/>
                <c:pt idx="0">
                  <c:v>133.17332240375293</c:v>
                </c:pt>
                <c:pt idx="1">
                  <c:v>128.50888008908166</c:v>
                </c:pt>
                <c:pt idx="2">
                  <c:v>120.21047153971138</c:v>
                </c:pt>
                <c:pt idx="3">
                  <c:v>111.08472606866653</c:v>
                </c:pt>
                <c:pt idx="4">
                  <c:v>107.1393496264217</c:v>
                </c:pt>
                <c:pt idx="5">
                  <c:v>102.9859461818326</c:v>
                </c:pt>
                <c:pt idx="6">
                  <c:v>64.002142123508037</c:v>
                </c:pt>
              </c:numCache>
            </c:numRef>
          </c:xVal>
          <c:yVal>
            <c:numRef>
              <c:f>'Laskenta poisto 53mini'!$AC$6:$AC$12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BE4-4F4E-9A6F-B5AEF05DC7D7}"/>
            </c:ext>
          </c:extLst>
        </c:ser>
        <c:ser>
          <c:idx val="2"/>
          <c:order val="2"/>
          <c:tx>
            <c:strRef>
              <c:f>'Laskenta poisto 53mini'!$AE$4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53mini'!$AF$6:$AF$11</c:f>
              <c:numCache>
                <c:formatCode>0.0</c:formatCode>
                <c:ptCount val="6"/>
                <c:pt idx="0">
                  <c:v>99.999058386718588</c:v>
                </c:pt>
                <c:pt idx="1">
                  <c:v>94.108238875868778</c:v>
                </c:pt>
                <c:pt idx="2">
                  <c:v>89.069837468278507</c:v>
                </c:pt>
                <c:pt idx="3">
                  <c:v>83.675510586883604</c:v>
                </c:pt>
                <c:pt idx="4">
                  <c:v>77.837118713065038</c:v>
                </c:pt>
                <c:pt idx="5">
                  <c:v>42.180912652297032</c:v>
                </c:pt>
              </c:numCache>
            </c:numRef>
          </c:xVal>
          <c:yVal>
            <c:numRef>
              <c:f>'Laskenta poisto 53mini'!$AE$6:$AE$11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BE4-4F4E-9A6F-B5AEF05DC7D7}"/>
            </c:ext>
          </c:extLst>
        </c:ser>
        <c:ser>
          <c:idx val="3"/>
          <c:order val="3"/>
          <c:tx>
            <c:strRef>
              <c:f>'Laskenta poisto 53mini'!$AG$4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53mini'!$AH$6:$AH$10</c:f>
              <c:numCache>
                <c:formatCode>0.0</c:formatCode>
                <c:ptCount val="5"/>
                <c:pt idx="0">
                  <c:v>61.555446560450939</c:v>
                </c:pt>
                <c:pt idx="1">
                  <c:v>57.822327947272591</c:v>
                </c:pt>
                <c:pt idx="2">
                  <c:v>53.830589598087514</c:v>
                </c:pt>
                <c:pt idx="3">
                  <c:v>51.71915361429582</c:v>
                </c:pt>
                <c:pt idx="4">
                  <c:v>25.847865510561171</c:v>
                </c:pt>
              </c:numCache>
            </c:numRef>
          </c:xVal>
          <c:yVal>
            <c:numRef>
              <c:f>'Laskenta poisto 53mini'!$AG$6:$AG$10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BE4-4F4E-9A6F-B5AEF05DC7D7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 53mini'!$J$3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 53mini'!$L$3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BE4-4F4E-9A6F-B5AEF05DC7D7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53mini'!$AC$34:$AC$37</c:f>
              <c:numCache>
                <c:formatCode>0.0</c:formatCode>
                <c:ptCount val="4"/>
                <c:pt idx="0">
                  <c:v>18.634963492840118</c:v>
                </c:pt>
                <c:pt idx="1">
                  <c:v>18.499163848496991</c:v>
                </c:pt>
                <c:pt idx="2">
                  <c:v>13.988415531192842</c:v>
                </c:pt>
                <c:pt idx="3">
                  <c:v>9.3748400640852481</c:v>
                </c:pt>
              </c:numCache>
            </c:numRef>
          </c:xVal>
          <c:yVal>
            <c:numRef>
              <c:f>'Laskenta poisto 53mini'!$AD$34:$AD$37</c:f>
              <c:numCache>
                <c:formatCode>0.0</c:formatCode>
                <c:ptCount val="4"/>
                <c:pt idx="0">
                  <c:v>367.38887855984609</c:v>
                </c:pt>
                <c:pt idx="1">
                  <c:v>362.0538006279391</c:v>
                </c:pt>
                <c:pt idx="2">
                  <c:v>207.016976913485</c:v>
                </c:pt>
                <c:pt idx="3">
                  <c:v>92.981521298304145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BE4-4F4E-9A6F-B5AEF05DC7D7}"/>
            </c:ext>
          </c:extLst>
        </c:ser>
        <c:ser>
          <c:idx val="6"/>
          <c:order val="6"/>
          <c:tx>
            <c:strRef>
              <c:f>'Laskenta poisto 53mini'!$C$26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forward val="15"/>
            <c:dispRSqr val="0"/>
            <c:dispEq val="0"/>
          </c:trendline>
          <c:xVal>
            <c:numRef>
              <c:f>'Laskenta poisto 53mini'!$P$23:$P$25</c:f>
              <c:numCache>
                <c:formatCode>General</c:formatCode>
                <c:ptCount val="3"/>
                <c:pt idx="0">
                  <c:v>80</c:v>
                </c:pt>
                <c:pt idx="1">
                  <c:v>90</c:v>
                </c:pt>
                <c:pt idx="2">
                  <c:v>135</c:v>
                </c:pt>
              </c:numCache>
            </c:numRef>
          </c:xVal>
          <c:yVal>
            <c:numRef>
              <c:f>'Laskenta poisto 53mini'!$Q$23:$Q$25</c:f>
              <c:numCache>
                <c:formatCode>General</c:formatCode>
                <c:ptCount val="3"/>
                <c:pt idx="0">
                  <c:v>382.29368625398979</c:v>
                </c:pt>
                <c:pt idx="1">
                  <c:v>354.53081848682547</c:v>
                </c:pt>
                <c:pt idx="2">
                  <c:v>131.92949072175963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BE4-4F4E-9A6F-B5AEF05DC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LwAtot vs Ohjausjännite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6052449693788276"/>
                  <c:y val="-3.408439041479557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53mini'!$K$11:$K$14</c:f>
              <c:numCache>
                <c:formatCode>General</c:formatCode>
                <c:ptCount val="4"/>
                <c:pt idx="0">
                  <c:v>8.3000000000000007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vaipan läpi 53mini'!$L$11:$L$14</c:f>
              <c:numCache>
                <c:formatCode>0.0</c:formatCode>
                <c:ptCount val="4"/>
                <c:pt idx="0">
                  <c:v>49.553859374815694</c:v>
                </c:pt>
                <c:pt idx="1">
                  <c:v>45.807948790518893</c:v>
                </c:pt>
                <c:pt idx="2">
                  <c:v>42.261905297078613</c:v>
                </c:pt>
                <c:pt idx="3">
                  <c:v>32.924946633813931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1E-4EF2-B36A-4609A3F72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160480"/>
        <c:axId val="634160808"/>
      </c:scatterChart>
      <c:valAx>
        <c:axId val="63416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808"/>
        <c:crosses val="autoZero"/>
        <c:crossBetween val="midCat"/>
      </c:valAx>
      <c:valAx>
        <c:axId val="63416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53mini'!$K$26:$R$26</c:f>
              <c:numCache>
                <c:formatCode>0.0</c:formatCode>
                <c:ptCount val="8"/>
                <c:pt idx="0">
                  <c:v>13.099169884919704</c:v>
                </c:pt>
                <c:pt idx="1">
                  <c:v>10.953065112759937</c:v>
                </c:pt>
                <c:pt idx="2">
                  <c:v>6.3862816744534214</c:v>
                </c:pt>
                <c:pt idx="3">
                  <c:v>-6.4729753286077525</c:v>
                </c:pt>
                <c:pt idx="4">
                  <c:v>-15.205184865873434</c:v>
                </c:pt>
                <c:pt idx="5">
                  <c:v>-21.083597630575333</c:v>
                </c:pt>
                <c:pt idx="6">
                  <c:v>-24.20121690458739</c:v>
                </c:pt>
                <c:pt idx="7">
                  <c:v>-26.635811916584782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B-4705-9A01-0AA767F0EACC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53mini'!$K$27:$R$27</c:f>
              <c:numCache>
                <c:formatCode>0.0</c:formatCode>
                <c:ptCount val="8"/>
                <c:pt idx="0">
                  <c:v>14.185982766482596</c:v>
                </c:pt>
                <c:pt idx="1">
                  <c:v>10.980798295440522</c:v>
                </c:pt>
                <c:pt idx="2">
                  <c:v>6.0170975890181637</c:v>
                </c:pt>
                <c:pt idx="3">
                  <c:v>-6.6051994144095119</c:v>
                </c:pt>
                <c:pt idx="4">
                  <c:v>-14.170812896989023</c:v>
                </c:pt>
                <c:pt idx="5">
                  <c:v>-20.886451373024244</c:v>
                </c:pt>
                <c:pt idx="6">
                  <c:v>-23.93960987458123</c:v>
                </c:pt>
                <c:pt idx="7">
                  <c:v>-27.411542253082978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B-4705-9A01-0AA767F0EACC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53mini'!$K$28:$R$28</c:f>
              <c:numCache>
                <c:formatCode>0.0</c:formatCode>
                <c:ptCount val="8"/>
                <c:pt idx="0">
                  <c:v>14.588593305053429</c:v>
                </c:pt>
                <c:pt idx="1">
                  <c:v>11.917108263680632</c:v>
                </c:pt>
                <c:pt idx="2">
                  <c:v>5.6028284165453996</c:v>
                </c:pt>
                <c:pt idx="3">
                  <c:v>-6.5263643558055975</c:v>
                </c:pt>
                <c:pt idx="4">
                  <c:v>-13.421843829972623</c:v>
                </c:pt>
                <c:pt idx="5">
                  <c:v>-20.688583185952151</c:v>
                </c:pt>
                <c:pt idx="6">
                  <c:v>-25.813919987884297</c:v>
                </c:pt>
                <c:pt idx="7">
                  <c:v>-29.61287904687606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8B-4705-9A01-0AA767F0EACC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53mini'!$K$29:$R$29</c:f>
              <c:numCache>
                <c:formatCode>0.0</c:formatCode>
                <c:ptCount val="8"/>
                <c:pt idx="0">
                  <c:v>18.683110110305101</c:v>
                </c:pt>
                <c:pt idx="1">
                  <c:v>11.712085093303159</c:v>
                </c:pt>
                <c:pt idx="2">
                  <c:v>4.4051487936569629</c:v>
                </c:pt>
                <c:pt idx="3">
                  <c:v>-7.1255880329292225</c:v>
                </c:pt>
                <c:pt idx="4">
                  <c:v>-12.603038351387934</c:v>
                </c:pt>
                <c:pt idx="5">
                  <c:v>-20.725034429745214</c:v>
                </c:pt>
                <c:pt idx="6">
                  <c:v>-25.533907210625955</c:v>
                </c:pt>
                <c:pt idx="7">
                  <c:v>-27.783648867649568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8B-4705-9A01-0AA767F0E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8962032"/>
        <c:axId val="778965312"/>
      </c:lineChart>
      <c:catAx>
        <c:axId val="778962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5312"/>
        <c:crosses val="autoZero"/>
        <c:auto val="1"/>
        <c:lblAlgn val="ctr"/>
        <c:lblOffset val="100"/>
        <c:noMultiLvlLbl val="0"/>
      </c:catAx>
      <c:valAx>
        <c:axId val="77896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Verkkokäyrän korjaus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7822615923009573E-2"/>
                  <c:y val="-0.377778142315543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53mini'!$AA$58:$AA$69</c:f>
              <c:numCache>
                <c:formatCode>0.00</c:formatCode>
                <c:ptCount val="12"/>
                <c:pt idx="0">
                  <c:v>7.6102689790380458E-3</c:v>
                </c:pt>
                <c:pt idx="1">
                  <c:v>2.0356088364759866E-2</c:v>
                </c:pt>
                <c:pt idx="2">
                  <c:v>4.3776886807526484E-2</c:v>
                </c:pt>
                <c:pt idx="3">
                  <c:v>8.9786673107239187E-2</c:v>
                </c:pt>
                <c:pt idx="4">
                  <c:v>7.7422845456261349E-3</c:v>
                </c:pt>
                <c:pt idx="5">
                  <c:v>2.0273647732094342E-2</c:v>
                </c:pt>
                <c:pt idx="6">
                  <c:v>4.3799261716828373E-2</c:v>
                </c:pt>
                <c:pt idx="7">
                  <c:v>9.6975783373867405E-2</c:v>
                </c:pt>
                <c:pt idx="8">
                  <c:v>7.8351835095548279E-3</c:v>
                </c:pt>
                <c:pt idx="9">
                  <c:v>2.074120821467363E-2</c:v>
                </c:pt>
                <c:pt idx="10">
                  <c:v>4.3140331166919822E-2</c:v>
                </c:pt>
                <c:pt idx="11">
                  <c:v>9.0323882452608001E-2</c:v>
                </c:pt>
              </c:numCache>
            </c:numRef>
          </c:xVal>
          <c:yVal>
            <c:numRef>
              <c:f>'Laskenta vaipan läpi 53mini'!$AC$58:$AC$69</c:f>
              <c:numCache>
                <c:formatCode>0.0</c:formatCode>
                <c:ptCount val="12"/>
                <c:pt idx="0">
                  <c:v>1.216691505336911</c:v>
                </c:pt>
                <c:pt idx="1">
                  <c:v>0.4464527860151577</c:v>
                </c:pt>
                <c:pt idx="2">
                  <c:v>-0.65313341119583868</c:v>
                </c:pt>
                <c:pt idx="3">
                  <c:v>-1.4995142907542132</c:v>
                </c:pt>
                <c:pt idx="4">
                  <c:v>1.1148459269631843</c:v>
                </c:pt>
                <c:pt idx="5">
                  <c:v>0.19012724618733046</c:v>
                </c:pt>
                <c:pt idx="6">
                  <c:v>-0.32494599872951113</c:v>
                </c:pt>
                <c:pt idx="7">
                  <c:v>-1.3390219536385786</c:v>
                </c:pt>
                <c:pt idx="8">
                  <c:v>0.8256953897465138</c:v>
                </c:pt>
                <c:pt idx="9">
                  <c:v>0.24626124430299967</c:v>
                </c:pt>
                <c:pt idx="10">
                  <c:v>-0.21414859502976924</c:v>
                </c:pt>
                <c:pt idx="11">
                  <c:v>-1.0769803406104685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DC-44FA-A759-B0B878662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8571231"/>
        <c:axId val="1388591871"/>
      </c:scatterChart>
      <c:valAx>
        <c:axId val="1388571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88591871"/>
        <c:crosses val="autoZero"/>
        <c:crossBetween val="midCat"/>
      </c:valAx>
      <c:valAx>
        <c:axId val="1388591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885712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C5'!$N$59:$N$62</c:f>
              <c:numCache>
                <c:formatCode>0.0</c:formatCode>
                <c:ptCount val="4"/>
                <c:pt idx="0">
                  <c:v>678.37536862073512</c:v>
                </c:pt>
                <c:pt idx="1">
                  <c:v>567.72716207379733</c:v>
                </c:pt>
                <c:pt idx="2">
                  <c:v>477.85861076194726</c:v>
                </c:pt>
                <c:pt idx="3">
                  <c:v>361.89300280682511</c:v>
                </c:pt>
              </c:numCache>
            </c:numRef>
          </c:xVal>
          <c:yVal>
            <c:numRef>
              <c:f>'Laskenta poistopuoli C5'!$O$59:$O$62</c:f>
              <c:numCache>
                <c:formatCode>0.0</c:formatCode>
                <c:ptCount val="4"/>
                <c:pt idx="0">
                  <c:v>78.872081958332544</c:v>
                </c:pt>
                <c:pt idx="1">
                  <c:v>77.457986603824793</c:v>
                </c:pt>
                <c:pt idx="2">
                  <c:v>77.682071539287904</c:v>
                </c:pt>
                <c:pt idx="3">
                  <c:v>80.883626535567686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434-49D3-A949-E60F597465CB}"/>
            </c:ext>
          </c:extLst>
        </c:ser>
        <c:ser>
          <c:idx val="1"/>
          <c:order val="1"/>
          <c:tx>
            <c:strRef>
              <c:f>'Laskenta poistopuoli C5'!$C$64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C5'!$N$64:$N$67</c:f>
              <c:numCache>
                <c:formatCode>0.0</c:formatCode>
                <c:ptCount val="4"/>
                <c:pt idx="0">
                  <c:v>609.3294572190905</c:v>
                </c:pt>
                <c:pt idx="1">
                  <c:v>511.4537803117347</c:v>
                </c:pt>
                <c:pt idx="2">
                  <c:v>420.17908106004865</c:v>
                </c:pt>
                <c:pt idx="3">
                  <c:v>310.62720108835543</c:v>
                </c:pt>
              </c:numCache>
            </c:numRef>
          </c:xVal>
          <c:yVal>
            <c:numRef>
              <c:f>'Laskenta poistopuoli C5'!$O$64:$O$67</c:f>
              <c:numCache>
                <c:formatCode>0.0</c:formatCode>
                <c:ptCount val="4"/>
                <c:pt idx="0">
                  <c:v>76.622311352178684</c:v>
                </c:pt>
                <c:pt idx="1">
                  <c:v>75.29988739232023</c:v>
                </c:pt>
                <c:pt idx="2">
                  <c:v>75.537881211747461</c:v>
                </c:pt>
                <c:pt idx="3">
                  <c:v>79.20794803152809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34-49D3-A949-E60F597465CB}"/>
            </c:ext>
          </c:extLst>
        </c:ser>
        <c:ser>
          <c:idx val="2"/>
          <c:order val="2"/>
          <c:tx>
            <c:strRef>
              <c:f>'Laskenta poistopuoli C5'!$C$69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C5'!$N$69:$N$72</c:f>
              <c:numCache>
                <c:formatCode>0.0</c:formatCode>
                <c:ptCount val="4"/>
                <c:pt idx="0">
                  <c:v>454.51647897858771</c:v>
                </c:pt>
                <c:pt idx="1">
                  <c:v>386.08513097658857</c:v>
                </c:pt>
                <c:pt idx="2">
                  <c:v>316.43665668347194</c:v>
                </c:pt>
                <c:pt idx="3">
                  <c:v>229.46728062953824</c:v>
                </c:pt>
              </c:numCache>
            </c:numRef>
          </c:xVal>
          <c:yVal>
            <c:numRef>
              <c:f>'Laskenta poistopuoli C5'!$O$69:$O$72</c:f>
              <c:numCache>
                <c:formatCode>0.0</c:formatCode>
                <c:ptCount val="4"/>
                <c:pt idx="0">
                  <c:v>70.481695997192162</c:v>
                </c:pt>
                <c:pt idx="1">
                  <c:v>69.141028251455381</c:v>
                </c:pt>
                <c:pt idx="2">
                  <c:v>68.789053648530512</c:v>
                </c:pt>
                <c:pt idx="3">
                  <c:v>69.947584972349176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434-49D3-A949-E60F597465CB}"/>
            </c:ext>
          </c:extLst>
        </c:ser>
        <c:ser>
          <c:idx val="3"/>
          <c:order val="3"/>
          <c:tx>
            <c:strRef>
              <c:f>'Laskenta poistopuoli C5'!$C$74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C5'!$N$74:$N$77</c:f>
              <c:numCache>
                <c:formatCode>0.0</c:formatCode>
                <c:ptCount val="4"/>
                <c:pt idx="0">
                  <c:v>275.51386387143219</c:v>
                </c:pt>
                <c:pt idx="1">
                  <c:v>239.40233610308692</c:v>
                </c:pt>
                <c:pt idx="2">
                  <c:v>197.91474592192031</c:v>
                </c:pt>
                <c:pt idx="3">
                  <c:v>146.0847854684252</c:v>
                </c:pt>
              </c:numCache>
            </c:numRef>
          </c:xVal>
          <c:yVal>
            <c:numRef>
              <c:f>'Laskenta poistopuoli C5'!$O$74:$O$77</c:f>
              <c:numCache>
                <c:formatCode>0.0</c:formatCode>
                <c:ptCount val="4"/>
                <c:pt idx="0">
                  <c:v>58.122879852100439</c:v>
                </c:pt>
                <c:pt idx="1">
                  <c:v>57.40969440146219</c:v>
                </c:pt>
                <c:pt idx="2">
                  <c:v>57.662941812501856</c:v>
                </c:pt>
                <c:pt idx="3">
                  <c:v>59.193625260276654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434-49D3-A949-E60F597465C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24646952881018785"/>
                  <c:y val="0.52112888364396603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C5'!$AC$34:$AC$37</c:f>
              <c:numCache>
                <c:formatCode>0.0</c:formatCode>
                <c:ptCount val="4"/>
                <c:pt idx="0">
                  <c:v>630.85203284584327</c:v>
                </c:pt>
                <c:pt idx="1">
                  <c:v>567.9176681107507</c:v>
                </c:pt>
                <c:pt idx="2">
                  <c:v>413.51117866177191</c:v>
                </c:pt>
                <c:pt idx="3">
                  <c:v>258.94974384138897</c:v>
                </c:pt>
              </c:numCache>
            </c:numRef>
          </c:xVal>
          <c:yVal>
            <c:numRef>
              <c:f>'Laskenta poistopuoli C5'!$AG$34:$AG$37</c:f>
              <c:numCache>
                <c:formatCode>0.0</c:formatCode>
                <c:ptCount val="4"/>
                <c:pt idx="0">
                  <c:v>77.936163931735123</c:v>
                </c:pt>
                <c:pt idx="1">
                  <c:v>75.714076254062931</c:v>
                </c:pt>
                <c:pt idx="2">
                  <c:v>69.59024625871227</c:v>
                </c:pt>
                <c:pt idx="3">
                  <c:v>57.698874349382038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434-49D3-A949-E60F597465CB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C5'!$J$3</c:f>
              <c:numCache>
                <c:formatCode>0</c:formatCode>
                <c:ptCount val="1"/>
                <c:pt idx="0">
                  <c:v>450</c:v>
                </c:pt>
              </c:numCache>
            </c:numRef>
          </c:xVal>
          <c:yVal>
            <c:numRef>
              <c:f>'Laskenta poistopuoli C5'!$W$6</c:f>
              <c:numCache>
                <c:formatCode>0.0</c:formatCode>
                <c:ptCount val="1"/>
                <c:pt idx="0">
                  <c:v>70.61187195005057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434-49D3-A949-E60F59746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3.7706396433266814E-2"/>
                  <c:y val="0.15623941137710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130'!$D$59:$D$62</c:f>
              <c:numCache>
                <c:formatCode>0.0</c:formatCode>
                <c:ptCount val="4"/>
                <c:pt idx="0">
                  <c:v>124.45552078709319</c:v>
                </c:pt>
                <c:pt idx="1">
                  <c:v>116.51720534386456</c:v>
                </c:pt>
                <c:pt idx="2">
                  <c:v>101.70534454841015</c:v>
                </c:pt>
                <c:pt idx="3">
                  <c:v>82.365017043939588</c:v>
                </c:pt>
              </c:numCache>
            </c:numRef>
          </c:xVal>
          <c:yVal>
            <c:numRef>
              <c:f>'Laskenta tulopuoli 130'!$E$59:$E$62</c:f>
              <c:numCache>
                <c:formatCode>0.0</c:formatCode>
                <c:ptCount val="4"/>
                <c:pt idx="0">
                  <c:v>59.464218542298468</c:v>
                </c:pt>
                <c:pt idx="1">
                  <c:v>59.36196924526331</c:v>
                </c:pt>
                <c:pt idx="2">
                  <c:v>60.027949452160676</c:v>
                </c:pt>
                <c:pt idx="3">
                  <c:v>60.608228329655951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0D-4C62-97E7-29CB7ABB9461}"/>
            </c:ext>
          </c:extLst>
        </c:ser>
        <c:ser>
          <c:idx val="1"/>
          <c:order val="1"/>
          <c:tx>
            <c:strRef>
              <c:f>'Laskenta tulopuoli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130'!$D$64:$D$67</c:f>
              <c:numCache>
                <c:formatCode>0.0</c:formatCode>
                <c:ptCount val="4"/>
                <c:pt idx="0">
                  <c:v>108.61605915705071</c:v>
                </c:pt>
                <c:pt idx="1">
                  <c:v>98.281498327194029</c:v>
                </c:pt>
                <c:pt idx="2">
                  <c:v>84.237915047166098</c:v>
                </c:pt>
                <c:pt idx="3">
                  <c:v>68.226231139270695</c:v>
                </c:pt>
              </c:numCache>
            </c:numRef>
          </c:xVal>
          <c:yVal>
            <c:numRef>
              <c:f>'Laskenta tulopuoli 130'!$E$64:$E$67</c:f>
              <c:numCache>
                <c:formatCode>0.0</c:formatCode>
                <c:ptCount val="4"/>
                <c:pt idx="0">
                  <c:v>56.814264092463056</c:v>
                </c:pt>
                <c:pt idx="1">
                  <c:v>56.095905975041596</c:v>
                </c:pt>
                <c:pt idx="2">
                  <c:v>55.812437707556704</c:v>
                </c:pt>
                <c:pt idx="3">
                  <c:v>56.113551475189496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0D-4C62-97E7-29CB7ABB9461}"/>
            </c:ext>
          </c:extLst>
        </c:ser>
        <c:ser>
          <c:idx val="2"/>
          <c:order val="2"/>
          <c:tx>
            <c:strRef>
              <c:f>'Laskenta tulopuoli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130'!$D$69:$D$72</c:f>
              <c:numCache>
                <c:formatCode>0.0</c:formatCode>
                <c:ptCount val="4"/>
                <c:pt idx="0">
                  <c:v>78.91869125446334</c:v>
                </c:pt>
                <c:pt idx="1">
                  <c:v>70.580249223838763</c:v>
                </c:pt>
                <c:pt idx="2">
                  <c:v>61.003247611336789</c:v>
                </c:pt>
                <c:pt idx="3">
                  <c:v>50.009324712830463</c:v>
                </c:pt>
              </c:numCache>
            </c:numRef>
          </c:xVal>
          <c:yVal>
            <c:numRef>
              <c:f>'Laskenta tulopuoli 130'!$E$69:$E$72</c:f>
              <c:numCache>
                <c:formatCode>0.0</c:formatCode>
                <c:ptCount val="4"/>
                <c:pt idx="0">
                  <c:v>50.35449179308835</c:v>
                </c:pt>
                <c:pt idx="1">
                  <c:v>49.716367440911277</c:v>
                </c:pt>
                <c:pt idx="2">
                  <c:v>49.303164455402957</c:v>
                </c:pt>
                <c:pt idx="3">
                  <c:v>49.591899884279549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0D-4C62-97E7-29CB7ABB9461}"/>
            </c:ext>
          </c:extLst>
        </c:ser>
        <c:ser>
          <c:idx val="3"/>
          <c:order val="3"/>
          <c:tx>
            <c:strRef>
              <c:f>'Laskenta tulopuoli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500076915261491"/>
                  <c:y val="0.134977096132800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130'!$D$74:$D$77</c:f>
              <c:numCache>
                <c:formatCode>0.0</c:formatCode>
                <c:ptCount val="4"/>
                <c:pt idx="0">
                  <c:v>47.209584540076754</c:v>
                </c:pt>
                <c:pt idx="1">
                  <c:v>42.465356495567598</c:v>
                </c:pt>
                <c:pt idx="2">
                  <c:v>37.102816665150158</c:v>
                </c:pt>
                <c:pt idx="3">
                  <c:v>29.182562373170153</c:v>
                </c:pt>
              </c:numCache>
            </c:numRef>
          </c:xVal>
          <c:yVal>
            <c:numRef>
              <c:f>'Laskenta tulopuoli 130'!$E$74:$E$77</c:f>
              <c:numCache>
                <c:formatCode>0.0</c:formatCode>
                <c:ptCount val="4"/>
                <c:pt idx="0">
                  <c:v>41.263554965594018</c:v>
                </c:pt>
                <c:pt idx="1">
                  <c:v>40.752210874042227</c:v>
                </c:pt>
                <c:pt idx="2">
                  <c:v>40.829184240359169</c:v>
                </c:pt>
                <c:pt idx="3">
                  <c:v>40.707367893087195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70D-4C62-97E7-29CB7ABB946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0D-4C62-97E7-29CB7ABB946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70D-4C62-97E7-29CB7ABB946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23.431877243782353</c:v>
                </c:pt>
                <c:pt idx="1">
                  <c:v>20.763064176227772</c:v>
                </c:pt>
                <c:pt idx="2">
                  <c:v>16.171491475128441</c:v>
                </c:pt>
                <c:pt idx="3">
                  <c:v>10.269018442301528</c:v>
                </c:pt>
              </c:numCache>
            </c:numRef>
          </c:xVal>
          <c:yVal>
            <c:numRef>
              <c:f>'Laskenta tulopuoli 130'!$AF$34:$AF$37</c:f>
              <c:numCache>
                <c:formatCode>0.0</c:formatCode>
                <c:ptCount val="4"/>
                <c:pt idx="0">
                  <c:v>64.167236439541142</c:v>
                </c:pt>
                <c:pt idx="1">
                  <c:v>61.85735582979467</c:v>
                </c:pt>
                <c:pt idx="2">
                  <c:v>54.479762245695234</c:v>
                </c:pt>
                <c:pt idx="3">
                  <c:v>42.237948623386693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70D-4C62-97E7-29CB7ABB946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130'!$W$5</c:f>
              <c:numCache>
                <c:formatCode>0.0</c:formatCode>
                <c:ptCount val="1"/>
                <c:pt idx="0">
                  <c:v>40.802249477385189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70D-4C62-97E7-29CB7ABB9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130'!$N$59:$N$62</c:f>
              <c:numCache>
                <c:formatCode>0.0</c:formatCode>
                <c:ptCount val="4"/>
                <c:pt idx="0">
                  <c:v>124.49829752500722</c:v>
                </c:pt>
                <c:pt idx="1">
                  <c:v>116.22872893281689</c:v>
                </c:pt>
                <c:pt idx="2">
                  <c:v>102.73164382577521</c:v>
                </c:pt>
                <c:pt idx="3">
                  <c:v>82.099032137491747</c:v>
                </c:pt>
              </c:numCache>
            </c:numRef>
          </c:xVal>
          <c:yVal>
            <c:numRef>
              <c:f>'Laskenta tulopuoli 130'!$O$59:$O$62</c:f>
              <c:numCache>
                <c:formatCode>0.0</c:formatCode>
                <c:ptCount val="4"/>
                <c:pt idx="0">
                  <c:v>74.843704730864445</c:v>
                </c:pt>
                <c:pt idx="1">
                  <c:v>74.987135559894881</c:v>
                </c:pt>
                <c:pt idx="2">
                  <c:v>75.708977921572853</c:v>
                </c:pt>
                <c:pt idx="3">
                  <c:v>76.464934909676941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6F-4B01-8A62-43BAA0BD180B}"/>
            </c:ext>
          </c:extLst>
        </c:ser>
        <c:ser>
          <c:idx val="1"/>
          <c:order val="1"/>
          <c:tx>
            <c:strRef>
              <c:f>'Laskenta tulopuoli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130'!$N$64:$N$67</c:f>
              <c:numCache>
                <c:formatCode>0.0</c:formatCode>
                <c:ptCount val="4"/>
                <c:pt idx="0">
                  <c:v>108.79901687814959</c:v>
                </c:pt>
                <c:pt idx="1">
                  <c:v>97.159742938215373</c:v>
                </c:pt>
                <c:pt idx="2">
                  <c:v>85.227725522189502</c:v>
                </c:pt>
                <c:pt idx="3">
                  <c:v>67.119168106658208</c:v>
                </c:pt>
              </c:numCache>
            </c:numRef>
          </c:xVal>
          <c:yVal>
            <c:numRef>
              <c:f>'Laskenta tulopuoli 130'!$O$64:$O$67</c:f>
              <c:numCache>
                <c:formatCode>0.0</c:formatCode>
                <c:ptCount val="4"/>
                <c:pt idx="0">
                  <c:v>72.000070714917115</c:v>
                </c:pt>
                <c:pt idx="1">
                  <c:v>71.638832438309009</c:v>
                </c:pt>
                <c:pt idx="2">
                  <c:v>71.781837965876733</c:v>
                </c:pt>
                <c:pt idx="3">
                  <c:v>72.155935238638762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C6F-4B01-8A62-43BAA0BD180B}"/>
            </c:ext>
          </c:extLst>
        </c:ser>
        <c:ser>
          <c:idx val="2"/>
          <c:order val="2"/>
          <c:tx>
            <c:strRef>
              <c:f>'Laskenta tulopuoli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130'!$N$69:$N$72</c:f>
              <c:numCache>
                <c:formatCode>0.0</c:formatCode>
                <c:ptCount val="4"/>
                <c:pt idx="0">
                  <c:v>79.189925082805274</c:v>
                </c:pt>
                <c:pt idx="1">
                  <c:v>69.29180640070085</c:v>
                </c:pt>
                <c:pt idx="2">
                  <c:v>61.072161700876308</c:v>
                </c:pt>
                <c:pt idx="3">
                  <c:v>48.975695956645126</c:v>
                </c:pt>
              </c:numCache>
            </c:numRef>
          </c:xVal>
          <c:yVal>
            <c:numRef>
              <c:f>'Laskenta tulopuoli 130'!$O$69:$O$72</c:f>
              <c:numCache>
                <c:formatCode>0.0</c:formatCode>
                <c:ptCount val="4"/>
                <c:pt idx="0">
                  <c:v>65.344965804359333</c:v>
                </c:pt>
                <c:pt idx="1">
                  <c:v>65.19105994578031</c:v>
                </c:pt>
                <c:pt idx="2">
                  <c:v>65.221443421121307</c:v>
                </c:pt>
                <c:pt idx="3">
                  <c:v>65.532160154792763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C6F-4B01-8A62-43BAA0BD180B}"/>
            </c:ext>
          </c:extLst>
        </c:ser>
        <c:ser>
          <c:idx val="3"/>
          <c:order val="3"/>
          <c:tx>
            <c:strRef>
              <c:f>'Laskenta tulopuoli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130'!$N$74:$N$77</c:f>
              <c:numCache>
                <c:formatCode>0.0</c:formatCode>
                <c:ptCount val="4"/>
                <c:pt idx="0">
                  <c:v>47.482793089946028</c:v>
                </c:pt>
                <c:pt idx="1">
                  <c:v>41.228509340499677</c:v>
                </c:pt>
                <c:pt idx="2">
                  <c:v>36.475191125897595</c:v>
                </c:pt>
                <c:pt idx="3">
                  <c:v>27.664795652547159</c:v>
                </c:pt>
              </c:numCache>
            </c:numRef>
          </c:xVal>
          <c:yVal>
            <c:numRef>
              <c:f>'Laskenta tulopuoli 130'!$O$74:$O$77</c:f>
              <c:numCache>
                <c:formatCode>0.0</c:formatCode>
                <c:ptCount val="4"/>
                <c:pt idx="0">
                  <c:v>55.826600262242778</c:v>
                </c:pt>
                <c:pt idx="1">
                  <c:v>55.930075733390261</c:v>
                </c:pt>
                <c:pt idx="2">
                  <c:v>55.788583914062073</c:v>
                </c:pt>
                <c:pt idx="3">
                  <c:v>55.713078457982796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C6F-4B01-8A62-43BAA0BD180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23.431877243782353</c:v>
                </c:pt>
                <c:pt idx="1">
                  <c:v>20.763064176227772</c:v>
                </c:pt>
                <c:pt idx="2">
                  <c:v>16.171491475128441</c:v>
                </c:pt>
                <c:pt idx="3">
                  <c:v>10.269018442301528</c:v>
                </c:pt>
              </c:numCache>
            </c:numRef>
          </c:xVal>
          <c:yVal>
            <c:numRef>
              <c:f>'Laskenta tulopuoli 130'!$AG$34:$AG$37</c:f>
              <c:numCache>
                <c:formatCode>0.0</c:formatCode>
                <c:ptCount val="4"/>
                <c:pt idx="0">
                  <c:v>79.082757784319782</c:v>
                </c:pt>
                <c:pt idx="1">
                  <c:v>75.936788490205899</c:v>
                </c:pt>
                <c:pt idx="2">
                  <c:v>67.954048927695993</c:v>
                </c:pt>
                <c:pt idx="3">
                  <c:v>55.06116618037565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C6F-4B01-8A62-43BAA0BD180B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130'!$W$6</c:f>
              <c:numCache>
                <c:formatCode>0.0</c:formatCode>
                <c:ptCount val="1"/>
                <c:pt idx="0">
                  <c:v>53.3524243495241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C6F-4B01-8A62-43BAA0BD1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130'!$AM$35:$AM$38</c:f>
              <c:numCache>
                <c:formatCode>0.0</c:formatCode>
                <c:ptCount val="4"/>
                <c:pt idx="0">
                  <c:v>23.650319550646643</c:v>
                </c:pt>
                <c:pt idx="1">
                  <c:v>20.763064176227772</c:v>
                </c:pt>
                <c:pt idx="2">
                  <c:v>16.171491475128441</c:v>
                </c:pt>
                <c:pt idx="3">
                  <c:v>10.269018442301528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9C-40C3-B48E-DC315B1203E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130'!$AM$34:$AM$35</c:f>
              <c:numCache>
                <c:formatCode>0.0</c:formatCode>
                <c:ptCount val="2"/>
                <c:pt idx="0">
                  <c:v>23.431877243782353</c:v>
                </c:pt>
                <c:pt idx="1">
                  <c:v>23.650319550646643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9C-40C3-B48E-DC315B1203E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130'!$W$9</c:f>
              <c:numCache>
                <c:formatCode>0.0</c:formatCode>
                <c:ptCount val="1"/>
                <c:pt idx="0">
                  <c:v>3.7119815086198944</c:v>
                </c:pt>
              </c:numCache>
            </c:numRef>
          </c:xVal>
          <c:yVal>
            <c:numRef>
              <c:f>'Laskenta tulopuoli 130'!$J$3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9C-40C3-B48E-DC315B120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0.30358954579704656"/>
                  <c:y val="-7.55377678345630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130'!$X$62:$X$68</c:f>
              <c:numCache>
                <c:formatCode>0.0</c:formatCode>
                <c:ptCount val="7"/>
                <c:pt idx="0">
                  <c:v>115.07326296692654</c:v>
                </c:pt>
                <c:pt idx="1">
                  <c:v>110.37714302386942</c:v>
                </c:pt>
                <c:pt idx="2">
                  <c:v>103.29973361775856</c:v>
                </c:pt>
                <c:pt idx="3">
                  <c:v>92.00971203437571</c:v>
                </c:pt>
                <c:pt idx="4">
                  <c:v>79.647869425429306</c:v>
                </c:pt>
                <c:pt idx="5">
                  <c:v>68.418898324482583</c:v>
                </c:pt>
                <c:pt idx="6">
                  <c:v>52.880453885014383</c:v>
                </c:pt>
              </c:numCache>
            </c:numRef>
          </c:xVal>
          <c:yVal>
            <c:numRef>
              <c:f>'Laskenta tulopuoli 130'!$Y$62:$Y$68</c:f>
              <c:numCache>
                <c:formatCode>0.0</c:formatCode>
                <c:ptCount val="7"/>
                <c:pt idx="0">
                  <c:v>167.55901865645629</c:v>
                </c:pt>
                <c:pt idx="1">
                  <c:v>166.83068715224474</c:v>
                </c:pt>
                <c:pt idx="2">
                  <c:v>163.1785428035638</c:v>
                </c:pt>
                <c:pt idx="3">
                  <c:v>149.02892706748165</c:v>
                </c:pt>
                <c:pt idx="4">
                  <c:v>137.70061008294681</c:v>
                </c:pt>
                <c:pt idx="5">
                  <c:v>126.95007636248987</c:v>
                </c:pt>
                <c:pt idx="6">
                  <c:v>109.75920069451099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09-4BED-83FB-52C358E5A2D6}"/>
            </c:ext>
          </c:extLst>
        </c:ser>
        <c:ser>
          <c:idx val="1"/>
          <c:order val="1"/>
          <c:tx>
            <c:strRef>
              <c:f>'Laskenta tulopuoli 130'!$W$70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130'!$X$70:$X$76</c:f>
              <c:numCache>
                <c:formatCode>0.0</c:formatCode>
                <c:ptCount val="7"/>
                <c:pt idx="0">
                  <c:v>42.211275851555982</c:v>
                </c:pt>
                <c:pt idx="1">
                  <c:v>58.642949192646377</c:v>
                </c:pt>
                <c:pt idx="2">
                  <c:v>71.897152256247168</c:v>
                </c:pt>
                <c:pt idx="3">
                  <c:v>89.052329006531664</c:v>
                </c:pt>
                <c:pt idx="4">
                  <c:v>97.587712481034103</c:v>
                </c:pt>
                <c:pt idx="5">
                  <c:v>104.27133188591066</c:v>
                </c:pt>
                <c:pt idx="6">
                  <c:v>111.74275916804318</c:v>
                </c:pt>
              </c:numCache>
            </c:numRef>
          </c:xVal>
          <c:yVal>
            <c:numRef>
              <c:f>'Laskenta tulopuoli 130'!$Y$70:$Y$76</c:f>
              <c:numCache>
                <c:formatCode>0.0</c:formatCode>
                <c:ptCount val="7"/>
                <c:pt idx="0">
                  <c:v>64.573221113007946</c:v>
                </c:pt>
                <c:pt idx="1">
                  <c:v>76.697210767145009</c:v>
                </c:pt>
                <c:pt idx="2">
                  <c:v>86.468910889524679</c:v>
                </c:pt>
                <c:pt idx="3">
                  <c:v>101.34825145413782</c:v>
                </c:pt>
                <c:pt idx="4">
                  <c:v>108.33146437607296</c:v>
                </c:pt>
                <c:pt idx="5">
                  <c:v>114.30265628247243</c:v>
                </c:pt>
                <c:pt idx="6">
                  <c:v>119.61292912838947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09-4BED-83FB-52C358E5A2D6}"/>
            </c:ext>
          </c:extLst>
        </c:ser>
        <c:ser>
          <c:idx val="2"/>
          <c:order val="2"/>
          <c:tx>
            <c:strRef>
              <c:f>'Laskenta tulopuoli 130'!$W$78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130'!$X$78:$X$82</c:f>
              <c:numCache>
                <c:formatCode>0.0</c:formatCode>
                <c:ptCount val="5"/>
                <c:pt idx="0">
                  <c:v>81.198846939796766</c:v>
                </c:pt>
                <c:pt idx="1">
                  <c:v>70.254539314096192</c:v>
                </c:pt>
                <c:pt idx="2">
                  <c:v>52.851142891263699</c:v>
                </c:pt>
                <c:pt idx="3">
                  <c:v>35.427885488417679</c:v>
                </c:pt>
                <c:pt idx="4">
                  <c:v>24.980850337281851</c:v>
                </c:pt>
              </c:numCache>
            </c:numRef>
          </c:xVal>
          <c:yVal>
            <c:numRef>
              <c:f>'Laskenta tulopuoli 130'!$Y$78:$Y$82</c:f>
              <c:numCache>
                <c:formatCode>0.0</c:formatCode>
                <c:ptCount val="5"/>
                <c:pt idx="0">
                  <c:v>53.948619317926948</c:v>
                </c:pt>
                <c:pt idx="1">
                  <c:v>48.762386933316016</c:v>
                </c:pt>
                <c:pt idx="2">
                  <c:v>40.17479588942841</c:v>
                </c:pt>
                <c:pt idx="3">
                  <c:v>32.654563666299268</c:v>
                </c:pt>
                <c:pt idx="4">
                  <c:v>28.243687599468238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09-4BED-83FB-52C358E5A2D6}"/>
            </c:ext>
          </c:extLst>
        </c:ser>
        <c:ser>
          <c:idx val="3"/>
          <c:order val="3"/>
          <c:tx>
            <c:strRef>
              <c:f>'Laskenta tulopuoli 130'!$W$86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130'!$X$86:$X$89</c:f>
              <c:numCache>
                <c:formatCode>0.0</c:formatCode>
                <c:ptCount val="4"/>
                <c:pt idx="0">
                  <c:v>11.711435293612686</c:v>
                </c:pt>
                <c:pt idx="1">
                  <c:v>27.818556286951857</c:v>
                </c:pt>
                <c:pt idx="2">
                  <c:v>36.046560556264176</c:v>
                </c:pt>
                <c:pt idx="3">
                  <c:v>46.471423023508507</c:v>
                </c:pt>
              </c:numCache>
            </c:numRef>
          </c:xVal>
          <c:yVal>
            <c:numRef>
              <c:f>'Laskenta tulopuoli 130'!$Y$86:$Y$89</c:f>
              <c:numCache>
                <c:formatCode>0.0</c:formatCode>
                <c:ptCount val="4"/>
                <c:pt idx="0">
                  <c:v>10.725288918422793</c:v>
                </c:pt>
                <c:pt idx="1">
                  <c:v>13.699672910599288</c:v>
                </c:pt>
                <c:pt idx="2">
                  <c:v>15.230560172038357</c:v>
                </c:pt>
                <c:pt idx="3">
                  <c:v>17.476266161553145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109-4BED-83FB-52C358E5A2D6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0249005732555573"/>
                  <c:y val="0.294122636635546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130'!$AC$34:$AC$38</c:f>
              <c:numCache>
                <c:formatCode>0.0</c:formatCode>
                <c:ptCount val="5"/>
                <c:pt idx="0">
                  <c:v>23.431877243782353</c:v>
                </c:pt>
                <c:pt idx="1">
                  <c:v>20.763064176227772</c:v>
                </c:pt>
                <c:pt idx="2">
                  <c:v>16.171491475128441</c:v>
                </c:pt>
                <c:pt idx="3">
                  <c:v>10.269018442301528</c:v>
                </c:pt>
                <c:pt idx="4">
                  <c:v>23.650319550646643</c:v>
                </c:pt>
              </c:numCache>
            </c:numRef>
          </c:xVal>
          <c:yVal>
            <c:numRef>
              <c:f>'Laskenta tulopuoli 130'!$AE$34:$AE$38</c:f>
              <c:numCache>
                <c:formatCode>0.0</c:formatCode>
                <c:ptCount val="5"/>
                <c:pt idx="0">
                  <c:v>71.699793300536356</c:v>
                </c:pt>
                <c:pt idx="1">
                  <c:v>49.011269348021692</c:v>
                </c:pt>
                <c:pt idx="2">
                  <c:v>24.71621321078652</c:v>
                </c:pt>
                <c:pt idx="3">
                  <c:v>10.487235523914437</c:v>
                </c:pt>
                <c:pt idx="4">
                  <c:v>72.574290945862842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109-4BED-83FB-52C358E5A2D6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130'!$W$13</c:f>
              <c:numCache>
                <c:formatCode>0.0</c:formatCode>
                <c:ptCount val="1"/>
                <c:pt idx="0">
                  <c:v>10.476141320035765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109-4BED-83FB-52C358E5A2D6}"/>
            </c:ext>
          </c:extLst>
        </c:ser>
        <c:ser>
          <c:idx val="6"/>
          <c:order val="6"/>
          <c:tx>
            <c:strRef>
              <c:f>'Laskenta tulopuoli 130'!$W$92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130'!$X$92:$X$97</c:f>
              <c:numCache>
                <c:formatCode>0.0</c:formatCode>
                <c:ptCount val="6"/>
                <c:pt idx="0">
                  <c:v>141.10404124096343</c:v>
                </c:pt>
                <c:pt idx="1">
                  <c:v>124.94903554906834</c:v>
                </c:pt>
                <c:pt idx="2">
                  <c:v>106.62217899469141</c:v>
                </c:pt>
                <c:pt idx="3">
                  <c:v>64.419920557585854</c:v>
                </c:pt>
                <c:pt idx="4">
                  <c:v>56.229712184516153</c:v>
                </c:pt>
                <c:pt idx="5">
                  <c:v>83.611180354954868</c:v>
                </c:pt>
              </c:numCache>
            </c:numRef>
          </c:xVal>
          <c:yVal>
            <c:numRef>
              <c:f>'Laskenta tulopuoli 130'!$Y$92:$Y$97</c:f>
              <c:numCache>
                <c:formatCode>0.0</c:formatCode>
                <c:ptCount val="6"/>
                <c:pt idx="0">
                  <c:v>167.93655444929746</c:v>
                </c:pt>
                <c:pt idx="1">
                  <c:v>151.20163489695867</c:v>
                </c:pt>
                <c:pt idx="2">
                  <c:v>133.50891905510676</c:v>
                </c:pt>
                <c:pt idx="3">
                  <c:v>99.092044063706723</c:v>
                </c:pt>
                <c:pt idx="4">
                  <c:v>93.114830247782109</c:v>
                </c:pt>
                <c:pt idx="5">
                  <c:v>114.54522119951174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109-4BED-83FB-52C358E5A2D6}"/>
            </c:ext>
          </c:extLst>
        </c:ser>
        <c:ser>
          <c:idx val="7"/>
          <c:order val="7"/>
          <c:tx>
            <c:v>10V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130'!$X$59:$X$68</c:f>
              <c:numCache>
                <c:formatCode>0.0</c:formatCode>
                <c:ptCount val="10"/>
                <c:pt idx="0">
                  <c:v>126.54627249330899</c:v>
                </c:pt>
                <c:pt idx="1">
                  <c:v>124.17422218989299</c:v>
                </c:pt>
                <c:pt idx="2">
                  <c:v>119.51684900019518</c:v>
                </c:pt>
                <c:pt idx="3">
                  <c:v>115.07326296692654</c:v>
                </c:pt>
                <c:pt idx="4">
                  <c:v>110.37714302386942</c:v>
                </c:pt>
                <c:pt idx="5">
                  <c:v>103.29973361775856</c:v>
                </c:pt>
                <c:pt idx="6">
                  <c:v>92.00971203437571</c:v>
                </c:pt>
                <c:pt idx="7">
                  <c:v>79.647869425429306</c:v>
                </c:pt>
                <c:pt idx="8">
                  <c:v>68.418898324482583</c:v>
                </c:pt>
                <c:pt idx="9">
                  <c:v>52.880453885014383</c:v>
                </c:pt>
              </c:numCache>
            </c:numRef>
          </c:xVal>
          <c:yVal>
            <c:numRef>
              <c:f>'Laskenta tulopuoli 130'!$Y$59:$Y$68</c:f>
              <c:numCache>
                <c:formatCode>0.0</c:formatCode>
                <c:ptCount val="10"/>
                <c:pt idx="0">
                  <c:v>166.57546823070092</c:v>
                </c:pt>
                <c:pt idx="1">
                  <c:v>167.97619510885116</c:v>
                </c:pt>
                <c:pt idx="2">
                  <c:v>166.98982665915423</c:v>
                </c:pt>
                <c:pt idx="3">
                  <c:v>167.55901865645629</c:v>
                </c:pt>
                <c:pt idx="4">
                  <c:v>166.83068715224474</c:v>
                </c:pt>
                <c:pt idx="5">
                  <c:v>163.1785428035638</c:v>
                </c:pt>
                <c:pt idx="6">
                  <c:v>149.02892706748165</c:v>
                </c:pt>
                <c:pt idx="7">
                  <c:v>137.70061008294681</c:v>
                </c:pt>
                <c:pt idx="8">
                  <c:v>126.95007636248987</c:v>
                </c:pt>
                <c:pt idx="9">
                  <c:v>109.75920069451099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109-4BED-83FB-52C358E5A2D6}"/>
            </c:ext>
          </c:extLst>
        </c:ser>
        <c:ser>
          <c:idx val="8"/>
          <c:order val="8"/>
          <c:tx>
            <c:v>8V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130'!$D$64:$D$67</c:f>
              <c:numCache>
                <c:formatCode>0.0</c:formatCode>
                <c:ptCount val="4"/>
                <c:pt idx="0">
                  <c:v>108.61605915705071</c:v>
                </c:pt>
                <c:pt idx="1">
                  <c:v>98.281498327194029</c:v>
                </c:pt>
                <c:pt idx="2">
                  <c:v>84.237915047166098</c:v>
                </c:pt>
                <c:pt idx="3">
                  <c:v>68.226231139270695</c:v>
                </c:pt>
              </c:numCache>
            </c:numRef>
          </c:xVal>
          <c:yVal>
            <c:numRef>
              <c:f>'Laskenta tulopuoli 130'!$F$64:$F$67</c:f>
              <c:numCache>
                <c:formatCode>0.0</c:formatCode>
                <c:ptCount val="4"/>
                <c:pt idx="0">
                  <c:v>113.88364344629936</c:v>
                </c:pt>
                <c:pt idx="1">
                  <c:v>105.60183590543593</c:v>
                </c:pt>
                <c:pt idx="2">
                  <c:v>96.726317106350749</c:v>
                </c:pt>
                <c:pt idx="3">
                  <c:v>80.48587455606517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109-4BED-83FB-52C358E5A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130'!$AA$4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130'!$AB$6:$AB$12</c:f>
              <c:numCache>
                <c:formatCode>0.0</c:formatCode>
                <c:ptCount val="7"/>
                <c:pt idx="0">
                  <c:v>131.65147221131414</c:v>
                </c:pt>
                <c:pt idx="1">
                  <c:v>122.52946208046407</c:v>
                </c:pt>
                <c:pt idx="2">
                  <c:v>115.04274265297924</c:v>
                </c:pt>
                <c:pt idx="3">
                  <c:v>107.91088932436708</c:v>
                </c:pt>
                <c:pt idx="4">
                  <c:v>98.380674781731599</c:v>
                </c:pt>
                <c:pt idx="5">
                  <c:v>86.68396882006833</c:v>
                </c:pt>
                <c:pt idx="6">
                  <c:v>69.837702333332686</c:v>
                </c:pt>
              </c:numCache>
            </c:numRef>
          </c:xVal>
          <c:yVal>
            <c:numRef>
              <c:f>'Laskenta tulopuoli 130'!$AA$6:$AA$12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80-4584-B646-9A4FCAD07F0E}"/>
            </c:ext>
          </c:extLst>
        </c:ser>
        <c:ser>
          <c:idx val="1"/>
          <c:order val="1"/>
          <c:tx>
            <c:strRef>
              <c:f>'Laskenta tulopuoli 130'!$AC$4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130'!$AD$6:$AD$12</c:f>
              <c:numCache>
                <c:formatCode>0.0</c:formatCode>
                <c:ptCount val="7"/>
                <c:pt idx="0">
                  <c:v>116.85450849239542</c:v>
                </c:pt>
                <c:pt idx="1">
                  <c:v>112.30721540202725</c:v>
                </c:pt>
                <c:pt idx="2">
                  <c:v>104.21936943528442</c:v>
                </c:pt>
                <c:pt idx="3">
                  <c:v>95.329191153990706</c:v>
                </c:pt>
                <c:pt idx="4">
                  <c:v>91.487310242307103</c:v>
                </c:pt>
                <c:pt idx="5">
                  <c:v>87.444183357892655</c:v>
                </c:pt>
                <c:pt idx="6">
                  <c:v>51.732198585414771</c:v>
                </c:pt>
              </c:numCache>
            </c:numRef>
          </c:xVal>
          <c:yVal>
            <c:numRef>
              <c:f>'Laskenta tulopuoli 130'!$AC$6:$AC$12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80-4584-B646-9A4FCAD07F0E}"/>
            </c:ext>
          </c:extLst>
        </c:ser>
        <c:ser>
          <c:idx val="2"/>
          <c:order val="2"/>
          <c:tx>
            <c:strRef>
              <c:f>'Laskenta tulopuoli 130'!$AE$4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130'!$AF$6:$AF$11</c:f>
              <c:numCache>
                <c:formatCode>0.0</c:formatCode>
                <c:ptCount val="6"/>
                <c:pt idx="0">
                  <c:v>86.014925141186822</c:v>
                </c:pt>
                <c:pt idx="1">
                  <c:v>78.95043720955195</c:v>
                </c:pt>
                <c:pt idx="2">
                  <c:v>73.965772403943234</c:v>
                </c:pt>
                <c:pt idx="3">
                  <c:v>68.721115310129704</c:v>
                </c:pt>
                <c:pt idx="4">
                  <c:v>63.170968273780559</c:v>
                </c:pt>
                <c:pt idx="5">
                  <c:v>36.255180897120141</c:v>
                </c:pt>
              </c:numCache>
            </c:numRef>
          </c:xVal>
          <c:yVal>
            <c:numRef>
              <c:f>'Laskenta tulopuoli 130'!$AE$6:$AE$11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80-4584-B646-9A4FCAD07F0E}"/>
            </c:ext>
          </c:extLst>
        </c:ser>
        <c:ser>
          <c:idx val="3"/>
          <c:order val="3"/>
          <c:tx>
            <c:strRef>
              <c:f>'Laskenta tulopuoli 130'!$AG$4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130'!$AH$6:$AH$10</c:f>
              <c:numCache>
                <c:formatCode>0.0</c:formatCode>
                <c:ptCount val="5"/>
                <c:pt idx="0">
                  <c:v>49.481696828913591</c:v>
                </c:pt>
                <c:pt idx="1">
                  <c:v>45.39455871587581</c:v>
                </c:pt>
                <c:pt idx="2">
                  <c:v>43.286302856281061</c:v>
                </c:pt>
                <c:pt idx="3">
                  <c:v>41.131100017601455</c:v>
                </c:pt>
                <c:pt idx="4">
                  <c:v>21.698347502443017</c:v>
                </c:pt>
              </c:numCache>
            </c:numRef>
          </c:xVal>
          <c:yVal>
            <c:numRef>
              <c:f>'Laskenta tulopuoli 130'!$AG$6:$AG$10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80-4584-B646-9A4FCAD07F0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130'!$L$3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A80-4584-B646-9A4FCAD07F0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23.431877243782353</c:v>
                </c:pt>
                <c:pt idx="1">
                  <c:v>20.763064176227772</c:v>
                </c:pt>
                <c:pt idx="2">
                  <c:v>16.171491475128441</c:v>
                </c:pt>
                <c:pt idx="3">
                  <c:v>10.269018442301528</c:v>
                </c:pt>
              </c:numCache>
            </c:numRef>
          </c:xVal>
          <c:yVal>
            <c:numRef>
              <c:f>'Laskenta tulopuoli 130'!$AD$34:$AD$37</c:f>
              <c:numCache>
                <c:formatCode>0.0</c:formatCode>
                <c:ptCount val="4"/>
                <c:pt idx="0">
                  <c:v>464.7004218993111</c:v>
                </c:pt>
                <c:pt idx="1">
                  <c:v>364.87305459334152</c:v>
                </c:pt>
                <c:pt idx="2">
                  <c:v>221.33956502405022</c:v>
                </c:pt>
                <c:pt idx="3">
                  <c:v>89.251755585145659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A80-4584-B646-9A4FCAD07F0E}"/>
            </c:ext>
          </c:extLst>
        </c:ser>
        <c:ser>
          <c:idx val="6"/>
          <c:order val="6"/>
          <c:tx>
            <c:strRef>
              <c:f>'Laskenta tulopuoli 130'!$C$26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forward val="13"/>
            <c:dispRSqr val="0"/>
            <c:dispEq val="0"/>
          </c:trendline>
          <c:xVal>
            <c:numRef>
              <c:f>'Laskenta tulopuoli 130'!$P$24:$P$26</c:f>
              <c:numCache>
                <c:formatCode>General</c:formatCode>
                <c:ptCount val="3"/>
                <c:pt idx="0">
                  <c:v>60</c:v>
                </c:pt>
                <c:pt idx="1">
                  <c:v>90</c:v>
                </c:pt>
                <c:pt idx="2">
                  <c:v>120</c:v>
                </c:pt>
              </c:numCache>
            </c:numRef>
          </c:xVal>
          <c:yVal>
            <c:numRef>
              <c:f>'Laskenta tulopuoli 130'!$Q$24:$Q$26</c:f>
              <c:numCache>
                <c:formatCode>General</c:formatCode>
                <c:ptCount val="3"/>
                <c:pt idx="0">
                  <c:v>412.9606628462916</c:v>
                </c:pt>
                <c:pt idx="1">
                  <c:v>294.88862109012308</c:v>
                </c:pt>
                <c:pt idx="2">
                  <c:v>115.15577786811809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464-45BD-82D1-B01A348F1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-1.1771771771771772E-3"/>
                  <c:y val="0.214158383641521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130'!$D$59:$D$62</c:f>
              <c:numCache>
                <c:formatCode>0.0</c:formatCode>
                <c:ptCount val="4"/>
                <c:pt idx="0">
                  <c:v>142.33692589140077</c:v>
                </c:pt>
                <c:pt idx="1">
                  <c:v>135.55354520352333</c:v>
                </c:pt>
                <c:pt idx="2">
                  <c:v>120.87292567048598</c:v>
                </c:pt>
                <c:pt idx="3">
                  <c:v>99.354279744439367</c:v>
                </c:pt>
              </c:numCache>
            </c:numRef>
          </c:xVal>
          <c:yVal>
            <c:numRef>
              <c:f>'Laskenta poistopuoli 130'!$E$59:$E$62</c:f>
              <c:numCache>
                <c:formatCode>0.0</c:formatCode>
                <c:ptCount val="4"/>
                <c:pt idx="0">
                  <c:v>63.504792074772809</c:v>
                </c:pt>
                <c:pt idx="1">
                  <c:v>63.293976534273817</c:v>
                </c:pt>
                <c:pt idx="2">
                  <c:v>63.858494061413182</c:v>
                </c:pt>
                <c:pt idx="3">
                  <c:v>64.001811053093547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63-429A-ADC2-E63C304DCCDC}"/>
            </c:ext>
          </c:extLst>
        </c:ser>
        <c:ser>
          <c:idx val="1"/>
          <c:order val="1"/>
          <c:tx>
            <c:strRef>
              <c:f>'Laskenta poistopuoli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-1.9939939939939939E-2"/>
                  <c:y val="0.279999694583704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poistopuoli 130'!$E$64:$E$67</c:f>
              <c:numCache>
                <c:formatCode>0.0</c:formatCode>
                <c:ptCount val="4"/>
                <c:pt idx="0">
                  <c:v>60.755407441724529</c:v>
                </c:pt>
                <c:pt idx="1">
                  <c:v>59.863910817556906</c:v>
                </c:pt>
                <c:pt idx="2">
                  <c:v>59.500309027733529</c:v>
                </c:pt>
                <c:pt idx="3">
                  <c:v>59.437175303534943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63-429A-ADC2-E63C304DCCDC}"/>
            </c:ext>
          </c:extLst>
        </c:ser>
        <c:ser>
          <c:idx val="2"/>
          <c:order val="2"/>
          <c:tx>
            <c:strRef>
              <c:f>'Laskenta poistopuoli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1578898583622993"/>
                  <c:y val="0.230266707166140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130'!$D$69:$D$72</c:f>
              <c:numCache>
                <c:formatCode>0.0</c:formatCode>
                <c:ptCount val="4"/>
                <c:pt idx="0">
                  <c:v>93.509550571045949</c:v>
                </c:pt>
                <c:pt idx="1">
                  <c:v>84.603189103799437</c:v>
                </c:pt>
                <c:pt idx="2">
                  <c:v>73.637239543770193</c:v>
                </c:pt>
                <c:pt idx="3">
                  <c:v>62.440986792248914</c:v>
                </c:pt>
              </c:numCache>
            </c:numRef>
          </c:xVal>
          <c:yVal>
            <c:numRef>
              <c:f>'Laskenta poistopuoli 130'!$E$69:$E$72</c:f>
              <c:numCache>
                <c:formatCode>0.0</c:formatCode>
                <c:ptCount val="4"/>
                <c:pt idx="0">
                  <c:v>54.415504897675802</c:v>
                </c:pt>
                <c:pt idx="1">
                  <c:v>53.466522438874719</c:v>
                </c:pt>
                <c:pt idx="2">
                  <c:v>52.965459876340411</c:v>
                </c:pt>
                <c:pt idx="3">
                  <c:v>53.03990267809472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63-429A-ADC2-E63C304DCCDC}"/>
            </c:ext>
          </c:extLst>
        </c:ser>
        <c:ser>
          <c:idx val="3"/>
          <c:order val="3"/>
          <c:tx>
            <c:strRef>
              <c:f>'Laskenta poistopuoli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41774410631103542"/>
                  <c:y val="0.18949172286048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poistopuoli 130'!$E$74:$E$77</c:f>
              <c:numCache>
                <c:formatCode>0.0</c:formatCode>
                <c:ptCount val="4"/>
                <c:pt idx="0">
                  <c:v>45.027312949970536</c:v>
                </c:pt>
                <c:pt idx="1">
                  <c:v>45.390878440304824</c:v>
                </c:pt>
                <c:pt idx="2">
                  <c:v>44.940241651074359</c:v>
                </c:pt>
                <c:pt idx="3">
                  <c:v>44.609229142732467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763-429A-ADC2-E63C304DCCDC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63-429A-ADC2-E63C304DCCDC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763-429A-ADC2-E63C304DCCDC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8415521032843866"/>
                  <c:y val="-8.2353118025979957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18.634963492840118</c:v>
                </c:pt>
                <c:pt idx="1">
                  <c:v>18.499163848496991</c:v>
                </c:pt>
                <c:pt idx="2">
                  <c:v>13.988415531192842</c:v>
                </c:pt>
                <c:pt idx="3">
                  <c:v>9.3748400640852481</c:v>
                </c:pt>
              </c:numCache>
            </c:numRef>
          </c:xVal>
          <c:yVal>
            <c:numRef>
              <c:f>'Laskenta poistopuoli 130'!$AF$34:$AF$37</c:f>
              <c:numCache>
                <c:formatCode>0.0</c:formatCode>
                <c:ptCount val="4"/>
                <c:pt idx="0">
                  <c:v>64.313601679932304</c:v>
                </c:pt>
                <c:pt idx="1">
                  <c:v>68.893445796700803</c:v>
                </c:pt>
                <c:pt idx="2">
                  <c:v>61.187514173591907</c:v>
                </c:pt>
                <c:pt idx="3">
                  <c:v>38.062854326063324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763-429A-ADC2-E63C304DCCDC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130'!$W$5</c:f>
              <c:numCache>
                <c:formatCode>0.0</c:formatCode>
                <c:ptCount val="1"/>
                <c:pt idx="0">
                  <c:v>41.55210182060717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763-429A-ADC2-E63C304DC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130'!$N$59:$N$62</c:f>
              <c:numCache>
                <c:formatCode>0.0</c:formatCode>
                <c:ptCount val="4"/>
                <c:pt idx="0">
                  <c:v>142.31089483268275</c:v>
                </c:pt>
                <c:pt idx="1">
                  <c:v>135.75297833011399</c:v>
                </c:pt>
                <c:pt idx="2">
                  <c:v>121.88498248796257</c:v>
                </c:pt>
                <c:pt idx="3">
                  <c:v>98.845904208709058</c:v>
                </c:pt>
              </c:numCache>
            </c:numRef>
          </c:xVal>
          <c:yVal>
            <c:numRef>
              <c:f>'Laskenta poistopuoli 130'!$O$59:$O$62</c:f>
              <c:numCache>
                <c:formatCode>0.0</c:formatCode>
                <c:ptCount val="4"/>
                <c:pt idx="0">
                  <c:v>76.38069339977983</c:v>
                </c:pt>
                <c:pt idx="1">
                  <c:v>75.606125966760828</c:v>
                </c:pt>
                <c:pt idx="2">
                  <c:v>75.27508361363077</c:v>
                </c:pt>
                <c:pt idx="3">
                  <c:v>75.51677763329937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8C-42A9-BBE1-B42D224F214A}"/>
            </c:ext>
          </c:extLst>
        </c:ser>
        <c:ser>
          <c:idx val="1"/>
          <c:order val="1"/>
          <c:tx>
            <c:strRef>
              <c:f>'Laskenta poistopuoli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130'!$N$64:$N$67</c:f>
              <c:numCache>
                <c:formatCode>0.0</c:formatCode>
                <c:ptCount val="4"/>
                <c:pt idx="0">
                  <c:v>124.39645653823712</c:v>
                </c:pt>
                <c:pt idx="1">
                  <c:v>115.27995865272432</c:v>
                </c:pt>
                <c:pt idx="2">
                  <c:v>101.91624124775765</c:v>
                </c:pt>
                <c:pt idx="3">
                  <c:v>83.81228756595587</c:v>
                </c:pt>
              </c:numCache>
            </c:numRef>
          </c:xVal>
          <c:yVal>
            <c:numRef>
              <c:f>'Laskenta poistopuoli 130'!$O$64:$O$67</c:f>
              <c:numCache>
                <c:formatCode>0.0</c:formatCode>
                <c:ptCount val="4"/>
                <c:pt idx="0">
                  <c:v>73.274158998284477</c:v>
                </c:pt>
                <c:pt idx="1">
                  <c:v>72.04948224384114</c:v>
                </c:pt>
                <c:pt idx="2">
                  <c:v>71.079127309114256</c:v>
                </c:pt>
                <c:pt idx="3">
                  <c:v>71.200535622630397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8C-42A9-BBE1-B42D224F214A}"/>
            </c:ext>
          </c:extLst>
        </c:ser>
        <c:ser>
          <c:idx val="2"/>
          <c:order val="2"/>
          <c:tx>
            <c:strRef>
              <c:f>'Laskenta poistopuoli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poistopuoli 130'!$O$69:$O$72</c:f>
              <c:numCache>
                <c:formatCode>0.0</c:formatCode>
                <c:ptCount val="4"/>
                <c:pt idx="0">
                  <c:v>66.574724987435175</c:v>
                </c:pt>
                <c:pt idx="1">
                  <c:v>65.900228657656129</c:v>
                </c:pt>
                <c:pt idx="2">
                  <c:v>64.745187392101812</c:v>
                </c:pt>
                <c:pt idx="3">
                  <c:v>64.778560386905198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8C-42A9-BBE1-B42D224F214A}"/>
            </c:ext>
          </c:extLst>
        </c:ser>
        <c:ser>
          <c:idx val="3"/>
          <c:order val="3"/>
          <c:tx>
            <c:strRef>
              <c:f>'Laskenta poistopuoli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130'!$N$74:$N$77</c:f>
              <c:numCache>
                <c:formatCode>0.0</c:formatCode>
                <c:ptCount val="4"/>
                <c:pt idx="0">
                  <c:v>58.419544531154315</c:v>
                </c:pt>
                <c:pt idx="1">
                  <c:v>52.196889475840962</c:v>
                </c:pt>
                <c:pt idx="2">
                  <c:v>45.892068901589042</c:v>
                </c:pt>
                <c:pt idx="3">
                  <c:v>38.225352061782701</c:v>
                </c:pt>
              </c:numCache>
            </c:numRef>
          </c:xVal>
          <c:yVal>
            <c:numRef>
              <c:f>'Laskenta poistopuoli 130'!$O$74:$O$77</c:f>
              <c:numCache>
                <c:formatCode>0.0</c:formatCode>
                <c:ptCount val="4"/>
                <c:pt idx="0">
                  <c:v>57.040901964604288</c:v>
                </c:pt>
                <c:pt idx="1">
                  <c:v>56.496554636920223</c:v>
                </c:pt>
                <c:pt idx="2">
                  <c:v>55.851746083342412</c:v>
                </c:pt>
                <c:pt idx="3">
                  <c:v>55.770251275797165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88C-42A9-BBE1-B42D224F214A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18.634963492840118</c:v>
                </c:pt>
                <c:pt idx="1">
                  <c:v>18.499163848496991</c:v>
                </c:pt>
                <c:pt idx="2">
                  <c:v>13.988415531192842</c:v>
                </c:pt>
                <c:pt idx="3">
                  <c:v>9.3748400640852481</c:v>
                </c:pt>
              </c:numCache>
            </c:numRef>
          </c:xVal>
          <c:yVal>
            <c:numRef>
              <c:f>'Laskenta poistopuoli 130'!$AG$34:$AG$37</c:f>
              <c:numCache>
                <c:formatCode>0.0</c:formatCode>
                <c:ptCount val="4"/>
                <c:pt idx="0">
                  <c:v>89.843876460133714</c:v>
                </c:pt>
                <c:pt idx="1">
                  <c:v>85.784294027871582</c:v>
                </c:pt>
                <c:pt idx="2">
                  <c:v>69.055657784981463</c:v>
                </c:pt>
                <c:pt idx="3">
                  <c:v>58.308511580935303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88C-42A9-BBE1-B42D224F214A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130'!$W$6</c:f>
              <c:numCache>
                <c:formatCode>0.0</c:formatCode>
                <c:ptCount val="1"/>
                <c:pt idx="0">
                  <c:v>57.878098091357003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88C-42A9-BBE1-B42D224F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130'!$AM$35:$AM$38</c:f>
              <c:numCache>
                <c:formatCode>0.0</c:formatCode>
                <c:ptCount val="4"/>
                <c:pt idx="0">
                  <c:v>18.968571569297918</c:v>
                </c:pt>
                <c:pt idx="1">
                  <c:v>18.499163848496991</c:v>
                </c:pt>
                <c:pt idx="2">
                  <c:v>13.988415531192842</c:v>
                </c:pt>
                <c:pt idx="3">
                  <c:v>9.3748400640852481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F6-4C33-A801-29372F903CD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7654053814097757E-2"/>
                  <c:y val="0.164188156777800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130'!$AM$34:$AM$35</c:f>
              <c:numCache>
                <c:formatCode>0.0</c:formatCode>
                <c:ptCount val="2"/>
                <c:pt idx="0">
                  <c:v>18.634963492840118</c:v>
                </c:pt>
                <c:pt idx="1">
                  <c:v>18.968571569297918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F6-4C33-A801-29372F903CD8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130'!$W$9</c:f>
              <c:numCache>
                <c:formatCode>0.0</c:formatCode>
                <c:ptCount val="1"/>
                <c:pt idx="0">
                  <c:v>4.0101274764904495</c:v>
                </c:pt>
              </c:numCache>
            </c:numRef>
          </c:xVal>
          <c:yVal>
            <c:numRef>
              <c:f>'Laskenta poistopuoli 130'!$J$3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9F6-4C33-A801-29372F90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9.6325788086510059E-2"/>
                  <c:y val="-3.99871039742079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130'!$X$63:$X$68</c:f>
              <c:numCache>
                <c:formatCode>0.0</c:formatCode>
                <c:ptCount val="6"/>
                <c:pt idx="0">
                  <c:v>126.45313821471686</c:v>
                </c:pt>
                <c:pt idx="1">
                  <c:v>121.46818656102965</c:v>
                </c:pt>
                <c:pt idx="2">
                  <c:v>113.97454094383536</c:v>
                </c:pt>
                <c:pt idx="3">
                  <c:v>98.894194031361593</c:v>
                </c:pt>
                <c:pt idx="4">
                  <c:v>82.599850212683407</c:v>
                </c:pt>
                <c:pt idx="5">
                  <c:v>59.628845690569321</c:v>
                </c:pt>
              </c:numCache>
            </c:numRef>
          </c:xVal>
          <c:yVal>
            <c:numRef>
              <c:f>'Laskenta poistopuoli 130'!$Y$63:$Y$68</c:f>
              <c:numCache>
                <c:formatCode>0.0</c:formatCode>
                <c:ptCount val="6"/>
                <c:pt idx="0">
                  <c:v>170.40340335914607</c:v>
                </c:pt>
                <c:pt idx="1">
                  <c:v>169.75780539499809</c:v>
                </c:pt>
                <c:pt idx="2">
                  <c:v>167.39901054092508</c:v>
                </c:pt>
                <c:pt idx="3">
                  <c:v>151.94567006146681</c:v>
                </c:pt>
                <c:pt idx="4">
                  <c:v>138.15078073532626</c:v>
                </c:pt>
                <c:pt idx="5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DB-49B0-8662-73BCC978F1CD}"/>
            </c:ext>
          </c:extLst>
        </c:ser>
        <c:ser>
          <c:idx val="1"/>
          <c:order val="1"/>
          <c:tx>
            <c:strRef>
              <c:f>'Laskenta poistopuoli 130'!$W$70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130'!$X$70:$X$76</c:f>
              <c:numCache>
                <c:formatCode>0.0</c:formatCode>
                <c:ptCount val="7"/>
                <c:pt idx="0">
                  <c:v>48.113768648848222</c:v>
                </c:pt>
                <c:pt idx="1">
                  <c:v>69.725952249164479</c:v>
                </c:pt>
                <c:pt idx="2">
                  <c:v>94.145823061534287</c:v>
                </c:pt>
                <c:pt idx="3">
                  <c:v>104.21457877159305</c:v>
                </c:pt>
                <c:pt idx="4">
                  <c:v>112.57223888931715</c:v>
                </c:pt>
                <c:pt idx="5">
                  <c:v>121.08321064793208</c:v>
                </c:pt>
                <c:pt idx="6">
                  <c:v>128.25979843355867</c:v>
                </c:pt>
              </c:numCache>
            </c:numRef>
          </c:xVal>
          <c:yVal>
            <c:numRef>
              <c:f>'Laskenta poistopuoli 130'!$Y$70:$Y$76</c:f>
              <c:numCache>
                <c:formatCode>0.0</c:formatCode>
                <c:ptCount val="7"/>
                <c:pt idx="0">
                  <c:v>66.989400705630914</c:v>
                </c:pt>
                <c:pt idx="1">
                  <c:v>81.624373459526382</c:v>
                </c:pt>
                <c:pt idx="2">
                  <c:v>99.999477318025953</c:v>
                </c:pt>
                <c:pt idx="3">
                  <c:v>103.48805129721504</c:v>
                </c:pt>
                <c:pt idx="4">
                  <c:v>108.26752691162672</c:v>
                </c:pt>
                <c:pt idx="5">
                  <c:v>114.19640879671721</c:v>
                </c:pt>
                <c:pt idx="6">
                  <c:v>120.0773159902373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DB-49B0-8662-73BCC978F1CD}"/>
            </c:ext>
          </c:extLst>
        </c:ser>
        <c:ser>
          <c:idx val="2"/>
          <c:order val="2"/>
          <c:tx>
            <c:strRef>
              <c:f>'Laskenta poistopuoli 130'!$W$78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130'!$X$78:$X$82</c:f>
              <c:numCache>
                <c:formatCode>0.0</c:formatCode>
                <c:ptCount val="5"/>
                <c:pt idx="0">
                  <c:v>95.288588606918864</c:v>
                </c:pt>
                <c:pt idx="1">
                  <c:v>84.236237037741418</c:v>
                </c:pt>
                <c:pt idx="2">
                  <c:v>67.284582916698795</c:v>
                </c:pt>
                <c:pt idx="3">
                  <c:v>38.781474840211665</c:v>
                </c:pt>
                <c:pt idx="4">
                  <c:v>28.199869006956831</c:v>
                </c:pt>
              </c:numCache>
            </c:numRef>
          </c:xVal>
          <c:yVal>
            <c:numRef>
              <c:f>'Laskenta poistopuoli 130'!$Y$78:$Y$82</c:f>
              <c:numCache>
                <c:formatCode>0.0</c:formatCode>
                <c:ptCount val="5"/>
                <c:pt idx="0">
                  <c:v>55.926419615573145</c:v>
                </c:pt>
                <c:pt idx="1">
                  <c:v>50.599349202971588</c:v>
                </c:pt>
                <c:pt idx="2">
                  <c:v>43.796688567953638</c:v>
                </c:pt>
                <c:pt idx="3">
                  <c:v>32.110345134320482</c:v>
                </c:pt>
                <c:pt idx="4">
                  <c:v>28.517985540807324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DB-49B0-8662-73BCC978F1CD}"/>
            </c:ext>
          </c:extLst>
        </c:ser>
        <c:ser>
          <c:idx val="3"/>
          <c:order val="3"/>
          <c:tx>
            <c:strRef>
              <c:f>'Laskenta poistopuoli 130'!$W$86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130'!$X$86:$X$89</c:f>
              <c:numCache>
                <c:formatCode>0.0</c:formatCode>
                <c:ptCount val="4"/>
                <c:pt idx="0">
                  <c:v>18.229681878656653</c:v>
                </c:pt>
                <c:pt idx="1">
                  <c:v>38.356644506032225</c:v>
                </c:pt>
                <c:pt idx="2">
                  <c:v>50.652024686808119</c:v>
                </c:pt>
                <c:pt idx="3">
                  <c:v>58.713396920140099</c:v>
                </c:pt>
              </c:numCache>
            </c:numRef>
          </c:xVal>
          <c:yVal>
            <c:numRef>
              <c:f>'Laskenta poistopuoli 130'!$Y$86:$Y$89</c:f>
              <c:numCache>
                <c:formatCode>0.0</c:formatCode>
                <c:ptCount val="4"/>
                <c:pt idx="0">
                  <c:v>11.829330691825657</c:v>
                </c:pt>
                <c:pt idx="1">
                  <c:v>14.906650602251696</c:v>
                </c:pt>
                <c:pt idx="2">
                  <c:v>17.447344781188477</c:v>
                </c:pt>
                <c:pt idx="3">
                  <c:v>18.86532265222845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4DB-49B0-8662-73BCC978F1C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130'!$AC$34:$AC$38</c:f>
              <c:numCache>
                <c:formatCode>0.0</c:formatCode>
                <c:ptCount val="5"/>
                <c:pt idx="0">
                  <c:v>18.634963492840118</c:v>
                </c:pt>
                <c:pt idx="1">
                  <c:v>18.499163848496991</c:v>
                </c:pt>
                <c:pt idx="2">
                  <c:v>13.988415531192842</c:v>
                </c:pt>
                <c:pt idx="3">
                  <c:v>9.3748400640852481</c:v>
                </c:pt>
                <c:pt idx="4">
                  <c:v>18.968571569297918</c:v>
                </c:pt>
              </c:numCache>
            </c:numRef>
          </c:xVal>
          <c:yVal>
            <c:numRef>
              <c:f>'Laskenta poistopuoli 130'!$AE$34:$AE$38</c:f>
              <c:numCache>
                <c:formatCode>0.0</c:formatCode>
                <c:ptCount val="5"/>
                <c:pt idx="0">
                  <c:v>70.154931206864731</c:v>
                </c:pt>
                <c:pt idx="1">
                  <c:v>45.594456409541138</c:v>
                </c:pt>
                <c:pt idx="2">
                  <c:v>23.497156585053748</c:v>
                </c:pt>
                <c:pt idx="3">
                  <c:v>10.626131292627683</c:v>
                </c:pt>
                <c:pt idx="4">
                  <c:v>66.177200324101648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4DB-49B0-8662-73BCC978F1CD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130'!$W$13</c:f>
              <c:numCache>
                <c:formatCode>0.0</c:formatCode>
                <c:ptCount val="1"/>
                <c:pt idx="0">
                  <c:v>10.866355056765862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4DB-49B0-8662-73BCC978F1CD}"/>
            </c:ext>
          </c:extLst>
        </c:ser>
        <c:ser>
          <c:idx val="6"/>
          <c:order val="6"/>
          <c:tx>
            <c:strRef>
              <c:f>'Laskenta poistopuoli 130'!$W$92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130'!$X$92:$X$96</c:f>
              <c:numCache>
                <c:formatCode>0.0</c:formatCode>
                <c:ptCount val="5"/>
                <c:pt idx="0">
                  <c:v>120.12416008604148</c:v>
                </c:pt>
                <c:pt idx="1">
                  <c:v>104.28237943386655</c:v>
                </c:pt>
                <c:pt idx="2">
                  <c:v>70.69056308182347</c:v>
                </c:pt>
                <c:pt idx="3">
                  <c:v>49.564301038903714</c:v>
                </c:pt>
                <c:pt idx="4">
                  <c:v>88.638894657469507</c:v>
                </c:pt>
              </c:numCache>
            </c:numRef>
          </c:xVal>
          <c:yVal>
            <c:numRef>
              <c:f>'Laskenta poistopuoli 130'!$Y$92:$Y$96</c:f>
              <c:numCache>
                <c:formatCode>0.0</c:formatCode>
                <c:ptCount val="5"/>
                <c:pt idx="0">
                  <c:v>158.71858363035491</c:v>
                </c:pt>
                <c:pt idx="1">
                  <c:v>143.40845802475638</c:v>
                </c:pt>
                <c:pt idx="2">
                  <c:v>111.60794943452888</c:v>
                </c:pt>
                <c:pt idx="3">
                  <c:v>91.87637660025311</c:v>
                </c:pt>
                <c:pt idx="4">
                  <c:v>126.91451442541967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4DB-49B0-8662-73BCC978F1CD}"/>
            </c:ext>
          </c:extLst>
        </c:ser>
        <c:ser>
          <c:idx val="7"/>
          <c:order val="7"/>
          <c:tx>
            <c:strRef>
              <c:f>'Laskenta poistopuoli 130'!$W$59</c:f>
              <c:strCache>
                <c:ptCount val="1"/>
                <c:pt idx="0">
                  <c:v>10V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130'!$X$59:$X$68</c:f>
              <c:numCache>
                <c:formatCode>0.0</c:formatCode>
                <c:ptCount val="10"/>
                <c:pt idx="0">
                  <c:v>145.93280562131633</c:v>
                </c:pt>
                <c:pt idx="1">
                  <c:v>141.05384772765888</c:v>
                </c:pt>
                <c:pt idx="2">
                  <c:v>137.14938858370206</c:v>
                </c:pt>
                <c:pt idx="3">
                  <c:v>131.55494143634706</c:v>
                </c:pt>
                <c:pt idx="4">
                  <c:v>126.45313821471686</c:v>
                </c:pt>
                <c:pt idx="5">
                  <c:v>121.46818656102965</c:v>
                </c:pt>
                <c:pt idx="6">
                  <c:v>113.97454094383536</c:v>
                </c:pt>
                <c:pt idx="7">
                  <c:v>98.894194031361593</c:v>
                </c:pt>
                <c:pt idx="8">
                  <c:v>82.599850212683407</c:v>
                </c:pt>
                <c:pt idx="9">
                  <c:v>59.628845690569321</c:v>
                </c:pt>
              </c:numCache>
            </c:numRef>
          </c:xVal>
          <c:yVal>
            <c:numRef>
              <c:f>'Laskenta poistopuoli 130'!$Y$59:$Y$68</c:f>
              <c:numCache>
                <c:formatCode>0.0</c:formatCode>
                <c:ptCount val="10"/>
                <c:pt idx="0">
                  <c:v>171.33659884692841</c:v>
                </c:pt>
                <c:pt idx="1">
                  <c:v>171.20476167067767</c:v>
                </c:pt>
                <c:pt idx="2">
                  <c:v>170.53321022331545</c:v>
                </c:pt>
                <c:pt idx="3">
                  <c:v>170.80421961235893</c:v>
                </c:pt>
                <c:pt idx="4">
                  <c:v>170.40340335914607</c:v>
                </c:pt>
                <c:pt idx="5">
                  <c:v>169.75780539499809</c:v>
                </c:pt>
                <c:pt idx="6">
                  <c:v>167.39901054092508</c:v>
                </c:pt>
                <c:pt idx="7">
                  <c:v>151.94567006146681</c:v>
                </c:pt>
                <c:pt idx="8">
                  <c:v>138.15078073532626</c:v>
                </c:pt>
                <c:pt idx="9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4DB-49B0-8662-73BCC978F1CD}"/>
            </c:ext>
          </c:extLst>
        </c:ser>
        <c:ser>
          <c:idx val="8"/>
          <c:order val="8"/>
          <c:tx>
            <c:v>6V ääni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poistopuoli 130'!$P$69:$P$72</c:f>
              <c:numCache>
                <c:formatCode>0.0</c:formatCode>
                <c:ptCount val="4"/>
                <c:pt idx="0">
                  <c:v>51.840740552727752</c:v>
                </c:pt>
                <c:pt idx="1">
                  <c:v>49.063899227254822</c:v>
                </c:pt>
                <c:pt idx="2">
                  <c:v>44.520187546631931</c:v>
                </c:pt>
                <c:pt idx="3">
                  <c:v>37.896921857869309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4DB-49B0-8662-73BCC978F1CD}"/>
            </c:ext>
          </c:extLst>
        </c:ser>
        <c:ser>
          <c:idx val="9"/>
          <c:order val="9"/>
          <c:tx>
            <c:v>4 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poistopuoli 130'!$F$74:$F$77</c:f>
              <c:numCache>
                <c:formatCode>0.0</c:formatCode>
                <c:ptCount val="4"/>
                <c:pt idx="0">
                  <c:v>18.288711059751751</c:v>
                </c:pt>
                <c:pt idx="1">
                  <c:v>17.173412186741277</c:v>
                </c:pt>
                <c:pt idx="2">
                  <c:v>15.976519793234619</c:v>
                </c:pt>
                <c:pt idx="3">
                  <c:v>14.286412768134158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4DB-49B0-8662-73BCC978F1CD}"/>
            </c:ext>
          </c:extLst>
        </c:ser>
        <c:ser>
          <c:idx val="10"/>
          <c:order val="10"/>
          <c:tx>
            <c:v>8V äänimiitaus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poistopuoli 130'!$F$64:$F$67</c:f>
              <c:numCache>
                <c:formatCode>0.0</c:formatCode>
                <c:ptCount val="4"/>
                <c:pt idx="0">
                  <c:v>113.60317789708478</c:v>
                </c:pt>
                <c:pt idx="1">
                  <c:v>105.55857205937565</c:v>
                </c:pt>
                <c:pt idx="2">
                  <c:v>97.976349714782643</c:v>
                </c:pt>
                <c:pt idx="3">
                  <c:v>86.958592380060594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4DB-49B0-8662-73BCC978F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130'!$AA$4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4428258967629047E-2"/>
                  <c:y val="-0.744498972134675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130'!$AB$6:$AB$12</c:f>
              <c:numCache>
                <c:formatCode>0.0</c:formatCode>
                <c:ptCount val="7"/>
                <c:pt idx="0">
                  <c:v>149.37198438834608</c:v>
                </c:pt>
                <c:pt idx="1">
                  <c:v>140.44019694340693</c:v>
                </c:pt>
                <c:pt idx="2">
                  <c:v>133.12312176781919</c:v>
                </c:pt>
                <c:pt idx="3">
                  <c:v>126.16844933408204</c:v>
                </c:pt>
                <c:pt idx="4">
                  <c:v>116.90930697190107</c:v>
                </c:pt>
                <c:pt idx="5">
                  <c:v>105.63452662019705</c:v>
                </c:pt>
                <c:pt idx="6">
                  <c:v>89.816310441248532</c:v>
                </c:pt>
              </c:numCache>
            </c:numRef>
          </c:xVal>
          <c:yVal>
            <c:numRef>
              <c:f>'Laskenta poistopuoli 130'!$AA$6:$AA$12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5C-4C7E-85F1-2250B892718D}"/>
            </c:ext>
          </c:extLst>
        </c:ser>
        <c:ser>
          <c:idx val="1"/>
          <c:order val="1"/>
          <c:tx>
            <c:strRef>
              <c:f>'Laskenta poistopuoli 130'!$AC$4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130'!$AD$6:$AD$12</c:f>
              <c:numCache>
                <c:formatCode>0.0</c:formatCode>
                <c:ptCount val="7"/>
                <c:pt idx="0">
                  <c:v>133.17332240375293</c:v>
                </c:pt>
                <c:pt idx="1">
                  <c:v>128.50888008908166</c:v>
                </c:pt>
                <c:pt idx="2">
                  <c:v>120.21047153971138</c:v>
                </c:pt>
                <c:pt idx="3">
                  <c:v>111.08472606866653</c:v>
                </c:pt>
                <c:pt idx="4">
                  <c:v>107.1393496264217</c:v>
                </c:pt>
                <c:pt idx="5">
                  <c:v>102.9859461818326</c:v>
                </c:pt>
                <c:pt idx="6">
                  <c:v>64.002142123508037</c:v>
                </c:pt>
              </c:numCache>
            </c:numRef>
          </c:xVal>
          <c:yVal>
            <c:numRef>
              <c:f>'Laskenta poistopuoli 130'!$AC$6:$AC$12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5C-4C7E-85F1-2250B892718D}"/>
            </c:ext>
          </c:extLst>
        </c:ser>
        <c:ser>
          <c:idx val="2"/>
          <c:order val="2"/>
          <c:tx>
            <c:strRef>
              <c:f>'Laskenta poistopuoli 130'!$AE$4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130'!$AF$6:$AF$11</c:f>
              <c:numCache>
                <c:formatCode>0.0</c:formatCode>
                <c:ptCount val="6"/>
                <c:pt idx="0">
                  <c:v>99.999058386718588</c:v>
                </c:pt>
                <c:pt idx="1">
                  <c:v>94.108238875868778</c:v>
                </c:pt>
                <c:pt idx="2">
                  <c:v>89.069837468278507</c:v>
                </c:pt>
                <c:pt idx="3">
                  <c:v>83.675510586883604</c:v>
                </c:pt>
                <c:pt idx="4">
                  <c:v>77.837118713065038</c:v>
                </c:pt>
                <c:pt idx="5">
                  <c:v>42.180912652297032</c:v>
                </c:pt>
              </c:numCache>
            </c:numRef>
          </c:xVal>
          <c:yVal>
            <c:numRef>
              <c:f>'Laskenta poistopuoli 130'!$AE$6:$AE$11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5C-4C7E-85F1-2250B892718D}"/>
            </c:ext>
          </c:extLst>
        </c:ser>
        <c:ser>
          <c:idx val="3"/>
          <c:order val="3"/>
          <c:tx>
            <c:strRef>
              <c:f>'Laskenta poistopuoli 130'!$AG$4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130'!$AH$6:$AH$10</c:f>
              <c:numCache>
                <c:formatCode>0.0</c:formatCode>
                <c:ptCount val="5"/>
                <c:pt idx="0">
                  <c:v>61.555446560450939</c:v>
                </c:pt>
                <c:pt idx="1">
                  <c:v>57.822327947272591</c:v>
                </c:pt>
                <c:pt idx="2">
                  <c:v>53.830589598087514</c:v>
                </c:pt>
                <c:pt idx="3">
                  <c:v>51.71915361429582</c:v>
                </c:pt>
                <c:pt idx="4">
                  <c:v>25.847865510561171</c:v>
                </c:pt>
              </c:numCache>
            </c:numRef>
          </c:xVal>
          <c:yVal>
            <c:numRef>
              <c:f>'Laskenta poistopuoli 130'!$AG$6:$AG$10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5C-4C7E-85F1-2250B892718D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130'!$L$3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B5C-4C7E-85F1-2250B892718D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18.634963492840118</c:v>
                </c:pt>
                <c:pt idx="1">
                  <c:v>18.499163848496991</c:v>
                </c:pt>
                <c:pt idx="2">
                  <c:v>13.988415531192842</c:v>
                </c:pt>
                <c:pt idx="3">
                  <c:v>9.3748400640852481</c:v>
                </c:pt>
              </c:numCache>
            </c:numRef>
          </c:xVal>
          <c:yVal>
            <c:numRef>
              <c:f>'Laskenta poistopuoli 130'!$AD$34:$AD$37</c:f>
              <c:numCache>
                <c:formatCode>0.0</c:formatCode>
                <c:ptCount val="4"/>
                <c:pt idx="0">
                  <c:v>367.38887855984609</c:v>
                </c:pt>
                <c:pt idx="1">
                  <c:v>362.0538006279391</c:v>
                </c:pt>
                <c:pt idx="2">
                  <c:v>207.016976913485</c:v>
                </c:pt>
                <c:pt idx="3">
                  <c:v>92.981521298304145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B5C-4C7E-85F1-2250B892718D}"/>
            </c:ext>
          </c:extLst>
        </c:ser>
        <c:ser>
          <c:idx val="6"/>
          <c:order val="6"/>
          <c:tx>
            <c:strRef>
              <c:f>'Laskenta poistopuoli 130'!$C$26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forward val="15"/>
            <c:dispRSqr val="0"/>
            <c:dispEq val="0"/>
          </c:trendline>
          <c:xVal>
            <c:numRef>
              <c:f>'Laskenta poistopuoli 130'!$P$23:$P$25</c:f>
              <c:numCache>
                <c:formatCode>General</c:formatCode>
                <c:ptCount val="3"/>
                <c:pt idx="0">
                  <c:v>80</c:v>
                </c:pt>
                <c:pt idx="1">
                  <c:v>90</c:v>
                </c:pt>
                <c:pt idx="2">
                  <c:v>135</c:v>
                </c:pt>
              </c:numCache>
            </c:numRef>
          </c:xVal>
          <c:yVal>
            <c:numRef>
              <c:f>'Laskenta poistopuoli 130'!$Q$23:$Q$25</c:f>
              <c:numCache>
                <c:formatCode>General</c:formatCode>
                <c:ptCount val="3"/>
                <c:pt idx="0">
                  <c:v>382.29368625398979</c:v>
                </c:pt>
                <c:pt idx="1">
                  <c:v>354.53081848682547</c:v>
                </c:pt>
                <c:pt idx="2">
                  <c:v>131.92949072175963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AB3-4DDA-A4AD-BB373BFE3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7"/>
          <c:order val="0"/>
          <c:tx>
            <c:strRef>
              <c:f>Tulokset_ENT!$C$10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22225"/>
            </c:spPr>
            <c:trendlineType val="poly"/>
            <c:order val="2"/>
            <c:dispRSqr val="0"/>
            <c:dispEq val="0"/>
          </c:trendline>
          <c:xVal>
            <c:numRef>
              <c:f>Tulokset_ENT!$AJ$12:$AJ$18</c:f>
              <c:numCache>
                <c:formatCode>0</c:formatCode>
                <c:ptCount val="7"/>
                <c:pt idx="0">
                  <c:v>378.96509135596887</c:v>
                </c:pt>
                <c:pt idx="1">
                  <c:v>331.06630143582515</c:v>
                </c:pt>
                <c:pt idx="2">
                  <c:v>292.33066651569686</c:v>
                </c:pt>
                <c:pt idx="3">
                  <c:v>256.06730586622467</c:v>
                </c:pt>
                <c:pt idx="4">
                  <c:v>208.9262694019863</c:v>
                </c:pt>
                <c:pt idx="5">
                  <c:v>154.13428532874059</c:v>
                </c:pt>
                <c:pt idx="6">
                  <c:v>147.18970784332524</c:v>
                </c:pt>
              </c:numCache>
            </c:numRef>
          </c:xVal>
          <c:yVal>
            <c:numRef>
              <c:f>Tulokset_ENT!$AI$12:$AI$18</c:f>
              <c:numCache>
                <c:formatCode>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2F-4C30-854F-E4460F3E7ED8}"/>
            </c:ext>
          </c:extLst>
        </c:ser>
        <c:ser>
          <c:idx val="8"/>
          <c:order val="1"/>
          <c:tx>
            <c:strRef>
              <c:f>Tulokset_ENT!$E$10</c:f>
              <c:strCache>
                <c:ptCount val="1"/>
                <c:pt idx="0">
                  <c:v>7,5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Tulokset_ENT!$AL$12:$AL$18</c:f>
              <c:numCache>
                <c:formatCode>0</c:formatCode>
                <c:ptCount val="7"/>
                <c:pt idx="0">
                  <c:v>332.21980816102126</c:v>
                </c:pt>
                <c:pt idx="1">
                  <c:v>285.96862774867674</c:v>
                </c:pt>
                <c:pt idx="2">
                  <c:v>253.84679645548874</c:v>
                </c:pt>
                <c:pt idx="3">
                  <c:v>218.31363119789611</c:v>
                </c:pt>
                <c:pt idx="4">
                  <c:v>177.97648735960502</c:v>
                </c:pt>
                <c:pt idx="5">
                  <c:v>130.11786444830562</c:v>
                </c:pt>
                <c:pt idx="6">
                  <c:v>113.49393048619308</c:v>
                </c:pt>
              </c:numCache>
            </c:numRef>
          </c:xVal>
          <c:yVal>
            <c:numRef>
              <c:f>Tulokset_ENT!$AK$12:$AK$18</c:f>
              <c:numCache>
                <c:formatCode>0</c:formatCode>
                <c:ptCount val="7"/>
                <c:pt idx="0">
                  <c:v>20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02F-4C30-854F-E4460F3E7ED8}"/>
            </c:ext>
          </c:extLst>
        </c:ser>
        <c:ser>
          <c:idx val="9"/>
          <c:order val="2"/>
          <c:tx>
            <c:strRef>
              <c:f>Tulokset_ENT!$G$10</c:f>
              <c:strCache>
                <c:ptCount val="1"/>
                <c:pt idx="0">
                  <c:v>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Tulokset_ENT!$AN$12:$AN$17</c:f>
              <c:numCache>
                <c:formatCode>0</c:formatCode>
                <c:ptCount val="6"/>
                <c:pt idx="0">
                  <c:v>200.74930881099519</c:v>
                </c:pt>
                <c:pt idx="1">
                  <c:v>171.23766410046832</c:v>
                </c:pt>
                <c:pt idx="2">
                  <c:v>150.07672402330445</c:v>
                </c:pt>
                <c:pt idx="3">
                  <c:v>127.43722751438042</c:v>
                </c:pt>
                <c:pt idx="4">
                  <c:v>102.95770629305007</c:v>
                </c:pt>
                <c:pt idx="5">
                  <c:v>68.923198842285359</c:v>
                </c:pt>
              </c:numCache>
            </c:numRef>
          </c:xVal>
          <c:yVal>
            <c:numRef>
              <c:f>Tulokset_ENT!$AM$12:$AM$17</c:f>
              <c:numCache>
                <c:formatCode>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2F-4C30-854F-E4460F3E7ED8}"/>
            </c:ext>
          </c:extLst>
        </c:ser>
        <c:ser>
          <c:idx val="10"/>
          <c:order val="3"/>
          <c:tx>
            <c:strRef>
              <c:f>Tulokset_ENT!$I$10</c:f>
              <c:strCache>
                <c:ptCount val="1"/>
                <c:pt idx="0">
                  <c:v>3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Tulokset_ENT!$AP$12:$AP$16</c:f>
              <c:numCache>
                <c:formatCode>0</c:formatCode>
                <c:ptCount val="5"/>
                <c:pt idx="0">
                  <c:v>84.41754847095747</c:v>
                </c:pt>
                <c:pt idx="1">
                  <c:v>65.850320684843581</c:v>
                </c:pt>
                <c:pt idx="2">
                  <c:v>49.750680918439421</c:v>
                </c:pt>
                <c:pt idx="3">
                  <c:v>41.464687591604878</c:v>
                </c:pt>
                <c:pt idx="4">
                  <c:v>33.008357449873401</c:v>
                </c:pt>
              </c:numCache>
            </c:numRef>
          </c:xVal>
          <c:yVal>
            <c:numRef>
              <c:f>Tulokset_ENT!$AO$12:$AO$16</c:f>
              <c:numCache>
                <c:formatCode>0</c:formatCode>
                <c:ptCount val="5"/>
                <c:pt idx="0">
                  <c:v>8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02F-4C30-854F-E4460F3E7ED8}"/>
            </c:ext>
          </c:extLst>
        </c:ser>
        <c:ser>
          <c:idx val="11"/>
          <c:order val="4"/>
          <c:tx>
            <c:v>Mitoituspiste tulo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'R-series ENT'!$E$33</c:f>
              <c:numCache>
                <c:formatCode>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'R-series ENT'!$E$39</c:f>
              <c:numCache>
                <c:formatCode>General</c:formatCode>
                <c:ptCount val="1"/>
                <c:pt idx="0">
                  <c:v>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02F-4C30-854F-E4460F3E7ED8}"/>
            </c:ext>
          </c:extLst>
        </c:ser>
        <c:ser>
          <c:idx val="5"/>
          <c:order val="5"/>
          <c:tx>
            <c:v>Mitoituspiste poisto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'R-series ENT'!$G$33</c:f>
              <c:numCache>
                <c:formatCode>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'R-series ENT'!$G$39</c:f>
              <c:numCache>
                <c:formatCode>General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02F-4C30-854F-E4460F3E7ED8}"/>
            </c:ext>
          </c:extLst>
        </c:ser>
        <c:ser>
          <c:idx val="0"/>
          <c:order val="6"/>
          <c:tx>
            <c:strRef>
              <c:f>Tulokset_ENT!$N$10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Tulokset_ENT!$AS$12:$AS$18</c:f>
              <c:numCache>
                <c:formatCode>0</c:formatCode>
                <c:ptCount val="7"/>
                <c:pt idx="0">
                  <c:v>406.09491246766407</c:v>
                </c:pt>
                <c:pt idx="1">
                  <c:v>368.31435710049936</c:v>
                </c:pt>
                <c:pt idx="2">
                  <c:v>336.47815427966719</c:v>
                </c:pt>
                <c:pt idx="3">
                  <c:v>305.09769296042782</c:v>
                </c:pt>
                <c:pt idx="4">
                  <c:v>260.4284249588805</c:v>
                </c:pt>
                <c:pt idx="5">
                  <c:v>194.81500048563973</c:v>
                </c:pt>
                <c:pt idx="6">
                  <c:v>158.39416627265538</c:v>
                </c:pt>
              </c:numCache>
            </c:numRef>
          </c:xVal>
          <c:yVal>
            <c:numRef>
              <c:f>Tulokset_ENT!$AR$12:$AR$18</c:f>
              <c:numCache>
                <c:formatCode>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02F-4C30-854F-E4460F3E7ED8}"/>
            </c:ext>
          </c:extLst>
        </c:ser>
        <c:ser>
          <c:idx val="1"/>
          <c:order val="7"/>
          <c:tx>
            <c:strRef>
              <c:f>Tulokset_ENT!$P$10</c:f>
              <c:strCache>
                <c:ptCount val="1"/>
                <c:pt idx="0">
                  <c:v>7,5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Tulokset_ENT!$AU$12:$AU$18</c:f>
              <c:numCache>
                <c:formatCode>0</c:formatCode>
                <c:ptCount val="7"/>
                <c:pt idx="0">
                  <c:v>388.266852290369</c:v>
                </c:pt>
                <c:pt idx="1">
                  <c:v>347.16069109315237</c:v>
                </c:pt>
                <c:pt idx="2">
                  <c:v>316.63613891642063</c:v>
                </c:pt>
                <c:pt idx="3">
                  <c:v>282.06815874230392</c:v>
                </c:pt>
                <c:pt idx="4">
                  <c:v>241.23449595303279</c:v>
                </c:pt>
                <c:pt idx="5">
                  <c:v>188.56078980839669</c:v>
                </c:pt>
                <c:pt idx="6">
                  <c:v>121.55488259906963</c:v>
                </c:pt>
              </c:numCache>
            </c:numRef>
          </c:xVal>
          <c:yVal>
            <c:numRef>
              <c:f>Tulokset_ENT!$AT$12:$AT$18</c:f>
              <c:numCache>
                <c:formatCode>0</c:formatCode>
                <c:ptCount val="7"/>
                <c:pt idx="0">
                  <c:v>24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02F-4C30-854F-E4460F3E7ED8}"/>
            </c:ext>
          </c:extLst>
        </c:ser>
        <c:ser>
          <c:idx val="2"/>
          <c:order val="8"/>
          <c:tx>
            <c:strRef>
              <c:f>Tulokset_ENT!$R$10</c:f>
              <c:strCache>
                <c:ptCount val="1"/>
                <c:pt idx="0">
                  <c:v>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Tulokset_ENT!$AW$12:$AW$17</c:f>
              <c:numCache>
                <c:formatCode>0</c:formatCode>
                <c:ptCount val="6"/>
                <c:pt idx="0">
                  <c:v>244.8151426768313</c:v>
                </c:pt>
                <c:pt idx="1">
                  <c:v>215.61194671614248</c:v>
                </c:pt>
                <c:pt idx="2">
                  <c:v>191.92857771417206</c:v>
                </c:pt>
                <c:pt idx="3">
                  <c:v>165.92900988946121</c:v>
                </c:pt>
                <c:pt idx="4">
                  <c:v>136.76213670648303</c:v>
                </c:pt>
                <c:pt idx="5">
                  <c:v>70.185873736596861</c:v>
                </c:pt>
              </c:numCache>
            </c:numRef>
          </c:xVal>
          <c:yVal>
            <c:numRef>
              <c:f>Tulokset_ENT!$AV$12:$AV$17</c:f>
              <c:numCache>
                <c:formatCode>0</c:formatCode>
                <c:ptCount val="6"/>
                <c:pt idx="0">
                  <c:v>13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02F-4C30-854F-E4460F3E7ED8}"/>
            </c:ext>
          </c:extLst>
        </c:ser>
        <c:ser>
          <c:idx val="3"/>
          <c:order val="9"/>
          <c:tx>
            <c:strRef>
              <c:f>Tulokset_ENT!$T$10</c:f>
              <c:strCache>
                <c:ptCount val="1"/>
                <c:pt idx="0">
                  <c:v>3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Tulokset_ENT!$AY$12:$AY$16</c:f>
              <c:numCache>
                <c:formatCode>0</c:formatCode>
                <c:ptCount val="5"/>
                <c:pt idx="0">
                  <c:v>118.9426140113207</c:v>
                </c:pt>
                <c:pt idx="1">
                  <c:v>95.011623143698714</c:v>
                </c:pt>
                <c:pt idx="2">
                  <c:v>71.061521379095154</c:v>
                </c:pt>
                <c:pt idx="3">
                  <c:v>56.799070553167681</c:v>
                </c:pt>
                <c:pt idx="4">
                  <c:v>36.053851175962997</c:v>
                </c:pt>
              </c:numCache>
            </c:numRef>
          </c:xVal>
          <c:yVal>
            <c:numRef>
              <c:f>Tulokset_ENT!$AX$12:$AX$16</c:f>
              <c:numCache>
                <c:formatCode>0</c:formatCode>
                <c:ptCount val="5"/>
                <c:pt idx="0">
                  <c:v>8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02F-4C30-854F-E4460F3E7ED8}"/>
            </c:ext>
          </c:extLst>
        </c:ser>
        <c:ser>
          <c:idx val="4"/>
          <c:order val="10"/>
          <c:tx>
            <c:v>Otsikot tulo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833EE1C0-B979-484E-B244-0230DF153B8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B02F-4C30-854F-E4460F3E7ED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9A4E52B-0A59-8D4D-A4D0-C65FF36B8E4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B02F-4C30-854F-E4460F3E7ED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7527A6A-804B-154A-9F86-AD137E01473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B02F-4C30-854F-E4460F3E7ED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82A3303-B26D-DC4E-9DA4-88E0F94894F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B02F-4C30-854F-E4460F3E7E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(Tulokset_ENT!$AJ$18,Tulokset_ENT!$AL$18,Tulokset_ENT!$AN$17,Tulokset_ENT!$AP$16)</c:f>
              <c:numCache>
                <c:formatCode>0</c:formatCode>
                <c:ptCount val="4"/>
                <c:pt idx="0">
                  <c:v>147.18970784332524</c:v>
                </c:pt>
                <c:pt idx="1">
                  <c:v>113.49393048619308</c:v>
                </c:pt>
                <c:pt idx="2">
                  <c:v>68.923198842285359</c:v>
                </c:pt>
                <c:pt idx="3">
                  <c:v>33.008357449873401</c:v>
                </c:pt>
              </c:numCache>
            </c:numRef>
          </c:xVal>
          <c:yVal>
            <c:numRef>
              <c:f>(Tulokset_ENT!$AI$18,Tulokset_ENT!$AK$18,Tulokset_ENT!$AM$17,Tulokset_ENT!$AO$16)</c:f>
              <c:numCache>
                <c:formatCode>0</c:formatCode>
                <c:ptCount val="4"/>
                <c:pt idx="0">
                  <c:v>398</c:v>
                </c:pt>
                <c:pt idx="1">
                  <c:v>315</c:v>
                </c:pt>
                <c:pt idx="2">
                  <c:v>125</c:v>
                </c:pt>
                <c:pt idx="3">
                  <c:v>40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(Tulokset_ENT!$C$10,Tulokset_ENT!$E$10,Tulokset_ENT!$G$10,Tulokset_ENT!$I$10)</c15:f>
                <c15:dlblRangeCache>
                  <c:ptCount val="4"/>
                  <c:pt idx="0">
                    <c:v>10 V</c:v>
                  </c:pt>
                  <c:pt idx="1">
                    <c:v>7,5 V</c:v>
                  </c:pt>
                  <c:pt idx="2">
                    <c:v>5 V</c:v>
                  </c:pt>
                  <c:pt idx="3">
                    <c:v>3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6-B02F-4C30-854F-E4460F3E7ED8}"/>
            </c:ext>
          </c:extLst>
        </c:ser>
        <c:ser>
          <c:idx val="6"/>
          <c:order val="11"/>
          <c:tx>
            <c:v>Otsikot poisto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8AB21ADC-834B-45C2-AA88-EABD9E88927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B02F-4C30-854F-E4460F3E7ED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C85BD94-C88B-8142-8E6E-5A1350A94B6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B02F-4C30-854F-E4460F3E7ED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E167B9A-C9F1-1B42-BE01-0220505F9A7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B02F-4C30-854F-E4460F3E7ED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18E34C7-E8BD-8642-84D8-92968E71733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B02F-4C30-854F-E4460F3E7E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fi-FI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(Tulokset_ENT!$AS$18,Tulokset_ENT!$AU$18,Tulokset_ENT!$AW$17,Tulokset_ENT!$AY$16)</c:f>
              <c:numCache>
                <c:formatCode>0</c:formatCode>
                <c:ptCount val="4"/>
                <c:pt idx="0">
                  <c:v>158.39416627265538</c:v>
                </c:pt>
                <c:pt idx="1">
                  <c:v>121.55488259906963</c:v>
                </c:pt>
                <c:pt idx="2">
                  <c:v>70.185873736596861</c:v>
                </c:pt>
                <c:pt idx="3">
                  <c:v>36.053851175962997</c:v>
                </c:pt>
              </c:numCache>
            </c:numRef>
          </c:xVal>
          <c:yVal>
            <c:numRef>
              <c:f>(Tulokset_ENT!$AR$18,Tulokset_ENT!$AT$18,Tulokset_ENT!$AV$17,Tulokset_ENT!$AX$16)</c:f>
              <c:numCache>
                <c:formatCode>0</c:formatCode>
                <c:ptCount val="4"/>
                <c:pt idx="0">
                  <c:v>412</c:v>
                </c:pt>
                <c:pt idx="1">
                  <c:v>340</c:v>
                </c:pt>
                <c:pt idx="2">
                  <c:v>136</c:v>
                </c:pt>
                <c:pt idx="3">
                  <c:v>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(Tulokset_ENT!$N$10,Tulokset_ENT!$P$10,Tulokset_ENT!$R$10,Tulokset_ENT!$T$10)</c15:f>
                <c15:dlblRangeCache>
                  <c:ptCount val="4"/>
                  <c:pt idx="0">
                    <c:v>10 V</c:v>
                  </c:pt>
                  <c:pt idx="1">
                    <c:v>7,5 V</c:v>
                  </c:pt>
                  <c:pt idx="2">
                    <c:v>5 V</c:v>
                  </c:pt>
                  <c:pt idx="3">
                    <c:v>3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B02F-4C30-854F-E4460F3E7ED8}"/>
            </c:ext>
          </c:extLst>
        </c:ser>
        <c:ser>
          <c:idx val="13"/>
          <c:order val="12"/>
          <c:tx>
            <c:v>Tehostuspisteet tulo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9525">
                <a:solidFill>
                  <a:schemeClr val="tx1">
                    <a:lumMod val="75000"/>
                    <a:lumOff val="25000"/>
                    <a:alpha val="2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Tulokset_ENT!$DB$10:$DB$11</c:f>
              <c:numCache>
                <c:formatCode>0</c:formatCode>
                <c:ptCount val="2"/>
                <c:pt idx="0">
                  <c:v>3.6</c:v>
                </c:pt>
                <c:pt idx="1">
                  <c:v>125</c:v>
                </c:pt>
              </c:numCache>
            </c:numRef>
          </c:xVal>
          <c:yVal>
            <c:numRef>
              <c:f>Tulokset_ENT!$DC$10:$DC$11</c:f>
              <c:numCache>
                <c:formatCode>0</c:formatCode>
                <c:ptCount val="2"/>
                <c:pt idx="0">
                  <c:v>6.2207999999999999E-2</c:v>
                </c:pt>
                <c:pt idx="1">
                  <c:v>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02F-4C30-854F-E4460F3E7ED8}"/>
            </c:ext>
          </c:extLst>
        </c:ser>
        <c:ser>
          <c:idx val="14"/>
          <c:order val="13"/>
          <c:tx>
            <c:v>Tehostuspisteet poisto</c:v>
          </c:tx>
          <c:spPr>
            <a:ln w="19050">
              <a:noFill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E-B02F-4C30-854F-E4460F3E7ED8}"/>
              </c:ext>
            </c:extLst>
          </c:dPt>
          <c:trendline>
            <c:spPr>
              <a:ln w="9525">
                <a:solidFill>
                  <a:srgbClr val="FF0000">
                    <a:alpha val="2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Tulokset_ENT!$DB$14:$DB$15</c:f>
              <c:numCache>
                <c:formatCode>0</c:formatCode>
                <c:ptCount val="2"/>
                <c:pt idx="0">
                  <c:v>7.2</c:v>
                </c:pt>
                <c:pt idx="1">
                  <c:v>125</c:v>
                </c:pt>
              </c:numCache>
            </c:numRef>
          </c:xVal>
          <c:yVal>
            <c:numRef>
              <c:f>Tulokset_ENT!$DC$14:$DC$15</c:f>
              <c:numCache>
                <c:formatCode>0</c:formatCode>
                <c:ptCount val="2"/>
                <c:pt idx="0">
                  <c:v>0.29859839999999999</c:v>
                </c:pt>
                <c:pt idx="1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02F-4C30-854F-E4460F3E7ED8}"/>
            </c:ext>
          </c:extLst>
        </c:ser>
        <c:ser>
          <c:idx val="15"/>
          <c:order val="14"/>
          <c:tx>
            <c:v>Mitoitusviivat tulo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02F-4C30-854F-E4460F3E7ED8}"/>
              </c:ext>
            </c:extLst>
          </c:dPt>
          <c:trendline>
            <c:spPr>
              <a:ln w="9525">
                <a:solidFill>
                  <a:schemeClr val="tx1">
                    <a:alpha val="6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Tulokset_ENT!$DB$11:$DB$12</c:f>
              <c:numCache>
                <c:formatCode>0</c:formatCode>
                <c:ptCount val="2"/>
                <c:pt idx="0">
                  <c:v>125</c:v>
                </c:pt>
                <c:pt idx="1">
                  <c:v>150</c:v>
                </c:pt>
              </c:numCache>
            </c:numRef>
          </c:xVal>
          <c:yVal>
            <c:numRef>
              <c:f>Tulokset_ENT!$DC$11:$DC$12</c:f>
              <c:numCache>
                <c:formatCode>0</c:formatCode>
                <c:ptCount val="2"/>
                <c:pt idx="0">
                  <c:v>75</c:v>
                </c:pt>
                <c:pt idx="1">
                  <c:v>107.99999999999999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B02F-4C30-854F-E4460F3E7ED8}"/>
            </c:ext>
          </c:extLst>
        </c:ser>
        <c:ser>
          <c:idx val="16"/>
          <c:order val="15"/>
          <c:tx>
            <c:v>Tehostusviivat poisto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rgbClr val="FF0000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rgbClr val="FF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02F-4C30-854F-E4460F3E7ED8}"/>
              </c:ext>
            </c:extLst>
          </c:dPt>
          <c:trendline>
            <c:spPr>
              <a:ln w="9525">
                <a:solidFill>
                  <a:srgbClr val="FF0000">
                    <a:alpha val="6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Tulokset_ENT!$DB$15:$DB$16</c:f>
              <c:numCache>
                <c:formatCode>0</c:formatCode>
                <c:ptCount val="2"/>
                <c:pt idx="0">
                  <c:v>125</c:v>
                </c:pt>
                <c:pt idx="1">
                  <c:v>150</c:v>
                </c:pt>
              </c:numCache>
            </c:numRef>
          </c:xVal>
          <c:yVal>
            <c:numRef>
              <c:f>Tulokset_ENT!$DC$15:$DC$16</c:f>
              <c:numCache>
                <c:formatCode>0</c:formatCode>
                <c:ptCount val="2"/>
                <c:pt idx="0">
                  <c:v>90</c:v>
                </c:pt>
                <c:pt idx="1">
                  <c:v>129.59999999999997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B02F-4C30-854F-E4460F3E7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Tulokset_ENT!$AK$6</c:f>
              <c:strCache>
                <c:ptCount val="1"/>
                <c:pt idx="0">
                  <c:v>Air volume flow [m³/h]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Kirjasto_ENT!$M$5</c:f>
              <c:strCache>
                <c:ptCount val="1"/>
                <c:pt idx="0">
                  <c:v>Pressure difference [Pa]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</c:plotArea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C5'!$AJ$36:$AJ$38</c:f>
              <c:numCache>
                <c:formatCode>0.0</c:formatCode>
                <c:ptCount val="3"/>
                <c:pt idx="0">
                  <c:v>567.9176681107507</c:v>
                </c:pt>
                <c:pt idx="1">
                  <c:v>413.51117866177191</c:v>
                </c:pt>
                <c:pt idx="2">
                  <c:v>258.94974384138897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3AF-4EC9-99A3-9F2DEECDE9D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8.5</c:v>
                </c:pt>
              </c:numCache>
            </c:numRef>
          </c:xVal>
          <c:yVal>
            <c:numRef>
              <c:f>'Laskenta poistopuoli C5'!$AJ$34:$AJ$35</c:f>
              <c:numCache>
                <c:formatCode>0.0</c:formatCode>
                <c:ptCount val="2"/>
                <c:pt idx="0">
                  <c:v>630.85203284584327</c:v>
                </c:pt>
                <c:pt idx="1">
                  <c:v>606.56448287298826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3AF-4EC9-99A3-9F2DEECDE9D7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C5'!$W$9</c:f>
              <c:numCache>
                <c:formatCode>0.00</c:formatCode>
                <c:ptCount val="1"/>
                <c:pt idx="0">
                  <c:v>6.4730648967108504</c:v>
                </c:pt>
              </c:numCache>
            </c:numRef>
          </c:xVal>
          <c:yVal>
            <c:numRef>
              <c:f>'Laskenta poistopuoli C5'!$J$3</c:f>
              <c:numCache>
                <c:formatCode>0</c:formatCode>
                <c:ptCount val="1"/>
                <c:pt idx="0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3AF-4EC9-99A3-9F2DEECDE9D7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C5'!$AC$34:$AC$37</c:f>
              <c:numCache>
                <c:formatCode>0.0</c:formatCode>
                <c:ptCount val="4"/>
                <c:pt idx="0">
                  <c:v>630.85203284584327</c:v>
                </c:pt>
                <c:pt idx="1">
                  <c:v>567.9176681107507</c:v>
                </c:pt>
                <c:pt idx="2">
                  <c:v>413.51117866177191</c:v>
                </c:pt>
                <c:pt idx="3">
                  <c:v>258.94974384138897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3AF-4EC9-99A3-9F2DEECDE9D7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poistopuoli C5'!$AR$36</c:f>
              <c:numCache>
                <c:formatCode>0.0</c:formatCode>
                <c:ptCount val="1"/>
                <c:pt idx="0">
                  <c:v>7.3469420172517221</c:v>
                </c:pt>
              </c:numCache>
            </c:numRef>
          </c:xVal>
          <c:yVal>
            <c:numRef>
              <c:f>'Laskenta poistopuoli C5'!$AO$36</c:f>
              <c:numCache>
                <c:formatCode>0.0</c:formatCode>
                <c:ptCount val="1"/>
                <c:pt idx="0">
                  <c:v>517.5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3AF-4EC9-99A3-9F2DEECDE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LwAtot vs Ohjausjännite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130'!$K$9:$K$14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8</c:v>
                </c:pt>
                <c:pt idx="4">
                  <c:v>6</c:v>
                </c:pt>
                <c:pt idx="5">
                  <c:v>4</c:v>
                </c:pt>
              </c:numCache>
            </c:numRef>
          </c:xVal>
          <c:yVal>
            <c:numRef>
              <c:f>'Laskenta vaipan läpi 130'!$L$9:$L$14</c:f>
              <c:numCache>
                <c:formatCode>0.0</c:formatCode>
                <c:ptCount val="6"/>
                <c:pt idx="0">
                  <c:v>50.727797451867104</c:v>
                </c:pt>
                <c:pt idx="1">
                  <c:v>50.906829010197214</c:v>
                </c:pt>
                <c:pt idx="2">
                  <c:v>51.633663631872835</c:v>
                </c:pt>
                <c:pt idx="3">
                  <c:v>46.855554140426776</c:v>
                </c:pt>
                <c:pt idx="4">
                  <c:v>40.081737985343281</c:v>
                </c:pt>
                <c:pt idx="5">
                  <c:v>31.57611766294508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51-4A92-9C13-B38830C89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160480"/>
        <c:axId val="634160808"/>
      </c:scatterChart>
      <c:valAx>
        <c:axId val="63416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808"/>
        <c:crosses val="autoZero"/>
        <c:crossBetween val="midCat"/>
      </c:valAx>
      <c:valAx>
        <c:axId val="63416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130'!$K$26:$R$26</c:f>
              <c:numCache>
                <c:formatCode>0.0</c:formatCode>
                <c:ptCount val="8"/>
                <c:pt idx="0">
                  <c:v>9.7468202549653924</c:v>
                </c:pt>
                <c:pt idx="1">
                  <c:v>10.219263302672097</c:v>
                </c:pt>
                <c:pt idx="2">
                  <c:v>5.3781920854758241</c:v>
                </c:pt>
                <c:pt idx="3">
                  <c:v>-3.9657985891290366</c:v>
                </c:pt>
                <c:pt idx="4">
                  <c:v>-13.359993973034364</c:v>
                </c:pt>
                <c:pt idx="5">
                  <c:v>-20.064650430155496</c:v>
                </c:pt>
                <c:pt idx="6">
                  <c:v>-22.340090753141155</c:v>
                </c:pt>
                <c:pt idx="7">
                  <c:v>-28.553896681989183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2-4721-9EE2-B3427FD873C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130'!$K$27:$R$27</c:f>
              <c:numCache>
                <c:formatCode>0.0</c:formatCode>
                <c:ptCount val="8"/>
                <c:pt idx="0">
                  <c:v>11.236941839387399</c:v>
                </c:pt>
                <c:pt idx="1">
                  <c:v>11.056052328251184</c:v>
                </c:pt>
                <c:pt idx="2">
                  <c:v>4.9083153482445141</c:v>
                </c:pt>
                <c:pt idx="3">
                  <c:v>-4.7775181731402157</c:v>
                </c:pt>
                <c:pt idx="4">
                  <c:v>-13.536029841384838</c:v>
                </c:pt>
                <c:pt idx="5">
                  <c:v>-19.184478618620521</c:v>
                </c:pt>
                <c:pt idx="6">
                  <c:v>-21.982808019835808</c:v>
                </c:pt>
                <c:pt idx="7">
                  <c:v>-30.053106147872946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2-4721-9EE2-B3427FD873C8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130'!$K$28:$R$28</c:f>
              <c:numCache>
                <c:formatCode>0.0</c:formatCode>
                <c:ptCount val="8"/>
                <c:pt idx="0">
                  <c:v>12.735566185817156</c:v>
                </c:pt>
                <c:pt idx="1">
                  <c:v>11.673832905841174</c:v>
                </c:pt>
                <c:pt idx="2">
                  <c:v>4.3029839976731026</c:v>
                </c:pt>
                <c:pt idx="3">
                  <c:v>-4.3906920362002353</c:v>
                </c:pt>
                <c:pt idx="4">
                  <c:v>-12.347572631167044</c:v>
                </c:pt>
                <c:pt idx="5">
                  <c:v>-18.408761251056614</c:v>
                </c:pt>
                <c:pt idx="6">
                  <c:v>-22.504675847330248</c:v>
                </c:pt>
                <c:pt idx="7">
                  <c:v>-32.552716373499145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2-4721-9EE2-B3427FD873C8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130'!$K$29:$R$29</c:f>
              <c:numCache>
                <c:formatCode>0.0</c:formatCode>
                <c:ptCount val="8"/>
                <c:pt idx="0">
                  <c:v>13.439367235351192</c:v>
                </c:pt>
                <c:pt idx="1">
                  <c:v>10.652940829954503</c:v>
                </c:pt>
                <c:pt idx="2">
                  <c:v>3.9931605095815286</c:v>
                </c:pt>
                <c:pt idx="3">
                  <c:v>-2.5463497520913201</c:v>
                </c:pt>
                <c:pt idx="4">
                  <c:v>-11.208760733142839</c:v>
                </c:pt>
                <c:pt idx="5">
                  <c:v>-19.614113890886642</c:v>
                </c:pt>
                <c:pt idx="6">
                  <c:v>-26.274170407881535</c:v>
                </c:pt>
                <c:pt idx="7">
                  <c:v>-27.959041304388652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2-4721-9EE2-B3427FD87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8962032"/>
        <c:axId val="778965312"/>
      </c:lineChart>
      <c:catAx>
        <c:axId val="778962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5312"/>
        <c:crosses val="autoZero"/>
        <c:auto val="1"/>
        <c:lblAlgn val="ctr"/>
        <c:lblOffset val="100"/>
        <c:noMultiLvlLbl val="0"/>
      </c:catAx>
      <c:valAx>
        <c:axId val="77896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Tilavuusvirta vs paine-ero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60'!$AA$4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9.781364829396326E-2"/>
                  <c:y val="-0.614562919218430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60'!$AB$6:$AB$12</c:f>
              <c:numCache>
                <c:formatCode>0.0</c:formatCode>
                <c:ptCount val="7"/>
                <c:pt idx="0">
                  <c:v>109.72216307386144</c:v>
                </c:pt>
                <c:pt idx="1">
                  <c:v>96.04968080608154</c:v>
                </c:pt>
                <c:pt idx="2">
                  <c:v>84.980913804604299</c:v>
                </c:pt>
                <c:pt idx="3">
                  <c:v>74.605902678236006</c:v>
                </c:pt>
                <c:pt idx="4">
                  <c:v>61.093720132549571</c:v>
                </c:pt>
                <c:pt idx="5">
                  <c:v>45.335354941275455</c:v>
                </c:pt>
                <c:pt idx="6">
                  <c:v>40.227692796254239</c:v>
                </c:pt>
              </c:numCache>
            </c:numRef>
          </c:xVal>
          <c:yVal>
            <c:numRef>
              <c:f>'Laskenta tulopuoli 60'!$AA$6:$AA$12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8B-4E98-A6BF-69B0FE97E018}"/>
            </c:ext>
          </c:extLst>
        </c:ser>
        <c:ser>
          <c:idx val="1"/>
          <c:order val="1"/>
          <c:tx>
            <c:strRef>
              <c:f>'Laskenta tulopuoli 60'!$AC$4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0640726159230097"/>
                  <c:y val="-0.4525258821813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60'!$AD$6:$AD$12</c:f>
              <c:numCache>
                <c:formatCode>0.0</c:formatCode>
                <c:ptCount val="7"/>
                <c:pt idx="0">
                  <c:v>96.507952803164471</c:v>
                </c:pt>
                <c:pt idx="1">
                  <c:v>83.332352890524646</c:v>
                </c:pt>
                <c:pt idx="2">
                  <c:v>74.171084186129335</c:v>
                </c:pt>
                <c:pt idx="3">
                  <c:v>64.022740261473061</c:v>
                </c:pt>
                <c:pt idx="4">
                  <c:v>52.476744908244925</c:v>
                </c:pt>
                <c:pt idx="5">
                  <c:v>38.721346925604863</c:v>
                </c:pt>
                <c:pt idx="6">
                  <c:v>33.921064483256508</c:v>
                </c:pt>
              </c:numCache>
            </c:numRef>
          </c:xVal>
          <c:yVal>
            <c:numRef>
              <c:f>'Laskenta tulopuoli 60'!$AC$6:$AC$12</c:f>
              <c:numCache>
                <c:formatCode>0.0</c:formatCode>
                <c:ptCount val="7"/>
                <c:pt idx="0">
                  <c:v>20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8B-4E98-A6BF-69B0FE97E018}"/>
            </c:ext>
          </c:extLst>
        </c:ser>
        <c:ser>
          <c:idx val="2"/>
          <c:order val="2"/>
          <c:tx>
            <c:strRef>
              <c:f>'Laskenta tulopuoli 60'!$AE$4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44694860017497812"/>
                  <c:y val="-0.332554316127150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60'!$AF$6:$AF$11</c:f>
              <c:numCache>
                <c:formatCode>0.0</c:formatCode>
                <c:ptCount val="6"/>
                <c:pt idx="0">
                  <c:v>59.097603965649029</c:v>
                </c:pt>
                <c:pt idx="1">
                  <c:v>51.041257936006687</c:v>
                </c:pt>
                <c:pt idx="2">
                  <c:v>44.852206368094706</c:v>
                </c:pt>
                <c:pt idx="3">
                  <c:v>38.211558072303703</c:v>
                </c:pt>
                <c:pt idx="4">
                  <c:v>31.003142403936327</c:v>
                </c:pt>
                <c:pt idx="5">
                  <c:v>20.915466815294725</c:v>
                </c:pt>
              </c:numCache>
            </c:numRef>
          </c:xVal>
          <c:yVal>
            <c:numRef>
              <c:f>'Laskenta tulopuoli 60'!$AE$6:$AE$11</c:f>
              <c:numCache>
                <c:formatCode>0.0</c:formatCode>
                <c:ptCount val="6"/>
                <c:pt idx="0">
                  <c:v>12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8B-4E98-A6BF-69B0FE97E018}"/>
            </c:ext>
          </c:extLst>
        </c:ser>
        <c:ser>
          <c:idx val="3"/>
          <c:order val="3"/>
          <c:tx>
            <c:strRef>
              <c:f>'Laskenta tulopuoli 60'!$AG$4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64722222222222225"/>
                  <c:y val="-0.202924686497521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60'!$AH$6:$AH$10</c:f>
              <c:numCache>
                <c:formatCode>0.0</c:formatCode>
                <c:ptCount val="5"/>
                <c:pt idx="0">
                  <c:v>24.856065562361952</c:v>
                </c:pt>
                <c:pt idx="1">
                  <c:v>20.145468303465908</c:v>
                </c:pt>
                <c:pt idx="2">
                  <c:v>15.25167922255933</c:v>
                </c:pt>
                <c:pt idx="3">
                  <c:v>12.729029407613163</c:v>
                </c:pt>
                <c:pt idx="4">
                  <c:v>10.151502560183829</c:v>
                </c:pt>
              </c:numCache>
            </c:numRef>
          </c:xVal>
          <c:yVal>
            <c:numRef>
              <c:f>'Laskenta tulopuoli 60'!$AG$6:$AG$10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58B-4E98-A6BF-69B0FE97E018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60'!$L$3</c:f>
              <c:numCache>
                <c:formatCode>General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58B-4E98-A6BF-69B0FE97E018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23.47375874837595</c:v>
                </c:pt>
                <c:pt idx="1">
                  <c:v>20.351450158736</c:v>
                </c:pt>
                <c:pt idx="2">
                  <c:v>12.964166212914281</c:v>
                </c:pt>
                <c:pt idx="3">
                  <c:v>7.3210907399096659</c:v>
                </c:pt>
              </c:numCache>
            </c:numRef>
          </c:xVal>
          <c:yVal>
            <c:numRef>
              <c:f>'Laskenta tulopuoli 60'!$AD$34:$AD$37</c:f>
              <c:numCache>
                <c:formatCode>0.0</c:formatCode>
                <c:ptCount val="4"/>
                <c:pt idx="0">
                  <c:v>466.36309244795802</c:v>
                </c:pt>
                <c:pt idx="1">
                  <c:v>350.54971724951281</c:v>
                </c:pt>
                <c:pt idx="2">
                  <c:v>142.24862618939065</c:v>
                </c:pt>
                <c:pt idx="3">
                  <c:v>45.36390989720843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58B-4E98-A6BF-69B0FE97E018}"/>
            </c:ext>
          </c:extLst>
        </c:ser>
        <c:ser>
          <c:idx val="6"/>
          <c:order val="6"/>
          <c:tx>
            <c:v>Otsikot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B9417146-ACA4-45FD-8AF7-0083413EFD7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58B-4E98-A6BF-69B0FE97E01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7FFC39B-9042-4CBB-A939-40BCCBED6FE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58B-4E98-A6BF-69B0FE97E01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3B23984-F86B-419C-B3EA-4FE9F42E7BA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58B-4E98-A6BF-69B0FE97E01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2646DCF-FA41-43E6-B3D3-2B69DADBAA2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58B-4E98-A6BF-69B0FE97E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('Laskenta tulopuoli 60'!$AH$10,'Laskenta tulopuoli 60'!$AF$11,'Laskenta tulopuoli 60'!$AD$12,'Laskenta tulopuoli 60'!$AB$12)</c:f>
              <c:numCache>
                <c:formatCode>0.0</c:formatCode>
                <c:ptCount val="4"/>
                <c:pt idx="0">
                  <c:v>10.151502560183829</c:v>
                </c:pt>
                <c:pt idx="1">
                  <c:v>20.915466815294725</c:v>
                </c:pt>
                <c:pt idx="2">
                  <c:v>33.921064483256508</c:v>
                </c:pt>
                <c:pt idx="3">
                  <c:v>40.227692796254239</c:v>
                </c:pt>
              </c:numCache>
            </c:numRef>
          </c:xVal>
          <c:yVal>
            <c:numRef>
              <c:f>('Laskenta tulopuoli 60'!$AG$10,'Laskenta tulopuoli 60'!$AE$11,'Laskenta tulopuoli 60'!$AC$12,'Laskenta tulopuoli 60'!$AA$12)</c:f>
              <c:numCache>
                <c:formatCode>0.0</c:formatCode>
                <c:ptCount val="4"/>
                <c:pt idx="0">
                  <c:v>40</c:v>
                </c:pt>
                <c:pt idx="1">
                  <c:v>125</c:v>
                </c:pt>
                <c:pt idx="2">
                  <c:v>315</c:v>
                </c:pt>
                <c:pt idx="3">
                  <c:v>410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('Laskenta tulopuoli 60'!$AH$4,'Laskenta tulopuoli 60'!$AF$4,'Laskenta tulopuoli 60'!$AD$4,'Laskenta tulopuoli 60'!$AB$4)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0F-B58B-4E98-A6BF-69B0FE97E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60'!$U$35:$U$37</c:f>
              <c:numCache>
                <c:formatCode>General</c:formatCode>
                <c:ptCount val="3"/>
                <c:pt idx="0">
                  <c:v>7.5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tulopuoli 60'!$AC$35:$AC$37</c:f>
              <c:numCache>
                <c:formatCode>0.0</c:formatCode>
                <c:ptCount val="3"/>
                <c:pt idx="0">
                  <c:v>20.351450158736</c:v>
                </c:pt>
                <c:pt idx="1">
                  <c:v>12.964166212914281</c:v>
                </c:pt>
                <c:pt idx="2">
                  <c:v>7.3210907399096659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4D-4041-97F9-B89D87F9C6E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60'!$U$34:$U$35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tulopuoli 60'!$AC$34:$AC$35</c:f>
              <c:numCache>
                <c:formatCode>0.0</c:formatCode>
                <c:ptCount val="2"/>
                <c:pt idx="0">
                  <c:v>23.47375874837595</c:v>
                </c:pt>
                <c:pt idx="1">
                  <c:v>20.351450158736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4D-4041-97F9-B89D87F9C6EE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60'!$W$9</c:f>
              <c:numCache>
                <c:formatCode>0.0</c:formatCode>
                <c:ptCount val="1"/>
                <c:pt idx="0">
                  <c:v>3.8473908736238056</c:v>
                </c:pt>
              </c:numCache>
            </c:numRef>
          </c:xVal>
          <c:yVal>
            <c:numRef>
              <c:f>'Laskenta tulopuoli 60'!$J$3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4D-4041-97F9-B89D87F9C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60'!$D$59:$D$62</c:f>
              <c:numCache>
                <c:formatCode>0.0</c:formatCode>
                <c:ptCount val="4"/>
                <c:pt idx="0">
                  <c:v>96.723636363636345</c:v>
                </c:pt>
                <c:pt idx="1">
                  <c:v>80.354545454545459</c:v>
                </c:pt>
                <c:pt idx="2">
                  <c:v>63.446363636363643</c:v>
                </c:pt>
                <c:pt idx="3">
                  <c:v>42.587272727272719</c:v>
                </c:pt>
              </c:numCache>
            </c:numRef>
          </c:xVal>
          <c:yVal>
            <c:numRef>
              <c:f>'Laskenta tulopuoli 60'!$E$59:$E$62</c:f>
              <c:numCache>
                <c:formatCode>0.0</c:formatCode>
                <c:ptCount val="4"/>
                <c:pt idx="0">
                  <c:v>60.599066890970008</c:v>
                </c:pt>
                <c:pt idx="1">
                  <c:v>61.362739164604648</c:v>
                </c:pt>
                <c:pt idx="2">
                  <c:v>61.896602572706271</c:v>
                </c:pt>
                <c:pt idx="3">
                  <c:v>62.864718090922231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B8-4BE0-BBE4-C31819B08F71}"/>
            </c:ext>
          </c:extLst>
        </c:ser>
        <c:ser>
          <c:idx val="1"/>
          <c:order val="1"/>
          <c:tx>
            <c:strRef>
              <c:f>'Laskenta tulopuoli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60'!$D$64:$D$67</c:f>
              <c:numCache>
                <c:formatCode>0.0</c:formatCode>
                <c:ptCount val="4"/>
                <c:pt idx="0">
                  <c:v>82.99727272727273</c:v>
                </c:pt>
                <c:pt idx="1">
                  <c:v>70.897272727272721</c:v>
                </c:pt>
                <c:pt idx="2">
                  <c:v>54.980909090909087</c:v>
                </c:pt>
                <c:pt idx="3">
                  <c:v>37.382727272727273</c:v>
                </c:pt>
              </c:numCache>
            </c:numRef>
          </c:xVal>
          <c:yVal>
            <c:numRef>
              <c:f>'Laskenta tulopuoli 60'!$E$64:$E$67</c:f>
              <c:numCache>
                <c:formatCode>0.0</c:formatCode>
                <c:ptCount val="4"/>
                <c:pt idx="0">
                  <c:v>59.138026796221006</c:v>
                </c:pt>
                <c:pt idx="1">
                  <c:v>59.317875533330209</c:v>
                </c:pt>
                <c:pt idx="2">
                  <c:v>59.664136609223121</c:v>
                </c:pt>
                <c:pt idx="3">
                  <c:v>60.67880707866388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BB8-4BE0-BBE4-C31819B08F71}"/>
            </c:ext>
          </c:extLst>
        </c:ser>
        <c:ser>
          <c:idx val="2"/>
          <c:order val="2"/>
          <c:tx>
            <c:strRef>
              <c:f>'Laskenta tulopuoli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60'!$D$69:$D$72</c:f>
              <c:numCache>
                <c:formatCode>0.0</c:formatCode>
                <c:ptCount val="4"/>
                <c:pt idx="0">
                  <c:v>52.310909090909099</c:v>
                </c:pt>
                <c:pt idx="1">
                  <c:v>45.190909090909088</c:v>
                </c:pt>
                <c:pt idx="2">
                  <c:v>33.940000000000005</c:v>
                </c:pt>
                <c:pt idx="3">
                  <c:v>23.01</c:v>
                </c:pt>
              </c:numCache>
            </c:numRef>
          </c:xVal>
          <c:yVal>
            <c:numRef>
              <c:f>'Laskenta tulopuoli 60'!$E$69:$E$72</c:f>
              <c:numCache>
                <c:formatCode>0.0</c:formatCode>
                <c:ptCount val="4"/>
                <c:pt idx="0">
                  <c:v>50.94529100608618</c:v>
                </c:pt>
                <c:pt idx="1">
                  <c:v>50.931209616046694</c:v>
                </c:pt>
                <c:pt idx="2">
                  <c:v>51.422351987256611</c:v>
                </c:pt>
                <c:pt idx="3">
                  <c:v>51.164647526699852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BB8-4BE0-BBE4-C31819B08F71}"/>
            </c:ext>
          </c:extLst>
        </c:ser>
        <c:ser>
          <c:idx val="3"/>
          <c:order val="3"/>
          <c:tx>
            <c:strRef>
              <c:f>'Laskenta tulopuoli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60'!$D$74:$D$77</c:f>
              <c:numCache>
                <c:formatCode>0.0</c:formatCode>
                <c:ptCount val="4"/>
                <c:pt idx="0">
                  <c:v>26.16090909090909</c:v>
                </c:pt>
                <c:pt idx="1">
                  <c:v>23.122727272727271</c:v>
                </c:pt>
                <c:pt idx="2">
                  <c:v>18.288181818181819</c:v>
                </c:pt>
                <c:pt idx="3">
                  <c:v>11.878181818181817</c:v>
                </c:pt>
              </c:numCache>
            </c:numRef>
          </c:xVal>
          <c:yVal>
            <c:numRef>
              <c:f>'Laskenta tulopuoli 60'!$E$74:$E$77</c:f>
              <c:numCache>
                <c:formatCode>0.0</c:formatCode>
                <c:ptCount val="4"/>
                <c:pt idx="0">
                  <c:v>39.950577720506828</c:v>
                </c:pt>
                <c:pt idx="1">
                  <c:v>40.891244214226447</c:v>
                </c:pt>
                <c:pt idx="2">
                  <c:v>41.152225282467427</c:v>
                </c:pt>
                <c:pt idx="3">
                  <c:v>39.634068965353691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BB8-4BE0-BBE4-C31819B08F7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B8-4BE0-BBE4-C31819B08F7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B8-4BE0-BBE4-C31819B08F7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23.47375874837595</c:v>
                </c:pt>
                <c:pt idx="1">
                  <c:v>20.351450158736</c:v>
                </c:pt>
                <c:pt idx="2">
                  <c:v>12.964166212914281</c:v>
                </c:pt>
                <c:pt idx="3">
                  <c:v>7.3210907399096659</c:v>
                </c:pt>
              </c:numCache>
            </c:numRef>
          </c:xVal>
          <c:yVal>
            <c:numRef>
              <c:f>'Laskenta tulopuoli 60'!$AF$34:$AF$37</c:f>
              <c:numCache>
                <c:formatCode>0.0</c:formatCode>
                <c:ptCount val="4"/>
                <c:pt idx="0">
                  <c:v>63.617974608348639</c:v>
                </c:pt>
                <c:pt idx="1">
                  <c:v>61.069688294324429</c:v>
                </c:pt>
                <c:pt idx="2">
                  <c:v>50.926241711906663</c:v>
                </c:pt>
                <c:pt idx="3">
                  <c:v>37.134133389281224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BB8-4BE0-BBE4-C31819B08F7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60'!$W$5</c:f>
              <c:numCache>
                <c:formatCode>0.0</c:formatCode>
                <c:ptCount val="1"/>
                <c:pt idx="0">
                  <c:v>43.889485128061388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BB8-4BE0-BBE4-C31819B08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60'!$N$59:$N$62</c:f>
              <c:numCache>
                <c:formatCode>0.0</c:formatCode>
                <c:ptCount val="4"/>
                <c:pt idx="0">
                  <c:v>100.80833333333335</c:v>
                </c:pt>
                <c:pt idx="1">
                  <c:v>84.36272727272727</c:v>
                </c:pt>
                <c:pt idx="2">
                  <c:v>66.019090909090906</c:v>
                </c:pt>
                <c:pt idx="3">
                  <c:v>50.885454545454543</c:v>
                </c:pt>
              </c:numCache>
            </c:numRef>
          </c:xVal>
          <c:yVal>
            <c:numRef>
              <c:f>'Laskenta tulopuoli 60'!$O$59:$O$62</c:f>
              <c:numCache>
                <c:formatCode>0.0</c:formatCode>
                <c:ptCount val="4"/>
                <c:pt idx="0">
                  <c:v>73.463084655756148</c:v>
                </c:pt>
                <c:pt idx="1">
                  <c:v>72.844325501453028</c:v>
                </c:pt>
                <c:pt idx="2">
                  <c:v>73.377484864511445</c:v>
                </c:pt>
                <c:pt idx="3">
                  <c:v>74.883615288580316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E8-4DCA-949C-795BF843E855}"/>
            </c:ext>
          </c:extLst>
        </c:ser>
        <c:ser>
          <c:idx val="1"/>
          <c:order val="1"/>
          <c:tx>
            <c:strRef>
              <c:f>'Laskenta tulopuoli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60'!$N$64:$N$67</c:f>
              <c:numCache>
                <c:formatCode>0.0</c:formatCode>
                <c:ptCount val="4"/>
                <c:pt idx="0">
                  <c:v>89.261428571428567</c:v>
                </c:pt>
                <c:pt idx="1">
                  <c:v>74.599090909090918</c:v>
                </c:pt>
                <c:pt idx="2">
                  <c:v>57.18545454545454</c:v>
                </c:pt>
                <c:pt idx="3">
                  <c:v>45.010909090909095</c:v>
                </c:pt>
              </c:numCache>
            </c:numRef>
          </c:xVal>
          <c:yVal>
            <c:numRef>
              <c:f>'Laskenta tulopuoli 60'!$O$64:$O$67</c:f>
              <c:numCache>
                <c:formatCode>0.0</c:formatCode>
                <c:ptCount val="4"/>
                <c:pt idx="0">
                  <c:v>70.897854605553789</c:v>
                </c:pt>
                <c:pt idx="1">
                  <c:v>70.710057546995316</c:v>
                </c:pt>
                <c:pt idx="2">
                  <c:v>70.830937471938014</c:v>
                </c:pt>
                <c:pt idx="3">
                  <c:v>72.509865191750777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FE8-4DCA-949C-795BF843E855}"/>
            </c:ext>
          </c:extLst>
        </c:ser>
        <c:ser>
          <c:idx val="2"/>
          <c:order val="2"/>
          <c:tx>
            <c:strRef>
              <c:f>'Laskenta tulopuoli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60'!$N$69:$N$72</c:f>
              <c:numCache>
                <c:formatCode>0.0</c:formatCode>
                <c:ptCount val="4"/>
                <c:pt idx="0">
                  <c:v>54.800000000000018</c:v>
                </c:pt>
                <c:pt idx="1">
                  <c:v>46.856363636363632</c:v>
                </c:pt>
                <c:pt idx="2">
                  <c:v>36.492727272727272</c:v>
                </c:pt>
                <c:pt idx="3">
                  <c:v>26.934545454545454</c:v>
                </c:pt>
              </c:numCache>
            </c:numRef>
          </c:xVal>
          <c:yVal>
            <c:numRef>
              <c:f>'Laskenta tulopuoli 60'!$O$69:$O$72</c:f>
              <c:numCache>
                <c:formatCode>0.0</c:formatCode>
                <c:ptCount val="4"/>
                <c:pt idx="0">
                  <c:v>61.425878439568542</c:v>
                </c:pt>
                <c:pt idx="1">
                  <c:v>61.425103707020618</c:v>
                </c:pt>
                <c:pt idx="2">
                  <c:v>61.951981129231115</c:v>
                </c:pt>
                <c:pt idx="3">
                  <c:v>61.648215190594982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FE8-4DCA-949C-795BF843E855}"/>
            </c:ext>
          </c:extLst>
        </c:ser>
        <c:ser>
          <c:idx val="3"/>
          <c:order val="3"/>
          <c:tx>
            <c:strRef>
              <c:f>'Laskenta tulopuoli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60'!$N$74:$N$77</c:f>
              <c:numCache>
                <c:formatCode>0.0</c:formatCode>
                <c:ptCount val="4"/>
                <c:pt idx="0">
                  <c:v>26.427857142857146</c:v>
                </c:pt>
                <c:pt idx="1">
                  <c:v>23.416363636363634</c:v>
                </c:pt>
                <c:pt idx="2">
                  <c:v>18.350000000000001</c:v>
                </c:pt>
                <c:pt idx="3">
                  <c:v>13.623636363636363</c:v>
                </c:pt>
              </c:numCache>
            </c:numRef>
          </c:xVal>
          <c:yVal>
            <c:numRef>
              <c:f>'Laskenta tulopuoli 60'!$O$74:$O$77</c:f>
              <c:numCache>
                <c:formatCode>0.0</c:formatCode>
                <c:ptCount val="4"/>
                <c:pt idx="0">
                  <c:v>50.527020875026068</c:v>
                </c:pt>
                <c:pt idx="1">
                  <c:v>50.680435128406216</c:v>
                </c:pt>
                <c:pt idx="2">
                  <c:v>51.5281753279952</c:v>
                </c:pt>
                <c:pt idx="3">
                  <c:v>51.53606298607442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FE8-4DCA-949C-795BF843E85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23.47375874837595</c:v>
                </c:pt>
                <c:pt idx="1">
                  <c:v>20.351450158736</c:v>
                </c:pt>
                <c:pt idx="2">
                  <c:v>12.964166212914281</c:v>
                </c:pt>
                <c:pt idx="3">
                  <c:v>7.3210907399096659</c:v>
                </c:pt>
              </c:numCache>
            </c:numRef>
          </c:xVal>
          <c:yVal>
            <c:numRef>
              <c:f>'Laskenta tulopuoli 60'!$AG$34:$AG$37</c:f>
              <c:numCache>
                <c:formatCode>0.0</c:formatCode>
                <c:ptCount val="4"/>
                <c:pt idx="0">
                  <c:v>79.902893394517065</c:v>
                </c:pt>
                <c:pt idx="1">
                  <c:v>77.067693541853743</c:v>
                </c:pt>
                <c:pt idx="2">
                  <c:v>61.256525257640043</c:v>
                </c:pt>
                <c:pt idx="3">
                  <c:v>51.461342278021895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FE8-4DCA-949C-795BF843E85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60'!$W$6</c:f>
              <c:numCache>
                <c:formatCode>0.0</c:formatCode>
                <c:ptCount val="1"/>
                <c:pt idx="0">
                  <c:v>57.16178285188284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FE8-4DCA-949C-795BF843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60'!$X$59:$X$65</c:f>
              <c:numCache>
                <c:formatCode>0.0</c:formatCode>
                <c:ptCount val="7"/>
                <c:pt idx="0">
                  <c:v>96.723636363636345</c:v>
                </c:pt>
                <c:pt idx="1">
                  <c:v>80.354545454545459</c:v>
                </c:pt>
                <c:pt idx="2">
                  <c:v>42.587272727272719</c:v>
                </c:pt>
                <c:pt idx="3">
                  <c:v>100.80833333333335</c:v>
                </c:pt>
                <c:pt idx="4">
                  <c:v>84.36272727272727</c:v>
                </c:pt>
                <c:pt idx="5">
                  <c:v>66.019090909090906</c:v>
                </c:pt>
                <c:pt idx="6">
                  <c:v>50.885454545454543</c:v>
                </c:pt>
              </c:numCache>
            </c:numRef>
          </c:xVal>
          <c:yVal>
            <c:numRef>
              <c:f>'Laskenta tulopuoli 60'!$Y$59:$Y$65</c:f>
              <c:numCache>
                <c:formatCode>0.0</c:formatCode>
                <c:ptCount val="7"/>
                <c:pt idx="0">
                  <c:v>113.27948964249916</c:v>
                </c:pt>
                <c:pt idx="1">
                  <c:v>102.87442469929833</c:v>
                </c:pt>
                <c:pt idx="2">
                  <c:v>75.245481502293231</c:v>
                </c:pt>
                <c:pt idx="3">
                  <c:v>113.65438305372545</c:v>
                </c:pt>
                <c:pt idx="4">
                  <c:v>104.87036922149747</c:v>
                </c:pt>
                <c:pt idx="5">
                  <c:v>91.726942216503261</c:v>
                </c:pt>
                <c:pt idx="6">
                  <c:v>80.123569584691879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F7-4F6D-8740-08C8FC30EA76}"/>
            </c:ext>
          </c:extLst>
        </c:ser>
        <c:ser>
          <c:idx val="1"/>
          <c:order val="1"/>
          <c:tx>
            <c:strRef>
              <c:f>'Laskenta tulopuoli 60'!$W$67</c:f>
              <c:strCache>
                <c:ptCount val="1"/>
                <c:pt idx="0">
                  <c:v>7,5V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60'!$X$67:$X$73</c:f>
              <c:numCache>
                <c:formatCode>0.0</c:formatCode>
                <c:ptCount val="7"/>
                <c:pt idx="0">
                  <c:v>82.99727272727273</c:v>
                </c:pt>
                <c:pt idx="1">
                  <c:v>70.897272727272721</c:v>
                </c:pt>
                <c:pt idx="2">
                  <c:v>37.382727272727273</c:v>
                </c:pt>
                <c:pt idx="3">
                  <c:v>89.261428571428567</c:v>
                </c:pt>
                <c:pt idx="4">
                  <c:v>74.599090909090918</c:v>
                </c:pt>
                <c:pt idx="5">
                  <c:v>57.18545454545454</c:v>
                </c:pt>
                <c:pt idx="6">
                  <c:v>45.010909090909095</c:v>
                </c:pt>
              </c:numCache>
            </c:numRef>
          </c:xVal>
          <c:yVal>
            <c:numRef>
              <c:f>'Laskenta tulopuoli 60'!$Y$67:$Y$73</c:f>
              <c:numCache>
                <c:formatCode>0.0</c:formatCode>
                <c:ptCount val="7"/>
                <c:pt idx="0">
                  <c:v>78.255958790207444</c:v>
                </c:pt>
                <c:pt idx="1">
                  <c:v>72.802553211280866</c:v>
                </c:pt>
                <c:pt idx="2">
                  <c:v>52.379014670595019</c:v>
                </c:pt>
                <c:pt idx="3">
                  <c:v>81.810295802939748</c:v>
                </c:pt>
                <c:pt idx="4">
                  <c:v>76.627890610641956</c:v>
                </c:pt>
                <c:pt idx="5">
                  <c:v>65.407494463167055</c:v>
                </c:pt>
                <c:pt idx="6">
                  <c:v>56.273097889950385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F7-4F6D-8740-08C8FC30EA76}"/>
            </c:ext>
          </c:extLst>
        </c:ser>
        <c:ser>
          <c:idx val="2"/>
          <c:order val="2"/>
          <c:tx>
            <c:strRef>
              <c:f>'Laskenta tulopuoli 60'!$W$75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60'!$X$75:$X$81</c:f>
              <c:numCache>
                <c:formatCode>0.0</c:formatCode>
                <c:ptCount val="7"/>
                <c:pt idx="0">
                  <c:v>52.310909090909099</c:v>
                </c:pt>
                <c:pt idx="1">
                  <c:v>45.190909090909088</c:v>
                </c:pt>
                <c:pt idx="2">
                  <c:v>23.01</c:v>
                </c:pt>
                <c:pt idx="3">
                  <c:v>54.800000000000018</c:v>
                </c:pt>
                <c:pt idx="4">
                  <c:v>46.856363636363632</c:v>
                </c:pt>
                <c:pt idx="5">
                  <c:v>36.492727272727272</c:v>
                </c:pt>
                <c:pt idx="6">
                  <c:v>26.934545454545454</c:v>
                </c:pt>
              </c:numCache>
            </c:numRef>
          </c:xVal>
          <c:yVal>
            <c:numRef>
              <c:f>'Laskenta tulopuoli 60'!$Y$75:$Y$81</c:f>
              <c:numCache>
                <c:formatCode>0.0</c:formatCode>
                <c:ptCount val="7"/>
                <c:pt idx="0">
                  <c:v>25.325845818272938</c:v>
                </c:pt>
                <c:pt idx="1">
                  <c:v>22.775988006105152</c:v>
                </c:pt>
                <c:pt idx="2">
                  <c:v>17.067596645961789</c:v>
                </c:pt>
                <c:pt idx="3">
                  <c:v>25.952768140673616</c:v>
                </c:pt>
                <c:pt idx="4">
                  <c:v>24.143815384871559</c:v>
                </c:pt>
                <c:pt idx="5">
                  <c:v>20.500649722172916</c:v>
                </c:pt>
                <c:pt idx="6">
                  <c:v>18.132714267956356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F7-4F6D-8740-08C8FC30EA76}"/>
            </c:ext>
          </c:extLst>
        </c:ser>
        <c:ser>
          <c:idx val="3"/>
          <c:order val="3"/>
          <c:tx>
            <c:strRef>
              <c:f>'Laskenta tulopuoli 60'!$W$83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60'!$X$83:$X$89</c:f>
              <c:numCache>
                <c:formatCode>0.0</c:formatCode>
                <c:ptCount val="7"/>
                <c:pt idx="0">
                  <c:v>26.16090909090909</c:v>
                </c:pt>
                <c:pt idx="1">
                  <c:v>23.122727272727271</c:v>
                </c:pt>
                <c:pt idx="2">
                  <c:v>18.288181818181819</c:v>
                </c:pt>
                <c:pt idx="3">
                  <c:v>26.427857142857146</c:v>
                </c:pt>
                <c:pt idx="4">
                  <c:v>23.416363636363634</c:v>
                </c:pt>
                <c:pt idx="5">
                  <c:v>18.350000000000001</c:v>
                </c:pt>
                <c:pt idx="6">
                  <c:v>13.623636363636363</c:v>
                </c:pt>
              </c:numCache>
            </c:numRef>
          </c:xVal>
          <c:yVal>
            <c:numRef>
              <c:f>'Laskenta tulopuoli 60'!$Y$83:$Y$89</c:f>
              <c:numCache>
                <c:formatCode>0.0</c:formatCode>
                <c:ptCount val="7"/>
                <c:pt idx="0">
                  <c:v>7.1297314567323751</c:v>
                </c:pt>
                <c:pt idx="1">
                  <c:v>7.1955342389818666</c:v>
                </c:pt>
                <c:pt idx="2">
                  <c:v>6.0547261318075511</c:v>
                </c:pt>
                <c:pt idx="3">
                  <c:v>7.2464039897962467</c:v>
                </c:pt>
                <c:pt idx="4">
                  <c:v>6.9733060287072117</c:v>
                </c:pt>
                <c:pt idx="5">
                  <c:v>6.7232744090643006</c:v>
                </c:pt>
                <c:pt idx="6">
                  <c:v>6.2531096612725054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F7-4F6D-8740-08C8FC30EA76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60'!$AC$34:$AC$38</c:f>
              <c:numCache>
                <c:formatCode>0.0</c:formatCode>
                <c:ptCount val="5"/>
                <c:pt idx="0">
                  <c:v>23.47375874837595</c:v>
                </c:pt>
                <c:pt idx="1">
                  <c:v>20.351450158736</c:v>
                </c:pt>
                <c:pt idx="2">
                  <c:v>12.964166212914281</c:v>
                </c:pt>
                <c:pt idx="3">
                  <c:v>7.3210907399096659</c:v>
                </c:pt>
              </c:numCache>
            </c:numRef>
          </c:xVal>
          <c:yVal>
            <c:numRef>
              <c:f>'Laskenta tulopuoli 60'!$AE$34:$AE$37</c:f>
              <c:numCache>
                <c:formatCode>0.0</c:formatCode>
                <c:ptCount val="4"/>
                <c:pt idx="0">
                  <c:v>58.258942635988291</c:v>
                </c:pt>
                <c:pt idx="1">
                  <c:v>37.809506554415663</c:v>
                </c:pt>
                <c:pt idx="2">
                  <c:v>14.674136944129014</c:v>
                </c:pt>
                <c:pt idx="3">
                  <c:v>5.8790136945500322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7F7-4F6D-8740-08C8FC30EA76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60'!$W$13</c:f>
              <c:numCache>
                <c:formatCode>0.0</c:formatCode>
                <c:ptCount val="1"/>
                <c:pt idx="0">
                  <c:v>7.8979895296863347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7F7-4F6D-8740-08C8FC30E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Tilavuusvirta vs paine-ero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60'!$AB$4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9.781364829396326E-2"/>
                  <c:y val="-0.614562919218430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60'!$AB$6:$AB$12</c:f>
              <c:numCache>
                <c:formatCode>0.0</c:formatCode>
                <c:ptCount val="7"/>
                <c:pt idx="0">
                  <c:v>116.53439357132875</c:v>
                </c:pt>
                <c:pt idx="1">
                  <c:v>106.04294190771634</c:v>
                </c:pt>
                <c:pt idx="2">
                  <c:v>97.229113962616722</c:v>
                </c:pt>
                <c:pt idx="3">
                  <c:v>88.57761083726021</c:v>
                </c:pt>
                <c:pt idx="4">
                  <c:v>76.366556139312408</c:v>
                </c:pt>
                <c:pt idx="5">
                  <c:v>58.980839057652446</c:v>
                </c:pt>
                <c:pt idx="6">
                  <c:v>44.277754454596312</c:v>
                </c:pt>
              </c:numCache>
            </c:numRef>
          </c:xVal>
          <c:yVal>
            <c:numRef>
              <c:f>'Laskenta poistopuoli 60'!$AA$6:$AA$12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2C-496B-9146-24D17EDEBEAC}"/>
            </c:ext>
          </c:extLst>
        </c:ser>
        <c:ser>
          <c:idx val="1"/>
          <c:order val="1"/>
          <c:tx>
            <c:strRef>
              <c:f>'Laskenta poistopuoli 60'!$AD$4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0640726159230097"/>
                  <c:y val="-0.4525258821813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60'!$AD$6:$AD$12</c:f>
              <c:numCache>
                <c:formatCode>0.0</c:formatCode>
                <c:ptCount val="7"/>
                <c:pt idx="0">
                  <c:v>112.6869797142791</c:v>
                </c:pt>
                <c:pt idx="1">
                  <c:v>101.16251296817727</c:v>
                </c:pt>
                <c:pt idx="2">
                  <c:v>92.618224317416534</c:v>
                </c:pt>
                <c:pt idx="3">
                  <c:v>82.962402646329451</c:v>
                </c:pt>
                <c:pt idx="4">
                  <c:v>71.599428630662572</c:v>
                </c:pt>
                <c:pt idx="5">
                  <c:v>57.073060803556054</c:v>
                </c:pt>
                <c:pt idx="6">
                  <c:v>39.254349206872753</c:v>
                </c:pt>
              </c:numCache>
            </c:numRef>
          </c:xVal>
          <c:yVal>
            <c:numRef>
              <c:f>'Laskenta poistopuoli 60'!$AC$6:$AC$12</c:f>
              <c:numCache>
                <c:formatCode>0.0</c:formatCode>
                <c:ptCount val="7"/>
                <c:pt idx="0">
                  <c:v>24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2C-496B-9146-24D17EDEBEAC}"/>
            </c:ext>
          </c:extLst>
        </c:ser>
        <c:ser>
          <c:idx val="2"/>
          <c:order val="2"/>
          <c:tx>
            <c:strRef>
              <c:f>'Laskenta poistopuoli 60'!$AF$4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44694860017497812"/>
                  <c:y val="-0.332554316127150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60'!$AF$6:$AF$11</c:f>
              <c:numCache>
                <c:formatCode>0.0</c:formatCode>
                <c:ptCount val="6"/>
                <c:pt idx="0">
                  <c:v>72.284594299567686</c:v>
                </c:pt>
                <c:pt idx="1">
                  <c:v>65.038512656650866</c:v>
                </c:pt>
                <c:pt idx="2">
                  <c:v>58.173257245729815</c:v>
                </c:pt>
                <c:pt idx="3">
                  <c:v>50.616285442767648</c:v>
                </c:pt>
                <c:pt idx="4">
                  <c:v>42.103641313068522</c:v>
                </c:pt>
                <c:pt idx="5">
                  <c:v>19.574933517601881</c:v>
                </c:pt>
              </c:numCache>
            </c:numRef>
          </c:xVal>
          <c:yVal>
            <c:numRef>
              <c:f>'Laskenta poistopuoli 60'!$AE$6:$AE$11</c:f>
              <c:numCache>
                <c:formatCode>0.0</c:formatCode>
                <c:ptCount val="6"/>
                <c:pt idx="0">
                  <c:v>17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E2C-496B-9146-24D17EDEBEAC}"/>
            </c:ext>
          </c:extLst>
        </c:ser>
        <c:ser>
          <c:idx val="3"/>
          <c:order val="3"/>
          <c:tx>
            <c:strRef>
              <c:f>'Laskenta poistopuoli 60'!$AH$4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64722222222222225"/>
                  <c:y val="-0.202924686497521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60'!$AH$6:$AH$10</c:f>
              <c:numCache>
                <c:formatCode>0.0</c:formatCode>
                <c:ptCount val="5"/>
                <c:pt idx="0">
                  <c:v>36.100405459595137</c:v>
                </c:pt>
                <c:pt idx="1">
                  <c:v>30.228941518656235</c:v>
                </c:pt>
                <c:pt idx="2">
                  <c:v>23.211710481821601</c:v>
                </c:pt>
                <c:pt idx="3">
                  <c:v>18.983097435077962</c:v>
                </c:pt>
                <c:pt idx="4">
                  <c:v>10.086604002383522</c:v>
                </c:pt>
              </c:numCache>
            </c:numRef>
          </c:xVal>
          <c:yVal>
            <c:numRef>
              <c:f>'Laskenta poistopuoli 60'!$AG$6:$AG$10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E2C-496B-9146-24D17EDEBEAC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60'!$L$3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E2C-496B-9146-24D17EDEBEAC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19.92881479150515</c:v>
                </c:pt>
                <c:pt idx="1">
                  <c:v>18.368692138166391</c:v>
                </c:pt>
                <c:pt idx="2">
                  <c:v>11.881830025064348</c:v>
                </c:pt>
                <c:pt idx="3">
                  <c:v>6.5390573438476478</c:v>
                </c:pt>
              </c:numCache>
            </c:numRef>
          </c:xVal>
          <c:yVal>
            <c:numRef>
              <c:f>'Laskenta poistopuoli 60'!$AD$34:$AD$37</c:f>
              <c:numCache>
                <c:formatCode>0.0</c:formatCode>
                <c:ptCount val="4"/>
                <c:pt idx="0">
                  <c:v>420.17659269907949</c:v>
                </c:pt>
                <c:pt idx="1">
                  <c:v>356.96479242717533</c:v>
                </c:pt>
                <c:pt idx="2">
                  <c:v>149.36043969706026</c:v>
                </c:pt>
                <c:pt idx="3">
                  <c:v>45.237563384638143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E2C-496B-9146-24D17EDEBEAC}"/>
            </c:ext>
          </c:extLst>
        </c:ser>
        <c:ser>
          <c:idx val="6"/>
          <c:order val="6"/>
          <c:tx>
            <c:v>Otsikot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F0852E42-7A44-40F7-8811-4E5D6E48C64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FE2C-496B-9146-24D17EDEBE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0955CE2-23B9-49F6-839D-08B5ABAC49F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FE2C-496B-9146-24D17EDEBE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3E21870-265B-4730-9129-E7271862269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FE2C-496B-9146-24D17EDEBEA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A16C024-B816-4DF7-B971-F8C1EC19E70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FE2C-496B-9146-24D17EDEB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('Laskenta poistopuoli 60'!$AH$10,'Laskenta poistopuoli 60'!$AF$11,'Laskenta poistopuoli 60'!$AD$12,'Laskenta poistopuoli 60'!$AB$12)</c:f>
              <c:numCache>
                <c:formatCode>0.0</c:formatCode>
                <c:ptCount val="4"/>
                <c:pt idx="0">
                  <c:v>10.086604002383522</c:v>
                </c:pt>
                <c:pt idx="1">
                  <c:v>19.574933517601881</c:v>
                </c:pt>
                <c:pt idx="2">
                  <c:v>39.254349206872753</c:v>
                </c:pt>
                <c:pt idx="3">
                  <c:v>44.277754454596312</c:v>
                </c:pt>
              </c:numCache>
            </c:numRef>
          </c:xVal>
          <c:yVal>
            <c:numRef>
              <c:f>('Laskenta poistopuoli 60'!$AG$10,'Laskenta poistopuoli 60'!$AE$11,'Laskenta poistopuoli 60'!$AC$12,'Laskenta poistopuoli 60'!$AA$12)</c:f>
              <c:numCache>
                <c:formatCode>0.0</c:formatCode>
                <c:ptCount val="4"/>
                <c:pt idx="0">
                  <c:v>43</c:v>
                </c:pt>
                <c:pt idx="1">
                  <c:v>140</c:v>
                </c:pt>
                <c:pt idx="2">
                  <c:v>340</c:v>
                </c:pt>
                <c:pt idx="3">
                  <c:v>422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('Laskenta poistopuoli 60'!$AH$4,'Laskenta poistopuoli 60'!$AF$4,'Laskenta poistopuoli 60'!$AD$4,'Laskenta poistopuoli 60'!$AB$4)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10-FE2C-496B-9146-24D17EDEB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60'!$U$35:$U$37</c:f>
              <c:numCache>
                <c:formatCode>General</c:formatCode>
                <c:ptCount val="3"/>
                <c:pt idx="0">
                  <c:v>7.5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poistopuoli 60'!$AC$35:$AC$37</c:f>
              <c:numCache>
                <c:formatCode>0.0</c:formatCode>
                <c:ptCount val="3"/>
                <c:pt idx="0">
                  <c:v>18.368692138166391</c:v>
                </c:pt>
                <c:pt idx="1">
                  <c:v>11.881830025064348</c:v>
                </c:pt>
                <c:pt idx="2">
                  <c:v>6.5390573438476478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02-4926-839D-28B582630AF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60'!$U$34:$U$35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poistopuoli 60'!$AC$34:$AC$35</c:f>
              <c:numCache>
                <c:formatCode>0.0</c:formatCode>
                <c:ptCount val="2"/>
                <c:pt idx="0">
                  <c:v>19.92881479150515</c:v>
                </c:pt>
                <c:pt idx="1">
                  <c:v>18.368692138166391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02-4926-839D-28B582630AF6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60'!$W$9</c:f>
              <c:numCache>
                <c:formatCode>0.0000</c:formatCode>
                <c:ptCount val="1"/>
                <c:pt idx="0">
                  <c:v>4.1995662556104829</c:v>
                </c:pt>
              </c:numCache>
            </c:numRef>
          </c:xVal>
          <c:yVal>
            <c:numRef>
              <c:f>'Laskenta poistopuoli 60'!$J$3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F02-4926-839D-28B582630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318946347922726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60'!$D$59:$D$62</c:f>
              <c:numCache>
                <c:formatCode>0.0</c:formatCode>
                <c:ptCount val="4"/>
                <c:pt idx="0">
                  <c:v>107.87470909090911</c:v>
                </c:pt>
                <c:pt idx="1">
                  <c:v>100.38941818181817</c:v>
                </c:pt>
                <c:pt idx="2">
                  <c:v>81.448654545454545</c:v>
                </c:pt>
                <c:pt idx="3">
                  <c:v>53.089945454545457</c:v>
                </c:pt>
              </c:numCache>
            </c:numRef>
          </c:xVal>
          <c:yVal>
            <c:numRef>
              <c:f>'Laskenta poistopuoli 60'!$E$59:$E$62</c:f>
              <c:numCache>
                <c:formatCode>0.0</c:formatCode>
                <c:ptCount val="4"/>
                <c:pt idx="0">
                  <c:v>63.493905363116568</c:v>
                </c:pt>
                <c:pt idx="1">
                  <c:v>63.297960771432606</c:v>
                </c:pt>
                <c:pt idx="2">
                  <c:v>64.272693827427119</c:v>
                </c:pt>
                <c:pt idx="3">
                  <c:v>64.865434420758902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17-405F-BECE-BD2ACC20EB31}"/>
            </c:ext>
          </c:extLst>
        </c:ser>
        <c:ser>
          <c:idx val="1"/>
          <c:order val="1"/>
          <c:tx>
            <c:strRef>
              <c:f>'Laskenta poistopuoli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60'!$D$64:$D$67</c:f>
              <c:numCache>
                <c:formatCode>0.0</c:formatCode>
                <c:ptCount val="4"/>
                <c:pt idx="0">
                  <c:v>101.3108</c:v>
                </c:pt>
                <c:pt idx="1">
                  <c:v>91.942481818181818</c:v>
                </c:pt>
                <c:pt idx="2">
                  <c:v>73.066327272727278</c:v>
                </c:pt>
                <c:pt idx="3">
                  <c:v>47.035418181818187</c:v>
                </c:pt>
              </c:numCache>
            </c:numRef>
          </c:xVal>
          <c:yVal>
            <c:numRef>
              <c:f>'Laskenta poistopuoli 60'!$E$64:$E$67</c:f>
              <c:numCache>
                <c:formatCode>0.0</c:formatCode>
                <c:ptCount val="4"/>
                <c:pt idx="0">
                  <c:v>61.793578745932216</c:v>
                </c:pt>
                <c:pt idx="1">
                  <c:v>61.699170450617359</c:v>
                </c:pt>
                <c:pt idx="2">
                  <c:v>61.499502073968259</c:v>
                </c:pt>
                <c:pt idx="3">
                  <c:v>61.988694002013098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17-405F-BECE-BD2ACC20EB31}"/>
            </c:ext>
          </c:extLst>
        </c:ser>
        <c:ser>
          <c:idx val="2"/>
          <c:order val="2"/>
          <c:tx>
            <c:strRef>
              <c:f>'Laskenta poistopuoli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60'!$D$69:$D$72</c:f>
              <c:numCache>
                <c:formatCode>0.0</c:formatCode>
                <c:ptCount val="4"/>
                <c:pt idx="0">
                  <c:v>65.452754545454553</c:v>
                </c:pt>
                <c:pt idx="1">
                  <c:v>57.993681818181834</c:v>
                </c:pt>
                <c:pt idx="2">
                  <c:v>44.934218181818181</c:v>
                </c:pt>
                <c:pt idx="3">
                  <c:v>29.378409090909091</c:v>
                </c:pt>
              </c:numCache>
            </c:numRef>
          </c:xVal>
          <c:yVal>
            <c:numRef>
              <c:f>'Laskenta poistopuoli 60'!$E$69:$E$72</c:f>
              <c:numCache>
                <c:formatCode>0.0</c:formatCode>
                <c:ptCount val="4"/>
                <c:pt idx="0">
                  <c:v>52.868290053988929</c:v>
                </c:pt>
                <c:pt idx="1">
                  <c:v>52.712110718059428</c:v>
                </c:pt>
                <c:pt idx="2">
                  <c:v>52.963067261199228</c:v>
                </c:pt>
                <c:pt idx="3">
                  <c:v>53.674108156872919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417-405F-BECE-BD2ACC20EB31}"/>
            </c:ext>
          </c:extLst>
        </c:ser>
        <c:ser>
          <c:idx val="3"/>
          <c:order val="3"/>
          <c:tx>
            <c:strRef>
              <c:f>'Laskenta poistopuoli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60'!$D$74:$D$77</c:f>
              <c:numCache>
                <c:formatCode>0.0</c:formatCode>
                <c:ptCount val="4"/>
                <c:pt idx="0">
                  <c:v>34.816809090909096</c:v>
                </c:pt>
                <c:pt idx="1">
                  <c:v>30.149972727272729</c:v>
                </c:pt>
                <c:pt idx="2">
                  <c:v>24.396954545454545</c:v>
                </c:pt>
                <c:pt idx="3">
                  <c:v>16.460336363636365</c:v>
                </c:pt>
              </c:numCache>
            </c:numRef>
          </c:xVal>
          <c:yVal>
            <c:numRef>
              <c:f>'Laskenta poistopuoli 60'!$E$74:$E$77</c:f>
              <c:numCache>
                <c:formatCode>0.0</c:formatCode>
                <c:ptCount val="4"/>
                <c:pt idx="0">
                  <c:v>42.366259498052571</c:v>
                </c:pt>
                <c:pt idx="1">
                  <c:v>42.107331253167118</c:v>
                </c:pt>
                <c:pt idx="2">
                  <c:v>41.590965679616225</c:v>
                </c:pt>
                <c:pt idx="3">
                  <c:v>40.405469839560325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417-405F-BECE-BD2ACC20EB3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E1-43FB-BB02-4BE22AD576F9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E1-43FB-BB02-4BE22AD576F9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6754751601995694"/>
                  <c:y val="-7.1665923638555479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19.92881479150515</c:v>
                </c:pt>
                <c:pt idx="1">
                  <c:v>18.368692138166391</c:v>
                </c:pt>
                <c:pt idx="2">
                  <c:v>11.881830025064348</c:v>
                </c:pt>
                <c:pt idx="3">
                  <c:v>6.5390573438476478</c:v>
                </c:pt>
              </c:numCache>
            </c:numRef>
          </c:xVal>
          <c:yVal>
            <c:numRef>
              <c:f>'Laskenta poistopuoli 60'!$AF$34:$AF$37</c:f>
              <c:numCache>
                <c:formatCode>0.0</c:formatCode>
                <c:ptCount val="4"/>
                <c:pt idx="0">
                  <c:v>65.854425857444198</c:v>
                </c:pt>
                <c:pt idx="1">
                  <c:v>61.9488541005055</c:v>
                </c:pt>
                <c:pt idx="2">
                  <c:v>55.229947072403469</c:v>
                </c:pt>
                <c:pt idx="3">
                  <c:v>38.23408498600358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417-405F-BECE-BD2ACC20EB3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60'!$W$5</c:f>
              <c:numCache>
                <c:formatCode>0.0</c:formatCode>
                <c:ptCount val="1"/>
                <c:pt idx="0">
                  <c:v>48.455699056189331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417-405F-BECE-BD2ACC20E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C5'!$X$59:$X$69</c:f>
              <c:numCache>
                <c:formatCode>0.0</c:formatCode>
                <c:ptCount val="11"/>
                <c:pt idx="0">
                  <c:v>674.36299626286564</c:v>
                </c:pt>
                <c:pt idx="1">
                  <c:v>619.75622950943864</c:v>
                </c:pt>
                <c:pt idx="2">
                  <c:v>575.70979967708138</c:v>
                </c:pt>
                <c:pt idx="3">
                  <c:v>531.9102128639488</c:v>
                </c:pt>
                <c:pt idx="4">
                  <c:v>485.87360304356628</c:v>
                </c:pt>
                <c:pt idx="5">
                  <c:v>448.27724667478429</c:v>
                </c:pt>
                <c:pt idx="6">
                  <c:v>382.24188801319252</c:v>
                </c:pt>
                <c:pt idx="7">
                  <c:v>332.98888663241814</c:v>
                </c:pt>
                <c:pt idx="8">
                  <c:v>290.35150148577384</c:v>
                </c:pt>
                <c:pt idx="9">
                  <c:v>253.09258262991236</c:v>
                </c:pt>
                <c:pt idx="10">
                  <c:v>136.29100234952259</c:v>
                </c:pt>
              </c:numCache>
            </c:numRef>
          </c:xVal>
          <c:yVal>
            <c:numRef>
              <c:f>'Laskenta poistopuoli C5'!$Y$59:$Y$69</c:f>
              <c:numCache>
                <c:formatCode>0.0</c:formatCode>
                <c:ptCount val="11"/>
                <c:pt idx="0">
                  <c:v>716.49618113958047</c:v>
                </c:pt>
                <c:pt idx="1">
                  <c:v>721.23941765082304</c:v>
                </c:pt>
                <c:pt idx="2">
                  <c:v>711.92594926186428</c:v>
                </c:pt>
                <c:pt idx="3">
                  <c:v>721.69185282983938</c:v>
                </c:pt>
                <c:pt idx="4">
                  <c:v>712.82728802907093</c:v>
                </c:pt>
                <c:pt idx="5">
                  <c:v>727.13082927200526</c:v>
                </c:pt>
                <c:pt idx="6">
                  <c:v>722.57752963845462</c:v>
                </c:pt>
                <c:pt idx="7">
                  <c:v>727.98009833787376</c:v>
                </c:pt>
                <c:pt idx="8">
                  <c:v>721.57159322242205</c:v>
                </c:pt>
                <c:pt idx="9">
                  <c:v>719.45378862223436</c:v>
                </c:pt>
                <c:pt idx="10">
                  <c:v>658.16186854383761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FC-4606-B30E-5E75C2FAEADF}"/>
            </c:ext>
          </c:extLst>
        </c:ser>
        <c:ser>
          <c:idx val="1"/>
          <c:order val="1"/>
          <c:tx>
            <c:strRef>
              <c:f>'Laskenta poistopuoli C5'!$W$72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C5'!$X$72:$X$79</c:f>
              <c:numCache>
                <c:formatCode>0.0</c:formatCode>
                <c:ptCount val="8"/>
                <c:pt idx="0">
                  <c:v>122.24905658867428</c:v>
                </c:pt>
                <c:pt idx="1">
                  <c:v>219.8837048137799</c:v>
                </c:pt>
                <c:pt idx="2">
                  <c:v>291.37655253171908</c:v>
                </c:pt>
                <c:pt idx="3">
                  <c:v>373.61515858933637</c:v>
                </c:pt>
                <c:pt idx="4">
                  <c:v>432.72526367431328</c:v>
                </c:pt>
                <c:pt idx="5">
                  <c:v>492.23312696216925</c:v>
                </c:pt>
                <c:pt idx="6">
                  <c:v>553.35682118021884</c:v>
                </c:pt>
                <c:pt idx="7">
                  <c:v>608.06270403317217</c:v>
                </c:pt>
              </c:numCache>
            </c:numRef>
          </c:xVal>
          <c:yVal>
            <c:numRef>
              <c:f>'Laskenta poistopuoli C5'!$Y$72:$Y$79</c:f>
              <c:numCache>
                <c:formatCode>0.0</c:formatCode>
                <c:ptCount val="8"/>
                <c:pt idx="0">
                  <c:v>375.40970534107731</c:v>
                </c:pt>
                <c:pt idx="1">
                  <c:v>432.04163254398071</c:v>
                </c:pt>
                <c:pt idx="2">
                  <c:v>475.10664093817343</c:v>
                </c:pt>
                <c:pt idx="3">
                  <c:v>511.29601912261444</c:v>
                </c:pt>
                <c:pt idx="4">
                  <c:v>523.11688322085115</c:v>
                </c:pt>
                <c:pt idx="5">
                  <c:v>534.23326105690774</c:v>
                </c:pt>
                <c:pt idx="6">
                  <c:v>537.65762294250646</c:v>
                </c:pt>
                <c:pt idx="7">
                  <c:v>529.85369164769452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4FC-4606-B30E-5E75C2FAEADF}"/>
            </c:ext>
          </c:extLst>
        </c:ser>
        <c:ser>
          <c:idx val="2"/>
          <c:order val="2"/>
          <c:tx>
            <c:strRef>
              <c:f>'Laskenta poistopuoli C5'!$W$82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C5'!$X$82:$X$87</c:f>
              <c:numCache>
                <c:formatCode>0.0</c:formatCode>
                <c:ptCount val="6"/>
                <c:pt idx="0">
                  <c:v>437.09502645593631</c:v>
                </c:pt>
                <c:pt idx="1">
                  <c:v>394.28163711981273</c:v>
                </c:pt>
                <c:pt idx="2">
                  <c:v>328.64795566701792</c:v>
                </c:pt>
                <c:pt idx="3">
                  <c:v>239.26687501329309</c:v>
                </c:pt>
                <c:pt idx="4">
                  <c:v>125.09677847359325</c:v>
                </c:pt>
                <c:pt idx="5">
                  <c:v>87.518883253945248</c:v>
                </c:pt>
              </c:numCache>
            </c:numRef>
          </c:xVal>
          <c:yVal>
            <c:numRef>
              <c:f>'Laskenta poistopuoli C5'!$Y$82:$Y$87</c:f>
              <c:numCache>
                <c:formatCode>0.0</c:formatCode>
                <c:ptCount val="6"/>
                <c:pt idx="0">
                  <c:v>233.97933626846964</c:v>
                </c:pt>
                <c:pt idx="1">
                  <c:v>233.34624325599171</c:v>
                </c:pt>
                <c:pt idx="2">
                  <c:v>228.01839565857776</c:v>
                </c:pt>
                <c:pt idx="3">
                  <c:v>212.65556833899674</c:v>
                </c:pt>
                <c:pt idx="4">
                  <c:v>176.73553697391463</c:v>
                </c:pt>
                <c:pt idx="5">
                  <c:v>162.52122575298847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4FC-4606-B30E-5E75C2FAEADF}"/>
            </c:ext>
          </c:extLst>
        </c:ser>
        <c:ser>
          <c:idx val="3"/>
          <c:order val="3"/>
          <c:tx>
            <c:strRef>
              <c:f>'Laskenta poistopuoli C5'!$W$90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C5'!$X$90:$X$96</c:f>
              <c:numCache>
                <c:formatCode>0.0</c:formatCode>
                <c:ptCount val="7"/>
                <c:pt idx="0">
                  <c:v>51.013168217665502</c:v>
                </c:pt>
                <c:pt idx="1">
                  <c:v>136.01442023400173</c:v>
                </c:pt>
                <c:pt idx="2">
                  <c:v>183.80496602763066</c:v>
                </c:pt>
                <c:pt idx="3">
                  <c:v>259.6592085033314</c:v>
                </c:pt>
              </c:numCache>
            </c:numRef>
          </c:xVal>
          <c:yVal>
            <c:numRef>
              <c:f>'Laskenta poistopuoli C5'!$Y$90:$Y$96</c:f>
              <c:numCache>
                <c:formatCode>0.0</c:formatCode>
                <c:ptCount val="7"/>
                <c:pt idx="0">
                  <c:v>56.660474770685525</c:v>
                </c:pt>
                <c:pt idx="1">
                  <c:v>68.298652958386654</c:v>
                </c:pt>
                <c:pt idx="2">
                  <c:v>73.600868699606707</c:v>
                </c:pt>
                <c:pt idx="3">
                  <c:v>77.833394759423982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4FC-4606-B30E-5E75C2FAEADF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C5'!$AC$34:$AC$38</c:f>
              <c:numCache>
                <c:formatCode>0.0</c:formatCode>
                <c:ptCount val="5"/>
                <c:pt idx="0">
                  <c:v>630.85203284584327</c:v>
                </c:pt>
                <c:pt idx="1">
                  <c:v>567.9176681107507</c:v>
                </c:pt>
                <c:pt idx="2">
                  <c:v>413.51117866177191</c:v>
                </c:pt>
                <c:pt idx="3">
                  <c:v>258.94974384138897</c:v>
                </c:pt>
              </c:numCache>
            </c:numRef>
          </c:xVal>
          <c:yVal>
            <c:numRef>
              <c:f>'Laskenta poistopuoli C5'!$AE$34:$AE$37</c:f>
              <c:numCache>
                <c:formatCode>0.0</c:formatCode>
                <c:ptCount val="4"/>
                <c:pt idx="0">
                  <c:v>717.03588138044131</c:v>
                </c:pt>
                <c:pt idx="1">
                  <c:v>535.39799210013757</c:v>
                </c:pt>
                <c:pt idx="2">
                  <c:v>233.92936103631121</c:v>
                </c:pt>
                <c:pt idx="3">
                  <c:v>77.877516863318959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4FC-4606-B30E-5E75C2FAEADF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C5'!$J$3</c:f>
              <c:numCache>
                <c:formatCode>0</c:formatCode>
                <c:ptCount val="1"/>
                <c:pt idx="0">
                  <c:v>450</c:v>
                </c:pt>
              </c:numCache>
            </c:numRef>
          </c:xVal>
          <c:yVal>
            <c:numRef>
              <c:f>'Laskenta poistopuoli C5'!$W$13</c:f>
              <c:numCache>
                <c:formatCode>0.0</c:formatCode>
                <c:ptCount val="1"/>
                <c:pt idx="0">
                  <c:v>285.04718273449032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4FC-4606-B30E-5E75C2FAE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60'!$N$59:$N$62</c:f>
              <c:numCache>
                <c:formatCode>0.0</c:formatCode>
                <c:ptCount val="4"/>
                <c:pt idx="0">
                  <c:v>105.87988000000001</c:v>
                </c:pt>
                <c:pt idx="1">
                  <c:v>93.874200000000016</c:v>
                </c:pt>
                <c:pt idx="2">
                  <c:v>78.199472727272749</c:v>
                </c:pt>
                <c:pt idx="3">
                  <c:v>56.082470000000015</c:v>
                </c:pt>
              </c:numCache>
            </c:numRef>
          </c:xVal>
          <c:yVal>
            <c:numRef>
              <c:f>'Laskenta poistopuoli 60'!$O$59:$O$62</c:f>
              <c:numCache>
                <c:formatCode>0.0</c:formatCode>
                <c:ptCount val="4"/>
                <c:pt idx="0">
                  <c:v>74.153114524051219</c:v>
                </c:pt>
                <c:pt idx="1">
                  <c:v>74.019684338213324</c:v>
                </c:pt>
                <c:pt idx="2">
                  <c:v>74.473808384522599</c:v>
                </c:pt>
                <c:pt idx="3">
                  <c:v>74.731939131631037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9B-49D7-A743-4DD17BC6F590}"/>
            </c:ext>
          </c:extLst>
        </c:ser>
        <c:ser>
          <c:idx val="1"/>
          <c:order val="1"/>
          <c:tx>
            <c:strRef>
              <c:f>'Laskenta poistopuoli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60'!$N$64:$N$67</c:f>
              <c:numCache>
                <c:formatCode>0.0</c:formatCode>
                <c:ptCount val="4"/>
                <c:pt idx="0">
                  <c:v>102.35830999999999</c:v>
                </c:pt>
                <c:pt idx="1">
                  <c:v>86.961870000000005</c:v>
                </c:pt>
                <c:pt idx="2">
                  <c:v>71.166445454545453</c:v>
                </c:pt>
                <c:pt idx="3">
                  <c:v>48.991949999999996</c:v>
                </c:pt>
              </c:numCache>
            </c:numRef>
          </c:xVal>
          <c:yVal>
            <c:numRef>
              <c:f>'Laskenta poistopuoli 60'!$O$64:$O$67</c:f>
              <c:numCache>
                <c:formatCode>0.0</c:formatCode>
                <c:ptCount val="4"/>
                <c:pt idx="0">
                  <c:v>73.498378980241881</c:v>
                </c:pt>
                <c:pt idx="1">
                  <c:v>72.346734218995607</c:v>
                </c:pt>
                <c:pt idx="2">
                  <c:v>72.760088595110957</c:v>
                </c:pt>
                <c:pt idx="3">
                  <c:v>72.837280093152657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9B-49D7-A743-4DD17BC6F590}"/>
            </c:ext>
          </c:extLst>
        </c:ser>
        <c:ser>
          <c:idx val="2"/>
          <c:order val="2"/>
          <c:tx>
            <c:strRef>
              <c:f>'Laskenta poistopuoli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60'!$N$69:$N$72</c:f>
              <c:numCache>
                <c:formatCode>0.0</c:formatCode>
                <c:ptCount val="4"/>
                <c:pt idx="0">
                  <c:v>64.71593</c:v>
                </c:pt>
                <c:pt idx="1">
                  <c:v>56.397649999999999</c:v>
                </c:pt>
                <c:pt idx="2">
                  <c:v>44.364674999999998</c:v>
                </c:pt>
                <c:pt idx="3">
                  <c:v>29.709320000000002</c:v>
                </c:pt>
              </c:numCache>
            </c:numRef>
          </c:xVal>
          <c:yVal>
            <c:numRef>
              <c:f>'Laskenta poistopuoli 60'!$O$69:$O$72</c:f>
              <c:numCache>
                <c:formatCode>0.0</c:formatCode>
                <c:ptCount val="4"/>
                <c:pt idx="0">
                  <c:v>63.976360137079489</c:v>
                </c:pt>
                <c:pt idx="1">
                  <c:v>63.699748362510455</c:v>
                </c:pt>
                <c:pt idx="2">
                  <c:v>63.071506226769486</c:v>
                </c:pt>
                <c:pt idx="3">
                  <c:v>62.888425314827082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9B-49D7-A743-4DD17BC6F590}"/>
            </c:ext>
          </c:extLst>
        </c:ser>
        <c:ser>
          <c:idx val="3"/>
          <c:order val="3"/>
          <c:tx>
            <c:strRef>
              <c:f>'Laskenta poistopuoli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60'!$N$74:$N$77</c:f>
              <c:numCache>
                <c:formatCode>0.0</c:formatCode>
                <c:ptCount val="4"/>
                <c:pt idx="0">
                  <c:v>35.238360000000007</c:v>
                </c:pt>
                <c:pt idx="1">
                  <c:v>30.224881818181821</c:v>
                </c:pt>
                <c:pt idx="2">
                  <c:v>24.517433333333333</c:v>
                </c:pt>
                <c:pt idx="3">
                  <c:v>14.840427272727274</c:v>
                </c:pt>
              </c:numCache>
            </c:numRef>
          </c:xVal>
          <c:yVal>
            <c:numRef>
              <c:f>'Laskenta poistopuoli 60'!$O$74:$O$77</c:f>
              <c:numCache>
                <c:formatCode>0.0</c:formatCode>
                <c:ptCount val="4"/>
                <c:pt idx="0">
                  <c:v>51.518710353097447</c:v>
                </c:pt>
                <c:pt idx="1">
                  <c:v>51.287101111206105</c:v>
                </c:pt>
                <c:pt idx="2">
                  <c:v>51.541325939689521</c:v>
                </c:pt>
                <c:pt idx="3">
                  <c:v>50.805528934021993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9B-49D7-A743-4DD17BC6F590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19.92881479150515</c:v>
                </c:pt>
                <c:pt idx="1">
                  <c:v>18.368692138166391</c:v>
                </c:pt>
                <c:pt idx="2">
                  <c:v>11.881830025064348</c:v>
                </c:pt>
                <c:pt idx="3">
                  <c:v>6.5390573438476478</c:v>
                </c:pt>
              </c:numCache>
            </c:numRef>
          </c:xVal>
          <c:yVal>
            <c:numRef>
              <c:f>'Laskenta poistopuoli 60'!$AG$34:$AG$37</c:f>
              <c:numCache>
                <c:formatCode>0.0</c:formatCode>
                <c:ptCount val="4"/>
                <c:pt idx="0">
                  <c:v>75.756823340132215</c:v>
                </c:pt>
                <c:pt idx="1">
                  <c:v>75.019694266734206</c:v>
                </c:pt>
                <c:pt idx="2">
                  <c:v>62.923361435430799</c:v>
                </c:pt>
                <c:pt idx="3">
                  <c:v>49.970028468928675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F9B-49D7-A743-4DD17BC6F590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60'!$W$6</c:f>
              <c:numCache>
                <c:formatCode>0.0</c:formatCode>
                <c:ptCount val="1"/>
                <c:pt idx="0">
                  <c:v>59.042661505607697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F9B-49D7-A743-4DD17BC6F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60'!$X$59:$X$65</c:f>
              <c:numCache>
                <c:formatCode>0.0</c:formatCode>
                <c:ptCount val="7"/>
                <c:pt idx="0">
                  <c:v>107.87470909090911</c:v>
                </c:pt>
                <c:pt idx="1">
                  <c:v>100.38941818181817</c:v>
                </c:pt>
                <c:pt idx="2">
                  <c:v>53.089945454545457</c:v>
                </c:pt>
                <c:pt idx="3">
                  <c:v>105.87988000000001</c:v>
                </c:pt>
                <c:pt idx="4">
                  <c:v>93.874200000000016</c:v>
                </c:pt>
                <c:pt idx="5">
                  <c:v>78.199472727272749</c:v>
                </c:pt>
                <c:pt idx="6">
                  <c:v>56.082470000000015</c:v>
                </c:pt>
              </c:numCache>
            </c:numRef>
          </c:xVal>
          <c:yVal>
            <c:numRef>
              <c:f>'Laskenta poistopuoli 60'!$Y$59:$Y$65</c:f>
              <c:numCache>
                <c:formatCode>0.0</c:formatCode>
                <c:ptCount val="7"/>
                <c:pt idx="0">
                  <c:v>115.5265385403938</c:v>
                </c:pt>
                <c:pt idx="1">
                  <c:v>115.61548841235609</c:v>
                </c:pt>
                <c:pt idx="2">
                  <c:v>82.467336854174889</c:v>
                </c:pt>
                <c:pt idx="3">
                  <c:v>114.51147458167894</c:v>
                </c:pt>
                <c:pt idx="4">
                  <c:v>114.59145317497428</c:v>
                </c:pt>
                <c:pt idx="5">
                  <c:v>107.97492327537397</c:v>
                </c:pt>
                <c:pt idx="6">
                  <c:v>89.453528617995275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FF-456D-9C49-D12D09390E22}"/>
            </c:ext>
          </c:extLst>
        </c:ser>
        <c:ser>
          <c:idx val="1"/>
          <c:order val="1"/>
          <c:tx>
            <c:strRef>
              <c:f>'Laskenta poistopuoli 60'!$W$67</c:f>
              <c:strCache>
                <c:ptCount val="1"/>
                <c:pt idx="0">
                  <c:v>7,5V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60'!$X$67:$X$74</c:f>
              <c:numCache>
                <c:formatCode>0.0</c:formatCode>
                <c:ptCount val="8"/>
                <c:pt idx="0">
                  <c:v>101.3108</c:v>
                </c:pt>
                <c:pt idx="1">
                  <c:v>91.942481818181818</c:v>
                </c:pt>
                <c:pt idx="2">
                  <c:v>73.066327272727278</c:v>
                </c:pt>
                <c:pt idx="3">
                  <c:v>47.035418181818187</c:v>
                </c:pt>
                <c:pt idx="4">
                  <c:v>102.35830999999999</c:v>
                </c:pt>
                <c:pt idx="5">
                  <c:v>86.961870000000005</c:v>
                </c:pt>
                <c:pt idx="6">
                  <c:v>71.166445454545453</c:v>
                </c:pt>
                <c:pt idx="7">
                  <c:v>48.991949999999996</c:v>
                </c:pt>
              </c:numCache>
            </c:numRef>
          </c:xVal>
          <c:yVal>
            <c:numRef>
              <c:f>'Laskenta poistopuoli 60'!$Y$67:$Y$74</c:f>
              <c:numCache>
                <c:formatCode>0.0</c:formatCode>
                <c:ptCount val="8"/>
                <c:pt idx="0">
                  <c:v>98.884138967030296</c:v>
                </c:pt>
                <c:pt idx="1">
                  <c:v>90.840740895422627</c:v>
                </c:pt>
                <c:pt idx="2">
                  <c:v>77.408747968745246</c:v>
                </c:pt>
                <c:pt idx="3">
                  <c:v>60.596137104000228</c:v>
                </c:pt>
                <c:pt idx="4">
                  <c:v>105.13583741824799</c:v>
                </c:pt>
                <c:pt idx="5">
                  <c:v>94.442699474731185</c:v>
                </c:pt>
                <c:pt idx="6">
                  <c:v>84.026670350589114</c:v>
                </c:pt>
                <c:pt idx="7">
                  <c:v>68.8379859505214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FF-456D-9C49-D12D09390E22}"/>
            </c:ext>
          </c:extLst>
        </c:ser>
        <c:ser>
          <c:idx val="2"/>
          <c:order val="2"/>
          <c:tx>
            <c:strRef>
              <c:f>'Laskenta poistopuoli 60'!$W$76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60'!$X$76:$X$82</c:f>
              <c:numCache>
                <c:formatCode>0.0</c:formatCode>
                <c:ptCount val="7"/>
                <c:pt idx="0">
                  <c:v>65.452754545454553</c:v>
                </c:pt>
                <c:pt idx="1">
                  <c:v>57.993681818181834</c:v>
                </c:pt>
                <c:pt idx="2">
                  <c:v>29.378409090909091</c:v>
                </c:pt>
                <c:pt idx="3">
                  <c:v>64.71593</c:v>
                </c:pt>
                <c:pt idx="4">
                  <c:v>56.397649999999999</c:v>
                </c:pt>
                <c:pt idx="5">
                  <c:v>44.364674999999998</c:v>
                </c:pt>
                <c:pt idx="6">
                  <c:v>29.709320000000002</c:v>
                </c:pt>
              </c:numCache>
            </c:numRef>
          </c:xVal>
          <c:yVal>
            <c:numRef>
              <c:f>'Laskenta poistopuoli 60'!$Y$76:$Y$82</c:f>
              <c:numCache>
                <c:formatCode>0.0</c:formatCode>
                <c:ptCount val="7"/>
                <c:pt idx="0">
                  <c:v>31.212721729490024</c:v>
                </c:pt>
                <c:pt idx="1">
                  <c:v>28.459703322904957</c:v>
                </c:pt>
                <c:pt idx="2">
                  <c:v>18.71431127175531</c:v>
                </c:pt>
                <c:pt idx="3">
                  <c:v>31.955364545733858</c:v>
                </c:pt>
                <c:pt idx="4">
                  <c:v>30.238845390907304</c:v>
                </c:pt>
                <c:pt idx="5">
                  <c:v>24.543088740881917</c:v>
                </c:pt>
                <c:pt idx="6">
                  <c:v>20.317309915841626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9FF-456D-9C49-D12D09390E22}"/>
            </c:ext>
          </c:extLst>
        </c:ser>
        <c:ser>
          <c:idx val="3"/>
          <c:order val="3"/>
          <c:tx>
            <c:strRef>
              <c:f>'Laskenta poistopuoli 60'!$W$84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60'!$X$84:$X$90</c:f>
              <c:numCache>
                <c:formatCode>0.0</c:formatCode>
                <c:ptCount val="7"/>
                <c:pt idx="0">
                  <c:v>34.816809090909096</c:v>
                </c:pt>
                <c:pt idx="1">
                  <c:v>30.149972727272729</c:v>
                </c:pt>
                <c:pt idx="2">
                  <c:v>24.396954545454545</c:v>
                </c:pt>
                <c:pt idx="3">
                  <c:v>35.238360000000007</c:v>
                </c:pt>
                <c:pt idx="4">
                  <c:v>30.224881818181821</c:v>
                </c:pt>
                <c:pt idx="5">
                  <c:v>24.517433333333333</c:v>
                </c:pt>
                <c:pt idx="6">
                  <c:v>14.840427272727274</c:v>
                </c:pt>
              </c:numCache>
            </c:numRef>
          </c:xVal>
          <c:yVal>
            <c:numRef>
              <c:f>'Laskenta poistopuoli 60'!$Y$84:$Y$90</c:f>
              <c:numCache>
                <c:formatCode>0.0</c:formatCode>
                <c:ptCount val="7"/>
                <c:pt idx="0">
                  <c:v>8.57527594617628</c:v>
                </c:pt>
                <c:pt idx="1">
                  <c:v>7.4900016895483406</c:v>
                </c:pt>
                <c:pt idx="2">
                  <c:v>6.8879062319654958</c:v>
                </c:pt>
                <c:pt idx="3">
                  <c:v>8.7614555456006471</c:v>
                </c:pt>
                <c:pt idx="4">
                  <c:v>8.1736959880407234</c:v>
                </c:pt>
                <c:pt idx="5">
                  <c:v>7.6407882843044428</c:v>
                </c:pt>
                <c:pt idx="6">
                  <c:v>6.3783448520588015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9FF-456D-9C49-D12D09390E2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60'!$AC$34:$AC$38</c:f>
              <c:numCache>
                <c:formatCode>0.0</c:formatCode>
                <c:ptCount val="5"/>
                <c:pt idx="0">
                  <c:v>19.92881479150515</c:v>
                </c:pt>
                <c:pt idx="1">
                  <c:v>18.368692138166391</c:v>
                </c:pt>
                <c:pt idx="2">
                  <c:v>11.881830025064348</c:v>
                </c:pt>
                <c:pt idx="3">
                  <c:v>6.5390573438476478</c:v>
                </c:pt>
              </c:numCache>
            </c:numRef>
          </c:xVal>
          <c:yVal>
            <c:numRef>
              <c:f>'Laskenta poistopuoli 60'!$AE$34:$AE$37</c:f>
              <c:numCache>
                <c:formatCode>0.0</c:formatCode>
                <c:ptCount val="4"/>
                <c:pt idx="0">
                  <c:v>25.696822498157573</c:v>
                </c:pt>
                <c:pt idx="1">
                  <c:v>44.915920096258191</c:v>
                </c:pt>
                <c:pt idx="2">
                  <c:v>12.134093040629198</c:v>
                </c:pt>
                <c:pt idx="3">
                  <c:v>6.0916864164201128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9FF-456D-9C49-D12D09390E2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60'!$W$13</c:f>
              <c:numCache>
                <c:formatCode>0.0</c:formatCode>
                <c:ptCount val="1"/>
                <c:pt idx="0">
                  <c:v>12.469232172648836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9FF-456D-9C49-D12D09390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Verkkokäyräkorjaus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2"/>
            <c:backward val="0.1"/>
            <c:dispRSqr val="1"/>
            <c:dispEq val="1"/>
            <c:trendlineLbl>
              <c:layout>
                <c:manualLayout>
                  <c:x val="-0.2896305774278215"/>
                  <c:y val="8.2028288130650343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keittiöohitus'!$J$22:$L$22</c:f>
              <c:numCache>
                <c:formatCode>0.000</c:formatCode>
                <c:ptCount val="3"/>
                <c:pt idx="0">
                  <c:v>0.54954526656136349</c:v>
                </c:pt>
                <c:pt idx="1">
                  <c:v>0.22583179581272428</c:v>
                </c:pt>
                <c:pt idx="2">
                  <c:v>0.11445523142259598</c:v>
                </c:pt>
              </c:numCache>
            </c:numRef>
          </c:xVal>
          <c:yVal>
            <c:numRef>
              <c:f>'Laskenta keittiöohitus'!$J$23:$L$23</c:f>
              <c:numCache>
                <c:formatCode>General</c:formatCode>
                <c:ptCount val="3"/>
                <c:pt idx="0">
                  <c:v>-2.4</c:v>
                </c:pt>
                <c:pt idx="1">
                  <c:v>0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63-403F-8ED5-3E5552BC21A4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keittiöohitus'!$C$22</c:f>
              <c:numCache>
                <c:formatCode>General</c:formatCode>
                <c:ptCount val="1"/>
                <c:pt idx="0">
                  <c:v>1.0285714285714287</c:v>
                </c:pt>
              </c:numCache>
            </c:numRef>
          </c:xVal>
          <c:yVal>
            <c:numRef>
              <c:f>'Laskenta keittiöohitus'!$F$25</c:f>
              <c:numCache>
                <c:formatCode>0.000</c:formatCode>
                <c:ptCount val="1"/>
                <c:pt idx="0">
                  <c:v>-6.1208100992876364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63-403F-8ED5-3E5552BC2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686552"/>
        <c:axId val="765691144"/>
      </c:scatterChart>
      <c:valAx>
        <c:axId val="765686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65691144"/>
        <c:crosses val="autoZero"/>
        <c:crossBetween val="midCat"/>
      </c:valAx>
      <c:valAx>
        <c:axId val="76569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65686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xVal>
            <c:numRef>
              <c:f>'Laskenta tulopuoli 250'!$D$59:$D$62</c:f>
              <c:numCache>
                <c:formatCode>0.0</c:formatCode>
                <c:ptCount val="4"/>
                <c:pt idx="0">
                  <c:v>344.7</c:v>
                </c:pt>
                <c:pt idx="1">
                  <c:v>324</c:v>
                </c:pt>
                <c:pt idx="2">
                  <c:v>292.5</c:v>
                </c:pt>
                <c:pt idx="3">
                  <c:v>199.8</c:v>
                </c:pt>
              </c:numCache>
            </c:numRef>
          </c:xVal>
          <c:yVal>
            <c:numRef>
              <c:f>'Laskenta tulopuoli 250'!$E$59:$E$62</c:f>
              <c:numCache>
                <c:formatCode>0.0</c:formatCode>
                <c:ptCount val="4"/>
                <c:pt idx="0">
                  <c:v>62.144673041028028</c:v>
                </c:pt>
                <c:pt idx="1">
                  <c:v>61.110829409089718</c:v>
                </c:pt>
                <c:pt idx="2">
                  <c:v>60.985409403702306</c:v>
                </c:pt>
                <c:pt idx="3">
                  <c:v>60.500427442168004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74-4250-B034-52DA68A2A85A}"/>
            </c:ext>
          </c:extLst>
        </c:ser>
        <c:ser>
          <c:idx val="1"/>
          <c:order val="1"/>
          <c:tx>
            <c:strRef>
              <c:f>'Laskenta tulopuoli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250'!$D$64:$D$67</c:f>
              <c:numCache>
                <c:formatCode>0.0</c:formatCode>
                <c:ptCount val="4"/>
                <c:pt idx="0">
                  <c:v>281.5</c:v>
                </c:pt>
                <c:pt idx="1">
                  <c:v>263.3</c:v>
                </c:pt>
                <c:pt idx="2">
                  <c:v>237.6</c:v>
                </c:pt>
                <c:pt idx="3">
                  <c:v>163.80000000000001</c:v>
                </c:pt>
              </c:numCache>
            </c:numRef>
          </c:xVal>
          <c:yVal>
            <c:numRef>
              <c:f>'Laskenta tulopuoli 250'!$E$64:$E$67</c:f>
              <c:numCache>
                <c:formatCode>0.0</c:formatCode>
                <c:ptCount val="4"/>
                <c:pt idx="0">
                  <c:v>58.24228272767192</c:v>
                </c:pt>
                <c:pt idx="1">
                  <c:v>57.721583476668464</c:v>
                </c:pt>
                <c:pt idx="2">
                  <c:v>57.063736576510934</c:v>
                </c:pt>
                <c:pt idx="3">
                  <c:v>55.682298664375324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374-4250-B034-52DA68A2A85A}"/>
            </c:ext>
          </c:extLst>
        </c:ser>
        <c:ser>
          <c:idx val="2"/>
          <c:order val="2"/>
          <c:tx>
            <c:strRef>
              <c:f>'Laskenta tulopuoli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250'!$D$69:$D$72</c:f>
              <c:numCache>
                <c:formatCode>0.0</c:formatCode>
                <c:ptCount val="4"/>
                <c:pt idx="0">
                  <c:v>199.7</c:v>
                </c:pt>
                <c:pt idx="1">
                  <c:v>189.6</c:v>
                </c:pt>
                <c:pt idx="2">
                  <c:v>172.1</c:v>
                </c:pt>
                <c:pt idx="3">
                  <c:v>116.3</c:v>
                </c:pt>
              </c:numCache>
            </c:numRef>
          </c:xVal>
          <c:yVal>
            <c:numRef>
              <c:f>'Laskenta tulopuoli 250'!$E$69:$E$72</c:f>
              <c:numCache>
                <c:formatCode>0.0</c:formatCode>
                <c:ptCount val="4"/>
                <c:pt idx="0">
                  <c:v>52.054568508290444</c:v>
                </c:pt>
                <c:pt idx="1">
                  <c:v>50.877843425757796</c:v>
                </c:pt>
                <c:pt idx="2">
                  <c:v>50.40068165114193</c:v>
                </c:pt>
                <c:pt idx="3">
                  <c:v>49.985155052847965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374-4250-B034-52DA68A2A85A}"/>
            </c:ext>
          </c:extLst>
        </c:ser>
        <c:ser>
          <c:idx val="3"/>
          <c:order val="3"/>
          <c:tx>
            <c:strRef>
              <c:f>'Laskenta tulopuoli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250'!$D$74:$D$77</c:f>
              <c:numCache>
                <c:formatCode>0.0</c:formatCode>
                <c:ptCount val="4"/>
                <c:pt idx="0">
                  <c:v>120.9</c:v>
                </c:pt>
                <c:pt idx="1">
                  <c:v>111.7</c:v>
                </c:pt>
                <c:pt idx="2">
                  <c:v>102.2</c:v>
                </c:pt>
                <c:pt idx="3">
                  <c:v>75.400000000000006</c:v>
                </c:pt>
              </c:numCache>
            </c:numRef>
          </c:xVal>
          <c:yVal>
            <c:numRef>
              <c:f>'Laskenta tulopuoli 250'!$E$74:$E$77</c:f>
              <c:numCache>
                <c:formatCode>0.0</c:formatCode>
                <c:ptCount val="4"/>
                <c:pt idx="0">
                  <c:v>42.714217266282517</c:v>
                </c:pt>
                <c:pt idx="1">
                  <c:v>41.582199094486363</c:v>
                </c:pt>
                <c:pt idx="2">
                  <c:v>41.026264842676959</c:v>
                </c:pt>
                <c:pt idx="3">
                  <c:v>40.82876371299777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374-4250-B034-52DA68A2A85A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374-4250-B034-52DA68A2A85A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A374-4250-B034-52DA68A2A85A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2.674304082754787E-2"/>
                  <c:y val="-6.978125780825413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27.908425594860638</c:v>
                </c:pt>
                <c:pt idx="1">
                  <c:v>22.567911110867403</c:v>
                </c:pt>
                <c:pt idx="2">
                  <c:v>15.629094805214063</c:v>
                </c:pt>
                <c:pt idx="3">
                  <c:v>10.740604018955466</c:v>
                </c:pt>
              </c:numCache>
            </c:numRef>
          </c:xVal>
          <c:yVal>
            <c:numRef>
              <c:f>'Laskenta tulopuoli 250'!$AF$34:$AF$37</c:f>
              <c:numCache>
                <c:formatCode>0.0</c:formatCode>
                <c:ptCount val="4"/>
                <c:pt idx="0">
                  <c:v>57.830536447420592</c:v>
                </c:pt>
                <c:pt idx="1">
                  <c:v>50.625203226087898</c:v>
                </c:pt>
                <c:pt idx="2">
                  <c:v>46.542142126244208</c:v>
                </c:pt>
                <c:pt idx="3">
                  <c:v>36.913977930173736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374-4250-B034-52DA68A2A85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250'!$W$5</c:f>
              <c:numCache>
                <c:formatCode>0.0</c:formatCode>
                <c:ptCount val="1"/>
                <c:pt idx="0">
                  <c:v>35.349541902898544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374-4250-B034-52DA68A2A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250'!$N$59:$N$62</c:f>
              <c:numCache>
                <c:formatCode>0.0</c:formatCode>
                <c:ptCount val="4"/>
                <c:pt idx="0">
                  <c:v>347.55882244303535</c:v>
                </c:pt>
                <c:pt idx="1">
                  <c:v>318.57365469368182</c:v>
                </c:pt>
                <c:pt idx="2">
                  <c:v>289.31281640836551</c:v>
                </c:pt>
                <c:pt idx="3">
                  <c:v>207.42294296613554</c:v>
                </c:pt>
              </c:numCache>
            </c:numRef>
          </c:xVal>
          <c:yVal>
            <c:numRef>
              <c:f>'Laskenta tulopuoli 250'!$O$59:$O$62</c:f>
              <c:numCache>
                <c:formatCode>0.0</c:formatCode>
                <c:ptCount val="4"/>
                <c:pt idx="0">
                  <c:v>81.851516160933571</c:v>
                </c:pt>
                <c:pt idx="1">
                  <c:v>81.06411222486777</c:v>
                </c:pt>
                <c:pt idx="2">
                  <c:v>80.236796311049133</c:v>
                </c:pt>
                <c:pt idx="3">
                  <c:v>78.507118643238755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C7-4AA4-A211-BEB034868BE4}"/>
            </c:ext>
          </c:extLst>
        </c:ser>
        <c:ser>
          <c:idx val="1"/>
          <c:order val="1"/>
          <c:tx>
            <c:strRef>
              <c:f>'Laskenta tulopuoli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250'!$N$64:$N$67</c:f>
              <c:numCache>
                <c:formatCode>0.0</c:formatCode>
                <c:ptCount val="4"/>
                <c:pt idx="0">
                  <c:v>283.96765425773657</c:v>
                </c:pt>
                <c:pt idx="1">
                  <c:v>261.96983501546862</c:v>
                </c:pt>
                <c:pt idx="2">
                  <c:v>234.55670322791551</c:v>
                </c:pt>
                <c:pt idx="3">
                  <c:v>167.45120469341205</c:v>
                </c:pt>
              </c:numCache>
            </c:numRef>
          </c:xVal>
          <c:yVal>
            <c:numRef>
              <c:f>'Laskenta tulopuoli 250'!$O$64:$O$67</c:f>
              <c:numCache>
                <c:formatCode>0.0</c:formatCode>
                <c:ptCount val="4"/>
                <c:pt idx="0">
                  <c:v>77.735360552640628</c:v>
                </c:pt>
                <c:pt idx="1">
                  <c:v>76.862945314317813</c:v>
                </c:pt>
                <c:pt idx="2">
                  <c:v>75.986323411337054</c:v>
                </c:pt>
                <c:pt idx="3">
                  <c:v>74.277783828246243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DC7-4AA4-A211-BEB034868BE4}"/>
            </c:ext>
          </c:extLst>
        </c:ser>
        <c:ser>
          <c:idx val="2"/>
          <c:order val="2"/>
          <c:tx>
            <c:strRef>
              <c:f>'Laskenta tulopuoli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250'!$N$69:$N$72</c:f>
              <c:numCache>
                <c:formatCode>0.0</c:formatCode>
                <c:ptCount val="4"/>
                <c:pt idx="0">
                  <c:v>196.59593379240673</c:v>
                </c:pt>
                <c:pt idx="1">
                  <c:v>188.24966838990059</c:v>
                </c:pt>
                <c:pt idx="2">
                  <c:v>164.38494862120547</c:v>
                </c:pt>
                <c:pt idx="3">
                  <c:v>119.65707821171999</c:v>
                </c:pt>
              </c:numCache>
            </c:numRef>
          </c:xVal>
          <c:yVal>
            <c:numRef>
              <c:f>'Laskenta tulopuoli 250'!$O$69:$O$72</c:f>
              <c:numCache>
                <c:formatCode>0.0</c:formatCode>
                <c:ptCount val="4"/>
                <c:pt idx="0">
                  <c:v>70.294486455567011</c:v>
                </c:pt>
                <c:pt idx="1">
                  <c:v>70.39393478183564</c:v>
                </c:pt>
                <c:pt idx="2">
                  <c:v>69.238525709591201</c:v>
                </c:pt>
                <c:pt idx="3">
                  <c:v>68.005684116574912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DC7-4AA4-A211-BEB034868BE4}"/>
            </c:ext>
          </c:extLst>
        </c:ser>
        <c:ser>
          <c:idx val="3"/>
          <c:order val="3"/>
          <c:tx>
            <c:strRef>
              <c:f>'Laskenta tulopuoli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250'!$N$74:$N$77</c:f>
              <c:numCache>
                <c:formatCode>0.0</c:formatCode>
                <c:ptCount val="4"/>
                <c:pt idx="0">
                  <c:v>120.06691977873932</c:v>
                </c:pt>
                <c:pt idx="1">
                  <c:v>110.21384224054002</c:v>
                </c:pt>
                <c:pt idx="2">
                  <c:v>101.54208149102088</c:v>
                </c:pt>
                <c:pt idx="3">
                  <c:v>71.51080035745774</c:v>
                </c:pt>
              </c:numCache>
            </c:numRef>
          </c:xVal>
          <c:yVal>
            <c:numRef>
              <c:f>'Laskenta tulopuoli 250'!$O$74:$O$77</c:f>
              <c:numCache>
                <c:formatCode>0.0</c:formatCode>
                <c:ptCount val="4"/>
                <c:pt idx="0">
                  <c:v>60.277409039035533</c:v>
                </c:pt>
                <c:pt idx="1">
                  <c:v>59.745318906529754</c:v>
                </c:pt>
                <c:pt idx="2">
                  <c:v>59.237513523597116</c:v>
                </c:pt>
                <c:pt idx="3">
                  <c:v>58.0702069810362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DC7-4AA4-A211-BEB034868BE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1.8473446385078678E-2"/>
                  <c:y val="-7.269786616947292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27.908425594860638</c:v>
                </c:pt>
                <c:pt idx="1">
                  <c:v>22.567911110867403</c:v>
                </c:pt>
                <c:pt idx="2">
                  <c:v>15.629094805214063</c:v>
                </c:pt>
                <c:pt idx="3">
                  <c:v>10.740604018955466</c:v>
                </c:pt>
              </c:numCache>
            </c:numRef>
          </c:xVal>
          <c:yVal>
            <c:numRef>
              <c:f>'Laskenta tulopuoli 250'!$AG$34:$AG$37</c:f>
              <c:numCache>
                <c:formatCode>0.0</c:formatCode>
                <c:ptCount val="4"/>
                <c:pt idx="0">
                  <c:v>71.401594067305325</c:v>
                </c:pt>
                <c:pt idx="1">
                  <c:v>67.192173538404489</c:v>
                </c:pt>
                <c:pt idx="2">
                  <c:v>62.437064980011733</c:v>
                </c:pt>
                <c:pt idx="3">
                  <c:v>53.616144293086087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DC7-4AA4-A211-BEB034868BE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250'!$W$6</c:f>
              <c:numCache>
                <c:formatCode>0.0</c:formatCode>
                <c:ptCount val="1"/>
                <c:pt idx="0">
                  <c:v>52.528035704291518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DC7-4AA4-A211-BEB034868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250'!$AJ$36:$AJ$38</c:f>
              <c:numCache>
                <c:formatCode>0.0</c:formatCode>
                <c:ptCount val="3"/>
                <c:pt idx="0">
                  <c:v>22.567911110867403</c:v>
                </c:pt>
                <c:pt idx="1">
                  <c:v>15.629094805214063</c:v>
                </c:pt>
                <c:pt idx="2">
                  <c:v>10.740604018955466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88-4EBF-A91D-F59C60A6784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250'!$AJ$34:$AJ$35</c:f>
              <c:numCache>
                <c:formatCode>0.0</c:formatCode>
                <c:ptCount val="2"/>
                <c:pt idx="0">
                  <c:v>27.908425594860638</c:v>
                </c:pt>
                <c:pt idx="1">
                  <c:v>25.183016963946262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88-4EBF-A91D-F59C60A6784A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250'!$W$9</c:f>
              <c:numCache>
                <c:formatCode>0.00</c:formatCode>
                <c:ptCount val="1"/>
                <c:pt idx="0">
                  <c:v>3.7513739428936064</c:v>
                </c:pt>
              </c:numCache>
            </c:numRef>
          </c:xVal>
          <c:yVal>
            <c:numRef>
              <c:f>'Laskenta tulopuoli 250'!$J$3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188-4EBF-A91D-F59C60A6784A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250'!$AC$34:$AC$37</c:f>
              <c:numCache>
                <c:formatCode>0.0</c:formatCode>
                <c:ptCount val="4"/>
                <c:pt idx="0">
                  <c:v>27.908425594860638</c:v>
                </c:pt>
                <c:pt idx="1">
                  <c:v>22.567911110867403</c:v>
                </c:pt>
                <c:pt idx="2">
                  <c:v>15.629094805214063</c:v>
                </c:pt>
                <c:pt idx="3">
                  <c:v>10.740604018955466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188-4EBF-A91D-F59C60A67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250'!$X$59:$X$67</c:f>
              <c:numCache>
                <c:formatCode>0.0</c:formatCode>
                <c:ptCount val="9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  <c:pt idx="8">
                  <c:v>88.39543467590552</c:v>
                </c:pt>
              </c:numCache>
            </c:numRef>
          </c:xVal>
          <c:yVal>
            <c:numRef>
              <c:f>'Laskenta tulopuoli 250'!$Y$59:$Y$67</c:f>
              <c:numCache>
                <c:formatCode>0.0</c:formatCode>
                <c:ptCount val="9"/>
                <c:pt idx="0">
                  <c:v>269.87126140289683</c:v>
                </c:pt>
                <c:pt idx="1">
                  <c:v>344.24106644222212</c:v>
                </c:pt>
                <c:pt idx="2">
                  <c:v>404.74934395940249</c:v>
                </c:pt>
                <c:pt idx="3">
                  <c:v>441.21443337830112</c:v>
                </c:pt>
                <c:pt idx="4">
                  <c:v>476.01090864587957</c:v>
                </c:pt>
                <c:pt idx="5">
                  <c:v>508.64545939713418</c:v>
                </c:pt>
                <c:pt idx="6">
                  <c:v>470.25008534934227</c:v>
                </c:pt>
                <c:pt idx="7">
                  <c:v>500.70540336719438</c:v>
                </c:pt>
                <c:pt idx="8">
                  <c:v>219.51717363439141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21-4CC1-BA92-ACB5AA398F45}"/>
            </c:ext>
          </c:extLst>
        </c:ser>
        <c:ser>
          <c:idx val="1"/>
          <c:order val="1"/>
          <c:tx>
            <c:strRef>
              <c:f>'Laskenta tulopuoli 250'!$W$70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250'!$X$70:$X$78</c:f>
              <c:numCache>
                <c:formatCode>0.0</c:formatCode>
                <c:ptCount val="9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  <c:pt idx="8">
                  <c:v>69.746589293639971</c:v>
                </c:pt>
              </c:numCache>
            </c:numRef>
          </c:xVal>
          <c:yVal>
            <c:numRef>
              <c:f>'Laskenta tulopuoli 250'!$Y$70:$Y$78</c:f>
              <c:numCache>
                <c:formatCode>0.0</c:formatCode>
                <c:ptCount val="9"/>
                <c:pt idx="0">
                  <c:v>149.69222564951269</c:v>
                </c:pt>
                <c:pt idx="1">
                  <c:v>194.21295707561856</c:v>
                </c:pt>
                <c:pt idx="2">
                  <c:v>226.86308284600184</c:v>
                </c:pt>
                <c:pt idx="3">
                  <c:v>250.01490513085002</c:v>
                </c:pt>
                <c:pt idx="4">
                  <c:v>291.75989245361296</c:v>
                </c:pt>
                <c:pt idx="5">
                  <c:v>272.36127011804143</c:v>
                </c:pt>
                <c:pt idx="6">
                  <c:v>272.86710131104024</c:v>
                </c:pt>
                <c:pt idx="7">
                  <c:v>293.34861075163002</c:v>
                </c:pt>
                <c:pt idx="8">
                  <c:v>122.34343264857729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21-4CC1-BA92-ACB5AA398F45}"/>
            </c:ext>
          </c:extLst>
        </c:ser>
        <c:ser>
          <c:idx val="2"/>
          <c:order val="2"/>
          <c:tx>
            <c:strRef>
              <c:f>'Laskenta tulopuoli 250'!$W$81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250'!$X$81:$X$88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250'!$Y$81:$Y$88</c:f>
              <c:numCache>
                <c:formatCode>0.0</c:formatCode>
                <c:ptCount val="8"/>
                <c:pt idx="0">
                  <c:v>68.338082142436136</c:v>
                </c:pt>
                <c:pt idx="1">
                  <c:v>85.817945626993549</c:v>
                </c:pt>
                <c:pt idx="2">
                  <c:v>100.58211420649553</c:v>
                </c:pt>
                <c:pt idx="3">
                  <c:v>108.18499603886791</c:v>
                </c:pt>
                <c:pt idx="4">
                  <c:v>122.06707576044337</c:v>
                </c:pt>
                <c:pt idx="5">
                  <c:v>127.03579746433738</c:v>
                </c:pt>
                <c:pt idx="6">
                  <c:v>121.47438704053738</c:v>
                </c:pt>
                <c:pt idx="7">
                  <c:v>120.34526296527847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21-4CC1-BA92-ACB5AA398F45}"/>
            </c:ext>
          </c:extLst>
        </c:ser>
        <c:ser>
          <c:idx val="3"/>
          <c:order val="3"/>
          <c:tx>
            <c:strRef>
              <c:f>'Laskenta tulopuoli 250'!$W$92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250'!$X$92:$X$98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250'!$Y$92:$Y$98</c:f>
              <c:numCache>
                <c:formatCode>0.0</c:formatCode>
                <c:ptCount val="7"/>
                <c:pt idx="0">
                  <c:v>27.789129554462839</c:v>
                </c:pt>
                <c:pt idx="1">
                  <c:v>32.284696155606284</c:v>
                </c:pt>
                <c:pt idx="2">
                  <c:v>35.64020826027015</c:v>
                </c:pt>
                <c:pt idx="3">
                  <c:v>38.902321225263641</c:v>
                </c:pt>
                <c:pt idx="4">
                  <c:v>42.421503042537594</c:v>
                </c:pt>
                <c:pt idx="5">
                  <c:v>41.173887650695342</c:v>
                </c:pt>
                <c:pt idx="6">
                  <c:v>42.255082918151238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21-4CC1-BA92-ACB5AA398F4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250'!$AC$34:$AC$38</c:f>
              <c:numCache>
                <c:formatCode>0.0</c:formatCode>
                <c:ptCount val="5"/>
                <c:pt idx="0">
                  <c:v>27.908425594860638</c:v>
                </c:pt>
                <c:pt idx="1">
                  <c:v>22.567911110867403</c:v>
                </c:pt>
                <c:pt idx="2">
                  <c:v>15.629094805214063</c:v>
                </c:pt>
                <c:pt idx="3">
                  <c:v>10.740604018955466</c:v>
                </c:pt>
                <c:pt idx="4">
                  <c:v>20.682919308619365</c:v>
                </c:pt>
              </c:numCache>
            </c:numRef>
          </c:xVal>
          <c:yVal>
            <c:numRef>
              <c:f>'Laskenta tulopuoli 250'!$AE$34:$AE$37</c:f>
              <c:numCache>
                <c:formatCode>0.0</c:formatCode>
                <c:ptCount val="4"/>
                <c:pt idx="0">
                  <c:v>154.17951331273559</c:v>
                </c:pt>
                <c:pt idx="1">
                  <c:v>89.450708769975051</c:v>
                </c:pt>
                <c:pt idx="2">
                  <c:v>37.949984433278473</c:v>
                </c:pt>
                <c:pt idx="3">
                  <c:v>19.733641311727901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521-4CC1-BA92-ACB5AA398F4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250'!$W$13</c:f>
              <c:numCache>
                <c:formatCode>0.0</c:formatCode>
                <c:ptCount val="1"/>
                <c:pt idx="0">
                  <c:v>18.046839796085074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521-4CC1-BA92-ACB5AA398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250'!$AA$4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250'!$AB$6:$AB$12</c:f>
              <c:numCache>
                <c:formatCode>0.0</c:formatCode>
                <c:ptCount val="7"/>
                <c:pt idx="0">
                  <c:v>276.93002872317612</c:v>
                </c:pt>
                <c:pt idx="1">
                  <c:v>266.48733485462003</c:v>
                </c:pt>
                <c:pt idx="2">
                  <c:v>247.90855499235673</c:v>
                </c:pt>
                <c:pt idx="3">
                  <c:v>227.47673751838894</c:v>
                </c:pt>
                <c:pt idx="4">
                  <c:v>188.98765340427627</c:v>
                </c:pt>
                <c:pt idx="5">
                  <c:v>144.00838062097975</c:v>
                </c:pt>
                <c:pt idx="6">
                  <c:v>105.265386166816</c:v>
                </c:pt>
              </c:numCache>
            </c:numRef>
          </c:xVal>
          <c:yVal>
            <c:numRef>
              <c:f>'Laskenta tulopuoli 250'!$AA$6:$AA$12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23-4102-9D12-A144BC241230}"/>
            </c:ext>
          </c:extLst>
        </c:ser>
        <c:ser>
          <c:idx val="1"/>
          <c:order val="1"/>
          <c:tx>
            <c:strRef>
              <c:f>'Laskenta tulopuoli 250'!$AC$4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250'!$AD$6:$AD$12</c:f>
              <c:numCache>
                <c:formatCode>0.0</c:formatCode>
                <c:ptCount val="7"/>
                <c:pt idx="0">
                  <c:v>276.93002872317612</c:v>
                </c:pt>
                <c:pt idx="1">
                  <c:v>266.48733485462003</c:v>
                </c:pt>
                <c:pt idx="2">
                  <c:v>247.90855499235673</c:v>
                </c:pt>
                <c:pt idx="3">
                  <c:v>227.47673751838894</c:v>
                </c:pt>
                <c:pt idx="4">
                  <c:v>188.98765340427627</c:v>
                </c:pt>
                <c:pt idx="5">
                  <c:v>144.00838062097975</c:v>
                </c:pt>
                <c:pt idx="6">
                  <c:v>105.265386166816</c:v>
                </c:pt>
              </c:numCache>
            </c:numRef>
          </c:xVal>
          <c:yVal>
            <c:numRef>
              <c:f>'Laskenta tulopuoli 250'!$AC$6:$AC$12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23-4102-9D12-A144BC241230}"/>
            </c:ext>
          </c:extLst>
        </c:ser>
        <c:ser>
          <c:idx val="2"/>
          <c:order val="2"/>
          <c:tx>
            <c:strRef>
              <c:f>'Laskenta tulopuoli 250'!$AE$4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250'!$AF$6:$AF$11</c:f>
              <c:numCache>
                <c:formatCode>0.0</c:formatCode>
                <c:ptCount val="6"/>
                <c:pt idx="0">
                  <c:v>213.61335762915562</c:v>
                </c:pt>
                <c:pt idx="1">
                  <c:v>195.72898551317115</c:v>
                </c:pt>
                <c:pt idx="2">
                  <c:v>175.4581740263832</c:v>
                </c:pt>
                <c:pt idx="3">
                  <c:v>151.47576534370617</c:v>
                </c:pt>
                <c:pt idx="4">
                  <c:v>120.42188405539274</c:v>
                </c:pt>
                <c:pt idx="5">
                  <c:v>73.943002844798301</c:v>
                </c:pt>
              </c:numCache>
            </c:numRef>
          </c:xVal>
          <c:yVal>
            <c:numRef>
              <c:f>'Laskenta tulopuoli 250'!$AE$6:$AE$11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23-4102-9D12-A144BC241230}"/>
            </c:ext>
          </c:extLst>
        </c:ser>
        <c:ser>
          <c:idx val="3"/>
          <c:order val="3"/>
          <c:tx>
            <c:strRef>
              <c:f>'Laskenta tulopuoli 250'!$AG$4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250'!$AH$6:$AH$10</c:f>
              <c:numCache>
                <c:formatCode>0.0</c:formatCode>
                <c:ptCount val="5"/>
                <c:pt idx="0">
                  <c:v>122.85148290021115</c:v>
                </c:pt>
                <c:pt idx="1">
                  <c:v>114.87245597479257</c:v>
                </c:pt>
                <c:pt idx="2">
                  <c:v>97.290460384499539</c:v>
                </c:pt>
                <c:pt idx="3">
                  <c:v>76.542309887609477</c:v>
                </c:pt>
                <c:pt idx="4">
                  <c:v>49.842265162290595</c:v>
                </c:pt>
              </c:numCache>
            </c:numRef>
          </c:xVal>
          <c:yVal>
            <c:numRef>
              <c:f>'Laskenta tulopuoli 250'!$AG$6:$AG$10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123-4102-9D12-A144BC241230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250'!$L$3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123-4102-9D12-A144BC241230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27.908425594860638</c:v>
                </c:pt>
                <c:pt idx="1">
                  <c:v>22.567911110867403</c:v>
                </c:pt>
                <c:pt idx="2">
                  <c:v>15.629094805214063</c:v>
                </c:pt>
                <c:pt idx="3">
                  <c:v>10.740604018955466</c:v>
                </c:pt>
              </c:numCache>
            </c:numRef>
          </c:xVal>
          <c:yVal>
            <c:numRef>
              <c:f>'Laskenta tulopuoli 250'!$AD$34:$AD$37</c:f>
              <c:numCache>
                <c:formatCode>0.0</c:formatCode>
                <c:ptCount val="4"/>
                <c:pt idx="0">
                  <c:v>659.21878469374587</c:v>
                </c:pt>
                <c:pt idx="1">
                  <c:v>431.06387136834888</c:v>
                </c:pt>
                <c:pt idx="2">
                  <c:v>206.74097067216883</c:v>
                </c:pt>
                <c:pt idx="3">
                  <c:v>97.637423543402448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123-4102-9D12-A144BC241230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250'!$O$22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250'!$O$23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123-4102-9D12-A144BC241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250'!$AM$60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250'!$AN$60:$AN$67</c:f>
              <c:numCache>
                <c:formatCode>0.0</c:formatCode>
                <c:ptCount val="8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</c:numCache>
            </c:numRef>
          </c:xVal>
          <c:yVal>
            <c:numRef>
              <c:f>'Laskenta tulopuoli 250'!$AO$60:$AO$67</c:f>
              <c:numCache>
                <c:formatCode>0.0</c:formatCode>
                <c:ptCount val="8"/>
                <c:pt idx="0">
                  <c:v>722.42610700384864</c:v>
                </c:pt>
                <c:pt idx="1">
                  <c:v>739.53034803011769</c:v>
                </c:pt>
                <c:pt idx="2">
                  <c:v>717.88057288445566</c:v>
                </c:pt>
                <c:pt idx="3">
                  <c:v>675.41900858718213</c:v>
                </c:pt>
                <c:pt idx="4">
                  <c:v>623.23687622746013</c:v>
                </c:pt>
                <c:pt idx="5">
                  <c:v>572.2874906916403</c:v>
                </c:pt>
                <c:pt idx="6">
                  <c:v>618.04528681032571</c:v>
                </c:pt>
                <c:pt idx="7">
                  <c:v>562.76723154802846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36-4267-9310-2DD20C06E505}"/>
            </c:ext>
          </c:extLst>
        </c:ser>
        <c:ser>
          <c:idx val="1"/>
          <c:order val="1"/>
          <c:tx>
            <c:strRef>
              <c:f>'Laskenta tulopuoli 250'!$AM$71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250'!$AN$71:$AN$78</c:f>
              <c:numCache>
                <c:formatCode>0.0</c:formatCode>
                <c:ptCount val="8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</c:numCache>
            </c:numRef>
          </c:xVal>
          <c:yVal>
            <c:numRef>
              <c:f>'Laskenta tulopuoli 250'!$AO$71:$AO$78</c:f>
              <c:numCache>
                <c:formatCode>0.0</c:formatCode>
                <c:ptCount val="8"/>
                <c:pt idx="0">
                  <c:v>480.47740951140975</c:v>
                </c:pt>
                <c:pt idx="1">
                  <c:v>499.25319556455048</c:v>
                </c:pt>
                <c:pt idx="2">
                  <c:v>489.60273417160482</c:v>
                </c:pt>
                <c:pt idx="3">
                  <c:v>465.36220734164971</c:v>
                </c:pt>
                <c:pt idx="4">
                  <c:v>405.83209680812467</c:v>
                </c:pt>
                <c:pt idx="5">
                  <c:v>432.65135686837277</c:v>
                </c:pt>
                <c:pt idx="6">
                  <c:v>433.6376239036544</c:v>
                </c:pt>
                <c:pt idx="7">
                  <c:v>410.00831718529457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36-4267-9310-2DD20C06E505}"/>
            </c:ext>
          </c:extLst>
        </c:ser>
        <c:ser>
          <c:idx val="2"/>
          <c:order val="2"/>
          <c:tx>
            <c:strRef>
              <c:f>'Laskenta tulopuoli 250'!$AM$82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250'!$AN$82:$AN$89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250'!$AO$82:$AO$89</c:f>
              <c:numCache>
                <c:formatCode>0.0</c:formatCode>
                <c:ptCount val="8"/>
                <c:pt idx="0">
                  <c:v>265.00501232977552</c:v>
                </c:pt>
                <c:pt idx="1">
                  <c:v>275.72121747030798</c:v>
                </c:pt>
                <c:pt idx="2">
                  <c:v>277.98938334266228</c:v>
                </c:pt>
                <c:pt idx="3">
                  <c:v>260.1718305683068</c:v>
                </c:pt>
                <c:pt idx="4">
                  <c:v>256.38645724089372</c:v>
                </c:pt>
                <c:pt idx="5">
                  <c:v>247.75451315166487</c:v>
                </c:pt>
                <c:pt idx="6">
                  <c:v>256.27772092943292</c:v>
                </c:pt>
                <c:pt idx="7">
                  <c:v>237.96625636891571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36-4267-9310-2DD20C06E505}"/>
            </c:ext>
          </c:extLst>
        </c:ser>
        <c:ser>
          <c:idx val="3"/>
          <c:order val="3"/>
          <c:tx>
            <c:strRef>
              <c:f>'Laskenta tulopuoli 250'!$AM$93</c:f>
              <c:strCache>
                <c:ptCount val="1"/>
                <c:pt idx="0">
                  <c:v>¤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250'!$AN$93:$AN$99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250'!$AO$93:$AO$99</c:f>
              <c:numCache>
                <c:formatCode>0.0</c:formatCode>
                <c:ptCount val="7"/>
                <c:pt idx="0">
                  <c:v>115.4382451776105</c:v>
                </c:pt>
                <c:pt idx="1">
                  <c:v>116.49698561821329</c:v>
                </c:pt>
                <c:pt idx="2">
                  <c:v>119.17840227299482</c:v>
                </c:pt>
                <c:pt idx="3">
                  <c:v>118.07500366378952</c:v>
                </c:pt>
                <c:pt idx="4">
                  <c:v>114.88763761184336</c:v>
                </c:pt>
                <c:pt idx="5">
                  <c:v>116.44711487432268</c:v>
                </c:pt>
                <c:pt idx="6">
                  <c:v>113.88939116261066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B36-4267-9310-2DD20C06E505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27.908425594860638</c:v>
                </c:pt>
                <c:pt idx="1">
                  <c:v>22.567911110867403</c:v>
                </c:pt>
                <c:pt idx="2">
                  <c:v>15.629094805214063</c:v>
                </c:pt>
                <c:pt idx="3">
                  <c:v>10.740604018955466</c:v>
                </c:pt>
              </c:numCache>
            </c:numRef>
          </c:xVal>
          <c:yVal>
            <c:numRef>
              <c:f>'Laskenta tulopuoli 250'!$AL$34:$AL$37</c:f>
              <c:numCache>
                <c:formatCode>General</c:formatCode>
                <c:ptCount val="4"/>
                <c:pt idx="0">
                  <c:v>511.96466710118233</c:v>
                </c:pt>
                <c:pt idx="1">
                  <c:v>357.48105261443914</c:v>
                </c:pt>
                <c:pt idx="2">
                  <c:v>209.76760870030293</c:v>
                </c:pt>
                <c:pt idx="3">
                  <c:v>102.09310097355285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B36-4267-9310-2DD20C06E505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250'!$W$2</c:f>
              <c:numCache>
                <c:formatCode>0.0</c:formatCode>
                <c:ptCount val="1"/>
                <c:pt idx="0">
                  <c:v>86.825476045608156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B36-4267-9310-2DD20C06E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250'!$D$59:$D$62</c:f>
              <c:numCache>
                <c:formatCode>0.0</c:formatCode>
                <c:ptCount val="4"/>
                <c:pt idx="0">
                  <c:v>366.3</c:v>
                </c:pt>
                <c:pt idx="1">
                  <c:v>341.4</c:v>
                </c:pt>
                <c:pt idx="2">
                  <c:v>309.8</c:v>
                </c:pt>
                <c:pt idx="3">
                  <c:v>221</c:v>
                </c:pt>
              </c:numCache>
            </c:numRef>
          </c:xVal>
          <c:yVal>
            <c:numRef>
              <c:f>'Laskenta poistopuoli 250'!$E$59:$E$62</c:f>
              <c:numCache>
                <c:formatCode>0.0</c:formatCode>
                <c:ptCount val="4"/>
                <c:pt idx="0">
                  <c:v>62.097783424500207</c:v>
                </c:pt>
                <c:pt idx="1">
                  <c:v>61.404747810618019</c:v>
                </c:pt>
                <c:pt idx="2">
                  <c:v>60.573303422326219</c:v>
                </c:pt>
                <c:pt idx="3">
                  <c:v>60.013148119886417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53-40AA-965D-A8C2B551F8D5}"/>
            </c:ext>
          </c:extLst>
        </c:ser>
        <c:ser>
          <c:idx val="1"/>
          <c:order val="1"/>
          <c:tx>
            <c:strRef>
              <c:f>'Laskenta poistopuoli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250'!$D$64:$D$67</c:f>
              <c:numCache>
                <c:formatCode>0.0</c:formatCode>
                <c:ptCount val="4"/>
                <c:pt idx="0">
                  <c:v>304</c:v>
                </c:pt>
                <c:pt idx="1">
                  <c:v>281.7</c:v>
                </c:pt>
                <c:pt idx="2">
                  <c:v>255.1</c:v>
                </c:pt>
                <c:pt idx="3">
                  <c:v>180.1</c:v>
                </c:pt>
              </c:numCache>
            </c:numRef>
          </c:xVal>
          <c:yVal>
            <c:numRef>
              <c:f>'Laskenta poistopuoli 250'!$E$64:$E$67</c:f>
              <c:numCache>
                <c:formatCode>0.0</c:formatCode>
                <c:ptCount val="4"/>
                <c:pt idx="0">
                  <c:v>58.341740546145942</c:v>
                </c:pt>
                <c:pt idx="1">
                  <c:v>57.377484119444958</c:v>
                </c:pt>
                <c:pt idx="2">
                  <c:v>56.489949323611974</c:v>
                </c:pt>
                <c:pt idx="3">
                  <c:v>55.305009598786256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53-40AA-965D-A8C2B551F8D5}"/>
            </c:ext>
          </c:extLst>
        </c:ser>
        <c:ser>
          <c:idx val="2"/>
          <c:order val="2"/>
          <c:tx>
            <c:strRef>
              <c:f>'Laskenta poistopuoli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250'!$D$69:$D$72</c:f>
              <c:numCache>
                <c:formatCode>0.0</c:formatCode>
                <c:ptCount val="4"/>
                <c:pt idx="0">
                  <c:v>218.4</c:v>
                </c:pt>
                <c:pt idx="1">
                  <c:v>202.3</c:v>
                </c:pt>
                <c:pt idx="2">
                  <c:v>179.3</c:v>
                </c:pt>
                <c:pt idx="3">
                  <c:v>128</c:v>
                </c:pt>
              </c:numCache>
            </c:numRef>
          </c:xVal>
          <c:yVal>
            <c:numRef>
              <c:f>'Laskenta poistopuoli 250'!$E$69:$E$72</c:f>
              <c:numCache>
                <c:formatCode>0.0</c:formatCode>
                <c:ptCount val="4"/>
                <c:pt idx="0">
                  <c:v>51.6790949757684</c:v>
                </c:pt>
                <c:pt idx="1">
                  <c:v>50.407916560559215</c:v>
                </c:pt>
                <c:pt idx="2">
                  <c:v>50.113476278917901</c:v>
                </c:pt>
                <c:pt idx="3">
                  <c:v>49.839015741427502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053-40AA-965D-A8C2B551F8D5}"/>
            </c:ext>
          </c:extLst>
        </c:ser>
        <c:ser>
          <c:idx val="3"/>
          <c:order val="3"/>
          <c:tx>
            <c:strRef>
              <c:f>'Laskenta poistopuoli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250'!$D$74:$D$77</c:f>
              <c:numCache>
                <c:formatCode>0.0</c:formatCode>
                <c:ptCount val="4"/>
                <c:pt idx="0">
                  <c:v>135.1</c:v>
                </c:pt>
                <c:pt idx="1">
                  <c:v>124.4</c:v>
                </c:pt>
                <c:pt idx="2">
                  <c:v>113.2</c:v>
                </c:pt>
                <c:pt idx="3">
                  <c:v>78.2</c:v>
                </c:pt>
              </c:numCache>
            </c:numRef>
          </c:xVal>
          <c:yVal>
            <c:numRef>
              <c:f>'Laskenta poistopuoli 250'!$E$74:$E$77</c:f>
              <c:numCache>
                <c:formatCode>0.0</c:formatCode>
                <c:ptCount val="4"/>
                <c:pt idx="0">
                  <c:v>42.598859931585011</c:v>
                </c:pt>
                <c:pt idx="1">
                  <c:v>41.766385883723473</c:v>
                </c:pt>
                <c:pt idx="2">
                  <c:v>41.1225087051739</c:v>
                </c:pt>
                <c:pt idx="3">
                  <c:v>40.43354617963378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053-40AA-965D-A8C2B551F8D5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053-40AA-965D-A8C2B551F8D5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B053-40AA-965D-A8C2B551F8D5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24.01148286750896</c:v>
                </c:pt>
                <c:pt idx="1">
                  <c:v>20.153450943350371</c:v>
                </c:pt>
                <c:pt idx="2">
                  <c:v>14.255551809025757</c:v>
                </c:pt>
                <c:pt idx="3">
                  <c:v>9.2389468911468331</c:v>
                </c:pt>
              </c:numCache>
            </c:numRef>
          </c:xVal>
          <c:yVal>
            <c:numRef>
              <c:f>'Laskenta poistopuoli 250'!$AF$34:$AF$37</c:f>
              <c:numCache>
                <c:formatCode>0.0</c:formatCode>
                <c:ptCount val="4"/>
                <c:pt idx="0">
                  <c:v>55.316352024496155</c:v>
                </c:pt>
                <c:pt idx="1">
                  <c:v>48.764322781411657</c:v>
                </c:pt>
                <c:pt idx="2">
                  <c:v>46.40116648892424</c:v>
                </c:pt>
                <c:pt idx="3">
                  <c:v>36.154228418302132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053-40AA-965D-A8C2B551F8D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250'!$W$5</c:f>
              <c:numCache>
                <c:formatCode>0.0</c:formatCode>
                <c:ptCount val="1"/>
                <c:pt idx="0">
                  <c:v>37.624498211409062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053-40AA-965D-A8C2B551F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C5'!$AA$4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C5'!$AB$6:$AB$12</c:f>
              <c:numCache>
                <c:formatCode>0.0</c:formatCode>
                <c:ptCount val="7"/>
                <c:pt idx="0">
                  <c:v>704.41515202349137</c:v>
                </c:pt>
                <c:pt idx="1">
                  <c:v>672.63936045835271</c:v>
                </c:pt>
                <c:pt idx="2">
                  <c:v>629.33063615244953</c:v>
                </c:pt>
                <c:pt idx="3">
                  <c:v>584.86750063882482</c:v>
                </c:pt>
                <c:pt idx="4">
                  <c:v>539.1524029239863</c:v>
                </c:pt>
                <c:pt idx="5">
                  <c:v>492.07322645236565</c:v>
                </c:pt>
                <c:pt idx="6">
                  <c:v>477.66458782780904</c:v>
                </c:pt>
              </c:numCache>
            </c:numRef>
          </c:xVal>
          <c:yVal>
            <c:numRef>
              <c:f>'Laskenta poistopuoli C5'!$AA$6:$AA$12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3B-41F0-AB7C-C1889B235E91}"/>
            </c:ext>
          </c:extLst>
        </c:ser>
        <c:ser>
          <c:idx val="1"/>
          <c:order val="1"/>
          <c:tx>
            <c:strRef>
              <c:f>'Laskenta poistopuoli C5'!$AC$4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C5'!$AD$6:$AD$12</c:f>
              <c:numCache>
                <c:formatCode>0.0</c:formatCode>
                <c:ptCount val="7"/>
                <c:pt idx="0">
                  <c:v>635.13108472623696</c:v>
                </c:pt>
                <c:pt idx="1">
                  <c:v>621.13721586741849</c:v>
                </c:pt>
                <c:pt idx="2">
                  <c:v>597.24546096540359</c:v>
                </c:pt>
                <c:pt idx="3">
                  <c:v>572.58309106524268</c:v>
                </c:pt>
                <c:pt idx="4">
                  <c:v>562.48496374942363</c:v>
                </c:pt>
                <c:pt idx="5">
                  <c:v>552.24522324859129</c:v>
                </c:pt>
                <c:pt idx="6">
                  <c:v>362.1499176804237</c:v>
                </c:pt>
              </c:numCache>
            </c:numRef>
          </c:xVal>
          <c:yVal>
            <c:numRef>
              <c:f>'Laskenta poistopuoli C5'!$AC$6:$AC$12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510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53B-41F0-AB7C-C1889B235E91}"/>
            </c:ext>
          </c:extLst>
        </c:ser>
        <c:ser>
          <c:idx val="2"/>
          <c:order val="2"/>
          <c:tx>
            <c:strRef>
              <c:f>'Laskenta poistopuoli C5'!$AE$4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C5'!$AF$6:$AF$11</c:f>
              <c:numCache>
                <c:formatCode>0.0</c:formatCode>
                <c:ptCount val="6"/>
                <c:pt idx="0">
                  <c:v>461.46618744473108</c:v>
                </c:pt>
                <c:pt idx="1">
                  <c:v>436.22652389115092</c:v>
                </c:pt>
                <c:pt idx="2">
                  <c:v>409.75018913868513</c:v>
                </c:pt>
                <c:pt idx="3">
                  <c:v>381.83535666879976</c:v>
                </c:pt>
                <c:pt idx="4">
                  <c:v>352.21848586327883</c:v>
                </c:pt>
                <c:pt idx="5">
                  <c:v>206.76262174494295</c:v>
                </c:pt>
              </c:numCache>
            </c:numRef>
          </c:xVal>
          <c:yVal>
            <c:numRef>
              <c:f>'Laskenta poistopuoli C5'!$AE$6:$AE$11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330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53B-41F0-AB7C-C1889B235E91}"/>
            </c:ext>
          </c:extLst>
        </c:ser>
        <c:ser>
          <c:idx val="3"/>
          <c:order val="3"/>
          <c:tx>
            <c:strRef>
              <c:f>'Laskenta poistopuoli C5'!$AG$4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C5'!$AH$6:$AH$10</c:f>
              <c:numCache>
                <c:formatCode>0.0</c:formatCode>
                <c:ptCount val="5"/>
                <c:pt idx="0">
                  <c:v>281.0750747137705</c:v>
                </c:pt>
                <c:pt idx="1">
                  <c:v>271.66904546375156</c:v>
                </c:pt>
                <c:pt idx="2">
                  <c:v>252.08070997899338</c:v>
                </c:pt>
                <c:pt idx="3">
                  <c:v>231.29830588165899</c:v>
                </c:pt>
                <c:pt idx="4">
                  <c:v>95.104674324430036</c:v>
                </c:pt>
              </c:numCache>
            </c:numRef>
          </c:xVal>
          <c:yVal>
            <c:numRef>
              <c:f>'Laskenta poistopuoli C5'!$AG$6:$AG$10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53B-41F0-AB7C-C1889B235E91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C5'!$J$3</c:f>
              <c:numCache>
                <c:formatCode>0</c:formatCode>
                <c:ptCount val="1"/>
                <c:pt idx="0">
                  <c:v>450</c:v>
                </c:pt>
              </c:numCache>
            </c:numRef>
          </c:xVal>
          <c:yVal>
            <c:numRef>
              <c:f>'Laskenta poistopuoli C5'!$L$3</c:f>
              <c:numCache>
                <c:formatCode>0.0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53B-41F0-AB7C-C1889B235E91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C5'!$AC$34:$AC$37</c:f>
              <c:numCache>
                <c:formatCode>0.0</c:formatCode>
                <c:ptCount val="4"/>
                <c:pt idx="0">
                  <c:v>630.85203284584327</c:v>
                </c:pt>
                <c:pt idx="1">
                  <c:v>567.9176681107507</c:v>
                </c:pt>
                <c:pt idx="2">
                  <c:v>413.51117866177191</c:v>
                </c:pt>
                <c:pt idx="3">
                  <c:v>258.94974384138897</c:v>
                </c:pt>
              </c:numCache>
            </c:numRef>
          </c:xVal>
          <c:yVal>
            <c:numRef>
              <c:f>'Laskenta poistopuoli C5'!$AD$34:$AD$37</c:f>
              <c:numCache>
                <c:formatCode>0.0</c:formatCode>
                <c:ptCount val="4"/>
                <c:pt idx="0">
                  <c:v>196.53051226949742</c:v>
                </c:pt>
                <c:pt idx="1">
                  <c:v>159.27431000116155</c:v>
                </c:pt>
                <c:pt idx="2">
                  <c:v>84.440244384319953</c:v>
                </c:pt>
                <c:pt idx="3">
                  <c:v>33.113565350874552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53B-41F0-AB7C-C1889B235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250'!$N$59:$N$62</c:f>
              <c:numCache>
                <c:formatCode>0.0</c:formatCode>
                <c:ptCount val="4"/>
                <c:pt idx="0">
                  <c:v>367.27606807457477</c:v>
                </c:pt>
                <c:pt idx="1">
                  <c:v>341.06998870275049</c:v>
                </c:pt>
                <c:pt idx="2">
                  <c:v>303.07324445507652</c:v>
                </c:pt>
                <c:pt idx="3">
                  <c:v>223.5792236627149</c:v>
                </c:pt>
              </c:numCache>
            </c:numRef>
          </c:xVal>
          <c:yVal>
            <c:numRef>
              <c:f>'Laskenta poistopuoli 250'!$O$59:$O$62</c:f>
              <c:numCache>
                <c:formatCode>0.0</c:formatCode>
                <c:ptCount val="4"/>
                <c:pt idx="0">
                  <c:v>82.689090072186829</c:v>
                </c:pt>
                <c:pt idx="1">
                  <c:v>82.105276378556539</c:v>
                </c:pt>
                <c:pt idx="2">
                  <c:v>81.080240846621081</c:v>
                </c:pt>
                <c:pt idx="3">
                  <c:v>79.022331218565611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9B-4862-89A9-6CCE33CB59BD}"/>
            </c:ext>
          </c:extLst>
        </c:ser>
        <c:ser>
          <c:idx val="1"/>
          <c:order val="1"/>
          <c:tx>
            <c:strRef>
              <c:f>'Laskenta poistopuoli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250'!$N$64:$N$67</c:f>
              <c:numCache>
                <c:formatCode>0.0</c:formatCode>
                <c:ptCount val="4"/>
                <c:pt idx="0">
                  <c:v>306.42216557619219</c:v>
                </c:pt>
                <c:pt idx="1">
                  <c:v>280.37540028596254</c:v>
                </c:pt>
                <c:pt idx="2">
                  <c:v>247.99195567141854</c:v>
                </c:pt>
                <c:pt idx="3">
                  <c:v>179.97539914207314</c:v>
                </c:pt>
              </c:numCache>
            </c:numRef>
          </c:xVal>
          <c:yVal>
            <c:numRef>
              <c:f>'Laskenta poistopuoli 250'!$O$64:$O$67</c:f>
              <c:numCache>
                <c:formatCode>0.0</c:formatCode>
                <c:ptCount val="4"/>
                <c:pt idx="0">
                  <c:v>78.99039262930242</c:v>
                </c:pt>
                <c:pt idx="1">
                  <c:v>78.069558159890079</c:v>
                </c:pt>
                <c:pt idx="2">
                  <c:v>76.942323327149879</c:v>
                </c:pt>
                <c:pt idx="3">
                  <c:v>74.326760800359523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49B-4862-89A9-6CCE33CB59BD}"/>
            </c:ext>
          </c:extLst>
        </c:ser>
        <c:ser>
          <c:idx val="2"/>
          <c:order val="2"/>
          <c:tx>
            <c:strRef>
              <c:f>'Laskenta poistopuoli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250'!$N$69:$N$72</c:f>
              <c:numCache>
                <c:formatCode>0.0</c:formatCode>
                <c:ptCount val="4"/>
                <c:pt idx="0">
                  <c:v>216.68199713194693</c:v>
                </c:pt>
                <c:pt idx="1">
                  <c:v>203.48048535677617</c:v>
                </c:pt>
                <c:pt idx="2">
                  <c:v>177.657613751502</c:v>
                </c:pt>
                <c:pt idx="3">
                  <c:v>129.31721034610501</c:v>
                </c:pt>
              </c:numCache>
            </c:numRef>
          </c:xVal>
          <c:yVal>
            <c:numRef>
              <c:f>'Laskenta poistopuoli 250'!$O$69:$O$72</c:f>
              <c:numCache>
                <c:formatCode>0.0</c:formatCode>
                <c:ptCount val="4"/>
                <c:pt idx="0">
                  <c:v>71.859694306887633</c:v>
                </c:pt>
                <c:pt idx="1">
                  <c:v>71.05536483352482</c:v>
                </c:pt>
                <c:pt idx="2">
                  <c:v>69.785748446535706</c:v>
                </c:pt>
                <c:pt idx="3">
                  <c:v>67.734414836531897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49B-4862-89A9-6CCE33CB59BD}"/>
            </c:ext>
          </c:extLst>
        </c:ser>
        <c:ser>
          <c:idx val="3"/>
          <c:order val="3"/>
          <c:tx>
            <c:strRef>
              <c:f>'Laskenta poistopuoli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250'!$N$74:$N$77</c:f>
              <c:numCache>
                <c:formatCode>0.0</c:formatCode>
                <c:ptCount val="4"/>
                <c:pt idx="0">
                  <c:v>136.94470684441694</c:v>
                </c:pt>
                <c:pt idx="1">
                  <c:v>126.48327019359726</c:v>
                </c:pt>
                <c:pt idx="2">
                  <c:v>110.48203024842798</c:v>
                </c:pt>
                <c:pt idx="3">
                  <c:v>79.668407730229532</c:v>
                </c:pt>
              </c:numCache>
            </c:numRef>
          </c:xVal>
          <c:yVal>
            <c:numRef>
              <c:f>'Laskenta poistopuoli 250'!$O$74:$O$77</c:f>
              <c:numCache>
                <c:formatCode>0.0</c:formatCode>
                <c:ptCount val="4"/>
                <c:pt idx="0">
                  <c:v>61.636094765036098</c:v>
                </c:pt>
                <c:pt idx="1">
                  <c:v>60.708709459674338</c:v>
                </c:pt>
                <c:pt idx="2">
                  <c:v>59.434186199278997</c:v>
                </c:pt>
                <c:pt idx="3">
                  <c:v>57.542846550437403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49B-4862-89A9-6CCE33CB59B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577690279919046E-2"/>
                  <c:y val="-0.24662238488997335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24.01148286750896</c:v>
                </c:pt>
                <c:pt idx="1">
                  <c:v>20.153450943350371</c:v>
                </c:pt>
                <c:pt idx="2">
                  <c:v>14.255551809025757</c:v>
                </c:pt>
                <c:pt idx="3">
                  <c:v>9.2389468911468331</c:v>
                </c:pt>
              </c:numCache>
            </c:numRef>
          </c:xVal>
          <c:yVal>
            <c:numRef>
              <c:f>'Laskenta poistopuoli 250'!$AG$34:$AG$37</c:f>
              <c:numCache>
                <c:formatCode>0.0</c:formatCode>
                <c:ptCount val="4"/>
                <c:pt idx="0">
                  <c:v>70.115281502624441</c:v>
                </c:pt>
                <c:pt idx="1">
                  <c:v>64.073692420927784</c:v>
                </c:pt>
                <c:pt idx="2">
                  <c:v>58.377835198318827</c:v>
                </c:pt>
                <c:pt idx="3">
                  <c:v>48.846181490727112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49B-4862-89A9-6CCE33CB59B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250'!$W$6</c:f>
              <c:numCache>
                <c:formatCode>0.0</c:formatCode>
                <c:ptCount val="1"/>
                <c:pt idx="0">
                  <c:v>49.871294227436977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49B-4862-89A9-6CCE33CB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250'!$AJ$36:$AJ$38</c:f>
              <c:numCache>
                <c:formatCode>0.0</c:formatCode>
                <c:ptCount val="3"/>
                <c:pt idx="0">
                  <c:v>20.153450943350371</c:v>
                </c:pt>
                <c:pt idx="1">
                  <c:v>14.255551809025757</c:v>
                </c:pt>
                <c:pt idx="2">
                  <c:v>9.2389468911468331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8E-4144-8697-BACF7D3E672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250'!$AJ$34:$AJ$35</c:f>
              <c:numCache>
                <c:formatCode>0.0</c:formatCode>
                <c:ptCount val="2"/>
                <c:pt idx="0">
                  <c:v>24.01148286750896</c:v>
                </c:pt>
                <c:pt idx="1">
                  <c:v>22.735194586993643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8E-4144-8697-BACF7D3E672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250'!$W$9</c:f>
              <c:numCache>
                <c:formatCode>0.00</c:formatCode>
                <c:ptCount val="1"/>
                <c:pt idx="0">
                  <c:v>4.2277239687228612</c:v>
                </c:pt>
              </c:numCache>
            </c:numRef>
          </c:xVal>
          <c:yVal>
            <c:numRef>
              <c:f>'Laskenta poistopuoli 250'!$J$3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08E-4144-8697-BACF7D3E672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250'!$AC$34:$AC$37</c:f>
              <c:numCache>
                <c:formatCode>0.0</c:formatCode>
                <c:ptCount val="4"/>
                <c:pt idx="0">
                  <c:v>24.01148286750896</c:v>
                </c:pt>
                <c:pt idx="1">
                  <c:v>20.153450943350371</c:v>
                </c:pt>
                <c:pt idx="2">
                  <c:v>14.255551809025757</c:v>
                </c:pt>
                <c:pt idx="3">
                  <c:v>9.2389468911468331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08E-4144-8697-BACF7D3E6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250'!$X$59:$X$66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250'!$Y$59:$Y$66</c:f>
              <c:numCache>
                <c:formatCode>0.0</c:formatCode>
                <c:ptCount val="8"/>
                <c:pt idx="0">
                  <c:v>302.32759265404218</c:v>
                </c:pt>
                <c:pt idx="1">
                  <c:v>356.54486395172677</c:v>
                </c:pt>
                <c:pt idx="2">
                  <c:v>421.03669396837233</c:v>
                </c:pt>
                <c:pt idx="3">
                  <c:v>457.54888920061728</c:v>
                </c:pt>
                <c:pt idx="4">
                  <c:v>508.8924685660923</c:v>
                </c:pt>
                <c:pt idx="5">
                  <c:v>519.47729833181302</c:v>
                </c:pt>
                <c:pt idx="6">
                  <c:v>499.98917692950459</c:v>
                </c:pt>
                <c:pt idx="7">
                  <c:v>515.99235857408132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2D-46C7-9979-CCF3021E5ECA}"/>
            </c:ext>
          </c:extLst>
        </c:ser>
        <c:ser>
          <c:idx val="1"/>
          <c:order val="1"/>
          <c:tx>
            <c:strRef>
              <c:f>'Laskenta poistopuoli 250'!$W$69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250'!$X$69:$X$77</c:f>
              <c:numCache>
                <c:formatCode>0.0</c:formatCode>
                <c:ptCount val="9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  <c:pt idx="6">
                  <c:v>280.37540028596254</c:v>
                </c:pt>
                <c:pt idx="7">
                  <c:v>306.42216557619219</c:v>
                </c:pt>
                <c:pt idx="8">
                  <c:v>68.235663849616046</c:v>
                </c:pt>
              </c:numCache>
            </c:numRef>
          </c:xVal>
          <c:yVal>
            <c:numRef>
              <c:f>'Laskenta poistopuoli 250'!$Y$69:$Y$77</c:f>
              <c:numCache>
                <c:formatCode>0.0</c:formatCode>
                <c:ptCount val="9"/>
                <c:pt idx="0">
                  <c:v>164.90844203665162</c:v>
                </c:pt>
                <c:pt idx="1">
                  <c:v>196.96128282198916</c:v>
                </c:pt>
                <c:pt idx="2">
                  <c:v>237.81117979773683</c:v>
                </c:pt>
                <c:pt idx="3">
                  <c:v>260.47989897572495</c:v>
                </c:pt>
                <c:pt idx="4">
                  <c:v>292.86254766640252</c:v>
                </c:pt>
                <c:pt idx="5">
                  <c:v>310.41418560822922</c:v>
                </c:pt>
                <c:pt idx="6">
                  <c:v>289.48558554113851</c:v>
                </c:pt>
                <c:pt idx="7">
                  <c:v>311.04275486404356</c:v>
                </c:pt>
                <c:pt idx="8">
                  <c:v>119.40185523650993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2D-46C7-9979-CCF3021E5ECA}"/>
            </c:ext>
          </c:extLst>
        </c:ser>
        <c:ser>
          <c:idx val="2"/>
          <c:order val="2"/>
          <c:tx>
            <c:strRef>
              <c:f>'Laskenta poistopuoli 250'!$W$80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250'!$X$80:$X$87</c:f>
              <c:numCache>
                <c:formatCode>0.0</c:formatCode>
                <c:ptCount val="8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  <c:pt idx="6">
                  <c:v>203.48048535677617</c:v>
                </c:pt>
                <c:pt idx="7">
                  <c:v>216.68199713194693</c:v>
                </c:pt>
              </c:numCache>
            </c:numRef>
          </c:xVal>
          <c:yVal>
            <c:numRef>
              <c:f>'Laskenta poistopuoli 250'!$Y$80:$Y$87</c:f>
              <c:numCache>
                <c:formatCode>0.0</c:formatCode>
                <c:ptCount val="8"/>
                <c:pt idx="0">
                  <c:v>73.255512194579921</c:v>
                </c:pt>
                <c:pt idx="1">
                  <c:v>86.543140247698204</c:v>
                </c:pt>
                <c:pt idx="2">
                  <c:v>101.62904601770833</c:v>
                </c:pt>
                <c:pt idx="3">
                  <c:v>110.69899121354534</c:v>
                </c:pt>
                <c:pt idx="4">
                  <c:v>123.35633973294334</c:v>
                </c:pt>
                <c:pt idx="5">
                  <c:v>134.90921358508626</c:v>
                </c:pt>
                <c:pt idx="6">
                  <c:v>123.40172430505064</c:v>
                </c:pt>
                <c:pt idx="7">
                  <c:v>130.02142396481116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2D-46C7-9979-CCF3021E5ECA}"/>
            </c:ext>
          </c:extLst>
        </c:ser>
        <c:ser>
          <c:idx val="3"/>
          <c:order val="3"/>
          <c:tx>
            <c:strRef>
              <c:f>'Laskenta poistopuoli 250'!$W$91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250'!$X$91:$X$98</c:f>
              <c:numCache>
                <c:formatCode>0.0</c:formatCode>
                <c:ptCount val="8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  <c:pt idx="6">
                  <c:v>126.48327019359726</c:v>
                </c:pt>
                <c:pt idx="7" formatCode="General">
                  <c:v>136.94470684441694</c:v>
                </c:pt>
              </c:numCache>
            </c:numRef>
          </c:xVal>
          <c:yVal>
            <c:numRef>
              <c:f>'Laskenta poistopuoli 250'!$Y$91:$Y$98</c:f>
              <c:numCache>
                <c:formatCode>0.0</c:formatCode>
                <c:ptCount val="8"/>
                <c:pt idx="0">
                  <c:v>29.409439010889692</c:v>
                </c:pt>
                <c:pt idx="1">
                  <c:v>33.309297611254642</c:v>
                </c:pt>
                <c:pt idx="2">
                  <c:v>37.281582637626165</c:v>
                </c:pt>
                <c:pt idx="3">
                  <c:v>39.567992760532817</c:v>
                </c:pt>
                <c:pt idx="4">
                  <c:v>42.914202318586497</c:v>
                </c:pt>
                <c:pt idx="5">
                  <c:v>43.891248017188815</c:v>
                </c:pt>
                <c:pt idx="6">
                  <c:v>43.27283236895304</c:v>
                </c:pt>
                <c:pt idx="7" formatCode="General">
                  <c:v>45.537563418715308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22D-46C7-9979-CCF3021E5ECA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250'!$AC$34:$AC$38</c:f>
              <c:numCache>
                <c:formatCode>0.0</c:formatCode>
                <c:ptCount val="5"/>
                <c:pt idx="0">
                  <c:v>24.01148286750896</c:v>
                </c:pt>
                <c:pt idx="1">
                  <c:v>20.153450943350371</c:v>
                </c:pt>
                <c:pt idx="2">
                  <c:v>14.255551809025757</c:v>
                </c:pt>
                <c:pt idx="3">
                  <c:v>9.2389468911468331</c:v>
                </c:pt>
                <c:pt idx="4">
                  <c:v>18.600575063174936</c:v>
                </c:pt>
              </c:numCache>
            </c:numRef>
          </c:xVal>
          <c:yVal>
            <c:numRef>
              <c:f>'Laskenta poistopuoli 250'!$AE$34:$AE$37</c:f>
              <c:numCache>
                <c:formatCode>0.0</c:formatCode>
                <c:ptCount val="4"/>
                <c:pt idx="0">
                  <c:v>43.051213943230458</c:v>
                </c:pt>
                <c:pt idx="1">
                  <c:v>89.072205189462082</c:v>
                </c:pt>
                <c:pt idx="2">
                  <c:v>41.073918083666413</c:v>
                </c:pt>
                <c:pt idx="3">
                  <c:v>18.012869316484739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22D-46C7-9979-CCF3021E5EC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250'!$W$13</c:f>
              <c:numCache>
                <c:formatCode>0.0</c:formatCode>
                <c:ptCount val="1"/>
                <c:pt idx="0">
                  <c:v>16.849582822181617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22D-46C7-9979-CCF3021E5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250'!$AA$4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250'!$AB$6:$AB$12</c:f>
              <c:numCache>
                <c:formatCode>0.0</c:formatCode>
                <c:ptCount val="7"/>
                <c:pt idx="0">
                  <c:v>296.29699977143565</c:v>
                </c:pt>
                <c:pt idx="1">
                  <c:v>266.84949561947269</c:v>
                </c:pt>
                <c:pt idx="2">
                  <c:v>220.17522952287823</c:v>
                </c:pt>
                <c:pt idx="3">
                  <c:v>203.56687017959618</c:v>
                </c:pt>
                <c:pt idx="4">
                  <c:v>178.31318398600729</c:v>
                </c:pt>
                <c:pt idx="5">
                  <c:v>155.75560277579419</c:v>
                </c:pt>
                <c:pt idx="6">
                  <c:v>115.63284896931589</c:v>
                </c:pt>
              </c:numCache>
            </c:numRef>
          </c:xVal>
          <c:yVal>
            <c:numRef>
              <c:f>'Laskenta poistopuoli 250'!$AA$6:$AA$12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DC-465D-9CE5-CF1240736B97}"/>
            </c:ext>
          </c:extLst>
        </c:ser>
        <c:ser>
          <c:idx val="1"/>
          <c:order val="1"/>
          <c:tx>
            <c:strRef>
              <c:f>'Laskenta poistopuoli 250'!$AC$4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250'!$AD$6:$AD$12</c:f>
              <c:numCache>
                <c:formatCode>0.0</c:formatCode>
                <c:ptCount val="7"/>
                <c:pt idx="0">
                  <c:v>296.29699977143565</c:v>
                </c:pt>
                <c:pt idx="1">
                  <c:v>266.84949561947269</c:v>
                </c:pt>
                <c:pt idx="2">
                  <c:v>220.17522952287823</c:v>
                </c:pt>
                <c:pt idx="3">
                  <c:v>203.56687017959618</c:v>
                </c:pt>
                <c:pt idx="4">
                  <c:v>178.31318398600729</c:v>
                </c:pt>
                <c:pt idx="5">
                  <c:v>155.75560277579419</c:v>
                </c:pt>
                <c:pt idx="6">
                  <c:v>115.63284896931589</c:v>
                </c:pt>
              </c:numCache>
            </c:numRef>
          </c:xVal>
          <c:yVal>
            <c:numRef>
              <c:f>'Laskenta poistopuoli 250'!$AC$6:$AC$12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DDC-465D-9CE5-CF1240736B97}"/>
            </c:ext>
          </c:extLst>
        </c:ser>
        <c:ser>
          <c:idx val="2"/>
          <c:order val="2"/>
          <c:tx>
            <c:strRef>
              <c:f>'Laskenta poistopuoli 250'!$AE$4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250'!$AF$6:$AF$11</c:f>
              <c:numCache>
                <c:formatCode>0.0</c:formatCode>
                <c:ptCount val="6"/>
                <c:pt idx="0">
                  <c:v>231.45482058174542</c:v>
                </c:pt>
                <c:pt idx="1">
                  <c:v>211.56213987435652</c:v>
                </c:pt>
                <c:pt idx="2">
                  <c:v>189.11321368100411</c:v>
                </c:pt>
                <c:pt idx="3">
                  <c:v>162.761483860868</c:v>
                </c:pt>
                <c:pt idx="4">
                  <c:v>129.26947010597144</c:v>
                </c:pt>
                <c:pt idx="5">
                  <c:v>92.408694768599474</c:v>
                </c:pt>
              </c:numCache>
            </c:numRef>
          </c:xVal>
          <c:yVal>
            <c:numRef>
              <c:f>'Laskenta poistopuoli 250'!$AE$6:$AE$11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DC-465D-9CE5-CF1240736B97}"/>
            </c:ext>
          </c:extLst>
        </c:ser>
        <c:ser>
          <c:idx val="3"/>
          <c:order val="3"/>
          <c:tx>
            <c:strRef>
              <c:f>'Laskenta poistopuoli 250'!$AG$4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250'!$AH$6:$AH$10</c:f>
              <c:numCache>
                <c:formatCode>0.0</c:formatCode>
                <c:ptCount val="5"/>
                <c:pt idx="0">
                  <c:v>137.79479127749656</c:v>
                </c:pt>
                <c:pt idx="1">
                  <c:v>129.5056281141523</c:v>
                </c:pt>
                <c:pt idx="2">
                  <c:v>110.92570358593754</c:v>
                </c:pt>
                <c:pt idx="3">
                  <c:v>88.098495554899614</c:v>
                </c:pt>
                <c:pt idx="4">
                  <c:v>55.102547399007342</c:v>
                </c:pt>
              </c:numCache>
            </c:numRef>
          </c:xVal>
          <c:yVal>
            <c:numRef>
              <c:f>'Laskenta poistopuoli 250'!$AG$6:$AG$10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DDC-465D-9CE5-CF1240736B97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250'!$L$3</c:f>
              <c:numCache>
                <c:formatCode>0.0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DDC-465D-9CE5-CF1240736B97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24.01148286750896</c:v>
                </c:pt>
                <c:pt idx="1">
                  <c:v>20.153450943350371</c:v>
                </c:pt>
                <c:pt idx="2">
                  <c:v>14.255551809025757</c:v>
                </c:pt>
                <c:pt idx="3">
                  <c:v>9.2389468911468331</c:v>
                </c:pt>
              </c:numCache>
            </c:numRef>
          </c:xVal>
          <c:yVal>
            <c:numRef>
              <c:f>'Laskenta poistopuoli 250'!$AD$34:$AD$37</c:f>
              <c:numCache>
                <c:formatCode>0.0</c:formatCode>
                <c:ptCount val="4"/>
                <c:pt idx="0">
                  <c:v>609.96775274097354</c:v>
                </c:pt>
                <c:pt idx="1">
                  <c:v>429.70237882786518</c:v>
                </c:pt>
                <c:pt idx="2">
                  <c:v>214.99926658305597</c:v>
                </c:pt>
                <c:pt idx="3">
                  <c:v>90.305427751862467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DDC-465D-9CE5-CF1240736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250'!$AM$60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250'!$AN$60:$AN$67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250'!$AO$60:$AO$67</c:f>
              <c:numCache>
                <c:formatCode>0.0</c:formatCode>
                <c:ptCount val="8"/>
                <c:pt idx="0">
                  <c:v>721.34661173481254</c:v>
                </c:pt>
                <c:pt idx="1">
                  <c:v>715.9378701953035</c:v>
                </c:pt>
                <c:pt idx="2">
                  <c:v>682.75011971480819</c:v>
                </c:pt>
                <c:pt idx="3">
                  <c:v>645.18533974845593</c:v>
                </c:pt>
                <c:pt idx="4">
                  <c:v>586.03019621125861</c:v>
                </c:pt>
                <c:pt idx="5">
                  <c:v>518.51525144517996</c:v>
                </c:pt>
                <c:pt idx="6">
                  <c:v>579.62341036618864</c:v>
                </c:pt>
                <c:pt idx="7">
                  <c:v>514.97229930894991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5C-4939-A97A-1C04FF839A33}"/>
            </c:ext>
          </c:extLst>
        </c:ser>
        <c:ser>
          <c:idx val="1"/>
          <c:order val="1"/>
          <c:tx>
            <c:strRef>
              <c:f>'Laskenta poistopuoli 250'!$AM$71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250'!$AN$71:$AN$76</c:f>
              <c:numCache>
                <c:formatCode>0.0</c:formatCode>
                <c:ptCount val="6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</c:numCache>
            </c:numRef>
          </c:xVal>
          <c:yVal>
            <c:numRef>
              <c:f>'Laskenta poistopuoli 250'!$AO$71:$AO$76</c:f>
              <c:numCache>
                <c:formatCode>0.0</c:formatCode>
                <c:ptCount val="6"/>
                <c:pt idx="0">
                  <c:v>473.91392562092256</c:v>
                </c:pt>
                <c:pt idx="1">
                  <c:v>473.1384992406995</c:v>
                </c:pt>
                <c:pt idx="2">
                  <c:v>462.69713755706249</c:v>
                </c:pt>
                <c:pt idx="3">
                  <c:v>445.05159760438255</c:v>
                </c:pt>
                <c:pt idx="4">
                  <c:v>408.52036683816453</c:v>
                </c:pt>
                <c:pt idx="5">
                  <c:v>374.87627917763552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5C-4939-A97A-1C04FF839A33}"/>
            </c:ext>
          </c:extLst>
        </c:ser>
        <c:ser>
          <c:idx val="2"/>
          <c:order val="2"/>
          <c:tx>
            <c:strRef>
              <c:f>'Laskenta poistopuoli 250'!$AM$82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250'!$AN$82:$AN$87</c:f>
              <c:numCache>
                <c:formatCode>0.0</c:formatCode>
                <c:ptCount val="6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</c:numCache>
            </c:numRef>
          </c:xVal>
          <c:yVal>
            <c:numRef>
              <c:f>'Laskenta poistopuoli 250'!$AO$82:$AO$87</c:f>
              <c:numCache>
                <c:formatCode>0.0</c:formatCode>
                <c:ptCount val="6"/>
                <c:pt idx="0">
                  <c:v>255.30068106481482</c:v>
                </c:pt>
                <c:pt idx="1">
                  <c:v>256.34269128011908</c:v>
                </c:pt>
                <c:pt idx="2">
                  <c:v>253.81558432274147</c:v>
                </c:pt>
                <c:pt idx="3">
                  <c:v>243.93185845736002</c:v>
                </c:pt>
                <c:pt idx="4">
                  <c:v>228.34086817976635</c:v>
                </c:pt>
                <c:pt idx="5">
                  <c:v>215.69856850350868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05C-4939-A97A-1C04FF839A33}"/>
            </c:ext>
          </c:extLst>
        </c:ser>
        <c:ser>
          <c:idx val="3"/>
          <c:order val="3"/>
          <c:tx>
            <c:strRef>
              <c:f>'Laskenta poistopuoli 250'!$AM$93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250'!$AN$93:$AN$98</c:f>
              <c:numCache>
                <c:formatCode>0.0</c:formatCode>
                <c:ptCount val="6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</c:numCache>
            </c:numRef>
          </c:xVal>
          <c:yVal>
            <c:numRef>
              <c:f>'Laskenta poistopuoli 250'!$AO$93:$AO$98</c:f>
              <c:numCache>
                <c:formatCode>0.0</c:formatCode>
                <c:ptCount val="6"/>
                <c:pt idx="0">
                  <c:v>109.31968624976143</c:v>
                </c:pt>
                <c:pt idx="1">
                  <c:v>111.65317186130773</c:v>
                </c:pt>
                <c:pt idx="2">
                  <c:v>110.42478023967983</c:v>
                </c:pt>
                <c:pt idx="3">
                  <c:v>110.02884818331296</c:v>
                </c:pt>
                <c:pt idx="4">
                  <c:v>102.35401122473381</c:v>
                </c:pt>
                <c:pt idx="5">
                  <c:v>100.48562347094051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05C-4939-A97A-1C04FF839A33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24.01148286750896</c:v>
                </c:pt>
                <c:pt idx="1">
                  <c:v>20.153450943350371</c:v>
                </c:pt>
                <c:pt idx="2">
                  <c:v>14.255551809025757</c:v>
                </c:pt>
                <c:pt idx="3">
                  <c:v>9.2389468911468331</c:v>
                </c:pt>
              </c:numCache>
            </c:numRef>
          </c:xVal>
          <c:yVal>
            <c:numRef>
              <c:f>'Laskenta poistopuoli 250'!$AL$34:$AL$37</c:f>
              <c:numCache>
                <c:formatCode>General</c:formatCode>
                <c:ptCount val="4"/>
                <c:pt idx="0">
                  <c:v>475.51062366911606</c:v>
                </c:pt>
                <c:pt idx="1">
                  <c:v>343.97582932918669</c:v>
                </c:pt>
                <c:pt idx="2">
                  <c:v>207.19647532769284</c:v>
                </c:pt>
                <c:pt idx="3">
                  <c:v>82.85015609148266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05C-4939-A97A-1C04FF839A33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250'!$W$2</c:f>
              <c:numCache>
                <c:formatCode>0.0</c:formatCode>
                <c:ptCount val="1"/>
                <c:pt idx="0">
                  <c:v>96.032520462415562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05C-4939-A97A-1C04FF839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130'!$N$15:$N$24</c:f>
              <c:numCache>
                <c:formatCode>General</c:formatCode>
                <c:ptCount val="10"/>
                <c:pt idx="5">
                  <c:v>500</c:v>
                </c:pt>
                <c:pt idx="6" formatCode="0.0">
                  <c:v>46.761998862738068</c:v>
                </c:pt>
                <c:pt idx="7" formatCode="0.0">
                  <c:v>42.07803596728656</c:v>
                </c:pt>
                <c:pt idx="8" formatCode="0.0">
                  <c:v>35.691045949143046</c:v>
                </c:pt>
                <c:pt idx="9" formatCode="0.0">
                  <c:v>29.02976791085376</c:v>
                </c:pt>
              </c:numCache>
            </c:numRef>
          </c:xVal>
          <c:yVal>
            <c:numRef>
              <c:f>'Laskenta vaipan läpi 130'!$Q$15:$Q$24</c:f>
              <c:numCache>
                <c:formatCode>General</c:formatCode>
                <c:ptCount val="10"/>
                <c:pt idx="5">
                  <c:v>4000</c:v>
                </c:pt>
                <c:pt idx="6" formatCode="0.0">
                  <c:v>28.38770669872595</c:v>
                </c:pt>
                <c:pt idx="7" formatCode="0.0">
                  <c:v>24.872746120590968</c:v>
                </c:pt>
                <c:pt idx="8" formatCode="0.0">
                  <c:v>17.577062138013034</c:v>
                </c:pt>
                <c:pt idx="9" formatCode="0.0">
                  <c:v>5.3019472550635438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94-455F-AB93-D81D9CC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274984"/>
        <c:axId val="886276952"/>
      </c:scatterChart>
      <c:valAx>
        <c:axId val="8862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6952"/>
        <c:crosses val="autoZero"/>
        <c:crossBetween val="midCat"/>
      </c:valAx>
      <c:valAx>
        <c:axId val="88627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250'!$AI$6:$AP$6</c:f>
              <c:numCache>
                <c:formatCode>0.0</c:formatCode>
                <c:ptCount val="8"/>
                <c:pt idx="0">
                  <c:v>15.892209228358126</c:v>
                </c:pt>
                <c:pt idx="1">
                  <c:v>12.390296852760258</c:v>
                </c:pt>
                <c:pt idx="2">
                  <c:v>4.112607902486495</c:v>
                </c:pt>
                <c:pt idx="3">
                  <c:v>-9.0182970698818679</c:v>
                </c:pt>
                <c:pt idx="4">
                  <c:v>-14.465242753896689</c:v>
                </c:pt>
                <c:pt idx="5">
                  <c:v>-15.779984741048047</c:v>
                </c:pt>
                <c:pt idx="6">
                  <c:v>-15.534678562698971</c:v>
                </c:pt>
                <c:pt idx="7">
                  <c:v>-16.525415074159966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6-46C2-BAEC-5D0777559C3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250'!$AI$7:$AP$7</c:f>
              <c:numCache>
                <c:formatCode>0.0</c:formatCode>
                <c:ptCount val="8"/>
                <c:pt idx="0">
                  <c:v>16.15839781661937</c:v>
                </c:pt>
                <c:pt idx="1">
                  <c:v>12.237056867910411</c:v>
                </c:pt>
                <c:pt idx="2">
                  <c:v>4.3223541109163648</c:v>
                </c:pt>
                <c:pt idx="3">
                  <c:v>-9.6510265124299082</c:v>
                </c:pt>
                <c:pt idx="4">
                  <c:v>-14.212039846494221</c:v>
                </c:pt>
                <c:pt idx="5">
                  <c:v>-16.391966198860842</c:v>
                </c:pt>
                <c:pt idx="6">
                  <c:v>-15.616838605059066</c:v>
                </c:pt>
                <c:pt idx="7">
                  <c:v>-16.696777305981719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56-46C2-BAEC-5D0777559C36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250'!$AI$8:$AP$8</c:f>
              <c:numCache>
                <c:formatCode>0.0</c:formatCode>
                <c:ptCount val="8"/>
                <c:pt idx="0">
                  <c:v>16.47614475441739</c:v>
                </c:pt>
                <c:pt idx="1">
                  <c:v>13.506505171812393</c:v>
                </c:pt>
                <c:pt idx="2">
                  <c:v>3.5305275760317159</c:v>
                </c:pt>
                <c:pt idx="3">
                  <c:v>-11.816875289243988</c:v>
                </c:pt>
                <c:pt idx="4">
                  <c:v>-15.81136627837985</c:v>
                </c:pt>
                <c:pt idx="5">
                  <c:v>-16.408441862324409</c:v>
                </c:pt>
                <c:pt idx="6">
                  <c:v>-17.829229980192622</c:v>
                </c:pt>
                <c:pt idx="7">
                  <c:v>-18.897640783128537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56-46C2-BAEC-5D0777559C36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250'!$AI$9:$AP$9</c:f>
              <c:numCache>
                <c:formatCode>0.0</c:formatCode>
                <c:ptCount val="8"/>
                <c:pt idx="0">
                  <c:v>17.120820773013683</c:v>
                </c:pt>
                <c:pt idx="1">
                  <c:v>12.187913716943818</c:v>
                </c:pt>
                <c:pt idx="2">
                  <c:v>4.003202166531743</c:v>
                </c:pt>
                <c:pt idx="3">
                  <c:v>-9.2049934948282655</c:v>
                </c:pt>
                <c:pt idx="4">
                  <c:v>-13.221934040161486</c:v>
                </c:pt>
                <c:pt idx="5">
                  <c:v>-18.298214676881113</c:v>
                </c:pt>
                <c:pt idx="6">
                  <c:v>-16.526809077840689</c:v>
                </c:pt>
                <c:pt idx="7">
                  <c:v>-17.610055377026107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56-46C2-BAEC-5D0777559C36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250'!$AI$10:$AP$10</c:f>
              <c:numCache>
                <c:formatCode>0.0</c:formatCode>
                <c:ptCount val="8"/>
                <c:pt idx="0">
                  <c:v>17.27959904904624</c:v>
                </c:pt>
                <c:pt idx="1">
                  <c:v>12.001819811878264</c:v>
                </c:pt>
                <c:pt idx="2">
                  <c:v>4.242918290410401</c:v>
                </c:pt>
                <c:pt idx="3">
                  <c:v>-9.5256621294263297</c:v>
                </c:pt>
                <c:pt idx="4">
                  <c:v>-13.499663314327584</c:v>
                </c:pt>
                <c:pt idx="5">
                  <c:v>-18.066973381583946</c:v>
                </c:pt>
                <c:pt idx="6">
                  <c:v>-16.617141908769781</c:v>
                </c:pt>
                <c:pt idx="7">
                  <c:v>-18.02686628889467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56-46C2-BAEC-5D0777559C36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250'!$AI$11:$AP$11</c:f>
              <c:numCache>
                <c:formatCode>0.0</c:formatCode>
                <c:ptCount val="8"/>
                <c:pt idx="0">
                  <c:v>18.649137241509351</c:v>
                </c:pt>
                <c:pt idx="1">
                  <c:v>12.435987080883969</c:v>
                </c:pt>
                <c:pt idx="2">
                  <c:v>2.7968089202831052</c:v>
                </c:pt>
                <c:pt idx="3">
                  <c:v>-11.210120102424213</c:v>
                </c:pt>
                <c:pt idx="4">
                  <c:v>-14.655517805794382</c:v>
                </c:pt>
                <c:pt idx="5">
                  <c:v>-18.034362138387582</c:v>
                </c:pt>
                <c:pt idx="6">
                  <c:v>-19.848748611306853</c:v>
                </c:pt>
                <c:pt idx="7">
                  <c:v>-20.92987764070163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56-46C2-BAEC-5D0777559C36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250'!$AI$12:$AP$12</c:f>
              <c:numCache>
                <c:formatCode>0.0</c:formatCode>
                <c:ptCount val="8"/>
                <c:pt idx="0">
                  <c:v>17.968871268612119</c:v>
                </c:pt>
                <c:pt idx="1">
                  <c:v>12.487033142273155</c:v>
                </c:pt>
                <c:pt idx="2">
                  <c:v>3.591233802437344</c:v>
                </c:pt>
                <c:pt idx="3">
                  <c:v>-8.4511014776597406</c:v>
                </c:pt>
                <c:pt idx="4">
                  <c:v>-12.675707610821242</c:v>
                </c:pt>
                <c:pt idx="5">
                  <c:v>-19.644585689622808</c:v>
                </c:pt>
                <c:pt idx="6">
                  <c:v>-17.94513656488375</c:v>
                </c:pt>
                <c:pt idx="7">
                  <c:v>-19.739901384291933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56-46C2-BAEC-5D0777559C36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250'!$AI$13:$AP$13</c:f>
              <c:numCache>
                <c:formatCode>0.0</c:formatCode>
                <c:ptCount val="8"/>
                <c:pt idx="0">
                  <c:v>18.658351448908689</c:v>
                </c:pt>
                <c:pt idx="1">
                  <c:v>12.259907698724888</c:v>
                </c:pt>
                <c:pt idx="2">
                  <c:v>2.9398314082594368</c:v>
                </c:pt>
                <c:pt idx="3">
                  <c:v>-8.576155223044303</c:v>
                </c:pt>
                <c:pt idx="4">
                  <c:v>-11.813090026091018</c:v>
                </c:pt>
                <c:pt idx="5">
                  <c:v>-18.843051095724537</c:v>
                </c:pt>
                <c:pt idx="6">
                  <c:v>-18.778569362834368</c:v>
                </c:pt>
                <c:pt idx="7">
                  <c:v>-20.396806059381596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56-46C2-BAEC-5D0777559C36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250'!$AI$14:$AP$14</c:f>
              <c:numCache>
                <c:formatCode>0.0</c:formatCode>
                <c:ptCount val="8"/>
                <c:pt idx="0">
                  <c:v>19.753520924686597</c:v>
                </c:pt>
                <c:pt idx="1">
                  <c:v>12.730179522959567</c:v>
                </c:pt>
                <c:pt idx="2">
                  <c:v>1.7867648912759933</c:v>
                </c:pt>
                <c:pt idx="3">
                  <c:v>-9.8377006024524292</c:v>
                </c:pt>
                <c:pt idx="4">
                  <c:v>-15.909018141675478</c:v>
                </c:pt>
                <c:pt idx="5">
                  <c:v>-19.536977175345569</c:v>
                </c:pt>
                <c:pt idx="6">
                  <c:v>-20.665188281053517</c:v>
                </c:pt>
                <c:pt idx="7">
                  <c:v>-22.498505678172393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56-46C2-BAEC-5D0777559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xVal>
            <c:numRef>
              <c:f>'Laskenta tulopuoli 350'!$D$59:$D$62</c:f>
              <c:numCache>
                <c:formatCode>0.0</c:formatCode>
                <c:ptCount val="4"/>
                <c:pt idx="0">
                  <c:v>344.7</c:v>
                </c:pt>
                <c:pt idx="1">
                  <c:v>324</c:v>
                </c:pt>
                <c:pt idx="2">
                  <c:v>292.5</c:v>
                </c:pt>
                <c:pt idx="3">
                  <c:v>199.8</c:v>
                </c:pt>
              </c:numCache>
            </c:numRef>
          </c:xVal>
          <c:yVal>
            <c:numRef>
              <c:f>'Laskenta tulopuoli 350'!$E$59:$E$62</c:f>
              <c:numCache>
                <c:formatCode>0.0</c:formatCode>
                <c:ptCount val="4"/>
                <c:pt idx="0">
                  <c:v>62.144673041028028</c:v>
                </c:pt>
                <c:pt idx="1">
                  <c:v>61.110829409089718</c:v>
                </c:pt>
                <c:pt idx="2">
                  <c:v>60.985409403702306</c:v>
                </c:pt>
                <c:pt idx="3">
                  <c:v>60.500427442168004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5A-4F64-BAF0-686A30BDB0C4}"/>
            </c:ext>
          </c:extLst>
        </c:ser>
        <c:ser>
          <c:idx val="1"/>
          <c:order val="1"/>
          <c:tx>
            <c:strRef>
              <c:f>'Laskenta tulopuoli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350'!$D$64:$D$67</c:f>
              <c:numCache>
                <c:formatCode>0.0</c:formatCode>
                <c:ptCount val="4"/>
                <c:pt idx="0">
                  <c:v>281.5</c:v>
                </c:pt>
                <c:pt idx="1">
                  <c:v>263.3</c:v>
                </c:pt>
                <c:pt idx="2">
                  <c:v>237.6</c:v>
                </c:pt>
                <c:pt idx="3">
                  <c:v>163.80000000000001</c:v>
                </c:pt>
              </c:numCache>
            </c:numRef>
          </c:xVal>
          <c:yVal>
            <c:numRef>
              <c:f>'Laskenta tulopuoli 350'!$E$64:$E$67</c:f>
              <c:numCache>
                <c:formatCode>0.0</c:formatCode>
                <c:ptCount val="4"/>
                <c:pt idx="0">
                  <c:v>58.24228272767192</c:v>
                </c:pt>
                <c:pt idx="1">
                  <c:v>57.721583476668464</c:v>
                </c:pt>
                <c:pt idx="2">
                  <c:v>57.063736576510934</c:v>
                </c:pt>
                <c:pt idx="3">
                  <c:v>55.682298664375324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5A-4F64-BAF0-686A30BDB0C4}"/>
            </c:ext>
          </c:extLst>
        </c:ser>
        <c:ser>
          <c:idx val="2"/>
          <c:order val="2"/>
          <c:tx>
            <c:strRef>
              <c:f>'Laskenta tulopuoli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350'!$D$69:$D$72</c:f>
              <c:numCache>
                <c:formatCode>0.0</c:formatCode>
                <c:ptCount val="4"/>
                <c:pt idx="0">
                  <c:v>199.7</c:v>
                </c:pt>
                <c:pt idx="1">
                  <c:v>189.6</c:v>
                </c:pt>
                <c:pt idx="2">
                  <c:v>172.1</c:v>
                </c:pt>
                <c:pt idx="3">
                  <c:v>116.3</c:v>
                </c:pt>
              </c:numCache>
            </c:numRef>
          </c:xVal>
          <c:yVal>
            <c:numRef>
              <c:f>'Laskenta tulopuoli 350'!$E$69:$E$72</c:f>
              <c:numCache>
                <c:formatCode>0.0</c:formatCode>
                <c:ptCount val="4"/>
                <c:pt idx="0">
                  <c:v>52.054568508290444</c:v>
                </c:pt>
                <c:pt idx="1">
                  <c:v>50.877843425757796</c:v>
                </c:pt>
                <c:pt idx="2">
                  <c:v>50.40068165114193</c:v>
                </c:pt>
                <c:pt idx="3">
                  <c:v>49.985155052847965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5A-4F64-BAF0-686A30BDB0C4}"/>
            </c:ext>
          </c:extLst>
        </c:ser>
        <c:ser>
          <c:idx val="3"/>
          <c:order val="3"/>
          <c:tx>
            <c:strRef>
              <c:f>'Laskenta tulopuoli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350'!$D$74:$D$77</c:f>
              <c:numCache>
                <c:formatCode>0.0</c:formatCode>
                <c:ptCount val="4"/>
                <c:pt idx="0">
                  <c:v>120.9</c:v>
                </c:pt>
                <c:pt idx="1">
                  <c:v>111.7</c:v>
                </c:pt>
                <c:pt idx="2">
                  <c:v>102.2</c:v>
                </c:pt>
                <c:pt idx="3">
                  <c:v>75.400000000000006</c:v>
                </c:pt>
              </c:numCache>
            </c:numRef>
          </c:xVal>
          <c:yVal>
            <c:numRef>
              <c:f>'Laskenta tulopuoli 350'!$E$74:$E$77</c:f>
              <c:numCache>
                <c:formatCode>0.0</c:formatCode>
                <c:ptCount val="4"/>
                <c:pt idx="0">
                  <c:v>42.714217266282517</c:v>
                </c:pt>
                <c:pt idx="1">
                  <c:v>41.582199094486363</c:v>
                </c:pt>
                <c:pt idx="2">
                  <c:v>41.026264842676959</c:v>
                </c:pt>
                <c:pt idx="3">
                  <c:v>40.82876371299777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65A-4F64-BAF0-686A30BDB0C4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5A-4F64-BAF0-686A30BDB0C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65A-4F64-BAF0-686A30BDB0C4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2.674304082754787E-2"/>
                  <c:y val="-6.978125780825413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27.908425594860638</c:v>
                </c:pt>
                <c:pt idx="1">
                  <c:v>22.567911110867403</c:v>
                </c:pt>
                <c:pt idx="2">
                  <c:v>15.629094805214063</c:v>
                </c:pt>
                <c:pt idx="3">
                  <c:v>10.740604018955466</c:v>
                </c:pt>
              </c:numCache>
            </c:numRef>
          </c:xVal>
          <c:yVal>
            <c:numRef>
              <c:f>'Laskenta tulopuoli 350'!$AF$34:$AF$37</c:f>
              <c:numCache>
                <c:formatCode>0.0</c:formatCode>
                <c:ptCount val="4"/>
                <c:pt idx="0">
                  <c:v>57.830536447420592</c:v>
                </c:pt>
                <c:pt idx="1">
                  <c:v>50.625203226087898</c:v>
                </c:pt>
                <c:pt idx="2">
                  <c:v>46.542142126244208</c:v>
                </c:pt>
                <c:pt idx="3">
                  <c:v>36.913977930173736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65A-4F64-BAF0-686A30BDB0C4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350'!$W$5</c:f>
              <c:numCache>
                <c:formatCode>0.0</c:formatCode>
                <c:ptCount val="1"/>
                <c:pt idx="0">
                  <c:v>35.349541902898544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65A-4F64-BAF0-686A30BDB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350'!$N$59:$N$62</c:f>
              <c:numCache>
                <c:formatCode>0.0</c:formatCode>
                <c:ptCount val="4"/>
                <c:pt idx="0">
                  <c:v>347.55882244303535</c:v>
                </c:pt>
                <c:pt idx="1">
                  <c:v>318.57365469368182</c:v>
                </c:pt>
                <c:pt idx="2">
                  <c:v>289.31281640836551</c:v>
                </c:pt>
                <c:pt idx="3">
                  <c:v>207.42294296613554</c:v>
                </c:pt>
              </c:numCache>
            </c:numRef>
          </c:xVal>
          <c:yVal>
            <c:numRef>
              <c:f>'Laskenta tulopuoli 350'!$O$59:$O$62</c:f>
              <c:numCache>
                <c:formatCode>0.0</c:formatCode>
                <c:ptCount val="4"/>
                <c:pt idx="0">
                  <c:v>81.851516160933571</c:v>
                </c:pt>
                <c:pt idx="1">
                  <c:v>81.06411222486777</c:v>
                </c:pt>
                <c:pt idx="2">
                  <c:v>80.236796311049133</c:v>
                </c:pt>
                <c:pt idx="3">
                  <c:v>78.507118643238755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B4-46E9-BB2E-E632CD7359C8}"/>
            </c:ext>
          </c:extLst>
        </c:ser>
        <c:ser>
          <c:idx val="1"/>
          <c:order val="1"/>
          <c:tx>
            <c:strRef>
              <c:f>'Laskenta tulopuoli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350'!$N$64:$N$67</c:f>
              <c:numCache>
                <c:formatCode>0.0</c:formatCode>
                <c:ptCount val="4"/>
                <c:pt idx="0">
                  <c:v>283.96765425773657</c:v>
                </c:pt>
                <c:pt idx="1">
                  <c:v>261.96983501546862</c:v>
                </c:pt>
                <c:pt idx="2">
                  <c:v>234.55670322791551</c:v>
                </c:pt>
                <c:pt idx="3">
                  <c:v>167.45120469341205</c:v>
                </c:pt>
              </c:numCache>
            </c:numRef>
          </c:xVal>
          <c:yVal>
            <c:numRef>
              <c:f>'Laskenta tulopuoli 350'!$O$64:$O$67</c:f>
              <c:numCache>
                <c:formatCode>0.0</c:formatCode>
                <c:ptCount val="4"/>
                <c:pt idx="0">
                  <c:v>77.735360552640628</c:v>
                </c:pt>
                <c:pt idx="1">
                  <c:v>76.862945314317813</c:v>
                </c:pt>
                <c:pt idx="2">
                  <c:v>75.986323411337054</c:v>
                </c:pt>
                <c:pt idx="3">
                  <c:v>74.277783828246243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B4-46E9-BB2E-E632CD7359C8}"/>
            </c:ext>
          </c:extLst>
        </c:ser>
        <c:ser>
          <c:idx val="2"/>
          <c:order val="2"/>
          <c:tx>
            <c:strRef>
              <c:f>'Laskenta tulopuoli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350'!$N$69:$N$72</c:f>
              <c:numCache>
                <c:formatCode>0.0</c:formatCode>
                <c:ptCount val="4"/>
                <c:pt idx="0">
                  <c:v>196.59593379240673</c:v>
                </c:pt>
                <c:pt idx="1">
                  <c:v>188.24966838990059</c:v>
                </c:pt>
                <c:pt idx="2">
                  <c:v>164.38494862120547</c:v>
                </c:pt>
                <c:pt idx="3">
                  <c:v>119.65707821171999</c:v>
                </c:pt>
              </c:numCache>
            </c:numRef>
          </c:xVal>
          <c:yVal>
            <c:numRef>
              <c:f>'Laskenta tulopuoli 350'!$O$69:$O$72</c:f>
              <c:numCache>
                <c:formatCode>0.0</c:formatCode>
                <c:ptCount val="4"/>
                <c:pt idx="0">
                  <c:v>70.294486455567011</c:v>
                </c:pt>
                <c:pt idx="1">
                  <c:v>70.39393478183564</c:v>
                </c:pt>
                <c:pt idx="2">
                  <c:v>69.238525709591201</c:v>
                </c:pt>
                <c:pt idx="3">
                  <c:v>68.005684116574912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B4-46E9-BB2E-E632CD7359C8}"/>
            </c:ext>
          </c:extLst>
        </c:ser>
        <c:ser>
          <c:idx val="3"/>
          <c:order val="3"/>
          <c:tx>
            <c:strRef>
              <c:f>'Laskenta tulopuoli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350'!$N$74:$N$77</c:f>
              <c:numCache>
                <c:formatCode>0.0</c:formatCode>
                <c:ptCount val="4"/>
                <c:pt idx="0">
                  <c:v>120.06691977873932</c:v>
                </c:pt>
                <c:pt idx="1">
                  <c:v>110.21384224054002</c:v>
                </c:pt>
                <c:pt idx="2">
                  <c:v>101.54208149102088</c:v>
                </c:pt>
                <c:pt idx="3">
                  <c:v>71.51080035745774</c:v>
                </c:pt>
              </c:numCache>
            </c:numRef>
          </c:xVal>
          <c:yVal>
            <c:numRef>
              <c:f>'Laskenta tulopuoli 350'!$O$74:$O$77</c:f>
              <c:numCache>
                <c:formatCode>0.0</c:formatCode>
                <c:ptCount val="4"/>
                <c:pt idx="0">
                  <c:v>60.277409039035533</c:v>
                </c:pt>
                <c:pt idx="1">
                  <c:v>59.745318906529754</c:v>
                </c:pt>
                <c:pt idx="2">
                  <c:v>59.237513523597116</c:v>
                </c:pt>
                <c:pt idx="3">
                  <c:v>58.0702069810362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4B4-46E9-BB2E-E632CD7359C8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1.8473446385078678E-2"/>
                  <c:y val="-7.269786616947292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27.908425594860638</c:v>
                </c:pt>
                <c:pt idx="1">
                  <c:v>22.567911110867403</c:v>
                </c:pt>
                <c:pt idx="2">
                  <c:v>15.629094805214063</c:v>
                </c:pt>
                <c:pt idx="3">
                  <c:v>10.740604018955466</c:v>
                </c:pt>
              </c:numCache>
            </c:numRef>
          </c:xVal>
          <c:yVal>
            <c:numRef>
              <c:f>'Laskenta tulopuoli 350'!$AG$34:$AG$37</c:f>
              <c:numCache>
                <c:formatCode>0.0</c:formatCode>
                <c:ptCount val="4"/>
                <c:pt idx="0">
                  <c:v>71.401594067305325</c:v>
                </c:pt>
                <c:pt idx="1">
                  <c:v>67.192173538404489</c:v>
                </c:pt>
                <c:pt idx="2">
                  <c:v>62.437064980011733</c:v>
                </c:pt>
                <c:pt idx="3">
                  <c:v>53.616144293086087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4B4-46E9-BB2E-E632CD7359C8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350'!$W$6</c:f>
              <c:numCache>
                <c:formatCode>0.0</c:formatCode>
                <c:ptCount val="1"/>
                <c:pt idx="0">
                  <c:v>52.528035704291518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4B4-46E9-BB2E-E632CD7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350'!$AJ$36:$AJ$38</c:f>
              <c:numCache>
                <c:formatCode>0.0</c:formatCode>
                <c:ptCount val="3"/>
                <c:pt idx="0">
                  <c:v>22.567911110867403</c:v>
                </c:pt>
                <c:pt idx="1">
                  <c:v>15.629094805214063</c:v>
                </c:pt>
                <c:pt idx="2">
                  <c:v>10.740604018955466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8B-4061-881B-A38A42CF24D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350'!$AJ$34:$AJ$35</c:f>
              <c:numCache>
                <c:formatCode>0.0</c:formatCode>
                <c:ptCount val="2"/>
                <c:pt idx="0">
                  <c:v>27.908425594860638</c:v>
                </c:pt>
                <c:pt idx="1">
                  <c:v>25.183016963946262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8B-4061-881B-A38A42CF24D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350'!$W$9</c:f>
              <c:numCache>
                <c:formatCode>0.00</c:formatCode>
                <c:ptCount val="1"/>
                <c:pt idx="0">
                  <c:v>3.7513739428936064</c:v>
                </c:pt>
              </c:numCache>
            </c:numRef>
          </c:xVal>
          <c:yVal>
            <c:numRef>
              <c:f>'Laskenta tulopuoli 350'!$J$3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8B-4061-881B-A38A42CF24D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350'!$AC$34:$AC$37</c:f>
              <c:numCache>
                <c:formatCode>0.0</c:formatCode>
                <c:ptCount val="4"/>
                <c:pt idx="0">
                  <c:v>27.908425594860638</c:v>
                </c:pt>
                <c:pt idx="1">
                  <c:v>22.567911110867403</c:v>
                </c:pt>
                <c:pt idx="2">
                  <c:v>15.629094805214063</c:v>
                </c:pt>
                <c:pt idx="3">
                  <c:v>10.740604018955466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8B-4061-881B-A38A42CF24DB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tulopuoli 350'!$AR$36</c:f>
              <c:numCache>
                <c:formatCode>0.0</c:formatCode>
                <c:ptCount val="1"/>
                <c:pt idx="0">
                  <c:v>4.4229623345634375</c:v>
                </c:pt>
              </c:numCache>
            </c:numRef>
          </c:xVal>
          <c:yVal>
            <c:numRef>
              <c:f>'Laskenta tulopuoli 350'!$AO$36</c:f>
              <c:numCache>
                <c:formatCode>0.0</c:formatCode>
                <c:ptCount val="1"/>
                <c:pt idx="0">
                  <c:v>11.666666666666666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EF-4592-804F-A341F25CF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C5'!$BL$34</c:f>
              <c:strCache>
                <c:ptCount val="1"/>
                <c:pt idx="0">
                  <c:v>F8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C5'!$BG$35:$BG$42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poistopuoli C5'!$BL$35:$BL$42</c:f>
              <c:numCache>
                <c:formatCode>0.0</c:formatCode>
                <c:ptCount val="8"/>
                <c:pt idx="0">
                  <c:v>-5.057058167252519</c:v>
                </c:pt>
                <c:pt idx="1">
                  <c:v>-11.828731773246385</c:v>
                </c:pt>
                <c:pt idx="2">
                  <c:v>-19.442447052578736</c:v>
                </c:pt>
                <c:pt idx="3">
                  <c:v>-27.659473365827463</c:v>
                </c:pt>
                <c:pt idx="4">
                  <c:v>-45.454307651400235</c:v>
                </c:pt>
                <c:pt idx="5">
                  <c:v>-64.655991154677309</c:v>
                </c:pt>
                <c:pt idx="6">
                  <c:v>-84.975450290562151</c:v>
                </c:pt>
                <c:pt idx="7">
                  <c:v>-106.23177075078027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A0-41CB-93C6-E152D51B9D45}"/>
            </c:ext>
          </c:extLst>
        </c:ser>
        <c:ser>
          <c:idx val="1"/>
          <c:order val="1"/>
          <c:tx>
            <c:strRef>
              <c:f>'Laskenta poistopuoli C5'!$BM$34</c:f>
              <c:strCache>
                <c:ptCount val="1"/>
                <c:pt idx="0">
                  <c:v>F7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C5'!$BG$35:$BG$42</c:f>
              <c:numCache>
                <c:formatCode>General</c:formatCode>
                <c:ptCount val="8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</c:numCache>
            </c:numRef>
          </c:xVal>
          <c:yVal>
            <c:numRef>
              <c:f>'Laskenta poistopuoli C5'!$BM$35:$BM$42</c:f>
              <c:numCache>
                <c:formatCode>0.0</c:formatCode>
                <c:ptCount val="8"/>
                <c:pt idx="0">
                  <c:v>-4.5597664671080587</c:v>
                </c:pt>
                <c:pt idx="1">
                  <c:v>-9.2299862063821578</c:v>
                </c:pt>
                <c:pt idx="2">
                  <c:v>-13.885115218604678</c:v>
                </c:pt>
                <c:pt idx="3">
                  <c:v>-18.511275410150176</c:v>
                </c:pt>
                <c:pt idx="4">
                  <c:v>-27.665249978619464</c:v>
                </c:pt>
                <c:pt idx="5">
                  <c:v>-36.687800308323908</c:v>
                </c:pt>
                <c:pt idx="6">
                  <c:v>-45.584769373688815</c:v>
                </c:pt>
                <c:pt idx="7">
                  <c:v>-54.363168878472827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0A0-41CB-93C6-E152D51B9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31647"/>
        <c:axId val="196319647"/>
      </c:scatterChart>
      <c:valAx>
        <c:axId val="196331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319647"/>
        <c:crosses val="autoZero"/>
        <c:crossBetween val="midCat"/>
      </c:valAx>
      <c:valAx>
        <c:axId val="196319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63316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350'!$X$59:$X$67</c:f>
              <c:numCache>
                <c:formatCode>0.0</c:formatCode>
                <c:ptCount val="9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  <c:pt idx="8">
                  <c:v>88.39543467590552</c:v>
                </c:pt>
              </c:numCache>
            </c:numRef>
          </c:xVal>
          <c:yVal>
            <c:numRef>
              <c:f>'Laskenta tulopuoli 350'!$Y$59:$Y$67</c:f>
              <c:numCache>
                <c:formatCode>0.0</c:formatCode>
                <c:ptCount val="9"/>
                <c:pt idx="0">
                  <c:v>269.87126140289683</c:v>
                </c:pt>
                <c:pt idx="1">
                  <c:v>344.24106644222212</c:v>
                </c:pt>
                <c:pt idx="2">
                  <c:v>404.74934395940249</c:v>
                </c:pt>
                <c:pt idx="3">
                  <c:v>441.21443337830112</c:v>
                </c:pt>
                <c:pt idx="4">
                  <c:v>476.01090864587957</c:v>
                </c:pt>
                <c:pt idx="5">
                  <c:v>508.64545939713418</c:v>
                </c:pt>
                <c:pt idx="6">
                  <c:v>470.25008534934227</c:v>
                </c:pt>
                <c:pt idx="7">
                  <c:v>500.70540336719438</c:v>
                </c:pt>
                <c:pt idx="8">
                  <c:v>219.51717363439141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72-4E5D-B308-7D0E7BC343F5}"/>
            </c:ext>
          </c:extLst>
        </c:ser>
        <c:ser>
          <c:idx val="1"/>
          <c:order val="1"/>
          <c:tx>
            <c:strRef>
              <c:f>'Laskenta tulopuoli 350'!$W$70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350'!$X$70:$X$78</c:f>
              <c:numCache>
                <c:formatCode>0.0</c:formatCode>
                <c:ptCount val="9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  <c:pt idx="8">
                  <c:v>69.746589293639971</c:v>
                </c:pt>
              </c:numCache>
            </c:numRef>
          </c:xVal>
          <c:yVal>
            <c:numRef>
              <c:f>'Laskenta tulopuoli 350'!$Y$70:$Y$78</c:f>
              <c:numCache>
                <c:formatCode>0.0</c:formatCode>
                <c:ptCount val="9"/>
                <c:pt idx="0">
                  <c:v>149.69222564951269</c:v>
                </c:pt>
                <c:pt idx="1">
                  <c:v>194.21295707561856</c:v>
                </c:pt>
                <c:pt idx="2">
                  <c:v>226.86308284600184</c:v>
                </c:pt>
                <c:pt idx="3">
                  <c:v>250.01490513085002</c:v>
                </c:pt>
                <c:pt idx="4">
                  <c:v>291.75989245361296</c:v>
                </c:pt>
                <c:pt idx="5">
                  <c:v>272.36127011804143</c:v>
                </c:pt>
                <c:pt idx="6">
                  <c:v>272.86710131104024</c:v>
                </c:pt>
                <c:pt idx="7">
                  <c:v>293.34861075163002</c:v>
                </c:pt>
                <c:pt idx="8">
                  <c:v>122.34343264857729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72-4E5D-B308-7D0E7BC343F5}"/>
            </c:ext>
          </c:extLst>
        </c:ser>
        <c:ser>
          <c:idx val="2"/>
          <c:order val="2"/>
          <c:tx>
            <c:strRef>
              <c:f>'Laskenta tulopuoli 350'!$W$81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350'!$X$81:$X$88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350'!$Y$81:$Y$88</c:f>
              <c:numCache>
                <c:formatCode>0.0</c:formatCode>
                <c:ptCount val="8"/>
                <c:pt idx="0">
                  <c:v>68.338082142436136</c:v>
                </c:pt>
                <c:pt idx="1">
                  <c:v>85.817945626993549</c:v>
                </c:pt>
                <c:pt idx="2">
                  <c:v>100.58211420649553</c:v>
                </c:pt>
                <c:pt idx="3">
                  <c:v>108.18499603886791</c:v>
                </c:pt>
                <c:pt idx="4">
                  <c:v>122.06707576044337</c:v>
                </c:pt>
                <c:pt idx="5">
                  <c:v>127.03579746433738</c:v>
                </c:pt>
                <c:pt idx="6">
                  <c:v>121.47438704053738</c:v>
                </c:pt>
                <c:pt idx="7">
                  <c:v>120.34526296527847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72-4E5D-B308-7D0E7BC343F5}"/>
            </c:ext>
          </c:extLst>
        </c:ser>
        <c:ser>
          <c:idx val="3"/>
          <c:order val="3"/>
          <c:tx>
            <c:strRef>
              <c:f>'Laskenta tulopuoli 350'!$W$92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350'!$X$92:$X$98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350'!$Y$92:$Y$98</c:f>
              <c:numCache>
                <c:formatCode>0.0</c:formatCode>
                <c:ptCount val="7"/>
                <c:pt idx="0">
                  <c:v>27.789129554462839</c:v>
                </c:pt>
                <c:pt idx="1">
                  <c:v>32.284696155606284</c:v>
                </c:pt>
                <c:pt idx="2">
                  <c:v>35.64020826027015</c:v>
                </c:pt>
                <c:pt idx="3">
                  <c:v>38.902321225263641</c:v>
                </c:pt>
                <c:pt idx="4">
                  <c:v>42.421503042537594</c:v>
                </c:pt>
                <c:pt idx="5">
                  <c:v>41.173887650695342</c:v>
                </c:pt>
                <c:pt idx="6">
                  <c:v>42.255082918151238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72-4E5D-B308-7D0E7BC343F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350'!$AC$34:$AC$38</c:f>
              <c:numCache>
                <c:formatCode>0.0</c:formatCode>
                <c:ptCount val="5"/>
                <c:pt idx="0">
                  <c:v>27.908425594860638</c:v>
                </c:pt>
                <c:pt idx="1">
                  <c:v>22.567911110867403</c:v>
                </c:pt>
                <c:pt idx="2">
                  <c:v>15.629094805214063</c:v>
                </c:pt>
                <c:pt idx="3">
                  <c:v>10.740604018955466</c:v>
                </c:pt>
              </c:numCache>
            </c:numRef>
          </c:xVal>
          <c:yVal>
            <c:numRef>
              <c:f>'Laskenta tulopuoli 350'!$AE$34:$AE$37</c:f>
              <c:numCache>
                <c:formatCode>0.0</c:formatCode>
                <c:ptCount val="4"/>
                <c:pt idx="0">
                  <c:v>154.17951331273559</c:v>
                </c:pt>
                <c:pt idx="1">
                  <c:v>89.450708769975051</c:v>
                </c:pt>
                <c:pt idx="2">
                  <c:v>37.949984433278473</c:v>
                </c:pt>
                <c:pt idx="3">
                  <c:v>19.733641311727901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72-4E5D-B308-7D0E7BC343F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350'!$W$13</c:f>
              <c:numCache>
                <c:formatCode>0.0</c:formatCode>
                <c:ptCount val="1"/>
                <c:pt idx="0">
                  <c:v>18.046839796085074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D72-4E5D-B308-7D0E7BC34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350'!$AA$4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350'!$AB$6:$AB$12</c:f>
              <c:numCache>
                <c:formatCode>0.0</c:formatCode>
                <c:ptCount val="7"/>
                <c:pt idx="0">
                  <c:v>368.02333717549868</c:v>
                </c:pt>
                <c:pt idx="1">
                  <c:v>348.74296772600093</c:v>
                </c:pt>
                <c:pt idx="2">
                  <c:v>320.90760039583563</c:v>
                </c:pt>
                <c:pt idx="3">
                  <c:v>289.85995878473915</c:v>
                </c:pt>
                <c:pt idx="4">
                  <c:v>254.13770997194598</c:v>
                </c:pt>
                <c:pt idx="5">
                  <c:v>210.64715881769263</c:v>
                </c:pt>
                <c:pt idx="6">
                  <c:v>141.35108796400908</c:v>
                </c:pt>
              </c:numCache>
            </c:numRef>
          </c:xVal>
          <c:yVal>
            <c:numRef>
              <c:f>'Laskenta tulopuoli 350'!$AA$6:$AA$12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41-43EB-A038-4F35E3E423CA}"/>
            </c:ext>
          </c:extLst>
        </c:ser>
        <c:ser>
          <c:idx val="1"/>
          <c:order val="1"/>
          <c:tx>
            <c:strRef>
              <c:f>'Laskenta tulopuoli 350'!$AC$4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350'!$AD$6:$AD$12</c:f>
              <c:numCache>
                <c:formatCode>0.0</c:formatCode>
                <c:ptCount val="7"/>
                <c:pt idx="0">
                  <c:v>299.78303188704132</c:v>
                </c:pt>
                <c:pt idx="1">
                  <c:v>289.97555040775342</c:v>
                </c:pt>
                <c:pt idx="2">
                  <c:v>272.7308916827721</c:v>
                </c:pt>
                <c:pt idx="3">
                  <c:v>254.13099309054866</c:v>
                </c:pt>
                <c:pt idx="4">
                  <c:v>220.52447882740637</c:v>
                </c:pt>
                <c:pt idx="5">
                  <c:v>173.2504723348554</c:v>
                </c:pt>
                <c:pt idx="6">
                  <c:v>114.64592676119456</c:v>
                </c:pt>
              </c:numCache>
            </c:numRef>
          </c:xVal>
          <c:yVal>
            <c:numRef>
              <c:f>'Laskenta tulopuoli 350'!$AC$6:$AC$12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41-43EB-A038-4F35E3E423CA}"/>
            </c:ext>
          </c:extLst>
        </c:ser>
        <c:ser>
          <c:idx val="2"/>
          <c:order val="2"/>
          <c:tx>
            <c:strRef>
              <c:f>'Laskenta tulopuoli 350'!$AE$4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350'!$AF$6:$AF$11</c:f>
              <c:numCache>
                <c:formatCode>0.0</c:formatCode>
                <c:ptCount val="6"/>
                <c:pt idx="0">
                  <c:v>213.61335762915562</c:v>
                </c:pt>
                <c:pt idx="1">
                  <c:v>195.72898551317115</c:v>
                </c:pt>
                <c:pt idx="2">
                  <c:v>175.4581740263832</c:v>
                </c:pt>
                <c:pt idx="3">
                  <c:v>151.47576534370617</c:v>
                </c:pt>
                <c:pt idx="4">
                  <c:v>120.42188405539274</c:v>
                </c:pt>
                <c:pt idx="5">
                  <c:v>73.943002844798301</c:v>
                </c:pt>
              </c:numCache>
            </c:numRef>
          </c:xVal>
          <c:yVal>
            <c:numRef>
              <c:f>'Laskenta tulopuoli 350'!$AE$6:$AE$11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41-43EB-A038-4F35E3E423CA}"/>
            </c:ext>
          </c:extLst>
        </c:ser>
        <c:ser>
          <c:idx val="3"/>
          <c:order val="3"/>
          <c:tx>
            <c:strRef>
              <c:f>'Laskenta tulopuoli 350'!$AG$4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350'!$AH$6:$AH$10</c:f>
              <c:numCache>
                <c:formatCode>0.0</c:formatCode>
                <c:ptCount val="5"/>
                <c:pt idx="0">
                  <c:v>122.85148290021115</c:v>
                </c:pt>
                <c:pt idx="1">
                  <c:v>114.87245597479257</c:v>
                </c:pt>
                <c:pt idx="2">
                  <c:v>97.290460384499539</c:v>
                </c:pt>
                <c:pt idx="3">
                  <c:v>76.542309887609477</c:v>
                </c:pt>
                <c:pt idx="4">
                  <c:v>49.842265162290595</c:v>
                </c:pt>
              </c:numCache>
            </c:numRef>
          </c:xVal>
          <c:yVal>
            <c:numRef>
              <c:f>'Laskenta tulopuoli 350'!$AG$6:$AG$10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241-43EB-A038-4F35E3E423CA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350'!$L$3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241-43EB-A038-4F35E3E423CA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27.908425594860638</c:v>
                </c:pt>
                <c:pt idx="1">
                  <c:v>22.567911110867403</c:v>
                </c:pt>
                <c:pt idx="2">
                  <c:v>15.629094805214063</c:v>
                </c:pt>
                <c:pt idx="3">
                  <c:v>10.740604018955466</c:v>
                </c:pt>
              </c:numCache>
            </c:numRef>
          </c:xVal>
          <c:yVal>
            <c:numRef>
              <c:f>'Laskenta tulopuoli 350'!$AD$34:$AD$37</c:f>
              <c:numCache>
                <c:formatCode>0.0</c:formatCode>
                <c:ptCount val="4"/>
                <c:pt idx="0">
                  <c:v>659.21878469374587</c:v>
                </c:pt>
                <c:pt idx="1">
                  <c:v>431.06387136834888</c:v>
                </c:pt>
                <c:pt idx="2">
                  <c:v>206.74097067216883</c:v>
                </c:pt>
                <c:pt idx="3">
                  <c:v>97.637423543402448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241-43EB-A038-4F35E3E423CA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350'!$O$22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350'!$O$23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038-40CE-A916-BBC9AC36B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350'!$AM$60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350'!$AN$60:$AN$67</c:f>
              <c:numCache>
                <c:formatCode>0.0</c:formatCode>
                <c:ptCount val="8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</c:numCache>
            </c:numRef>
          </c:xVal>
          <c:yVal>
            <c:numRef>
              <c:f>'Laskenta tulopuoli 350'!$AO$60:$AO$67</c:f>
              <c:numCache>
                <c:formatCode>0.0</c:formatCode>
                <c:ptCount val="8"/>
                <c:pt idx="0">
                  <c:v>722.42610700384864</c:v>
                </c:pt>
                <c:pt idx="1">
                  <c:v>739.53034803011769</c:v>
                </c:pt>
                <c:pt idx="2">
                  <c:v>717.88057288445566</c:v>
                </c:pt>
                <c:pt idx="3">
                  <c:v>675.41900858718213</c:v>
                </c:pt>
                <c:pt idx="4">
                  <c:v>623.23687622746013</c:v>
                </c:pt>
                <c:pt idx="5">
                  <c:v>572.2874906916403</c:v>
                </c:pt>
                <c:pt idx="6">
                  <c:v>618.04528681032571</c:v>
                </c:pt>
                <c:pt idx="7">
                  <c:v>562.76723154802846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A7-44F2-8A6F-24570F78014A}"/>
            </c:ext>
          </c:extLst>
        </c:ser>
        <c:ser>
          <c:idx val="1"/>
          <c:order val="1"/>
          <c:tx>
            <c:strRef>
              <c:f>'Laskenta tulopuoli 350'!$AM$71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350'!$AN$71:$AN$78</c:f>
              <c:numCache>
                <c:formatCode>0.0</c:formatCode>
                <c:ptCount val="8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</c:numCache>
            </c:numRef>
          </c:xVal>
          <c:yVal>
            <c:numRef>
              <c:f>'Laskenta tulopuoli 350'!$AO$71:$AO$78</c:f>
              <c:numCache>
                <c:formatCode>0.0</c:formatCode>
                <c:ptCount val="8"/>
                <c:pt idx="0">
                  <c:v>480.47740951140975</c:v>
                </c:pt>
                <c:pt idx="1">
                  <c:v>499.25319556455048</c:v>
                </c:pt>
                <c:pt idx="2">
                  <c:v>489.60273417160482</c:v>
                </c:pt>
                <c:pt idx="3">
                  <c:v>465.36220734164971</c:v>
                </c:pt>
                <c:pt idx="4">
                  <c:v>405.83209680812467</c:v>
                </c:pt>
                <c:pt idx="5">
                  <c:v>432.65135686837277</c:v>
                </c:pt>
                <c:pt idx="6">
                  <c:v>433.6376239036544</c:v>
                </c:pt>
                <c:pt idx="7">
                  <c:v>410.00831718529457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A7-44F2-8A6F-24570F78014A}"/>
            </c:ext>
          </c:extLst>
        </c:ser>
        <c:ser>
          <c:idx val="2"/>
          <c:order val="2"/>
          <c:tx>
            <c:strRef>
              <c:f>'Laskenta tulopuoli 350'!$AM$82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350'!$AN$82:$AN$89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350'!$AO$82:$AO$89</c:f>
              <c:numCache>
                <c:formatCode>0.0</c:formatCode>
                <c:ptCount val="8"/>
                <c:pt idx="0">
                  <c:v>265.00501232977552</c:v>
                </c:pt>
                <c:pt idx="1">
                  <c:v>275.72121747030798</c:v>
                </c:pt>
                <c:pt idx="2">
                  <c:v>277.98938334266228</c:v>
                </c:pt>
                <c:pt idx="3">
                  <c:v>260.1718305683068</c:v>
                </c:pt>
                <c:pt idx="4">
                  <c:v>256.38645724089372</c:v>
                </c:pt>
                <c:pt idx="5">
                  <c:v>247.75451315166487</c:v>
                </c:pt>
                <c:pt idx="6">
                  <c:v>256.27772092943292</c:v>
                </c:pt>
                <c:pt idx="7">
                  <c:v>237.96625636891571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A7-44F2-8A6F-24570F78014A}"/>
            </c:ext>
          </c:extLst>
        </c:ser>
        <c:ser>
          <c:idx val="3"/>
          <c:order val="3"/>
          <c:tx>
            <c:strRef>
              <c:f>'Laskenta tulopuoli 350'!$AM$93</c:f>
              <c:strCache>
                <c:ptCount val="1"/>
                <c:pt idx="0">
                  <c:v>¤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350'!$AN$93:$AN$99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350'!$AO$93:$AO$99</c:f>
              <c:numCache>
                <c:formatCode>0.0</c:formatCode>
                <c:ptCount val="7"/>
                <c:pt idx="0">
                  <c:v>115.4382451776105</c:v>
                </c:pt>
                <c:pt idx="1">
                  <c:v>116.49698561821329</c:v>
                </c:pt>
                <c:pt idx="2">
                  <c:v>119.17840227299482</c:v>
                </c:pt>
                <c:pt idx="3">
                  <c:v>118.07500366378952</c:v>
                </c:pt>
                <c:pt idx="4">
                  <c:v>114.88763761184336</c:v>
                </c:pt>
                <c:pt idx="5">
                  <c:v>116.44711487432268</c:v>
                </c:pt>
                <c:pt idx="6">
                  <c:v>113.88939116261066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2A7-44F2-8A6F-24570F78014A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27.908425594860638</c:v>
                </c:pt>
                <c:pt idx="1">
                  <c:v>22.567911110867403</c:v>
                </c:pt>
                <c:pt idx="2">
                  <c:v>15.629094805214063</c:v>
                </c:pt>
                <c:pt idx="3">
                  <c:v>10.740604018955466</c:v>
                </c:pt>
              </c:numCache>
            </c:numRef>
          </c:xVal>
          <c:yVal>
            <c:numRef>
              <c:f>'Laskenta tulopuoli 350'!$AL$34:$AL$37</c:f>
              <c:numCache>
                <c:formatCode>General</c:formatCode>
                <c:ptCount val="4"/>
                <c:pt idx="0">
                  <c:v>511.96466710118233</c:v>
                </c:pt>
                <c:pt idx="1">
                  <c:v>357.48105261443914</c:v>
                </c:pt>
                <c:pt idx="2">
                  <c:v>209.76760870030293</c:v>
                </c:pt>
                <c:pt idx="3">
                  <c:v>102.09310097355285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2A7-44F2-8A6F-24570F78014A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350'!$W$2</c:f>
              <c:numCache>
                <c:formatCode>0.0</c:formatCode>
                <c:ptCount val="1"/>
                <c:pt idx="0">
                  <c:v>86.825476045608156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2A7-44F2-8A6F-24570F780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350'!$D$59:$D$62</c:f>
              <c:numCache>
                <c:formatCode>0.0</c:formatCode>
                <c:ptCount val="4"/>
                <c:pt idx="0">
                  <c:v>366.3</c:v>
                </c:pt>
                <c:pt idx="1">
                  <c:v>341.4</c:v>
                </c:pt>
                <c:pt idx="2">
                  <c:v>309.8</c:v>
                </c:pt>
                <c:pt idx="3">
                  <c:v>221</c:v>
                </c:pt>
              </c:numCache>
            </c:numRef>
          </c:xVal>
          <c:yVal>
            <c:numRef>
              <c:f>'Laskenta poistopuoli 350'!$E$59:$E$62</c:f>
              <c:numCache>
                <c:formatCode>0.0</c:formatCode>
                <c:ptCount val="4"/>
                <c:pt idx="0">
                  <c:v>62.097783424500207</c:v>
                </c:pt>
                <c:pt idx="1">
                  <c:v>61.404747810618019</c:v>
                </c:pt>
                <c:pt idx="2">
                  <c:v>60.573303422326219</c:v>
                </c:pt>
                <c:pt idx="3">
                  <c:v>60.013148119886417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82-4473-BB64-7913B26F5B1B}"/>
            </c:ext>
          </c:extLst>
        </c:ser>
        <c:ser>
          <c:idx val="1"/>
          <c:order val="1"/>
          <c:tx>
            <c:strRef>
              <c:f>'Laskenta poistopuoli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350'!$D$64:$D$67</c:f>
              <c:numCache>
                <c:formatCode>0.0</c:formatCode>
                <c:ptCount val="4"/>
                <c:pt idx="0">
                  <c:v>304</c:v>
                </c:pt>
                <c:pt idx="1">
                  <c:v>281.7</c:v>
                </c:pt>
                <c:pt idx="2">
                  <c:v>255.1</c:v>
                </c:pt>
                <c:pt idx="3">
                  <c:v>180.1</c:v>
                </c:pt>
              </c:numCache>
            </c:numRef>
          </c:xVal>
          <c:yVal>
            <c:numRef>
              <c:f>'Laskenta poistopuoli 350'!$E$64:$E$67</c:f>
              <c:numCache>
                <c:formatCode>0.0</c:formatCode>
                <c:ptCount val="4"/>
                <c:pt idx="0">
                  <c:v>58.341740546145942</c:v>
                </c:pt>
                <c:pt idx="1">
                  <c:v>57.377484119444958</c:v>
                </c:pt>
                <c:pt idx="2">
                  <c:v>56.489949323611974</c:v>
                </c:pt>
                <c:pt idx="3">
                  <c:v>55.305009598786256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082-4473-BB64-7913B26F5B1B}"/>
            </c:ext>
          </c:extLst>
        </c:ser>
        <c:ser>
          <c:idx val="2"/>
          <c:order val="2"/>
          <c:tx>
            <c:strRef>
              <c:f>'Laskenta poistopuoli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350'!$D$69:$D$72</c:f>
              <c:numCache>
                <c:formatCode>0.0</c:formatCode>
                <c:ptCount val="4"/>
                <c:pt idx="0">
                  <c:v>218.4</c:v>
                </c:pt>
                <c:pt idx="1">
                  <c:v>202.3</c:v>
                </c:pt>
                <c:pt idx="2">
                  <c:v>179.3</c:v>
                </c:pt>
                <c:pt idx="3">
                  <c:v>128</c:v>
                </c:pt>
              </c:numCache>
            </c:numRef>
          </c:xVal>
          <c:yVal>
            <c:numRef>
              <c:f>'Laskenta poistopuoli 350'!$E$69:$E$72</c:f>
              <c:numCache>
                <c:formatCode>0.0</c:formatCode>
                <c:ptCount val="4"/>
                <c:pt idx="0">
                  <c:v>51.6790949757684</c:v>
                </c:pt>
                <c:pt idx="1">
                  <c:v>50.407916560559215</c:v>
                </c:pt>
                <c:pt idx="2">
                  <c:v>50.113476278917901</c:v>
                </c:pt>
                <c:pt idx="3">
                  <c:v>49.839015741427502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082-4473-BB64-7913B26F5B1B}"/>
            </c:ext>
          </c:extLst>
        </c:ser>
        <c:ser>
          <c:idx val="3"/>
          <c:order val="3"/>
          <c:tx>
            <c:strRef>
              <c:f>'Laskenta poistopuoli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350'!$D$74:$D$77</c:f>
              <c:numCache>
                <c:formatCode>0.0</c:formatCode>
                <c:ptCount val="4"/>
                <c:pt idx="0">
                  <c:v>135.1</c:v>
                </c:pt>
                <c:pt idx="1">
                  <c:v>124.4</c:v>
                </c:pt>
                <c:pt idx="2">
                  <c:v>113.2</c:v>
                </c:pt>
                <c:pt idx="3">
                  <c:v>78.2</c:v>
                </c:pt>
              </c:numCache>
            </c:numRef>
          </c:xVal>
          <c:yVal>
            <c:numRef>
              <c:f>'Laskenta poistopuoli 350'!$E$74:$E$77</c:f>
              <c:numCache>
                <c:formatCode>0.0</c:formatCode>
                <c:ptCount val="4"/>
                <c:pt idx="0">
                  <c:v>42.598859931585011</c:v>
                </c:pt>
                <c:pt idx="1">
                  <c:v>41.766385883723473</c:v>
                </c:pt>
                <c:pt idx="2">
                  <c:v>41.1225087051739</c:v>
                </c:pt>
                <c:pt idx="3">
                  <c:v>40.43354617963378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082-4473-BB64-7913B26F5B1B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C082-4473-BB64-7913B26F5B1B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C082-4473-BB64-7913B26F5B1B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24.01148286750896</c:v>
                </c:pt>
                <c:pt idx="1">
                  <c:v>20.153450943350371</c:v>
                </c:pt>
                <c:pt idx="2">
                  <c:v>14.255551809025757</c:v>
                </c:pt>
                <c:pt idx="3">
                  <c:v>9.2389468911468331</c:v>
                </c:pt>
              </c:numCache>
            </c:numRef>
          </c:xVal>
          <c:yVal>
            <c:numRef>
              <c:f>'Laskenta poistopuoli 350'!$AF$34:$AF$37</c:f>
              <c:numCache>
                <c:formatCode>0.0</c:formatCode>
                <c:ptCount val="4"/>
                <c:pt idx="0">
                  <c:v>55.316352024496155</c:v>
                </c:pt>
                <c:pt idx="1">
                  <c:v>48.764322781411657</c:v>
                </c:pt>
                <c:pt idx="2">
                  <c:v>46.40116648892424</c:v>
                </c:pt>
                <c:pt idx="3">
                  <c:v>36.154228418302132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082-4473-BB64-7913B26F5B1B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350'!$W$5</c:f>
              <c:numCache>
                <c:formatCode>0.0</c:formatCode>
                <c:ptCount val="1"/>
                <c:pt idx="0">
                  <c:v>37.624498211409062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082-4473-BB64-7913B26F5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350'!$N$59:$N$62</c:f>
              <c:numCache>
                <c:formatCode>0.0</c:formatCode>
                <c:ptCount val="4"/>
                <c:pt idx="0">
                  <c:v>367.27606807457477</c:v>
                </c:pt>
                <c:pt idx="1">
                  <c:v>341.06998870275049</c:v>
                </c:pt>
                <c:pt idx="2">
                  <c:v>303.07324445507652</c:v>
                </c:pt>
                <c:pt idx="3">
                  <c:v>223.5792236627149</c:v>
                </c:pt>
              </c:numCache>
            </c:numRef>
          </c:xVal>
          <c:yVal>
            <c:numRef>
              <c:f>'Laskenta poistopuoli 350'!$O$59:$O$62</c:f>
              <c:numCache>
                <c:formatCode>0.0</c:formatCode>
                <c:ptCount val="4"/>
                <c:pt idx="0">
                  <c:v>82.689090072186829</c:v>
                </c:pt>
                <c:pt idx="1">
                  <c:v>82.105276378556539</c:v>
                </c:pt>
                <c:pt idx="2">
                  <c:v>81.080240846621081</c:v>
                </c:pt>
                <c:pt idx="3">
                  <c:v>79.022331218565611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96-4C6E-BF4B-ABC4C17A881D}"/>
            </c:ext>
          </c:extLst>
        </c:ser>
        <c:ser>
          <c:idx val="1"/>
          <c:order val="1"/>
          <c:tx>
            <c:strRef>
              <c:f>'Laskenta poistopuoli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350'!$N$64:$N$67</c:f>
              <c:numCache>
                <c:formatCode>0.0</c:formatCode>
                <c:ptCount val="4"/>
                <c:pt idx="0">
                  <c:v>306.42216557619219</c:v>
                </c:pt>
                <c:pt idx="1">
                  <c:v>280.37540028596254</c:v>
                </c:pt>
                <c:pt idx="2">
                  <c:v>247.99195567141854</c:v>
                </c:pt>
                <c:pt idx="3">
                  <c:v>179.97539914207314</c:v>
                </c:pt>
              </c:numCache>
            </c:numRef>
          </c:xVal>
          <c:yVal>
            <c:numRef>
              <c:f>'Laskenta poistopuoli 350'!$O$64:$O$67</c:f>
              <c:numCache>
                <c:formatCode>0.0</c:formatCode>
                <c:ptCount val="4"/>
                <c:pt idx="0">
                  <c:v>78.99039262930242</c:v>
                </c:pt>
                <c:pt idx="1">
                  <c:v>78.069558159890079</c:v>
                </c:pt>
                <c:pt idx="2">
                  <c:v>76.942323327149879</c:v>
                </c:pt>
                <c:pt idx="3">
                  <c:v>74.326760800359523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96-4C6E-BF4B-ABC4C17A881D}"/>
            </c:ext>
          </c:extLst>
        </c:ser>
        <c:ser>
          <c:idx val="2"/>
          <c:order val="2"/>
          <c:tx>
            <c:strRef>
              <c:f>'Laskenta poistopuoli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350'!$N$69:$N$72</c:f>
              <c:numCache>
                <c:formatCode>0.0</c:formatCode>
                <c:ptCount val="4"/>
                <c:pt idx="0">
                  <c:v>216.68199713194693</c:v>
                </c:pt>
                <c:pt idx="1">
                  <c:v>203.48048535677617</c:v>
                </c:pt>
                <c:pt idx="2">
                  <c:v>177.657613751502</c:v>
                </c:pt>
                <c:pt idx="3">
                  <c:v>129.31721034610501</c:v>
                </c:pt>
              </c:numCache>
            </c:numRef>
          </c:xVal>
          <c:yVal>
            <c:numRef>
              <c:f>'Laskenta poistopuoli 350'!$O$69:$O$72</c:f>
              <c:numCache>
                <c:formatCode>0.0</c:formatCode>
                <c:ptCount val="4"/>
                <c:pt idx="0">
                  <c:v>71.859694306887633</c:v>
                </c:pt>
                <c:pt idx="1">
                  <c:v>71.05536483352482</c:v>
                </c:pt>
                <c:pt idx="2">
                  <c:v>69.785748446535706</c:v>
                </c:pt>
                <c:pt idx="3">
                  <c:v>67.734414836531897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96-4C6E-BF4B-ABC4C17A881D}"/>
            </c:ext>
          </c:extLst>
        </c:ser>
        <c:ser>
          <c:idx val="3"/>
          <c:order val="3"/>
          <c:tx>
            <c:strRef>
              <c:f>'Laskenta poistopuoli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350'!$N$74:$N$77</c:f>
              <c:numCache>
                <c:formatCode>0.0</c:formatCode>
                <c:ptCount val="4"/>
                <c:pt idx="0">
                  <c:v>136.94470684441694</c:v>
                </c:pt>
                <c:pt idx="1">
                  <c:v>126.48327019359726</c:v>
                </c:pt>
                <c:pt idx="2">
                  <c:v>110.48203024842798</c:v>
                </c:pt>
                <c:pt idx="3">
                  <c:v>79.668407730229532</c:v>
                </c:pt>
              </c:numCache>
            </c:numRef>
          </c:xVal>
          <c:yVal>
            <c:numRef>
              <c:f>'Laskenta poistopuoli 350'!$O$74:$O$77</c:f>
              <c:numCache>
                <c:formatCode>0.0</c:formatCode>
                <c:ptCount val="4"/>
                <c:pt idx="0">
                  <c:v>61.636094765036098</c:v>
                </c:pt>
                <c:pt idx="1">
                  <c:v>60.708709459674338</c:v>
                </c:pt>
                <c:pt idx="2">
                  <c:v>59.434186199278997</c:v>
                </c:pt>
                <c:pt idx="3">
                  <c:v>57.542846550437403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96-4C6E-BF4B-ABC4C17A881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577690279919046E-2"/>
                  <c:y val="-0.24662238488997335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24.01148286750896</c:v>
                </c:pt>
                <c:pt idx="1">
                  <c:v>20.153450943350371</c:v>
                </c:pt>
                <c:pt idx="2">
                  <c:v>14.255551809025757</c:v>
                </c:pt>
                <c:pt idx="3">
                  <c:v>9.2389468911468331</c:v>
                </c:pt>
              </c:numCache>
            </c:numRef>
          </c:xVal>
          <c:yVal>
            <c:numRef>
              <c:f>'Laskenta poistopuoli 350'!$AG$34:$AG$37</c:f>
              <c:numCache>
                <c:formatCode>0.0</c:formatCode>
                <c:ptCount val="4"/>
                <c:pt idx="0">
                  <c:v>70.115281502624441</c:v>
                </c:pt>
                <c:pt idx="1">
                  <c:v>64.073692420927784</c:v>
                </c:pt>
                <c:pt idx="2">
                  <c:v>58.377835198318827</c:v>
                </c:pt>
                <c:pt idx="3">
                  <c:v>48.846181490727112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D96-4C6E-BF4B-ABC4C17A881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350'!$W$6</c:f>
              <c:numCache>
                <c:formatCode>0.0</c:formatCode>
                <c:ptCount val="1"/>
                <c:pt idx="0">
                  <c:v>49.871294227436977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D96-4C6E-BF4B-ABC4C17A8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350'!$AJ$36:$AJ$38</c:f>
              <c:numCache>
                <c:formatCode>0.0</c:formatCode>
                <c:ptCount val="3"/>
                <c:pt idx="0">
                  <c:v>20.153450943350371</c:v>
                </c:pt>
                <c:pt idx="1">
                  <c:v>14.255551809025757</c:v>
                </c:pt>
                <c:pt idx="2">
                  <c:v>9.2389468911468331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D9-4AFA-A139-F1B47C35392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350'!$AJ$34:$AJ$35</c:f>
              <c:numCache>
                <c:formatCode>0.0</c:formatCode>
                <c:ptCount val="2"/>
                <c:pt idx="0">
                  <c:v>24.01148286750896</c:v>
                </c:pt>
                <c:pt idx="1">
                  <c:v>22.735194586993643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D9-4AFA-A139-F1B47C353922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350'!$W$9</c:f>
              <c:numCache>
                <c:formatCode>0.00</c:formatCode>
                <c:ptCount val="1"/>
                <c:pt idx="0">
                  <c:v>4.2277239687228612</c:v>
                </c:pt>
              </c:numCache>
            </c:numRef>
          </c:xVal>
          <c:yVal>
            <c:numRef>
              <c:f>'Laskenta poistopuoli 350'!$J$3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D9-4AFA-A139-F1B47C353922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350'!$AC$34:$AC$37</c:f>
              <c:numCache>
                <c:formatCode>0.0</c:formatCode>
                <c:ptCount val="4"/>
                <c:pt idx="0">
                  <c:v>24.01148286750896</c:v>
                </c:pt>
                <c:pt idx="1">
                  <c:v>20.153450943350371</c:v>
                </c:pt>
                <c:pt idx="2">
                  <c:v>14.255551809025757</c:v>
                </c:pt>
                <c:pt idx="3">
                  <c:v>9.2389468911468331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2D9-4AFA-A139-F1B47C353922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poistopuoli 350'!$AR$36</c:f>
              <c:numCache>
                <c:formatCode>0.0</c:formatCode>
                <c:ptCount val="1"/>
                <c:pt idx="0">
                  <c:v>4.9254283930252125</c:v>
                </c:pt>
              </c:numCache>
            </c:numRef>
          </c:xVal>
          <c:yVal>
            <c:numRef>
              <c:f>'Laskenta poistopuoli 350'!$AO$36</c:f>
              <c:numCache>
                <c:formatCode>0.0</c:formatCode>
                <c:ptCount val="1"/>
                <c:pt idx="0">
                  <c:v>11.666666666666666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80-43F7-9B6E-92AB7AFF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350'!$X$59:$X$66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350'!$Y$59:$Y$66</c:f>
              <c:numCache>
                <c:formatCode>0.0</c:formatCode>
                <c:ptCount val="8"/>
                <c:pt idx="0">
                  <c:v>302.32759265404218</c:v>
                </c:pt>
                <c:pt idx="1">
                  <c:v>356.54486395172677</c:v>
                </c:pt>
                <c:pt idx="2">
                  <c:v>421.03669396837233</c:v>
                </c:pt>
                <c:pt idx="3">
                  <c:v>457.54888920061728</c:v>
                </c:pt>
                <c:pt idx="4">
                  <c:v>508.8924685660923</c:v>
                </c:pt>
                <c:pt idx="5">
                  <c:v>519.47729833181302</c:v>
                </c:pt>
                <c:pt idx="6">
                  <c:v>499.98917692950459</c:v>
                </c:pt>
                <c:pt idx="7">
                  <c:v>515.99235857408132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DF-43F8-A44C-E9E674C3D9B3}"/>
            </c:ext>
          </c:extLst>
        </c:ser>
        <c:ser>
          <c:idx val="1"/>
          <c:order val="1"/>
          <c:tx>
            <c:strRef>
              <c:f>'Laskenta poistopuoli 350'!$W$69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350'!$X$69:$X$77</c:f>
              <c:numCache>
                <c:formatCode>0.0</c:formatCode>
                <c:ptCount val="9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  <c:pt idx="6">
                  <c:v>280.37540028596254</c:v>
                </c:pt>
                <c:pt idx="7">
                  <c:v>306.42216557619219</c:v>
                </c:pt>
                <c:pt idx="8">
                  <c:v>68.235663849616046</c:v>
                </c:pt>
              </c:numCache>
            </c:numRef>
          </c:xVal>
          <c:yVal>
            <c:numRef>
              <c:f>'Laskenta poistopuoli 350'!$Y$69:$Y$77</c:f>
              <c:numCache>
                <c:formatCode>0.0</c:formatCode>
                <c:ptCount val="9"/>
                <c:pt idx="0">
                  <c:v>164.90844203665162</c:v>
                </c:pt>
                <c:pt idx="1">
                  <c:v>196.96128282198916</c:v>
                </c:pt>
                <c:pt idx="2">
                  <c:v>237.81117979773683</c:v>
                </c:pt>
                <c:pt idx="3">
                  <c:v>260.47989897572495</c:v>
                </c:pt>
                <c:pt idx="4">
                  <c:v>292.86254766640252</c:v>
                </c:pt>
                <c:pt idx="5">
                  <c:v>310.41418560822922</c:v>
                </c:pt>
                <c:pt idx="6">
                  <c:v>289.48558554113851</c:v>
                </c:pt>
                <c:pt idx="7">
                  <c:v>311.04275486404356</c:v>
                </c:pt>
                <c:pt idx="8">
                  <c:v>119.40185523650993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DDF-43F8-A44C-E9E674C3D9B3}"/>
            </c:ext>
          </c:extLst>
        </c:ser>
        <c:ser>
          <c:idx val="2"/>
          <c:order val="2"/>
          <c:tx>
            <c:strRef>
              <c:f>'Laskenta poistopuoli 350'!$W$80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350'!$X$80:$X$87</c:f>
              <c:numCache>
                <c:formatCode>0.0</c:formatCode>
                <c:ptCount val="8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  <c:pt idx="6">
                  <c:v>203.48048535677617</c:v>
                </c:pt>
                <c:pt idx="7">
                  <c:v>216.68199713194693</c:v>
                </c:pt>
              </c:numCache>
            </c:numRef>
          </c:xVal>
          <c:yVal>
            <c:numRef>
              <c:f>'Laskenta poistopuoli 350'!$Y$80:$Y$87</c:f>
              <c:numCache>
                <c:formatCode>0.0</c:formatCode>
                <c:ptCount val="8"/>
                <c:pt idx="0">
                  <c:v>73.255512194579921</c:v>
                </c:pt>
                <c:pt idx="1">
                  <c:v>86.543140247698204</c:v>
                </c:pt>
                <c:pt idx="2">
                  <c:v>101.62904601770833</c:v>
                </c:pt>
                <c:pt idx="3">
                  <c:v>110.69899121354534</c:v>
                </c:pt>
                <c:pt idx="4">
                  <c:v>123.35633973294334</c:v>
                </c:pt>
                <c:pt idx="5">
                  <c:v>134.90921358508626</c:v>
                </c:pt>
                <c:pt idx="6">
                  <c:v>123.40172430505064</c:v>
                </c:pt>
                <c:pt idx="7">
                  <c:v>130.02142396481116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DF-43F8-A44C-E9E674C3D9B3}"/>
            </c:ext>
          </c:extLst>
        </c:ser>
        <c:ser>
          <c:idx val="3"/>
          <c:order val="3"/>
          <c:tx>
            <c:strRef>
              <c:f>'Laskenta poistopuoli 350'!$W$91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350'!$X$91:$X$98</c:f>
              <c:numCache>
                <c:formatCode>0.0</c:formatCode>
                <c:ptCount val="8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  <c:pt idx="6">
                  <c:v>126.48327019359726</c:v>
                </c:pt>
                <c:pt idx="7" formatCode="General">
                  <c:v>136.94470684441694</c:v>
                </c:pt>
              </c:numCache>
            </c:numRef>
          </c:xVal>
          <c:yVal>
            <c:numRef>
              <c:f>'Laskenta poistopuoli 350'!$Y$91:$Y$98</c:f>
              <c:numCache>
                <c:formatCode>0.0</c:formatCode>
                <c:ptCount val="8"/>
                <c:pt idx="0">
                  <c:v>29.409439010889692</c:v>
                </c:pt>
                <c:pt idx="1">
                  <c:v>33.309297611254642</c:v>
                </c:pt>
                <c:pt idx="2">
                  <c:v>37.281582637626165</c:v>
                </c:pt>
                <c:pt idx="3">
                  <c:v>39.567992760532817</c:v>
                </c:pt>
                <c:pt idx="4">
                  <c:v>42.914202318586497</c:v>
                </c:pt>
                <c:pt idx="5">
                  <c:v>43.891248017188815</c:v>
                </c:pt>
                <c:pt idx="6">
                  <c:v>43.27283236895304</c:v>
                </c:pt>
                <c:pt idx="7" formatCode="General">
                  <c:v>45.537563418715308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DDF-43F8-A44C-E9E674C3D9B3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350'!$AC$34:$AC$38</c:f>
              <c:numCache>
                <c:formatCode>0.0</c:formatCode>
                <c:ptCount val="5"/>
                <c:pt idx="0">
                  <c:v>24.01148286750896</c:v>
                </c:pt>
                <c:pt idx="1">
                  <c:v>20.153450943350371</c:v>
                </c:pt>
                <c:pt idx="2">
                  <c:v>14.255551809025757</c:v>
                </c:pt>
                <c:pt idx="3">
                  <c:v>9.2389468911468331</c:v>
                </c:pt>
              </c:numCache>
            </c:numRef>
          </c:xVal>
          <c:yVal>
            <c:numRef>
              <c:f>'Laskenta poistopuoli 350'!$AE$34:$AE$37</c:f>
              <c:numCache>
                <c:formatCode>0.0</c:formatCode>
                <c:ptCount val="4"/>
                <c:pt idx="0">
                  <c:v>43.051213943230458</c:v>
                </c:pt>
                <c:pt idx="1">
                  <c:v>89.072205189462082</c:v>
                </c:pt>
                <c:pt idx="2">
                  <c:v>41.073918083666413</c:v>
                </c:pt>
                <c:pt idx="3">
                  <c:v>18.012869316484739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DDF-43F8-A44C-E9E674C3D9B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350'!$W$13</c:f>
              <c:numCache>
                <c:formatCode>0.0</c:formatCode>
                <c:ptCount val="1"/>
                <c:pt idx="0">
                  <c:v>16.849582822181617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DDF-43F8-A44C-E9E674C3D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350'!$AA$4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350'!$AB$6:$AB$12</c:f>
              <c:numCache>
                <c:formatCode>0.0</c:formatCode>
                <c:ptCount val="7"/>
                <c:pt idx="0">
                  <c:v>387.02425293331947</c:v>
                </c:pt>
                <c:pt idx="1">
                  <c:v>368.06471553994226</c:v>
                </c:pt>
                <c:pt idx="2">
                  <c:v>340.58746162202522</c:v>
                </c:pt>
                <c:pt idx="3">
                  <c:v>309.74196635006911</c:v>
                </c:pt>
                <c:pt idx="4">
                  <c:v>273.86522624529636</c:v>
                </c:pt>
                <c:pt idx="5">
                  <c:v>229.19151617790286</c:v>
                </c:pt>
                <c:pt idx="6">
                  <c:v>178.92566610177286</c:v>
                </c:pt>
              </c:numCache>
            </c:numRef>
          </c:xVal>
          <c:yVal>
            <c:numRef>
              <c:f>'Laskenta poistopuoli 350'!$AA$6:$AA$12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32-4E85-B19D-AAB0DF71EEBE}"/>
            </c:ext>
          </c:extLst>
        </c:ser>
        <c:ser>
          <c:idx val="1"/>
          <c:order val="1"/>
          <c:tx>
            <c:strRef>
              <c:f>'Laskenta poistopuoli 350'!$AC$4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350'!$AD$6:$AD$12</c:f>
              <c:numCache>
                <c:formatCode>0.0</c:formatCode>
                <c:ptCount val="7"/>
                <c:pt idx="0">
                  <c:v>322.84873701660229</c:v>
                </c:pt>
                <c:pt idx="1">
                  <c:v>312.4056077515325</c:v>
                </c:pt>
                <c:pt idx="2">
                  <c:v>294.04327330941805</c:v>
                </c:pt>
                <c:pt idx="3">
                  <c:v>274.23785237808198</c:v>
                </c:pt>
                <c:pt idx="4">
                  <c:v>265.8270250865362</c:v>
                </c:pt>
                <c:pt idx="5">
                  <c:v>257.08860009311786</c:v>
                </c:pt>
                <c:pt idx="6">
                  <c:v>141.35600404769997</c:v>
                </c:pt>
              </c:numCache>
            </c:numRef>
          </c:xVal>
          <c:yVal>
            <c:numRef>
              <c:f>'Laskenta poistopuoli 350'!$AC$6:$AC$12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C32-4E85-B19D-AAB0DF71EEBE}"/>
            </c:ext>
          </c:extLst>
        </c:ser>
        <c:ser>
          <c:idx val="2"/>
          <c:order val="2"/>
          <c:tx>
            <c:strRef>
              <c:f>'Laskenta poistopuoli 350'!$AE$4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350'!$AF$6:$AF$11</c:f>
              <c:numCache>
                <c:formatCode>0.0</c:formatCode>
                <c:ptCount val="6"/>
                <c:pt idx="0">
                  <c:v>231.45482058174542</c:v>
                </c:pt>
                <c:pt idx="1">
                  <c:v>211.56213987435652</c:v>
                </c:pt>
                <c:pt idx="2">
                  <c:v>189.11321368100411</c:v>
                </c:pt>
                <c:pt idx="3">
                  <c:v>162.761483860868</c:v>
                </c:pt>
                <c:pt idx="4">
                  <c:v>129.26947010597144</c:v>
                </c:pt>
                <c:pt idx="5">
                  <c:v>92.408694768599474</c:v>
                </c:pt>
              </c:numCache>
            </c:numRef>
          </c:xVal>
          <c:yVal>
            <c:numRef>
              <c:f>'Laskenta poistopuoli 350'!$AE$6:$AE$11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32-4E85-B19D-AAB0DF71EEBE}"/>
            </c:ext>
          </c:extLst>
        </c:ser>
        <c:ser>
          <c:idx val="3"/>
          <c:order val="3"/>
          <c:tx>
            <c:strRef>
              <c:f>'Laskenta poistopuoli 350'!$AG$4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350'!$AH$6:$AH$10</c:f>
              <c:numCache>
                <c:formatCode>0.0</c:formatCode>
                <c:ptCount val="5"/>
                <c:pt idx="0">
                  <c:v>137.79479127749656</c:v>
                </c:pt>
                <c:pt idx="1">
                  <c:v>129.5056281141523</c:v>
                </c:pt>
                <c:pt idx="2">
                  <c:v>110.92570358593754</c:v>
                </c:pt>
                <c:pt idx="3">
                  <c:v>88.098495554899614</c:v>
                </c:pt>
                <c:pt idx="4">
                  <c:v>55.102547399007342</c:v>
                </c:pt>
              </c:numCache>
            </c:numRef>
          </c:xVal>
          <c:yVal>
            <c:numRef>
              <c:f>'Laskenta poistopuoli 350'!$AG$6:$AG$10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C32-4E85-B19D-AAB0DF71EEB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350'!$L$3</c:f>
              <c:numCache>
                <c:formatCode>0.0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C32-4E85-B19D-AAB0DF71EEB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24.01148286750896</c:v>
                </c:pt>
                <c:pt idx="1">
                  <c:v>20.153450943350371</c:v>
                </c:pt>
                <c:pt idx="2">
                  <c:v>14.255551809025757</c:v>
                </c:pt>
                <c:pt idx="3">
                  <c:v>9.2389468911468331</c:v>
                </c:pt>
              </c:numCache>
            </c:numRef>
          </c:xVal>
          <c:yVal>
            <c:numRef>
              <c:f>'Laskenta poistopuoli 350'!$AD$34:$AD$37</c:f>
              <c:numCache>
                <c:formatCode>0.0</c:formatCode>
                <c:ptCount val="4"/>
                <c:pt idx="0">
                  <c:v>609.96775274097354</c:v>
                </c:pt>
                <c:pt idx="1">
                  <c:v>429.70237882786518</c:v>
                </c:pt>
                <c:pt idx="2">
                  <c:v>214.99926658305597</c:v>
                </c:pt>
                <c:pt idx="3">
                  <c:v>90.305427751862467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C32-4E85-B19D-AAB0DF71E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350'!$AM$60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350'!$AN$60:$AN$67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350'!$AO$60:$AO$67</c:f>
              <c:numCache>
                <c:formatCode>0.0</c:formatCode>
                <c:ptCount val="8"/>
                <c:pt idx="0">
                  <c:v>721.34661173481254</c:v>
                </c:pt>
                <c:pt idx="1">
                  <c:v>715.9378701953035</c:v>
                </c:pt>
                <c:pt idx="2">
                  <c:v>682.75011971480819</c:v>
                </c:pt>
                <c:pt idx="3">
                  <c:v>645.18533974845593</c:v>
                </c:pt>
                <c:pt idx="4">
                  <c:v>586.03019621125861</c:v>
                </c:pt>
                <c:pt idx="5">
                  <c:v>518.51525144517996</c:v>
                </c:pt>
                <c:pt idx="6">
                  <c:v>579.62341036618864</c:v>
                </c:pt>
                <c:pt idx="7">
                  <c:v>514.97229930894991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E3-414C-A2A1-A767CD6BF176}"/>
            </c:ext>
          </c:extLst>
        </c:ser>
        <c:ser>
          <c:idx val="1"/>
          <c:order val="1"/>
          <c:tx>
            <c:strRef>
              <c:f>'Laskenta poistopuoli 350'!$AM$71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350'!$AN$71:$AN$76</c:f>
              <c:numCache>
                <c:formatCode>0.0</c:formatCode>
                <c:ptCount val="6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</c:numCache>
            </c:numRef>
          </c:xVal>
          <c:yVal>
            <c:numRef>
              <c:f>'Laskenta poistopuoli 350'!$AO$71:$AO$76</c:f>
              <c:numCache>
                <c:formatCode>0.0</c:formatCode>
                <c:ptCount val="6"/>
                <c:pt idx="0">
                  <c:v>473.91392562092256</c:v>
                </c:pt>
                <c:pt idx="1">
                  <c:v>473.1384992406995</c:v>
                </c:pt>
                <c:pt idx="2">
                  <c:v>462.69713755706249</c:v>
                </c:pt>
                <c:pt idx="3">
                  <c:v>445.05159760438255</c:v>
                </c:pt>
                <c:pt idx="4">
                  <c:v>408.52036683816453</c:v>
                </c:pt>
                <c:pt idx="5">
                  <c:v>374.87627917763552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E3-414C-A2A1-A767CD6BF176}"/>
            </c:ext>
          </c:extLst>
        </c:ser>
        <c:ser>
          <c:idx val="2"/>
          <c:order val="2"/>
          <c:tx>
            <c:strRef>
              <c:f>'Laskenta poistopuoli 350'!$AM$82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350'!$AN$82:$AN$87</c:f>
              <c:numCache>
                <c:formatCode>0.0</c:formatCode>
                <c:ptCount val="6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</c:numCache>
            </c:numRef>
          </c:xVal>
          <c:yVal>
            <c:numRef>
              <c:f>'Laskenta poistopuoli 350'!$AO$82:$AO$87</c:f>
              <c:numCache>
                <c:formatCode>0.0</c:formatCode>
                <c:ptCount val="6"/>
                <c:pt idx="0">
                  <c:v>255.30068106481482</c:v>
                </c:pt>
                <c:pt idx="1">
                  <c:v>256.34269128011908</c:v>
                </c:pt>
                <c:pt idx="2">
                  <c:v>253.81558432274147</c:v>
                </c:pt>
                <c:pt idx="3">
                  <c:v>243.93185845736002</c:v>
                </c:pt>
                <c:pt idx="4">
                  <c:v>228.34086817976635</c:v>
                </c:pt>
                <c:pt idx="5">
                  <c:v>215.69856850350868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E3-414C-A2A1-A767CD6BF176}"/>
            </c:ext>
          </c:extLst>
        </c:ser>
        <c:ser>
          <c:idx val="3"/>
          <c:order val="3"/>
          <c:tx>
            <c:strRef>
              <c:f>'Laskenta poistopuoli 350'!$AM$93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350'!$AN$93:$AN$98</c:f>
              <c:numCache>
                <c:formatCode>0.0</c:formatCode>
                <c:ptCount val="6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</c:numCache>
            </c:numRef>
          </c:xVal>
          <c:yVal>
            <c:numRef>
              <c:f>'Laskenta poistopuoli 350'!$AO$93:$AO$98</c:f>
              <c:numCache>
                <c:formatCode>0.0</c:formatCode>
                <c:ptCount val="6"/>
                <c:pt idx="0">
                  <c:v>109.31968624976143</c:v>
                </c:pt>
                <c:pt idx="1">
                  <c:v>111.65317186130773</c:v>
                </c:pt>
                <c:pt idx="2">
                  <c:v>110.42478023967983</c:v>
                </c:pt>
                <c:pt idx="3">
                  <c:v>110.02884818331296</c:v>
                </c:pt>
                <c:pt idx="4">
                  <c:v>102.35401122473381</c:v>
                </c:pt>
                <c:pt idx="5">
                  <c:v>100.48562347094051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0E3-414C-A2A1-A767CD6BF176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24.01148286750896</c:v>
                </c:pt>
                <c:pt idx="1">
                  <c:v>20.153450943350371</c:v>
                </c:pt>
                <c:pt idx="2">
                  <c:v>14.255551809025757</c:v>
                </c:pt>
                <c:pt idx="3">
                  <c:v>9.2389468911468331</c:v>
                </c:pt>
              </c:numCache>
            </c:numRef>
          </c:xVal>
          <c:yVal>
            <c:numRef>
              <c:f>'Laskenta poistopuoli 350'!$AL$34:$AL$37</c:f>
              <c:numCache>
                <c:formatCode>General</c:formatCode>
                <c:ptCount val="4"/>
                <c:pt idx="0">
                  <c:v>475.51062366911606</c:v>
                </c:pt>
                <c:pt idx="1">
                  <c:v>343.97582932918669</c:v>
                </c:pt>
                <c:pt idx="2">
                  <c:v>207.19647532769284</c:v>
                </c:pt>
                <c:pt idx="3">
                  <c:v>82.85015609148266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0E3-414C-A2A1-A767CD6BF176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350'!$W$2</c:f>
              <c:numCache>
                <c:formatCode>0.0</c:formatCode>
                <c:ptCount val="1"/>
                <c:pt idx="0">
                  <c:v>96.032520462415562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0E3-414C-A2A1-A767CD6BF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130'!$N$15:$N$24</c:f>
              <c:numCache>
                <c:formatCode>General</c:formatCode>
                <c:ptCount val="10"/>
                <c:pt idx="5">
                  <c:v>500</c:v>
                </c:pt>
                <c:pt idx="6" formatCode="0.0">
                  <c:v>46.761998862738068</c:v>
                </c:pt>
                <c:pt idx="7" formatCode="0.0">
                  <c:v>42.07803596728656</c:v>
                </c:pt>
                <c:pt idx="8" formatCode="0.0">
                  <c:v>35.691045949143046</c:v>
                </c:pt>
                <c:pt idx="9" formatCode="0.0">
                  <c:v>29.02976791085376</c:v>
                </c:pt>
              </c:numCache>
            </c:numRef>
          </c:xVal>
          <c:yVal>
            <c:numRef>
              <c:f>'Laskenta vaipan läpi 130'!$Q$15:$Q$24</c:f>
              <c:numCache>
                <c:formatCode>General</c:formatCode>
                <c:ptCount val="10"/>
                <c:pt idx="5">
                  <c:v>4000</c:v>
                </c:pt>
                <c:pt idx="6" formatCode="0.0">
                  <c:v>28.38770669872595</c:v>
                </c:pt>
                <c:pt idx="7" formatCode="0.0">
                  <c:v>24.872746120590968</c:v>
                </c:pt>
                <c:pt idx="8" formatCode="0.0">
                  <c:v>17.577062138013034</c:v>
                </c:pt>
                <c:pt idx="9" formatCode="0.0">
                  <c:v>5.3019472550635438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91-4635-9B50-91E5FE98F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274984"/>
        <c:axId val="886276952"/>
      </c:scatterChart>
      <c:valAx>
        <c:axId val="8862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6952"/>
        <c:crosses val="autoZero"/>
        <c:crossBetween val="midCat"/>
      </c:valAx>
      <c:valAx>
        <c:axId val="88627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C5'!$AI$6:$AP$6</c:f>
              <c:numCache>
                <c:formatCode>0.0</c:formatCode>
                <c:ptCount val="8"/>
                <c:pt idx="0">
                  <c:v>13.317620503860631</c:v>
                </c:pt>
                <c:pt idx="1">
                  <c:v>7.8414448100259193</c:v>
                </c:pt>
                <c:pt idx="2">
                  <c:v>2.1858868283992479</c:v>
                </c:pt>
                <c:pt idx="3">
                  <c:v>-5.6899823581434461</c:v>
                </c:pt>
                <c:pt idx="4">
                  <c:v>-7.3704802169901384</c:v>
                </c:pt>
                <c:pt idx="5">
                  <c:v>-7.7581315805515061</c:v>
                </c:pt>
                <c:pt idx="6">
                  <c:v>-15.110390277441205</c:v>
                </c:pt>
                <c:pt idx="7">
                  <c:v>-16.912071015358805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D-4A2C-ADCF-9D452937444F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C5'!$AI$7:$AP$7</c:f>
              <c:numCache>
                <c:formatCode>0.0</c:formatCode>
                <c:ptCount val="8"/>
                <c:pt idx="0">
                  <c:v>11.143161084714244</c:v>
                </c:pt>
                <c:pt idx="1">
                  <c:v>6.8943764052016263</c:v>
                </c:pt>
                <c:pt idx="2">
                  <c:v>3.4340996038558274</c:v>
                </c:pt>
                <c:pt idx="3">
                  <c:v>-5.923756657956126</c:v>
                </c:pt>
                <c:pt idx="4">
                  <c:v>-7.5243536452204722</c:v>
                </c:pt>
                <c:pt idx="5">
                  <c:v>-7.766204860065244</c:v>
                </c:pt>
                <c:pt idx="6">
                  <c:v>-15.085977285872104</c:v>
                </c:pt>
                <c:pt idx="7">
                  <c:v>-16.528760857455524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6D-4A2C-ADCF-9D452937444F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C5'!$AI$8:$AP$8</c:f>
              <c:numCache>
                <c:formatCode>0.0</c:formatCode>
                <c:ptCount val="8"/>
                <c:pt idx="0">
                  <c:v>14.084158539930662</c:v>
                </c:pt>
                <c:pt idx="1">
                  <c:v>7.2187582468243789</c:v>
                </c:pt>
                <c:pt idx="2">
                  <c:v>5.8199423790437024</c:v>
                </c:pt>
                <c:pt idx="3">
                  <c:v>-6.5979160926362184</c:v>
                </c:pt>
                <c:pt idx="4">
                  <c:v>-9.4923627652980613</c:v>
                </c:pt>
                <c:pt idx="5">
                  <c:v>-9.7863880095754539</c:v>
                </c:pt>
                <c:pt idx="6">
                  <c:v>-17.157214434025299</c:v>
                </c:pt>
                <c:pt idx="7">
                  <c:v>-18.334378030320714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D-4A2C-ADCF-9D452937444F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C5'!$AI$9:$AP$9</c:f>
              <c:numCache>
                <c:formatCode>0.0</c:formatCode>
                <c:ptCount val="8"/>
                <c:pt idx="0">
                  <c:v>13.230731303693673</c:v>
                </c:pt>
                <c:pt idx="1">
                  <c:v>7.946946974029629</c:v>
                </c:pt>
                <c:pt idx="2">
                  <c:v>6.9590887588304184</c:v>
                </c:pt>
                <c:pt idx="3">
                  <c:v>-6.3561629386226315</c:v>
                </c:pt>
                <c:pt idx="4">
                  <c:v>-11.724679174266349</c:v>
                </c:pt>
                <c:pt idx="5">
                  <c:v>-12.384798210090537</c:v>
                </c:pt>
                <c:pt idx="6">
                  <c:v>-19.397884493720014</c:v>
                </c:pt>
                <c:pt idx="7">
                  <c:v>-20.792883215836362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6D-4A2C-ADCF-9D452937444F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C5'!$AI$10:$AP$10</c:f>
              <c:numCache>
                <c:formatCode>0.0</c:formatCode>
                <c:ptCount val="8"/>
                <c:pt idx="0">
                  <c:v>12.034803122594028</c:v>
                </c:pt>
                <c:pt idx="1">
                  <c:v>7.720716742199663</c:v>
                </c:pt>
                <c:pt idx="2">
                  <c:v>4.932429368804911</c:v>
                </c:pt>
                <c:pt idx="3">
                  <c:v>-7.3085514499700466</c:v>
                </c:pt>
                <c:pt idx="4">
                  <c:v>-7.6371588036365878</c:v>
                </c:pt>
                <c:pt idx="5">
                  <c:v>-8.6746734170980559</c:v>
                </c:pt>
                <c:pt idx="6">
                  <c:v>-16.574079816115145</c:v>
                </c:pt>
                <c:pt idx="7">
                  <c:v>-17.70381731030049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6D-4A2C-ADCF-9D452937444F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C5'!$AI$11:$AP$11</c:f>
              <c:numCache>
                <c:formatCode>0.0</c:formatCode>
                <c:ptCount val="8"/>
                <c:pt idx="0">
                  <c:v>11.496611493199943</c:v>
                </c:pt>
                <c:pt idx="1">
                  <c:v>9.2105160553050496</c:v>
                </c:pt>
                <c:pt idx="2">
                  <c:v>5.1947736196387879</c:v>
                </c:pt>
                <c:pt idx="3">
                  <c:v>-7.9595160423561921</c:v>
                </c:pt>
                <c:pt idx="4">
                  <c:v>-8.7650781107489877</c:v>
                </c:pt>
                <c:pt idx="5">
                  <c:v>-9.6145816725434941</c:v>
                </c:pt>
                <c:pt idx="6">
                  <c:v>-17.039365831568929</c:v>
                </c:pt>
                <c:pt idx="7">
                  <c:v>-18.754754396306062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6D-4A2C-ADCF-9D452937444F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C5'!$AI$12:$AP$12</c:f>
              <c:numCache>
                <c:formatCode>0.0</c:formatCode>
                <c:ptCount val="8"/>
                <c:pt idx="0">
                  <c:v>10.774254704440693</c:v>
                </c:pt>
                <c:pt idx="1">
                  <c:v>7.0474895421262644</c:v>
                </c:pt>
                <c:pt idx="2">
                  <c:v>7.590341727038215</c:v>
                </c:pt>
                <c:pt idx="3">
                  <c:v>-8.3413505485184487</c:v>
                </c:pt>
                <c:pt idx="4">
                  <c:v>-10.167607670511188</c:v>
                </c:pt>
                <c:pt idx="5">
                  <c:v>-10.629620795137249</c:v>
                </c:pt>
                <c:pt idx="6">
                  <c:v>-18.374190872192145</c:v>
                </c:pt>
                <c:pt idx="7">
                  <c:v>-19.971777035957505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6D-4A2C-ADCF-9D452937444F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C5'!$AI$13:$AP$13</c:f>
              <c:numCache>
                <c:formatCode>0.0</c:formatCode>
                <c:ptCount val="8"/>
                <c:pt idx="0">
                  <c:v>9.6730002373975168</c:v>
                </c:pt>
                <c:pt idx="1">
                  <c:v>8.8049206887459164</c:v>
                </c:pt>
                <c:pt idx="2">
                  <c:v>8.0139479345164801</c:v>
                </c:pt>
                <c:pt idx="3">
                  <c:v>-7.2828421999878401</c:v>
                </c:pt>
                <c:pt idx="4">
                  <c:v>-12.632203285751359</c:v>
                </c:pt>
                <c:pt idx="5">
                  <c:v>-14.145427393127783</c:v>
                </c:pt>
                <c:pt idx="6">
                  <c:v>-20.9398095684124</c:v>
                </c:pt>
                <c:pt idx="7">
                  <c:v>-23.160271635371487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6D-4A2C-ADCF-9D452937444F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C5'!$AI$14:$AP$14</c:f>
              <c:numCache>
                <c:formatCode>0.0</c:formatCode>
                <c:ptCount val="8"/>
                <c:pt idx="0">
                  <c:v>8.9184898292681822</c:v>
                </c:pt>
                <c:pt idx="1">
                  <c:v>10.453746426657609</c:v>
                </c:pt>
                <c:pt idx="2">
                  <c:v>5.5338367833626521</c:v>
                </c:pt>
                <c:pt idx="3">
                  <c:v>-8.0702110071208892</c:v>
                </c:pt>
                <c:pt idx="4">
                  <c:v>-8.8822288919734476</c:v>
                </c:pt>
                <c:pt idx="5">
                  <c:v>-10.862326683041147</c:v>
                </c:pt>
                <c:pt idx="6">
                  <c:v>-20.683207176857707</c:v>
                </c:pt>
                <c:pt idx="7">
                  <c:v>-20.239104166433336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6D-4A2C-ADCF-9D452937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350'!$AI$6:$AP$6</c:f>
              <c:numCache>
                <c:formatCode>0.0</c:formatCode>
                <c:ptCount val="8"/>
                <c:pt idx="0">
                  <c:v>15.892209228358126</c:v>
                </c:pt>
                <c:pt idx="1">
                  <c:v>12.390296852760258</c:v>
                </c:pt>
                <c:pt idx="2">
                  <c:v>4.112607902486495</c:v>
                </c:pt>
                <c:pt idx="3">
                  <c:v>-9.0182970698818679</c:v>
                </c:pt>
                <c:pt idx="4">
                  <c:v>-14.465242753896689</c:v>
                </c:pt>
                <c:pt idx="5">
                  <c:v>-15.779984741048047</c:v>
                </c:pt>
                <c:pt idx="6">
                  <c:v>-15.534678562698971</c:v>
                </c:pt>
                <c:pt idx="7">
                  <c:v>-16.525415074159966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3-4E62-84DE-EEA78C3F364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350'!$AI$7:$AP$7</c:f>
              <c:numCache>
                <c:formatCode>0.0</c:formatCode>
                <c:ptCount val="8"/>
                <c:pt idx="0">
                  <c:v>16.15839781661937</c:v>
                </c:pt>
                <c:pt idx="1">
                  <c:v>12.237056867910411</c:v>
                </c:pt>
                <c:pt idx="2">
                  <c:v>4.3223541109163648</c:v>
                </c:pt>
                <c:pt idx="3">
                  <c:v>-9.6510265124299082</c:v>
                </c:pt>
                <c:pt idx="4">
                  <c:v>-14.212039846494221</c:v>
                </c:pt>
                <c:pt idx="5">
                  <c:v>-16.391966198860842</c:v>
                </c:pt>
                <c:pt idx="6">
                  <c:v>-15.616838605059066</c:v>
                </c:pt>
                <c:pt idx="7">
                  <c:v>-16.696777305981719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3-4E62-84DE-EEA78C3F3641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350'!$AI$8:$AP$8</c:f>
              <c:numCache>
                <c:formatCode>0.0</c:formatCode>
                <c:ptCount val="8"/>
                <c:pt idx="0">
                  <c:v>16.47614475441739</c:v>
                </c:pt>
                <c:pt idx="1">
                  <c:v>13.506505171812393</c:v>
                </c:pt>
                <c:pt idx="2">
                  <c:v>3.5305275760317159</c:v>
                </c:pt>
                <c:pt idx="3">
                  <c:v>-11.816875289243988</c:v>
                </c:pt>
                <c:pt idx="4">
                  <c:v>-15.81136627837985</c:v>
                </c:pt>
                <c:pt idx="5">
                  <c:v>-16.408441862324409</c:v>
                </c:pt>
                <c:pt idx="6">
                  <c:v>-17.829229980192622</c:v>
                </c:pt>
                <c:pt idx="7">
                  <c:v>-18.897640783128537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53-4E62-84DE-EEA78C3F3641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350'!$AI$9:$AP$9</c:f>
              <c:numCache>
                <c:formatCode>0.0</c:formatCode>
                <c:ptCount val="8"/>
                <c:pt idx="0">
                  <c:v>17.120820773013683</c:v>
                </c:pt>
                <c:pt idx="1">
                  <c:v>12.187913716943818</c:v>
                </c:pt>
                <c:pt idx="2">
                  <c:v>4.003202166531743</c:v>
                </c:pt>
                <c:pt idx="3">
                  <c:v>-9.2049934948282655</c:v>
                </c:pt>
                <c:pt idx="4">
                  <c:v>-13.221934040161486</c:v>
                </c:pt>
                <c:pt idx="5">
                  <c:v>-18.298214676881113</c:v>
                </c:pt>
                <c:pt idx="6">
                  <c:v>-16.526809077840689</c:v>
                </c:pt>
                <c:pt idx="7">
                  <c:v>-17.610055377026107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53-4E62-84DE-EEA78C3F3641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350'!$AI$10:$AP$10</c:f>
              <c:numCache>
                <c:formatCode>0.0</c:formatCode>
                <c:ptCount val="8"/>
                <c:pt idx="0">
                  <c:v>17.27959904904624</c:v>
                </c:pt>
                <c:pt idx="1">
                  <c:v>12.001819811878264</c:v>
                </c:pt>
                <c:pt idx="2">
                  <c:v>4.242918290410401</c:v>
                </c:pt>
                <c:pt idx="3">
                  <c:v>-9.5256621294263297</c:v>
                </c:pt>
                <c:pt idx="4">
                  <c:v>-13.499663314327584</c:v>
                </c:pt>
                <c:pt idx="5">
                  <c:v>-18.066973381583946</c:v>
                </c:pt>
                <c:pt idx="6">
                  <c:v>-16.617141908769781</c:v>
                </c:pt>
                <c:pt idx="7">
                  <c:v>-18.02686628889467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53-4E62-84DE-EEA78C3F3641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350'!$AI$11:$AP$11</c:f>
              <c:numCache>
                <c:formatCode>0.0</c:formatCode>
                <c:ptCount val="8"/>
                <c:pt idx="0">
                  <c:v>18.649137241509351</c:v>
                </c:pt>
                <c:pt idx="1">
                  <c:v>12.435987080883969</c:v>
                </c:pt>
                <c:pt idx="2">
                  <c:v>2.7968089202831052</c:v>
                </c:pt>
                <c:pt idx="3">
                  <c:v>-11.210120102424213</c:v>
                </c:pt>
                <c:pt idx="4">
                  <c:v>-14.655517805794382</c:v>
                </c:pt>
                <c:pt idx="5">
                  <c:v>-18.034362138387582</c:v>
                </c:pt>
                <c:pt idx="6">
                  <c:v>-19.848748611306853</c:v>
                </c:pt>
                <c:pt idx="7">
                  <c:v>-20.92987764070163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53-4E62-84DE-EEA78C3F3641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350'!$AI$12:$AP$12</c:f>
              <c:numCache>
                <c:formatCode>0.0</c:formatCode>
                <c:ptCount val="8"/>
                <c:pt idx="0">
                  <c:v>17.968871268612119</c:v>
                </c:pt>
                <c:pt idx="1">
                  <c:v>12.487033142273155</c:v>
                </c:pt>
                <c:pt idx="2">
                  <c:v>3.591233802437344</c:v>
                </c:pt>
                <c:pt idx="3">
                  <c:v>-8.4511014776597406</c:v>
                </c:pt>
                <c:pt idx="4">
                  <c:v>-12.675707610821242</c:v>
                </c:pt>
                <c:pt idx="5">
                  <c:v>-19.644585689622808</c:v>
                </c:pt>
                <c:pt idx="6">
                  <c:v>-17.94513656488375</c:v>
                </c:pt>
                <c:pt idx="7">
                  <c:v>-19.739901384291933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53-4E62-84DE-EEA78C3F3641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350'!$AI$13:$AP$13</c:f>
              <c:numCache>
                <c:formatCode>0.0</c:formatCode>
                <c:ptCount val="8"/>
                <c:pt idx="0">
                  <c:v>18.658351448908689</c:v>
                </c:pt>
                <c:pt idx="1">
                  <c:v>12.259907698724888</c:v>
                </c:pt>
                <c:pt idx="2">
                  <c:v>2.9398314082594368</c:v>
                </c:pt>
                <c:pt idx="3">
                  <c:v>-8.576155223044303</c:v>
                </c:pt>
                <c:pt idx="4">
                  <c:v>-11.813090026091018</c:v>
                </c:pt>
                <c:pt idx="5">
                  <c:v>-18.843051095724537</c:v>
                </c:pt>
                <c:pt idx="6">
                  <c:v>-18.778569362834368</c:v>
                </c:pt>
                <c:pt idx="7">
                  <c:v>-20.396806059381596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53-4E62-84DE-EEA78C3F3641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350'!$AI$14:$AP$14</c:f>
              <c:numCache>
                <c:formatCode>0.0</c:formatCode>
                <c:ptCount val="8"/>
                <c:pt idx="0">
                  <c:v>19.753520924686597</c:v>
                </c:pt>
                <c:pt idx="1">
                  <c:v>12.730179522959567</c:v>
                </c:pt>
                <c:pt idx="2">
                  <c:v>1.7867648912759933</c:v>
                </c:pt>
                <c:pt idx="3">
                  <c:v>-9.8377006024524292</c:v>
                </c:pt>
                <c:pt idx="4">
                  <c:v>-15.909018141675478</c:v>
                </c:pt>
                <c:pt idx="5">
                  <c:v>-19.536977175345569</c:v>
                </c:pt>
                <c:pt idx="6">
                  <c:v>-20.665188281053517</c:v>
                </c:pt>
                <c:pt idx="7">
                  <c:v>-22.498505678172393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53-4E62-84DE-EEA78C3F3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100'!$D$59:$D$62</c:f>
              <c:numCache>
                <c:formatCode>0.0</c:formatCode>
                <c:ptCount val="4"/>
                <c:pt idx="0">
                  <c:v>95.520909090909086</c:v>
                </c:pt>
                <c:pt idx="1">
                  <c:v>78.172727272727286</c:v>
                </c:pt>
                <c:pt idx="2">
                  <c:v>56.99727272727273</c:v>
                </c:pt>
                <c:pt idx="3">
                  <c:v>32.736363636363635</c:v>
                </c:pt>
              </c:numCache>
            </c:numRef>
          </c:xVal>
          <c:yVal>
            <c:numRef>
              <c:f>'Laskenta tulopuoli 100'!$E$59:$E$62</c:f>
              <c:numCache>
                <c:formatCode>0.0</c:formatCode>
                <c:ptCount val="4"/>
                <c:pt idx="0">
                  <c:v>60.180326897119542</c:v>
                </c:pt>
                <c:pt idx="1">
                  <c:v>61.456607403903462</c:v>
                </c:pt>
                <c:pt idx="2">
                  <c:v>62.50621121454131</c:v>
                </c:pt>
                <c:pt idx="3">
                  <c:v>62.149005233465246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98-435A-BF85-136F4F99A6D3}"/>
            </c:ext>
          </c:extLst>
        </c:ser>
        <c:ser>
          <c:idx val="1"/>
          <c:order val="1"/>
          <c:tx>
            <c:strRef>
              <c:f>'Laskenta tulopuoli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100'!$D$64:$D$67</c:f>
              <c:numCache>
                <c:formatCode>0.0</c:formatCode>
                <c:ptCount val="4"/>
                <c:pt idx="0">
                  <c:v>71.593636363636364</c:v>
                </c:pt>
                <c:pt idx="1">
                  <c:v>58.130909090909093</c:v>
                </c:pt>
                <c:pt idx="2">
                  <c:v>42.961818181818181</c:v>
                </c:pt>
                <c:pt idx="3">
                  <c:v>24.492727272727276</c:v>
                </c:pt>
              </c:numCache>
            </c:numRef>
          </c:xVal>
          <c:yVal>
            <c:numRef>
              <c:f>'Laskenta tulopuoli 100'!$E$64:$E$67</c:f>
              <c:numCache>
                <c:formatCode>0.0</c:formatCode>
                <c:ptCount val="4"/>
                <c:pt idx="0">
                  <c:v>55.838973854241011</c:v>
                </c:pt>
                <c:pt idx="1">
                  <c:v>56.980393615773181</c:v>
                </c:pt>
                <c:pt idx="2">
                  <c:v>56.813930556628023</c:v>
                </c:pt>
                <c:pt idx="3">
                  <c:v>56.538389487610488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98-435A-BF85-136F4F99A6D3}"/>
            </c:ext>
          </c:extLst>
        </c:ser>
        <c:ser>
          <c:idx val="2"/>
          <c:order val="2"/>
          <c:tx>
            <c:strRef>
              <c:f>'Laskenta tulopuoli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100'!$D$69:$D$72</c:f>
              <c:numCache>
                <c:formatCode>0.0</c:formatCode>
                <c:ptCount val="4"/>
                <c:pt idx="0">
                  <c:v>48.453636363636363</c:v>
                </c:pt>
                <c:pt idx="1">
                  <c:v>39.006666666666668</c:v>
                </c:pt>
                <c:pt idx="2">
                  <c:v>29.039090909090906</c:v>
                </c:pt>
                <c:pt idx="3">
                  <c:v>17.136363636363637</c:v>
                </c:pt>
              </c:numCache>
            </c:numRef>
          </c:xVal>
          <c:yVal>
            <c:numRef>
              <c:f>'Laskenta tulopuoli 100'!$E$69:$E$72</c:f>
              <c:numCache>
                <c:formatCode>0.0</c:formatCode>
                <c:ptCount val="4"/>
                <c:pt idx="0">
                  <c:v>49.799365980303392</c:v>
                </c:pt>
                <c:pt idx="1">
                  <c:v>50.541339372801886</c:v>
                </c:pt>
                <c:pt idx="2">
                  <c:v>50.173067772041257</c:v>
                </c:pt>
                <c:pt idx="3">
                  <c:v>49.774669272965056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098-435A-BF85-136F4F99A6D3}"/>
            </c:ext>
          </c:extLst>
        </c:ser>
        <c:ser>
          <c:idx val="3"/>
          <c:order val="3"/>
          <c:tx>
            <c:strRef>
              <c:f>'Laskenta tulopuoli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100'!$D$74:$D$77</c:f>
              <c:numCache>
                <c:formatCode>0.0</c:formatCode>
                <c:ptCount val="4"/>
                <c:pt idx="0">
                  <c:v>21.903636363636362</c:v>
                </c:pt>
                <c:pt idx="1">
                  <c:v>19.979090909090907</c:v>
                </c:pt>
                <c:pt idx="2">
                  <c:v>14.368181818181819</c:v>
                </c:pt>
                <c:pt idx="3">
                  <c:v>8.8800000000000008</c:v>
                </c:pt>
              </c:numCache>
            </c:numRef>
          </c:xVal>
          <c:yVal>
            <c:numRef>
              <c:f>'Laskenta tulopuoli 100'!$E$74:$E$77</c:f>
              <c:numCache>
                <c:formatCode>0.0</c:formatCode>
                <c:ptCount val="4"/>
                <c:pt idx="0">
                  <c:v>38.632326393106936</c:v>
                </c:pt>
                <c:pt idx="1">
                  <c:v>39.344215844681003</c:v>
                </c:pt>
                <c:pt idx="2">
                  <c:v>37.758734004584319</c:v>
                </c:pt>
                <c:pt idx="3">
                  <c:v>37.81432117265679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098-435A-BF85-136F4F99A6D3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98-435A-BF85-136F4F99A6D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98-435A-BF85-136F4F99A6D3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23.048381582787858</c:v>
                </c:pt>
                <c:pt idx="1">
                  <c:v>17.12425922631633</c:v>
                </c:pt>
                <c:pt idx="2">
                  <c:v>12.259370481096793</c:v>
                </c:pt>
                <c:pt idx="3">
                  <c:v>6.5626679715481337</c:v>
                </c:pt>
              </c:numCache>
            </c:numRef>
          </c:xVal>
          <c:yVal>
            <c:numRef>
              <c:f>'Laskenta tulopuoli 100'!$AF$34:$AF$37</c:f>
              <c:numCache>
                <c:formatCode>0.0</c:formatCode>
                <c:ptCount val="4"/>
                <c:pt idx="0">
                  <c:v>61.718791423748407</c:v>
                </c:pt>
                <c:pt idx="1">
                  <c:v>55.992618025465205</c:v>
                </c:pt>
                <c:pt idx="2">
                  <c:v>49.262696930107154</c:v>
                </c:pt>
                <c:pt idx="3">
                  <c:v>37.656505195411391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098-435A-BF85-136F4F99A6D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100'!$W$5</c:f>
              <c:numCache>
                <c:formatCode>0.0</c:formatCode>
                <c:ptCount val="1"/>
                <c:pt idx="0">
                  <c:v>45.076916167602555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098-435A-BF85-136F4F99A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100'!$N$59:$N$62</c:f>
              <c:numCache>
                <c:formatCode>0.0</c:formatCode>
                <c:ptCount val="4"/>
                <c:pt idx="0">
                  <c:v>95.407272727272726</c:v>
                </c:pt>
                <c:pt idx="1">
                  <c:v>77.219090909090923</c:v>
                </c:pt>
                <c:pt idx="2">
                  <c:v>59.029999999999994</c:v>
                </c:pt>
                <c:pt idx="3">
                  <c:v>38.99818181818182</c:v>
                </c:pt>
              </c:numCache>
            </c:numRef>
          </c:xVal>
          <c:yVal>
            <c:numRef>
              <c:f>'Laskenta tulopuoli 100'!$O$59:$O$62</c:f>
              <c:numCache>
                <c:formatCode>0.0</c:formatCode>
                <c:ptCount val="4"/>
                <c:pt idx="0">
                  <c:v>72.434028068386084</c:v>
                </c:pt>
                <c:pt idx="1">
                  <c:v>73.081985525444978</c:v>
                </c:pt>
                <c:pt idx="2">
                  <c:v>73.639643529409511</c:v>
                </c:pt>
                <c:pt idx="3">
                  <c:v>74.143482700632447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91-4D4B-AE70-AB116E669A24}"/>
            </c:ext>
          </c:extLst>
        </c:ser>
        <c:ser>
          <c:idx val="1"/>
          <c:order val="1"/>
          <c:tx>
            <c:strRef>
              <c:f>'Laskenta tulopuoli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100'!$N$64:$N$67</c:f>
              <c:numCache>
                <c:formatCode>0.0</c:formatCode>
                <c:ptCount val="4"/>
                <c:pt idx="0">
                  <c:v>71.99636363636364</c:v>
                </c:pt>
                <c:pt idx="1">
                  <c:v>56.690000000000012</c:v>
                </c:pt>
                <c:pt idx="2">
                  <c:v>44.324545454545458</c:v>
                </c:pt>
                <c:pt idx="3">
                  <c:v>29.030909090909088</c:v>
                </c:pt>
              </c:numCache>
            </c:numRef>
          </c:xVal>
          <c:yVal>
            <c:numRef>
              <c:f>'Laskenta tulopuoli 100'!$O$64:$O$67</c:f>
              <c:numCache>
                <c:formatCode>0.0</c:formatCode>
                <c:ptCount val="4"/>
                <c:pt idx="0">
                  <c:v>67.703973728550324</c:v>
                </c:pt>
                <c:pt idx="1">
                  <c:v>67.260898795552592</c:v>
                </c:pt>
                <c:pt idx="2">
                  <c:v>67.765318576720148</c:v>
                </c:pt>
                <c:pt idx="3">
                  <c:v>67.64137602780049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91-4D4B-AE70-AB116E669A24}"/>
            </c:ext>
          </c:extLst>
        </c:ser>
        <c:ser>
          <c:idx val="2"/>
          <c:order val="2"/>
          <c:tx>
            <c:strRef>
              <c:f>'Laskenta tulopuoli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100'!$N$69:$N$72</c:f>
              <c:numCache>
                <c:formatCode>0.0</c:formatCode>
                <c:ptCount val="4"/>
                <c:pt idx="0">
                  <c:v>49.231818181818191</c:v>
                </c:pt>
                <c:pt idx="1">
                  <c:v>40.072727272727271</c:v>
                </c:pt>
                <c:pt idx="2">
                  <c:v>30.720000000000002</c:v>
                </c:pt>
                <c:pt idx="3">
                  <c:v>19.857272727272729</c:v>
                </c:pt>
              </c:numCache>
            </c:numRef>
          </c:xVal>
          <c:yVal>
            <c:numRef>
              <c:f>'Laskenta tulopuoli 100'!$O$69:$O$72</c:f>
              <c:numCache>
                <c:formatCode>0.0</c:formatCode>
                <c:ptCount val="4"/>
                <c:pt idx="0">
                  <c:v>60.990690037945541</c:v>
                </c:pt>
                <c:pt idx="1">
                  <c:v>60.942920884584417</c:v>
                </c:pt>
                <c:pt idx="2">
                  <c:v>61.016773499151313</c:v>
                </c:pt>
                <c:pt idx="3">
                  <c:v>60.158306495107098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91-4D4B-AE70-AB116E669A24}"/>
            </c:ext>
          </c:extLst>
        </c:ser>
        <c:ser>
          <c:idx val="3"/>
          <c:order val="3"/>
          <c:tx>
            <c:strRef>
              <c:f>'Laskenta tulopuoli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100'!$N$74:$N$77</c:f>
              <c:numCache>
                <c:formatCode>0.0</c:formatCode>
                <c:ptCount val="4"/>
                <c:pt idx="0">
                  <c:v>21.793636363636359</c:v>
                </c:pt>
                <c:pt idx="1">
                  <c:v>19.188181818181821</c:v>
                </c:pt>
                <c:pt idx="2">
                  <c:v>15.046363636363639</c:v>
                </c:pt>
                <c:pt idx="3">
                  <c:v>9.67090909090909</c:v>
                </c:pt>
              </c:numCache>
            </c:numRef>
          </c:xVal>
          <c:yVal>
            <c:numRef>
              <c:f>'Laskenta tulopuoli 100'!$O$74:$O$77</c:f>
              <c:numCache>
                <c:formatCode>0.0</c:formatCode>
                <c:ptCount val="4"/>
                <c:pt idx="0">
                  <c:v>49.813501297965026</c:v>
                </c:pt>
                <c:pt idx="1">
                  <c:v>50.04941091899903</c:v>
                </c:pt>
                <c:pt idx="2">
                  <c:v>49.468484079007489</c:v>
                </c:pt>
                <c:pt idx="3">
                  <c:v>48.329792466244619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91-4D4B-AE70-AB116E669A2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23.048381582787858</c:v>
                </c:pt>
                <c:pt idx="1">
                  <c:v>17.12425922631633</c:v>
                </c:pt>
                <c:pt idx="2">
                  <c:v>12.259370481096793</c:v>
                </c:pt>
                <c:pt idx="3">
                  <c:v>6.5626679715481337</c:v>
                </c:pt>
              </c:numCache>
            </c:numRef>
          </c:xVal>
          <c:yVal>
            <c:numRef>
              <c:f>'Laskenta tulopuoli 100'!$AG$34:$AG$37</c:f>
              <c:numCache>
                <c:formatCode>0.0</c:formatCode>
                <c:ptCount val="4"/>
                <c:pt idx="0">
                  <c:v>74.465040417154015</c:v>
                </c:pt>
                <c:pt idx="1">
                  <c:v>67.978418462728925</c:v>
                </c:pt>
                <c:pt idx="2">
                  <c:v>59.429962194941083</c:v>
                </c:pt>
                <c:pt idx="3">
                  <c:v>47.182352099335979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D91-4D4B-AE70-AB116E669A2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100'!$W$6</c:f>
              <c:numCache>
                <c:formatCode>0.0</c:formatCode>
                <c:ptCount val="1"/>
                <c:pt idx="0">
                  <c:v>55.340607439168373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D91-4D4B-AE70-AB116E669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100'!$AI$36:$AI$38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tulopuoli 100'!$AJ$36:$AJ$38</c:f>
              <c:numCache>
                <c:formatCode>0.0</c:formatCode>
                <c:ptCount val="3"/>
                <c:pt idx="0">
                  <c:v>17.12425922631633</c:v>
                </c:pt>
                <c:pt idx="1">
                  <c:v>12.259370481096793</c:v>
                </c:pt>
                <c:pt idx="2">
                  <c:v>6.5626679715481337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0D-4833-9738-96F4AE9D674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tulopuoli 100'!$AJ$34:$AJ$35</c:f>
              <c:numCache>
                <c:formatCode>0.0</c:formatCode>
                <c:ptCount val="2"/>
                <c:pt idx="0">
                  <c:v>23.048381582787858</c:v>
                </c:pt>
                <c:pt idx="1">
                  <c:v>20.004630041255957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0D-4833-9738-96F4AE9D674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100'!$W$9</c:f>
              <c:numCache>
                <c:formatCode>0.0</c:formatCode>
                <c:ptCount val="1"/>
                <c:pt idx="0">
                  <c:v>4.0821565766948957</c:v>
                </c:pt>
              </c:numCache>
            </c:numRef>
          </c:xVal>
          <c:yVal>
            <c:numRef>
              <c:f>'Laskenta tulopuoli 100'!$J$3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0D-4833-9738-96F4AE9D674B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100'!$AO$36</c:f>
              <c:numCache>
                <c:formatCode>0.0</c:formatCode>
                <c:ptCount val="1"/>
                <c:pt idx="0">
                  <c:v>4.7284844381637399</c:v>
                </c:pt>
              </c:numCache>
            </c:numRef>
          </c:xVal>
          <c:yVal>
            <c:numRef>
              <c:f>'Laskenta tulopuoli 100'!$AL$36</c:f>
              <c:numCache>
                <c:formatCode>0.0</c:formatCode>
                <c:ptCount val="1"/>
                <c:pt idx="0">
                  <c:v>11.666666666666666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9B-48AA-9D33-EB043780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100'!$X$59:$X$66</c:f>
              <c:numCache>
                <c:formatCode>0.0</c:formatCode>
                <c:ptCount val="8"/>
                <c:pt idx="0">
                  <c:v>95.520909090909086</c:v>
                </c:pt>
                <c:pt idx="1">
                  <c:v>78.172727272727286</c:v>
                </c:pt>
                <c:pt idx="2">
                  <c:v>56.99727272727273</c:v>
                </c:pt>
                <c:pt idx="3">
                  <c:v>32.736363636363635</c:v>
                </c:pt>
                <c:pt idx="4">
                  <c:v>95.407272727272726</c:v>
                </c:pt>
                <c:pt idx="5">
                  <c:v>77.219090909090923</c:v>
                </c:pt>
                <c:pt idx="6">
                  <c:v>59.029999999999994</c:v>
                </c:pt>
                <c:pt idx="7">
                  <c:v>38.99818181818182</c:v>
                </c:pt>
              </c:numCache>
            </c:numRef>
          </c:xVal>
          <c:yVal>
            <c:numRef>
              <c:f>'Laskenta tulopuoli 100'!$Y$59:$Y$66</c:f>
              <c:numCache>
                <c:formatCode>0.0</c:formatCode>
                <c:ptCount val="8"/>
                <c:pt idx="0">
                  <c:v>106.65063291523533</c:v>
                </c:pt>
                <c:pt idx="1">
                  <c:v>95.448490538974724</c:v>
                </c:pt>
                <c:pt idx="2">
                  <c:v>80.537498818479889</c:v>
                </c:pt>
                <c:pt idx="3">
                  <c:v>66.133043858226713</c:v>
                </c:pt>
                <c:pt idx="4">
                  <c:v>106.19633938032837</c:v>
                </c:pt>
                <c:pt idx="5">
                  <c:v>91.725088498374021</c:v>
                </c:pt>
                <c:pt idx="6">
                  <c:v>82.855372720521331</c:v>
                </c:pt>
                <c:pt idx="7">
                  <c:v>69.415027502984827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48-4F95-8BEE-76DF2E312ED5}"/>
            </c:ext>
          </c:extLst>
        </c:ser>
        <c:ser>
          <c:idx val="1"/>
          <c:order val="1"/>
          <c:tx>
            <c:strRef>
              <c:f>'Laskenta tulopuoli 100'!$W$68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100'!$X$68:$X$74</c:f>
              <c:numCache>
                <c:formatCode>0.0</c:formatCode>
                <c:ptCount val="7"/>
                <c:pt idx="0">
                  <c:v>71.593636363636364</c:v>
                </c:pt>
                <c:pt idx="1">
                  <c:v>58.130909090909093</c:v>
                </c:pt>
                <c:pt idx="2">
                  <c:v>24.492727272727276</c:v>
                </c:pt>
                <c:pt idx="3">
                  <c:v>71.99636363636364</c:v>
                </c:pt>
                <c:pt idx="4">
                  <c:v>56.690000000000012</c:v>
                </c:pt>
                <c:pt idx="5">
                  <c:v>44.324545454545458</c:v>
                </c:pt>
                <c:pt idx="6">
                  <c:v>29.030909090909088</c:v>
                </c:pt>
              </c:numCache>
            </c:numRef>
          </c:xVal>
          <c:yVal>
            <c:numRef>
              <c:f>'Laskenta tulopuoli 100'!$Y$68:$Y$74</c:f>
              <c:numCache>
                <c:formatCode>0.0</c:formatCode>
                <c:ptCount val="7"/>
                <c:pt idx="0">
                  <c:v>52.194949899355123</c:v>
                </c:pt>
                <c:pt idx="1">
                  <c:v>45.464837323019012</c:v>
                </c:pt>
                <c:pt idx="2">
                  <c:v>32.090640557202242</c:v>
                </c:pt>
                <c:pt idx="3">
                  <c:v>52.536219188228884</c:v>
                </c:pt>
                <c:pt idx="4">
                  <c:v>43.668066011702436</c:v>
                </c:pt>
                <c:pt idx="5">
                  <c:v>38.977527480776331</c:v>
                </c:pt>
                <c:pt idx="6">
                  <c:v>33.518757421823459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48-4F95-8BEE-76DF2E312ED5}"/>
            </c:ext>
          </c:extLst>
        </c:ser>
        <c:ser>
          <c:idx val="2"/>
          <c:order val="2"/>
          <c:tx>
            <c:strRef>
              <c:f>'Laskenta tulopuoli 100'!$W$76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100'!$X$76:$X$82</c:f>
              <c:numCache>
                <c:formatCode>0.0</c:formatCode>
                <c:ptCount val="7"/>
                <c:pt idx="0">
                  <c:v>48.453636363636363</c:v>
                </c:pt>
                <c:pt idx="1">
                  <c:v>39.006666666666668</c:v>
                </c:pt>
                <c:pt idx="2">
                  <c:v>17.136363636363637</c:v>
                </c:pt>
                <c:pt idx="3">
                  <c:v>49.231818181818191</c:v>
                </c:pt>
                <c:pt idx="4">
                  <c:v>40.072727272727271</c:v>
                </c:pt>
                <c:pt idx="5">
                  <c:v>30.720000000000002</c:v>
                </c:pt>
                <c:pt idx="6">
                  <c:v>19.857272727272729</c:v>
                </c:pt>
              </c:numCache>
            </c:numRef>
          </c:xVal>
          <c:yVal>
            <c:numRef>
              <c:f>'Laskenta tulopuoli 100'!$Y$76:$Y$82</c:f>
              <c:numCache>
                <c:formatCode>0.0</c:formatCode>
                <c:ptCount val="7"/>
                <c:pt idx="0">
                  <c:v>22.084999954212599</c:v>
                </c:pt>
                <c:pt idx="1">
                  <c:v>20.340828016323975</c:v>
                </c:pt>
                <c:pt idx="2">
                  <c:v>15.776092335456077</c:v>
                </c:pt>
                <c:pt idx="3">
                  <c:v>23.249163831892666</c:v>
                </c:pt>
                <c:pt idx="4">
                  <c:v>20.640400917798857</c:v>
                </c:pt>
                <c:pt idx="5">
                  <c:v>18.90122564173631</c:v>
                </c:pt>
                <c:pt idx="6">
                  <c:v>16.28554460898053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48-4F95-8BEE-76DF2E312ED5}"/>
            </c:ext>
          </c:extLst>
        </c:ser>
        <c:ser>
          <c:idx val="3"/>
          <c:order val="3"/>
          <c:tx>
            <c:strRef>
              <c:f>'Laskenta tulopuoli 100'!$W$84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100'!$X$84:$X$90</c:f>
              <c:numCache>
                <c:formatCode>0.0</c:formatCode>
                <c:ptCount val="7"/>
                <c:pt idx="0">
                  <c:v>21.903636363636362</c:v>
                </c:pt>
                <c:pt idx="1">
                  <c:v>19.979090909090907</c:v>
                </c:pt>
                <c:pt idx="2">
                  <c:v>14.368181818181819</c:v>
                </c:pt>
                <c:pt idx="3">
                  <c:v>21.793636363636359</c:v>
                </c:pt>
                <c:pt idx="4">
                  <c:v>19.188181818181821</c:v>
                </c:pt>
                <c:pt idx="5">
                  <c:v>15.046363636363639</c:v>
                </c:pt>
                <c:pt idx="6">
                  <c:v>9.67090909090909</c:v>
                </c:pt>
              </c:numCache>
            </c:numRef>
          </c:xVal>
          <c:yVal>
            <c:numRef>
              <c:f>'Laskenta tulopuoli 100'!$Y$84:$Y$90</c:f>
              <c:numCache>
                <c:formatCode>0.0</c:formatCode>
                <c:ptCount val="7"/>
                <c:pt idx="0">
                  <c:v>6.6132263513281977</c:v>
                </c:pt>
                <c:pt idx="1">
                  <c:v>6.6144485250853018</c:v>
                </c:pt>
                <c:pt idx="2">
                  <c:v>6.0285714153053958</c:v>
                </c:pt>
                <c:pt idx="3">
                  <c:v>6.6531657966354825</c:v>
                </c:pt>
                <c:pt idx="4">
                  <c:v>6.4972963143468565</c:v>
                </c:pt>
                <c:pt idx="5">
                  <c:v>6.237904494197366</c:v>
                </c:pt>
                <c:pt idx="6">
                  <c:v>5.7652596451523648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48-4F95-8BEE-76DF2E312ED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100'!$AC$34:$AC$38</c:f>
              <c:numCache>
                <c:formatCode>0.0</c:formatCode>
                <c:ptCount val="5"/>
                <c:pt idx="0">
                  <c:v>23.048381582787858</c:v>
                </c:pt>
                <c:pt idx="1">
                  <c:v>17.12425922631633</c:v>
                </c:pt>
                <c:pt idx="2">
                  <c:v>12.259370481096793</c:v>
                </c:pt>
                <c:pt idx="3">
                  <c:v>6.5626679715481337</c:v>
                </c:pt>
              </c:numCache>
            </c:numRef>
          </c:xVal>
          <c:yVal>
            <c:numRef>
              <c:f>'Laskenta tulopuoli 100'!$AE$34:$AE$37</c:f>
              <c:numCache>
                <c:formatCode>0.0</c:formatCode>
                <c:ptCount val="4"/>
                <c:pt idx="0">
                  <c:v>60.663143218065123</c:v>
                </c:pt>
                <c:pt idx="1">
                  <c:v>30.351489945261093</c:v>
                </c:pt>
                <c:pt idx="2">
                  <c:v>14.766244081657753</c:v>
                </c:pt>
                <c:pt idx="3">
                  <c:v>5.46271497231578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A48-4F95-8BEE-76DF2E312ED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100'!$W$13</c:f>
              <c:numCache>
                <c:formatCode>0.0</c:formatCode>
                <c:ptCount val="1"/>
                <c:pt idx="0">
                  <c:v>9.2113362390253641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A48-4F95-8BEE-76DF2E312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100'!$AA$4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100'!$AB$6:$AB$12</c:f>
              <c:numCache>
                <c:formatCode>0.0</c:formatCode>
                <c:ptCount val="7"/>
                <c:pt idx="0">
                  <c:v>105.55992375280067</c:v>
                </c:pt>
                <c:pt idx="1">
                  <c:v>91.334084830633799</c:v>
                </c:pt>
                <c:pt idx="2">
                  <c:v>79.861474107511413</c:v>
                </c:pt>
                <c:pt idx="3">
                  <c:v>69.154705393973089</c:v>
                </c:pt>
                <c:pt idx="4">
                  <c:v>55.301465600422567</c:v>
                </c:pt>
                <c:pt idx="5">
                  <c:v>39.334311694441077</c:v>
                </c:pt>
                <c:pt idx="6">
                  <c:v>36.814967342900474</c:v>
                </c:pt>
              </c:numCache>
            </c:numRef>
          </c:xVal>
          <c:yVal>
            <c:numRef>
              <c:f>'Laskenta tulopuoli 100'!$AA$6:$AA$12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3-42E2-AEA1-10E4BC74AC60}"/>
            </c:ext>
          </c:extLst>
        </c:ser>
        <c:ser>
          <c:idx val="1"/>
          <c:order val="1"/>
          <c:tx>
            <c:strRef>
              <c:f>'Laskenta tulopuoli 100'!$AC$4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100'!$AD$6:$AD$12</c:f>
              <c:numCache>
                <c:formatCode>0.0</c:formatCode>
                <c:ptCount val="7"/>
                <c:pt idx="0">
                  <c:v>80.704641716435873</c:v>
                </c:pt>
                <c:pt idx="1">
                  <c:v>73.838694391688321</c:v>
                </c:pt>
                <c:pt idx="2">
                  <c:v>61.665564184927057</c:v>
                </c:pt>
                <c:pt idx="3">
                  <c:v>48.356228284154241</c:v>
                </c:pt>
                <c:pt idx="4">
                  <c:v>42.633564679818207</c:v>
                </c:pt>
                <c:pt idx="5">
                  <c:v>36.633999759441082</c:v>
                </c:pt>
                <c:pt idx="6">
                  <c:v>27.014459006801598</c:v>
                </c:pt>
              </c:numCache>
            </c:numRef>
          </c:xVal>
          <c:yVal>
            <c:numRef>
              <c:f>'Laskenta tulopuoli 100'!$AC$6:$AC$12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3-42E2-AEA1-10E4BC74AC60}"/>
            </c:ext>
          </c:extLst>
        </c:ser>
        <c:ser>
          <c:idx val="2"/>
          <c:order val="2"/>
          <c:tx>
            <c:strRef>
              <c:f>'Laskenta tulopuoli 100'!$AE$4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100'!$AF$6:$AF$11</c:f>
              <c:numCache>
                <c:formatCode>0.0</c:formatCode>
                <c:ptCount val="6"/>
                <c:pt idx="0">
                  <c:v>54.339001915022031</c:v>
                </c:pt>
                <c:pt idx="1">
                  <c:v>44.807769064929076</c:v>
                </c:pt>
                <c:pt idx="2">
                  <c:v>38.065608935044438</c:v>
                </c:pt>
                <c:pt idx="3">
                  <c:v>30.953738781884212</c:v>
                </c:pt>
                <c:pt idx="4">
                  <c:v>23.403717201633526</c:v>
                </c:pt>
                <c:pt idx="5">
                  <c:v>19.436728566723829</c:v>
                </c:pt>
              </c:numCache>
            </c:numRef>
          </c:xVal>
          <c:yVal>
            <c:numRef>
              <c:f>'Laskenta tulopuoli 100'!$AE$6:$AE$11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03-42E2-AEA1-10E4BC74AC60}"/>
            </c:ext>
          </c:extLst>
        </c:ser>
        <c:ser>
          <c:idx val="3"/>
          <c:order val="3"/>
          <c:tx>
            <c:strRef>
              <c:f>'Laskenta tulopuoli 100'!$AG$4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100'!$AH$6:$AH$10</c:f>
              <c:numCache>
                <c:formatCode>0.0</c:formatCode>
                <c:ptCount val="5"/>
                <c:pt idx="0">
                  <c:v>20.411043893478237</c:v>
                </c:pt>
                <c:pt idx="1">
                  <c:v>15.414623288200497</c:v>
                </c:pt>
                <c:pt idx="2">
                  <c:v>12.814599421780468</c:v>
                </c:pt>
                <c:pt idx="3">
                  <c:v>10.138839913756215</c:v>
                </c:pt>
                <c:pt idx="4">
                  <c:v>7.9390146933981729</c:v>
                </c:pt>
              </c:numCache>
            </c:numRef>
          </c:xVal>
          <c:yVal>
            <c:numRef>
              <c:f>'Laskenta tulopuoli 100'!$AG$6:$AG$10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03-42E2-AEA1-10E4BC74AC60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100'!$L$3</c:f>
              <c:numCache>
                <c:formatCode>0.0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03-42E2-AEA1-10E4BC74AC60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23.048381582787858</c:v>
                </c:pt>
                <c:pt idx="1">
                  <c:v>17.12425922631633</c:v>
                </c:pt>
                <c:pt idx="2">
                  <c:v>12.259370481096793</c:v>
                </c:pt>
                <c:pt idx="3">
                  <c:v>6.5626679715481337</c:v>
                </c:pt>
              </c:numCache>
            </c:numRef>
          </c:xVal>
          <c:yVal>
            <c:numRef>
              <c:f>'Laskenta tulopuoli 100'!$AD$34:$AD$37</c:f>
              <c:numCache>
                <c:formatCode>0.0</c:formatCode>
                <c:ptCount val="4"/>
                <c:pt idx="0">
                  <c:v>449.61394291408317</c:v>
                </c:pt>
                <c:pt idx="1">
                  <c:v>248.1889758360187</c:v>
                </c:pt>
                <c:pt idx="2">
                  <c:v>127.20238061208329</c:v>
                </c:pt>
                <c:pt idx="3">
                  <c:v>36.451865947820188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03-42E2-AEA1-10E4BC74A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100'!$D$59:$D$62</c:f>
              <c:numCache>
                <c:formatCode>0.0</c:formatCode>
                <c:ptCount val="4"/>
                <c:pt idx="0">
                  <c:v>107.47020000000001</c:v>
                </c:pt>
                <c:pt idx="1">
                  <c:v>97.16458181818183</c:v>
                </c:pt>
                <c:pt idx="2">
                  <c:v>77.45038181818181</c:v>
                </c:pt>
                <c:pt idx="3">
                  <c:v>55.766072727272736</c:v>
                </c:pt>
              </c:numCache>
            </c:numRef>
          </c:xVal>
          <c:yVal>
            <c:numRef>
              <c:f>'Laskenta poistopuoli 100'!$E$59:$E$62</c:f>
              <c:numCache>
                <c:formatCode>0.0</c:formatCode>
                <c:ptCount val="4"/>
                <c:pt idx="0">
                  <c:v>61.13403135247551</c:v>
                </c:pt>
                <c:pt idx="1">
                  <c:v>61.463135764555233</c:v>
                </c:pt>
                <c:pt idx="2">
                  <c:v>62.476142119666449</c:v>
                </c:pt>
                <c:pt idx="3">
                  <c:v>62.786941941504857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06-4267-B883-3A99CC58EBC3}"/>
            </c:ext>
          </c:extLst>
        </c:ser>
        <c:ser>
          <c:idx val="1"/>
          <c:order val="1"/>
          <c:tx>
            <c:strRef>
              <c:f>'Laskenta poistopuoli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100'!$D$64:$D$67</c:f>
              <c:numCache>
                <c:formatCode>0.0</c:formatCode>
                <c:ptCount val="4"/>
                <c:pt idx="0">
                  <c:v>85.219390909090919</c:v>
                </c:pt>
                <c:pt idx="1">
                  <c:v>75.308918181818171</c:v>
                </c:pt>
                <c:pt idx="2">
                  <c:v>59.091099999999997</c:v>
                </c:pt>
                <c:pt idx="3">
                  <c:v>42.177563636363637</c:v>
                </c:pt>
              </c:numCache>
            </c:numRef>
          </c:xVal>
          <c:yVal>
            <c:numRef>
              <c:f>'Laskenta poistopuoli 100'!$E$64:$E$67</c:f>
              <c:numCache>
                <c:formatCode>0.0</c:formatCode>
                <c:ptCount val="4"/>
                <c:pt idx="0">
                  <c:v>56.226832789947956</c:v>
                </c:pt>
                <c:pt idx="1">
                  <c:v>56.986921976424952</c:v>
                </c:pt>
                <c:pt idx="2">
                  <c:v>56.387195431614472</c:v>
                </c:pt>
                <c:pt idx="3">
                  <c:v>56.610398713632122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06-4267-B883-3A99CC58EBC3}"/>
            </c:ext>
          </c:extLst>
        </c:ser>
        <c:ser>
          <c:idx val="2"/>
          <c:order val="2"/>
          <c:tx>
            <c:strRef>
              <c:f>'Laskenta poistopuoli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100'!$D$69:$D$72</c:f>
              <c:numCache>
                <c:formatCode>0.0</c:formatCode>
                <c:ptCount val="4"/>
                <c:pt idx="0">
                  <c:v>59.232490909090913</c:v>
                </c:pt>
                <c:pt idx="1">
                  <c:v>52.589927272727273</c:v>
                </c:pt>
                <c:pt idx="2">
                  <c:v>42.68132727272728</c:v>
                </c:pt>
                <c:pt idx="3">
                  <c:v>31.091018181818189</c:v>
                </c:pt>
              </c:numCache>
            </c:numRef>
          </c:xVal>
          <c:yVal>
            <c:numRef>
              <c:f>'Laskenta poistopuoli 100'!$E$69:$E$72</c:f>
              <c:numCache>
                <c:formatCode>0.0</c:formatCode>
                <c:ptCount val="4"/>
                <c:pt idx="0">
                  <c:v>49.375419806217764</c:v>
                </c:pt>
                <c:pt idx="1">
                  <c:v>50.547867733453664</c:v>
                </c:pt>
                <c:pt idx="2">
                  <c:v>49.836422150407898</c:v>
                </c:pt>
                <c:pt idx="3">
                  <c:v>49.141774046972884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06-4267-B883-3A99CC58EBC3}"/>
            </c:ext>
          </c:extLst>
        </c:ser>
        <c:ser>
          <c:idx val="3"/>
          <c:order val="3"/>
          <c:tx>
            <c:strRef>
              <c:f>'Laskenta poistopuoli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100'!$D$74:$D$77</c:f>
              <c:numCache>
                <c:formatCode>0.0</c:formatCode>
                <c:ptCount val="4"/>
                <c:pt idx="0">
                  <c:v>31.706209090909095</c:v>
                </c:pt>
                <c:pt idx="1">
                  <c:v>26.826818181818176</c:v>
                </c:pt>
                <c:pt idx="2">
                  <c:v>21.224554545454549</c:v>
                </c:pt>
                <c:pt idx="3">
                  <c:v>16.087663636363636</c:v>
                </c:pt>
              </c:numCache>
            </c:numRef>
          </c:xVal>
          <c:yVal>
            <c:numRef>
              <c:f>'Laskenta poistopuoli 100'!$E$74:$E$77</c:f>
              <c:numCache>
                <c:formatCode>0.0</c:formatCode>
                <c:ptCount val="4"/>
                <c:pt idx="0">
                  <c:v>38.574210349979992</c:v>
                </c:pt>
                <c:pt idx="1">
                  <c:v>39.350744205332788</c:v>
                </c:pt>
                <c:pt idx="2">
                  <c:v>37.7927756489185</c:v>
                </c:pt>
                <c:pt idx="3">
                  <c:v>37.346744413222602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006-4267-B883-3A99CC58EBC3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06-4267-B883-3A99CC58EBC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006-4267-B883-3A99CC58EBC3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20.838594229649505</c:v>
                </c:pt>
                <c:pt idx="1">
                  <c:v>16.014051850296696</c:v>
                </c:pt>
                <c:pt idx="2">
                  <c:v>11.394851966494693</c:v>
                </c:pt>
                <c:pt idx="3">
                  <c:v>6.7805414223325</c:v>
                </c:pt>
              </c:numCache>
            </c:numRef>
          </c:xVal>
          <c:yVal>
            <c:numRef>
              <c:f>'Laskenta poistopuoli 100'!$AF$34:$AF$37</c:f>
              <c:numCache>
                <c:formatCode>0.0</c:formatCode>
                <c:ptCount val="4"/>
                <c:pt idx="0">
                  <c:v>62.583406329076603</c:v>
                </c:pt>
                <c:pt idx="1">
                  <c:v>55.76409112382813</c:v>
                </c:pt>
                <c:pt idx="2">
                  <c:v>44.314766221702548</c:v>
                </c:pt>
                <c:pt idx="3">
                  <c:v>33.674301612829325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006-4267-B883-3A99CC58EBC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100'!$W$5</c:f>
              <c:numCache>
                <c:formatCode>0.0</c:formatCode>
                <c:ptCount val="1"/>
                <c:pt idx="0">
                  <c:v>42.156389206413884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006-4267-B883-3A99CC58E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100'!$N$59:$N$62</c:f>
              <c:numCache>
                <c:formatCode>0.0</c:formatCode>
                <c:ptCount val="4"/>
                <c:pt idx="0">
                  <c:v>104.62084545454545</c:v>
                </c:pt>
                <c:pt idx="1">
                  <c:v>87.716672727272737</c:v>
                </c:pt>
                <c:pt idx="2">
                  <c:v>60.068663636363638</c:v>
                </c:pt>
                <c:pt idx="3">
                  <c:v>38.46300909090909</c:v>
                </c:pt>
              </c:numCache>
            </c:numRef>
          </c:xVal>
          <c:yVal>
            <c:numRef>
              <c:f>'Laskenta poistopuoli 100'!$O$59:$O$62</c:f>
              <c:numCache>
                <c:formatCode>0.0</c:formatCode>
                <c:ptCount val="4"/>
                <c:pt idx="0">
                  <c:v>73.349403929077283</c:v>
                </c:pt>
                <c:pt idx="1">
                  <c:v>73.586568674570273</c:v>
                </c:pt>
                <c:pt idx="2">
                  <c:v>74.903691388935115</c:v>
                </c:pt>
                <c:pt idx="3">
                  <c:v>74.98237026058645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40-4FFC-BBD7-595AC3914FD3}"/>
            </c:ext>
          </c:extLst>
        </c:ser>
        <c:ser>
          <c:idx val="1"/>
          <c:order val="1"/>
          <c:tx>
            <c:strRef>
              <c:f>'Laskenta poistopuoli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100'!$N$64:$N$67</c:f>
              <c:numCache>
                <c:formatCode>0.0</c:formatCode>
                <c:ptCount val="4"/>
                <c:pt idx="0">
                  <c:v>81.794172727272723</c:v>
                </c:pt>
                <c:pt idx="1">
                  <c:v>68.961309090909083</c:v>
                </c:pt>
                <c:pt idx="2">
                  <c:v>46.599072727272727</c:v>
                </c:pt>
                <c:pt idx="3">
                  <c:v>29.631227272727273</c:v>
                </c:pt>
              </c:numCache>
            </c:numRef>
          </c:xVal>
          <c:yVal>
            <c:numRef>
              <c:f>'Laskenta poistopuoli 100'!$O$64:$O$67</c:f>
              <c:numCache>
                <c:formatCode>0.0</c:formatCode>
                <c:ptCount val="4"/>
                <c:pt idx="0">
                  <c:v>68.625830013402279</c:v>
                </c:pt>
                <c:pt idx="1">
                  <c:v>68.692809828117717</c:v>
                </c:pt>
                <c:pt idx="2">
                  <c:v>69.362565246831508</c:v>
                </c:pt>
                <c:pt idx="3">
                  <c:v>69.325721365716447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640-4FFC-BBD7-595AC3914FD3}"/>
            </c:ext>
          </c:extLst>
        </c:ser>
        <c:ser>
          <c:idx val="2"/>
          <c:order val="2"/>
          <c:tx>
            <c:strRef>
              <c:f>'Laskenta poistopuoli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100'!$N$69:$N$72</c:f>
              <c:numCache>
                <c:formatCode>0.0</c:formatCode>
                <c:ptCount val="4"/>
                <c:pt idx="0">
                  <c:v>57.921581818181828</c:v>
                </c:pt>
                <c:pt idx="1">
                  <c:v>49.687200000000004</c:v>
                </c:pt>
                <c:pt idx="2">
                  <c:v>33.798045454545452</c:v>
                </c:pt>
                <c:pt idx="3">
                  <c:v>21.24609090909091</c:v>
                </c:pt>
              </c:numCache>
            </c:numRef>
          </c:xVal>
          <c:yVal>
            <c:numRef>
              <c:f>'Laskenta poistopuoli 100'!$O$69:$O$72</c:f>
              <c:numCache>
                <c:formatCode>0.0</c:formatCode>
                <c:ptCount val="4"/>
                <c:pt idx="0">
                  <c:v>62.212651636773103</c:v>
                </c:pt>
                <c:pt idx="1">
                  <c:v>62.579738505250276</c:v>
                </c:pt>
                <c:pt idx="2">
                  <c:v>62.978561224871314</c:v>
                </c:pt>
                <c:pt idx="3">
                  <c:v>62.520601425604632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640-4FFC-BBD7-595AC3914FD3}"/>
            </c:ext>
          </c:extLst>
        </c:ser>
        <c:ser>
          <c:idx val="3"/>
          <c:order val="3"/>
          <c:tx>
            <c:strRef>
              <c:f>'Laskenta poistopuoli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100'!$N$74:$N$77</c:f>
              <c:numCache>
                <c:formatCode>0.0</c:formatCode>
                <c:ptCount val="4"/>
                <c:pt idx="0">
                  <c:v>28.261327272727272</c:v>
                </c:pt>
                <c:pt idx="1">
                  <c:v>23.704045454545458</c:v>
                </c:pt>
                <c:pt idx="2">
                  <c:v>16.993127272727271</c:v>
                </c:pt>
                <c:pt idx="3">
                  <c:v>11.464836363636362</c:v>
                </c:pt>
              </c:numCache>
            </c:numRef>
          </c:xVal>
          <c:yVal>
            <c:numRef>
              <c:f>'Laskenta poistopuoli 100'!$O$74:$O$77</c:f>
              <c:numCache>
                <c:formatCode>0.0</c:formatCode>
                <c:ptCount val="4"/>
                <c:pt idx="0">
                  <c:v>50.304556178333428</c:v>
                </c:pt>
                <c:pt idx="1">
                  <c:v>50.910345390046182</c:v>
                </c:pt>
                <c:pt idx="2">
                  <c:v>50.609911956999383</c:v>
                </c:pt>
                <c:pt idx="3">
                  <c:v>49.874271233326027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640-4FFC-BBD7-595AC3914FD3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20.838594229649505</c:v>
                </c:pt>
                <c:pt idx="1">
                  <c:v>16.014051850296696</c:v>
                </c:pt>
                <c:pt idx="2">
                  <c:v>11.394851966494693</c:v>
                </c:pt>
                <c:pt idx="3">
                  <c:v>6.7805414223325</c:v>
                </c:pt>
              </c:numCache>
            </c:numRef>
          </c:xVal>
          <c:yVal>
            <c:numRef>
              <c:f>'Laskenta poistopuoli 100'!$AG$34:$AG$37</c:f>
              <c:numCache>
                <c:formatCode>0.0</c:formatCode>
                <c:ptCount val="4"/>
                <c:pt idx="0">
                  <c:v>75.266098174885826</c:v>
                </c:pt>
                <c:pt idx="1">
                  <c:v>69.415902187029019</c:v>
                </c:pt>
                <c:pt idx="2">
                  <c:v>61.870371888064206</c:v>
                </c:pt>
                <c:pt idx="3">
                  <c:v>48.602632951862844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640-4FFC-BBD7-595AC3914FD3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100'!$W$6</c:f>
              <c:numCache>
                <c:formatCode>0.0</c:formatCode>
                <c:ptCount val="1"/>
                <c:pt idx="0">
                  <c:v>57.498415680781292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640-4FFC-BBD7-595AC3914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100'!$AI$36:$AI$38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poistopuoli 100'!$AJ$36:$AJ$38</c:f>
              <c:numCache>
                <c:formatCode>0.0</c:formatCode>
                <c:ptCount val="3"/>
                <c:pt idx="0">
                  <c:v>16.014051850296696</c:v>
                </c:pt>
                <c:pt idx="1">
                  <c:v>11.394851966494693</c:v>
                </c:pt>
                <c:pt idx="2">
                  <c:v>6.7805414223325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F4-4086-B70B-48B6A95595E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poistopuoli 100'!$AJ$34:$AJ$35</c:f>
              <c:numCache>
                <c:formatCode>0.0</c:formatCode>
                <c:ptCount val="2"/>
                <c:pt idx="0">
                  <c:v>20.838594229649505</c:v>
                </c:pt>
                <c:pt idx="1">
                  <c:v>18.383826958901054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7F4-4086-B70B-48B6A95595E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100'!$W$9</c:f>
              <c:numCache>
                <c:formatCode>0.0</c:formatCode>
                <c:ptCount val="1"/>
                <c:pt idx="0">
                  <c:v>4.1943650372768522</c:v>
                </c:pt>
              </c:numCache>
            </c:numRef>
          </c:xVal>
          <c:yVal>
            <c:numRef>
              <c:f>'Laskenta poistopuoli 100'!$J$3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7F4-4086-B70B-48B6A95595E1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100'!$AO$36</c:f>
              <c:numCache>
                <c:formatCode>0.0</c:formatCode>
                <c:ptCount val="1"/>
                <c:pt idx="0">
                  <c:v>4.9364473342684976</c:v>
                </c:pt>
              </c:numCache>
            </c:numRef>
          </c:xVal>
          <c:yVal>
            <c:numRef>
              <c:f>'Laskenta poistopuoli 100'!$AL$36</c:f>
              <c:numCache>
                <c:formatCode>0.0</c:formatCode>
                <c:ptCount val="1"/>
                <c:pt idx="0">
                  <c:v>11.666666666666666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13-47BD-89CA-C7C014A4A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100'!$X$59:$X$66</c:f>
              <c:numCache>
                <c:formatCode>0.0</c:formatCode>
                <c:ptCount val="8"/>
                <c:pt idx="0">
                  <c:v>107.47020000000001</c:v>
                </c:pt>
                <c:pt idx="1">
                  <c:v>97.16458181818183</c:v>
                </c:pt>
                <c:pt idx="2">
                  <c:v>77.45038181818181</c:v>
                </c:pt>
                <c:pt idx="3">
                  <c:v>55.766072727272736</c:v>
                </c:pt>
                <c:pt idx="4">
                  <c:v>104.62084545454545</c:v>
                </c:pt>
                <c:pt idx="5">
                  <c:v>87.716672727272737</c:v>
                </c:pt>
                <c:pt idx="6">
                  <c:v>60.068663636363638</c:v>
                </c:pt>
                <c:pt idx="7">
                  <c:v>38.46300909090909</c:v>
                </c:pt>
              </c:numCache>
            </c:numRef>
          </c:xVal>
          <c:yVal>
            <c:numRef>
              <c:f>'Laskenta poistopuoli 100'!$Y$59:$Y$66</c:f>
              <c:numCache>
                <c:formatCode>0.0</c:formatCode>
                <c:ptCount val="8"/>
                <c:pt idx="0">
                  <c:v>116.62868994636517</c:v>
                </c:pt>
                <c:pt idx="1">
                  <c:v>107.89046746765455</c:v>
                </c:pt>
                <c:pt idx="2">
                  <c:v>92.233101144109327</c:v>
                </c:pt>
                <c:pt idx="3">
                  <c:v>76.472486133861551</c:v>
                </c:pt>
                <c:pt idx="4">
                  <c:v>117.15166181231858</c:v>
                </c:pt>
                <c:pt idx="5">
                  <c:v>108.25149905730171</c:v>
                </c:pt>
                <c:pt idx="6">
                  <c:v>88.100138396815751</c:v>
                </c:pt>
                <c:pt idx="7">
                  <c:v>75.666190479058542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9F-4CAF-95DA-E7FE3F5C1057}"/>
            </c:ext>
          </c:extLst>
        </c:ser>
        <c:ser>
          <c:idx val="1"/>
          <c:order val="1"/>
          <c:tx>
            <c:strRef>
              <c:f>'Laskenta poistopuoli 100'!$W$68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100'!$X$68:$X$74</c:f>
              <c:numCache>
                <c:formatCode>0.0</c:formatCode>
                <c:ptCount val="7"/>
                <c:pt idx="0">
                  <c:v>85.219390909090919</c:v>
                </c:pt>
                <c:pt idx="1">
                  <c:v>75.308918181818171</c:v>
                </c:pt>
                <c:pt idx="2">
                  <c:v>42.177563636363637</c:v>
                </c:pt>
                <c:pt idx="3">
                  <c:v>81.794172727272723</c:v>
                </c:pt>
                <c:pt idx="4">
                  <c:v>68.961309090909083</c:v>
                </c:pt>
                <c:pt idx="5">
                  <c:v>46.599072727272727</c:v>
                </c:pt>
                <c:pt idx="6">
                  <c:v>29.631227272727273</c:v>
                </c:pt>
              </c:numCache>
            </c:numRef>
          </c:xVal>
          <c:yVal>
            <c:numRef>
              <c:f>'Laskenta poistopuoli 100'!$Y$68:$Y$74</c:f>
              <c:numCache>
                <c:formatCode>0.0</c:formatCode>
                <c:ptCount val="7"/>
                <c:pt idx="0">
                  <c:v>60.577810396612868</c:v>
                </c:pt>
                <c:pt idx="1">
                  <c:v>55.527582956445499</c:v>
                </c:pt>
                <c:pt idx="2">
                  <c:v>37.764911609904139</c:v>
                </c:pt>
                <c:pt idx="3">
                  <c:v>61.609359236476912</c:v>
                </c:pt>
                <c:pt idx="4">
                  <c:v>55.253225557202001</c:v>
                </c:pt>
                <c:pt idx="5">
                  <c:v>44.871075383176873</c:v>
                </c:pt>
                <c:pt idx="6">
                  <c:v>37.472218612103255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9F-4CAF-95DA-E7FE3F5C1057}"/>
            </c:ext>
          </c:extLst>
        </c:ser>
        <c:ser>
          <c:idx val="2"/>
          <c:order val="2"/>
          <c:tx>
            <c:strRef>
              <c:f>'Laskenta poistopuoli 100'!$W$76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100'!$X$76:$X$82</c:f>
              <c:numCache>
                <c:formatCode>0.0</c:formatCode>
                <c:ptCount val="7"/>
                <c:pt idx="0">
                  <c:v>59.232490909090913</c:v>
                </c:pt>
                <c:pt idx="1">
                  <c:v>52.589927272727273</c:v>
                </c:pt>
                <c:pt idx="2">
                  <c:v>31.091018181818189</c:v>
                </c:pt>
                <c:pt idx="3">
                  <c:v>57.921581818181828</c:v>
                </c:pt>
                <c:pt idx="4">
                  <c:v>49.687200000000004</c:v>
                </c:pt>
                <c:pt idx="5">
                  <c:v>33.798045454545452</c:v>
                </c:pt>
                <c:pt idx="6">
                  <c:v>21.24609090909091</c:v>
                </c:pt>
              </c:numCache>
            </c:numRef>
          </c:xVal>
          <c:yVal>
            <c:numRef>
              <c:f>'Laskenta poistopuoli 100'!$Y$76:$Y$82</c:f>
              <c:numCache>
                <c:formatCode>0.0</c:formatCode>
                <c:ptCount val="7"/>
                <c:pt idx="0">
                  <c:v>25.417263103473928</c:v>
                </c:pt>
                <c:pt idx="1">
                  <c:v>24.344285214676759</c:v>
                </c:pt>
                <c:pt idx="2">
                  <c:v>18.071598855872615</c:v>
                </c:pt>
                <c:pt idx="3">
                  <c:v>26.864447987055424</c:v>
                </c:pt>
                <c:pt idx="4">
                  <c:v>24.610628081174507</c:v>
                </c:pt>
                <c:pt idx="5">
                  <c:v>20.989449770999862</c:v>
                </c:pt>
                <c:pt idx="6">
                  <c:v>17.303475403537568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69F-4CAF-95DA-E7FE3F5C1057}"/>
            </c:ext>
          </c:extLst>
        </c:ser>
        <c:ser>
          <c:idx val="3"/>
          <c:order val="3"/>
          <c:tx>
            <c:strRef>
              <c:f>'Laskenta poistopuoli 100'!$W$84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100'!$X$84:$X$90</c:f>
              <c:numCache>
                <c:formatCode>0.0</c:formatCode>
                <c:ptCount val="7"/>
                <c:pt idx="0">
                  <c:v>31.706209090909095</c:v>
                </c:pt>
                <c:pt idx="1">
                  <c:v>26.826818181818176</c:v>
                </c:pt>
                <c:pt idx="2">
                  <c:v>21.224554545454549</c:v>
                </c:pt>
                <c:pt idx="3">
                  <c:v>28.261327272727272</c:v>
                </c:pt>
                <c:pt idx="4">
                  <c:v>23.704045454545458</c:v>
                </c:pt>
                <c:pt idx="5">
                  <c:v>16.993127272727271</c:v>
                </c:pt>
                <c:pt idx="6">
                  <c:v>11.464836363636362</c:v>
                </c:pt>
              </c:numCache>
            </c:numRef>
          </c:xVal>
          <c:yVal>
            <c:numRef>
              <c:f>'Laskenta poistopuoli 100'!$Y$84:$Y$90</c:f>
              <c:numCache>
                <c:formatCode>0.0</c:formatCode>
                <c:ptCount val="7"/>
                <c:pt idx="0">
                  <c:v>7.6542509640036691</c:v>
                </c:pt>
                <c:pt idx="1">
                  <c:v>7.0952373016298811</c:v>
                </c:pt>
                <c:pt idx="2">
                  <c:v>6.4091373237387206</c:v>
                </c:pt>
                <c:pt idx="3">
                  <c:v>7.4176728977971926</c:v>
                </c:pt>
                <c:pt idx="4">
                  <c:v>6.9120341052630758</c:v>
                </c:pt>
                <c:pt idx="5">
                  <c:v>6.4396716809091377</c:v>
                </c:pt>
                <c:pt idx="6">
                  <c:v>6.1312138558419154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69F-4CAF-95DA-E7FE3F5C1057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100'!$AC$34:$AC$38</c:f>
              <c:numCache>
                <c:formatCode>0.0</c:formatCode>
                <c:ptCount val="5"/>
                <c:pt idx="0">
                  <c:v>20.838594229649505</c:v>
                </c:pt>
                <c:pt idx="1">
                  <c:v>16.014051850296696</c:v>
                </c:pt>
                <c:pt idx="2">
                  <c:v>11.394851966494693</c:v>
                </c:pt>
                <c:pt idx="3">
                  <c:v>6.7805414223325</c:v>
                </c:pt>
              </c:numCache>
            </c:numRef>
          </c:xVal>
          <c:yVal>
            <c:numRef>
              <c:f>'Laskenta poistopuoli 100'!$AE$34:$AE$37</c:f>
              <c:numCache>
                <c:formatCode>0.0</c:formatCode>
                <c:ptCount val="4"/>
                <c:pt idx="0">
                  <c:v>67.947360792588199</c:v>
                </c:pt>
                <c:pt idx="1">
                  <c:v>31.276773505541858</c:v>
                </c:pt>
                <c:pt idx="2">
                  <c:v>14.348599969336165</c:v>
                </c:pt>
                <c:pt idx="3">
                  <c:v>6.0979170702940362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69F-4CAF-95DA-E7FE3F5C1057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100'!$W$13</c:f>
              <c:numCache>
                <c:formatCode>0.0</c:formatCode>
                <c:ptCount val="1"/>
                <c:pt idx="0">
                  <c:v>9.0913459749100589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69F-4CAF-95DA-E7FE3F5C1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'Laskenta vaipan läpi C5'!$L$23:$L$38</c:f>
              <c:numCache>
                <c:formatCode>0.0</c:formatCode>
                <c:ptCount val="16"/>
                <c:pt idx="0">
                  <c:v>10.013000000000002</c:v>
                </c:pt>
                <c:pt idx="1">
                  <c:v>9.9978999999999996</c:v>
                </c:pt>
                <c:pt idx="2">
                  <c:v>9.9989999999999988</c:v>
                </c:pt>
                <c:pt idx="3">
                  <c:v>10.010999999999997</c:v>
                </c:pt>
                <c:pt idx="4">
                  <c:v>8</c:v>
                </c:pt>
                <c:pt idx="5">
                  <c:v>7.9989999999999997</c:v>
                </c:pt>
                <c:pt idx="6">
                  <c:v>8.0071999999999992</c:v>
                </c:pt>
                <c:pt idx="7">
                  <c:v>8.0139999999999976</c:v>
                </c:pt>
                <c:pt idx="8">
                  <c:v>5.9979999999999993</c:v>
                </c:pt>
                <c:pt idx="9">
                  <c:v>6.0060000000000002</c:v>
                </c:pt>
                <c:pt idx="10">
                  <c:v>5.9969999999999999</c:v>
                </c:pt>
                <c:pt idx="11">
                  <c:v>6.0099999999999989</c:v>
                </c:pt>
                <c:pt idx="12">
                  <c:v>4</c:v>
                </c:pt>
                <c:pt idx="13">
                  <c:v>3.9969999999999999</c:v>
                </c:pt>
                <c:pt idx="14">
                  <c:v>3.9940000000000007</c:v>
                </c:pt>
                <c:pt idx="15">
                  <c:v>3.9969999999999999</c:v>
                </c:pt>
              </c:numCache>
            </c:numRef>
          </c:xVal>
          <c:yVal>
            <c:numRef>
              <c:f>'Laskenta vaipan läpi C5'!$M$23:$M$38</c:f>
              <c:numCache>
                <c:formatCode>0.0</c:formatCode>
                <c:ptCount val="16"/>
                <c:pt idx="0">
                  <c:v>49.959495723320273</c:v>
                </c:pt>
                <c:pt idx="1">
                  <c:v>49.622154443664968</c:v>
                </c:pt>
                <c:pt idx="2">
                  <c:v>51.572881755630256</c:v>
                </c:pt>
                <c:pt idx="3">
                  <c:v>55.375528164873884</c:v>
                </c:pt>
                <c:pt idx="4">
                  <c:v>48.124368787598968</c:v>
                </c:pt>
                <c:pt idx="5">
                  <c:v>48.629008822714624</c:v>
                </c:pt>
                <c:pt idx="6">
                  <c:v>49.868043464847737</c:v>
                </c:pt>
                <c:pt idx="7">
                  <c:v>54.011171297709097</c:v>
                </c:pt>
                <c:pt idx="8">
                  <c:v>43.043444610882446</c:v>
                </c:pt>
                <c:pt idx="9">
                  <c:v>44.274271017518608</c:v>
                </c:pt>
                <c:pt idx="10">
                  <c:v>47.201799492571297</c:v>
                </c:pt>
                <c:pt idx="11">
                  <c:v>51.067704078772323</c:v>
                </c:pt>
                <c:pt idx="12">
                  <c:v>39.056417756173836</c:v>
                </c:pt>
                <c:pt idx="13">
                  <c:v>38.730135277951547</c:v>
                </c:pt>
                <c:pt idx="14">
                  <c:v>40.22421910685906</c:v>
                </c:pt>
                <c:pt idx="15">
                  <c:v>42.82591117655501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1C-4BD4-85D0-74AA2C7A7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456352"/>
        <c:axId val="679456832"/>
      </c:scatterChart>
      <c:valAx>
        <c:axId val="679456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79456832"/>
        <c:crosses val="autoZero"/>
        <c:crossBetween val="midCat"/>
      </c:valAx>
      <c:valAx>
        <c:axId val="67945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79456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100'!$AA$4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100'!$AB$6:$AB$12</c:f>
              <c:numCache>
                <c:formatCode>0.0</c:formatCode>
                <c:ptCount val="7"/>
                <c:pt idx="0">
                  <c:v>115.67880715777122</c:v>
                </c:pt>
                <c:pt idx="1">
                  <c:v>103.49402125954791</c:v>
                </c:pt>
                <c:pt idx="2">
                  <c:v>93.392194792281046</c:v>
                </c:pt>
                <c:pt idx="3">
                  <c:v>83.647531933078071</c:v>
                </c:pt>
                <c:pt idx="4">
                  <c:v>70.340226812771604</c:v>
                </c:pt>
                <c:pt idx="5">
                  <c:v>53.15774384679068</c:v>
                </c:pt>
                <c:pt idx="6">
                  <c:v>41.2632427578814</c:v>
                </c:pt>
              </c:numCache>
            </c:numRef>
          </c:xVal>
          <c:yVal>
            <c:numRef>
              <c:f>'Laskenta poistopuoli 100'!$AA$6:$AA$12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70-44C0-86AA-450BA420F56E}"/>
            </c:ext>
          </c:extLst>
        </c:ser>
        <c:ser>
          <c:idx val="1"/>
          <c:order val="1"/>
          <c:tx>
            <c:strRef>
              <c:f>'Laskenta poistopuoli 100'!$AC$4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100'!$AD$6:$AD$12</c:f>
              <c:numCache>
                <c:formatCode>0.0</c:formatCode>
                <c:ptCount val="7"/>
                <c:pt idx="0">
                  <c:v>91.988373586551461</c:v>
                </c:pt>
                <c:pt idx="1">
                  <c:v>86.286536155517794</c:v>
                </c:pt>
                <c:pt idx="2">
                  <c:v>75.900637350102883</c:v>
                </c:pt>
                <c:pt idx="3">
                  <c:v>63.979035472792781</c:v>
                </c:pt>
                <c:pt idx="4">
                  <c:v>58.592403493552204</c:v>
                </c:pt>
                <c:pt idx="5">
                  <c:v>52.709351379206979</c:v>
                </c:pt>
                <c:pt idx="6">
                  <c:v>32.044849239800861</c:v>
                </c:pt>
              </c:numCache>
            </c:numRef>
          </c:xVal>
          <c:yVal>
            <c:numRef>
              <c:f>'Laskenta poistopuoli 100'!$AC$6:$AC$12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770-44C0-86AA-450BA420F56E}"/>
            </c:ext>
          </c:extLst>
        </c:ser>
        <c:ser>
          <c:idx val="2"/>
          <c:order val="2"/>
          <c:tx>
            <c:strRef>
              <c:f>'Laskenta poistopuoli 100'!$AE$4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100'!$AF$6:$AF$11</c:f>
              <c:numCache>
                <c:formatCode>0.0</c:formatCode>
                <c:ptCount val="6"/>
                <c:pt idx="0">
                  <c:v>63.494874015749062</c:v>
                </c:pt>
                <c:pt idx="1">
                  <c:v>56.973770904089747</c:v>
                </c:pt>
                <c:pt idx="2">
                  <c:v>51.145153604780376</c:v>
                </c:pt>
                <c:pt idx="3">
                  <c:v>44.536021272153903</c:v>
                </c:pt>
                <c:pt idx="4">
                  <c:v>36.710790610696051</c:v>
                </c:pt>
                <c:pt idx="5">
                  <c:v>23.297949159489587</c:v>
                </c:pt>
              </c:numCache>
            </c:numRef>
          </c:xVal>
          <c:yVal>
            <c:numRef>
              <c:f>'Laskenta poistopuoli 100'!$AE$6:$AE$11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770-44C0-86AA-450BA420F56E}"/>
            </c:ext>
          </c:extLst>
        </c:ser>
        <c:ser>
          <c:idx val="3"/>
          <c:order val="3"/>
          <c:tx>
            <c:strRef>
              <c:f>'Laskenta poistopuoli 100'!$AG$4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100'!$AH$6:$AH$10</c:f>
              <c:numCache>
                <c:formatCode>0.0</c:formatCode>
                <c:ptCount val="5"/>
                <c:pt idx="0">
                  <c:v>29.670491870313402</c:v>
                </c:pt>
                <c:pt idx="1">
                  <c:v>22.578901953211147</c:v>
                </c:pt>
                <c:pt idx="2">
                  <c:v>16.488965411522997</c:v>
                </c:pt>
                <c:pt idx="3">
                  <c:v>13.708304384736721</c:v>
                </c:pt>
                <c:pt idx="4">
                  <c:v>11.06772203702376</c:v>
                </c:pt>
              </c:numCache>
            </c:numRef>
          </c:xVal>
          <c:yVal>
            <c:numRef>
              <c:f>'Laskenta poistopuoli 100'!$AG$6:$AG$10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770-44C0-86AA-450BA420F56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100'!$L$3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770-44C0-86AA-450BA420F56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20.838594229649505</c:v>
                </c:pt>
                <c:pt idx="1">
                  <c:v>16.014051850296696</c:v>
                </c:pt>
                <c:pt idx="2">
                  <c:v>11.394851966494693</c:v>
                </c:pt>
                <c:pt idx="3">
                  <c:v>6.7805414223325</c:v>
                </c:pt>
              </c:numCache>
            </c:numRef>
          </c:xVal>
          <c:yVal>
            <c:numRef>
              <c:f>'Laskenta poistopuoli 100'!$AD$34:$AD$37</c:f>
              <c:numCache>
                <c:formatCode>0.0</c:formatCode>
                <c:ptCount val="4"/>
                <c:pt idx="0">
                  <c:v>459.41561164939128</c:v>
                </c:pt>
                <c:pt idx="1">
                  <c:v>271.31348100941426</c:v>
                </c:pt>
                <c:pt idx="2">
                  <c:v>137.3682254158964</c:v>
                </c:pt>
                <c:pt idx="3">
                  <c:v>48.640458453907797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770-44C0-86AA-450BA420F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150'!$D$59:$D$62</c:f>
              <c:numCache>
                <c:formatCode>0.0</c:formatCode>
                <c:ptCount val="4"/>
                <c:pt idx="0">
                  <c:v>157.28305069533172</c:v>
                </c:pt>
                <c:pt idx="1">
                  <c:v>146.55078601347955</c:v>
                </c:pt>
                <c:pt idx="2">
                  <c:v>135.16967854746008</c:v>
                </c:pt>
                <c:pt idx="3">
                  <c:v>122.87386253386013</c:v>
                </c:pt>
              </c:numCache>
            </c:numRef>
          </c:xVal>
          <c:yVal>
            <c:numRef>
              <c:f>'Laskenta tulopuoli 150'!$E$59:$E$62</c:f>
              <c:numCache>
                <c:formatCode>0.0</c:formatCode>
                <c:ptCount val="4"/>
                <c:pt idx="0">
                  <c:v>59.584121033260161</c:v>
                </c:pt>
                <c:pt idx="1">
                  <c:v>59.034665171222933</c:v>
                </c:pt>
                <c:pt idx="2">
                  <c:v>58.616529819458627</c:v>
                </c:pt>
                <c:pt idx="3">
                  <c:v>57.87243224523074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C9-4A1D-9D99-9F4BF7E02D84}"/>
            </c:ext>
          </c:extLst>
        </c:ser>
        <c:ser>
          <c:idx val="1"/>
          <c:order val="1"/>
          <c:tx>
            <c:strRef>
              <c:f>'Laskenta tulopuoli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150'!$D$64:$D$67</c:f>
              <c:numCache>
                <c:formatCode>0.0</c:formatCode>
                <c:ptCount val="4"/>
                <c:pt idx="0">
                  <c:v>115.79564526412705</c:v>
                </c:pt>
                <c:pt idx="1">
                  <c:v>106.97675022173922</c:v>
                </c:pt>
                <c:pt idx="2">
                  <c:v>98.206572415924612</c:v>
                </c:pt>
                <c:pt idx="3">
                  <c:v>88.917966582246621</c:v>
                </c:pt>
              </c:numCache>
            </c:numRef>
          </c:xVal>
          <c:yVal>
            <c:numRef>
              <c:f>'Laskenta tulopuoli 150'!$E$64:$E$67</c:f>
              <c:numCache>
                <c:formatCode>0.0</c:formatCode>
                <c:ptCount val="4"/>
                <c:pt idx="0">
                  <c:v>56.197280887668541</c:v>
                </c:pt>
                <c:pt idx="1">
                  <c:v>55.237406763421937</c:v>
                </c:pt>
                <c:pt idx="2">
                  <c:v>54.74149561639608</c:v>
                </c:pt>
                <c:pt idx="3">
                  <c:v>55.175030795562357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C9-4A1D-9D99-9F4BF7E02D84}"/>
            </c:ext>
          </c:extLst>
        </c:ser>
        <c:ser>
          <c:idx val="2"/>
          <c:order val="2"/>
          <c:tx>
            <c:strRef>
              <c:f>'Laskenta tulopuoli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150'!$D$69:$D$72</c:f>
              <c:numCache>
                <c:formatCode>0.0</c:formatCode>
                <c:ptCount val="4"/>
                <c:pt idx="0">
                  <c:v>84.357257896408399</c:v>
                </c:pt>
                <c:pt idx="1">
                  <c:v>78.503845274925567</c:v>
                </c:pt>
                <c:pt idx="2">
                  <c:v>72.383196337283366</c:v>
                </c:pt>
                <c:pt idx="3">
                  <c:v>65.600686333526227</c:v>
                </c:pt>
              </c:numCache>
            </c:numRef>
          </c:xVal>
          <c:yVal>
            <c:numRef>
              <c:f>'Laskenta tulopuoli 150'!$E$69:$E$72</c:f>
              <c:numCache>
                <c:formatCode>0.0</c:formatCode>
                <c:ptCount val="4"/>
                <c:pt idx="0">
                  <c:v>51.396877204560091</c:v>
                </c:pt>
                <c:pt idx="1">
                  <c:v>50.687179139252699</c:v>
                </c:pt>
                <c:pt idx="2">
                  <c:v>50.612475302246779</c:v>
                </c:pt>
                <c:pt idx="3">
                  <c:v>49.639499165934055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C9-4A1D-9D99-9F4BF7E02D84}"/>
            </c:ext>
          </c:extLst>
        </c:ser>
        <c:ser>
          <c:idx val="3"/>
          <c:order val="3"/>
          <c:tx>
            <c:strRef>
              <c:f>'Laskenta tulopuoli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150'!$D$74:$D$77</c:f>
              <c:numCache>
                <c:formatCode>0.0</c:formatCode>
                <c:ptCount val="4"/>
                <c:pt idx="0">
                  <c:v>45.043697488606703</c:v>
                </c:pt>
                <c:pt idx="1">
                  <c:v>42.867192759507176</c:v>
                </c:pt>
                <c:pt idx="2">
                  <c:v>40.200875313800047</c:v>
                </c:pt>
                <c:pt idx="3">
                  <c:v>36.701633625452011</c:v>
                </c:pt>
              </c:numCache>
            </c:numRef>
          </c:xVal>
          <c:yVal>
            <c:numRef>
              <c:f>'Laskenta tulopuoli 150'!$E$74:$E$77</c:f>
              <c:numCache>
                <c:formatCode>0.0</c:formatCode>
                <c:ptCount val="4"/>
                <c:pt idx="0">
                  <c:v>38.857851553991033</c:v>
                </c:pt>
                <c:pt idx="1">
                  <c:v>38.771970649710418</c:v>
                </c:pt>
                <c:pt idx="2">
                  <c:v>38.312133032218668</c:v>
                </c:pt>
                <c:pt idx="3">
                  <c:v>38.385869540907585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6C9-4A1D-9D99-9F4BF7E02D8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C9-4A1D-9D99-9F4BF7E02D8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6C9-4A1D-9D99-9F4BF7E02D84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7356411529639876"/>
                  <c:y val="-8.642336735740974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150'!$AC$34:$AC$36</c:f>
              <c:numCache>
                <c:formatCode>0.0</c:formatCode>
                <c:ptCount val="3"/>
                <c:pt idx="0">
                  <c:v>34.212570957609081</c:v>
                </c:pt>
                <c:pt idx="1">
                  <c:v>26.496196110646245</c:v>
                </c:pt>
                <c:pt idx="2">
                  <c:v>19.393562849961011</c:v>
                </c:pt>
              </c:numCache>
            </c:numRef>
          </c:xVal>
          <c:yVal>
            <c:numRef>
              <c:f>'Laskenta tulopuoli 150'!$AF$34:$AF$36</c:f>
              <c:numCache>
                <c:formatCode>0.0</c:formatCode>
                <c:ptCount val="3"/>
                <c:pt idx="0">
                  <c:v>50.945656795453942</c:v>
                </c:pt>
                <c:pt idx="1">
                  <c:v>77.134718690596145</c:v>
                </c:pt>
                <c:pt idx="2">
                  <c:v>41.604101846384815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6C9-4A1D-9D99-9F4BF7E02D8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150'!$W$5</c:f>
              <c:numCache>
                <c:formatCode>0.0</c:formatCode>
                <c:ptCount val="1"/>
                <c:pt idx="0">
                  <c:v>38.842025518059131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6C9-4A1D-9D99-9F4BF7E02D84}"/>
            </c:ext>
          </c:extLst>
        </c:ser>
        <c:ser>
          <c:idx val="6"/>
          <c:order val="6"/>
          <c:tx>
            <c:v>3-5V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7861767279090113E-2"/>
                  <c:y val="-0.14231798038923177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26.496196110646245</c:v>
                </c:pt>
                <c:pt idx="1">
                  <c:v>19.393562849961011</c:v>
                </c:pt>
                <c:pt idx="2">
                  <c:v>10.314164696724212</c:v>
                </c:pt>
              </c:numCache>
            </c:numRef>
          </c:xVal>
          <c:yVal>
            <c:numRef>
              <c:f>'Laskenta tulopuoli 150'!$AF$35:$AF$37</c:f>
              <c:numCache>
                <c:formatCode>0.0</c:formatCode>
                <c:ptCount val="3"/>
                <c:pt idx="0">
                  <c:v>77.134718690596145</c:v>
                </c:pt>
                <c:pt idx="1">
                  <c:v>41.604101846384815</c:v>
                </c:pt>
                <c:pt idx="2">
                  <c:v>45.80744924925812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6C9-4A1D-9D99-9F4BF7E02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2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8.6096276494048666E-4"/>
                  <c:y val="0.21036261209017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150'!$N$59:$N$62</c:f>
              <c:numCache>
                <c:formatCode>0.0</c:formatCode>
                <c:ptCount val="4"/>
                <c:pt idx="0">
                  <c:v>157.12388402585512</c:v>
                </c:pt>
                <c:pt idx="1">
                  <c:v>146.40382196258597</c:v>
                </c:pt>
                <c:pt idx="2">
                  <c:v>134.62489122030723</c:v>
                </c:pt>
                <c:pt idx="3">
                  <c:v>122.81318999787912</c:v>
                </c:pt>
              </c:numCache>
            </c:numRef>
          </c:xVal>
          <c:yVal>
            <c:numRef>
              <c:f>'Laskenta tulopuoli 150'!$O$59:$O$62</c:f>
              <c:numCache>
                <c:formatCode>0.0</c:formatCode>
                <c:ptCount val="4"/>
                <c:pt idx="0">
                  <c:v>73.586266756288396</c:v>
                </c:pt>
                <c:pt idx="1">
                  <c:v>72.598590028138631</c:v>
                </c:pt>
                <c:pt idx="2">
                  <c:v>71.643458641188545</c:v>
                </c:pt>
                <c:pt idx="3">
                  <c:v>71.624683220101119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A3-4D36-87DB-1290152AB286}"/>
            </c:ext>
          </c:extLst>
        </c:ser>
        <c:ser>
          <c:idx val="1"/>
          <c:order val="1"/>
          <c:tx>
            <c:strRef>
              <c:f>'Laskenta tulopuoli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150'!$N$64:$N$67</c:f>
              <c:numCache>
                <c:formatCode>0.0</c:formatCode>
                <c:ptCount val="4"/>
                <c:pt idx="0">
                  <c:v>115.7527395118049</c:v>
                </c:pt>
                <c:pt idx="1">
                  <c:v>106.91665501286138</c:v>
                </c:pt>
                <c:pt idx="2">
                  <c:v>97.668417506006648</c:v>
                </c:pt>
                <c:pt idx="3">
                  <c:v>88.471240528681378</c:v>
                </c:pt>
              </c:numCache>
            </c:numRef>
          </c:xVal>
          <c:yVal>
            <c:numRef>
              <c:f>'Laskenta tulopuoli 150'!$O$64:$O$67</c:f>
              <c:numCache>
                <c:formatCode>0.0</c:formatCode>
                <c:ptCount val="4"/>
                <c:pt idx="0">
                  <c:v>69.410422694236928</c:v>
                </c:pt>
                <c:pt idx="1">
                  <c:v>68.273831250714295</c:v>
                </c:pt>
                <c:pt idx="2">
                  <c:v>68.062176855408353</c:v>
                </c:pt>
                <c:pt idx="3">
                  <c:v>66.721187940680181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6A3-4D36-87DB-1290152AB286}"/>
            </c:ext>
          </c:extLst>
        </c:ser>
        <c:ser>
          <c:idx val="2"/>
          <c:order val="2"/>
          <c:tx>
            <c:strRef>
              <c:f>'Laskenta tulopuoli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150'!$N$69:$N$72</c:f>
              <c:numCache>
                <c:formatCode>0.0</c:formatCode>
                <c:ptCount val="4"/>
                <c:pt idx="0">
                  <c:v>84.276112176172617</c:v>
                </c:pt>
                <c:pt idx="1">
                  <c:v>78.366665869479021</c:v>
                </c:pt>
                <c:pt idx="2">
                  <c:v>71.9434750225589</c:v>
                </c:pt>
                <c:pt idx="3">
                  <c:v>65.492862624326236</c:v>
                </c:pt>
              </c:numCache>
            </c:numRef>
          </c:xVal>
          <c:yVal>
            <c:numRef>
              <c:f>'Laskenta tulopuoli 150'!$O$69:$O$72</c:f>
              <c:numCache>
                <c:formatCode>0.0</c:formatCode>
                <c:ptCount val="4"/>
                <c:pt idx="0">
                  <c:v>62.221587821743327</c:v>
                </c:pt>
                <c:pt idx="1">
                  <c:v>61.769751245014781</c:v>
                </c:pt>
                <c:pt idx="2">
                  <c:v>61.518377533862719</c:v>
                </c:pt>
                <c:pt idx="3">
                  <c:v>60.996208646351839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6A3-4D36-87DB-1290152AB286}"/>
            </c:ext>
          </c:extLst>
        </c:ser>
        <c:ser>
          <c:idx val="3"/>
          <c:order val="3"/>
          <c:tx>
            <c:strRef>
              <c:f>'Laskenta tulopuoli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150'!$N$74:$N$77</c:f>
              <c:numCache>
                <c:formatCode>0.0</c:formatCode>
                <c:ptCount val="4"/>
                <c:pt idx="0">
                  <c:v>45.056263579141628</c:v>
                </c:pt>
                <c:pt idx="1">
                  <c:v>42.835910101814022</c:v>
                </c:pt>
                <c:pt idx="2">
                  <c:v>40.04683467591375</c:v>
                </c:pt>
                <c:pt idx="3">
                  <c:v>36.610447186451644</c:v>
                </c:pt>
              </c:numCache>
            </c:numRef>
          </c:xVal>
          <c:yVal>
            <c:numRef>
              <c:f>'Laskenta tulopuoli 150'!$O$74:$O$77</c:f>
              <c:numCache>
                <c:formatCode>0.0</c:formatCode>
                <c:ptCount val="4"/>
                <c:pt idx="0">
                  <c:v>51.172241569318196</c:v>
                </c:pt>
                <c:pt idx="1">
                  <c:v>51.491026615654533</c:v>
                </c:pt>
                <c:pt idx="2">
                  <c:v>51.101913029693968</c:v>
                </c:pt>
                <c:pt idx="3">
                  <c:v>50.408682683836055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6A3-4D36-87DB-1290152AB286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733499720590898"/>
                  <c:y val="-7.756739207480754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150'!$AC$34:$AC$36</c:f>
              <c:numCache>
                <c:formatCode>0.0</c:formatCode>
                <c:ptCount val="3"/>
                <c:pt idx="0">
                  <c:v>34.212570957609081</c:v>
                </c:pt>
                <c:pt idx="1">
                  <c:v>26.496196110646245</c:v>
                </c:pt>
                <c:pt idx="2">
                  <c:v>19.393562849961011</c:v>
                </c:pt>
              </c:numCache>
            </c:numRef>
          </c:xVal>
          <c:yVal>
            <c:numRef>
              <c:f>'Laskenta tulopuoli 150'!$AG$34:$AG$36</c:f>
              <c:numCache>
                <c:formatCode>0.0</c:formatCode>
                <c:ptCount val="3"/>
                <c:pt idx="0">
                  <c:v>88.264784706553527</c:v>
                </c:pt>
                <c:pt idx="1">
                  <c:v>58.101399323138942</c:v>
                </c:pt>
                <c:pt idx="2">
                  <c:v>57.308545364253128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6A3-4D36-87DB-1290152AB286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150'!$W$8</c:f>
              <c:numCache>
                <c:formatCode>0.0</c:formatCode>
                <c:ptCount val="1"/>
                <c:pt idx="0">
                  <c:v>22.810769356685483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6A3-4D36-87DB-1290152AB286}"/>
            </c:ext>
          </c:extLst>
        </c:ser>
        <c:ser>
          <c:idx val="6"/>
          <c:order val="6"/>
          <c:tx>
            <c:v>3-6,5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707132560351225"/>
                  <c:y val="3.7450341433633216E-3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26.496196110646245</c:v>
                </c:pt>
                <c:pt idx="1">
                  <c:v>19.393562849961011</c:v>
                </c:pt>
                <c:pt idx="2">
                  <c:v>10.314164696724212</c:v>
                </c:pt>
              </c:numCache>
            </c:numRef>
          </c:xVal>
          <c:yVal>
            <c:numRef>
              <c:f>'Laskenta tulopuoli 150'!$AG$35:$AG$37</c:f>
              <c:numCache>
                <c:formatCode>0.0</c:formatCode>
                <c:ptCount val="3"/>
                <c:pt idx="0">
                  <c:v>58.101399323138942</c:v>
                </c:pt>
                <c:pt idx="1">
                  <c:v>57.308545364253128</c:v>
                </c:pt>
                <c:pt idx="2">
                  <c:v>22.859093168406705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6A3-4D36-87DB-1290152AB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8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55366704954692"/>
                  <c:y val="6.15187971392051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150'!$AJ$34:$AJ$35</c:f>
              <c:numCache>
                <c:formatCode>0.0</c:formatCode>
                <c:ptCount val="2"/>
                <c:pt idx="0">
                  <c:v>34.212570957609081</c:v>
                </c:pt>
                <c:pt idx="1">
                  <c:v>26.496196110646245</c:v>
                </c:pt>
              </c:numCache>
            </c:numRef>
          </c:xVal>
          <c:yVal>
            <c:numRef>
              <c:f>'Laskenta tulopuoli 150'!$AI$34:$AI$35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ED-4E85-BC0A-ABF8E6013DA4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150'!$W$12</c:f>
              <c:numCache>
                <c:formatCode>0.0</c:formatCode>
                <c:ptCount val="1"/>
                <c:pt idx="0">
                  <c:v>2.8824088389005178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AED-4E85-BC0A-ABF8E6013DA4}"/>
            </c:ext>
          </c:extLst>
        </c:ser>
        <c:ser>
          <c:idx val="2"/>
          <c:order val="2"/>
          <c:tx>
            <c:v>3-6,5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26.496196110646245</c:v>
                </c:pt>
                <c:pt idx="1">
                  <c:v>19.393562849961011</c:v>
                </c:pt>
                <c:pt idx="2">
                  <c:v>10.314164696724212</c:v>
                </c:pt>
              </c:numCache>
            </c:numRef>
          </c:xVal>
          <c:yVal>
            <c:numRef>
              <c:f>'Laskenta tulopuoli 150'!$U$35:$U$37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AED-4E85-BC0A-ABF8E6013DA4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150'!$AL$36</c:f>
              <c:numCache>
                <c:formatCode>0.0</c:formatCode>
                <c:ptCount val="1"/>
                <c:pt idx="0">
                  <c:v>11.666666666666666</c:v>
                </c:pt>
              </c:numCache>
            </c:numRef>
          </c:xVal>
          <c:yVal>
            <c:numRef>
              <c:f>'Laskenta tulopuoli 150'!$AO$36</c:f>
              <c:numCache>
                <c:formatCode>0.0</c:formatCode>
                <c:ptCount val="1"/>
                <c:pt idx="0">
                  <c:v>3.3033240555632419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FB-4CAA-A9B8-9713E4713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150'!$X$59:$X$66</c:f>
              <c:numCache>
                <c:formatCode>0.0</c:formatCode>
                <c:ptCount val="8"/>
                <c:pt idx="0">
                  <c:v>157.28305069533172</c:v>
                </c:pt>
                <c:pt idx="1">
                  <c:v>146.55078601347955</c:v>
                </c:pt>
                <c:pt idx="2">
                  <c:v>135.16967854746008</c:v>
                </c:pt>
                <c:pt idx="3">
                  <c:v>122.87386253386013</c:v>
                </c:pt>
                <c:pt idx="4">
                  <c:v>157.12388402585512</c:v>
                </c:pt>
                <c:pt idx="5">
                  <c:v>146.40382196258597</c:v>
                </c:pt>
                <c:pt idx="6">
                  <c:v>134.62489122030723</c:v>
                </c:pt>
                <c:pt idx="7">
                  <c:v>122.81318999787912</c:v>
                </c:pt>
              </c:numCache>
            </c:numRef>
          </c:xVal>
          <c:yVal>
            <c:numRef>
              <c:f>'Laskenta tulopuoli 150'!$Y$59:$Y$66</c:f>
              <c:numCache>
                <c:formatCode>0.0</c:formatCode>
                <c:ptCount val="8"/>
                <c:pt idx="0">
                  <c:v>166.48112332133923</c:v>
                </c:pt>
                <c:pt idx="1">
                  <c:v>166.42923332157457</c:v>
                </c:pt>
                <c:pt idx="2">
                  <c:v>166.52729894333069</c:v>
                </c:pt>
                <c:pt idx="3">
                  <c:v>166.32352391719792</c:v>
                </c:pt>
                <c:pt idx="4">
                  <c:v>168.36896936050229</c:v>
                </c:pt>
                <c:pt idx="5">
                  <c:v>168.14315376683695</c:v>
                </c:pt>
                <c:pt idx="6">
                  <c:v>168.27049338091555</c:v>
                </c:pt>
                <c:pt idx="7">
                  <c:v>168.09244462004463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BB-4A80-8794-06C2EF2D9B02}"/>
            </c:ext>
          </c:extLst>
        </c:ser>
        <c:ser>
          <c:idx val="1"/>
          <c:order val="1"/>
          <c:tx>
            <c:strRef>
              <c:f>'Laskenta tulopuoli 150'!$W$68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150'!$X$68:$X$74</c:f>
              <c:numCache>
                <c:formatCode>0.0</c:formatCode>
                <c:ptCount val="7"/>
                <c:pt idx="0">
                  <c:v>115.79564526412705</c:v>
                </c:pt>
                <c:pt idx="1">
                  <c:v>106.97675022173922</c:v>
                </c:pt>
                <c:pt idx="2">
                  <c:v>88.917966582246621</c:v>
                </c:pt>
                <c:pt idx="3">
                  <c:v>115.7527395118049</c:v>
                </c:pt>
                <c:pt idx="4">
                  <c:v>106.91665501286138</c:v>
                </c:pt>
                <c:pt idx="5">
                  <c:v>97.668417506006648</c:v>
                </c:pt>
                <c:pt idx="6">
                  <c:v>88.471240528681378</c:v>
                </c:pt>
              </c:numCache>
            </c:numRef>
          </c:xVal>
          <c:yVal>
            <c:numRef>
              <c:f>'Laskenta tulopuoli 150'!$Y$68:$Y$74</c:f>
              <c:numCache>
                <c:formatCode>0.0</c:formatCode>
                <c:ptCount val="7"/>
                <c:pt idx="0">
                  <c:v>80.608112872381284</c:v>
                </c:pt>
                <c:pt idx="1">
                  <c:v>80.694248796772087</c:v>
                </c:pt>
                <c:pt idx="2">
                  <c:v>78.903619549585414</c:v>
                </c:pt>
                <c:pt idx="3">
                  <c:v>81.524141516906852</c:v>
                </c:pt>
                <c:pt idx="4">
                  <c:v>81.530004886189204</c:v>
                </c:pt>
                <c:pt idx="5">
                  <c:v>80.071634336582761</c:v>
                </c:pt>
                <c:pt idx="6">
                  <c:v>79.731279286309771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BB-4A80-8794-06C2EF2D9B02}"/>
            </c:ext>
          </c:extLst>
        </c:ser>
        <c:ser>
          <c:idx val="2"/>
          <c:order val="2"/>
          <c:tx>
            <c:strRef>
              <c:f>'Laskenta tulopuoli 150'!$W$76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150'!$X$76:$X$82</c:f>
              <c:numCache>
                <c:formatCode>0.0</c:formatCode>
                <c:ptCount val="7"/>
                <c:pt idx="0">
                  <c:v>84.357257896408399</c:v>
                </c:pt>
                <c:pt idx="1">
                  <c:v>78.503845274925567</c:v>
                </c:pt>
                <c:pt idx="2">
                  <c:v>65.600686333526227</c:v>
                </c:pt>
                <c:pt idx="3">
                  <c:v>84.276112176172617</c:v>
                </c:pt>
                <c:pt idx="4">
                  <c:v>78.366665869479021</c:v>
                </c:pt>
                <c:pt idx="5">
                  <c:v>71.9434750225589</c:v>
                </c:pt>
                <c:pt idx="6">
                  <c:v>65.492862624326236</c:v>
                </c:pt>
              </c:numCache>
            </c:numRef>
          </c:xVal>
          <c:yVal>
            <c:numRef>
              <c:f>'Laskenta tulopuoli 150'!$Y$76:$Y$82</c:f>
              <c:numCache>
                <c:formatCode>0.0</c:formatCode>
                <c:ptCount val="7"/>
                <c:pt idx="0">
                  <c:v>39.263936860617122</c:v>
                </c:pt>
                <c:pt idx="1">
                  <c:v>39.205095983284998</c:v>
                </c:pt>
                <c:pt idx="2">
                  <c:v>38.567327276797485</c:v>
                </c:pt>
                <c:pt idx="3">
                  <c:v>39.708361053428277</c:v>
                </c:pt>
                <c:pt idx="4">
                  <c:v>39.612367593859325</c:v>
                </c:pt>
                <c:pt idx="5">
                  <c:v>39.564974448031926</c:v>
                </c:pt>
                <c:pt idx="6">
                  <c:v>38.97346583117239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BB-4A80-8794-06C2EF2D9B02}"/>
            </c:ext>
          </c:extLst>
        </c:ser>
        <c:ser>
          <c:idx val="3"/>
          <c:order val="3"/>
          <c:tx>
            <c:strRef>
              <c:f>'Laskenta tulopuoli 150'!$W$84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150'!$X$84:$X$90</c:f>
              <c:numCache>
                <c:formatCode>0.0</c:formatCode>
                <c:ptCount val="7"/>
                <c:pt idx="0">
                  <c:v>45.043697488606703</c:v>
                </c:pt>
                <c:pt idx="1">
                  <c:v>42.867192759507176</c:v>
                </c:pt>
                <c:pt idx="2">
                  <c:v>40.200875313800047</c:v>
                </c:pt>
                <c:pt idx="3">
                  <c:v>45.056263579141628</c:v>
                </c:pt>
                <c:pt idx="4">
                  <c:v>42.835910101814022</c:v>
                </c:pt>
                <c:pt idx="5">
                  <c:v>40.04683467591375</c:v>
                </c:pt>
                <c:pt idx="6">
                  <c:v>36.610447186451644</c:v>
                </c:pt>
              </c:numCache>
            </c:numRef>
          </c:xVal>
          <c:yVal>
            <c:numRef>
              <c:f>'Laskenta tulopuoli 150'!$Y$84:$Y$90</c:f>
              <c:numCache>
                <c:formatCode>0.0</c:formatCode>
                <c:ptCount val="7"/>
                <c:pt idx="0">
                  <c:v>12.340574913574338</c:v>
                </c:pt>
                <c:pt idx="1">
                  <c:v>12.170740859137242</c:v>
                </c:pt>
                <c:pt idx="2">
                  <c:v>12.068060072659554</c:v>
                </c:pt>
                <c:pt idx="3">
                  <c:v>12.47957178325729</c:v>
                </c:pt>
                <c:pt idx="4">
                  <c:v>12.297721047662893</c:v>
                </c:pt>
                <c:pt idx="5">
                  <c:v>12.206532294709383</c:v>
                </c:pt>
                <c:pt idx="6">
                  <c:v>12.062555970967841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BB-4A80-8794-06C2EF2D9B0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150'!$AC$34:$AC$38</c:f>
              <c:numCache>
                <c:formatCode>0.0</c:formatCode>
                <c:ptCount val="5"/>
                <c:pt idx="0">
                  <c:v>34.212570957609081</c:v>
                </c:pt>
                <c:pt idx="1">
                  <c:v>26.496196110646245</c:v>
                </c:pt>
                <c:pt idx="2">
                  <c:v>19.393562849961011</c:v>
                </c:pt>
                <c:pt idx="3">
                  <c:v>10.314164696724212</c:v>
                </c:pt>
              </c:numCache>
            </c:numRef>
          </c:xVal>
          <c:yVal>
            <c:numRef>
              <c:f>'Laskenta tulopuoli 150'!$AE$34:$AE$37</c:f>
              <c:numCache>
                <c:formatCode>0.0</c:formatCode>
                <c:ptCount val="4"/>
                <c:pt idx="0">
                  <c:v>165.71018437445142</c:v>
                </c:pt>
                <c:pt idx="1">
                  <c:v>59.750708614635982</c:v>
                </c:pt>
                <c:pt idx="2">
                  <c:v>25.788137184931202</c:v>
                </c:pt>
                <c:pt idx="3">
                  <c:v>15.494953272939759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BBB-4A80-8794-06C2EF2D9B0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150'!$W$16</c:f>
              <c:numCache>
                <c:formatCode>0.0</c:formatCode>
                <c:ptCount val="1"/>
                <c:pt idx="0">
                  <c:v>19.377188683385015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BBB-4A80-8794-06C2EF2D9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150'!$AB$6:$AB$12</c:f>
              <c:numCache>
                <c:formatCode>0.0</c:formatCode>
                <c:ptCount val="7"/>
                <c:pt idx="0">
                  <c:v>163.27621827727629</c:v>
                </c:pt>
                <c:pt idx="1">
                  <c:v>155.01781265788924</c:v>
                </c:pt>
                <c:pt idx="2">
                  <c:v>145.37230967576792</c:v>
                </c:pt>
                <c:pt idx="3">
                  <c:v>137.09553750932855</c:v>
                </c:pt>
                <c:pt idx="4">
                  <c:v>127.42853528220249</c:v>
                </c:pt>
                <c:pt idx="5">
                  <c:v>123.28197466777817</c:v>
                </c:pt>
                <c:pt idx="6">
                  <c:v>113.59833638037064</c:v>
                </c:pt>
              </c:numCache>
            </c:numRef>
          </c:xVal>
          <c:yVal>
            <c:numRef>
              <c:f>'Laskenta tulopuoli 150'!$AA$6:$AA$12</c:f>
              <c:numCache>
                <c:formatCode>0.0</c:formatCode>
                <c:ptCount val="7"/>
                <c:pt idx="0">
                  <c:v>60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350</c:v>
                </c:pt>
                <c:pt idx="6">
                  <c:v>420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66-40DA-964B-E50AD46D480B}"/>
            </c:ext>
          </c:extLst>
        </c:ser>
        <c:ser>
          <c:idx val="1"/>
          <c:order val="1"/>
          <c:tx>
            <c:strRef>
              <c:f>'Laskenta tulopuoli 150'!$AC$4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150'!$AD$6:$AD$12</c:f>
              <c:numCache>
                <c:formatCode>0.0</c:formatCode>
                <c:ptCount val="7"/>
                <c:pt idx="0">
                  <c:v>119.61125525000722</c:v>
                </c:pt>
                <c:pt idx="1">
                  <c:v>117.54420481108893</c:v>
                </c:pt>
                <c:pt idx="2">
                  <c:v>107.51569663316263</c:v>
                </c:pt>
                <c:pt idx="3">
                  <c:v>97.947292697105993</c:v>
                </c:pt>
                <c:pt idx="4">
                  <c:v>94.235341332553887</c:v>
                </c:pt>
                <c:pt idx="5">
                  <c:v>90.584425650551594</c:v>
                </c:pt>
                <c:pt idx="6">
                  <c:v>81.705583352655495</c:v>
                </c:pt>
              </c:numCache>
            </c:numRef>
          </c:xVal>
          <c:yVal>
            <c:numRef>
              <c:f>'Laskenta tulopuoli 150'!$AC$6:$AC$12</c:f>
              <c:numCache>
                <c:formatCode>0.0</c:formatCode>
                <c:ptCount val="7"/>
                <c:pt idx="0">
                  <c:v>40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66-40DA-964B-E50AD46D480B}"/>
            </c:ext>
          </c:extLst>
        </c:ser>
        <c:ser>
          <c:idx val="2"/>
          <c:order val="2"/>
          <c:tx>
            <c:strRef>
              <c:f>'Laskenta tulopuoli 150'!$AE$4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150'!$AF$6:$AF$11</c:f>
              <c:numCache>
                <c:formatCode>0.0</c:formatCode>
                <c:ptCount val="6"/>
                <c:pt idx="0">
                  <c:v>85.871546877565663</c:v>
                </c:pt>
                <c:pt idx="1">
                  <c:v>82.320877538980454</c:v>
                </c:pt>
                <c:pt idx="2">
                  <c:v>77.614114597794</c:v>
                </c:pt>
                <c:pt idx="3">
                  <c:v>72.938172794171322</c:v>
                </c:pt>
                <c:pt idx="4">
                  <c:v>68.292454467686269</c:v>
                </c:pt>
                <c:pt idx="5">
                  <c:v>61.379285336312044</c:v>
                </c:pt>
              </c:numCache>
            </c:numRef>
          </c:xVal>
          <c:yVal>
            <c:numRef>
              <c:f>'Laskenta tulopuoli 150'!$AE$6:$AE$11</c:f>
              <c:numCache>
                <c:formatCode>0.0</c:formatCode>
                <c:ptCount val="6"/>
                <c:pt idx="0">
                  <c:v>25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66-40DA-964B-E50AD46D480B}"/>
            </c:ext>
          </c:extLst>
        </c:ser>
        <c:ser>
          <c:idx val="3"/>
          <c:order val="3"/>
          <c:tx>
            <c:strRef>
              <c:f>'Laskenta tulopuoli 150'!$AG$4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150'!$AH$6:$AH$10</c:f>
              <c:numCache>
                <c:formatCode>0.0</c:formatCode>
                <c:ptCount val="5"/>
                <c:pt idx="0">
                  <c:v>45.102913284775056</c:v>
                </c:pt>
                <c:pt idx="1">
                  <c:v>41.773612621820391</c:v>
                </c:pt>
                <c:pt idx="2">
                  <c:v>40.043863570173315</c:v>
                </c:pt>
                <c:pt idx="3">
                  <c:v>38.265905843604642</c:v>
                </c:pt>
                <c:pt idx="4">
                  <c:v>30.575525636930571</c:v>
                </c:pt>
              </c:numCache>
            </c:numRef>
          </c:xVal>
          <c:yVal>
            <c:numRef>
              <c:f>'Laskenta tulopuoli 150'!$AG$6:$AG$10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766-40DA-964B-E50AD46D480B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tulopuoli 150'!$L$3</c:f>
              <c:numCache>
                <c:formatCode>General</c:formatCode>
                <c:ptCount val="1"/>
                <c:pt idx="0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766-40DA-964B-E50AD46D480B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150'!$AC$34:$AC$37</c:f>
              <c:numCache>
                <c:formatCode>0.0</c:formatCode>
                <c:ptCount val="4"/>
                <c:pt idx="0">
                  <c:v>34.212570957609081</c:v>
                </c:pt>
                <c:pt idx="1">
                  <c:v>26.496196110646245</c:v>
                </c:pt>
                <c:pt idx="2">
                  <c:v>19.393562849961011</c:v>
                </c:pt>
                <c:pt idx="3">
                  <c:v>10.314164696724212</c:v>
                </c:pt>
              </c:numCache>
            </c:numRef>
          </c:xVal>
          <c:yVal>
            <c:numRef>
              <c:f>'Laskenta tulopuoli 150'!$AD$34:$AD$37</c:f>
              <c:numCache>
                <c:formatCode>0.0</c:formatCode>
                <c:ptCount val="4"/>
                <c:pt idx="0">
                  <c:v>990.67298934997518</c:v>
                </c:pt>
                <c:pt idx="1">
                  <c:v>594.19084878408978</c:v>
                </c:pt>
                <c:pt idx="2">
                  <c:v>318.32745985302392</c:v>
                </c:pt>
                <c:pt idx="3">
                  <c:v>90.038245508527766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766-40DA-964B-E50AD46D4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('Laskenta tulopuoli 150'!$X$59,'Laskenta tulopuoli 150'!$X$68,'Laskenta tulopuoli 150'!$X$76,'Laskenta tulopuoli 150'!$X$84)</c:f>
              <c:numCache>
                <c:formatCode>0.0</c:formatCode>
                <c:ptCount val="4"/>
                <c:pt idx="0">
                  <c:v>157.28305069533172</c:v>
                </c:pt>
                <c:pt idx="1">
                  <c:v>115.79564526412705</c:v>
                </c:pt>
                <c:pt idx="2">
                  <c:v>84.357257896408399</c:v>
                </c:pt>
                <c:pt idx="3">
                  <c:v>45.043697488606703</c:v>
                </c:pt>
              </c:numCache>
            </c:numRef>
          </c:xVal>
          <c:yVal>
            <c:numRef>
              <c:f>('Laskenta tulopuoli 150'!$Y$59,'Laskenta tulopuoli 150'!$Y$68,'Laskenta tulopuoli 150'!$Y$76,'Laskenta tulopuoli 150'!$Y$84)</c:f>
              <c:numCache>
                <c:formatCode>0.0</c:formatCode>
                <c:ptCount val="4"/>
                <c:pt idx="0">
                  <c:v>166.48112332133923</c:v>
                </c:pt>
                <c:pt idx="1">
                  <c:v>80.608112872381284</c:v>
                </c:pt>
                <c:pt idx="2">
                  <c:v>39.263936860617122</c:v>
                </c:pt>
                <c:pt idx="3">
                  <c:v>12.340574913574338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8A-4BA9-AC19-2AA248B21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751088"/>
        <c:axId val="660751416"/>
      </c:scatterChart>
      <c:valAx>
        <c:axId val="660751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751416"/>
        <c:crosses val="autoZero"/>
        <c:crossBetween val="midCat"/>
      </c:valAx>
      <c:valAx>
        <c:axId val="66075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751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2.4864297368234377E-2"/>
                  <c:y val="0.200411712307563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150'!$D$59:$D$62</c:f>
              <c:numCache>
                <c:formatCode>0.0</c:formatCode>
                <c:ptCount val="4"/>
                <c:pt idx="0">
                  <c:v>177.37307385653068</c:v>
                </c:pt>
                <c:pt idx="1">
                  <c:v>163.0789877970802</c:v>
                </c:pt>
                <c:pt idx="2">
                  <c:v>150.05253955002848</c:v>
                </c:pt>
                <c:pt idx="3">
                  <c:v>139.45609818368541</c:v>
                </c:pt>
              </c:numCache>
            </c:numRef>
          </c:xVal>
          <c:yVal>
            <c:numRef>
              <c:f>'Laskenta poistopuoli 150'!$E$59:$E$62</c:f>
              <c:numCache>
                <c:formatCode>0.0</c:formatCode>
                <c:ptCount val="4"/>
                <c:pt idx="0">
                  <c:v>59.060591218014309</c:v>
                </c:pt>
                <c:pt idx="1">
                  <c:v>58.487634881019723</c:v>
                </c:pt>
                <c:pt idx="2">
                  <c:v>58.850988893487546</c:v>
                </c:pt>
                <c:pt idx="3">
                  <c:v>57.67195124759094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20-4250-95A4-78DAB15A76A7}"/>
            </c:ext>
          </c:extLst>
        </c:ser>
        <c:ser>
          <c:idx val="1"/>
          <c:order val="1"/>
          <c:tx>
            <c:strRef>
              <c:f>'Laskenta poistopuoli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2813232129767563"/>
                  <c:y val="0.184368556889940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150'!$D$64:$D$67</c:f>
              <c:numCache>
                <c:formatCode>0.0</c:formatCode>
                <c:ptCount val="4"/>
                <c:pt idx="0">
                  <c:v>128.90693428688564</c:v>
                </c:pt>
                <c:pt idx="1">
                  <c:v>118.92053609192801</c:v>
                </c:pt>
                <c:pt idx="2">
                  <c:v>108.09236183775965</c:v>
                </c:pt>
                <c:pt idx="3">
                  <c:v>97.637725898629455</c:v>
                </c:pt>
              </c:numCache>
            </c:numRef>
          </c:xVal>
          <c:yVal>
            <c:numRef>
              <c:f>'Laskenta poistopuoli 150'!$E$64:$E$67</c:f>
              <c:numCache>
                <c:formatCode>0.0</c:formatCode>
                <c:ptCount val="4"/>
                <c:pt idx="0">
                  <c:v>54.451504598514305</c:v>
                </c:pt>
                <c:pt idx="1">
                  <c:v>54.067114966227088</c:v>
                </c:pt>
                <c:pt idx="2">
                  <c:v>55.01792182177379</c:v>
                </c:pt>
                <c:pt idx="3">
                  <c:v>54.297349049625566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20-4250-95A4-78DAB15A76A7}"/>
            </c:ext>
          </c:extLst>
        </c:ser>
        <c:ser>
          <c:idx val="2"/>
          <c:order val="2"/>
          <c:tx>
            <c:strRef>
              <c:f>'Laskenta poistopuoli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9.0959684093542409E-2"/>
                  <c:y val="0.1950959713504456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150'!$D$69:$D$72</c:f>
              <c:numCache>
                <c:formatCode>0.0</c:formatCode>
                <c:ptCount val="4"/>
                <c:pt idx="0">
                  <c:v>96.446026922929775</c:v>
                </c:pt>
                <c:pt idx="1">
                  <c:v>89.482984390049424</c:v>
                </c:pt>
                <c:pt idx="2">
                  <c:v>81.913305263117934</c:v>
                </c:pt>
                <c:pt idx="3">
                  <c:v>74.605066551746319</c:v>
                </c:pt>
              </c:numCache>
            </c:numRef>
          </c:xVal>
          <c:yVal>
            <c:numRef>
              <c:f>'Laskenta poistopuoli 150'!$E$69:$E$72</c:f>
              <c:numCache>
                <c:formatCode>0.0</c:formatCode>
                <c:ptCount val="4"/>
                <c:pt idx="0">
                  <c:v>50.705217763769895</c:v>
                </c:pt>
                <c:pt idx="1">
                  <c:v>49.862182652532596</c:v>
                </c:pt>
                <c:pt idx="2">
                  <c:v>49.69054596207009</c:v>
                </c:pt>
                <c:pt idx="3">
                  <c:v>49.842714107243317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20-4250-95A4-78DAB15A76A7}"/>
            </c:ext>
          </c:extLst>
        </c:ser>
        <c:ser>
          <c:idx val="3"/>
          <c:order val="3"/>
          <c:tx>
            <c:strRef>
              <c:f>'Laskenta poistopuoli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5"/>
            <c:dispRSqr val="1"/>
            <c:dispEq val="1"/>
            <c:trendlineLbl>
              <c:layout>
                <c:manualLayout>
                  <c:x val="0.23805178406753211"/>
                  <c:y val="9.54278764026631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150'!$D$74:$D$77</c:f>
              <c:numCache>
                <c:formatCode>0.0</c:formatCode>
                <c:ptCount val="4"/>
                <c:pt idx="0">
                  <c:v>52.691549157468963</c:v>
                </c:pt>
                <c:pt idx="1">
                  <c:v>50.633657357814492</c:v>
                </c:pt>
                <c:pt idx="2">
                  <c:v>47.425486734660552</c:v>
                </c:pt>
                <c:pt idx="3">
                  <c:v>43.955253994144648</c:v>
                </c:pt>
              </c:numCache>
            </c:numRef>
          </c:xVal>
          <c:yVal>
            <c:numRef>
              <c:f>'Laskenta poistopuoli 150'!$E$74:$E$77</c:f>
              <c:numCache>
                <c:formatCode>0.0</c:formatCode>
                <c:ptCount val="4"/>
                <c:pt idx="0">
                  <c:v>41.380052436275669</c:v>
                </c:pt>
                <c:pt idx="1">
                  <c:v>41.607142667549759</c:v>
                </c:pt>
                <c:pt idx="2">
                  <c:v>42.11228816912228</c:v>
                </c:pt>
                <c:pt idx="3">
                  <c:v>41.40651007171919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F20-4250-95A4-78DAB15A76A7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20-4250-95A4-78DAB15A76A7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F20-4250-95A4-78DAB15A76A7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7356411529639876"/>
                  <c:y val="-8.642336735740974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150'!$AC$34:$AC$36</c:f>
              <c:numCache>
                <c:formatCode>0.0</c:formatCode>
                <c:ptCount val="3"/>
                <c:pt idx="0">
                  <c:v>39.639302044342131</c:v>
                </c:pt>
                <c:pt idx="1">
                  <c:v>23.191083611046146</c:v>
                </c:pt>
                <c:pt idx="2">
                  <c:v>18.245625510484953</c:v>
                </c:pt>
              </c:numCache>
            </c:numRef>
          </c:xVal>
          <c:yVal>
            <c:numRef>
              <c:f>'Laskenta poistopuoli 150'!$AF$34:$AF$36</c:f>
              <c:numCache>
                <c:formatCode>0.0</c:formatCode>
                <c:ptCount val="3"/>
                <c:pt idx="0">
                  <c:v>41.917066969959969</c:v>
                </c:pt>
                <c:pt idx="1">
                  <c:v>48.237622825250142</c:v>
                </c:pt>
                <c:pt idx="2">
                  <c:v>47.508278932254314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F20-4250-95A4-78DAB15A76A7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150'!$W$5</c:f>
              <c:numCache>
                <c:formatCode>0.0</c:formatCode>
                <c:ptCount val="1"/>
                <c:pt idx="0">
                  <c:v>42.420905312295687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F20-4250-95A4-78DAB15A76A7}"/>
            </c:ext>
          </c:extLst>
        </c:ser>
        <c:ser>
          <c:idx val="6"/>
          <c:order val="6"/>
          <c:tx>
            <c:v>3-5V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7861767279090113E-2"/>
                  <c:y val="-0.14231798038923177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23.191083611046146</c:v>
                </c:pt>
                <c:pt idx="1">
                  <c:v>18.245625510484953</c:v>
                </c:pt>
                <c:pt idx="2">
                  <c:v>9.5787644566302692</c:v>
                </c:pt>
              </c:numCache>
            </c:numRef>
          </c:xVal>
          <c:yVal>
            <c:numRef>
              <c:f>'Laskenta poistopuoli 150'!$AF$35:$AF$37</c:f>
              <c:numCache>
                <c:formatCode>0.0</c:formatCode>
                <c:ptCount val="3"/>
                <c:pt idx="0">
                  <c:v>48.237622825250142</c:v>
                </c:pt>
                <c:pt idx="1">
                  <c:v>47.508278932254314</c:v>
                </c:pt>
                <c:pt idx="2">
                  <c:v>42.158869843220558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F20-4250-95A4-78DAB15A7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2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8.6096276494048666E-4"/>
                  <c:y val="0.21036261209017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150'!$N$59:$N$62</c:f>
              <c:numCache>
                <c:formatCode>0.0</c:formatCode>
                <c:ptCount val="4"/>
                <c:pt idx="0">
                  <c:v>177.73570182908642</c:v>
                </c:pt>
                <c:pt idx="1">
                  <c:v>163.49986992681139</c:v>
                </c:pt>
                <c:pt idx="2">
                  <c:v>150.93715952891725</c:v>
                </c:pt>
                <c:pt idx="3">
                  <c:v>139.8137012360778</c:v>
                </c:pt>
              </c:numCache>
            </c:numRef>
          </c:xVal>
          <c:yVal>
            <c:numRef>
              <c:f>'Laskenta poistopuoli 150'!$O$59:$O$62</c:f>
              <c:numCache>
                <c:formatCode>0.0</c:formatCode>
                <c:ptCount val="4"/>
                <c:pt idx="0">
                  <c:v>75.33438936131401</c:v>
                </c:pt>
                <c:pt idx="1">
                  <c:v>74.723775090917528</c:v>
                </c:pt>
                <c:pt idx="2">
                  <c:v>74.042236453158083</c:v>
                </c:pt>
                <c:pt idx="3">
                  <c:v>73.327605236408132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3B-4646-ABDE-B17CA8A22455}"/>
            </c:ext>
          </c:extLst>
        </c:ser>
        <c:ser>
          <c:idx val="1"/>
          <c:order val="1"/>
          <c:tx>
            <c:strRef>
              <c:f>'Laskenta poistopuoli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150'!$N$64:$N$67</c:f>
              <c:numCache>
                <c:formatCode>0.0</c:formatCode>
                <c:ptCount val="4"/>
                <c:pt idx="0">
                  <c:v>129.19990627446921</c:v>
                </c:pt>
                <c:pt idx="1">
                  <c:v>118.49379513279769</c:v>
                </c:pt>
                <c:pt idx="2">
                  <c:v>107.73788615282413</c:v>
                </c:pt>
                <c:pt idx="3">
                  <c:v>96.456384991227822</c:v>
                </c:pt>
              </c:numCache>
            </c:numRef>
          </c:xVal>
          <c:yVal>
            <c:numRef>
              <c:f>'Laskenta poistopuoli 150'!$O$64:$O$67</c:f>
              <c:numCache>
                <c:formatCode>0.0</c:formatCode>
                <c:ptCount val="4"/>
                <c:pt idx="0">
                  <c:v>71.015258117342043</c:v>
                </c:pt>
                <c:pt idx="1">
                  <c:v>69.207392594698533</c:v>
                </c:pt>
                <c:pt idx="2">
                  <c:v>69.667473858703929</c:v>
                </c:pt>
                <c:pt idx="3">
                  <c:v>68.747405149388015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3B-4646-ABDE-B17CA8A22455}"/>
            </c:ext>
          </c:extLst>
        </c:ser>
        <c:ser>
          <c:idx val="2"/>
          <c:order val="2"/>
          <c:tx>
            <c:strRef>
              <c:f>'Laskenta poistopuoli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150'!$N$69:$N$72</c:f>
              <c:numCache>
                <c:formatCode>0.0</c:formatCode>
                <c:ptCount val="4"/>
                <c:pt idx="0">
                  <c:v>96.677155462994648</c:v>
                </c:pt>
                <c:pt idx="1">
                  <c:v>89.050003982355406</c:v>
                </c:pt>
                <c:pt idx="2">
                  <c:v>81.113386537818101</c:v>
                </c:pt>
                <c:pt idx="3">
                  <c:v>73.662533531132837</c:v>
                </c:pt>
              </c:numCache>
            </c:numRef>
          </c:xVal>
          <c:yVal>
            <c:numRef>
              <c:f>'Laskenta poistopuoli 150'!$O$69:$O$72</c:f>
              <c:numCache>
                <c:formatCode>0.0</c:formatCode>
                <c:ptCount val="4"/>
                <c:pt idx="0">
                  <c:v>63.474654182224072</c:v>
                </c:pt>
                <c:pt idx="1">
                  <c:v>63.121110432341567</c:v>
                </c:pt>
                <c:pt idx="2">
                  <c:v>62.964148018821327</c:v>
                </c:pt>
                <c:pt idx="3">
                  <c:v>62.499440267629495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83B-4646-ABDE-B17CA8A22455}"/>
            </c:ext>
          </c:extLst>
        </c:ser>
        <c:ser>
          <c:idx val="3"/>
          <c:order val="3"/>
          <c:tx>
            <c:strRef>
              <c:f>'Laskenta poistopuoli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150'!$N$74:$N$77</c:f>
              <c:numCache>
                <c:formatCode>0.0</c:formatCode>
                <c:ptCount val="4"/>
                <c:pt idx="0">
                  <c:v>52.674432772712962</c:v>
                </c:pt>
                <c:pt idx="1">
                  <c:v>50.314053190972899</c:v>
                </c:pt>
                <c:pt idx="2">
                  <c:v>47.062148526651839</c:v>
                </c:pt>
                <c:pt idx="3">
                  <c:v>43.017634077035808</c:v>
                </c:pt>
              </c:numCache>
            </c:numRef>
          </c:xVal>
          <c:yVal>
            <c:numRef>
              <c:f>'Laskenta poistopuoli 150'!$O$74:$O$77</c:f>
              <c:numCache>
                <c:formatCode>0.0</c:formatCode>
                <c:ptCount val="4"/>
                <c:pt idx="0">
                  <c:v>52.459873209173018</c:v>
                </c:pt>
                <c:pt idx="1">
                  <c:v>51.838959953428834</c:v>
                </c:pt>
                <c:pt idx="2">
                  <c:v>51.742817256488848</c:v>
                </c:pt>
                <c:pt idx="3">
                  <c:v>51.013721065119356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83B-4646-ABDE-B17CA8A2245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733499720590898"/>
                  <c:y val="-7.756739207480754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150'!$AC$34:$AC$36</c:f>
              <c:numCache>
                <c:formatCode>0.0</c:formatCode>
                <c:ptCount val="3"/>
                <c:pt idx="0">
                  <c:v>39.639302044342131</c:v>
                </c:pt>
                <c:pt idx="1">
                  <c:v>23.191083611046146</c:v>
                </c:pt>
                <c:pt idx="2">
                  <c:v>18.245625510484953</c:v>
                </c:pt>
              </c:numCache>
            </c:numRef>
          </c:xVal>
          <c:yVal>
            <c:numRef>
              <c:f>'Laskenta poistopuoli 150'!$AG$34:$AG$36</c:f>
              <c:numCache>
                <c:formatCode>0.0</c:formatCode>
                <c:ptCount val="3"/>
                <c:pt idx="0">
                  <c:v>62.17419296075208</c:v>
                </c:pt>
                <c:pt idx="1">
                  <c:v>79.16005415267621</c:v>
                </c:pt>
                <c:pt idx="2">
                  <c:v>58.147003482051552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83B-4646-ABDE-B17CA8A2245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150'!$W$8</c:f>
              <c:numCache>
                <c:formatCode>0.0</c:formatCode>
                <c:ptCount val="1"/>
                <c:pt idx="0">
                  <c:v>45.781094934076748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83B-4646-ABDE-B17CA8A22455}"/>
            </c:ext>
          </c:extLst>
        </c:ser>
        <c:ser>
          <c:idx val="6"/>
          <c:order val="6"/>
          <c:tx>
            <c:v>3-6,5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707132560351225"/>
                  <c:y val="3.7450341433633216E-3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23.191083611046146</c:v>
                </c:pt>
                <c:pt idx="1">
                  <c:v>18.245625510484953</c:v>
                </c:pt>
                <c:pt idx="2">
                  <c:v>9.5787644566302692</c:v>
                </c:pt>
              </c:numCache>
            </c:numRef>
          </c:xVal>
          <c:yVal>
            <c:numRef>
              <c:f>'Laskenta poistopuoli 150'!$AG$35:$AG$37</c:f>
              <c:numCache>
                <c:formatCode>0.0</c:formatCode>
                <c:ptCount val="3"/>
                <c:pt idx="0">
                  <c:v>79.16005415267621</c:v>
                </c:pt>
                <c:pt idx="1">
                  <c:v>58.147003482051552</c:v>
                </c:pt>
                <c:pt idx="2">
                  <c:v>47.402498000270981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83B-4646-ABDE-B17CA8A22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8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55366704954692"/>
                  <c:y val="6.15187971392051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150'!$AJ$34:$AJ$35</c:f>
              <c:numCache>
                <c:formatCode>0.0</c:formatCode>
                <c:ptCount val="2"/>
                <c:pt idx="0">
                  <c:v>39.639302044342131</c:v>
                </c:pt>
                <c:pt idx="1">
                  <c:v>23.191083611046146</c:v>
                </c:pt>
              </c:numCache>
            </c:numRef>
          </c:xVal>
          <c:yVal>
            <c:numRef>
              <c:f>'Laskenta poistopuoli 150'!$AI$34:$AI$35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94-43F7-8FFB-AA87D7162021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150'!$W$12</c:f>
              <c:numCache>
                <c:formatCode>0.0</c:formatCode>
                <c:ptCount val="1"/>
                <c:pt idx="0">
                  <c:v>2.9824772534881201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94-43F7-8FFB-AA87D7162021}"/>
            </c:ext>
          </c:extLst>
        </c:ser>
        <c:ser>
          <c:idx val="2"/>
          <c:order val="2"/>
          <c:tx>
            <c:v>3-6,5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23.191083611046146</c:v>
                </c:pt>
                <c:pt idx="1">
                  <c:v>18.245625510484953</c:v>
                </c:pt>
                <c:pt idx="2">
                  <c:v>9.5787644566302692</c:v>
                </c:pt>
              </c:numCache>
            </c:numRef>
          </c:xVal>
          <c:yVal>
            <c:numRef>
              <c:f>'Laskenta poistopuoli 150'!$U$35:$U$37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94-43F7-8FFB-AA87D7162021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150'!$AL$36</c:f>
              <c:numCache>
                <c:formatCode>0.0</c:formatCode>
                <c:ptCount val="1"/>
                <c:pt idx="0">
                  <c:v>11.666666666666666</c:v>
                </c:pt>
              </c:numCache>
            </c:numRef>
          </c:xVal>
          <c:yVal>
            <c:numRef>
              <c:f>'Laskenta poistopuoli 150'!$AO$36</c:f>
              <c:numCache>
                <c:formatCode>0.0</c:formatCode>
                <c:ptCount val="1"/>
                <c:pt idx="0">
                  <c:v>3.4766305731407185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42-4A4C-A912-64808724B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C5'!$P$23:$P$38</c:f>
              <c:numCache>
                <c:formatCode>0.000</c:formatCode>
                <c:ptCount val="16"/>
                <c:pt idx="0">
                  <c:v>4.6922380111074106E-4</c:v>
                </c:pt>
                <c:pt idx="1">
                  <c:v>1.1209100075275313E-3</c:v>
                </c:pt>
                <c:pt idx="2">
                  <c:v>2.5167069131668985E-3</c:v>
                </c:pt>
                <c:pt idx="3">
                  <c:v>5.3442602339547843E-3</c:v>
                </c:pt>
                <c:pt idx="4">
                  <c:v>4.6356462084177423E-4</c:v>
                </c:pt>
                <c:pt idx="5">
                  <c:v>1.1584910671669983E-3</c:v>
                </c:pt>
                <c:pt idx="6">
                  <c:v>2.5726352045864582E-3</c:v>
                </c:pt>
                <c:pt idx="7">
                  <c:v>6.2392403650575173E-3</c:v>
                </c:pt>
                <c:pt idx="8">
                  <c:v>4.764289228730012E-4</c:v>
                </c:pt>
                <c:pt idx="9">
                  <c:v>1.2473190328029799E-3</c:v>
                </c:pt>
                <c:pt idx="10">
                  <c:v>2.7534654133972896E-3</c:v>
                </c:pt>
                <c:pt idx="11">
                  <c:v>6.9169708764218549E-3</c:v>
                </c:pt>
                <c:pt idx="12">
                  <c:v>4.6787903161027303E-4</c:v>
                </c:pt>
                <c:pt idx="13">
                  <c:v>1.2150850310684693E-3</c:v>
                </c:pt>
                <c:pt idx="14">
                  <c:v>2.711603986132711E-3</c:v>
                </c:pt>
                <c:pt idx="15">
                  <c:v>7.0092621976853946E-3</c:v>
                </c:pt>
              </c:numCache>
            </c:numRef>
          </c:xVal>
          <c:yVal>
            <c:numRef>
              <c:f>'Laskenta vaipan läpi C5'!$S$23:$S$38</c:f>
              <c:numCache>
                <c:formatCode>0.0</c:formatCode>
                <c:ptCount val="16"/>
                <c:pt idx="0">
                  <c:v>-2.4129763200221106</c:v>
                </c:pt>
                <c:pt idx="1">
                  <c:v>-2.7310781848444492</c:v>
                </c:pt>
                <c:pt idx="2">
                  <c:v>-0.78175340062511367</c:v>
                </c:pt>
                <c:pt idx="3">
                  <c:v>3.0056027208076657</c:v>
                </c:pt>
                <c:pt idx="4">
                  <c:v>-1.3868456949423091</c:v>
                </c:pt>
                <c:pt idx="5">
                  <c:v>-0.88061202573069153</c:v>
                </c:pt>
                <c:pt idx="6">
                  <c:v>0.34536069392184032</c:v>
                </c:pt>
                <c:pt idx="7">
                  <c:v>4.4776668303363749</c:v>
                </c:pt>
                <c:pt idx="8">
                  <c:v>-2.7960692970633403</c:v>
                </c:pt>
                <c:pt idx="9">
                  <c:v>-1.582234930175801</c:v>
                </c:pt>
                <c:pt idx="10">
                  <c:v>1.3644111829520753</c:v>
                </c:pt>
                <c:pt idx="11">
                  <c:v>5.2027105968535921</c:v>
                </c:pt>
                <c:pt idx="12">
                  <c:v>-1.6183652056937134</c:v>
                </c:pt>
                <c:pt idx="13">
                  <c:v>-1.9350828897191406</c:v>
                </c:pt>
                <c:pt idx="14">
                  <c:v>-0.43142708493905957</c:v>
                </c:pt>
                <c:pt idx="15">
                  <c:v>2.1606930088843228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B3-4824-A069-74091713F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482752"/>
        <c:axId val="679466432"/>
      </c:scatterChart>
      <c:valAx>
        <c:axId val="679482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79466432"/>
        <c:crosses val="autoZero"/>
        <c:crossBetween val="midCat"/>
      </c:valAx>
      <c:valAx>
        <c:axId val="67946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79482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150'!$X$59:$X$66</c:f>
              <c:numCache>
                <c:formatCode>0.0</c:formatCode>
                <c:ptCount val="8"/>
                <c:pt idx="0">
                  <c:v>177.37307385653068</c:v>
                </c:pt>
                <c:pt idx="1">
                  <c:v>163.0789877970802</c:v>
                </c:pt>
                <c:pt idx="2">
                  <c:v>150.05253955002848</c:v>
                </c:pt>
                <c:pt idx="3">
                  <c:v>139.45609818368541</c:v>
                </c:pt>
                <c:pt idx="4">
                  <c:v>177.73570182908642</c:v>
                </c:pt>
                <c:pt idx="5">
                  <c:v>163.49986992681139</c:v>
                </c:pt>
                <c:pt idx="6">
                  <c:v>150.93715952891725</c:v>
                </c:pt>
                <c:pt idx="7">
                  <c:v>139.8137012360778</c:v>
                </c:pt>
              </c:numCache>
            </c:numRef>
          </c:xVal>
          <c:yVal>
            <c:numRef>
              <c:f>'Laskenta poistopuoli 150'!$Y$59:$Y$66</c:f>
              <c:numCache>
                <c:formatCode>0.0</c:formatCode>
                <c:ptCount val="8"/>
                <c:pt idx="0">
                  <c:v>168.54259322528048</c:v>
                </c:pt>
                <c:pt idx="1">
                  <c:v>167.59942656948792</c:v>
                </c:pt>
                <c:pt idx="2">
                  <c:v>169.17807377970442</c:v>
                </c:pt>
                <c:pt idx="3">
                  <c:v>169.16904544949875</c:v>
                </c:pt>
                <c:pt idx="4">
                  <c:v>166.12773047785547</c:v>
                </c:pt>
                <c:pt idx="5">
                  <c:v>166.43802423984073</c:v>
                </c:pt>
                <c:pt idx="6">
                  <c:v>167.04225955146646</c:v>
                </c:pt>
                <c:pt idx="7">
                  <c:v>166.27144487679067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75-46BD-B7C2-3EABC6167FF2}"/>
            </c:ext>
          </c:extLst>
        </c:ser>
        <c:ser>
          <c:idx val="1"/>
          <c:order val="1"/>
          <c:tx>
            <c:strRef>
              <c:f>'Laskenta poistopuoli 150'!$W$68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150'!$X$68:$X$74</c:f>
              <c:numCache>
                <c:formatCode>0.0</c:formatCode>
                <c:ptCount val="7"/>
                <c:pt idx="0">
                  <c:v>128.90693428688564</c:v>
                </c:pt>
                <c:pt idx="1">
                  <c:v>118.92053609192801</c:v>
                </c:pt>
                <c:pt idx="2">
                  <c:v>97.637725898629455</c:v>
                </c:pt>
                <c:pt idx="3">
                  <c:v>129.19990627446921</c:v>
                </c:pt>
                <c:pt idx="4">
                  <c:v>118.49379513279769</c:v>
                </c:pt>
                <c:pt idx="5">
                  <c:v>107.73788615282413</c:v>
                </c:pt>
                <c:pt idx="6">
                  <c:v>96.456384991227822</c:v>
                </c:pt>
              </c:numCache>
            </c:numRef>
          </c:xVal>
          <c:yVal>
            <c:numRef>
              <c:f>'Laskenta poistopuoli 150'!$Y$68:$Y$74</c:f>
              <c:numCache>
                <c:formatCode>0.0</c:formatCode>
                <c:ptCount val="7"/>
                <c:pt idx="0">
                  <c:v>74.820392141737685</c:v>
                </c:pt>
                <c:pt idx="1">
                  <c:v>75.833334962098107</c:v>
                </c:pt>
                <c:pt idx="2">
                  <c:v>75.029888520884157</c:v>
                </c:pt>
                <c:pt idx="3">
                  <c:v>74.664735053247043</c:v>
                </c:pt>
                <c:pt idx="4">
                  <c:v>75.607005937099942</c:v>
                </c:pt>
                <c:pt idx="5">
                  <c:v>75.008544459619515</c:v>
                </c:pt>
                <c:pt idx="6">
                  <c:v>76.147690977104276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75-46BD-B7C2-3EABC6167FF2}"/>
            </c:ext>
          </c:extLst>
        </c:ser>
        <c:ser>
          <c:idx val="2"/>
          <c:order val="2"/>
          <c:tx>
            <c:strRef>
              <c:f>'Laskenta poistopuoli 150'!$W$76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150'!$X$76:$X$82</c:f>
              <c:numCache>
                <c:formatCode>0.0</c:formatCode>
                <c:ptCount val="7"/>
                <c:pt idx="0">
                  <c:v>96.446026922929775</c:v>
                </c:pt>
                <c:pt idx="1">
                  <c:v>89.482984390049424</c:v>
                </c:pt>
                <c:pt idx="2">
                  <c:v>74.605066551746319</c:v>
                </c:pt>
                <c:pt idx="3">
                  <c:v>96.677155462994648</c:v>
                </c:pt>
                <c:pt idx="4">
                  <c:v>89.050003982355406</c:v>
                </c:pt>
                <c:pt idx="5">
                  <c:v>81.113386537818101</c:v>
                </c:pt>
                <c:pt idx="6">
                  <c:v>73.662533531132837</c:v>
                </c:pt>
              </c:numCache>
            </c:numRef>
          </c:xVal>
          <c:yVal>
            <c:numRef>
              <c:f>'Laskenta poistopuoli 150'!$Y$76:$Y$82</c:f>
              <c:numCache>
                <c:formatCode>0.0</c:formatCode>
                <c:ptCount val="7"/>
                <c:pt idx="0">
                  <c:v>37.521574862086936</c:v>
                </c:pt>
                <c:pt idx="1">
                  <c:v>38.03015416313044</c:v>
                </c:pt>
                <c:pt idx="2">
                  <c:v>37.553374474480925</c:v>
                </c:pt>
                <c:pt idx="3">
                  <c:v>37.671500566760479</c:v>
                </c:pt>
                <c:pt idx="4">
                  <c:v>38.131443787846948</c:v>
                </c:pt>
                <c:pt idx="5">
                  <c:v>38.111301196784787</c:v>
                </c:pt>
                <c:pt idx="6">
                  <c:v>37.03115401994468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75-46BD-B7C2-3EABC6167FF2}"/>
            </c:ext>
          </c:extLst>
        </c:ser>
        <c:ser>
          <c:idx val="3"/>
          <c:order val="3"/>
          <c:tx>
            <c:strRef>
              <c:f>'Laskenta poistopuoli 150'!$W$84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150'!$X$84:$X$90</c:f>
              <c:numCache>
                <c:formatCode>0.0</c:formatCode>
                <c:ptCount val="7"/>
                <c:pt idx="0">
                  <c:v>52.691549157468963</c:v>
                </c:pt>
                <c:pt idx="1">
                  <c:v>50.633657357814492</c:v>
                </c:pt>
                <c:pt idx="2">
                  <c:v>47.425486734660552</c:v>
                </c:pt>
                <c:pt idx="3">
                  <c:v>52.674432772712962</c:v>
                </c:pt>
                <c:pt idx="4">
                  <c:v>50.314053190972899</c:v>
                </c:pt>
                <c:pt idx="5">
                  <c:v>47.062148526651839</c:v>
                </c:pt>
                <c:pt idx="6">
                  <c:v>43.017634077035808</c:v>
                </c:pt>
              </c:numCache>
            </c:numRef>
          </c:xVal>
          <c:yVal>
            <c:numRef>
              <c:f>'Laskenta poistopuoli 150'!$Y$84:$Y$90</c:f>
              <c:numCache>
                <c:formatCode>0.0</c:formatCode>
                <c:ptCount val="7"/>
                <c:pt idx="0">
                  <c:v>12.146003600193032</c:v>
                </c:pt>
                <c:pt idx="1">
                  <c:v>12.05591376347108</c:v>
                </c:pt>
                <c:pt idx="2">
                  <c:v>12.128112153149525</c:v>
                </c:pt>
                <c:pt idx="3">
                  <c:v>12.163996986693864</c:v>
                </c:pt>
                <c:pt idx="4">
                  <c:v>12.018930654554175</c:v>
                </c:pt>
                <c:pt idx="5">
                  <c:v>12.057302090130493</c:v>
                </c:pt>
                <c:pt idx="6">
                  <c:v>11.924120066096666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75-46BD-B7C2-3EABC6167FF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150'!$AC$34:$AC$38</c:f>
              <c:numCache>
                <c:formatCode>0.0</c:formatCode>
                <c:ptCount val="5"/>
                <c:pt idx="0">
                  <c:v>39.639302044342131</c:v>
                </c:pt>
                <c:pt idx="1">
                  <c:v>23.191083611046146</c:v>
                </c:pt>
                <c:pt idx="2">
                  <c:v>18.245625510484953</c:v>
                </c:pt>
                <c:pt idx="3">
                  <c:v>9.5787644566302692</c:v>
                </c:pt>
              </c:numCache>
            </c:numRef>
          </c:xVal>
          <c:yVal>
            <c:numRef>
              <c:f>'Laskenta poistopuoli 150'!$AE$34:$AE$37</c:f>
              <c:numCache>
                <c:formatCode>0.0</c:formatCode>
                <c:ptCount val="4"/>
                <c:pt idx="0">
                  <c:v>173.31107883593776</c:v>
                </c:pt>
                <c:pt idx="1">
                  <c:v>66.759608644955676</c:v>
                </c:pt>
                <c:pt idx="2">
                  <c:v>10.639860620888896</c:v>
                </c:pt>
                <c:pt idx="3">
                  <c:v>9.915290620818503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75-46BD-B7C2-3EABC6167FF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150'!$W$16</c:f>
              <c:numCache>
                <c:formatCode>0.0</c:formatCode>
                <c:ptCount val="1"/>
                <c:pt idx="0">
                  <c:v>5.4141664971775789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175-46BD-B7C2-3EABC6167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150'!$AB$6:$AB$12</c:f>
              <c:numCache>
                <c:formatCode>0.0</c:formatCode>
                <c:ptCount val="7"/>
                <c:pt idx="0">
                  <c:v>179.11691580328477</c:v>
                </c:pt>
                <c:pt idx="1">
                  <c:v>174.89861666422897</c:v>
                </c:pt>
                <c:pt idx="2">
                  <c:v>162.27597672313368</c:v>
                </c:pt>
                <c:pt idx="3">
                  <c:v>153.16260121404989</c:v>
                </c:pt>
                <c:pt idx="4">
                  <c:v>143.78770801919913</c:v>
                </c:pt>
                <c:pt idx="5">
                  <c:v>135.37071942904149</c:v>
                </c:pt>
                <c:pt idx="6">
                  <c:v>128.73037088287538</c:v>
                </c:pt>
              </c:numCache>
            </c:numRef>
          </c:xVal>
          <c:yVal>
            <c:numRef>
              <c:f>'Laskenta poistopuoli 150'!$AA$6:$AA$12</c:f>
              <c:numCache>
                <c:formatCode>0.0</c:formatCode>
                <c:ptCount val="7"/>
                <c:pt idx="0">
                  <c:v>100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B5-4347-8B0D-8302E9688005}"/>
            </c:ext>
          </c:extLst>
        </c:ser>
        <c:ser>
          <c:idx val="1"/>
          <c:order val="1"/>
          <c:tx>
            <c:strRef>
              <c:f>'Laskenta poistopuoli 150'!$AC$4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150'!$AD$6:$AD$12</c:f>
              <c:numCache>
                <c:formatCode>0.0</c:formatCode>
                <c:ptCount val="7"/>
                <c:pt idx="0">
                  <c:v>131.14254504164199</c:v>
                </c:pt>
                <c:pt idx="1">
                  <c:v>131.14254504164199</c:v>
                </c:pt>
                <c:pt idx="2">
                  <c:v>119.35417996021101</c:v>
                </c:pt>
                <c:pt idx="3">
                  <c:v>107.93377609376739</c:v>
                </c:pt>
                <c:pt idx="4">
                  <c:v>103.46121449007943</c:v>
                </c:pt>
                <c:pt idx="5">
                  <c:v>99.040422729184755</c:v>
                </c:pt>
                <c:pt idx="6">
                  <c:v>89.273980043178298</c:v>
                </c:pt>
              </c:numCache>
            </c:numRef>
          </c:xVal>
          <c:yVal>
            <c:numRef>
              <c:f>'Laskenta poistopuoli 150'!$AC$6:$AC$12</c:f>
              <c:numCache>
                <c:formatCode>0.0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B5-4347-8B0D-8302E9688005}"/>
            </c:ext>
          </c:extLst>
        </c:ser>
        <c:ser>
          <c:idx val="2"/>
          <c:order val="2"/>
          <c:tx>
            <c:strRef>
              <c:f>'Laskenta poistopuoli 150'!$AE$4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150'!$AF$6:$AF$11</c:f>
              <c:numCache>
                <c:formatCode>0.0</c:formatCode>
                <c:ptCount val="6"/>
                <c:pt idx="0">
                  <c:v>96.216817804800328</c:v>
                </c:pt>
                <c:pt idx="1">
                  <c:v>94.729294500929157</c:v>
                </c:pt>
                <c:pt idx="2">
                  <c:v>88.896594856540219</c:v>
                </c:pt>
                <c:pt idx="3">
                  <c:v>83.239100699553205</c:v>
                </c:pt>
                <c:pt idx="4">
                  <c:v>77.741912106746298</c:v>
                </c:pt>
                <c:pt idx="5">
                  <c:v>67.694020441116294</c:v>
                </c:pt>
              </c:numCache>
            </c:numRef>
          </c:xVal>
          <c:yVal>
            <c:numRef>
              <c:f>'Laskenta poistopuoli 150'!$AE$6:$AE$11</c:f>
              <c:numCache>
                <c:formatCode>0.0</c:formatCode>
                <c:ptCount val="6"/>
                <c:pt idx="0">
                  <c:v>35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AB5-4347-8B0D-8302E9688005}"/>
            </c:ext>
          </c:extLst>
        </c:ser>
        <c:ser>
          <c:idx val="3"/>
          <c:order val="3"/>
          <c:tx>
            <c:strRef>
              <c:f>'Laskenta poistopuoli 150'!$AG$4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150'!$AH$6:$AH$10</c:f>
              <c:numCache>
                <c:formatCode>0.0</c:formatCode>
                <c:ptCount val="5"/>
                <c:pt idx="0">
                  <c:v>52.354855059834129</c:v>
                </c:pt>
                <c:pt idx="1">
                  <c:v>50.492611628762866</c:v>
                </c:pt>
                <c:pt idx="2">
                  <c:v>48.580002546231498</c:v>
                </c:pt>
                <c:pt idx="3">
                  <c:v>46.612705838811827</c:v>
                </c:pt>
                <c:pt idx="4">
                  <c:v>35.748954672957019</c:v>
                </c:pt>
              </c:numCache>
            </c:numRef>
          </c:xVal>
          <c:yVal>
            <c:numRef>
              <c:f>'Laskenta poistopuoli 150'!$AG$6:$AG$10</c:f>
              <c:numCache>
                <c:formatCode>0.0</c:formatCode>
                <c:ptCount val="5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AB5-4347-8B0D-8302E9688005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poistopuoli 150'!$L$3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AB5-4347-8B0D-8302E9688005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150'!$AC$34:$AC$37</c:f>
              <c:numCache>
                <c:formatCode>0.0</c:formatCode>
                <c:ptCount val="4"/>
                <c:pt idx="0">
                  <c:v>39.639302044342131</c:v>
                </c:pt>
                <c:pt idx="1">
                  <c:v>23.191083611046146</c:v>
                </c:pt>
                <c:pt idx="2">
                  <c:v>18.245625510484953</c:v>
                </c:pt>
                <c:pt idx="3">
                  <c:v>9.5787644566302692</c:v>
                </c:pt>
              </c:numCache>
            </c:numRef>
          </c:xVal>
          <c:yVal>
            <c:numRef>
              <c:f>'Laskenta poistopuoli 150'!$AD$34:$AD$37</c:f>
              <c:numCache>
                <c:formatCode>0.0</c:formatCode>
                <c:ptCount val="4"/>
                <c:pt idx="0">
                  <c:v>1662.3440403796828</c:v>
                </c:pt>
                <c:pt idx="1">
                  <c:v>568.99833578340827</c:v>
                </c:pt>
                <c:pt idx="2">
                  <c:v>352.19762771301362</c:v>
                </c:pt>
                <c:pt idx="3">
                  <c:v>97.070641760181246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AB5-4347-8B0D-8302E9688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Pysyvyysarvoja</a:t>
            </a:r>
          </a:p>
        </c:rich>
      </c:tx>
      <c:layout>
        <c:manualLayout>
          <c:xMode val="edge"/>
          <c:yMode val="edge"/>
          <c:x val="0.39697766097240472"/>
          <c:y val="2.1624961383997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SäädataC!$L$3</c:f>
              <c:strCache>
                <c:ptCount val="1"/>
                <c:pt idx="0">
                  <c:v>Tukholma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SäädataC!$L$4:$L$84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3.4246575342465754E-4</c:v>
                </c:pt>
                <c:pt idx="29">
                  <c:v>1.3698630136986301E-3</c:v>
                </c:pt>
                <c:pt idx="30">
                  <c:v>4.9086757990867581E-3</c:v>
                </c:pt>
                <c:pt idx="31">
                  <c:v>6.735159817351598E-3</c:v>
                </c:pt>
                <c:pt idx="32">
                  <c:v>9.1324200913242004E-3</c:v>
                </c:pt>
                <c:pt idx="33">
                  <c:v>1.1301369863013699E-2</c:v>
                </c:pt>
                <c:pt idx="34">
                  <c:v>2.3858447488584476E-2</c:v>
                </c:pt>
                <c:pt idx="35">
                  <c:v>4.2922374429223746E-2</c:v>
                </c:pt>
                <c:pt idx="36">
                  <c:v>5.6849315068493153E-2</c:v>
                </c:pt>
                <c:pt idx="37">
                  <c:v>8.0936073059360736E-2</c:v>
                </c:pt>
                <c:pt idx="38">
                  <c:v>0.1110730593607306</c:v>
                </c:pt>
                <c:pt idx="39">
                  <c:v>0.15719178082191781</c:v>
                </c:pt>
                <c:pt idx="40">
                  <c:v>0.21255707762557077</c:v>
                </c:pt>
                <c:pt idx="41">
                  <c:v>0.24155251141552511</c:v>
                </c:pt>
                <c:pt idx="42">
                  <c:v>0.30034246575342466</c:v>
                </c:pt>
                <c:pt idx="43">
                  <c:v>0.3485159817351598</c:v>
                </c:pt>
                <c:pt idx="44">
                  <c:v>0.40251141552511416</c:v>
                </c:pt>
                <c:pt idx="45">
                  <c:v>0.44121004566210048</c:v>
                </c:pt>
                <c:pt idx="46">
                  <c:v>0.46187214611872146</c:v>
                </c:pt>
                <c:pt idx="47">
                  <c:v>0.5044520547945206</c:v>
                </c:pt>
                <c:pt idx="48">
                  <c:v>0.54589041095890412</c:v>
                </c:pt>
                <c:pt idx="49">
                  <c:v>0.58036529680365301</c:v>
                </c:pt>
                <c:pt idx="50">
                  <c:v>0.62180365296803652</c:v>
                </c:pt>
                <c:pt idx="51">
                  <c:v>0.64634703196347032</c:v>
                </c:pt>
                <c:pt idx="52">
                  <c:v>0.69668949771689492</c:v>
                </c:pt>
                <c:pt idx="53">
                  <c:v>0.74589041095890407</c:v>
                </c:pt>
                <c:pt idx="54">
                  <c:v>0.79063926940639273</c:v>
                </c:pt>
                <c:pt idx="55">
                  <c:v>0.83755707762557075</c:v>
                </c:pt>
                <c:pt idx="56">
                  <c:v>0.86472602739726023</c:v>
                </c:pt>
                <c:pt idx="57">
                  <c:v>0.90559360730593608</c:v>
                </c:pt>
                <c:pt idx="58">
                  <c:v>0.93618721461187215</c:v>
                </c:pt>
                <c:pt idx="59">
                  <c:v>0.96175799086757996</c:v>
                </c:pt>
                <c:pt idx="60">
                  <c:v>0.97636986301369866</c:v>
                </c:pt>
                <c:pt idx="61">
                  <c:v>0.98344748858447484</c:v>
                </c:pt>
                <c:pt idx="62">
                  <c:v>0.99155251141552514</c:v>
                </c:pt>
                <c:pt idx="63">
                  <c:v>0.99691780821917808</c:v>
                </c:pt>
                <c:pt idx="64">
                  <c:v>0.99977168949771689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33-49D9-830A-3EBB9DF44AF4}"/>
            </c:ext>
          </c:extLst>
        </c:ser>
        <c:ser>
          <c:idx val="1"/>
          <c:order val="1"/>
          <c:tx>
            <c:strRef>
              <c:f>SäädataC!$M$3</c:f>
              <c:strCache>
                <c:ptCount val="1"/>
                <c:pt idx="0">
                  <c:v>Göteborg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SäädataC!$M$4:$M$84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2.2831050228310502E-4</c:v>
                </c:pt>
                <c:pt idx="25">
                  <c:v>2.1689497716894978E-3</c:v>
                </c:pt>
                <c:pt idx="26">
                  <c:v>2.5114155251141552E-3</c:v>
                </c:pt>
                <c:pt idx="27">
                  <c:v>3.5388127853881279E-3</c:v>
                </c:pt>
                <c:pt idx="28">
                  <c:v>7.3059360730593605E-3</c:v>
                </c:pt>
                <c:pt idx="29">
                  <c:v>1.2671232876712329E-2</c:v>
                </c:pt>
                <c:pt idx="30">
                  <c:v>1.5753424657534248E-2</c:v>
                </c:pt>
                <c:pt idx="31">
                  <c:v>1.7579908675799085E-2</c:v>
                </c:pt>
                <c:pt idx="32">
                  <c:v>2.363013698630137E-2</c:v>
                </c:pt>
                <c:pt idx="33">
                  <c:v>3.1849315068493152E-2</c:v>
                </c:pt>
                <c:pt idx="34">
                  <c:v>4.2808219178082189E-2</c:v>
                </c:pt>
                <c:pt idx="35">
                  <c:v>5.9018264840182647E-2</c:v>
                </c:pt>
                <c:pt idx="36">
                  <c:v>7.031963470319634E-2</c:v>
                </c:pt>
                <c:pt idx="37">
                  <c:v>0.10148401826484019</c:v>
                </c:pt>
                <c:pt idx="38">
                  <c:v>0.13515981735159818</c:v>
                </c:pt>
                <c:pt idx="39">
                  <c:v>0.16666666666666666</c:v>
                </c:pt>
                <c:pt idx="40">
                  <c:v>0.20468036529680364</c:v>
                </c:pt>
                <c:pt idx="41">
                  <c:v>0.22500000000000001</c:v>
                </c:pt>
                <c:pt idx="42">
                  <c:v>0.27111872146118721</c:v>
                </c:pt>
                <c:pt idx="43">
                  <c:v>0.32522831050228312</c:v>
                </c:pt>
                <c:pt idx="44">
                  <c:v>0.36780821917808221</c:v>
                </c:pt>
                <c:pt idx="45">
                  <c:v>0.41746575342465753</c:v>
                </c:pt>
                <c:pt idx="46">
                  <c:v>0.43938356164383563</c:v>
                </c:pt>
                <c:pt idx="47">
                  <c:v>0.48276255707762555</c:v>
                </c:pt>
                <c:pt idx="48">
                  <c:v>0.53139269406392697</c:v>
                </c:pt>
                <c:pt idx="49">
                  <c:v>0.58150684931506846</c:v>
                </c:pt>
                <c:pt idx="50">
                  <c:v>0.62408675799086755</c:v>
                </c:pt>
                <c:pt idx="51">
                  <c:v>0.64566210045662098</c:v>
                </c:pt>
                <c:pt idx="52">
                  <c:v>0.69372146118721456</c:v>
                </c:pt>
                <c:pt idx="53">
                  <c:v>0.74257990867579904</c:v>
                </c:pt>
                <c:pt idx="54">
                  <c:v>0.7909817351598174</c:v>
                </c:pt>
                <c:pt idx="55">
                  <c:v>0.8392694063926941</c:v>
                </c:pt>
                <c:pt idx="56">
                  <c:v>0.86073059360730597</c:v>
                </c:pt>
                <c:pt idx="57">
                  <c:v>0.89223744292237439</c:v>
                </c:pt>
                <c:pt idx="58">
                  <c:v>0.92682648401826484</c:v>
                </c:pt>
                <c:pt idx="59">
                  <c:v>0.9488584474885845</c:v>
                </c:pt>
                <c:pt idx="60">
                  <c:v>0.966324200913242</c:v>
                </c:pt>
                <c:pt idx="61">
                  <c:v>0.97328767123287674</c:v>
                </c:pt>
                <c:pt idx="62">
                  <c:v>0.98436073059360729</c:v>
                </c:pt>
                <c:pt idx="63">
                  <c:v>0.9926940639269406</c:v>
                </c:pt>
                <c:pt idx="64">
                  <c:v>0.99760273972602742</c:v>
                </c:pt>
                <c:pt idx="65">
                  <c:v>0.99977168949771689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233-49D9-830A-3EBB9DF44AF4}"/>
            </c:ext>
          </c:extLst>
        </c:ser>
        <c:ser>
          <c:idx val="2"/>
          <c:order val="2"/>
          <c:tx>
            <c:strRef>
              <c:f>SäädataC!$N$3</c:f>
              <c:strCache>
                <c:ptCount val="1"/>
                <c:pt idx="0">
                  <c:v>Tallinna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SäädataC!$N$4:$N$84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2.2831050228310502E-4</c:v>
                </c:pt>
                <c:pt idx="24">
                  <c:v>1.2557077625570776E-3</c:v>
                </c:pt>
                <c:pt idx="25">
                  <c:v>4.7945205479452057E-3</c:v>
                </c:pt>
                <c:pt idx="26">
                  <c:v>6.8493150684931503E-3</c:v>
                </c:pt>
                <c:pt idx="27">
                  <c:v>1.2557077625570776E-2</c:v>
                </c:pt>
                <c:pt idx="28">
                  <c:v>1.9748858447488585E-2</c:v>
                </c:pt>
                <c:pt idx="29">
                  <c:v>2.9223744292237442E-2</c:v>
                </c:pt>
                <c:pt idx="30">
                  <c:v>4.029680365296804E-2</c:v>
                </c:pt>
                <c:pt idx="31">
                  <c:v>4.8744292237442921E-2</c:v>
                </c:pt>
                <c:pt idx="32">
                  <c:v>6.2557077625570778E-2</c:v>
                </c:pt>
                <c:pt idx="33">
                  <c:v>8.4474885844748854E-2</c:v>
                </c:pt>
                <c:pt idx="34">
                  <c:v>0.10616438356164383</c:v>
                </c:pt>
                <c:pt idx="35">
                  <c:v>0.13070776255707764</c:v>
                </c:pt>
                <c:pt idx="36">
                  <c:v>0.14771689497716894</c:v>
                </c:pt>
                <c:pt idx="37">
                  <c:v>0.17340182648401825</c:v>
                </c:pt>
                <c:pt idx="38">
                  <c:v>0.20468036529680364</c:v>
                </c:pt>
                <c:pt idx="39">
                  <c:v>0.23184931506849316</c:v>
                </c:pt>
                <c:pt idx="40">
                  <c:v>0.27363013698630134</c:v>
                </c:pt>
                <c:pt idx="41">
                  <c:v>0.30490867579908676</c:v>
                </c:pt>
                <c:pt idx="42">
                  <c:v>0.36506849315068496</c:v>
                </c:pt>
                <c:pt idx="43">
                  <c:v>0.40559360730593608</c:v>
                </c:pt>
                <c:pt idx="44">
                  <c:v>0.4534246575342466</c:v>
                </c:pt>
                <c:pt idx="45">
                  <c:v>0.49874429223744293</c:v>
                </c:pt>
                <c:pt idx="46">
                  <c:v>0.51609589041095894</c:v>
                </c:pt>
                <c:pt idx="47">
                  <c:v>0.5501141552511416</c:v>
                </c:pt>
                <c:pt idx="48">
                  <c:v>0.58858447488584476</c:v>
                </c:pt>
                <c:pt idx="49">
                  <c:v>0.6205479452054794</c:v>
                </c:pt>
                <c:pt idx="50">
                  <c:v>0.65936073059360734</c:v>
                </c:pt>
                <c:pt idx="51">
                  <c:v>0.68093607305936077</c:v>
                </c:pt>
                <c:pt idx="52">
                  <c:v>0.71860730593607303</c:v>
                </c:pt>
                <c:pt idx="53">
                  <c:v>0.76404109589041092</c:v>
                </c:pt>
                <c:pt idx="54">
                  <c:v>0.80936073059360736</c:v>
                </c:pt>
                <c:pt idx="55">
                  <c:v>0.84531963470319638</c:v>
                </c:pt>
                <c:pt idx="56">
                  <c:v>0.86312785388127855</c:v>
                </c:pt>
                <c:pt idx="57">
                  <c:v>0.88949771689497714</c:v>
                </c:pt>
                <c:pt idx="58">
                  <c:v>0.91461187214611872</c:v>
                </c:pt>
                <c:pt idx="59">
                  <c:v>0.93641552511415527</c:v>
                </c:pt>
                <c:pt idx="60">
                  <c:v>0.95399543378995433</c:v>
                </c:pt>
                <c:pt idx="61">
                  <c:v>0.96107305936073062</c:v>
                </c:pt>
                <c:pt idx="62">
                  <c:v>0.97305936073059363</c:v>
                </c:pt>
                <c:pt idx="63">
                  <c:v>0.98264840182648405</c:v>
                </c:pt>
                <c:pt idx="64">
                  <c:v>0.99041095890410957</c:v>
                </c:pt>
                <c:pt idx="65">
                  <c:v>0.99566210045662096</c:v>
                </c:pt>
                <c:pt idx="66">
                  <c:v>0.9981735159817352</c:v>
                </c:pt>
                <c:pt idx="67">
                  <c:v>0.9992009132420091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233-49D9-830A-3EBB9DF44AF4}"/>
            </c:ext>
          </c:extLst>
        </c:ser>
        <c:ser>
          <c:idx val="3"/>
          <c:order val="3"/>
          <c:tx>
            <c:strRef>
              <c:f>SäädataC!$O$3</c:f>
              <c:strCache>
                <c:ptCount val="1"/>
                <c:pt idx="0">
                  <c:v>Riika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SäädataC!$O$4:$O$84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3.4246575342465754E-4</c:v>
                </c:pt>
                <c:pt idx="22">
                  <c:v>2.5114155251141552E-3</c:v>
                </c:pt>
                <c:pt idx="23">
                  <c:v>3.6529680365296802E-3</c:v>
                </c:pt>
                <c:pt idx="24">
                  <c:v>9.8173515981735161E-3</c:v>
                </c:pt>
                <c:pt idx="25">
                  <c:v>1.2442922374429224E-2</c:v>
                </c:pt>
                <c:pt idx="26">
                  <c:v>1.3926940639269407E-2</c:v>
                </c:pt>
                <c:pt idx="27">
                  <c:v>1.6210045662100457E-2</c:v>
                </c:pt>
                <c:pt idx="28">
                  <c:v>1.9863013698630139E-2</c:v>
                </c:pt>
                <c:pt idx="29">
                  <c:v>2.9109589041095889E-2</c:v>
                </c:pt>
                <c:pt idx="30">
                  <c:v>3.6415525114155252E-2</c:v>
                </c:pt>
                <c:pt idx="31">
                  <c:v>3.9497716894977171E-2</c:v>
                </c:pt>
                <c:pt idx="32">
                  <c:v>4.8401826484018265E-2</c:v>
                </c:pt>
                <c:pt idx="33">
                  <c:v>6.837899543378996E-2</c:v>
                </c:pt>
                <c:pt idx="34">
                  <c:v>8.7899543378995429E-2</c:v>
                </c:pt>
                <c:pt idx="35">
                  <c:v>0.11347031963470319</c:v>
                </c:pt>
                <c:pt idx="36">
                  <c:v>0.1291095890410959</c:v>
                </c:pt>
                <c:pt idx="37">
                  <c:v>0.16598173515981735</c:v>
                </c:pt>
                <c:pt idx="38">
                  <c:v>0.20228310502283106</c:v>
                </c:pt>
                <c:pt idx="39">
                  <c:v>0.24463470319634703</c:v>
                </c:pt>
                <c:pt idx="40">
                  <c:v>0.28938356164383561</c:v>
                </c:pt>
                <c:pt idx="41">
                  <c:v>0.31050228310502281</c:v>
                </c:pt>
                <c:pt idx="42">
                  <c:v>0.35239726027397261</c:v>
                </c:pt>
                <c:pt idx="43">
                  <c:v>0.39063926940639271</c:v>
                </c:pt>
                <c:pt idx="44">
                  <c:v>0.42659817351598173</c:v>
                </c:pt>
                <c:pt idx="45">
                  <c:v>0.46575342465753422</c:v>
                </c:pt>
                <c:pt idx="46">
                  <c:v>0.47979452054794519</c:v>
                </c:pt>
                <c:pt idx="47">
                  <c:v>0.51598173515981738</c:v>
                </c:pt>
                <c:pt idx="48">
                  <c:v>0.5474885844748858</c:v>
                </c:pt>
                <c:pt idx="49">
                  <c:v>0.58287671232876714</c:v>
                </c:pt>
                <c:pt idx="50">
                  <c:v>0.6257990867579909</c:v>
                </c:pt>
                <c:pt idx="51">
                  <c:v>0.64840182648401823</c:v>
                </c:pt>
                <c:pt idx="52">
                  <c:v>0.69326484018264845</c:v>
                </c:pt>
                <c:pt idx="53">
                  <c:v>0.73390410958904106</c:v>
                </c:pt>
                <c:pt idx="54">
                  <c:v>0.77214611872146122</c:v>
                </c:pt>
                <c:pt idx="55">
                  <c:v>0.81084474885844748</c:v>
                </c:pt>
                <c:pt idx="56">
                  <c:v>0.83116438356164379</c:v>
                </c:pt>
                <c:pt idx="57">
                  <c:v>0.86906392694063928</c:v>
                </c:pt>
                <c:pt idx="58">
                  <c:v>0.90148401826484015</c:v>
                </c:pt>
                <c:pt idx="59">
                  <c:v>0.92625570776255706</c:v>
                </c:pt>
                <c:pt idx="60">
                  <c:v>0.95079908675799085</c:v>
                </c:pt>
                <c:pt idx="61">
                  <c:v>0.96198630136986296</c:v>
                </c:pt>
                <c:pt idx="62">
                  <c:v>0.97408675799086752</c:v>
                </c:pt>
                <c:pt idx="63">
                  <c:v>0.98413242009132418</c:v>
                </c:pt>
                <c:pt idx="64">
                  <c:v>0.99132420091324203</c:v>
                </c:pt>
                <c:pt idx="65">
                  <c:v>0.99566210045662096</c:v>
                </c:pt>
                <c:pt idx="66">
                  <c:v>0.99760273972602742</c:v>
                </c:pt>
                <c:pt idx="67">
                  <c:v>0.99931506849315066</c:v>
                </c:pt>
                <c:pt idx="68">
                  <c:v>0.99988584474885844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233-49D9-830A-3EBB9DF44AF4}"/>
            </c:ext>
          </c:extLst>
        </c:ser>
        <c:ser>
          <c:idx val="4"/>
          <c:order val="4"/>
          <c:tx>
            <c:strRef>
              <c:f>SäädataC!$P$3</c:f>
              <c:strCache>
                <c:ptCount val="1"/>
                <c:pt idx="0">
                  <c:v>Vilna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SäädataC!$P$4:$P$84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1.1415525114155251E-4</c:v>
                </c:pt>
                <c:pt idx="17">
                  <c:v>1.1415525114155251E-3</c:v>
                </c:pt>
                <c:pt idx="18">
                  <c:v>2.2831050228310501E-3</c:v>
                </c:pt>
                <c:pt idx="19">
                  <c:v>3.3105022831050228E-3</c:v>
                </c:pt>
                <c:pt idx="20">
                  <c:v>5.5936073059360729E-3</c:v>
                </c:pt>
                <c:pt idx="21">
                  <c:v>6.392694063926941E-3</c:v>
                </c:pt>
                <c:pt idx="22">
                  <c:v>7.0776255707762558E-3</c:v>
                </c:pt>
                <c:pt idx="23">
                  <c:v>7.9908675799086754E-3</c:v>
                </c:pt>
                <c:pt idx="24">
                  <c:v>1.1301369863013699E-2</c:v>
                </c:pt>
                <c:pt idx="25">
                  <c:v>1.3470319634703196E-2</c:v>
                </c:pt>
                <c:pt idx="26">
                  <c:v>1.5639269406392695E-2</c:v>
                </c:pt>
                <c:pt idx="27">
                  <c:v>2.0205479452054795E-2</c:v>
                </c:pt>
                <c:pt idx="28">
                  <c:v>2.8995433789954339E-2</c:v>
                </c:pt>
                <c:pt idx="29">
                  <c:v>3.6073059360730596E-2</c:v>
                </c:pt>
                <c:pt idx="30">
                  <c:v>4.5890410958904108E-2</c:v>
                </c:pt>
                <c:pt idx="31">
                  <c:v>5.2054794520547946E-2</c:v>
                </c:pt>
                <c:pt idx="32">
                  <c:v>6.7009132420091322E-2</c:v>
                </c:pt>
                <c:pt idx="33">
                  <c:v>8.2762557077625573E-2</c:v>
                </c:pt>
                <c:pt idx="34">
                  <c:v>0.10582191780821917</c:v>
                </c:pt>
                <c:pt idx="35">
                  <c:v>0.13070776255707764</c:v>
                </c:pt>
                <c:pt idx="36">
                  <c:v>0.14874429223744293</c:v>
                </c:pt>
                <c:pt idx="37">
                  <c:v>0.19075342465753425</c:v>
                </c:pt>
                <c:pt idx="38">
                  <c:v>0.22910958904109588</c:v>
                </c:pt>
                <c:pt idx="39">
                  <c:v>0.27100456621004565</c:v>
                </c:pt>
                <c:pt idx="40">
                  <c:v>0.30810502283105023</c:v>
                </c:pt>
                <c:pt idx="41">
                  <c:v>0.32968036529680367</c:v>
                </c:pt>
                <c:pt idx="42">
                  <c:v>0.36723744292237442</c:v>
                </c:pt>
                <c:pt idx="43">
                  <c:v>0.40273972602739727</c:v>
                </c:pt>
                <c:pt idx="44">
                  <c:v>0.4343607305936073</c:v>
                </c:pt>
                <c:pt idx="45">
                  <c:v>0.46700913242009134</c:v>
                </c:pt>
                <c:pt idx="46">
                  <c:v>0.48881278538812784</c:v>
                </c:pt>
                <c:pt idx="47">
                  <c:v>0.52465753424657535</c:v>
                </c:pt>
                <c:pt idx="48">
                  <c:v>0.5592465753424658</c:v>
                </c:pt>
                <c:pt idx="49">
                  <c:v>0.59509132420091326</c:v>
                </c:pt>
                <c:pt idx="50">
                  <c:v>0.63401826484018264</c:v>
                </c:pt>
                <c:pt idx="51">
                  <c:v>0.65228310502283104</c:v>
                </c:pt>
                <c:pt idx="52">
                  <c:v>0.68949771689497719</c:v>
                </c:pt>
                <c:pt idx="53">
                  <c:v>0.72397260273972608</c:v>
                </c:pt>
                <c:pt idx="54">
                  <c:v>0.75821917808219175</c:v>
                </c:pt>
                <c:pt idx="55">
                  <c:v>0.79429223744292232</c:v>
                </c:pt>
                <c:pt idx="56">
                  <c:v>0.81198630136986305</c:v>
                </c:pt>
                <c:pt idx="57">
                  <c:v>0.8504566210045662</c:v>
                </c:pt>
                <c:pt idx="58">
                  <c:v>0.88789954337899546</c:v>
                </c:pt>
                <c:pt idx="59">
                  <c:v>0.91837899543378998</c:v>
                </c:pt>
                <c:pt idx="60">
                  <c:v>0.94200913242009132</c:v>
                </c:pt>
                <c:pt idx="61">
                  <c:v>0.95125570776255708</c:v>
                </c:pt>
                <c:pt idx="62">
                  <c:v>0.96643835616438356</c:v>
                </c:pt>
                <c:pt idx="63">
                  <c:v>0.97785388127853878</c:v>
                </c:pt>
                <c:pt idx="64">
                  <c:v>0.98732876712328765</c:v>
                </c:pt>
                <c:pt idx="65">
                  <c:v>0.99326484018264838</c:v>
                </c:pt>
                <c:pt idx="66">
                  <c:v>0.9953196347031964</c:v>
                </c:pt>
                <c:pt idx="67">
                  <c:v>0.99805936073059365</c:v>
                </c:pt>
                <c:pt idx="68">
                  <c:v>0.99931506849315066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233-49D9-830A-3EBB9DF44AF4}"/>
            </c:ext>
          </c:extLst>
        </c:ser>
        <c:ser>
          <c:idx val="5"/>
          <c:order val="5"/>
          <c:tx>
            <c:strRef>
              <c:f>SäädataC!$Q$3</c:f>
              <c:strCache>
                <c:ptCount val="1"/>
                <c:pt idx="0">
                  <c:v>Varsova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SäädataC!$Q$4:$Q$84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3.4246575342465754E-4</c:v>
                </c:pt>
                <c:pt idx="23">
                  <c:v>1.0273972602739725E-3</c:v>
                </c:pt>
                <c:pt idx="24">
                  <c:v>2.054794520547945E-3</c:v>
                </c:pt>
                <c:pt idx="25">
                  <c:v>3.767123287671233E-3</c:v>
                </c:pt>
                <c:pt idx="26">
                  <c:v>4.7945205479452057E-3</c:v>
                </c:pt>
                <c:pt idx="27">
                  <c:v>6.735159817351598E-3</c:v>
                </c:pt>
                <c:pt idx="28">
                  <c:v>9.7031963470319629E-3</c:v>
                </c:pt>
                <c:pt idx="29">
                  <c:v>1.3356164383561644E-2</c:v>
                </c:pt>
                <c:pt idx="30">
                  <c:v>1.8036529680365298E-2</c:v>
                </c:pt>
                <c:pt idx="31">
                  <c:v>2.0547945205479451E-2</c:v>
                </c:pt>
                <c:pt idx="32">
                  <c:v>2.5228310502283104E-2</c:v>
                </c:pt>
                <c:pt idx="33">
                  <c:v>3.4018264840182645E-2</c:v>
                </c:pt>
                <c:pt idx="34">
                  <c:v>4.9086757990867577E-2</c:v>
                </c:pt>
                <c:pt idx="35">
                  <c:v>6.9977168949771684E-2</c:v>
                </c:pt>
                <c:pt idx="36">
                  <c:v>8.3447488584474885E-2</c:v>
                </c:pt>
                <c:pt idx="37">
                  <c:v>0.11529680365296803</c:v>
                </c:pt>
                <c:pt idx="38">
                  <c:v>0.15376712328767123</c:v>
                </c:pt>
                <c:pt idx="39">
                  <c:v>0.19121004566210045</c:v>
                </c:pt>
                <c:pt idx="40">
                  <c:v>0.22979452054794522</c:v>
                </c:pt>
                <c:pt idx="41">
                  <c:v>0.24520547945205479</c:v>
                </c:pt>
                <c:pt idx="42">
                  <c:v>0.27716894977168949</c:v>
                </c:pt>
                <c:pt idx="43">
                  <c:v>0.31324200913242012</c:v>
                </c:pt>
                <c:pt idx="44">
                  <c:v>0.3476027397260274</c:v>
                </c:pt>
                <c:pt idx="45">
                  <c:v>0.38367579908675797</c:v>
                </c:pt>
                <c:pt idx="46">
                  <c:v>0.40742009132420093</c:v>
                </c:pt>
                <c:pt idx="47">
                  <c:v>0.4480593607305936</c:v>
                </c:pt>
                <c:pt idx="48">
                  <c:v>0.48413242009132418</c:v>
                </c:pt>
                <c:pt idx="49">
                  <c:v>0.52465753424657535</c:v>
                </c:pt>
                <c:pt idx="50">
                  <c:v>0.5639269406392694</c:v>
                </c:pt>
                <c:pt idx="51">
                  <c:v>0.58424657534246571</c:v>
                </c:pt>
                <c:pt idx="52">
                  <c:v>0.62785388127853881</c:v>
                </c:pt>
                <c:pt idx="53">
                  <c:v>0.66997716894977166</c:v>
                </c:pt>
                <c:pt idx="54">
                  <c:v>0.7179223744292238</c:v>
                </c:pt>
                <c:pt idx="55">
                  <c:v>0.76210045662100456</c:v>
                </c:pt>
                <c:pt idx="56">
                  <c:v>0.78047945205479452</c:v>
                </c:pt>
                <c:pt idx="57">
                  <c:v>0.82351598173515983</c:v>
                </c:pt>
                <c:pt idx="58">
                  <c:v>0.86461187214611868</c:v>
                </c:pt>
                <c:pt idx="59">
                  <c:v>0.89452054794520552</c:v>
                </c:pt>
                <c:pt idx="60">
                  <c:v>0.92123287671232879</c:v>
                </c:pt>
                <c:pt idx="61">
                  <c:v>0.93287671232876712</c:v>
                </c:pt>
                <c:pt idx="62">
                  <c:v>0.95091324200913241</c:v>
                </c:pt>
                <c:pt idx="63">
                  <c:v>0.9671232876712329</c:v>
                </c:pt>
                <c:pt idx="64">
                  <c:v>0.97819634703196345</c:v>
                </c:pt>
                <c:pt idx="65">
                  <c:v>0.98732876712328765</c:v>
                </c:pt>
                <c:pt idx="66">
                  <c:v>0.99018264840182646</c:v>
                </c:pt>
                <c:pt idx="67">
                  <c:v>0.99543378995433784</c:v>
                </c:pt>
                <c:pt idx="68">
                  <c:v>0.99760273972602742</c:v>
                </c:pt>
                <c:pt idx="69">
                  <c:v>0.9992009132420091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233-49D9-830A-3EBB9DF44AF4}"/>
            </c:ext>
          </c:extLst>
        </c:ser>
        <c:ser>
          <c:idx val="6"/>
          <c:order val="6"/>
          <c:tx>
            <c:strRef>
              <c:f>SäädataC!$R$3</c:f>
              <c:strCache>
                <c:ptCount val="1"/>
                <c:pt idx="0">
                  <c:v>Krakova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SäädataC!$G$4:$G$84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SäädataC!$R$4:$R$84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1.1415525114155251E-4</c:v>
                </c:pt>
                <c:pt idx="24">
                  <c:v>1.8264840182648401E-3</c:v>
                </c:pt>
                <c:pt idx="25">
                  <c:v>3.4246575342465752E-3</c:v>
                </c:pt>
                <c:pt idx="26">
                  <c:v>4.4520547945205479E-3</c:v>
                </c:pt>
                <c:pt idx="27">
                  <c:v>7.534246575342466E-3</c:v>
                </c:pt>
                <c:pt idx="28">
                  <c:v>1.0159817351598174E-2</c:v>
                </c:pt>
                <c:pt idx="29">
                  <c:v>1.3812785388127854E-2</c:v>
                </c:pt>
                <c:pt idx="30">
                  <c:v>1.6552511415525113E-2</c:v>
                </c:pt>
                <c:pt idx="31">
                  <c:v>1.872146118721461E-2</c:v>
                </c:pt>
                <c:pt idx="32">
                  <c:v>2.5684931506849314E-2</c:v>
                </c:pt>
                <c:pt idx="33">
                  <c:v>3.8698630136986302E-2</c:v>
                </c:pt>
                <c:pt idx="34">
                  <c:v>5.4337899543378997E-2</c:v>
                </c:pt>
                <c:pt idx="35">
                  <c:v>7.0205479452054798E-2</c:v>
                </c:pt>
                <c:pt idx="36">
                  <c:v>8.1735159817351605E-2</c:v>
                </c:pt>
                <c:pt idx="37">
                  <c:v>0.10251141552511416</c:v>
                </c:pt>
                <c:pt idx="38">
                  <c:v>0.13390410958904109</c:v>
                </c:pt>
                <c:pt idx="39">
                  <c:v>0.16929223744292238</c:v>
                </c:pt>
                <c:pt idx="40">
                  <c:v>0.20833333333333334</c:v>
                </c:pt>
                <c:pt idx="41">
                  <c:v>0.22888127853881279</c:v>
                </c:pt>
                <c:pt idx="42">
                  <c:v>0.26529680365296804</c:v>
                </c:pt>
                <c:pt idx="43">
                  <c:v>0.30445205479452053</c:v>
                </c:pt>
                <c:pt idx="44">
                  <c:v>0.3393835616438356</c:v>
                </c:pt>
                <c:pt idx="45">
                  <c:v>0.37614155251141551</c:v>
                </c:pt>
                <c:pt idx="46">
                  <c:v>0.39474885844748858</c:v>
                </c:pt>
                <c:pt idx="47">
                  <c:v>0.43378995433789952</c:v>
                </c:pt>
                <c:pt idx="48">
                  <c:v>0.47066210045662099</c:v>
                </c:pt>
                <c:pt idx="49">
                  <c:v>0.50924657534246576</c:v>
                </c:pt>
                <c:pt idx="50">
                  <c:v>0.55251141552511418</c:v>
                </c:pt>
                <c:pt idx="51">
                  <c:v>0.57043378995433791</c:v>
                </c:pt>
                <c:pt idx="52">
                  <c:v>0.60696347031963471</c:v>
                </c:pt>
                <c:pt idx="53">
                  <c:v>0.65228310502283104</c:v>
                </c:pt>
                <c:pt idx="54">
                  <c:v>0.69086757990867576</c:v>
                </c:pt>
                <c:pt idx="55">
                  <c:v>0.72910958904109591</c:v>
                </c:pt>
                <c:pt idx="56">
                  <c:v>0.75102739726027401</c:v>
                </c:pt>
                <c:pt idx="57">
                  <c:v>0.7901826484018265</c:v>
                </c:pt>
                <c:pt idx="58">
                  <c:v>0.82773972602739732</c:v>
                </c:pt>
                <c:pt idx="59">
                  <c:v>0.86472602739726023</c:v>
                </c:pt>
                <c:pt idx="60">
                  <c:v>0.8969178082191781</c:v>
                </c:pt>
                <c:pt idx="61">
                  <c:v>0.91255707762557081</c:v>
                </c:pt>
                <c:pt idx="62">
                  <c:v>0.93515981735159814</c:v>
                </c:pt>
                <c:pt idx="63">
                  <c:v>0.95525114155251145</c:v>
                </c:pt>
                <c:pt idx="64">
                  <c:v>0.97111872146118716</c:v>
                </c:pt>
                <c:pt idx="65">
                  <c:v>0.98344748858447484</c:v>
                </c:pt>
                <c:pt idx="66">
                  <c:v>0.98755707762557077</c:v>
                </c:pt>
                <c:pt idx="67">
                  <c:v>0.99337899543378994</c:v>
                </c:pt>
                <c:pt idx="68">
                  <c:v>0.99726027397260275</c:v>
                </c:pt>
                <c:pt idx="69">
                  <c:v>0.99863013698630132</c:v>
                </c:pt>
                <c:pt idx="70">
                  <c:v>0.99977168949771689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233-49D9-830A-3EBB9DF44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180400"/>
        <c:axId val="252783936"/>
      </c:scatterChart>
      <c:valAx>
        <c:axId val="247180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°C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2783936"/>
        <c:crosses val="autoZero"/>
        <c:crossBetween val="midCat"/>
      </c:valAx>
      <c:valAx>
        <c:axId val="25278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47180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Pysyvyysarvoja</a:t>
            </a:r>
          </a:p>
        </c:rich>
      </c:tx>
      <c:layout>
        <c:manualLayout>
          <c:xMode val="edge"/>
          <c:yMode val="edge"/>
          <c:x val="0.39697766097240472"/>
          <c:y val="2.1624961383997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Säädata!$L$3</c:f>
              <c:strCache>
                <c:ptCount val="1"/>
                <c:pt idx="0">
                  <c:v>SWE - Sztokholm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Säädata!$L$4:$L$84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3.4246575342465754E-4</c:v>
                </c:pt>
                <c:pt idx="29">
                  <c:v>1.3698630136986301E-3</c:v>
                </c:pt>
                <c:pt idx="30">
                  <c:v>4.9086757990867581E-3</c:v>
                </c:pt>
                <c:pt idx="31">
                  <c:v>6.735159817351598E-3</c:v>
                </c:pt>
                <c:pt idx="32">
                  <c:v>9.1324200913242004E-3</c:v>
                </c:pt>
                <c:pt idx="33">
                  <c:v>1.1301369863013699E-2</c:v>
                </c:pt>
                <c:pt idx="34">
                  <c:v>2.3858447488584476E-2</c:v>
                </c:pt>
                <c:pt idx="35">
                  <c:v>4.2922374429223746E-2</c:v>
                </c:pt>
                <c:pt idx="36">
                  <c:v>5.6849315068493153E-2</c:v>
                </c:pt>
                <c:pt idx="37">
                  <c:v>8.0936073059360736E-2</c:v>
                </c:pt>
                <c:pt idx="38">
                  <c:v>0.1110730593607306</c:v>
                </c:pt>
                <c:pt idx="39">
                  <c:v>0.15719178082191781</c:v>
                </c:pt>
                <c:pt idx="40">
                  <c:v>0.21255707762557077</c:v>
                </c:pt>
                <c:pt idx="41">
                  <c:v>0.24155251141552511</c:v>
                </c:pt>
                <c:pt idx="42">
                  <c:v>0.30034246575342466</c:v>
                </c:pt>
                <c:pt idx="43">
                  <c:v>0.3485159817351598</c:v>
                </c:pt>
                <c:pt idx="44">
                  <c:v>0.40251141552511416</c:v>
                </c:pt>
                <c:pt idx="45">
                  <c:v>0.44121004566210048</c:v>
                </c:pt>
                <c:pt idx="46">
                  <c:v>0.46187214611872146</c:v>
                </c:pt>
                <c:pt idx="47">
                  <c:v>0.5044520547945206</c:v>
                </c:pt>
                <c:pt idx="48">
                  <c:v>0.54589041095890412</c:v>
                </c:pt>
                <c:pt idx="49">
                  <c:v>0.58036529680365301</c:v>
                </c:pt>
                <c:pt idx="50">
                  <c:v>0.62180365296803652</c:v>
                </c:pt>
                <c:pt idx="51">
                  <c:v>0.64634703196347032</c:v>
                </c:pt>
                <c:pt idx="52">
                  <c:v>0.69668949771689492</c:v>
                </c:pt>
                <c:pt idx="53">
                  <c:v>0.74589041095890407</c:v>
                </c:pt>
                <c:pt idx="54">
                  <c:v>0.79063926940639273</c:v>
                </c:pt>
                <c:pt idx="55">
                  <c:v>0.83755707762557075</c:v>
                </c:pt>
                <c:pt idx="56">
                  <c:v>0.86472602739726023</c:v>
                </c:pt>
                <c:pt idx="57">
                  <c:v>0.90559360730593608</c:v>
                </c:pt>
                <c:pt idx="58">
                  <c:v>0.93618721461187215</c:v>
                </c:pt>
                <c:pt idx="59">
                  <c:v>0.96175799086757996</c:v>
                </c:pt>
                <c:pt idx="60">
                  <c:v>0.97636986301369866</c:v>
                </c:pt>
                <c:pt idx="61">
                  <c:v>0.98344748858447484</c:v>
                </c:pt>
                <c:pt idx="62">
                  <c:v>0.99155251141552514</c:v>
                </c:pt>
                <c:pt idx="63">
                  <c:v>0.99691780821917808</c:v>
                </c:pt>
                <c:pt idx="64">
                  <c:v>0.99977168949771689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08-4058-81CA-33F218C770F5}"/>
            </c:ext>
          </c:extLst>
        </c:ser>
        <c:ser>
          <c:idx val="1"/>
          <c:order val="1"/>
          <c:tx>
            <c:strRef>
              <c:f>Säädata!$M$3</c:f>
              <c:strCache>
                <c:ptCount val="1"/>
                <c:pt idx="0">
                  <c:v>SWE - Goteborg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Säädata!$M$4:$M$84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2.2831050228310502E-4</c:v>
                </c:pt>
                <c:pt idx="25">
                  <c:v>2.1689497716894978E-3</c:v>
                </c:pt>
                <c:pt idx="26">
                  <c:v>2.5114155251141552E-3</c:v>
                </c:pt>
                <c:pt idx="27">
                  <c:v>3.5388127853881279E-3</c:v>
                </c:pt>
                <c:pt idx="28">
                  <c:v>7.3059360730593605E-3</c:v>
                </c:pt>
                <c:pt idx="29">
                  <c:v>1.2671232876712329E-2</c:v>
                </c:pt>
                <c:pt idx="30">
                  <c:v>1.5753424657534248E-2</c:v>
                </c:pt>
                <c:pt idx="31">
                  <c:v>1.7579908675799085E-2</c:v>
                </c:pt>
                <c:pt idx="32">
                  <c:v>2.363013698630137E-2</c:v>
                </c:pt>
                <c:pt idx="33">
                  <c:v>3.1849315068493152E-2</c:v>
                </c:pt>
                <c:pt idx="34">
                  <c:v>4.2808219178082189E-2</c:v>
                </c:pt>
                <c:pt idx="35">
                  <c:v>5.9018264840182647E-2</c:v>
                </c:pt>
                <c:pt idx="36">
                  <c:v>7.031963470319634E-2</c:v>
                </c:pt>
                <c:pt idx="37">
                  <c:v>0.10148401826484019</c:v>
                </c:pt>
                <c:pt idx="38">
                  <c:v>0.13515981735159818</c:v>
                </c:pt>
                <c:pt idx="39">
                  <c:v>0.16666666666666666</c:v>
                </c:pt>
                <c:pt idx="40">
                  <c:v>0.20468036529680364</c:v>
                </c:pt>
                <c:pt idx="41">
                  <c:v>0.22500000000000001</c:v>
                </c:pt>
                <c:pt idx="42">
                  <c:v>0.27111872146118721</c:v>
                </c:pt>
                <c:pt idx="43">
                  <c:v>0.32522831050228312</c:v>
                </c:pt>
                <c:pt idx="44">
                  <c:v>0.36780821917808221</c:v>
                </c:pt>
                <c:pt idx="45">
                  <c:v>0.41746575342465753</c:v>
                </c:pt>
                <c:pt idx="46">
                  <c:v>0.43938356164383563</c:v>
                </c:pt>
                <c:pt idx="47">
                  <c:v>0.48276255707762555</c:v>
                </c:pt>
                <c:pt idx="48">
                  <c:v>0.53139269406392697</c:v>
                </c:pt>
                <c:pt idx="49">
                  <c:v>0.58150684931506846</c:v>
                </c:pt>
                <c:pt idx="50">
                  <c:v>0.62408675799086755</c:v>
                </c:pt>
                <c:pt idx="51">
                  <c:v>0.64566210045662098</c:v>
                </c:pt>
                <c:pt idx="52">
                  <c:v>0.69372146118721456</c:v>
                </c:pt>
                <c:pt idx="53">
                  <c:v>0.74257990867579904</c:v>
                </c:pt>
                <c:pt idx="54">
                  <c:v>0.7909817351598174</c:v>
                </c:pt>
                <c:pt idx="55">
                  <c:v>0.8392694063926941</c:v>
                </c:pt>
                <c:pt idx="56">
                  <c:v>0.86073059360730597</c:v>
                </c:pt>
                <c:pt idx="57">
                  <c:v>0.89223744292237439</c:v>
                </c:pt>
                <c:pt idx="58">
                  <c:v>0.92682648401826484</c:v>
                </c:pt>
                <c:pt idx="59">
                  <c:v>0.9488584474885845</c:v>
                </c:pt>
                <c:pt idx="60">
                  <c:v>0.966324200913242</c:v>
                </c:pt>
                <c:pt idx="61">
                  <c:v>0.97328767123287674</c:v>
                </c:pt>
                <c:pt idx="62">
                  <c:v>0.98436073059360729</c:v>
                </c:pt>
                <c:pt idx="63">
                  <c:v>0.9926940639269406</c:v>
                </c:pt>
                <c:pt idx="64">
                  <c:v>0.99760273972602742</c:v>
                </c:pt>
                <c:pt idx="65">
                  <c:v>0.99977168949771689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08-4058-81CA-33F218C770F5}"/>
            </c:ext>
          </c:extLst>
        </c:ser>
        <c:ser>
          <c:idx val="2"/>
          <c:order val="2"/>
          <c:tx>
            <c:strRef>
              <c:f>Säädata!$N$3</c:f>
              <c:strCache>
                <c:ptCount val="1"/>
                <c:pt idx="0">
                  <c:v>EST - Tallin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Säädata!$N$4:$N$84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2.2831050228310502E-4</c:v>
                </c:pt>
                <c:pt idx="24">
                  <c:v>1.2557077625570776E-3</c:v>
                </c:pt>
                <c:pt idx="25">
                  <c:v>4.7945205479452057E-3</c:v>
                </c:pt>
                <c:pt idx="26">
                  <c:v>6.8493150684931503E-3</c:v>
                </c:pt>
                <c:pt idx="27">
                  <c:v>1.2557077625570776E-2</c:v>
                </c:pt>
                <c:pt idx="28">
                  <c:v>1.9748858447488585E-2</c:v>
                </c:pt>
                <c:pt idx="29">
                  <c:v>2.9223744292237442E-2</c:v>
                </c:pt>
                <c:pt idx="30">
                  <c:v>4.029680365296804E-2</c:v>
                </c:pt>
                <c:pt idx="31">
                  <c:v>4.8744292237442921E-2</c:v>
                </c:pt>
                <c:pt idx="32">
                  <c:v>6.2557077625570778E-2</c:v>
                </c:pt>
                <c:pt idx="33">
                  <c:v>8.4474885844748854E-2</c:v>
                </c:pt>
                <c:pt idx="34">
                  <c:v>0.10616438356164383</c:v>
                </c:pt>
                <c:pt idx="35">
                  <c:v>0.13070776255707764</c:v>
                </c:pt>
                <c:pt idx="36">
                  <c:v>0.14771689497716894</c:v>
                </c:pt>
                <c:pt idx="37">
                  <c:v>0.17340182648401825</c:v>
                </c:pt>
                <c:pt idx="38">
                  <c:v>0.20468036529680364</c:v>
                </c:pt>
                <c:pt idx="39">
                  <c:v>0.23184931506849316</c:v>
                </c:pt>
                <c:pt idx="40">
                  <c:v>0.27363013698630134</c:v>
                </c:pt>
                <c:pt idx="41">
                  <c:v>0.30490867579908676</c:v>
                </c:pt>
                <c:pt idx="42">
                  <c:v>0.36506849315068496</c:v>
                </c:pt>
                <c:pt idx="43">
                  <c:v>0.40559360730593608</c:v>
                </c:pt>
                <c:pt idx="44">
                  <c:v>0.4534246575342466</c:v>
                </c:pt>
                <c:pt idx="45">
                  <c:v>0.49874429223744293</c:v>
                </c:pt>
                <c:pt idx="46">
                  <c:v>0.51609589041095894</c:v>
                </c:pt>
                <c:pt idx="47">
                  <c:v>0.5501141552511416</c:v>
                </c:pt>
                <c:pt idx="48">
                  <c:v>0.58858447488584476</c:v>
                </c:pt>
                <c:pt idx="49">
                  <c:v>0.6205479452054794</c:v>
                </c:pt>
                <c:pt idx="50">
                  <c:v>0.65936073059360734</c:v>
                </c:pt>
                <c:pt idx="51">
                  <c:v>0.68093607305936077</c:v>
                </c:pt>
                <c:pt idx="52">
                  <c:v>0.71860730593607303</c:v>
                </c:pt>
                <c:pt idx="53">
                  <c:v>0.76404109589041092</c:v>
                </c:pt>
                <c:pt idx="54">
                  <c:v>0.80936073059360736</c:v>
                </c:pt>
                <c:pt idx="55">
                  <c:v>0.84531963470319638</c:v>
                </c:pt>
                <c:pt idx="56">
                  <c:v>0.86312785388127855</c:v>
                </c:pt>
                <c:pt idx="57">
                  <c:v>0.88949771689497714</c:v>
                </c:pt>
                <c:pt idx="58">
                  <c:v>0.91461187214611872</c:v>
                </c:pt>
                <c:pt idx="59">
                  <c:v>0.93641552511415527</c:v>
                </c:pt>
                <c:pt idx="60">
                  <c:v>0.95399543378995433</c:v>
                </c:pt>
                <c:pt idx="61">
                  <c:v>0.96107305936073062</c:v>
                </c:pt>
                <c:pt idx="62">
                  <c:v>0.97305936073059363</c:v>
                </c:pt>
                <c:pt idx="63">
                  <c:v>0.98264840182648405</c:v>
                </c:pt>
                <c:pt idx="64">
                  <c:v>0.99041095890410957</c:v>
                </c:pt>
                <c:pt idx="65">
                  <c:v>0.99566210045662096</c:v>
                </c:pt>
                <c:pt idx="66">
                  <c:v>0.9981735159817352</c:v>
                </c:pt>
                <c:pt idx="67">
                  <c:v>0.9992009132420091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08-4058-81CA-33F218C770F5}"/>
            </c:ext>
          </c:extLst>
        </c:ser>
        <c:ser>
          <c:idx val="3"/>
          <c:order val="3"/>
          <c:tx>
            <c:strRef>
              <c:f>Säädata!$O$3</c:f>
              <c:strCache>
                <c:ptCount val="1"/>
                <c:pt idx="0">
                  <c:v>LAT - Ryga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Säädata!$O$4:$O$84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3.4246575342465754E-4</c:v>
                </c:pt>
                <c:pt idx="22">
                  <c:v>2.5114155251141552E-3</c:v>
                </c:pt>
                <c:pt idx="23">
                  <c:v>3.6529680365296802E-3</c:v>
                </c:pt>
                <c:pt idx="24">
                  <c:v>9.8173515981735161E-3</c:v>
                </c:pt>
                <c:pt idx="25">
                  <c:v>1.2442922374429224E-2</c:v>
                </c:pt>
                <c:pt idx="26">
                  <c:v>1.3926940639269407E-2</c:v>
                </c:pt>
                <c:pt idx="27">
                  <c:v>1.6210045662100457E-2</c:v>
                </c:pt>
                <c:pt idx="28">
                  <c:v>1.9863013698630139E-2</c:v>
                </c:pt>
                <c:pt idx="29">
                  <c:v>2.9109589041095889E-2</c:v>
                </c:pt>
                <c:pt idx="30">
                  <c:v>3.6415525114155252E-2</c:v>
                </c:pt>
                <c:pt idx="31">
                  <c:v>3.9497716894977171E-2</c:v>
                </c:pt>
                <c:pt idx="32">
                  <c:v>4.8401826484018265E-2</c:v>
                </c:pt>
                <c:pt idx="33">
                  <c:v>6.837899543378996E-2</c:v>
                </c:pt>
                <c:pt idx="34">
                  <c:v>8.7899543378995429E-2</c:v>
                </c:pt>
                <c:pt idx="35">
                  <c:v>0.11347031963470319</c:v>
                </c:pt>
                <c:pt idx="36">
                  <c:v>0.1291095890410959</c:v>
                </c:pt>
                <c:pt idx="37">
                  <c:v>0.16598173515981735</c:v>
                </c:pt>
                <c:pt idx="38">
                  <c:v>0.20228310502283106</c:v>
                </c:pt>
                <c:pt idx="39">
                  <c:v>0.24463470319634703</c:v>
                </c:pt>
                <c:pt idx="40">
                  <c:v>0.28938356164383561</c:v>
                </c:pt>
                <c:pt idx="41">
                  <c:v>0.31050228310502281</c:v>
                </c:pt>
                <c:pt idx="42">
                  <c:v>0.35239726027397261</c:v>
                </c:pt>
                <c:pt idx="43">
                  <c:v>0.39063926940639271</c:v>
                </c:pt>
                <c:pt idx="44">
                  <c:v>0.42659817351598173</c:v>
                </c:pt>
                <c:pt idx="45">
                  <c:v>0.46575342465753422</c:v>
                </c:pt>
                <c:pt idx="46">
                  <c:v>0.47979452054794519</c:v>
                </c:pt>
                <c:pt idx="47">
                  <c:v>0.51598173515981738</c:v>
                </c:pt>
                <c:pt idx="48">
                  <c:v>0.5474885844748858</c:v>
                </c:pt>
                <c:pt idx="49">
                  <c:v>0.58287671232876714</c:v>
                </c:pt>
                <c:pt idx="50">
                  <c:v>0.6257990867579909</c:v>
                </c:pt>
                <c:pt idx="51">
                  <c:v>0.64840182648401823</c:v>
                </c:pt>
                <c:pt idx="52">
                  <c:v>0.69326484018264845</c:v>
                </c:pt>
                <c:pt idx="53">
                  <c:v>0.73390410958904106</c:v>
                </c:pt>
                <c:pt idx="54">
                  <c:v>0.77214611872146122</c:v>
                </c:pt>
                <c:pt idx="55">
                  <c:v>0.81084474885844748</c:v>
                </c:pt>
                <c:pt idx="56">
                  <c:v>0.83116438356164379</c:v>
                </c:pt>
                <c:pt idx="57">
                  <c:v>0.86906392694063928</c:v>
                </c:pt>
                <c:pt idx="58">
                  <c:v>0.90148401826484015</c:v>
                </c:pt>
                <c:pt idx="59">
                  <c:v>0.92625570776255706</c:v>
                </c:pt>
                <c:pt idx="60">
                  <c:v>0.95079908675799085</c:v>
                </c:pt>
                <c:pt idx="61">
                  <c:v>0.96198630136986296</c:v>
                </c:pt>
                <c:pt idx="62">
                  <c:v>0.97408675799086752</c:v>
                </c:pt>
                <c:pt idx="63">
                  <c:v>0.98413242009132418</c:v>
                </c:pt>
                <c:pt idx="64">
                  <c:v>0.99132420091324203</c:v>
                </c:pt>
                <c:pt idx="65">
                  <c:v>0.99566210045662096</c:v>
                </c:pt>
                <c:pt idx="66">
                  <c:v>0.99760273972602742</c:v>
                </c:pt>
                <c:pt idx="67">
                  <c:v>0.99931506849315066</c:v>
                </c:pt>
                <c:pt idx="68">
                  <c:v>0.99988584474885844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08-4058-81CA-33F218C770F5}"/>
            </c:ext>
          </c:extLst>
        </c:ser>
        <c:ser>
          <c:idx val="4"/>
          <c:order val="4"/>
          <c:tx>
            <c:strRef>
              <c:f>Säädata!$P$3</c:f>
              <c:strCache>
                <c:ptCount val="1"/>
                <c:pt idx="0">
                  <c:v>LTU - Wilno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Säädata!$P$4:$P$84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1.1415525114155251E-4</c:v>
                </c:pt>
                <c:pt idx="17">
                  <c:v>1.1415525114155251E-3</c:v>
                </c:pt>
                <c:pt idx="18">
                  <c:v>2.2831050228310501E-3</c:v>
                </c:pt>
                <c:pt idx="19">
                  <c:v>3.3105022831050228E-3</c:v>
                </c:pt>
                <c:pt idx="20">
                  <c:v>5.5936073059360729E-3</c:v>
                </c:pt>
                <c:pt idx="21">
                  <c:v>6.392694063926941E-3</c:v>
                </c:pt>
                <c:pt idx="22">
                  <c:v>7.0776255707762558E-3</c:v>
                </c:pt>
                <c:pt idx="23">
                  <c:v>7.9908675799086754E-3</c:v>
                </c:pt>
                <c:pt idx="24">
                  <c:v>1.1301369863013699E-2</c:v>
                </c:pt>
                <c:pt idx="25">
                  <c:v>1.3470319634703196E-2</c:v>
                </c:pt>
                <c:pt idx="26">
                  <c:v>1.5639269406392695E-2</c:v>
                </c:pt>
                <c:pt idx="27">
                  <c:v>2.0205479452054795E-2</c:v>
                </c:pt>
                <c:pt idx="28">
                  <c:v>2.8995433789954339E-2</c:v>
                </c:pt>
                <c:pt idx="29">
                  <c:v>3.6073059360730596E-2</c:v>
                </c:pt>
                <c:pt idx="30">
                  <c:v>4.5890410958904108E-2</c:v>
                </c:pt>
                <c:pt idx="31">
                  <c:v>5.2054794520547946E-2</c:v>
                </c:pt>
                <c:pt idx="32">
                  <c:v>6.7009132420091322E-2</c:v>
                </c:pt>
                <c:pt idx="33">
                  <c:v>8.2762557077625573E-2</c:v>
                </c:pt>
                <c:pt idx="34">
                  <c:v>0.10582191780821917</c:v>
                </c:pt>
                <c:pt idx="35">
                  <c:v>0.13070776255707764</c:v>
                </c:pt>
                <c:pt idx="36">
                  <c:v>0.14874429223744293</c:v>
                </c:pt>
                <c:pt idx="37">
                  <c:v>0.19075342465753425</c:v>
                </c:pt>
                <c:pt idx="38">
                  <c:v>0.22910958904109588</c:v>
                </c:pt>
                <c:pt idx="39">
                  <c:v>0.27100456621004565</c:v>
                </c:pt>
                <c:pt idx="40">
                  <c:v>0.30810502283105023</c:v>
                </c:pt>
                <c:pt idx="41">
                  <c:v>0.32968036529680367</c:v>
                </c:pt>
                <c:pt idx="42">
                  <c:v>0.36723744292237442</c:v>
                </c:pt>
                <c:pt idx="43">
                  <c:v>0.40273972602739727</c:v>
                </c:pt>
                <c:pt idx="44">
                  <c:v>0.4343607305936073</c:v>
                </c:pt>
                <c:pt idx="45">
                  <c:v>0.46700913242009134</c:v>
                </c:pt>
                <c:pt idx="46">
                  <c:v>0.48881278538812784</c:v>
                </c:pt>
                <c:pt idx="47">
                  <c:v>0.52465753424657535</c:v>
                </c:pt>
                <c:pt idx="48">
                  <c:v>0.5592465753424658</c:v>
                </c:pt>
                <c:pt idx="49">
                  <c:v>0.59509132420091326</c:v>
                </c:pt>
                <c:pt idx="50">
                  <c:v>0.63401826484018264</c:v>
                </c:pt>
                <c:pt idx="51">
                  <c:v>0.65228310502283104</c:v>
                </c:pt>
                <c:pt idx="52">
                  <c:v>0.68949771689497719</c:v>
                </c:pt>
                <c:pt idx="53">
                  <c:v>0.72397260273972608</c:v>
                </c:pt>
                <c:pt idx="54">
                  <c:v>0.75821917808219175</c:v>
                </c:pt>
                <c:pt idx="55">
                  <c:v>0.79429223744292232</c:v>
                </c:pt>
                <c:pt idx="56">
                  <c:v>0.81198630136986305</c:v>
                </c:pt>
                <c:pt idx="57">
                  <c:v>0.8504566210045662</c:v>
                </c:pt>
                <c:pt idx="58">
                  <c:v>0.88789954337899546</c:v>
                </c:pt>
                <c:pt idx="59">
                  <c:v>0.91837899543378998</c:v>
                </c:pt>
                <c:pt idx="60">
                  <c:v>0.94200913242009132</c:v>
                </c:pt>
                <c:pt idx="61">
                  <c:v>0.95125570776255708</c:v>
                </c:pt>
                <c:pt idx="62">
                  <c:v>0.96643835616438356</c:v>
                </c:pt>
                <c:pt idx="63">
                  <c:v>0.97785388127853878</c:v>
                </c:pt>
                <c:pt idx="64">
                  <c:v>0.98732876712328765</c:v>
                </c:pt>
                <c:pt idx="65">
                  <c:v>0.99326484018264838</c:v>
                </c:pt>
                <c:pt idx="66">
                  <c:v>0.9953196347031964</c:v>
                </c:pt>
                <c:pt idx="67">
                  <c:v>0.99805936073059365</c:v>
                </c:pt>
                <c:pt idx="68">
                  <c:v>0.99931506849315066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08-4058-81CA-33F218C770F5}"/>
            </c:ext>
          </c:extLst>
        </c:ser>
        <c:ser>
          <c:idx val="5"/>
          <c:order val="5"/>
          <c:tx>
            <c:strRef>
              <c:f>Säädata!$Q$3</c:f>
              <c:strCache>
                <c:ptCount val="1"/>
                <c:pt idx="0">
                  <c:v>POL - Warszawa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Säädata!$Q$4:$Q$84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3.4246575342465754E-4</c:v>
                </c:pt>
                <c:pt idx="23">
                  <c:v>1.0273972602739725E-3</c:v>
                </c:pt>
                <c:pt idx="24">
                  <c:v>2.054794520547945E-3</c:v>
                </c:pt>
                <c:pt idx="25">
                  <c:v>3.767123287671233E-3</c:v>
                </c:pt>
                <c:pt idx="26">
                  <c:v>4.7945205479452057E-3</c:v>
                </c:pt>
                <c:pt idx="27">
                  <c:v>6.735159817351598E-3</c:v>
                </c:pt>
                <c:pt idx="28">
                  <c:v>9.7031963470319629E-3</c:v>
                </c:pt>
                <c:pt idx="29">
                  <c:v>1.3356164383561644E-2</c:v>
                </c:pt>
                <c:pt idx="30">
                  <c:v>1.8036529680365298E-2</c:v>
                </c:pt>
                <c:pt idx="31">
                  <c:v>2.0547945205479451E-2</c:v>
                </c:pt>
                <c:pt idx="32">
                  <c:v>2.5228310502283104E-2</c:v>
                </c:pt>
                <c:pt idx="33">
                  <c:v>3.4018264840182645E-2</c:v>
                </c:pt>
                <c:pt idx="34">
                  <c:v>4.9086757990867577E-2</c:v>
                </c:pt>
                <c:pt idx="35">
                  <c:v>6.9977168949771684E-2</c:v>
                </c:pt>
                <c:pt idx="36">
                  <c:v>8.3447488584474885E-2</c:v>
                </c:pt>
                <c:pt idx="37">
                  <c:v>0.11529680365296803</c:v>
                </c:pt>
                <c:pt idx="38">
                  <c:v>0.15376712328767123</c:v>
                </c:pt>
                <c:pt idx="39">
                  <c:v>0.19121004566210045</c:v>
                </c:pt>
                <c:pt idx="40">
                  <c:v>0.22979452054794522</c:v>
                </c:pt>
                <c:pt idx="41">
                  <c:v>0.24520547945205479</c:v>
                </c:pt>
                <c:pt idx="42">
                  <c:v>0.27716894977168949</c:v>
                </c:pt>
                <c:pt idx="43">
                  <c:v>0.31324200913242012</c:v>
                </c:pt>
                <c:pt idx="44">
                  <c:v>0.3476027397260274</c:v>
                </c:pt>
                <c:pt idx="45">
                  <c:v>0.38367579908675797</c:v>
                </c:pt>
                <c:pt idx="46">
                  <c:v>0.40742009132420093</c:v>
                </c:pt>
                <c:pt idx="47">
                  <c:v>0.4480593607305936</c:v>
                </c:pt>
                <c:pt idx="48">
                  <c:v>0.48413242009132418</c:v>
                </c:pt>
                <c:pt idx="49">
                  <c:v>0.52465753424657535</c:v>
                </c:pt>
                <c:pt idx="50">
                  <c:v>0.5639269406392694</c:v>
                </c:pt>
                <c:pt idx="51">
                  <c:v>0.58424657534246571</c:v>
                </c:pt>
                <c:pt idx="52">
                  <c:v>0.62785388127853881</c:v>
                </c:pt>
                <c:pt idx="53">
                  <c:v>0.66997716894977166</c:v>
                </c:pt>
                <c:pt idx="54">
                  <c:v>0.7179223744292238</c:v>
                </c:pt>
                <c:pt idx="55">
                  <c:v>0.76210045662100456</c:v>
                </c:pt>
                <c:pt idx="56">
                  <c:v>0.78047945205479452</c:v>
                </c:pt>
                <c:pt idx="57">
                  <c:v>0.82351598173515983</c:v>
                </c:pt>
                <c:pt idx="58">
                  <c:v>0.86461187214611868</c:v>
                </c:pt>
                <c:pt idx="59">
                  <c:v>0.89452054794520552</c:v>
                </c:pt>
                <c:pt idx="60">
                  <c:v>0.92123287671232879</c:v>
                </c:pt>
                <c:pt idx="61">
                  <c:v>0.93287671232876712</c:v>
                </c:pt>
                <c:pt idx="62">
                  <c:v>0.95091324200913241</c:v>
                </c:pt>
                <c:pt idx="63">
                  <c:v>0.9671232876712329</c:v>
                </c:pt>
                <c:pt idx="64">
                  <c:v>0.97819634703196345</c:v>
                </c:pt>
                <c:pt idx="65">
                  <c:v>0.98732876712328765</c:v>
                </c:pt>
                <c:pt idx="66">
                  <c:v>0.99018264840182646</c:v>
                </c:pt>
                <c:pt idx="67">
                  <c:v>0.99543378995433784</c:v>
                </c:pt>
                <c:pt idx="68">
                  <c:v>0.99760273972602742</c:v>
                </c:pt>
                <c:pt idx="69">
                  <c:v>0.9992009132420091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08-4058-81CA-33F218C770F5}"/>
            </c:ext>
          </c:extLst>
        </c:ser>
        <c:ser>
          <c:idx val="6"/>
          <c:order val="6"/>
          <c:tx>
            <c:strRef>
              <c:f>Säädata!$R$3</c:f>
              <c:strCache>
                <c:ptCount val="1"/>
                <c:pt idx="0">
                  <c:v>POL - Kraków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Säädata!$R$4:$R$84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1.1415525114155251E-4</c:v>
                </c:pt>
                <c:pt idx="24">
                  <c:v>1.8264840182648401E-3</c:v>
                </c:pt>
                <c:pt idx="25">
                  <c:v>3.4246575342465752E-3</c:v>
                </c:pt>
                <c:pt idx="26">
                  <c:v>4.4520547945205479E-3</c:v>
                </c:pt>
                <c:pt idx="27">
                  <c:v>7.534246575342466E-3</c:v>
                </c:pt>
                <c:pt idx="28">
                  <c:v>1.0159817351598174E-2</c:v>
                </c:pt>
                <c:pt idx="29">
                  <c:v>1.3812785388127854E-2</c:v>
                </c:pt>
                <c:pt idx="30">
                  <c:v>1.6552511415525113E-2</c:v>
                </c:pt>
                <c:pt idx="31">
                  <c:v>1.872146118721461E-2</c:v>
                </c:pt>
                <c:pt idx="32">
                  <c:v>2.5684931506849314E-2</c:v>
                </c:pt>
                <c:pt idx="33">
                  <c:v>3.8698630136986302E-2</c:v>
                </c:pt>
                <c:pt idx="34">
                  <c:v>5.4337899543378997E-2</c:v>
                </c:pt>
                <c:pt idx="35">
                  <c:v>7.0205479452054798E-2</c:v>
                </c:pt>
                <c:pt idx="36">
                  <c:v>8.1735159817351605E-2</c:v>
                </c:pt>
                <c:pt idx="37">
                  <c:v>0.10251141552511416</c:v>
                </c:pt>
                <c:pt idx="38">
                  <c:v>0.13390410958904109</c:v>
                </c:pt>
                <c:pt idx="39">
                  <c:v>0.16929223744292238</c:v>
                </c:pt>
                <c:pt idx="40">
                  <c:v>0.20833333333333334</c:v>
                </c:pt>
                <c:pt idx="41">
                  <c:v>0.22888127853881279</c:v>
                </c:pt>
                <c:pt idx="42">
                  <c:v>0.26529680365296804</c:v>
                </c:pt>
                <c:pt idx="43">
                  <c:v>0.30445205479452053</c:v>
                </c:pt>
                <c:pt idx="44">
                  <c:v>0.3393835616438356</c:v>
                </c:pt>
                <c:pt idx="45">
                  <c:v>0.37614155251141551</c:v>
                </c:pt>
                <c:pt idx="46">
                  <c:v>0.39474885844748858</c:v>
                </c:pt>
                <c:pt idx="47">
                  <c:v>0.43378995433789952</c:v>
                </c:pt>
                <c:pt idx="48">
                  <c:v>0.47066210045662099</c:v>
                </c:pt>
                <c:pt idx="49">
                  <c:v>0.50924657534246576</c:v>
                </c:pt>
                <c:pt idx="50">
                  <c:v>0.55251141552511418</c:v>
                </c:pt>
                <c:pt idx="51">
                  <c:v>0.57043378995433791</c:v>
                </c:pt>
                <c:pt idx="52">
                  <c:v>0.60696347031963471</c:v>
                </c:pt>
                <c:pt idx="53">
                  <c:v>0.65228310502283104</c:v>
                </c:pt>
                <c:pt idx="54">
                  <c:v>0.69086757990867576</c:v>
                </c:pt>
                <c:pt idx="55">
                  <c:v>0.72910958904109591</c:v>
                </c:pt>
                <c:pt idx="56">
                  <c:v>0.75102739726027401</c:v>
                </c:pt>
                <c:pt idx="57">
                  <c:v>0.7901826484018265</c:v>
                </c:pt>
                <c:pt idx="58">
                  <c:v>0.82773972602739732</c:v>
                </c:pt>
                <c:pt idx="59">
                  <c:v>0.86472602739726023</c:v>
                </c:pt>
                <c:pt idx="60">
                  <c:v>0.8969178082191781</c:v>
                </c:pt>
                <c:pt idx="61">
                  <c:v>0.91255707762557081</c:v>
                </c:pt>
                <c:pt idx="62">
                  <c:v>0.93515981735159814</c:v>
                </c:pt>
                <c:pt idx="63">
                  <c:v>0.95525114155251145</c:v>
                </c:pt>
                <c:pt idx="64">
                  <c:v>0.97111872146118716</c:v>
                </c:pt>
                <c:pt idx="65">
                  <c:v>0.98344748858447484</c:v>
                </c:pt>
                <c:pt idx="66">
                  <c:v>0.98755707762557077</c:v>
                </c:pt>
                <c:pt idx="67">
                  <c:v>0.99337899543378994</c:v>
                </c:pt>
                <c:pt idx="68">
                  <c:v>0.99726027397260275</c:v>
                </c:pt>
                <c:pt idx="69">
                  <c:v>0.99863013698630132</c:v>
                </c:pt>
                <c:pt idx="70">
                  <c:v>0.99977168949771689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E08-4058-81CA-33F218C77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180400"/>
        <c:axId val="252783936"/>
      </c:scatterChart>
      <c:valAx>
        <c:axId val="247180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°C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2783936"/>
        <c:crosses val="autoZero"/>
        <c:crossBetween val="midCat"/>
      </c:valAx>
      <c:valAx>
        <c:axId val="25278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47180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LEV-455-230, pituus 350 mm, s=2.3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hyötysuhde'!$E$98</c:f>
              <c:strCache>
                <c:ptCount val="1"/>
                <c:pt idx="0">
                  <c:v>LEV-455-230, pituus 350 mm, s=2.3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hyötysuhde'!$E$105:$E$113</c:f>
              <c:numCache>
                <c:formatCode>General</c:formatCode>
                <c:ptCount val="9"/>
                <c:pt idx="0">
                  <c:v>100</c:v>
                </c:pt>
                <c:pt idx="1">
                  <c:v>90</c:v>
                </c:pt>
                <c:pt idx="2">
                  <c:v>80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22</c:v>
                </c:pt>
              </c:numCache>
            </c:numRef>
          </c:xVal>
          <c:yVal>
            <c:numRef>
              <c:f>'Kojeet ja kennon hyötysuhde'!$F$105:$F$113</c:f>
              <c:numCache>
                <c:formatCode>0.0\ %</c:formatCode>
                <c:ptCount val="9"/>
                <c:pt idx="0">
                  <c:v>0.78100000000000003</c:v>
                </c:pt>
                <c:pt idx="1">
                  <c:v>0.78400000000000003</c:v>
                </c:pt>
                <c:pt idx="2">
                  <c:v>0.78700000000000003</c:v>
                </c:pt>
                <c:pt idx="3">
                  <c:v>0.79100000000000004</c:v>
                </c:pt>
                <c:pt idx="4">
                  <c:v>0.79500000000000004</c:v>
                </c:pt>
                <c:pt idx="5">
                  <c:v>0.80200000000000005</c:v>
                </c:pt>
                <c:pt idx="6">
                  <c:v>0.81299999999999994</c:v>
                </c:pt>
                <c:pt idx="7">
                  <c:v>0.83399999999999996</c:v>
                </c:pt>
                <c:pt idx="8">
                  <c:v>0.86399999999999999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29-4C0E-AC7D-96D3B9FA6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LEV-500-270, pituus 350 mm, s=2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hyötysuhde'!$E$124</c:f>
              <c:strCache>
                <c:ptCount val="1"/>
                <c:pt idx="0">
                  <c:v>LEV-500-270, pituus 350 mm, s=2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hyötysuhde'!$E$131:$E$139</c:f>
              <c:numCache>
                <c:formatCode>General</c:formatCode>
                <c:ptCount val="9"/>
                <c:pt idx="0">
                  <c:v>120</c:v>
                </c:pt>
                <c:pt idx="1">
                  <c:v>100</c:v>
                </c:pt>
                <c:pt idx="2">
                  <c:v>90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25</c:v>
                </c:pt>
              </c:numCache>
            </c:numRef>
          </c:xVal>
          <c:yVal>
            <c:numRef>
              <c:f>'Kojeet ja kennon hyötysuhde'!$F$131:$F$139</c:f>
              <c:numCache>
                <c:formatCode>0.0\ %</c:formatCode>
                <c:ptCount val="9"/>
                <c:pt idx="0">
                  <c:v>0.79100000000000004</c:v>
                </c:pt>
                <c:pt idx="1">
                  <c:v>0.79700000000000004</c:v>
                </c:pt>
                <c:pt idx="2">
                  <c:v>0.80100000000000005</c:v>
                </c:pt>
                <c:pt idx="3">
                  <c:v>0.81299999999999994</c:v>
                </c:pt>
                <c:pt idx="4">
                  <c:v>0.82099999999999995</c:v>
                </c:pt>
                <c:pt idx="5">
                  <c:v>0.83099999999999996</c:v>
                </c:pt>
                <c:pt idx="6">
                  <c:v>0.84299999999999997</c:v>
                </c:pt>
                <c:pt idx="7">
                  <c:v>0.85899999999999999</c:v>
                </c:pt>
                <c:pt idx="8">
                  <c:v>0.87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DF-4956-A071-8DE3932ED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LEV-620-394-500-(lamelli 2,2)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4535039370078739"/>
                  <c:y val="-0.443118985126859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hyötysuhde'!$U$102:$U$109</c:f>
              <c:numCache>
                <c:formatCode>General</c:formatCode>
                <c:ptCount val="8"/>
                <c:pt idx="0">
                  <c:v>50</c:v>
                </c:pt>
                <c:pt idx="1">
                  <c:v>75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'Kojeet ja kennon hyötysuhde'!$W$101:$W$108</c:f>
              <c:numCache>
                <c:formatCode>General</c:formatCode>
                <c:ptCount val="8"/>
                <c:pt idx="0">
                  <c:v>83.5</c:v>
                </c:pt>
                <c:pt idx="1">
                  <c:v>81.5</c:v>
                </c:pt>
                <c:pt idx="2">
                  <c:v>80.2</c:v>
                </c:pt>
                <c:pt idx="3">
                  <c:v>78.5</c:v>
                </c:pt>
                <c:pt idx="4">
                  <c:v>77.2</c:v>
                </c:pt>
                <c:pt idx="5">
                  <c:v>76.2</c:v>
                </c:pt>
                <c:pt idx="6">
                  <c:v>75.599999999999994</c:v>
                </c:pt>
                <c:pt idx="7">
                  <c:v>75.3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67-45D7-B3BF-DA8FC180A61F}"/>
            </c:ext>
          </c:extLst>
        </c:ser>
        <c:ser>
          <c:idx val="1"/>
          <c:order val="1"/>
          <c:tx>
            <c:v>Usanon laskentamalli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hyötysuhde'!$V$130:$V$136</c:f>
              <c:numCache>
                <c:formatCode>General</c:formatCode>
                <c:ptCount val="7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350</c:v>
                </c:pt>
              </c:numCache>
            </c:numRef>
          </c:xVal>
          <c:yVal>
            <c:numRef>
              <c:f>'Kojeet ja kennon hyötysuhde'!$AG$130:$AG$136</c:f>
              <c:numCache>
                <c:formatCode>General</c:formatCode>
                <c:ptCount val="7"/>
                <c:pt idx="0">
                  <c:v>79.5</c:v>
                </c:pt>
                <c:pt idx="1">
                  <c:v>79.5</c:v>
                </c:pt>
                <c:pt idx="2">
                  <c:v>79.5</c:v>
                </c:pt>
                <c:pt idx="3">
                  <c:v>79.273759267300321</c:v>
                </c:pt>
                <c:pt idx="4">
                  <c:v>78.235849475724109</c:v>
                </c:pt>
                <c:pt idx="5">
                  <c:v>77.532048776957595</c:v>
                </c:pt>
                <c:pt idx="6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8FC-4776-84A7-95D2488EA4C6}"/>
            </c:ext>
          </c:extLst>
        </c:ser>
        <c:ser>
          <c:idx val="2"/>
          <c:order val="2"/>
          <c:tx>
            <c:v>Usano sovitteeseen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287612429741248"/>
                  <c:y val="-0.189936102814734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hyötysuhde'!$V$133:$V$136</c:f>
              <c:numCache>
                <c:formatCode>General</c:formatCode>
                <c:ptCount val="4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</c:numCache>
            </c:numRef>
          </c:xVal>
          <c:yVal>
            <c:numRef>
              <c:f>'Kojeet ja kennon hyötysuhde'!$AG$133:$AG$136</c:f>
              <c:numCache>
                <c:formatCode>General</c:formatCode>
                <c:ptCount val="4"/>
                <c:pt idx="0">
                  <c:v>79.273759267300321</c:v>
                </c:pt>
                <c:pt idx="1">
                  <c:v>78.235849475724109</c:v>
                </c:pt>
                <c:pt idx="2">
                  <c:v>77.532048776957595</c:v>
                </c:pt>
                <c:pt idx="3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FC-4776-84A7-95D2488EA4C6}"/>
            </c:ext>
          </c:extLst>
        </c:ser>
        <c:ser>
          <c:idx val="3"/>
          <c:order val="3"/>
          <c:tx>
            <c:v>Mitoutispiste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hyötysuhde'!$AC$119</c:f>
              <c:numCache>
                <c:formatCode>General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'Kojeet ja kennon hyötysuhde'!$AH$121</c:f>
              <c:numCache>
                <c:formatCode>0.0</c:formatCode>
                <c:ptCount val="1"/>
                <c:pt idx="0">
                  <c:v>86.816287737159058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8FC-4776-84A7-95D2488EA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850696"/>
        <c:axId val="660852992"/>
      </c:scatterChart>
      <c:valAx>
        <c:axId val="660850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dm3/s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2992"/>
        <c:crosses val="autoZero"/>
        <c:crossBetween val="midCat"/>
      </c:valAx>
      <c:valAx>
        <c:axId val="66085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Hyötysuhde tulo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0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13141-7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hyötysuhde'!$E$24:$E$29</c:f>
              <c:numCache>
                <c:formatCode>General</c:formatCode>
                <c:ptCount val="6"/>
                <c:pt idx="0">
                  <c:v>18</c:v>
                </c:pt>
                <c:pt idx="1">
                  <c:v>28</c:v>
                </c:pt>
                <c:pt idx="2">
                  <c:v>36</c:v>
                </c:pt>
                <c:pt idx="3">
                  <c:v>61.5</c:v>
                </c:pt>
                <c:pt idx="4">
                  <c:v>90</c:v>
                </c:pt>
                <c:pt idx="5">
                  <c:v>130</c:v>
                </c:pt>
              </c:numCache>
            </c:numRef>
          </c:xVal>
          <c:yVal>
            <c:numRef>
              <c:f>'Kojeet ja kennon hyötysuhde'!$G$24:$G$29</c:f>
              <c:numCache>
                <c:formatCode>0.0</c:formatCode>
                <c:ptCount val="6"/>
                <c:pt idx="0">
                  <c:v>79.8</c:v>
                </c:pt>
                <c:pt idx="1">
                  <c:v>79.7</c:v>
                </c:pt>
                <c:pt idx="2">
                  <c:v>79.599999999999994</c:v>
                </c:pt>
                <c:pt idx="3">
                  <c:v>79.5</c:v>
                </c:pt>
                <c:pt idx="4">
                  <c:v>78.5</c:v>
                </c:pt>
                <c:pt idx="5">
                  <c:v>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B0-4962-AA47-9E2C6BD76019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hyötysuhde'!$F$36</c:f>
              <c:numCache>
                <c:formatCode>0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'Kojeet ja kennon hyötysuhde'!$F$38</c:f>
              <c:numCache>
                <c:formatCode>0.0</c:formatCode>
                <c:ptCount val="1"/>
                <c:pt idx="0">
                  <c:v>79.8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B0-4962-AA47-9E2C6BD76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308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hyötysuhde'!$E$24:$E$30</c:f>
              <c:numCache>
                <c:formatCode>General</c:formatCode>
                <c:ptCount val="7"/>
                <c:pt idx="0">
                  <c:v>18</c:v>
                </c:pt>
                <c:pt idx="1">
                  <c:v>28</c:v>
                </c:pt>
                <c:pt idx="2">
                  <c:v>36</c:v>
                </c:pt>
                <c:pt idx="3">
                  <c:v>61.5</c:v>
                </c:pt>
                <c:pt idx="4">
                  <c:v>90</c:v>
                </c:pt>
                <c:pt idx="5">
                  <c:v>130</c:v>
                </c:pt>
                <c:pt idx="6">
                  <c:v>130</c:v>
                </c:pt>
              </c:numCache>
            </c:numRef>
          </c:xVal>
          <c:yVal>
            <c:numRef>
              <c:f>'Kojeet ja kennon hyötysuhde'!$H$24:$H$30</c:f>
              <c:numCache>
                <c:formatCode>0.0</c:formatCode>
                <c:ptCount val="7"/>
                <c:pt idx="0">
                  <c:v>81.75</c:v>
                </c:pt>
                <c:pt idx="1">
                  <c:v>81.5</c:v>
                </c:pt>
                <c:pt idx="2">
                  <c:v>81</c:v>
                </c:pt>
                <c:pt idx="3">
                  <c:v>80.3</c:v>
                </c:pt>
                <c:pt idx="4">
                  <c:v>79.5</c:v>
                </c:pt>
                <c:pt idx="5">
                  <c:v>78.2</c:v>
                </c:pt>
                <c:pt idx="6">
                  <c:v>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49-456D-B212-A310A897648A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hyötysuhde'!$F$36</c:f>
              <c:numCache>
                <c:formatCode>0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'Kojeet ja kennon hyötysuhde'!$F$39</c:f>
              <c:numCache>
                <c:formatCode>0.0</c:formatCode>
                <c:ptCount val="1"/>
                <c:pt idx="0">
                  <c:v>81.75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49-456D-B212-A310A8976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Poisto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keittiöohitus 53mini'!$C$12:$J$12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1-4C01-B92D-5A95DE80E942}"/>
            </c:ext>
          </c:extLst>
        </c:ser>
        <c:ser>
          <c:idx val="1"/>
          <c:order val="1"/>
          <c:tx>
            <c:v>Jäte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keittiöohitus 53mini'!$C$13:$J$13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1-4C01-B92D-5A95DE80E942}"/>
            </c:ext>
          </c:extLst>
        </c:ser>
        <c:ser>
          <c:idx val="2"/>
          <c:order val="2"/>
          <c:tx>
            <c:v>Keittiö</c:v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'Laskenta keittiöohitus 53mini'!$C$16:$J$16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1-4C01-B92D-5A95DE80E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020031"/>
        <c:axId val="25004671"/>
      </c:lineChart>
      <c:catAx>
        <c:axId val="2502003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004671"/>
        <c:crosses val="autoZero"/>
        <c:auto val="1"/>
        <c:lblAlgn val="ctr"/>
        <c:lblOffset val="100"/>
        <c:noMultiLvlLbl val="0"/>
      </c:catAx>
      <c:valAx>
        <c:axId val="25004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020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1725896762904633"/>
                  <c:y val="4.438247302420530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C5'!$N$8:$N$14</c:f>
              <c:numCache>
                <c:formatCode>0</c:formatCode>
                <c:ptCount val="7"/>
                <c:pt idx="0">
                  <c:v>4388.9688496702984</c:v>
                </c:pt>
                <c:pt idx="1">
                  <c:v>5309.2365116979418</c:v>
                </c:pt>
                <c:pt idx="2">
                  <c:v>8494.7784187167072</c:v>
                </c:pt>
                <c:pt idx="3">
                  <c:v>4388.9688496702984</c:v>
                </c:pt>
                <c:pt idx="4">
                  <c:v>3964.2299287344631</c:v>
                </c:pt>
                <c:pt idx="5">
                  <c:v>3539.4910077986274</c:v>
                </c:pt>
                <c:pt idx="6">
                  <c:v>3114.7520868627926</c:v>
                </c:pt>
              </c:numCache>
            </c:numRef>
          </c:xVal>
          <c:yVal>
            <c:numRef>
              <c:f>'Laskenta vesipatteri C5'!$O$8:$O$14</c:f>
              <c:numCache>
                <c:formatCode>0.0</c:formatCode>
                <c:ptCount val="7"/>
                <c:pt idx="0">
                  <c:v>0.29666666666665975</c:v>
                </c:pt>
                <c:pt idx="1">
                  <c:v>-0.4704301075268873</c:v>
                </c:pt>
                <c:pt idx="2">
                  <c:v>0.72365591397849016</c:v>
                </c:pt>
                <c:pt idx="3">
                  <c:v>0.29666666666665975</c:v>
                </c:pt>
                <c:pt idx="4">
                  <c:v>0.41311827956988623</c:v>
                </c:pt>
                <c:pt idx="5">
                  <c:v>-0.4704301075268873</c:v>
                </c:pt>
                <c:pt idx="6">
                  <c:v>-0.85397849462366082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C0-4EA4-9021-6C3665F7612F}"/>
            </c:ext>
          </c:extLst>
        </c:ser>
        <c:ser>
          <c:idx val="1"/>
          <c:order val="1"/>
          <c:tx>
            <c:v>100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3798556430446199E-2"/>
                  <c:y val="0.392374963546223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C5'!$N$18:$N$22</c:f>
              <c:numCache>
                <c:formatCode>0</c:formatCode>
                <c:ptCount val="5"/>
                <c:pt idx="0">
                  <c:v>3822.6502884225179</c:v>
                </c:pt>
                <c:pt idx="1">
                  <c:v>7078.9820155972548</c:v>
                </c:pt>
                <c:pt idx="2">
                  <c:v>6512.6634543494738</c:v>
                </c:pt>
                <c:pt idx="3">
                  <c:v>5663.1856124778033</c:v>
                </c:pt>
                <c:pt idx="4">
                  <c:v>4955.2874109180793</c:v>
                </c:pt>
              </c:numCache>
            </c:numRef>
          </c:xVal>
          <c:yVal>
            <c:numRef>
              <c:f>'Laskenta vesipatteri C5'!$O$18:$O$22</c:f>
              <c:numCache>
                <c:formatCode>0.0</c:formatCode>
                <c:ptCount val="5"/>
                <c:pt idx="0">
                  <c:v>-4.9372606692935204</c:v>
                </c:pt>
                <c:pt idx="1">
                  <c:v>0.89649814085133528</c:v>
                </c:pt>
                <c:pt idx="2">
                  <c:v>1.1047782895832228</c:v>
                </c:pt>
                <c:pt idx="3">
                  <c:v>-0.58280148731893533</c:v>
                </c:pt>
                <c:pt idx="4">
                  <c:v>-1.0724513014040689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2C0-4EA4-9021-6C3665F7612F}"/>
            </c:ext>
          </c:extLst>
        </c:ser>
        <c:ser>
          <c:idx val="2"/>
          <c:order val="2"/>
          <c:tx>
            <c:v>200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C5'!$N$26:$N$30</c:f>
              <c:numCache>
                <c:formatCode>0</c:formatCode>
                <c:ptCount val="5"/>
                <c:pt idx="0">
                  <c:v>6158.7143535696114</c:v>
                </c:pt>
                <c:pt idx="1">
                  <c:v>11184.791584643664</c:v>
                </c:pt>
                <c:pt idx="2">
                  <c:v>9910.5748218361587</c:v>
                </c:pt>
                <c:pt idx="3">
                  <c:v>8494.7784187167072</c:v>
                </c:pt>
                <c:pt idx="4">
                  <c:v>7503.72093653309</c:v>
                </c:pt>
              </c:numCache>
            </c:numRef>
          </c:xVal>
          <c:yVal>
            <c:numRef>
              <c:f>'Laskenta vesipatteri C5'!$O$26:$O$30</c:f>
              <c:numCache>
                <c:formatCode>0.0</c:formatCode>
                <c:ptCount val="5"/>
                <c:pt idx="0">
                  <c:v>-4.338843364415558</c:v>
                </c:pt>
                <c:pt idx="1">
                  <c:v>1.4390129038334791</c:v>
                </c:pt>
                <c:pt idx="2">
                  <c:v>-0.11100122445134986</c:v>
                </c:pt>
                <c:pt idx="3">
                  <c:v>-2.1665724781011555</c:v>
                </c:pt>
                <c:pt idx="4">
                  <c:v>-2.2054723556560205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2C0-4EA4-9021-6C3665F7612F}"/>
            </c:ext>
          </c:extLst>
        </c:ser>
        <c:ser>
          <c:idx val="3"/>
          <c:order val="3"/>
          <c:tx>
            <c:v>300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C5'!$N$34:$N$38</c:f>
              <c:numCache>
                <c:formatCode>0</c:formatCode>
                <c:ptCount val="5"/>
                <c:pt idx="0">
                  <c:v>7645.3005768450357</c:v>
                </c:pt>
                <c:pt idx="1">
                  <c:v>14299.543671506455</c:v>
                </c:pt>
                <c:pt idx="2">
                  <c:v>12175.849066827279</c:v>
                </c:pt>
                <c:pt idx="3">
                  <c:v>10760.052663707826</c:v>
                </c:pt>
                <c:pt idx="4">
                  <c:v>9202.676620276432</c:v>
                </c:pt>
              </c:numCache>
            </c:numRef>
          </c:xVal>
          <c:yVal>
            <c:numRef>
              <c:f>'Laskenta vesipatteri C5'!$O$34:$O$38</c:f>
              <c:numCache>
                <c:formatCode>0.0</c:formatCode>
                <c:ptCount val="5"/>
                <c:pt idx="0">
                  <c:v>-4.4844630116410027</c:v>
                </c:pt>
                <c:pt idx="1">
                  <c:v>2.5297009951182972</c:v>
                </c:pt>
                <c:pt idx="2">
                  <c:v>-0.93510608336461587</c:v>
                </c:pt>
                <c:pt idx="3">
                  <c:v>-1.7449774690198936</c:v>
                </c:pt>
                <c:pt idx="4">
                  <c:v>-2.9858359932406984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2C0-4EA4-9021-6C3665F76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286560"/>
        <c:axId val="630285904"/>
      </c:scatterChart>
      <c:valAx>
        <c:axId val="63028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5904"/>
        <c:crosses val="autoZero"/>
        <c:crossBetween val="midCat"/>
      </c:valAx>
      <c:valAx>
        <c:axId val="6302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1725896762904633"/>
                  <c:y val="4.438247302420530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350'!$N$8:$N$14</c:f>
              <c:numCache>
                <c:formatCode>0</c:formatCode>
                <c:ptCount val="7"/>
                <c:pt idx="0">
                  <c:v>4388.9688496702984</c:v>
                </c:pt>
                <c:pt idx="1">
                  <c:v>5309.2365116979418</c:v>
                </c:pt>
                <c:pt idx="2">
                  <c:v>8494.7784187167072</c:v>
                </c:pt>
                <c:pt idx="3">
                  <c:v>4388.9688496702984</c:v>
                </c:pt>
                <c:pt idx="4">
                  <c:v>3964.2299287344631</c:v>
                </c:pt>
                <c:pt idx="5">
                  <c:v>3539.4910077986274</c:v>
                </c:pt>
                <c:pt idx="6">
                  <c:v>3114.7520868627926</c:v>
                </c:pt>
              </c:numCache>
            </c:numRef>
          </c:xVal>
          <c:yVal>
            <c:numRef>
              <c:f>'Laskenta vesipatteri 350'!$O$8:$O$14</c:f>
              <c:numCache>
                <c:formatCode>0.0</c:formatCode>
                <c:ptCount val="7"/>
                <c:pt idx="0">
                  <c:v>0.29666666666665975</c:v>
                </c:pt>
                <c:pt idx="1">
                  <c:v>-0.4704301075268873</c:v>
                </c:pt>
                <c:pt idx="2">
                  <c:v>0.72365591397849016</c:v>
                </c:pt>
                <c:pt idx="3">
                  <c:v>0.29666666666665975</c:v>
                </c:pt>
                <c:pt idx="4">
                  <c:v>0.41311827956988623</c:v>
                </c:pt>
                <c:pt idx="5">
                  <c:v>-0.4704301075268873</c:v>
                </c:pt>
                <c:pt idx="6">
                  <c:v>-0.85397849462366082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55-4CB1-9131-0F6C6CC5AC0F}"/>
            </c:ext>
          </c:extLst>
        </c:ser>
        <c:ser>
          <c:idx val="1"/>
          <c:order val="1"/>
          <c:tx>
            <c:v>100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3798556430446199E-2"/>
                  <c:y val="0.392374963546223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350'!$N$18:$N$22</c:f>
              <c:numCache>
                <c:formatCode>0</c:formatCode>
                <c:ptCount val="5"/>
                <c:pt idx="0">
                  <c:v>3822.6502884225179</c:v>
                </c:pt>
                <c:pt idx="1">
                  <c:v>7078.9820155972548</c:v>
                </c:pt>
                <c:pt idx="2">
                  <c:v>6512.6634543494738</c:v>
                </c:pt>
                <c:pt idx="3">
                  <c:v>5663.1856124778033</c:v>
                </c:pt>
                <c:pt idx="4">
                  <c:v>4955.2874109180793</c:v>
                </c:pt>
              </c:numCache>
            </c:numRef>
          </c:xVal>
          <c:yVal>
            <c:numRef>
              <c:f>'Laskenta vesipatteri 350'!$O$18:$O$22</c:f>
              <c:numCache>
                <c:formatCode>0.0</c:formatCode>
                <c:ptCount val="5"/>
                <c:pt idx="0">
                  <c:v>-4.9372606692935204</c:v>
                </c:pt>
                <c:pt idx="1">
                  <c:v>0.89649814085133528</c:v>
                </c:pt>
                <c:pt idx="2">
                  <c:v>1.1047782895832228</c:v>
                </c:pt>
                <c:pt idx="3">
                  <c:v>-0.58280148731893533</c:v>
                </c:pt>
                <c:pt idx="4">
                  <c:v>-1.0724513014040689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55-4CB1-9131-0F6C6CC5AC0F}"/>
            </c:ext>
          </c:extLst>
        </c:ser>
        <c:ser>
          <c:idx val="2"/>
          <c:order val="2"/>
          <c:tx>
            <c:v>200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350'!$N$26:$N$30</c:f>
              <c:numCache>
                <c:formatCode>0</c:formatCode>
                <c:ptCount val="5"/>
                <c:pt idx="0">
                  <c:v>6158.7143535696114</c:v>
                </c:pt>
                <c:pt idx="1">
                  <c:v>11184.791584643664</c:v>
                </c:pt>
                <c:pt idx="2">
                  <c:v>9910.5748218361587</c:v>
                </c:pt>
                <c:pt idx="3">
                  <c:v>8494.7784187167072</c:v>
                </c:pt>
                <c:pt idx="4">
                  <c:v>7503.72093653309</c:v>
                </c:pt>
              </c:numCache>
            </c:numRef>
          </c:xVal>
          <c:yVal>
            <c:numRef>
              <c:f>'Laskenta vesipatteri 350'!$O$26:$O$30</c:f>
              <c:numCache>
                <c:formatCode>0.0</c:formatCode>
                <c:ptCount val="5"/>
                <c:pt idx="0">
                  <c:v>-4.338843364415558</c:v>
                </c:pt>
                <c:pt idx="1">
                  <c:v>1.4390129038334791</c:v>
                </c:pt>
                <c:pt idx="2">
                  <c:v>-0.11100122445134986</c:v>
                </c:pt>
                <c:pt idx="3">
                  <c:v>-2.1665724781011555</c:v>
                </c:pt>
                <c:pt idx="4">
                  <c:v>-2.2054723556560205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55-4CB1-9131-0F6C6CC5AC0F}"/>
            </c:ext>
          </c:extLst>
        </c:ser>
        <c:ser>
          <c:idx val="3"/>
          <c:order val="3"/>
          <c:tx>
            <c:v>300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350'!$N$34:$N$38</c:f>
              <c:numCache>
                <c:formatCode>0</c:formatCode>
                <c:ptCount val="5"/>
                <c:pt idx="0">
                  <c:v>7645.3005768450357</c:v>
                </c:pt>
                <c:pt idx="1">
                  <c:v>14299.543671506455</c:v>
                </c:pt>
                <c:pt idx="2">
                  <c:v>12175.849066827279</c:v>
                </c:pt>
                <c:pt idx="3">
                  <c:v>10760.052663707826</c:v>
                </c:pt>
                <c:pt idx="4">
                  <c:v>9202.676620276432</c:v>
                </c:pt>
              </c:numCache>
            </c:numRef>
          </c:xVal>
          <c:yVal>
            <c:numRef>
              <c:f>'Laskenta vesipatteri 350'!$O$34:$O$38</c:f>
              <c:numCache>
                <c:formatCode>0.0</c:formatCode>
                <c:ptCount val="5"/>
                <c:pt idx="0">
                  <c:v>-4.4844630116410027</c:v>
                </c:pt>
                <c:pt idx="1">
                  <c:v>2.5297009951182972</c:v>
                </c:pt>
                <c:pt idx="2">
                  <c:v>-0.93510608336461587</c:v>
                </c:pt>
                <c:pt idx="3">
                  <c:v>-1.7449774690198936</c:v>
                </c:pt>
                <c:pt idx="4">
                  <c:v>-2.9858359932406984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55-4CB1-9131-0F6C6CC5A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286560"/>
        <c:axId val="630285904"/>
      </c:scatterChart>
      <c:valAx>
        <c:axId val="63028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5904"/>
        <c:crosses val="autoZero"/>
        <c:crossBetween val="midCat"/>
      </c:valAx>
      <c:valAx>
        <c:axId val="6302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350'!$S$24:$S$27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350'!$T$24:$T$27</c:f>
              <c:numCache>
                <c:formatCode>0.00</c:formatCode>
                <c:ptCount val="4"/>
                <c:pt idx="0">
                  <c:v>0.3</c:v>
                </c:pt>
                <c:pt idx="1">
                  <c:v>-4.5</c:v>
                </c:pt>
                <c:pt idx="2">
                  <c:v>-4.5</c:v>
                </c:pt>
                <c:pt idx="3">
                  <c:v>-4.5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5F-4391-8B20-E81BCD92C74D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'Laskenta vesipatteri 350'!$I$6</c:f>
              <c:numCache>
                <c:formatCode>0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vesipatteri 350'!$S$22</c:f>
              <c:numCache>
                <c:formatCode>0.00</c:formatCode>
                <c:ptCount val="1"/>
                <c:pt idx="0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4B-4F0A-A55B-35AD3D4E6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forward val="50"/>
            <c:dispRSqr val="1"/>
            <c:dispEq val="1"/>
            <c:trendlineLbl>
              <c:layout>
                <c:manualLayout>
                  <c:x val="-0.28496216097987753"/>
                  <c:y val="-2.3564814814814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350'!$M$43:$M$46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350'!$N$43:$N$46</c:f>
              <c:numCache>
                <c:formatCode>0.000</c:formatCode>
                <c:ptCount val="4"/>
                <c:pt idx="0">
                  <c:v>0.10403848305179553</c:v>
                </c:pt>
                <c:pt idx="1">
                  <c:v>0.14328085241730276</c:v>
                </c:pt>
                <c:pt idx="2">
                  <c:v>0.19780158360503025</c:v>
                </c:pt>
                <c:pt idx="3">
                  <c:v>0.23202548533776235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6E-4AF1-9637-8A42024A5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Tehot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5.1129968288993154E-3"/>
                  <c:y val="-0.116100121631137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LÄM-1'!$D$22:$H$22</c:f>
              <c:numCache>
                <c:formatCode>0.000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xVal>
          <c:yVal>
            <c:numRef>
              <c:f>'C5 LÄM-1'!$D$21:$H$21</c:f>
              <c:numCache>
                <c:formatCode>General</c:formatCode>
                <c:ptCount val="5"/>
                <c:pt idx="0">
                  <c:v>6</c:v>
                </c:pt>
                <c:pt idx="1">
                  <c:v>9</c:v>
                </c:pt>
                <c:pt idx="2">
                  <c:v>12</c:v>
                </c:pt>
                <c:pt idx="3">
                  <c:v>15</c:v>
                </c:pt>
                <c:pt idx="4">
                  <c:v>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75-4062-9629-6ECC059FCF5D}"/>
            </c:ext>
          </c:extLst>
        </c:ser>
        <c:ser>
          <c:idx val="1"/>
          <c:order val="1"/>
          <c:tx>
            <c:v>0 °C / 20 °C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LÄM-1'!$I$22:$K$22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LÄM-1'!$I$21:$K$21</c:f>
              <c:numCache>
                <c:formatCode>General</c:formatCode>
                <c:ptCount val="3"/>
                <c:pt idx="0">
                  <c:v>7.2</c:v>
                </c:pt>
                <c:pt idx="1">
                  <c:v>9.6</c:v>
                </c:pt>
                <c:pt idx="2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75-4062-9629-6ECC059FCF5D}"/>
            </c:ext>
          </c:extLst>
        </c:ser>
        <c:ser>
          <c:idx val="2"/>
          <c:order val="2"/>
          <c:tx>
            <c:v>+5 °C / 20 °C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LÄM-1'!$L$22:$N$22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LÄM-1'!$L$21:$N$21</c:f>
              <c:numCache>
                <c:formatCode>General</c:formatCode>
                <c:ptCount val="3"/>
                <c:pt idx="0">
                  <c:v>5.4</c:v>
                </c:pt>
                <c:pt idx="1">
                  <c:v>7.2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175-4062-9629-6ECC059F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063"/>
        <c:axId val="756494623"/>
      </c:scatterChart>
      <c:valAx>
        <c:axId val="75649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Ilman</a:t>
                </a:r>
                <a:r>
                  <a:rPr lang="fi-FI" baseline="0"/>
                  <a:t> tilavuusvirta [m³/s]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4623"/>
        <c:crosses val="autoZero"/>
        <c:crossBetween val="midCat"/>
      </c:valAx>
      <c:valAx>
        <c:axId val="7564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Teho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60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Ilmapuolen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LÄM-1'!$D$22:$N$22</c:f>
              <c:numCache>
                <c:formatCode>0.000</c:formatCode>
                <c:ptCount val="11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</c:numCache>
            </c:numRef>
          </c:xVal>
          <c:yVal>
            <c:numRef>
              <c:f>'C5 LÄM-1'!$D$27:$N$27</c:f>
              <c:numCache>
                <c:formatCode>General</c:formatCode>
                <c:ptCount val="11"/>
                <c:pt idx="0">
                  <c:v>3.6</c:v>
                </c:pt>
                <c:pt idx="1">
                  <c:v>7.1</c:v>
                </c:pt>
                <c:pt idx="2">
                  <c:v>11.6</c:v>
                </c:pt>
                <c:pt idx="3">
                  <c:v>17</c:v>
                </c:pt>
                <c:pt idx="4">
                  <c:v>23.1</c:v>
                </c:pt>
                <c:pt idx="5">
                  <c:v>7.1</c:v>
                </c:pt>
                <c:pt idx="6">
                  <c:v>11.6</c:v>
                </c:pt>
                <c:pt idx="7">
                  <c:v>17</c:v>
                </c:pt>
                <c:pt idx="8">
                  <c:v>7.1</c:v>
                </c:pt>
                <c:pt idx="9">
                  <c:v>11.6</c:v>
                </c:pt>
                <c:pt idx="10">
                  <c:v>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5E-4C5A-B263-F5F493740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Nestepuolen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LÄM-1'!$D$31:$N$31</c:f>
              <c:numCache>
                <c:formatCode>General</c:formatCode>
                <c:ptCount val="11"/>
                <c:pt idx="0">
                  <c:v>7.0000000000000007E-2</c:v>
                </c:pt>
                <c:pt idx="1">
                  <c:v>0.11</c:v>
                </c:pt>
                <c:pt idx="2">
                  <c:v>0.14000000000000001</c:v>
                </c:pt>
                <c:pt idx="3">
                  <c:v>0.18</c:v>
                </c:pt>
                <c:pt idx="4">
                  <c:v>0.26</c:v>
                </c:pt>
                <c:pt idx="5">
                  <c:v>0.09</c:v>
                </c:pt>
                <c:pt idx="6">
                  <c:v>0.12</c:v>
                </c:pt>
                <c:pt idx="7">
                  <c:v>0.14000000000000001</c:v>
                </c:pt>
                <c:pt idx="8">
                  <c:v>7.0000000000000007E-2</c:v>
                </c:pt>
                <c:pt idx="9">
                  <c:v>0.09</c:v>
                </c:pt>
                <c:pt idx="10">
                  <c:v>0.11</c:v>
                </c:pt>
              </c:numCache>
            </c:numRef>
          </c:xVal>
          <c:yVal>
            <c:numRef>
              <c:f>'C5 LÄM-1'!$D$33:$N$33</c:f>
              <c:numCache>
                <c:formatCode>General</c:formatCode>
                <c:ptCount val="11"/>
                <c:pt idx="0">
                  <c:v>1</c:v>
                </c:pt>
                <c:pt idx="1">
                  <c:v>2.2000000000000002</c:v>
                </c:pt>
                <c:pt idx="2">
                  <c:v>3.8</c:v>
                </c:pt>
                <c:pt idx="3">
                  <c:v>5.8</c:v>
                </c:pt>
                <c:pt idx="4">
                  <c:v>11.2</c:v>
                </c:pt>
                <c:pt idx="5">
                  <c:v>1.4</c:v>
                </c:pt>
                <c:pt idx="6">
                  <c:v>2.5</c:v>
                </c:pt>
                <c:pt idx="7">
                  <c:v>3.8</c:v>
                </c:pt>
                <c:pt idx="8">
                  <c:v>0.8</c:v>
                </c:pt>
                <c:pt idx="9">
                  <c:v>1.4</c:v>
                </c:pt>
                <c:pt idx="10">
                  <c:v>2.2000000000000002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08-428A-BD5A-E4FDCAFB6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Virtaama [l/s]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[kPa]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LÄM-1'!$R$28</c:f>
              <c:strCache>
                <c:ptCount val="1"/>
                <c:pt idx="0">
                  <c:v>0,5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74852062675114106"/>
                  <c:y val="4.08041080637271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LÄM-1'!$S$28:$S$30</c:f>
              <c:numCache>
                <c:formatCode>0.0</c:formatCode>
                <c:ptCount val="3"/>
                <c:pt idx="0">
                  <c:v>32.435795973154399</c:v>
                </c:pt>
                <c:pt idx="1">
                  <c:v>29.999995002666761</c:v>
                </c:pt>
                <c:pt idx="2">
                  <c:v>27.424074738735392</c:v>
                </c:pt>
              </c:numCache>
            </c:numRef>
          </c:xVal>
          <c:yVal>
            <c:numRef>
              <c:f>'C5 LÄM-1'!$T$28:$T$30</c:f>
              <c:numCache>
                <c:formatCode>General</c:formatCode>
                <c:ptCount val="3"/>
                <c:pt idx="0">
                  <c:v>15</c:v>
                </c:pt>
                <c:pt idx="1">
                  <c:v>12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2E-4A9F-85D0-9B0D3B3712C1}"/>
            </c:ext>
          </c:extLst>
        </c:ser>
        <c:ser>
          <c:idx val="1"/>
          <c:order val="1"/>
          <c:tx>
            <c:strRef>
              <c:f>'C5 LÄM-1'!$R$33</c:f>
              <c:strCache>
                <c:ptCount val="1"/>
                <c:pt idx="0">
                  <c:v>0,4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0"/>
            <c:dispEq val="1"/>
            <c:trendlineLbl>
              <c:layout>
                <c:manualLayout>
                  <c:x val="-0.75086785009861934"/>
                  <c:y val="0.261467937189291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LÄM-1'!$S$33:$S$35</c:f>
              <c:numCache>
                <c:formatCode>0.0</c:formatCode>
                <c:ptCount val="3"/>
                <c:pt idx="0">
                  <c:v>32.435795973154399</c:v>
                </c:pt>
                <c:pt idx="1">
                  <c:v>29.999995002666761</c:v>
                </c:pt>
                <c:pt idx="2">
                  <c:v>27.424074738735392</c:v>
                </c:pt>
              </c:numCache>
            </c:numRef>
          </c:xVal>
          <c:yVal>
            <c:numRef>
              <c:f>'C5 LÄM-1'!$T$33:$T$35</c:f>
              <c:numCache>
                <c:formatCode>General</c:formatCode>
                <c:ptCount val="3"/>
                <c:pt idx="0">
                  <c:v>12</c:v>
                </c:pt>
                <c:pt idx="1">
                  <c:v>9.6</c:v>
                </c:pt>
                <c:pt idx="2">
                  <c:v>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2E-4A9F-85D0-9B0D3B3712C1}"/>
            </c:ext>
          </c:extLst>
        </c:ser>
        <c:ser>
          <c:idx val="2"/>
          <c:order val="2"/>
          <c:tx>
            <c:strRef>
              <c:f>'C5 LÄM-1'!$R$38</c:f>
              <c:strCache>
                <c:ptCount val="1"/>
                <c:pt idx="0">
                  <c:v>0,3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75481262327416176"/>
                  <c:y val="0.3114419776049625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LÄM-1'!$S$38:$S$40</c:f>
              <c:numCache>
                <c:formatCode>0.0</c:formatCode>
                <c:ptCount val="3"/>
                <c:pt idx="0">
                  <c:v>32.435795973154399</c:v>
                </c:pt>
                <c:pt idx="1">
                  <c:v>29.999995002666761</c:v>
                </c:pt>
                <c:pt idx="2">
                  <c:v>27.424074738735392</c:v>
                </c:pt>
              </c:numCache>
            </c:numRef>
          </c:xVal>
          <c:yVal>
            <c:numRef>
              <c:f>'C5 LÄM-1'!$T$38:$T$40</c:f>
              <c:numCache>
                <c:formatCode>General</c:formatCode>
                <c:ptCount val="3"/>
                <c:pt idx="0">
                  <c:v>9</c:v>
                </c:pt>
                <c:pt idx="1">
                  <c:v>7.2</c:v>
                </c:pt>
                <c:pt idx="2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2E-4A9F-85D0-9B0D3B3712C1}"/>
            </c:ext>
          </c:extLst>
        </c:ser>
        <c:ser>
          <c:idx val="3"/>
          <c:order val="3"/>
          <c:tx>
            <c:strRef>
              <c:f>'C5 LÄM-1'!$R$44</c:f>
              <c:strCache>
                <c:ptCount val="1"/>
                <c:pt idx="0">
                  <c:v>0,45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18724176351845895"/>
                  <c:y val="-4.076670741472283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LÄM-1'!$S$44:$S$46</c:f>
              <c:numCache>
                <c:formatCode>0.0</c:formatCode>
                <c:ptCount val="3"/>
                <c:pt idx="0">
                  <c:v>32.435795973154399</c:v>
                </c:pt>
                <c:pt idx="1">
                  <c:v>29.999995002666761</c:v>
                </c:pt>
                <c:pt idx="2">
                  <c:v>27.424074738735396</c:v>
                </c:pt>
              </c:numCache>
            </c:numRef>
          </c:xVal>
          <c:yVal>
            <c:numRef>
              <c:f>'C5 LÄM-1'!$T$44:$T$46</c:f>
              <c:numCache>
                <c:formatCode>General</c:formatCode>
                <c:ptCount val="3"/>
                <c:pt idx="0">
                  <c:v>13.500000000000002</c:v>
                </c:pt>
                <c:pt idx="1">
                  <c:v>10.8</c:v>
                </c:pt>
                <c:pt idx="2">
                  <c:v>8.1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32E-4A9F-85D0-9B0D3B3712C1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'C5 LÄM-1'!$T$14</c:f>
              <c:numCache>
                <c:formatCode>0.0</c:formatCode>
                <c:ptCount val="1"/>
                <c:pt idx="0">
                  <c:v>32.981846782572575</c:v>
                </c:pt>
              </c:numCache>
            </c:numRef>
          </c:xVal>
          <c:yVal>
            <c:numRef>
              <c:f>'C5 LÄM-1'!$T$13</c:f>
              <c:numCache>
                <c:formatCode>0.00</c:formatCode>
                <c:ptCount val="1"/>
                <c:pt idx="0">
                  <c:v>14.27786851233842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32E-4A9F-85D0-9B0D3B37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87167"/>
        <c:axId val="1069191967"/>
      </c:scatterChart>
      <c:valAx>
        <c:axId val="1069187167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69191967"/>
        <c:crosses val="autoZero"/>
        <c:crossBetween val="midCat"/>
      </c:valAx>
      <c:valAx>
        <c:axId val="1069191967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691871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'C5 LÄM-1'!$AA$28</c:f>
              <c:strCache>
                <c:ptCount val="1"/>
                <c:pt idx="0">
                  <c:v>32,4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LÄM-1'!$AB$28:$AB$30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LÄM-1'!$AC$28:$AC$30</c:f>
              <c:numCache>
                <c:formatCode>0.0</c:formatCode>
                <c:ptCount val="3"/>
                <c:pt idx="0">
                  <c:v>15</c:v>
                </c:pt>
                <c:pt idx="1">
                  <c:v>12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1F-455B-913F-FC245146A8B8}"/>
            </c:ext>
          </c:extLst>
        </c:ser>
        <c:ser>
          <c:idx val="1"/>
          <c:order val="1"/>
          <c:tx>
            <c:strRef>
              <c:f>'C5 LÄM-1'!$AA$33</c:f>
              <c:strCache>
                <c:ptCount val="1"/>
                <c:pt idx="0">
                  <c:v>30,0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layout>
                <c:manualLayout>
                  <c:x val="0.16095166229221347"/>
                  <c:y val="-5.916504474599218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LÄM-1'!$AB$33:$AB$35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LÄM-1'!$AC$33:$AC$35</c:f>
              <c:numCache>
                <c:formatCode>0.0</c:formatCode>
                <c:ptCount val="3"/>
                <c:pt idx="0">
                  <c:v>12</c:v>
                </c:pt>
                <c:pt idx="1">
                  <c:v>9.6</c:v>
                </c:pt>
                <c:pt idx="2">
                  <c:v>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1F-455B-913F-FC245146A8B8}"/>
            </c:ext>
          </c:extLst>
        </c:ser>
        <c:ser>
          <c:idx val="2"/>
          <c:order val="2"/>
          <c:tx>
            <c:strRef>
              <c:f>'C5 LÄM-1'!$AA$38</c:f>
              <c:strCache>
                <c:ptCount val="1"/>
                <c:pt idx="0">
                  <c:v>27,4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layout>
                <c:manualLayout>
                  <c:x val="0.19706277340332448"/>
                  <c:y val="-3.351458237973478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LÄM-1'!$AB$38:$AB$40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LÄM-1'!$AC$38:$AC$40</c:f>
              <c:numCache>
                <c:formatCode>0.0</c:formatCode>
                <c:ptCount val="3"/>
                <c:pt idx="0">
                  <c:v>9</c:v>
                </c:pt>
                <c:pt idx="1">
                  <c:v>7.2</c:v>
                </c:pt>
                <c:pt idx="2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1F-455B-913F-FC245146A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813824"/>
        <c:axId val="969803744"/>
      </c:scatterChart>
      <c:valAx>
        <c:axId val="96981382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969803744"/>
        <c:crosses val="autoZero"/>
        <c:crossBetween val="midCat"/>
      </c:valAx>
      <c:valAx>
        <c:axId val="9698037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96981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Tehot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5.1129968288993154E-3"/>
                  <c:y val="-0.116100121631137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LÄM-2'!$D$22:$H$22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xVal>
          <c:yVal>
            <c:numRef>
              <c:f>'C5 LÄM-2'!$D$21:$H$21</c:f>
              <c:numCache>
                <c:formatCode>0</c:formatCode>
                <c:ptCount val="5"/>
                <c:pt idx="0">
                  <c:v>6</c:v>
                </c:pt>
                <c:pt idx="1">
                  <c:v>9</c:v>
                </c:pt>
                <c:pt idx="2">
                  <c:v>12</c:v>
                </c:pt>
                <c:pt idx="3">
                  <c:v>15</c:v>
                </c:pt>
                <c:pt idx="4" formatCode="General">
                  <c:v>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A1-4D64-A0CC-3D5BF8417F67}"/>
            </c:ext>
          </c:extLst>
        </c:ser>
        <c:ser>
          <c:idx val="1"/>
          <c:order val="1"/>
          <c:tx>
            <c:v>0 °C / 20 °C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LÄM-2'!$I$22:$K$22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LÄM-2'!$I$21:$K$21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1A1-4D64-A0CC-3D5BF8417F67}"/>
            </c:ext>
          </c:extLst>
        </c:ser>
        <c:ser>
          <c:idx val="2"/>
          <c:order val="2"/>
          <c:tx>
            <c:v>+5 °C / 20 °C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LÄM-2'!$L$22:$N$22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LÄM-2'!$L$21:$N$21</c:f>
              <c:numCache>
                <c:formatCode>General</c:formatCode>
                <c:ptCount val="3"/>
                <c:pt idx="0">
                  <c:v>5.4</c:v>
                </c:pt>
                <c:pt idx="1">
                  <c:v>7.2</c:v>
                </c:pt>
                <c:pt idx="2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1A1-4D64-A0CC-3D5BF8417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063"/>
        <c:axId val="756494623"/>
      </c:scatterChart>
      <c:valAx>
        <c:axId val="75649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Ilman</a:t>
                </a:r>
                <a:r>
                  <a:rPr lang="fi-FI" baseline="0"/>
                  <a:t> tilavuusvirta [m³/s]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4623"/>
        <c:crosses val="autoZero"/>
        <c:crossBetween val="midCat"/>
      </c:valAx>
      <c:valAx>
        <c:axId val="7564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Teho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606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Ilmapuolen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LÄM-2'!$D$22:$N$22</c:f>
              <c:numCache>
                <c:formatCode>General</c:formatCode>
                <c:ptCount val="11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</c:numCache>
            </c:numRef>
          </c:xVal>
          <c:yVal>
            <c:numRef>
              <c:f>'C5 LÄM-2'!$D$27:$N$27</c:f>
              <c:numCache>
                <c:formatCode>General</c:formatCode>
                <c:ptCount val="11"/>
                <c:pt idx="0">
                  <c:v>5.7</c:v>
                </c:pt>
                <c:pt idx="1">
                  <c:v>11.2</c:v>
                </c:pt>
                <c:pt idx="2">
                  <c:v>18.2</c:v>
                </c:pt>
                <c:pt idx="3">
                  <c:v>26.6</c:v>
                </c:pt>
                <c:pt idx="4">
                  <c:v>36.1</c:v>
                </c:pt>
                <c:pt idx="5">
                  <c:v>11.2</c:v>
                </c:pt>
                <c:pt idx="6">
                  <c:v>18.2</c:v>
                </c:pt>
                <c:pt idx="7">
                  <c:v>26.6</c:v>
                </c:pt>
                <c:pt idx="8">
                  <c:v>11.2</c:v>
                </c:pt>
                <c:pt idx="9">
                  <c:v>18.2</c:v>
                </c:pt>
                <c:pt idx="10">
                  <c:v>25.5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5C-4FBD-B1CD-8F696444F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C5'!$S$24:$S$27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C5'!$T$24:$T$27</c:f>
              <c:numCache>
                <c:formatCode>0.00</c:formatCode>
                <c:ptCount val="4"/>
                <c:pt idx="0">
                  <c:v>0.3</c:v>
                </c:pt>
                <c:pt idx="1">
                  <c:v>-4.5</c:v>
                </c:pt>
                <c:pt idx="2">
                  <c:v>-4.5</c:v>
                </c:pt>
                <c:pt idx="3">
                  <c:v>-4.5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FC-4581-BB4B-D015A63EC735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'Laskenta vesipatteri C5'!$I$6</c:f>
              <c:numCache>
                <c:formatCode>0</c:formatCode>
                <c:ptCount val="1"/>
                <c:pt idx="0">
                  <c:v>9.7222222222222214</c:v>
                </c:pt>
              </c:numCache>
            </c:numRef>
          </c:xVal>
          <c:yVal>
            <c:numRef>
              <c:f>'Laskenta vesipatteri C5'!$S$22</c:f>
              <c:numCache>
                <c:formatCode>0.00</c:formatCode>
                <c:ptCount val="1"/>
                <c:pt idx="0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FC-4581-BB4B-D015A63EC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Nestepuolen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LÄM-2'!$D$31:$N$31</c:f>
              <c:numCache>
                <c:formatCode>General</c:formatCode>
                <c:ptCount val="11"/>
                <c:pt idx="0">
                  <c:v>0.14000000000000001</c:v>
                </c:pt>
                <c:pt idx="1">
                  <c:v>0.22</c:v>
                </c:pt>
                <c:pt idx="2">
                  <c:v>0.28999999999999998</c:v>
                </c:pt>
                <c:pt idx="3">
                  <c:v>0.36</c:v>
                </c:pt>
                <c:pt idx="4">
                  <c:v>0.51</c:v>
                </c:pt>
                <c:pt idx="5">
                  <c:v>0.27</c:v>
                </c:pt>
                <c:pt idx="6">
                  <c:v>0.57999999999999996</c:v>
                </c:pt>
                <c:pt idx="7">
                  <c:v>0.72</c:v>
                </c:pt>
                <c:pt idx="8">
                  <c:v>0.14000000000000001</c:v>
                </c:pt>
                <c:pt idx="9">
                  <c:v>0.17</c:v>
                </c:pt>
                <c:pt idx="10">
                  <c:v>0.23</c:v>
                </c:pt>
              </c:numCache>
            </c:numRef>
          </c:xVal>
          <c:yVal>
            <c:numRef>
              <c:f>'C5 LÄM-2'!$D$33:$N$33</c:f>
              <c:numCache>
                <c:formatCode>General</c:formatCode>
                <c:ptCount val="11"/>
                <c:pt idx="0">
                  <c:v>0.3</c:v>
                </c:pt>
                <c:pt idx="1">
                  <c:v>0.8</c:v>
                </c:pt>
                <c:pt idx="2">
                  <c:v>1.3</c:v>
                </c:pt>
                <c:pt idx="3" formatCode="0.00">
                  <c:v>2</c:v>
                </c:pt>
                <c:pt idx="4">
                  <c:v>3.9</c:v>
                </c:pt>
                <c:pt idx="5">
                  <c:v>1.2</c:v>
                </c:pt>
                <c:pt idx="6">
                  <c:v>5</c:v>
                </c:pt>
                <c:pt idx="7">
                  <c:v>7.6</c:v>
                </c:pt>
                <c:pt idx="8">
                  <c:v>0.3</c:v>
                </c:pt>
                <c:pt idx="9">
                  <c:v>0.7</c:v>
                </c:pt>
                <c:pt idx="10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F3-4212-9FDD-451B75C8A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Virtaama [l/s]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[kPa]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LÄM-2'!$R$29</c:f>
              <c:strCache>
                <c:ptCount val="1"/>
                <c:pt idx="0">
                  <c:v>0,5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74852062675114106"/>
                  <c:y val="4.08041080637271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LÄM-2'!$S$29:$S$31</c:f>
              <c:numCache>
                <c:formatCode>0.0</c:formatCode>
                <c:ptCount val="3"/>
                <c:pt idx="0">
                  <c:v>25</c:v>
                </c:pt>
                <c:pt idx="1">
                  <c:v>22.5</c:v>
                </c:pt>
                <c:pt idx="2">
                  <c:v>17.75</c:v>
                </c:pt>
              </c:numCache>
            </c:numRef>
          </c:xVal>
          <c:yVal>
            <c:numRef>
              <c:f>'C5 LÄM-2'!$T$29:$T$31</c:f>
              <c:numCache>
                <c:formatCode>0</c:formatCode>
                <c:ptCount val="3"/>
                <c:pt idx="0" formatCode="General">
                  <c:v>15</c:v>
                </c:pt>
                <c:pt idx="1">
                  <c:v>15</c:v>
                </c:pt>
                <c:pt idx="2" formatCode="General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1E-47C2-8561-1AD14E058BBB}"/>
            </c:ext>
          </c:extLst>
        </c:ser>
        <c:ser>
          <c:idx val="1"/>
          <c:order val="1"/>
          <c:tx>
            <c:strRef>
              <c:f>'C5 LÄM-2'!$R$34</c:f>
              <c:strCache>
                <c:ptCount val="1"/>
                <c:pt idx="0">
                  <c:v>0,4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0"/>
            <c:dispEq val="1"/>
            <c:trendlineLbl>
              <c:layout>
                <c:manualLayout>
                  <c:x val="-0.75086785009861934"/>
                  <c:y val="0.2614679371892911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LÄM-2'!$S$34:$S$36</c:f>
              <c:numCache>
                <c:formatCode>0.0</c:formatCode>
                <c:ptCount val="3"/>
                <c:pt idx="0">
                  <c:v>22.5</c:v>
                </c:pt>
                <c:pt idx="1">
                  <c:v>25</c:v>
                </c:pt>
                <c:pt idx="2">
                  <c:v>17.5</c:v>
                </c:pt>
              </c:numCache>
            </c:numRef>
          </c:xVal>
          <c:yVal>
            <c:numRef>
              <c:f>'C5 LÄM-2'!$T$34:$T$36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1E-47C2-8561-1AD14E058BBB}"/>
            </c:ext>
          </c:extLst>
        </c:ser>
        <c:ser>
          <c:idx val="2"/>
          <c:order val="2"/>
          <c:tx>
            <c:strRef>
              <c:f>'C5 LÄM-2'!$R$39</c:f>
              <c:strCache>
                <c:ptCount val="1"/>
                <c:pt idx="0">
                  <c:v>0,3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75481262327416176"/>
                  <c:y val="0.3114419776049625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LÄM-2'!$S$39:$S$41</c:f>
              <c:numCache>
                <c:formatCode>0.0</c:formatCode>
                <c:ptCount val="3"/>
                <c:pt idx="0">
                  <c:v>22.5</c:v>
                </c:pt>
                <c:pt idx="1">
                  <c:v>23.5</c:v>
                </c:pt>
                <c:pt idx="2">
                  <c:v>17.75</c:v>
                </c:pt>
              </c:numCache>
            </c:numRef>
          </c:xVal>
          <c:yVal>
            <c:numRef>
              <c:f>'C5 LÄM-2'!$T$39:$T$41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1E-47C2-8561-1AD14E058BBB}"/>
            </c:ext>
          </c:extLst>
        </c:ser>
        <c:ser>
          <c:idx val="3"/>
          <c:order val="3"/>
          <c:tx>
            <c:strRef>
              <c:f>'C5 LÄM-2'!$R$45</c:f>
              <c:strCache>
                <c:ptCount val="1"/>
                <c:pt idx="0">
                  <c:v>0,45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forward val="10"/>
            <c:backward val="25"/>
            <c:dispRSqr val="1"/>
            <c:dispEq val="1"/>
            <c:trendlineLbl>
              <c:layout>
                <c:manualLayout>
                  <c:x val="-0.18724176351845895"/>
                  <c:y val="-4.076670741472283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LÄM-2'!$S$45:$S$47</c:f>
              <c:numCache>
                <c:formatCode>0.0</c:formatCode>
                <c:ptCount val="3"/>
                <c:pt idx="0">
                  <c:v>25</c:v>
                </c:pt>
                <c:pt idx="1">
                  <c:v>22.5</c:v>
                </c:pt>
                <c:pt idx="2">
                  <c:v>17.5</c:v>
                </c:pt>
              </c:numCache>
            </c:numRef>
          </c:xVal>
          <c:yVal>
            <c:numRef>
              <c:f>'C5 LÄM-2'!$T$45:$T$47</c:f>
              <c:numCache>
                <c:formatCode>0.0</c:formatCode>
                <c:ptCount val="3"/>
                <c:pt idx="0">
                  <c:v>14.53241053292734</c:v>
                </c:pt>
                <c:pt idx="1">
                  <c:v>12.271697766827439</c:v>
                </c:pt>
                <c:pt idx="2">
                  <c:v>8.2014294395457057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E1E-47C2-8561-1AD14E058BBB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'C5 LÄM-2'!$T$14</c:f>
              <c:numCache>
                <c:formatCode>0.0</c:formatCode>
                <c:ptCount val="1"/>
                <c:pt idx="0">
                  <c:v>24.726735944515884</c:v>
                </c:pt>
              </c:numCache>
            </c:numRef>
          </c:xVal>
          <c:yVal>
            <c:numRef>
              <c:f>'C5 LÄM-2'!$T$13</c:f>
              <c:numCache>
                <c:formatCode>0.00</c:formatCode>
                <c:ptCount val="1"/>
                <c:pt idx="0">
                  <c:v>14.27786851233842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E1E-47C2-8561-1AD14E058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87167"/>
        <c:axId val="1069191967"/>
      </c:scatterChart>
      <c:valAx>
        <c:axId val="1069187167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69191967"/>
        <c:crosses val="autoZero"/>
        <c:crossBetween val="midCat"/>
      </c:valAx>
      <c:valAx>
        <c:axId val="1069191967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691871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'C5 LÄM-2'!$AA$29</c:f>
              <c:strCache>
                <c:ptCount val="1"/>
                <c:pt idx="0">
                  <c:v>25,0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LÄM-2'!$AB$29:$AB$31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LÄM-2'!$AC$29:$AC$31</c:f>
              <c:numCache>
                <c:formatCode>0.0</c:formatCode>
                <c:ptCount val="3"/>
                <c:pt idx="0">
                  <c:v>16.073544387839885</c:v>
                </c:pt>
                <c:pt idx="1">
                  <c:v>12.833266122834702</c:v>
                </c:pt>
                <c:pt idx="2">
                  <c:v>10.541051188910068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77-46A6-BABF-A834A59E802E}"/>
            </c:ext>
          </c:extLst>
        </c:ser>
        <c:ser>
          <c:idx val="1"/>
          <c:order val="1"/>
          <c:tx>
            <c:strRef>
              <c:f>'C5 LÄM-2'!$AA$34</c:f>
              <c:strCache>
                <c:ptCount val="1"/>
                <c:pt idx="0">
                  <c:v>22,5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layout>
                <c:manualLayout>
                  <c:x val="0.16095166229221347"/>
                  <c:y val="-5.916504474599218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LÄM-2'!$AB$34:$AB$36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LÄM-2'!$AC$34:$AC$36</c:f>
              <c:numCache>
                <c:formatCode>0.0</c:formatCode>
                <c:ptCount val="3"/>
                <c:pt idx="0">
                  <c:v>13.574765257070025</c:v>
                </c:pt>
                <c:pt idx="1">
                  <c:v>10.909428814001723</c:v>
                </c:pt>
                <c:pt idx="2">
                  <c:v>8.5993011464321931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77-46A6-BABF-A834A59E802E}"/>
            </c:ext>
          </c:extLst>
        </c:ser>
        <c:ser>
          <c:idx val="2"/>
          <c:order val="2"/>
          <c:tx>
            <c:strRef>
              <c:f>'C5 LÄM-2'!$AA$39</c:f>
              <c:strCache>
                <c:ptCount val="1"/>
                <c:pt idx="0">
                  <c:v>17,5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0.30000000000000004"/>
            <c:dispRSqr val="1"/>
            <c:dispEq val="1"/>
            <c:trendlineLbl>
              <c:layout>
                <c:manualLayout>
                  <c:x val="0.19706277340332448"/>
                  <c:y val="-3.351458237973478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LÄM-2'!$AB$39:$AB$41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LÄM-2'!$AC$39:$AC$41</c:f>
              <c:numCache>
                <c:formatCode>0.0</c:formatCode>
                <c:ptCount val="3"/>
                <c:pt idx="0">
                  <c:v>9.0719787128122888</c:v>
                </c:pt>
                <c:pt idx="1">
                  <c:v>7.405523687730204</c:v>
                </c:pt>
                <c:pt idx="2">
                  <c:v>5.2912075339416216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77-46A6-BABF-A834A59E8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813824"/>
        <c:axId val="969803744"/>
      </c:scatterChart>
      <c:valAx>
        <c:axId val="96981382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969803744"/>
        <c:crosses val="autoZero"/>
        <c:crossBetween val="midCat"/>
      </c:valAx>
      <c:valAx>
        <c:axId val="9698037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96981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Tehot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25 °C / 65 %RH 7/12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JÄ-1'!$D$23:$H$23</c:f>
              <c:numCache>
                <c:formatCode>General</c:formatCode>
                <c:ptCount val="5"/>
                <c:pt idx="0">
                  <c:v>0.24</c:v>
                </c:pt>
                <c:pt idx="1">
                  <c:v>0.36</c:v>
                </c:pt>
                <c:pt idx="2">
                  <c:v>0.48</c:v>
                </c:pt>
                <c:pt idx="3">
                  <c:v>0.6</c:v>
                </c:pt>
                <c:pt idx="4">
                  <c:v>0.72</c:v>
                </c:pt>
              </c:numCache>
            </c:numRef>
          </c:xVal>
          <c:yVal>
            <c:numRef>
              <c:f>'C5 JÄ-1'!$D$21:$H$21</c:f>
              <c:numCache>
                <c:formatCode>General</c:formatCode>
                <c:ptCount val="5"/>
                <c:pt idx="0">
                  <c:v>3.8</c:v>
                </c:pt>
                <c:pt idx="1">
                  <c:v>5.2</c:v>
                </c:pt>
                <c:pt idx="2">
                  <c:v>6</c:v>
                </c:pt>
                <c:pt idx="3">
                  <c:v>7</c:v>
                </c:pt>
                <c:pt idx="4">
                  <c:v>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16-4951-AAFE-A6AF4E1DF35D}"/>
            </c:ext>
          </c:extLst>
        </c:ser>
        <c:ser>
          <c:idx val="1"/>
          <c:order val="1"/>
          <c:tx>
            <c:v>30 °C / 45 %RH 7/12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JÄ-1'!$I$22:$K$22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JÄ-1'!$I$21:$K$21</c:f>
              <c:numCache>
                <c:formatCode>General</c:formatCode>
                <c:ptCount val="3"/>
                <c:pt idx="0">
                  <c:v>6.3</c:v>
                </c:pt>
                <c:pt idx="1">
                  <c:v>7.7</c:v>
                </c:pt>
                <c:pt idx="2">
                  <c:v>8.8000000000000007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116-4951-AAFE-A6AF4E1DF35D}"/>
            </c:ext>
          </c:extLst>
        </c:ser>
        <c:ser>
          <c:idx val="2"/>
          <c:order val="2"/>
          <c:tx>
            <c:v>25 °C / 50 %RH 10/15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JÄ-1'!$L$22:$N$22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JÄ-1'!$L$21:$N$21</c:f>
              <c:numCache>
                <c:formatCode>General</c:formatCode>
                <c:ptCount val="3"/>
                <c:pt idx="0">
                  <c:v>3.2</c:v>
                </c:pt>
                <c:pt idx="1">
                  <c:v>4.0999999999999996</c:v>
                </c:pt>
                <c:pt idx="2">
                  <c:v>4.9000000000000004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116-4951-AAFE-A6AF4E1DF35D}"/>
            </c:ext>
          </c:extLst>
        </c:ser>
        <c:ser>
          <c:idx val="4"/>
          <c:order val="3"/>
          <c:tx>
            <c:v>25 °C / 65 %RH 10/15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JÄ-1'!$O$22:$Q$22</c:f>
              <c:numCache>
                <c:formatCode>General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JÄ-1'!$O$21:$Q$21</c:f>
              <c:numCache>
                <c:formatCode>General</c:formatCode>
                <c:ptCount val="3"/>
                <c:pt idx="0">
                  <c:v>3.7</c:v>
                </c:pt>
                <c:pt idx="1">
                  <c:v>4.4000000000000004</c:v>
                </c:pt>
                <c:pt idx="2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116-4951-AAFE-A6AF4E1DF35D}"/>
            </c:ext>
          </c:extLst>
        </c:ser>
        <c:ser>
          <c:idx val="3"/>
          <c:order val="4"/>
          <c:tx>
            <c:v>25 °C / 65 %RH 7/12 glykoli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JÄ-1'!$R$22:$V$22</c:f>
              <c:numCache>
                <c:formatCode>General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xVal>
          <c:yVal>
            <c:numRef>
              <c:f>'C5 JÄ-1'!$R$21:$V$21</c:f>
              <c:numCache>
                <c:formatCode>General</c:formatCode>
                <c:ptCount val="5"/>
                <c:pt idx="0">
                  <c:v>2.2999999999999998</c:v>
                </c:pt>
                <c:pt idx="1">
                  <c:v>2.7</c:v>
                </c:pt>
                <c:pt idx="2">
                  <c:v>3</c:v>
                </c:pt>
                <c:pt idx="3">
                  <c:v>3.2</c:v>
                </c:pt>
                <c:pt idx="4">
                  <c:v>3.4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116-4951-AAFE-A6AF4E1DF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063"/>
        <c:axId val="756494623"/>
      </c:scatterChart>
      <c:valAx>
        <c:axId val="75649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Ilman</a:t>
                </a:r>
                <a:r>
                  <a:rPr lang="fi-FI" baseline="0"/>
                  <a:t> tilavuusvirta [m³/s]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4623"/>
        <c:crosses val="autoZero"/>
        <c:crossBetween val="midCat"/>
      </c:valAx>
      <c:valAx>
        <c:axId val="7564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Teho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60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Ilmapuolen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JÄ-1'!$D$22:$V$22</c:f>
              <c:numCache>
                <c:formatCode>General</c:formatCode>
                <c:ptCount val="19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0.2</c:v>
                </c:pt>
                <c:pt idx="15">
                  <c:v>0.3</c:v>
                </c:pt>
                <c:pt idx="16">
                  <c:v>0.4</c:v>
                </c:pt>
                <c:pt idx="17">
                  <c:v>0.5</c:v>
                </c:pt>
                <c:pt idx="18">
                  <c:v>0.6</c:v>
                </c:pt>
              </c:numCache>
            </c:numRef>
          </c:xVal>
          <c:yVal>
            <c:numRef>
              <c:f>'C5 JÄ-1'!$D$31:$V$31</c:f>
              <c:numCache>
                <c:formatCode>General</c:formatCode>
                <c:ptCount val="19"/>
                <c:pt idx="0">
                  <c:v>5</c:v>
                </c:pt>
                <c:pt idx="1">
                  <c:v>10</c:v>
                </c:pt>
                <c:pt idx="2">
                  <c:v>16.399999999999999</c:v>
                </c:pt>
                <c:pt idx="3">
                  <c:v>24.1</c:v>
                </c:pt>
                <c:pt idx="4">
                  <c:v>32.9</c:v>
                </c:pt>
                <c:pt idx="5">
                  <c:v>10</c:v>
                </c:pt>
                <c:pt idx="6">
                  <c:v>16.399999999999999</c:v>
                </c:pt>
                <c:pt idx="7">
                  <c:v>24.1</c:v>
                </c:pt>
                <c:pt idx="8">
                  <c:v>10</c:v>
                </c:pt>
                <c:pt idx="9">
                  <c:v>16.399999999999999</c:v>
                </c:pt>
                <c:pt idx="10">
                  <c:v>24.1</c:v>
                </c:pt>
                <c:pt idx="11">
                  <c:v>10</c:v>
                </c:pt>
                <c:pt idx="12">
                  <c:v>16.399999999999999</c:v>
                </c:pt>
                <c:pt idx="13">
                  <c:v>24.1</c:v>
                </c:pt>
                <c:pt idx="14">
                  <c:v>5</c:v>
                </c:pt>
                <c:pt idx="15">
                  <c:v>10</c:v>
                </c:pt>
                <c:pt idx="16">
                  <c:v>16.399999999999999</c:v>
                </c:pt>
                <c:pt idx="17">
                  <c:v>24.1</c:v>
                </c:pt>
                <c:pt idx="18">
                  <c:v>32.9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32-4C2D-B078-83E3CBE00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Nestepuolen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Vesi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JÄ-1'!$D$35:$Q$35</c:f>
              <c:numCache>
                <c:formatCode>General</c:formatCode>
                <c:ptCount val="14"/>
                <c:pt idx="0">
                  <c:v>0.18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0.34</c:v>
                </c:pt>
                <c:pt idx="4">
                  <c:v>0.37</c:v>
                </c:pt>
                <c:pt idx="5">
                  <c:v>0.3</c:v>
                </c:pt>
                <c:pt idx="6">
                  <c:v>0.37</c:v>
                </c:pt>
                <c:pt idx="7">
                  <c:v>0.42</c:v>
                </c:pt>
                <c:pt idx="8">
                  <c:v>0.15</c:v>
                </c:pt>
                <c:pt idx="9">
                  <c:v>0.19</c:v>
                </c:pt>
                <c:pt idx="10">
                  <c:v>0.23</c:v>
                </c:pt>
                <c:pt idx="11">
                  <c:v>0.18</c:v>
                </c:pt>
                <c:pt idx="12">
                  <c:v>0.21</c:v>
                </c:pt>
                <c:pt idx="13">
                  <c:v>0.25</c:v>
                </c:pt>
              </c:numCache>
            </c:numRef>
          </c:xVal>
          <c:yVal>
            <c:numRef>
              <c:f>'C5 JÄ-1'!$D$37:$Q$37</c:f>
              <c:numCache>
                <c:formatCode>General</c:formatCode>
                <c:ptCount val="14"/>
                <c:pt idx="0">
                  <c:v>3.6</c:v>
                </c:pt>
                <c:pt idx="1">
                  <c:v>6.4</c:v>
                </c:pt>
                <c:pt idx="2">
                  <c:v>8.5</c:v>
                </c:pt>
                <c:pt idx="3">
                  <c:v>11.4</c:v>
                </c:pt>
                <c:pt idx="4">
                  <c:v>14</c:v>
                </c:pt>
                <c:pt idx="5">
                  <c:v>9.4</c:v>
                </c:pt>
                <c:pt idx="6">
                  <c:v>13.5</c:v>
                </c:pt>
                <c:pt idx="7">
                  <c:v>17.399999999999999</c:v>
                </c:pt>
                <c:pt idx="8">
                  <c:v>2.6</c:v>
                </c:pt>
                <c:pt idx="9">
                  <c:v>4</c:v>
                </c:pt>
                <c:pt idx="10">
                  <c:v>5.6</c:v>
                </c:pt>
                <c:pt idx="11">
                  <c:v>3.3</c:v>
                </c:pt>
                <c:pt idx="12">
                  <c:v>4.7</c:v>
                </c:pt>
                <c:pt idx="13">
                  <c:v>6.3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CA-44E7-8FE1-E9514A887AAC}"/>
            </c:ext>
          </c:extLst>
        </c:ser>
        <c:ser>
          <c:idx val="1"/>
          <c:order val="1"/>
          <c:tx>
            <c:v>Etyleeniglykoli 35%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'C5 JÄ-1'!$R$35:$V$35</c:f>
              <c:numCache>
                <c:formatCode>General</c:formatCode>
                <c:ptCount val="5"/>
                <c:pt idx="0">
                  <c:v>0.12</c:v>
                </c:pt>
                <c:pt idx="1">
                  <c:v>0.14000000000000001</c:v>
                </c:pt>
                <c:pt idx="2">
                  <c:v>0.16</c:v>
                </c:pt>
                <c:pt idx="3">
                  <c:v>0.17</c:v>
                </c:pt>
                <c:pt idx="4">
                  <c:v>0.18</c:v>
                </c:pt>
              </c:numCache>
            </c:numRef>
          </c:xVal>
          <c:yVal>
            <c:numRef>
              <c:f>'C5 JÄ-1'!$R$37:$V$37</c:f>
              <c:numCache>
                <c:formatCode>General</c:formatCode>
                <c:ptCount val="5"/>
                <c:pt idx="0">
                  <c:v>3.4</c:v>
                </c:pt>
                <c:pt idx="1">
                  <c:v>3.9</c:v>
                </c:pt>
                <c:pt idx="2">
                  <c:v>4.4000000000000004</c:v>
                </c:pt>
                <c:pt idx="3">
                  <c:v>4.5999999999999996</c:v>
                </c:pt>
                <c:pt idx="4">
                  <c:v>4.9000000000000004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1CA-44E7-8FE1-E9514A887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Nestevirtaama</a:t>
                </a:r>
                <a:r>
                  <a:rPr lang="fi-FI" baseline="0"/>
                  <a:t> [l/s]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 kPa]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JÄ-1'!$D$83</c:f>
              <c:strCache>
                <c:ptCount val="1"/>
                <c:pt idx="0">
                  <c:v>0,5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3"/>
            <c:backward val="8"/>
            <c:dispRSqr val="1"/>
            <c:dispEq val="1"/>
            <c:trendlineLbl>
              <c:layout>
                <c:manualLayout>
                  <c:x val="-0.61789898779399277"/>
                  <c:y val="-1.43055607704727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JÄ-1'!$E$83:$E$85</c:f>
              <c:numCache>
                <c:formatCode>0.0</c:formatCode>
                <c:ptCount val="3"/>
                <c:pt idx="0">
                  <c:v>13.850000000000001</c:v>
                </c:pt>
                <c:pt idx="1">
                  <c:v>11.3</c:v>
                </c:pt>
                <c:pt idx="2">
                  <c:v>8.8500000000000014</c:v>
                </c:pt>
              </c:numCache>
            </c:numRef>
          </c:xVal>
          <c:yVal>
            <c:numRef>
              <c:f>'C5 JÄ-1'!$G$83:$G$85</c:f>
              <c:numCache>
                <c:formatCode>General</c:formatCode>
                <c:ptCount val="3"/>
                <c:pt idx="0">
                  <c:v>8.8000000000000007</c:v>
                </c:pt>
                <c:pt idx="1">
                  <c:v>7</c:v>
                </c:pt>
                <c:pt idx="2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18-44A8-B881-924555409A61}"/>
            </c:ext>
          </c:extLst>
        </c:ser>
        <c:ser>
          <c:idx val="1"/>
          <c:order val="1"/>
          <c:tx>
            <c:strRef>
              <c:f>'C5 JÄ-1'!$D$90</c:f>
              <c:strCache>
                <c:ptCount val="1"/>
                <c:pt idx="0">
                  <c:v>0,4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3"/>
            <c:backward val="7"/>
            <c:dispRSqr val="1"/>
            <c:dispEq val="1"/>
            <c:trendlineLbl>
              <c:layout>
                <c:manualLayout>
                  <c:x val="-0.57104973651254898"/>
                  <c:y val="7.419913757623854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JÄ-1'!$E$90:$E$92</c:f>
              <c:numCache>
                <c:formatCode>0.0</c:formatCode>
                <c:ptCount val="3"/>
                <c:pt idx="0">
                  <c:v>13.55</c:v>
                </c:pt>
                <c:pt idx="1">
                  <c:v>11.100000000000001</c:v>
                </c:pt>
                <c:pt idx="2">
                  <c:v>8.75</c:v>
                </c:pt>
              </c:numCache>
            </c:numRef>
          </c:xVal>
          <c:yVal>
            <c:numRef>
              <c:f>'C5 JÄ-1'!$G$90:$G$92</c:f>
              <c:numCache>
                <c:formatCode>General</c:formatCode>
                <c:ptCount val="3"/>
                <c:pt idx="0">
                  <c:v>7.7</c:v>
                </c:pt>
                <c:pt idx="1">
                  <c:v>6</c:v>
                </c:pt>
                <c:pt idx="2">
                  <c:v>4.4000000000000004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518-44A8-B881-924555409A61}"/>
            </c:ext>
          </c:extLst>
        </c:ser>
        <c:ser>
          <c:idx val="2"/>
          <c:order val="2"/>
          <c:tx>
            <c:strRef>
              <c:f>'C5 JÄ-1'!$D$97</c:f>
              <c:strCache>
                <c:ptCount val="1"/>
                <c:pt idx="0">
                  <c:v>0,3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forward val="3"/>
            <c:backward val="7"/>
            <c:dispRSqr val="1"/>
            <c:dispEq val="1"/>
            <c:trendlineLbl>
              <c:layout>
                <c:manualLayout>
                  <c:x val="-0.51932071968813431"/>
                  <c:y val="0.1160294969486355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JÄ-1'!$E$97:$E$99</c:f>
              <c:numCache>
                <c:formatCode>0.0</c:formatCode>
                <c:ptCount val="3"/>
                <c:pt idx="0">
                  <c:v>13.25</c:v>
                </c:pt>
                <c:pt idx="1">
                  <c:v>10.8</c:v>
                </c:pt>
                <c:pt idx="2">
                  <c:v>8.5</c:v>
                </c:pt>
              </c:numCache>
            </c:numRef>
          </c:xVal>
          <c:yVal>
            <c:numRef>
              <c:f>'C5 JÄ-1'!$G$97:$G$99</c:f>
              <c:numCache>
                <c:formatCode>General</c:formatCode>
                <c:ptCount val="3"/>
                <c:pt idx="0">
                  <c:v>6.3</c:v>
                </c:pt>
                <c:pt idx="1">
                  <c:v>5.2</c:v>
                </c:pt>
                <c:pt idx="2">
                  <c:v>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18-44A8-B881-924555409A61}"/>
            </c:ext>
          </c:extLst>
        </c:ser>
        <c:ser>
          <c:idx val="3"/>
          <c:order val="3"/>
          <c:tx>
            <c:strRef>
              <c:f>'C5 JÄ-1'!$D$106</c:f>
              <c:strCache>
                <c:ptCount val="1"/>
                <c:pt idx="0">
                  <c:v>0,45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forward val="5"/>
            <c:backward val="7"/>
            <c:dispRSqr val="1"/>
            <c:dispEq val="1"/>
            <c:trendlineLbl>
              <c:layout>
                <c:manualLayout>
                  <c:x val="-0.13026789942664133"/>
                  <c:y val="-2.4576582425689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JÄ-1'!$F$106:$F$108</c:f>
              <c:numCache>
                <c:formatCode>0.0</c:formatCode>
                <c:ptCount val="3"/>
                <c:pt idx="0">
                  <c:v>13</c:v>
                </c:pt>
                <c:pt idx="1">
                  <c:v>10.5</c:v>
                </c:pt>
                <c:pt idx="2">
                  <c:v>7</c:v>
                </c:pt>
              </c:numCache>
            </c:numRef>
          </c:xVal>
          <c:yVal>
            <c:numRef>
              <c:f>'C5 JÄ-1'!$G$106:$G$108</c:f>
              <c:numCache>
                <c:formatCode>General</c:formatCode>
                <c:ptCount val="3"/>
                <c:pt idx="0">
                  <c:v>7.7672413276025605</c:v>
                </c:pt>
                <c:pt idx="1">
                  <c:v>5.9923930228666498</c:v>
                </c:pt>
                <c:pt idx="2">
                  <c:v>3.6618936663043775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518-44A8-B881-924555409A61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'C5 JÄ-1'!$X$97</c:f>
              <c:numCache>
                <c:formatCode>0.0</c:formatCode>
                <c:ptCount val="1"/>
                <c:pt idx="0">
                  <c:v>11.134942696466808</c:v>
                </c:pt>
              </c:numCache>
            </c:numRef>
          </c:xVal>
          <c:yVal>
            <c:numRef>
              <c:f>'C5 JÄ-1'!$X$96</c:f>
              <c:numCache>
                <c:formatCode>0.00</c:formatCode>
                <c:ptCount val="1"/>
                <c:pt idx="0">
                  <c:v>6.4353628563650931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518-44A8-B881-924555409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510671"/>
        <c:axId val="1325503951"/>
      </c:scatterChart>
      <c:valAx>
        <c:axId val="1325510671"/>
        <c:scaling>
          <c:orientation val="minMax"/>
          <c:max val="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25503951"/>
        <c:crosses val="autoZero"/>
        <c:crossBetween val="midCat"/>
      </c:valAx>
      <c:valAx>
        <c:axId val="1325503951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25510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JÄ-1'!$N$104</c:f>
              <c:strCache>
                <c:ptCount val="1"/>
                <c:pt idx="0">
                  <c:v>13,0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JÄ-1'!$O$104:$O$106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JÄ-1'!$P$104:$P$106</c:f>
              <c:numCache>
                <c:formatCode>0.0</c:formatCode>
                <c:ptCount val="3"/>
                <c:pt idx="0">
                  <c:v>8.198568787238246</c:v>
                </c:pt>
                <c:pt idx="1">
                  <c:v>7.3173159961893077</c:v>
                </c:pt>
                <c:pt idx="2">
                  <c:v>6.2757535548480359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2D-4BE1-A946-869F7B144FC7}"/>
            </c:ext>
          </c:extLst>
        </c:ser>
        <c:ser>
          <c:idx val="1"/>
          <c:order val="1"/>
          <c:tx>
            <c:strRef>
              <c:f>'C5 JÄ-1'!$N$110</c:f>
              <c:strCache>
                <c:ptCount val="1"/>
                <c:pt idx="0">
                  <c:v>10,5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JÄ-1'!$O$110:$O$112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JÄ-1'!$P$110:$P$112</c:f>
              <c:numCache>
                <c:formatCode>0.0</c:formatCode>
                <c:ptCount val="3"/>
                <c:pt idx="0">
                  <c:v>6.3775722745262851</c:v>
                </c:pt>
                <c:pt idx="1">
                  <c:v>5.5666187617468674</c:v>
                </c:pt>
                <c:pt idx="2">
                  <c:v>4.8515659678806156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2D-4BE1-A946-869F7B144FC7}"/>
            </c:ext>
          </c:extLst>
        </c:ser>
        <c:ser>
          <c:idx val="2"/>
          <c:order val="2"/>
          <c:tx>
            <c:strRef>
              <c:f>'C5 JÄ-1'!$N$116</c:f>
              <c:strCache>
                <c:ptCount val="1"/>
                <c:pt idx="0">
                  <c:v>7,0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JÄ-1'!$O$116:$O$118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JÄ-1'!$P$116:$P$118</c:f>
              <c:numCache>
                <c:formatCode>0.0</c:formatCode>
                <c:ptCount val="3"/>
                <c:pt idx="0">
                  <c:v>3.9588102383936485</c:v>
                </c:pt>
                <c:pt idx="1">
                  <c:v>3.3122869154402719</c:v>
                </c:pt>
                <c:pt idx="2">
                  <c:v>2.976205510151559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2D-4BE1-A946-869F7B144FC7}"/>
            </c:ext>
          </c:extLst>
        </c:ser>
        <c:ser>
          <c:idx val="3"/>
          <c:order val="3"/>
          <c:tx>
            <c:v>Mitoitus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('C5 JÄ-1'!$D$106,'C5 JÄ-1'!$D$107,'C5 JÄ-1'!$D$108)</c:f>
              <c:numCache>
                <c:formatCode>General</c:formatCode>
                <c:ptCount val="3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</c:numCache>
            </c:numRef>
          </c:xVal>
          <c:yVal>
            <c:numRef>
              <c:f>('C5 JÄ-1'!$G$106,'C5 JÄ-1'!$G$107,'C5 JÄ-1'!$G$108)</c:f>
              <c:numCache>
                <c:formatCode>General</c:formatCode>
                <c:ptCount val="3"/>
                <c:pt idx="0">
                  <c:v>7.7672413276025605</c:v>
                </c:pt>
                <c:pt idx="1">
                  <c:v>5.9923930228666498</c:v>
                </c:pt>
                <c:pt idx="2">
                  <c:v>3.6618936663043775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B2D-4BE1-A946-869F7B144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676207"/>
        <c:axId val="1345679087"/>
      </c:scatterChart>
      <c:valAx>
        <c:axId val="1345676207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45679087"/>
        <c:crosses val="autoZero"/>
        <c:crossBetween val="midCat"/>
      </c:valAx>
      <c:valAx>
        <c:axId val="134567908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456762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JÄ-1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'C5 JÄ-1'!$AC$26:$AP$26</c:f>
              <c:numCache>
                <c:formatCode>General</c:formatCode>
                <c:ptCount val="14"/>
                <c:pt idx="0">
                  <c:v>0.18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0.34</c:v>
                </c:pt>
                <c:pt idx="4">
                  <c:v>0.37</c:v>
                </c:pt>
                <c:pt idx="5">
                  <c:v>0.3</c:v>
                </c:pt>
                <c:pt idx="6">
                  <c:v>0.37</c:v>
                </c:pt>
                <c:pt idx="7">
                  <c:v>0.42</c:v>
                </c:pt>
                <c:pt idx="8">
                  <c:v>0.18</c:v>
                </c:pt>
                <c:pt idx="9">
                  <c:v>0.21</c:v>
                </c:pt>
                <c:pt idx="10">
                  <c:v>0.25</c:v>
                </c:pt>
                <c:pt idx="11">
                  <c:v>0.15</c:v>
                </c:pt>
                <c:pt idx="12">
                  <c:v>0.19</c:v>
                </c:pt>
                <c:pt idx="13">
                  <c:v>0.23</c:v>
                </c:pt>
              </c:numCache>
            </c:numRef>
          </c:xVal>
          <c:yVal>
            <c:numRef>
              <c:f>'C5 JÄ-1'!$AC$29:$AP$29</c:f>
              <c:numCache>
                <c:formatCode>0%</c:formatCode>
                <c:ptCount val="14"/>
                <c:pt idx="0">
                  <c:v>1.3933002894219144</c:v>
                </c:pt>
                <c:pt idx="1">
                  <c:v>1.4370344373954358</c:v>
                </c:pt>
                <c:pt idx="2">
                  <c:v>1.549795777929784</c:v>
                </c:pt>
                <c:pt idx="3">
                  <c:v>1.5805026872827039</c:v>
                </c:pt>
                <c:pt idx="4">
                  <c:v>1.6359134957818038</c:v>
                </c:pt>
                <c:pt idx="5">
                  <c:v>1.614602608468015</c:v>
                </c:pt>
                <c:pt idx="6">
                  <c:v>1.7025706126535136</c:v>
                </c:pt>
                <c:pt idx="7">
                  <c:v>1.7852913490325595</c:v>
                </c:pt>
                <c:pt idx="8">
                  <c:v>1.2536583978718618</c:v>
                </c:pt>
                <c:pt idx="9">
                  <c:v>1.3030552640923563</c:v>
                </c:pt>
                <c:pt idx="10">
                  <c:v>1.3567936672316694</c:v>
                </c:pt>
                <c:pt idx="11">
                  <c:v>0.75513827693765045</c:v>
                </c:pt>
                <c:pt idx="12">
                  <c:v>0.75412873378666423</c:v>
                </c:pt>
                <c:pt idx="13">
                  <c:v>0.753231362096899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A4-4D4E-9575-D4EF41FE32DB}"/>
            </c:ext>
          </c:extLst>
        </c:ser>
        <c:ser>
          <c:idx val="1"/>
          <c:order val="1"/>
          <c:tx>
            <c:v>Täysin kondensoiva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7455203870698091"/>
                  <c:y val="-0.158376536512285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JÄ-1'!$AC$26:$AM$26</c:f>
              <c:numCache>
                <c:formatCode>General</c:formatCode>
                <c:ptCount val="11"/>
                <c:pt idx="0">
                  <c:v>0.18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0.34</c:v>
                </c:pt>
                <c:pt idx="4">
                  <c:v>0.37</c:v>
                </c:pt>
                <c:pt idx="5">
                  <c:v>0.3</c:v>
                </c:pt>
                <c:pt idx="6">
                  <c:v>0.37</c:v>
                </c:pt>
                <c:pt idx="7">
                  <c:v>0.42</c:v>
                </c:pt>
                <c:pt idx="8">
                  <c:v>0.18</c:v>
                </c:pt>
                <c:pt idx="9">
                  <c:v>0.21</c:v>
                </c:pt>
                <c:pt idx="10">
                  <c:v>0.25</c:v>
                </c:pt>
              </c:numCache>
            </c:numRef>
          </c:xVal>
          <c:yVal>
            <c:numRef>
              <c:f>'C5 JÄ-1'!$AC$29:$AM$29</c:f>
              <c:numCache>
                <c:formatCode>0%</c:formatCode>
                <c:ptCount val="11"/>
                <c:pt idx="0">
                  <c:v>1.3933002894219144</c:v>
                </c:pt>
                <c:pt idx="1">
                  <c:v>1.4370344373954358</c:v>
                </c:pt>
                <c:pt idx="2">
                  <c:v>1.549795777929784</c:v>
                </c:pt>
                <c:pt idx="3">
                  <c:v>1.5805026872827039</c:v>
                </c:pt>
                <c:pt idx="4">
                  <c:v>1.6359134957818038</c:v>
                </c:pt>
                <c:pt idx="5">
                  <c:v>1.614602608468015</c:v>
                </c:pt>
                <c:pt idx="6">
                  <c:v>1.7025706126535136</c:v>
                </c:pt>
                <c:pt idx="7">
                  <c:v>1.7852913490325595</c:v>
                </c:pt>
                <c:pt idx="8">
                  <c:v>1.2536583978718618</c:v>
                </c:pt>
                <c:pt idx="9">
                  <c:v>1.3030552640923563</c:v>
                </c:pt>
                <c:pt idx="10">
                  <c:v>1.3567936672316694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A4-4D4E-9575-D4EF41FE3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5382464"/>
        <c:axId val="1835383424"/>
      </c:scatterChart>
      <c:valAx>
        <c:axId val="1835382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35383424"/>
        <c:crosses val="autoZero"/>
        <c:crossBetween val="midCat"/>
      </c:valAx>
      <c:valAx>
        <c:axId val="183538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35382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baseline="0"/>
              <a:t>Kosteussisällön pieneminen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2.6275709317180804E-2"/>
                  <c:y val="-0.215207559160163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JÄ-1'!$AC$23:$AP$23</c:f>
              <c:numCache>
                <c:formatCode>0%</c:formatCode>
                <c:ptCount val="14"/>
                <c:pt idx="0">
                  <c:v>2.1904621465538554</c:v>
                </c:pt>
                <c:pt idx="1">
                  <c:v>2.1904621465538554</c:v>
                </c:pt>
                <c:pt idx="2">
                  <c:v>2.1904621465538554</c:v>
                </c:pt>
                <c:pt idx="3">
                  <c:v>2.1904621465538554</c:v>
                </c:pt>
                <c:pt idx="4">
                  <c:v>2.1904621465538554</c:v>
                </c:pt>
                <c:pt idx="5">
                  <c:v>1.9500432944955954</c:v>
                </c:pt>
                <c:pt idx="6">
                  <c:v>1.9500432944955954</c:v>
                </c:pt>
                <c:pt idx="7">
                  <c:v>1.9500432944955954</c:v>
                </c:pt>
                <c:pt idx="8">
                  <c:v>1.5904621465538553</c:v>
                </c:pt>
                <c:pt idx="9">
                  <c:v>1.5904621465538553</c:v>
                </c:pt>
                <c:pt idx="10">
                  <c:v>1.5904621465538553</c:v>
                </c:pt>
                <c:pt idx="11">
                  <c:v>0.76845821940737835</c:v>
                </c:pt>
                <c:pt idx="12">
                  <c:v>0.76845821940737835</c:v>
                </c:pt>
                <c:pt idx="13">
                  <c:v>0.76845821940737835</c:v>
                </c:pt>
              </c:numCache>
            </c:numRef>
          </c:xVal>
          <c:yVal>
            <c:numRef>
              <c:f>'C5 JÄ-1'!$AC$12:$AP$12</c:f>
              <c:numCache>
                <c:formatCode>0.0\ %</c:formatCode>
                <c:ptCount val="14"/>
                <c:pt idx="0">
                  <c:v>0.17526869915198262</c:v>
                </c:pt>
                <c:pt idx="1">
                  <c:v>0.14228298565235642</c:v>
                </c:pt>
                <c:pt idx="2">
                  <c:v>0.1171979301809758</c:v>
                </c:pt>
                <c:pt idx="3">
                  <c:v>9.3987875824834033E-2</c:v>
                </c:pt>
                <c:pt idx="4">
                  <c:v>8.5729626937465109E-2</c:v>
                </c:pt>
                <c:pt idx="5">
                  <c:v>8.9692304590656136E-2</c:v>
                </c:pt>
                <c:pt idx="6">
                  <c:v>6.3146210492028287E-2</c:v>
                </c:pt>
                <c:pt idx="7">
                  <c:v>3.6088006950185769E-2</c:v>
                </c:pt>
                <c:pt idx="8">
                  <c:v>7.0230198356522222E-2</c:v>
                </c:pt>
                <c:pt idx="9">
                  <c:v>4.9635931228286578E-2</c:v>
                </c:pt>
                <c:pt idx="10">
                  <c:v>3.7322713209637648E-2</c:v>
                </c:pt>
                <c:pt idx="11">
                  <c:v>6.8888727463567445E-4</c:v>
                </c:pt>
                <c:pt idx="12">
                  <c:v>4.407626866794967E-3</c:v>
                </c:pt>
                <c:pt idx="13">
                  <c:v>3.4060563305741143E-3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44-41EB-ADCA-5AA3A2BC4BB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backward val="0.4"/>
            <c:dispRSqr val="0"/>
            <c:dispEq val="0"/>
          </c:trendline>
          <c:xVal>
            <c:numRef>
              <c:f>'C5 JÄ-1'!$AQ$23:$BD$23</c:f>
              <c:numCache>
                <c:formatCode>General</c:formatCode>
                <c:ptCount val="14"/>
              </c:numCache>
            </c:numRef>
          </c:xVal>
          <c:yVal>
            <c:numRef>
              <c:f>'C5 JÄ-1'!$AQ$12:$BD$12</c:f>
              <c:numCache>
                <c:formatCode>General</c:formatCode>
                <c:ptCount val="1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44-41EB-ADCA-5AA3A2BC4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8733824"/>
        <c:axId val="1808731424"/>
      </c:scatterChart>
      <c:valAx>
        <c:axId val="180873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Osuus vesilämpötila-alueesta (&gt;100 % täysin kondensoiva, &lt; 100 % osittain kondensoiva)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08731424"/>
        <c:crosses val="autoZero"/>
        <c:crossBetween val="midCat"/>
      </c:valAx>
      <c:valAx>
        <c:axId val="1808731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Kosteussisällön lasku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0873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forward val="50"/>
            <c:dispRSqr val="1"/>
            <c:dispEq val="1"/>
            <c:trendlineLbl>
              <c:layout>
                <c:manualLayout>
                  <c:x val="-0.28496216097987753"/>
                  <c:y val="-2.3564814814814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C5'!$M$43:$M$46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C5'!$N$43:$N$46</c:f>
              <c:numCache>
                <c:formatCode>0.000</c:formatCode>
                <c:ptCount val="4"/>
                <c:pt idx="0">
                  <c:v>0.10403848305179553</c:v>
                </c:pt>
                <c:pt idx="1">
                  <c:v>0.14328085241730276</c:v>
                </c:pt>
                <c:pt idx="2">
                  <c:v>0.19780158360503025</c:v>
                </c:pt>
                <c:pt idx="3">
                  <c:v>0.23202548533776235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81-4A01-913B-8CF6959BD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Tehot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25 °C / 65 %RH 7/12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JÄ-2'!$D$23:$H$23</c:f>
              <c:numCache>
                <c:formatCode>General</c:formatCode>
                <c:ptCount val="5"/>
                <c:pt idx="0">
                  <c:v>0.24</c:v>
                </c:pt>
                <c:pt idx="1">
                  <c:v>0.36</c:v>
                </c:pt>
                <c:pt idx="2">
                  <c:v>0.48</c:v>
                </c:pt>
                <c:pt idx="3">
                  <c:v>0.6</c:v>
                </c:pt>
                <c:pt idx="4">
                  <c:v>0.72</c:v>
                </c:pt>
              </c:numCache>
            </c:numRef>
          </c:xVal>
          <c:yVal>
            <c:numRef>
              <c:f>'C5 JÄ-2'!$D$21:$H$21</c:f>
              <c:numCache>
                <c:formatCode>General</c:formatCode>
                <c:ptCount val="5"/>
                <c:pt idx="0">
                  <c:v>1.9</c:v>
                </c:pt>
                <c:pt idx="1">
                  <c:v>2.2999999999999998</c:v>
                </c:pt>
                <c:pt idx="2">
                  <c:v>4.8</c:v>
                </c:pt>
                <c:pt idx="3">
                  <c:v>5.6</c:v>
                </c:pt>
                <c:pt idx="4">
                  <c:v>5.8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E8-4D9F-8A1C-B4284268CC1C}"/>
            </c:ext>
          </c:extLst>
        </c:ser>
        <c:ser>
          <c:idx val="1"/>
          <c:order val="1"/>
          <c:tx>
            <c:v>30 °C / 45 %RH 7/12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JÄ-2'!$I$22:$K$22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JÄ-2'!$I$21:$K$21</c:f>
              <c:numCache>
                <c:formatCode>General</c:formatCode>
                <c:ptCount val="3"/>
                <c:pt idx="0">
                  <c:v>3.4</c:v>
                </c:pt>
                <c:pt idx="1">
                  <c:v>4.3</c:v>
                </c:pt>
                <c:pt idx="2">
                  <c:v>5.0999999999999996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E8-4D9F-8A1C-B4284268CC1C}"/>
            </c:ext>
          </c:extLst>
        </c:ser>
        <c:ser>
          <c:idx val="2"/>
          <c:order val="2"/>
          <c:tx>
            <c:v>25 °C / 50 %RH 10/15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JÄ-2'!$L$22:$N$22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JÄ-2'!$L$21:$N$21</c:f>
              <c:numCache>
                <c:formatCode>General</c:formatCode>
                <c:ptCount val="3"/>
                <c:pt idx="0">
                  <c:v>5.7</c:v>
                </c:pt>
                <c:pt idx="1">
                  <c:v>6.9</c:v>
                </c:pt>
                <c:pt idx="2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E8-4D9F-8A1C-B4284268CC1C}"/>
            </c:ext>
          </c:extLst>
        </c:ser>
        <c:ser>
          <c:idx val="4"/>
          <c:order val="3"/>
          <c:tx>
            <c:v>25 °C / 65 %RH 10/15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JÄ-2'!$O$22:$Q$22</c:f>
              <c:numCache>
                <c:formatCode>0.000</c:formatCode>
                <c:ptCount val="3"/>
                <c:pt idx="0">
                  <c:v>0.3</c:v>
                </c:pt>
                <c:pt idx="1">
                  <c:v>0.4</c:v>
                </c:pt>
                <c:pt idx="2">
                  <c:v>0.5</c:v>
                </c:pt>
              </c:numCache>
            </c:numRef>
          </c:xVal>
          <c:yVal>
            <c:numRef>
              <c:f>'C5 JÄ-2'!$O$21:$Q$21</c:f>
              <c:numCache>
                <c:formatCode>General</c:formatCode>
                <c:ptCount val="3"/>
                <c:pt idx="0">
                  <c:v>5.2</c:v>
                </c:pt>
                <c:pt idx="1">
                  <c:v>6.3</c:v>
                </c:pt>
                <c:pt idx="2">
                  <c:v>7.1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E8-4D9F-8A1C-B4284268CC1C}"/>
            </c:ext>
          </c:extLst>
        </c:ser>
        <c:ser>
          <c:idx val="3"/>
          <c:order val="4"/>
          <c:tx>
            <c:v>25 °C / 65 %RH 7/12 glykoli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'C5 JÄ-2'!$R$22:$V$22</c:f>
              <c:numCache>
                <c:formatCode>0.000</c:formatCode>
                <c:ptCount val="5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</c:numCache>
            </c:numRef>
          </c:xVal>
          <c:yVal>
            <c:numRef>
              <c:f>'C5 JÄ-2'!$R$21:$V$21</c:f>
              <c:numCache>
                <c:formatCode>General</c:formatCode>
                <c:ptCount val="5"/>
                <c:pt idx="0">
                  <c:v>1.7</c:v>
                </c:pt>
                <c:pt idx="1">
                  <c:v>1.9</c:v>
                </c:pt>
                <c:pt idx="2">
                  <c:v>2.1</c:v>
                </c:pt>
                <c:pt idx="3">
                  <c:v>2.2000000000000002</c:v>
                </c:pt>
                <c:pt idx="4">
                  <c:v>2.2999999999999998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BE8-4D9F-8A1C-B4284268C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496063"/>
        <c:axId val="756494623"/>
      </c:scatterChart>
      <c:valAx>
        <c:axId val="7564960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Ilman</a:t>
                </a:r>
                <a:r>
                  <a:rPr lang="fi-FI" baseline="0"/>
                  <a:t> tilavuusvirta [m³/s]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4623"/>
        <c:crosses val="autoZero"/>
        <c:crossBetween val="midCat"/>
      </c:valAx>
      <c:valAx>
        <c:axId val="756494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Teho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564960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Ilmapuolen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JÄ-2'!$D$22:$V$22</c:f>
              <c:numCache>
                <c:formatCode>0.000</c:formatCode>
                <c:ptCount val="19"/>
                <c:pt idx="0">
                  <c:v>0.2</c:v>
                </c:pt>
                <c:pt idx="1">
                  <c:v>0.3</c:v>
                </c:pt>
                <c:pt idx="2">
                  <c:v>0.4</c:v>
                </c:pt>
                <c:pt idx="3">
                  <c:v>0.5</c:v>
                </c:pt>
                <c:pt idx="4">
                  <c:v>0.6</c:v>
                </c:pt>
                <c:pt idx="5">
                  <c:v>0.3</c:v>
                </c:pt>
                <c:pt idx="6">
                  <c:v>0.4</c:v>
                </c:pt>
                <c:pt idx="7">
                  <c:v>0.5</c:v>
                </c:pt>
                <c:pt idx="8">
                  <c:v>0.3</c:v>
                </c:pt>
                <c:pt idx="9">
                  <c:v>0.4</c:v>
                </c:pt>
                <c:pt idx="10">
                  <c:v>0.5</c:v>
                </c:pt>
                <c:pt idx="11">
                  <c:v>0.3</c:v>
                </c:pt>
                <c:pt idx="12">
                  <c:v>0.4</c:v>
                </c:pt>
                <c:pt idx="13">
                  <c:v>0.5</c:v>
                </c:pt>
                <c:pt idx="14">
                  <c:v>0.2</c:v>
                </c:pt>
                <c:pt idx="15">
                  <c:v>0.3</c:v>
                </c:pt>
                <c:pt idx="16">
                  <c:v>0.4</c:v>
                </c:pt>
                <c:pt idx="17">
                  <c:v>0.5</c:v>
                </c:pt>
                <c:pt idx="18">
                  <c:v>0.6</c:v>
                </c:pt>
              </c:numCache>
            </c:numRef>
          </c:xVal>
          <c:yVal>
            <c:numRef>
              <c:f>'C5 JÄ-2'!$D$31:$V$31</c:f>
              <c:numCache>
                <c:formatCode>General</c:formatCode>
                <c:ptCount val="19"/>
                <c:pt idx="0">
                  <c:v>6.7</c:v>
                </c:pt>
                <c:pt idx="1">
                  <c:v>13.4</c:v>
                </c:pt>
                <c:pt idx="2">
                  <c:v>21.9</c:v>
                </c:pt>
                <c:pt idx="3">
                  <c:v>32.1</c:v>
                </c:pt>
                <c:pt idx="4">
                  <c:v>43.8</c:v>
                </c:pt>
                <c:pt idx="5">
                  <c:v>13.4</c:v>
                </c:pt>
                <c:pt idx="6">
                  <c:v>21.9</c:v>
                </c:pt>
                <c:pt idx="7">
                  <c:v>32.1</c:v>
                </c:pt>
                <c:pt idx="8">
                  <c:v>13.4</c:v>
                </c:pt>
                <c:pt idx="9">
                  <c:v>21.9</c:v>
                </c:pt>
                <c:pt idx="10">
                  <c:v>32.1</c:v>
                </c:pt>
                <c:pt idx="11">
                  <c:v>13.4</c:v>
                </c:pt>
                <c:pt idx="12">
                  <c:v>21.9</c:v>
                </c:pt>
                <c:pt idx="13">
                  <c:v>32.1</c:v>
                </c:pt>
                <c:pt idx="14">
                  <c:v>6.7</c:v>
                </c:pt>
                <c:pt idx="15">
                  <c:v>13.4</c:v>
                </c:pt>
                <c:pt idx="16">
                  <c:v>21.9</c:v>
                </c:pt>
                <c:pt idx="17">
                  <c:v>32.1</c:v>
                </c:pt>
                <c:pt idx="18">
                  <c:v>43.8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44-4387-81D1-132211CAE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</a:t>
                </a:r>
                <a:r>
                  <a:rPr lang="fi-FI" baseline="0"/>
                  <a:t> [Pa]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Nestepuolen</a:t>
            </a:r>
            <a:r>
              <a:rPr lang="fi-FI" baseline="0"/>
              <a:t> painehäviö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Vesi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326552930883646"/>
                  <c:y val="3.769211140274132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JÄ-2'!$D$35:$Q$35</c:f>
              <c:numCache>
                <c:formatCode>General</c:formatCode>
                <c:ptCount val="14"/>
                <c:pt idx="0">
                  <c:v>0.06</c:v>
                </c:pt>
                <c:pt idx="1">
                  <c:v>7.0000000000000007E-2</c:v>
                </c:pt>
                <c:pt idx="2">
                  <c:v>0.14000000000000001</c:v>
                </c:pt>
                <c:pt idx="3">
                  <c:v>0.17</c:v>
                </c:pt>
                <c:pt idx="4">
                  <c:v>0.17</c:v>
                </c:pt>
                <c:pt idx="5">
                  <c:v>0.1</c:v>
                </c:pt>
                <c:pt idx="6">
                  <c:v>0.13</c:v>
                </c:pt>
                <c:pt idx="7">
                  <c:v>0.15</c:v>
                </c:pt>
                <c:pt idx="8">
                  <c:v>0.17</c:v>
                </c:pt>
                <c:pt idx="9">
                  <c:v>0.21</c:v>
                </c:pt>
                <c:pt idx="10">
                  <c:v>0.24</c:v>
                </c:pt>
                <c:pt idx="11">
                  <c:v>0.25</c:v>
                </c:pt>
                <c:pt idx="12">
                  <c:v>0.3</c:v>
                </c:pt>
                <c:pt idx="13">
                  <c:v>0.34</c:v>
                </c:pt>
              </c:numCache>
            </c:numRef>
          </c:xVal>
          <c:yVal>
            <c:numRef>
              <c:f>'C5 JÄ-2'!$D$37:$Q$37</c:f>
              <c:numCache>
                <c:formatCode>General</c:formatCode>
                <c:ptCount val="14"/>
                <c:pt idx="0">
                  <c:v>1.3</c:v>
                </c:pt>
                <c:pt idx="1">
                  <c:v>1.6</c:v>
                </c:pt>
                <c:pt idx="2">
                  <c:v>8.1999999999999993</c:v>
                </c:pt>
                <c:pt idx="3">
                  <c:v>10.9</c:v>
                </c:pt>
                <c:pt idx="4">
                  <c:v>12</c:v>
                </c:pt>
                <c:pt idx="5">
                  <c:v>4.3</c:v>
                </c:pt>
                <c:pt idx="6">
                  <c:v>6.6</c:v>
                </c:pt>
                <c:pt idx="7">
                  <c:v>9.3000000000000007</c:v>
                </c:pt>
                <c:pt idx="8">
                  <c:v>11.5</c:v>
                </c:pt>
                <c:pt idx="9">
                  <c:v>16.600000000000001</c:v>
                </c:pt>
                <c:pt idx="10">
                  <c:v>21.6</c:v>
                </c:pt>
                <c:pt idx="11">
                  <c:v>23.8</c:v>
                </c:pt>
                <c:pt idx="12">
                  <c:v>34.299999999999997</c:v>
                </c:pt>
                <c:pt idx="13">
                  <c:v>42.6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64-4933-8099-D6599CA932BD}"/>
            </c:ext>
          </c:extLst>
        </c:ser>
        <c:ser>
          <c:idx val="1"/>
          <c:order val="1"/>
          <c:tx>
            <c:v>Etyleeniglykoli 35%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'C5 JÄ-2'!$R$35:$V$35</c:f>
              <c:numCache>
                <c:formatCode>General</c:formatCode>
                <c:ptCount val="5"/>
                <c:pt idx="0">
                  <c:v>0.05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0.08</c:v>
                </c:pt>
              </c:numCache>
            </c:numRef>
          </c:xVal>
          <c:yVal>
            <c:numRef>
              <c:f>'C5 JÄ-2'!$R$37:$V$37</c:f>
              <c:numCache>
                <c:formatCode>General</c:formatCode>
                <c:ptCount val="5"/>
                <c:pt idx="0">
                  <c:v>2.9</c:v>
                </c:pt>
                <c:pt idx="1">
                  <c:v>3.3</c:v>
                </c:pt>
                <c:pt idx="2">
                  <c:v>3.7</c:v>
                </c:pt>
                <c:pt idx="3">
                  <c:v>3.9</c:v>
                </c:pt>
                <c:pt idx="4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64-4933-8099-D6599CA93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8928"/>
        <c:axId val="109724224"/>
      </c:scatterChart>
      <c:valAx>
        <c:axId val="1401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Nestevirtaama</a:t>
                </a:r>
                <a:r>
                  <a:rPr lang="fi-FI" baseline="0"/>
                  <a:t> [l/s]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9724224"/>
        <c:crosses val="autoZero"/>
        <c:crossBetween val="midCat"/>
      </c:valAx>
      <c:valAx>
        <c:axId val="10972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Painehäviö kPa]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18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JÄ-2'!$D$83</c:f>
              <c:strCache>
                <c:ptCount val="1"/>
                <c:pt idx="0">
                  <c:v>0,5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3"/>
            <c:backward val="8"/>
            <c:dispRSqr val="1"/>
            <c:dispEq val="1"/>
            <c:trendlineLbl>
              <c:layout>
                <c:manualLayout>
                  <c:x val="-0.61789898779399277"/>
                  <c:y val="-1.43055607704727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JÄ-2'!$E$83:$E$85</c:f>
              <c:numCache>
                <c:formatCode>0.0</c:formatCode>
                <c:ptCount val="3"/>
                <c:pt idx="0">
                  <c:v>6.8500000000000014</c:v>
                </c:pt>
                <c:pt idx="1">
                  <c:v>7.1999999999999993</c:v>
                </c:pt>
                <c:pt idx="2">
                  <c:v>8.25</c:v>
                </c:pt>
              </c:numCache>
            </c:numRef>
          </c:xVal>
          <c:yVal>
            <c:numRef>
              <c:f>'C5 JÄ-2'!$G$83:$G$85</c:f>
              <c:numCache>
                <c:formatCode>General</c:formatCode>
                <c:ptCount val="3"/>
                <c:pt idx="0">
                  <c:v>5.0999999999999996</c:v>
                </c:pt>
                <c:pt idx="1">
                  <c:v>5.6</c:v>
                </c:pt>
                <c:pt idx="2">
                  <c:v>7.1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5F-4A6D-9DBB-0B38F3079BF7}"/>
            </c:ext>
          </c:extLst>
        </c:ser>
        <c:ser>
          <c:idx val="1"/>
          <c:order val="1"/>
          <c:tx>
            <c:strRef>
              <c:f>'C5 JÄ-2'!$D$90</c:f>
              <c:strCache>
                <c:ptCount val="1"/>
                <c:pt idx="0">
                  <c:v>0,4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forward val="3"/>
            <c:backward val="7"/>
            <c:dispRSqr val="1"/>
            <c:dispEq val="1"/>
            <c:trendlineLbl>
              <c:layout>
                <c:manualLayout>
                  <c:x val="-0.57104973651254898"/>
                  <c:y val="7.419913757623854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JÄ-2'!$E$90:$E$92</c:f>
              <c:numCache>
                <c:formatCode>0.0</c:formatCode>
                <c:ptCount val="3"/>
                <c:pt idx="0">
                  <c:v>6.6499999999999986</c:v>
                </c:pt>
                <c:pt idx="1">
                  <c:v>7.0500000000000007</c:v>
                </c:pt>
                <c:pt idx="2">
                  <c:v>8</c:v>
                </c:pt>
              </c:numCache>
            </c:numRef>
          </c:xVal>
          <c:yVal>
            <c:numRef>
              <c:f>'C5 JÄ-2'!$G$90:$G$92</c:f>
              <c:numCache>
                <c:formatCode>General</c:formatCode>
                <c:ptCount val="3"/>
                <c:pt idx="0">
                  <c:v>4.3</c:v>
                </c:pt>
                <c:pt idx="1">
                  <c:v>4.8</c:v>
                </c:pt>
                <c:pt idx="2">
                  <c:v>6.3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15F-4A6D-9DBB-0B38F3079BF7}"/>
            </c:ext>
          </c:extLst>
        </c:ser>
        <c:ser>
          <c:idx val="2"/>
          <c:order val="2"/>
          <c:tx>
            <c:strRef>
              <c:f>'C5 JÄ-2'!$D$97</c:f>
              <c:strCache>
                <c:ptCount val="1"/>
                <c:pt idx="0">
                  <c:v>0,3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forward val="3"/>
            <c:backward val="7"/>
            <c:dispRSqr val="1"/>
            <c:dispEq val="1"/>
            <c:trendlineLbl>
              <c:layout>
                <c:manualLayout>
                  <c:x val="-0.51932071968813431"/>
                  <c:y val="0.1160294969486355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JÄ-2'!$E$97:$E$99</c:f>
              <c:numCache>
                <c:formatCode>0.0</c:formatCode>
                <c:ptCount val="3"/>
                <c:pt idx="0">
                  <c:v>6.3999999999999986</c:v>
                </c:pt>
                <c:pt idx="1">
                  <c:v>7.75</c:v>
                </c:pt>
                <c:pt idx="2">
                  <c:v>7.75</c:v>
                </c:pt>
              </c:numCache>
            </c:numRef>
          </c:xVal>
          <c:yVal>
            <c:numRef>
              <c:f>'C5 JÄ-2'!$G$97:$G$99</c:f>
              <c:numCache>
                <c:formatCode>General</c:formatCode>
                <c:ptCount val="3"/>
                <c:pt idx="0">
                  <c:v>3.4</c:v>
                </c:pt>
                <c:pt idx="1">
                  <c:v>5.2</c:v>
                </c:pt>
                <c:pt idx="2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15F-4A6D-9DBB-0B38F3079BF7}"/>
            </c:ext>
          </c:extLst>
        </c:ser>
        <c:ser>
          <c:idx val="3"/>
          <c:order val="3"/>
          <c:tx>
            <c:strRef>
              <c:f>'C5 JÄ-2'!$D$106</c:f>
              <c:strCache>
                <c:ptCount val="1"/>
                <c:pt idx="0">
                  <c:v>0,45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wer"/>
            <c:forward val="5"/>
            <c:backward val="7"/>
            <c:dispRSqr val="1"/>
            <c:dispEq val="1"/>
            <c:trendlineLbl>
              <c:layout>
                <c:manualLayout>
                  <c:x val="-0.13026789942664133"/>
                  <c:y val="-2.4576582425689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JÄ-2'!$E$106:$E$108</c:f>
              <c:numCache>
                <c:formatCode>0.0</c:formatCode>
                <c:ptCount val="3"/>
                <c:pt idx="0">
                  <c:v>14</c:v>
                </c:pt>
                <c:pt idx="1">
                  <c:v>11</c:v>
                </c:pt>
                <c:pt idx="2">
                  <c:v>7</c:v>
                </c:pt>
              </c:numCache>
            </c:numRef>
          </c:xVal>
          <c:yVal>
            <c:numRef>
              <c:f>'C5 JÄ-2'!$G$106:$G$108</c:f>
              <c:numCache>
                <c:formatCode>General</c:formatCode>
                <c:ptCount val="3"/>
                <c:pt idx="0">
                  <c:v>18.8834302384506</c:v>
                </c:pt>
                <c:pt idx="1">
                  <c:v>11.930196123973792</c:v>
                </c:pt>
                <c:pt idx="2">
                  <c:v>5.0451066023713613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15F-4A6D-9DBB-0B38F3079BF7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'C5 JÄ-2'!$X$94</c:f>
              <c:numCache>
                <c:formatCode>General</c:formatCode>
                <c:ptCount val="1"/>
              </c:numCache>
            </c:numRef>
          </c:xVal>
          <c:yVal>
            <c:numRef>
              <c:f>'C5 JÄ-2'!$X$93</c:f>
              <c:numCache>
                <c:formatCode>0.0</c:formatCode>
                <c:ptCount val="1"/>
                <c:pt idx="0">
                  <c:v>17.952310732769277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15F-4A6D-9DBB-0B38F3079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510671"/>
        <c:axId val="1325503951"/>
      </c:scatterChart>
      <c:valAx>
        <c:axId val="1325510671"/>
        <c:scaling>
          <c:orientation val="minMax"/>
          <c:max val="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25503951"/>
        <c:crosses val="autoZero"/>
        <c:crossBetween val="midCat"/>
      </c:valAx>
      <c:valAx>
        <c:axId val="1325503951"/>
        <c:scaling>
          <c:orientation val="minMax"/>
          <c:max val="1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25510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'C5 JÄ-2'!$N$104</c:f>
              <c:strCache>
                <c:ptCount val="1"/>
                <c:pt idx="0">
                  <c:v>14,0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JÄ-2'!$O$104:$O$106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JÄ-2'!$P$104:$P$106</c:f>
              <c:numCache>
                <c:formatCode>0.0</c:formatCode>
                <c:ptCount val="3"/>
                <c:pt idx="0">
                  <c:v>18.134027475388788</c:v>
                </c:pt>
                <c:pt idx="1">
                  <c:v>20.134342538186655</c:v>
                </c:pt>
                <c:pt idx="2">
                  <c:v>19.325905407568257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DB-422F-AD69-D37CB4384B89}"/>
            </c:ext>
          </c:extLst>
        </c:ser>
        <c:ser>
          <c:idx val="1"/>
          <c:order val="1"/>
          <c:tx>
            <c:strRef>
              <c:f>'C5 JÄ-2'!$N$110</c:f>
              <c:strCache>
                <c:ptCount val="1"/>
                <c:pt idx="0">
                  <c:v>11,0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JÄ-2'!$O$110:$O$112</c:f>
              <c:numCache>
                <c:formatCode>General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JÄ-2'!$P$110:$P$112</c:f>
              <c:numCache>
                <c:formatCode>0.0</c:formatCode>
                <c:ptCount val="3"/>
                <c:pt idx="0">
                  <c:v>11.829008671379444</c:v>
                </c:pt>
                <c:pt idx="1">
                  <c:v>12.192184711363431</c:v>
                </c:pt>
                <c:pt idx="2">
                  <c:v>11.314482446871287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DB-422F-AD69-D37CB4384B89}"/>
            </c:ext>
          </c:extLst>
        </c:ser>
        <c:ser>
          <c:idx val="2"/>
          <c:order val="2"/>
          <c:tx>
            <c:strRef>
              <c:f>'C5 JÄ-2'!$N$116</c:f>
              <c:strCache>
                <c:ptCount val="1"/>
                <c:pt idx="0">
                  <c:v>7,0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wer"/>
            <c:backward val="0.30000000000000004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'C5 JÄ-2'!$O$116:$O$118</c:f>
              <c:numCache>
                <c:formatCode>0.0</c:formatCode>
                <c:ptCount val="3"/>
                <c:pt idx="0">
                  <c:v>0.5</c:v>
                </c:pt>
                <c:pt idx="1">
                  <c:v>0.4</c:v>
                </c:pt>
                <c:pt idx="2">
                  <c:v>0.3</c:v>
                </c:pt>
              </c:numCache>
            </c:numRef>
          </c:xVal>
          <c:yVal>
            <c:numRef>
              <c:f>'C5 JÄ-2'!$P$116:$P$118</c:f>
              <c:numCache>
                <c:formatCode>0.0</c:formatCode>
                <c:ptCount val="3"/>
                <c:pt idx="0">
                  <c:v>5.3112752190570047</c:v>
                </c:pt>
                <c:pt idx="1">
                  <c:v>4.7618607940612341</c:v>
                </c:pt>
                <c:pt idx="2">
                  <c:v>4.1483396069164753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9DB-422F-AD69-D37CB4384B89}"/>
            </c:ext>
          </c:extLst>
        </c:ser>
        <c:ser>
          <c:idx val="3"/>
          <c:order val="3"/>
          <c:tx>
            <c:v>Mitoitus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('C5 JÄ-2'!$D$106,'C5 JÄ-2'!$D$107,'C5 JÄ-2'!$D$108)</c:f>
              <c:numCache>
                <c:formatCode>General</c:formatCode>
                <c:ptCount val="3"/>
                <c:pt idx="0">
                  <c:v>0.45</c:v>
                </c:pt>
                <c:pt idx="1">
                  <c:v>0.45</c:v>
                </c:pt>
                <c:pt idx="2">
                  <c:v>0.45</c:v>
                </c:pt>
              </c:numCache>
            </c:numRef>
          </c:xVal>
          <c:yVal>
            <c:numRef>
              <c:f>('C5 JÄ-2'!$G$106,'C5 JÄ-2'!$G$107,'C5 JÄ-2'!$G$108)</c:f>
              <c:numCache>
                <c:formatCode>General</c:formatCode>
                <c:ptCount val="3"/>
                <c:pt idx="0">
                  <c:v>18.8834302384506</c:v>
                </c:pt>
                <c:pt idx="1">
                  <c:v>11.930196123973792</c:v>
                </c:pt>
                <c:pt idx="2">
                  <c:v>5.0451066023713613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9DB-422F-AD69-D37CB4384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5676207"/>
        <c:axId val="1345679087"/>
      </c:scatterChart>
      <c:valAx>
        <c:axId val="1345676207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45679087"/>
        <c:crosses val="autoZero"/>
        <c:crossBetween val="midCat"/>
      </c:valAx>
      <c:valAx>
        <c:axId val="1345679087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456762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Kosteussisällön pieneneminen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forward val="0.4"/>
            <c:dispRSqr val="0"/>
            <c:dispEq val="0"/>
          </c:trendline>
          <c:xVal>
            <c:numRef>
              <c:f>'C5 JÄ-2'!$AC$23:$AP$23</c:f>
              <c:numCache>
                <c:formatCode>0%</c:formatCode>
                <c:ptCount val="14"/>
                <c:pt idx="0">
                  <c:v>0.99403884159615963</c:v>
                </c:pt>
                <c:pt idx="1">
                  <c:v>0.99403884159615963</c:v>
                </c:pt>
                <c:pt idx="2">
                  <c:v>0.99403884159615963</c:v>
                </c:pt>
                <c:pt idx="3">
                  <c:v>0.99403884159615963</c:v>
                </c:pt>
                <c:pt idx="4">
                  <c:v>0.48028638712961147</c:v>
                </c:pt>
                <c:pt idx="5">
                  <c:v>0.48028638712961147</c:v>
                </c:pt>
                <c:pt idx="6">
                  <c:v>0.48028638712961147</c:v>
                </c:pt>
                <c:pt idx="7">
                  <c:v>0.48028638712961147</c:v>
                </c:pt>
                <c:pt idx="8">
                  <c:v>0.84377705905974709</c:v>
                </c:pt>
                <c:pt idx="9">
                  <c:v>0.84377705905974709</c:v>
                </c:pt>
                <c:pt idx="10">
                  <c:v>0.84377705905974709</c:v>
                </c:pt>
                <c:pt idx="11">
                  <c:v>1.5904621465538553</c:v>
                </c:pt>
                <c:pt idx="12">
                  <c:v>1.5904621465538553</c:v>
                </c:pt>
                <c:pt idx="13">
                  <c:v>1.5904621465538553</c:v>
                </c:pt>
              </c:numCache>
            </c:numRef>
          </c:xVal>
          <c:yVal>
            <c:numRef>
              <c:f>'C5 JÄ-2'!$AC$12:$AP$12</c:f>
              <c:numCache>
                <c:formatCode>0.0\ %</c:formatCode>
                <c:ptCount val="14"/>
                <c:pt idx="0">
                  <c:v>2.8799562789955657E-2</c:v>
                </c:pt>
                <c:pt idx="1">
                  <c:v>3.6871445720313423E-3</c:v>
                </c:pt>
                <c:pt idx="2">
                  <c:v>6.4203850022394371E-2</c:v>
                </c:pt>
                <c:pt idx="3">
                  <c:v>4.5913224074078607E-2</c:v>
                </c:pt>
                <c:pt idx="4">
                  <c:v>3.4060563305741143E-3</c:v>
                </c:pt>
                <c:pt idx="5">
                  <c:v>3.2925275937767395E-3</c:v>
                </c:pt>
                <c:pt idx="6">
                  <c:v>6.0736962912617543E-3</c:v>
                </c:pt>
                <c:pt idx="7">
                  <c:v>4.407626866794967E-3</c:v>
                </c:pt>
                <c:pt idx="8">
                  <c:v>5.3412575433956277E-2</c:v>
                </c:pt>
                <c:pt idx="9">
                  <c:v>2.5964758447897807E-2</c:v>
                </c:pt>
                <c:pt idx="10">
                  <c:v>8.5187848644506792E-3</c:v>
                </c:pt>
                <c:pt idx="11">
                  <c:v>0.14786163956770104</c:v>
                </c:pt>
                <c:pt idx="12">
                  <c:v>0.11963845805184514</c:v>
                </c:pt>
                <c:pt idx="13">
                  <c:v>9.0577264034193417E-2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9D-47D5-B75C-83B907A6C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9452064"/>
        <c:axId val="1569458304"/>
      </c:scatterChart>
      <c:valAx>
        <c:axId val="1569452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Kastepiste vs. vesilämpötila-alue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69458304"/>
        <c:crosses val="autoZero"/>
        <c:crossBetween val="midCat"/>
      </c:valAx>
      <c:valAx>
        <c:axId val="156945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Kosteusisällön</a:t>
                </a:r>
                <a:r>
                  <a:rPr lang="fi-FI" baseline="0"/>
                  <a:t> poistuminen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69452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7"/>
          <c:order val="0"/>
          <c:tx>
            <c:strRef>
              <c:f>TuloksetC!$C$10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22225"/>
            </c:spPr>
            <c:trendlineType val="poly"/>
            <c:order val="2"/>
            <c:dispRSqr val="0"/>
            <c:dispEq val="0"/>
          </c:trendline>
          <c:xVal>
            <c:numRef>
              <c:f>TuloksetC!$AJ$12:$AJ$18</c:f>
              <c:numCache>
                <c:formatCode>0</c:formatCode>
                <c:ptCount val="7"/>
                <c:pt idx="0">
                  <c:v>654.25037329157124</c:v>
                </c:pt>
                <c:pt idx="1">
                  <c:v>629.36379914838335</c:v>
                </c:pt>
                <c:pt idx="2">
                  <c:v>594.97595729709474</c:v>
                </c:pt>
                <c:pt idx="3">
                  <c:v>559.03881062391019</c:v>
                </c:pt>
                <c:pt idx="4">
                  <c:v>521.32193237327101</c:v>
                </c:pt>
                <c:pt idx="5">
                  <c:v>481.53139436024861</c:v>
                </c:pt>
                <c:pt idx="6">
                  <c:v>473.2925954290904</c:v>
                </c:pt>
              </c:numCache>
            </c:numRef>
          </c:xVal>
          <c:yVal>
            <c:numRef>
              <c:f>TuloksetC!$AI$12:$AI$18</c:f>
              <c:numCache>
                <c:formatCode>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F8-4817-9EE3-0F91E6C43597}"/>
            </c:ext>
          </c:extLst>
        </c:ser>
        <c:ser>
          <c:idx val="8"/>
          <c:order val="1"/>
          <c:tx>
            <c:strRef>
              <c:f>TuloksetC!$E$10</c:f>
              <c:strCache>
                <c:ptCount val="1"/>
                <c:pt idx="0">
                  <c:v>8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TuloksetC!$AL$12:$AL$18</c:f>
              <c:numCache>
                <c:formatCode>0</c:formatCode>
                <c:ptCount val="7"/>
                <c:pt idx="0">
                  <c:v>582.83308011693862</c:v>
                </c:pt>
                <c:pt idx="1">
                  <c:v>570.11547619002181</c:v>
                </c:pt>
                <c:pt idx="2">
                  <c:v>548.36777867485296</c:v>
                </c:pt>
                <c:pt idx="3">
                  <c:v>525.8682520064591</c:v>
                </c:pt>
                <c:pt idx="4">
                  <c:v>488.08981935508075</c:v>
                </c:pt>
                <c:pt idx="5">
                  <c:v>442.46956587231512</c:v>
                </c:pt>
                <c:pt idx="6">
                  <c:v>330.67113176285858</c:v>
                </c:pt>
              </c:numCache>
            </c:numRef>
          </c:xVal>
          <c:yVal>
            <c:numRef>
              <c:f>TuloksetC!$AK$12:$AK$18</c:f>
              <c:numCache>
                <c:formatCode>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510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6F8-4817-9EE3-0F91E6C43597}"/>
            </c:ext>
          </c:extLst>
        </c:ser>
        <c:ser>
          <c:idx val="9"/>
          <c:order val="2"/>
          <c:tx>
            <c:strRef>
              <c:f>TuloksetC!$G$10</c:f>
              <c:strCache>
                <c:ptCount val="1"/>
                <c:pt idx="0">
                  <c:v>6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TuloksetC!$AN$12:$AN$17</c:f>
              <c:numCache>
                <c:formatCode>0</c:formatCode>
                <c:ptCount val="6"/>
                <c:pt idx="0">
                  <c:v>418.68869265387121</c:v>
                </c:pt>
                <c:pt idx="1">
                  <c:v>395.52550235940686</c:v>
                </c:pt>
                <c:pt idx="2">
                  <c:v>371.15944670020446</c:v>
                </c:pt>
                <c:pt idx="3">
                  <c:v>345.38106086358533</c:v>
                </c:pt>
                <c:pt idx="4">
                  <c:v>317.91195418861821</c:v>
                </c:pt>
                <c:pt idx="5">
                  <c:v>190.64733408241827</c:v>
                </c:pt>
              </c:numCache>
            </c:numRef>
          </c:xVal>
          <c:yVal>
            <c:numRef>
              <c:f>TuloksetC!$AM$12:$AM$17</c:f>
              <c:numCache>
                <c:formatCode>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6F8-4817-9EE3-0F91E6C43597}"/>
            </c:ext>
          </c:extLst>
        </c:ser>
        <c:ser>
          <c:idx val="10"/>
          <c:order val="3"/>
          <c:tx>
            <c:strRef>
              <c:f>TuloksetC!$I$10</c:f>
              <c:strCache>
                <c:ptCount val="1"/>
                <c:pt idx="0">
                  <c:v>4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TuloksetC!$AP$12:$AP$16</c:f>
              <c:numCache>
                <c:formatCode>0</c:formatCode>
                <c:ptCount val="5"/>
                <c:pt idx="0">
                  <c:v>257.85106453446394</c:v>
                </c:pt>
                <c:pt idx="1">
                  <c:v>248.64190471104959</c:v>
                </c:pt>
                <c:pt idx="2">
                  <c:v>229.53785769609709</c:v>
                </c:pt>
                <c:pt idx="3">
                  <c:v>209.39421485538645</c:v>
                </c:pt>
                <c:pt idx="4">
                  <c:v>82.992893577309133</c:v>
                </c:pt>
              </c:numCache>
            </c:numRef>
          </c:xVal>
          <c:yVal>
            <c:numRef>
              <c:f>TuloksetC!$AO$12:$AO$16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6F8-4817-9EE3-0F91E6C43597}"/>
            </c:ext>
          </c:extLst>
        </c:ser>
        <c:ser>
          <c:idx val="11"/>
          <c:order val="4"/>
          <c:tx>
            <c:v>Mitoituspiste tulo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'C-series'!$E$33</c:f>
              <c:numCache>
                <c:formatCode>0</c:formatCode>
                <c:ptCount val="1"/>
                <c:pt idx="0">
                  <c:v>450</c:v>
                </c:pt>
              </c:numCache>
            </c:numRef>
          </c:xVal>
          <c:yVal>
            <c:numRef>
              <c:f>'C-series'!$E$44</c:f>
              <c:numCache>
                <c:formatCode>General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6F8-4817-9EE3-0F91E6C43597}"/>
            </c:ext>
          </c:extLst>
        </c:ser>
        <c:ser>
          <c:idx val="5"/>
          <c:order val="5"/>
          <c:tx>
            <c:v>Mitoituspiste poisto</c:v>
          </c:tx>
          <c:spPr>
            <a:ln w="19050">
              <a:noFill/>
            </a:ln>
          </c:spPr>
          <c:marker>
            <c:symbol val="none"/>
          </c:marker>
          <c:xVal>
            <c:numRef>
              <c:f>'C-series'!$G$33</c:f>
              <c:numCache>
                <c:formatCode>0</c:formatCode>
                <c:ptCount val="1"/>
                <c:pt idx="0">
                  <c:v>450</c:v>
                </c:pt>
              </c:numCache>
            </c:numRef>
          </c:xVal>
          <c:yVal>
            <c:numRef>
              <c:f>'C-series'!$G$44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6F8-4817-9EE3-0F91E6C43597}"/>
            </c:ext>
          </c:extLst>
        </c:ser>
        <c:ser>
          <c:idx val="0"/>
          <c:order val="6"/>
          <c:tx>
            <c:strRef>
              <c:f>TuloksetC!$N$10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TuloksetC!$AS$12:$AS$18</c:f>
              <c:numCache>
                <c:formatCode>0</c:formatCode>
                <c:ptCount val="7"/>
                <c:pt idx="0">
                  <c:v>704.41515202349137</c:v>
                </c:pt>
                <c:pt idx="1">
                  <c:v>672.63936045835271</c:v>
                </c:pt>
                <c:pt idx="2">
                  <c:v>629.33063615244953</c:v>
                </c:pt>
                <c:pt idx="3">
                  <c:v>584.86750063882482</c:v>
                </c:pt>
                <c:pt idx="4">
                  <c:v>539.1524029239863</c:v>
                </c:pt>
                <c:pt idx="5">
                  <c:v>492.07322645236565</c:v>
                </c:pt>
                <c:pt idx="6">
                  <c:v>477.66458782780904</c:v>
                </c:pt>
              </c:numCache>
            </c:numRef>
          </c:xVal>
          <c:yVal>
            <c:numRef>
              <c:f>TuloksetC!$AR$12:$AR$18</c:f>
              <c:numCache>
                <c:formatCode>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6F8-4817-9EE3-0F91E6C43597}"/>
            </c:ext>
          </c:extLst>
        </c:ser>
        <c:ser>
          <c:idx val="1"/>
          <c:order val="7"/>
          <c:tx>
            <c:strRef>
              <c:f>TuloksetC!$P$10</c:f>
              <c:strCache>
                <c:ptCount val="1"/>
                <c:pt idx="0">
                  <c:v>8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TuloksetC!$AU$12:$AU$18</c:f>
              <c:numCache>
                <c:formatCode>0</c:formatCode>
                <c:ptCount val="7"/>
                <c:pt idx="0">
                  <c:v>635.13108472623696</c:v>
                </c:pt>
                <c:pt idx="1">
                  <c:v>621.13721586741849</c:v>
                </c:pt>
                <c:pt idx="2">
                  <c:v>597.24546096540359</c:v>
                </c:pt>
                <c:pt idx="3">
                  <c:v>572.58309106524268</c:v>
                </c:pt>
                <c:pt idx="4">
                  <c:v>562.48496374942363</c:v>
                </c:pt>
                <c:pt idx="5">
                  <c:v>552.24522324859129</c:v>
                </c:pt>
                <c:pt idx="6">
                  <c:v>362.1499176804237</c:v>
                </c:pt>
              </c:numCache>
            </c:numRef>
          </c:xVal>
          <c:yVal>
            <c:numRef>
              <c:f>TuloksetC!$AT$12:$AT$18</c:f>
              <c:numCache>
                <c:formatCode>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510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6F8-4817-9EE3-0F91E6C43597}"/>
            </c:ext>
          </c:extLst>
        </c:ser>
        <c:ser>
          <c:idx val="2"/>
          <c:order val="8"/>
          <c:tx>
            <c:strRef>
              <c:f>TuloksetC!$R$10</c:f>
              <c:strCache>
                <c:ptCount val="1"/>
                <c:pt idx="0">
                  <c:v>6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TuloksetC!$AW$12:$AW$17</c:f>
              <c:numCache>
                <c:formatCode>0</c:formatCode>
                <c:ptCount val="6"/>
                <c:pt idx="0">
                  <c:v>461.46618744473108</c:v>
                </c:pt>
                <c:pt idx="1">
                  <c:v>436.22652389115092</c:v>
                </c:pt>
                <c:pt idx="2">
                  <c:v>409.75018913868513</c:v>
                </c:pt>
                <c:pt idx="3">
                  <c:v>381.83535666879976</c:v>
                </c:pt>
                <c:pt idx="4">
                  <c:v>352.21848586327883</c:v>
                </c:pt>
                <c:pt idx="5">
                  <c:v>206.76262174494295</c:v>
                </c:pt>
              </c:numCache>
            </c:numRef>
          </c:xVal>
          <c:yVal>
            <c:numRef>
              <c:f>TuloksetC!$AV$12:$AV$17</c:f>
              <c:numCache>
                <c:formatCode>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330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6F8-4817-9EE3-0F91E6C43597}"/>
            </c:ext>
          </c:extLst>
        </c:ser>
        <c:ser>
          <c:idx val="3"/>
          <c:order val="9"/>
          <c:tx>
            <c:strRef>
              <c:f>TuloksetC!$T$10</c:f>
              <c:strCache>
                <c:ptCount val="1"/>
                <c:pt idx="0">
                  <c:v>4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TuloksetC!$AY$12:$AY$16</c:f>
              <c:numCache>
                <c:formatCode>0</c:formatCode>
                <c:ptCount val="5"/>
                <c:pt idx="0">
                  <c:v>281.0750747137705</c:v>
                </c:pt>
                <c:pt idx="1">
                  <c:v>271.66904546375156</c:v>
                </c:pt>
                <c:pt idx="2">
                  <c:v>252.08070997899338</c:v>
                </c:pt>
                <c:pt idx="3">
                  <c:v>231.29830588165899</c:v>
                </c:pt>
                <c:pt idx="4">
                  <c:v>95.104674324430036</c:v>
                </c:pt>
              </c:numCache>
            </c:numRef>
          </c:xVal>
          <c:yVal>
            <c:numRef>
              <c:f>TuloksetC!$AX$12:$AX$16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6F8-4817-9EE3-0F91E6C43597}"/>
            </c:ext>
          </c:extLst>
        </c:ser>
        <c:ser>
          <c:idx val="4"/>
          <c:order val="10"/>
          <c:tx>
            <c:v>Otsikot tulo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9FF68555-483E-E145-9D38-5F9E6A1FAF5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C6F8-4817-9EE3-0F91E6C435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33FFB16-25C8-1745-B3FD-FDB64407FC1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6F8-4817-9EE3-0F91E6C4359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451B276-423A-8E4C-9986-F69917BCDEC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6F8-4817-9EE3-0F91E6C4359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ED1BA42-9FA2-9648-9D39-869B84AE3F1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6F8-4817-9EE3-0F91E6C43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(TuloksetC!$AJ$18,TuloksetC!$AL$18,TuloksetC!$AN$17,TuloksetC!$AP$16)</c:f>
              <c:numCache>
                <c:formatCode>0</c:formatCode>
                <c:ptCount val="4"/>
                <c:pt idx="0">
                  <c:v>473.2925954290904</c:v>
                </c:pt>
                <c:pt idx="1">
                  <c:v>330.67113176285858</c:v>
                </c:pt>
                <c:pt idx="2">
                  <c:v>190.64733408241827</c:v>
                </c:pt>
                <c:pt idx="3">
                  <c:v>82.992893577309133</c:v>
                </c:pt>
              </c:numCache>
            </c:numRef>
          </c:xVal>
          <c:yVal>
            <c:numRef>
              <c:f>(TuloksetC!$AI$18,TuloksetC!$AK$18,TuloksetC!$AM$17,TuloksetC!$AO$16)</c:f>
              <c:numCache>
                <c:formatCode>0</c:formatCode>
                <c:ptCount val="4"/>
                <c:pt idx="0">
                  <c:v>520</c:v>
                </c:pt>
                <c:pt idx="1">
                  <c:v>510</c:v>
                </c:pt>
                <c:pt idx="2">
                  <c:v>320</c:v>
                </c:pt>
                <c:pt idx="3">
                  <c:v>160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(TuloksetC!$C$10,TuloksetC!$E$10,TuloksetC!$G$10,TuloksetC!$I$10)</c15:f>
                <c15:dlblRangeCache>
                  <c:ptCount val="4"/>
                  <c:pt idx="0">
                    <c:v>10 V</c:v>
                  </c:pt>
                  <c:pt idx="1">
                    <c:v>8 V</c:v>
                  </c:pt>
                  <c:pt idx="2">
                    <c:v>6 V</c:v>
                  </c:pt>
                  <c:pt idx="3">
                    <c:v>4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6-C6F8-4817-9EE3-0F91E6C43597}"/>
            </c:ext>
          </c:extLst>
        </c:ser>
        <c:ser>
          <c:idx val="6"/>
          <c:order val="11"/>
          <c:tx>
            <c:v>Otsikot poisto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BBDD83F3-AD97-0946-8E8B-4E2AB061D945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C6F8-4817-9EE3-0F91E6C4359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6CEEB26-A929-A240-836C-5377AE59606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C6F8-4817-9EE3-0F91E6C4359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0E69B7D-E580-F740-AF81-97B277B757F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C6F8-4817-9EE3-0F91E6C4359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A485B72-4410-694B-8A41-1E518DEE04E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C6F8-4817-9EE3-0F91E6C43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fi-FI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(TuloksetC!$AS$18,TuloksetC!$AU$18,TuloksetC!$AW$17,TuloksetC!$AY$16)</c:f>
              <c:numCache>
                <c:formatCode>0</c:formatCode>
                <c:ptCount val="4"/>
                <c:pt idx="0">
                  <c:v>477.66458782780904</c:v>
                </c:pt>
                <c:pt idx="1">
                  <c:v>362.1499176804237</c:v>
                </c:pt>
                <c:pt idx="2">
                  <c:v>206.76262174494295</c:v>
                </c:pt>
                <c:pt idx="3">
                  <c:v>95.104674324430036</c:v>
                </c:pt>
              </c:numCache>
            </c:numRef>
          </c:xVal>
          <c:yVal>
            <c:numRef>
              <c:f>(TuloksetC!$AR$18,TuloksetC!$AT$18,TuloksetC!$AV$17,TuloksetC!$AX$16)</c:f>
              <c:numCache>
                <c:formatCode>0</c:formatCode>
                <c:ptCount val="4"/>
                <c:pt idx="0">
                  <c:v>530</c:v>
                </c:pt>
                <c:pt idx="1">
                  <c:v>510</c:v>
                </c:pt>
                <c:pt idx="2">
                  <c:v>330</c:v>
                </c:pt>
                <c:pt idx="3">
                  <c:v>160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(TuloksetC!$N$10,TuloksetC!$P$10,TuloksetC!$R$10,TuloksetC!$T$10)</c15:f>
                <c15:dlblRangeCache>
                  <c:ptCount val="4"/>
                  <c:pt idx="0">
                    <c:v>10 V</c:v>
                  </c:pt>
                  <c:pt idx="1">
                    <c:v>8 V</c:v>
                  </c:pt>
                  <c:pt idx="2">
                    <c:v>6 V</c:v>
                  </c:pt>
                  <c:pt idx="3">
                    <c:v>4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C6F8-4817-9EE3-0F91E6C43597}"/>
            </c:ext>
          </c:extLst>
        </c:ser>
        <c:ser>
          <c:idx val="13"/>
          <c:order val="12"/>
          <c:tx>
            <c:v>Tehostuspisteet tulo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9525">
                <a:solidFill>
                  <a:schemeClr val="tx1">
                    <a:lumMod val="75000"/>
                    <a:lumOff val="25000"/>
                    <a:alpha val="2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TuloksetC!$DB$10:$DB$11</c:f>
              <c:numCache>
                <c:formatCode>0</c:formatCode>
                <c:ptCount val="2"/>
                <c:pt idx="0">
                  <c:v>1</c:v>
                </c:pt>
                <c:pt idx="1">
                  <c:v>450</c:v>
                </c:pt>
              </c:numCache>
            </c:numRef>
          </c:xVal>
          <c:yVal>
            <c:numRef>
              <c:f>TuloksetC!$DC$10:$DC$11</c:f>
              <c:numCache>
                <c:formatCode>0</c:formatCode>
                <c:ptCount val="2"/>
                <c:pt idx="0">
                  <c:v>4.4444444444444447E-4</c:v>
                </c:pt>
                <c:pt idx="1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C6F8-4817-9EE3-0F91E6C43597}"/>
            </c:ext>
          </c:extLst>
        </c:ser>
        <c:ser>
          <c:idx val="14"/>
          <c:order val="13"/>
          <c:tx>
            <c:v>Tehostuspisteet poisto</c:v>
          </c:tx>
          <c:spPr>
            <a:ln w="19050">
              <a:noFill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E-C6F8-4817-9EE3-0F91E6C43597}"/>
              </c:ext>
            </c:extLst>
          </c:dPt>
          <c:trendline>
            <c:spPr>
              <a:ln w="9525">
                <a:solidFill>
                  <a:srgbClr val="FF0000">
                    <a:alpha val="2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TuloksetC!$DB$14:$DB$15</c:f>
              <c:numCache>
                <c:formatCode>0</c:formatCode>
                <c:ptCount val="2"/>
                <c:pt idx="0">
                  <c:v>2</c:v>
                </c:pt>
                <c:pt idx="1">
                  <c:v>450</c:v>
                </c:pt>
              </c:numCache>
            </c:numRef>
          </c:xVal>
          <c:yVal>
            <c:numRef>
              <c:f>TuloksetC!$DC$14:$DC$15</c:f>
              <c:numCache>
                <c:formatCode>0</c:formatCode>
                <c:ptCount val="2"/>
                <c:pt idx="0">
                  <c:v>1.9753086419753087E-3</c:v>
                </c:pt>
                <c:pt idx="1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C6F8-4817-9EE3-0F91E6C43597}"/>
            </c:ext>
          </c:extLst>
        </c:ser>
        <c:ser>
          <c:idx val="15"/>
          <c:order val="14"/>
          <c:tx>
            <c:v>Mitoitusviivat tulo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6F8-4817-9EE3-0F91E6C43597}"/>
              </c:ext>
            </c:extLst>
          </c:dPt>
          <c:trendline>
            <c:spPr>
              <a:ln w="9525">
                <a:solidFill>
                  <a:schemeClr val="tx1">
                    <a:alpha val="6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TuloksetC!$DB$11:$DB$12</c:f>
              <c:numCache>
                <c:formatCode>0</c:formatCode>
                <c:ptCount val="2"/>
                <c:pt idx="0">
                  <c:v>450</c:v>
                </c:pt>
                <c:pt idx="1">
                  <c:v>517.5</c:v>
                </c:pt>
              </c:numCache>
            </c:numRef>
          </c:xVal>
          <c:yVal>
            <c:numRef>
              <c:f>TuloksetC!$DC$11:$DC$12</c:f>
              <c:numCache>
                <c:formatCode>0</c:formatCode>
                <c:ptCount val="2"/>
                <c:pt idx="0">
                  <c:v>90</c:v>
                </c:pt>
                <c:pt idx="1">
                  <c:v>119.02500000000001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C6F8-4817-9EE3-0F91E6C43597}"/>
            </c:ext>
          </c:extLst>
        </c:ser>
        <c:ser>
          <c:idx val="16"/>
          <c:order val="15"/>
          <c:tx>
            <c:v>Tehostusviivat poisto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rgbClr val="FF0000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rgbClr val="FF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6F8-4817-9EE3-0F91E6C43597}"/>
              </c:ext>
            </c:extLst>
          </c:dPt>
          <c:trendline>
            <c:spPr>
              <a:ln w="9525">
                <a:solidFill>
                  <a:srgbClr val="FF0000">
                    <a:alpha val="6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TuloksetC!$DB$15:$DB$16</c:f>
              <c:numCache>
                <c:formatCode>0</c:formatCode>
                <c:ptCount val="2"/>
                <c:pt idx="0">
                  <c:v>450</c:v>
                </c:pt>
                <c:pt idx="1">
                  <c:v>517.5</c:v>
                </c:pt>
              </c:numCache>
            </c:numRef>
          </c:xVal>
          <c:yVal>
            <c:numRef>
              <c:f>TuloksetC!$DC$15:$DC$16</c:f>
              <c:numCache>
                <c:formatCode>0</c:formatCode>
                <c:ptCount val="2"/>
                <c:pt idx="0">
                  <c:v>100</c:v>
                </c:pt>
                <c:pt idx="1">
                  <c:v>132.25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C6F8-4817-9EE3-0F91E6C43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TuloksetC!$AK$6</c:f>
              <c:strCache>
                <c:ptCount val="1"/>
                <c:pt idx="0">
                  <c:v>Ilman tilavuusvirta [dm³/s]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KirjastoC!$M$5</c:f>
              <c:strCache>
                <c:ptCount val="1"/>
                <c:pt idx="0">
                  <c:v>Paine-ero [Pa]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</c:plotArea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100"/>
              <a:t>Kosteushyötysuhde eri kosteuseroilla</a:t>
            </a:r>
            <a:br>
              <a:rPr lang="fi-FI" sz="1100"/>
            </a:br>
            <a:r>
              <a:rPr lang="fi-FI" sz="900"/>
              <a:t>Eriväriset käyrät eri tilavuusvirtoja</a:t>
            </a:r>
            <a:endParaRPr lang="fi-FI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'Kennolaskuri 53mini_ENT'!$D$47</c:f>
              <c:strCache>
                <c:ptCount val="1"/>
                <c:pt idx="0">
                  <c:v>75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3098936020998245E-2"/>
                  <c:y val="0.259637421157386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53mini_ENT'!$E$46:$L$46</c:f>
              <c:numCache>
                <c:formatCode>General</c:formatCode>
                <c:ptCount val="8"/>
                <c:pt idx="0">
                  <c:v>1.5100000000000002</c:v>
                </c:pt>
                <c:pt idx="1">
                  <c:v>6.0300000000000011</c:v>
                </c:pt>
                <c:pt idx="2">
                  <c:v>4.8099999999999996</c:v>
                </c:pt>
                <c:pt idx="3">
                  <c:v>3.6900000000000004</c:v>
                </c:pt>
                <c:pt idx="4">
                  <c:v>1.3100000000000005</c:v>
                </c:pt>
                <c:pt idx="5">
                  <c:v>4.8599999999999994</c:v>
                </c:pt>
                <c:pt idx="6">
                  <c:v>3.68</c:v>
                </c:pt>
                <c:pt idx="7">
                  <c:v>8.6999999999999993</c:v>
                </c:pt>
              </c:numCache>
            </c:numRef>
          </c:xVal>
          <c:yVal>
            <c:numRef>
              <c:f>'Kennolaskuri 53mini_ENT'!$E$47:$L$47</c:f>
              <c:numCache>
                <c:formatCode>0.0\ %</c:formatCode>
                <c:ptCount val="8"/>
                <c:pt idx="0">
                  <c:v>0.25165562913907302</c:v>
                </c:pt>
                <c:pt idx="1">
                  <c:v>0.50248756218905455</c:v>
                </c:pt>
                <c:pt idx="2">
                  <c:v>0.50727650727650719</c:v>
                </c:pt>
                <c:pt idx="3">
                  <c:v>0.43360433604336029</c:v>
                </c:pt>
                <c:pt idx="4">
                  <c:v>0.22900763358778672</c:v>
                </c:pt>
                <c:pt idx="5">
                  <c:v>0.48765432098765432</c:v>
                </c:pt>
                <c:pt idx="6">
                  <c:v>0.47554347826086957</c:v>
                </c:pt>
                <c:pt idx="7">
                  <c:v>0.58735632183908049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B1-4CD8-8CB9-D0D19ABC72C4}"/>
            </c:ext>
          </c:extLst>
        </c:ser>
        <c:ser>
          <c:idx val="1"/>
          <c:order val="1"/>
          <c:tx>
            <c:strRef>
              <c:f>'Kennolaskuri 53mini_ENT'!$D$48</c:f>
              <c:strCache>
                <c:ptCount val="1"/>
                <c:pt idx="0">
                  <c:v>63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'Kennolaskuri 53mini_ENT'!$E$46:$L$46</c:f>
              <c:numCache>
                <c:formatCode>General</c:formatCode>
                <c:ptCount val="8"/>
                <c:pt idx="0">
                  <c:v>1.5100000000000002</c:v>
                </c:pt>
                <c:pt idx="1">
                  <c:v>6.0300000000000011</c:v>
                </c:pt>
                <c:pt idx="2">
                  <c:v>4.8099999999999996</c:v>
                </c:pt>
                <c:pt idx="3">
                  <c:v>3.6900000000000004</c:v>
                </c:pt>
                <c:pt idx="4">
                  <c:v>1.3100000000000005</c:v>
                </c:pt>
                <c:pt idx="5">
                  <c:v>4.8599999999999994</c:v>
                </c:pt>
                <c:pt idx="6">
                  <c:v>3.68</c:v>
                </c:pt>
                <c:pt idx="7">
                  <c:v>8.6999999999999993</c:v>
                </c:pt>
              </c:numCache>
            </c:numRef>
          </c:xVal>
          <c:yVal>
            <c:numRef>
              <c:f>'Kennolaskuri 53mini_ENT'!$E$48:$L$48</c:f>
              <c:numCache>
                <c:formatCode>0.0\ %</c:formatCode>
                <c:ptCount val="8"/>
                <c:pt idx="0">
                  <c:v>0.27814569536423861</c:v>
                </c:pt>
                <c:pt idx="1">
                  <c:v>0.53399668325041449</c:v>
                </c:pt>
                <c:pt idx="2">
                  <c:v>0.53846153846153844</c:v>
                </c:pt>
                <c:pt idx="3">
                  <c:v>0.46341463414634143</c:v>
                </c:pt>
                <c:pt idx="4">
                  <c:v>0.25954198473282492</c:v>
                </c:pt>
                <c:pt idx="5">
                  <c:v>0.5185185185185186</c:v>
                </c:pt>
                <c:pt idx="6">
                  <c:v>0.50543478260869557</c:v>
                </c:pt>
                <c:pt idx="7">
                  <c:v>0.61954022988505753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7B1-4CD8-8CB9-D0D19ABC72C4}"/>
            </c:ext>
          </c:extLst>
        </c:ser>
        <c:ser>
          <c:idx val="2"/>
          <c:order val="2"/>
          <c:tx>
            <c:strRef>
              <c:f>'Kennolaskuri 53mini_ENT'!$D$49</c:f>
              <c:strCache>
                <c:ptCount val="1"/>
                <c:pt idx="0">
                  <c:v>50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'Kennolaskuri 53mini_ENT'!$E$46:$L$46</c:f>
              <c:numCache>
                <c:formatCode>General</c:formatCode>
                <c:ptCount val="8"/>
                <c:pt idx="0">
                  <c:v>1.5100000000000002</c:v>
                </c:pt>
                <c:pt idx="1">
                  <c:v>6.0300000000000011</c:v>
                </c:pt>
                <c:pt idx="2">
                  <c:v>4.8099999999999996</c:v>
                </c:pt>
                <c:pt idx="3">
                  <c:v>3.6900000000000004</c:v>
                </c:pt>
                <c:pt idx="4">
                  <c:v>1.3100000000000005</c:v>
                </c:pt>
                <c:pt idx="5">
                  <c:v>4.8599999999999994</c:v>
                </c:pt>
                <c:pt idx="6">
                  <c:v>3.68</c:v>
                </c:pt>
                <c:pt idx="7">
                  <c:v>8.6999999999999993</c:v>
                </c:pt>
              </c:numCache>
            </c:numRef>
          </c:xVal>
          <c:yVal>
            <c:numRef>
              <c:f>'Kennolaskuri 53mini_ENT'!$E$49:$L$49</c:f>
              <c:numCache>
                <c:formatCode>0.0\ %</c:formatCode>
                <c:ptCount val="8"/>
                <c:pt idx="0">
                  <c:v>0.31125827814569546</c:v>
                </c:pt>
                <c:pt idx="1">
                  <c:v>0.56882255389718073</c:v>
                </c:pt>
                <c:pt idx="2">
                  <c:v>0.57380457380457384</c:v>
                </c:pt>
                <c:pt idx="3">
                  <c:v>0.49864498644986438</c:v>
                </c:pt>
                <c:pt idx="4">
                  <c:v>0.29007633587786308</c:v>
                </c:pt>
                <c:pt idx="5">
                  <c:v>0.55144032921810704</c:v>
                </c:pt>
                <c:pt idx="6">
                  <c:v>0.54076086956521741</c:v>
                </c:pt>
                <c:pt idx="7">
                  <c:v>0.65402298850574714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7B1-4CD8-8CB9-D0D19ABC72C4}"/>
            </c:ext>
          </c:extLst>
        </c:ser>
        <c:ser>
          <c:idx val="3"/>
          <c:order val="3"/>
          <c:tx>
            <c:strRef>
              <c:f>'Kennolaskuri 53mini_ENT'!$D$50</c:f>
              <c:strCache>
                <c:ptCount val="1"/>
                <c:pt idx="0">
                  <c:v>40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'Kennolaskuri 53mini_ENT'!$E$46:$L$46</c:f>
              <c:numCache>
                <c:formatCode>General</c:formatCode>
                <c:ptCount val="8"/>
                <c:pt idx="0">
                  <c:v>1.5100000000000002</c:v>
                </c:pt>
                <c:pt idx="1">
                  <c:v>6.0300000000000011</c:v>
                </c:pt>
                <c:pt idx="2">
                  <c:v>4.8099999999999996</c:v>
                </c:pt>
                <c:pt idx="3">
                  <c:v>3.6900000000000004</c:v>
                </c:pt>
                <c:pt idx="4">
                  <c:v>1.3100000000000005</c:v>
                </c:pt>
                <c:pt idx="5">
                  <c:v>4.8599999999999994</c:v>
                </c:pt>
                <c:pt idx="6">
                  <c:v>3.68</c:v>
                </c:pt>
                <c:pt idx="7">
                  <c:v>8.6999999999999993</c:v>
                </c:pt>
              </c:numCache>
            </c:numRef>
          </c:xVal>
          <c:yVal>
            <c:numRef>
              <c:f>'Kennolaskuri 53mini_ENT'!$E$50:$L$50</c:f>
              <c:numCache>
                <c:formatCode>0.0\ %</c:formatCode>
                <c:ptCount val="8"/>
                <c:pt idx="0">
                  <c:v>0.33774834437086104</c:v>
                </c:pt>
                <c:pt idx="1">
                  <c:v>0.59535655058043113</c:v>
                </c:pt>
                <c:pt idx="2">
                  <c:v>0.60083160083160081</c:v>
                </c:pt>
                <c:pt idx="3">
                  <c:v>0.52574525745257461</c:v>
                </c:pt>
                <c:pt idx="4">
                  <c:v>0.31297709923664119</c:v>
                </c:pt>
                <c:pt idx="5">
                  <c:v>0.57818930041152272</c:v>
                </c:pt>
                <c:pt idx="6">
                  <c:v>0.56521739130434778</c:v>
                </c:pt>
                <c:pt idx="7">
                  <c:v>0.68045977011494252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7B1-4CD8-8CB9-D0D19ABC72C4}"/>
            </c:ext>
          </c:extLst>
        </c:ser>
        <c:ser>
          <c:idx val="4"/>
          <c:order val="4"/>
          <c:tx>
            <c:v>Mitoitus kosteusero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('Kennolaskuri 53mini_ENT'!$M$46,'Kennolaskuri 53mini_ENT'!$M$46,'Kennolaskuri 53mini_ENT'!$M$46,'Kennolaskuri 53mini_ENT'!$M$46)</c:f>
              <c:numCache>
                <c:formatCode>0.00</c:formatCode>
                <c:ptCount val="4"/>
                <c:pt idx="0">
                  <c:v>1.6549160467705586</c:v>
                </c:pt>
                <c:pt idx="1">
                  <c:v>1.6549160467705586</c:v>
                </c:pt>
                <c:pt idx="2">
                  <c:v>1.6549160467705586</c:v>
                </c:pt>
                <c:pt idx="3">
                  <c:v>1.6549160467705586</c:v>
                </c:pt>
              </c:numCache>
            </c:numRef>
          </c:xVal>
          <c:yVal>
            <c:numRef>
              <c:f>'Kennolaskuri 53mini_ENT'!$M$47:$M$50</c:f>
              <c:numCache>
                <c:formatCode>0%</c:formatCode>
                <c:ptCount val="4"/>
                <c:pt idx="0">
                  <c:v>0.28145786049098853</c:v>
                </c:pt>
                <c:pt idx="1">
                  <c:v>0.31023301430702488</c:v>
                </c:pt>
                <c:pt idx="2">
                  <c:v>0.34280658575005679</c:v>
                </c:pt>
                <c:pt idx="3">
                  <c:v>0.36773339187399817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7B1-4CD8-8CB9-D0D19ABC72C4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'Kennolaskuri 53mini_ENT'!$F$60</c:f>
              <c:numCache>
                <c:formatCode>0.00</c:formatCode>
                <c:ptCount val="1"/>
                <c:pt idx="0">
                  <c:v>1.6549160467705586</c:v>
                </c:pt>
              </c:numCache>
            </c:numRef>
          </c:xVal>
          <c:yVal>
            <c:numRef>
              <c:f>'Kennolaskuri 53mini_ENT'!$F$63</c:f>
              <c:numCache>
                <c:formatCode>0.0\ %</c:formatCode>
                <c:ptCount val="1"/>
                <c:pt idx="0">
                  <c:v>0.38122086976558717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7B1-4CD8-8CB9-D0D19ABC7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528352"/>
        <c:axId val="219531712"/>
      </c:scatterChart>
      <c:valAx>
        <c:axId val="2195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Kosteusero [g/kg]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219531712"/>
        <c:crosses val="autoZero"/>
        <c:crossBetween val="midCat"/>
      </c:valAx>
      <c:valAx>
        <c:axId val="219531712"/>
        <c:scaling>
          <c:orientation val="minMax"/>
          <c:max val="0.8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Kosteushyötysuhde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219528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Mitoitusolosuhteiden kosteuserolla (talvi)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1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53mini_ENT'!$D$47:$D$50</c:f>
              <c:numCache>
                <c:formatCode>0</c:formatCode>
                <c:ptCount val="4"/>
                <c:pt idx="0">
                  <c:v>75</c:v>
                </c:pt>
                <c:pt idx="1">
                  <c:v>63.055555555555557</c:v>
                </c:pt>
                <c:pt idx="2">
                  <c:v>50</c:v>
                </c:pt>
                <c:pt idx="3">
                  <c:v>40</c:v>
                </c:pt>
              </c:numCache>
            </c:numRef>
          </c:xVal>
          <c:yVal>
            <c:numRef>
              <c:f>'Kennolaskuri 53mini_ENT'!$M$47:$M$50</c:f>
              <c:numCache>
                <c:formatCode>0%</c:formatCode>
                <c:ptCount val="4"/>
                <c:pt idx="0">
                  <c:v>0.28145786049098853</c:v>
                </c:pt>
                <c:pt idx="1">
                  <c:v>0.31023301430702488</c:v>
                </c:pt>
                <c:pt idx="2">
                  <c:v>0.34280658575005679</c:v>
                </c:pt>
                <c:pt idx="3">
                  <c:v>0.36773339187399817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96-43AA-B6E1-4F9A0C9B86B6}"/>
            </c:ext>
          </c:extLst>
        </c:ser>
        <c:ser>
          <c:idx val="1"/>
          <c:order val="1"/>
          <c:tx>
            <c:v>Mitoitus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'Kennolaskuri 53mini_ENT'!$F$61</c:f>
              <c:numCache>
                <c:formatCode>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'Kennolaskuri 53mini_ENT'!$F$64</c:f>
              <c:numCache>
                <c:formatCode>0.0\ %</c:formatCode>
                <c:ptCount val="1"/>
                <c:pt idx="0">
                  <c:v>0.37340352992868397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F96-43AA-B6E1-4F9A0C9B8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453808"/>
        <c:axId val="327465328"/>
      </c:scatterChart>
      <c:valAx>
        <c:axId val="32745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[dm³/s]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327465328"/>
        <c:crosses val="autoZero"/>
        <c:crossBetween val="midCat"/>
      </c:valAx>
      <c:valAx>
        <c:axId val="32746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Kosteushyötysuhde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327453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Kosteushyötysuhde eri kosteuseroilla</a:t>
            </a:r>
            <a:br>
              <a:rPr lang="fi-FI"/>
            </a:br>
            <a:r>
              <a:rPr lang="fi-FI" sz="800"/>
              <a:t>Eriväriset käyrät eri tilavuusvirtoja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'Kennolaskuri 53mini_ENT'!$S$47</c:f>
              <c:strCache>
                <c:ptCount val="1"/>
                <c:pt idx="0">
                  <c:v>75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'Kennolaskuri 53mini_ENT'!$T$46:$W$46</c:f>
              <c:numCache>
                <c:formatCode>General</c:formatCode>
                <c:ptCount val="4"/>
                <c:pt idx="0">
                  <c:v>4.0999999999999996</c:v>
                </c:pt>
                <c:pt idx="1">
                  <c:v>7.4</c:v>
                </c:pt>
                <c:pt idx="2">
                  <c:v>11.03</c:v>
                </c:pt>
                <c:pt idx="3">
                  <c:v>8.01</c:v>
                </c:pt>
              </c:numCache>
            </c:numRef>
          </c:xVal>
          <c:yVal>
            <c:numRef>
              <c:f>'Kennolaskuri 53mini_ENT'!$T$47:$W$47</c:f>
              <c:numCache>
                <c:formatCode>0.0\ %</c:formatCode>
                <c:ptCount val="4"/>
                <c:pt idx="0">
                  <c:v>0.26829268292682923</c:v>
                </c:pt>
                <c:pt idx="1">
                  <c:v>0.34594594594594602</c:v>
                </c:pt>
                <c:pt idx="2">
                  <c:v>0.39981867633726204</c:v>
                </c:pt>
                <c:pt idx="3">
                  <c:v>0.29088639200998756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99-4FA4-829B-6407110CE970}"/>
            </c:ext>
          </c:extLst>
        </c:ser>
        <c:ser>
          <c:idx val="1"/>
          <c:order val="1"/>
          <c:tx>
            <c:strRef>
              <c:f>'Kennolaskuri 53mini_ENT'!$S$48</c:f>
              <c:strCache>
                <c:ptCount val="1"/>
                <c:pt idx="0">
                  <c:v>63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'Kennolaskuri 53mini_ENT'!$T$46:$W$46</c:f>
              <c:numCache>
                <c:formatCode>General</c:formatCode>
                <c:ptCount val="4"/>
                <c:pt idx="0">
                  <c:v>4.0999999999999996</c:v>
                </c:pt>
                <c:pt idx="1">
                  <c:v>7.4</c:v>
                </c:pt>
                <c:pt idx="2">
                  <c:v>11.03</c:v>
                </c:pt>
                <c:pt idx="3">
                  <c:v>8.01</c:v>
                </c:pt>
              </c:numCache>
            </c:numRef>
          </c:xVal>
          <c:yVal>
            <c:numRef>
              <c:f>'Kennolaskuri 53mini_ENT'!$T$48:$W$48</c:f>
              <c:numCache>
                <c:formatCode>0.0\ %</c:formatCode>
                <c:ptCount val="4"/>
                <c:pt idx="0">
                  <c:v>0.30000000000000016</c:v>
                </c:pt>
                <c:pt idx="1">
                  <c:v>0.37837837837837845</c:v>
                </c:pt>
                <c:pt idx="2">
                  <c:v>0.43245693563009974</c:v>
                </c:pt>
                <c:pt idx="3">
                  <c:v>0.32459425717852702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599-4FA4-829B-6407110CE970}"/>
            </c:ext>
          </c:extLst>
        </c:ser>
        <c:ser>
          <c:idx val="2"/>
          <c:order val="2"/>
          <c:tx>
            <c:strRef>
              <c:f>'Kennolaskuri 53mini_ENT'!$S$49</c:f>
              <c:strCache>
                <c:ptCount val="1"/>
                <c:pt idx="0">
                  <c:v>50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'Kennolaskuri 53mini_ENT'!$T$46:$W$46</c:f>
              <c:numCache>
                <c:formatCode>General</c:formatCode>
                <c:ptCount val="4"/>
                <c:pt idx="0">
                  <c:v>4.0999999999999996</c:v>
                </c:pt>
                <c:pt idx="1">
                  <c:v>7.4</c:v>
                </c:pt>
                <c:pt idx="2">
                  <c:v>11.03</c:v>
                </c:pt>
                <c:pt idx="3">
                  <c:v>8.01</c:v>
                </c:pt>
              </c:numCache>
            </c:numRef>
          </c:xVal>
          <c:yVal>
            <c:numRef>
              <c:f>'Kennolaskuri 53mini_ENT'!$T$49:$W$49</c:f>
              <c:numCache>
                <c:formatCode>0.0\ %</c:formatCode>
                <c:ptCount val="4"/>
                <c:pt idx="0">
                  <c:v>0.33414634146341493</c:v>
                </c:pt>
                <c:pt idx="1">
                  <c:v>0.42162162162162176</c:v>
                </c:pt>
                <c:pt idx="2">
                  <c:v>0.47688123300090662</c:v>
                </c:pt>
                <c:pt idx="3">
                  <c:v>0.37078651685393266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599-4FA4-829B-6407110CE970}"/>
            </c:ext>
          </c:extLst>
        </c:ser>
        <c:ser>
          <c:idx val="3"/>
          <c:order val="3"/>
          <c:tx>
            <c:strRef>
              <c:f>'Kennolaskuri 53mini_ENT'!$S$50</c:f>
              <c:strCache>
                <c:ptCount val="1"/>
                <c:pt idx="0">
                  <c:v>40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5229728850576368"/>
                  <c:y val="-4.29899031834733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53mini_ENT'!$T$46:$W$46</c:f>
              <c:numCache>
                <c:formatCode>General</c:formatCode>
                <c:ptCount val="4"/>
                <c:pt idx="0">
                  <c:v>4.0999999999999996</c:v>
                </c:pt>
                <c:pt idx="1">
                  <c:v>7.4</c:v>
                </c:pt>
                <c:pt idx="2">
                  <c:v>11.03</c:v>
                </c:pt>
                <c:pt idx="3">
                  <c:v>8.01</c:v>
                </c:pt>
              </c:numCache>
            </c:numRef>
          </c:xVal>
          <c:yVal>
            <c:numRef>
              <c:f>'Kennolaskuri 53mini_ENT'!$T$50:$W$50</c:f>
              <c:numCache>
                <c:formatCode>0.0\ %</c:formatCode>
                <c:ptCount val="4"/>
                <c:pt idx="0">
                  <c:v>0.36097560975609772</c:v>
                </c:pt>
                <c:pt idx="1">
                  <c:v>0.4405405405405407</c:v>
                </c:pt>
                <c:pt idx="2">
                  <c:v>0.49410698096101535</c:v>
                </c:pt>
                <c:pt idx="3">
                  <c:v>0.38951310861423233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599-4FA4-829B-6407110CE970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'Kennolaskuri 53mini_ENT'!$X$46</c:f>
              <c:numCache>
                <c:formatCode>0.00</c:formatCode>
                <c:ptCount val="1"/>
                <c:pt idx="0">
                  <c:v>6.0481840032462859</c:v>
                </c:pt>
              </c:numCache>
            </c:numRef>
          </c:xVal>
          <c:yVal>
            <c:numRef>
              <c:f>'Kennolaskuri 53mini_ENT'!$V$63</c:f>
              <c:numCache>
                <c:formatCode>0.0\ %</c:formatCode>
                <c:ptCount val="1"/>
                <c:pt idx="0">
                  <c:v>0.40452403718011531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599-4FA4-829B-6407110CE970}"/>
            </c:ext>
          </c:extLst>
        </c:ser>
        <c:ser>
          <c:idx val="5"/>
          <c:order val="5"/>
          <c:tx>
            <c:v>Mitoitus kosteusero</c:v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('Kennolaskuri 53mini_ENT'!$X$46,'Kennolaskuri 53mini_ENT'!$X$46,'Kennolaskuri 53mini_ENT'!$X$46,'Kennolaskuri 53mini_ENT'!$X$46)</c:f>
              <c:numCache>
                <c:formatCode>0.00</c:formatCode>
                <c:ptCount val="4"/>
                <c:pt idx="0">
                  <c:v>6.0481840032462859</c:v>
                </c:pt>
                <c:pt idx="1">
                  <c:v>6.0481840032462859</c:v>
                </c:pt>
                <c:pt idx="2">
                  <c:v>6.0481840032462859</c:v>
                </c:pt>
                <c:pt idx="3">
                  <c:v>6.0481840032462859</c:v>
                </c:pt>
              </c:numCache>
            </c:numRef>
          </c:xVal>
          <c:yVal>
            <c:numRef>
              <c:f>'Kennolaskuri 53mini_ENT'!$X$47:$X$50</c:f>
              <c:numCache>
                <c:formatCode>0%</c:formatCode>
                <c:ptCount val="4"/>
                <c:pt idx="0">
                  <c:v>0.29186744389441516</c:v>
                </c:pt>
                <c:pt idx="1">
                  <c:v>0.32452580521644875</c:v>
                </c:pt>
                <c:pt idx="2">
                  <c:v>0.36577661393392624</c:v>
                </c:pt>
                <c:pt idx="3">
                  <c:v>0.38743531585834423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599-4FA4-829B-6407110CE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1529519"/>
        <c:axId val="1561525199"/>
      </c:scatterChart>
      <c:valAx>
        <c:axId val="15615295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Kosteusero</a:t>
                </a:r>
                <a:r>
                  <a:rPr lang="fi-FI" baseline="0"/>
                  <a:t> [g/kg]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1561525199"/>
        <c:crosses val="autoZero"/>
        <c:crossBetween val="midCat"/>
      </c:valAx>
      <c:valAx>
        <c:axId val="1561525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Kosteushyötysuhde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15615295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Mitoitusolosuhteiden kosteuserolla (kesä)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2.2138670166229221E-2"/>
                  <c:y val="-0.20045902419526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53mini_ENT'!$S$47:$S$50</c:f>
              <c:numCache>
                <c:formatCode>0</c:formatCode>
                <c:ptCount val="4"/>
                <c:pt idx="0">
                  <c:v>75</c:v>
                </c:pt>
                <c:pt idx="1">
                  <c:v>63.055555555555557</c:v>
                </c:pt>
                <c:pt idx="2">
                  <c:v>50</c:v>
                </c:pt>
                <c:pt idx="3">
                  <c:v>40</c:v>
                </c:pt>
              </c:numCache>
            </c:numRef>
          </c:xVal>
          <c:yVal>
            <c:numRef>
              <c:f>'Kennolaskuri 53mini_ENT'!$X$47:$X$50</c:f>
              <c:numCache>
                <c:formatCode>0%</c:formatCode>
                <c:ptCount val="4"/>
                <c:pt idx="0">
                  <c:v>0.29186744389441516</c:v>
                </c:pt>
                <c:pt idx="1">
                  <c:v>0.32452580521644875</c:v>
                </c:pt>
                <c:pt idx="2">
                  <c:v>0.36577661393392624</c:v>
                </c:pt>
                <c:pt idx="3">
                  <c:v>0.38743531585834423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D2-4FBB-9BCD-EE67C9049E20}"/>
            </c:ext>
          </c:extLst>
        </c:ser>
        <c:ser>
          <c:idx val="1"/>
          <c:order val="1"/>
          <c:tx>
            <c:v>Miotitus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'Kennolaskuri 53mini_ENT'!$V$61</c:f>
              <c:numCache>
                <c:formatCode>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'Kennolaskuri 53mini_ENT'!$V$63</c:f>
              <c:numCache>
                <c:formatCode>0.0\ %</c:formatCode>
                <c:ptCount val="1"/>
                <c:pt idx="0">
                  <c:v>0.40452403718011531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6D2-4FBB-9BCD-EE67C9049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1507919"/>
        <c:axId val="1561495439"/>
      </c:scatterChart>
      <c:valAx>
        <c:axId val="15615079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  <a:r>
                  <a:rPr lang="fi-FI" baseline="0"/>
                  <a:t> [dm³/s]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1561495439"/>
        <c:crosses val="autoZero"/>
        <c:crossBetween val="midCat"/>
      </c:valAx>
      <c:valAx>
        <c:axId val="1561495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Kosteushyötysuhde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15615079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Laskentaohjelmaan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'Kennolaskuri 53mini_ENT'!$O$17:$O$23</c:f>
              <c:numCache>
                <c:formatCode>General</c:formatCode>
                <c:ptCount val="7"/>
                <c:pt idx="0">
                  <c:v>15</c:v>
                </c:pt>
                <c:pt idx="1">
                  <c:v>33.700000000000003</c:v>
                </c:pt>
                <c:pt idx="2">
                  <c:v>45</c:v>
                </c:pt>
                <c:pt idx="3">
                  <c:v>55</c:v>
                </c:pt>
                <c:pt idx="4">
                  <c:v>68</c:v>
                </c:pt>
                <c:pt idx="5">
                  <c:v>82</c:v>
                </c:pt>
                <c:pt idx="6">
                  <c:v>100</c:v>
                </c:pt>
              </c:numCache>
            </c:numRef>
          </c:xVal>
          <c:yVal>
            <c:numRef>
              <c:f>'Kennolaskuri 53mini_ENT'!$P$17:$P$23</c:f>
              <c:numCache>
                <c:formatCode>0.0\ %</c:formatCode>
                <c:ptCount val="7"/>
                <c:pt idx="0">
                  <c:v>0.85</c:v>
                </c:pt>
                <c:pt idx="1">
                  <c:v>0.83947816751442694</c:v>
                </c:pt>
                <c:pt idx="2">
                  <c:v>0.81920550336297016</c:v>
                </c:pt>
                <c:pt idx="3">
                  <c:v>0.80542541715541782</c:v>
                </c:pt>
                <c:pt idx="4">
                  <c:v>0.79110739230397642</c:v>
                </c:pt>
                <c:pt idx="5">
                  <c:v>0.77868544796409211</c:v>
                </c:pt>
                <c:pt idx="6">
                  <c:v>0.76573064035004634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BE-488E-AE36-B3BCBE936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723295"/>
        <c:axId val="226719935"/>
      </c:scatterChart>
      <c:valAx>
        <c:axId val="2267232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26719935"/>
        <c:crosses val="autoZero"/>
        <c:crossBetween val="midCat"/>
      </c:valAx>
      <c:valAx>
        <c:axId val="226719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267232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Korjaus kosteushyötysuhteeseen</a:t>
            </a:r>
          </a:p>
          <a:p>
            <a:pPr>
              <a:defRPr/>
            </a:pPr>
            <a:r>
              <a:rPr lang="fi-FI" sz="800"/>
              <a:t>Käyrä laskettu mitoitusolosuhteiden keskilämpötilalla</a:t>
            </a:r>
            <a:br>
              <a:rPr lang="fi-FI" sz="800"/>
            </a:br>
            <a:r>
              <a:rPr lang="fi-FI" sz="800"/>
              <a:t>Mitoituspiste käyrästä mitoitusolosuhteiden kosteuserolla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1"/>
            <c:backward val="0.5"/>
            <c:dispRSqr val="1"/>
            <c:dispEq val="1"/>
            <c:trendlineLbl>
              <c:layout>
                <c:manualLayout>
                  <c:x val="0.10765083678469506"/>
                  <c:y val="-0.2998007142002265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53mini_ENT'!$C$102:$C$106</c:f>
              <c:numCache>
                <c:formatCode>0" g/kg"</c:formatCode>
                <c:ptCount val="5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xVal>
          <c:yVal>
            <c:numRef>
              <c:f>'Kennolaskuri 53mini_ENT'!$F$102:$F$106</c:f>
              <c:numCache>
                <c:formatCode>0.0</c:formatCode>
                <c:ptCount val="5"/>
                <c:pt idx="0">
                  <c:v>3.5363636363636353</c:v>
                </c:pt>
                <c:pt idx="1">
                  <c:v>2.7469696969696979</c:v>
                </c:pt>
                <c:pt idx="2">
                  <c:v>2.0833333333333321</c:v>
                </c:pt>
                <c:pt idx="3">
                  <c:v>1.2246293245469531</c:v>
                </c:pt>
                <c:pt idx="4">
                  <c:v>-0.15700867052022982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38-4285-A76C-3FC3534E81E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'Kennolaskuri 53mini_ENT'!$D$96</c:f>
              <c:numCache>
                <c:formatCode>0.00</c:formatCode>
                <c:ptCount val="1"/>
                <c:pt idx="0">
                  <c:v>1.6549160467705586</c:v>
                </c:pt>
              </c:numCache>
            </c:numRef>
          </c:xVal>
          <c:yVal>
            <c:numRef>
              <c:f>'Kennolaskuri 53mini_ENT'!$D$111</c:f>
              <c:numCache>
                <c:formatCode>0.0</c:formatCode>
                <c:ptCount val="1"/>
                <c:pt idx="0">
                  <c:v>0.86859331521146532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938-4285-A76C-3FC3534E8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52639"/>
        <c:axId val="63353119"/>
      </c:scatterChart>
      <c:valAx>
        <c:axId val="63352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Keskimääräinen abs. kosteus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&quot; g/kg&quot;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3353119"/>
        <c:crosses val="autoZero"/>
        <c:crossBetween val="midCat"/>
      </c:valAx>
      <c:valAx>
        <c:axId val="63353119"/>
        <c:scaling>
          <c:orientation val="minMax"/>
          <c:max val="1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Korjaus [%-yks.]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3352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Korjaus kosteushyötysuhteeseen</a:t>
            </a:r>
          </a:p>
          <a:p>
            <a:pPr>
              <a:defRPr/>
            </a:pPr>
            <a:r>
              <a:rPr lang="fi-FI" sz="800"/>
              <a:t>Käyrä laskettu mitoitusolosuhteiden keskilämpötilalla</a:t>
            </a:r>
            <a:br>
              <a:rPr lang="fi-FI" sz="800"/>
            </a:br>
            <a:r>
              <a:rPr lang="fi-FI" sz="800"/>
              <a:t>Mitoituspiste käyrästä mitoitusolosuhteiden kosteuserolla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0765083678469506"/>
                  <c:y val="-0.2998007142002265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53mini_ENT'!$S$102:$S$106</c:f>
              <c:numCache>
                <c:formatCode>0" g/kg"</c:formatCode>
                <c:ptCount val="5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xVal>
          <c:yVal>
            <c:numRef>
              <c:f>'Kennolaskuri 53mini_ENT'!$V$102:$V$106</c:f>
              <c:numCache>
                <c:formatCode>0.0</c:formatCode>
                <c:ptCount val="5"/>
                <c:pt idx="0">
                  <c:v>-2.0033333333333374</c:v>
                </c:pt>
                <c:pt idx="1">
                  <c:v>0.88666666666667027</c:v>
                </c:pt>
                <c:pt idx="2">
                  <c:v>3.1666666666666714</c:v>
                </c:pt>
                <c:pt idx="3">
                  <c:v>8.2866666666666653</c:v>
                </c:pt>
                <c:pt idx="4">
                  <c:v>17.568831168831167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65-46E6-A235-35B528D6F02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'Kennolaskuri 53mini_ENT'!$T$96</c:f>
              <c:numCache>
                <c:formatCode>0.00</c:formatCode>
                <c:ptCount val="1"/>
                <c:pt idx="0">
                  <c:v>6.0481840032462859</c:v>
                </c:pt>
              </c:numCache>
            </c:numRef>
          </c:xVal>
          <c:yVal>
            <c:numRef>
              <c:f>'Kennolaskuri 53mini_ENT'!$T$111</c:f>
              <c:numCache>
                <c:formatCode>0.0</c:formatCode>
                <c:ptCount val="1"/>
                <c:pt idx="0">
                  <c:v>-3.2781182638597919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65-46E6-A235-35B528D6F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52639"/>
        <c:axId val="63353119"/>
      </c:scatterChart>
      <c:valAx>
        <c:axId val="63352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Keskimääräinen abs. kosteus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&quot; g/kg&quot;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3353119"/>
        <c:crosses val="autoZero"/>
        <c:crossBetween val="midCat"/>
      </c:valAx>
      <c:valAx>
        <c:axId val="63353119"/>
        <c:scaling>
          <c:orientation val="minMax"/>
          <c:max val="2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Korjaus [%-yks.]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3352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'Kennolaskuri 53mini_ENT'!$D$9:$D$12</c:f>
              <c:numCache>
                <c:formatCode>0</c:formatCode>
                <c:ptCount val="4"/>
                <c:pt idx="0">
                  <c:v>75</c:v>
                </c:pt>
                <c:pt idx="1">
                  <c:v>63.055555555555557</c:v>
                </c:pt>
                <c:pt idx="2">
                  <c:v>50</c:v>
                </c:pt>
                <c:pt idx="3">
                  <c:v>40</c:v>
                </c:pt>
              </c:numCache>
            </c:numRef>
          </c:xVal>
          <c:yVal>
            <c:numRef>
              <c:f>'Kennolaskuri 53mini_ENT'!$E$9:$E$12</c:f>
              <c:numCache>
                <c:formatCode>0.0\ %</c:formatCode>
                <c:ptCount val="4"/>
                <c:pt idx="0">
                  <c:v>0.77500000000000002</c:v>
                </c:pt>
                <c:pt idx="1">
                  <c:v>0.79</c:v>
                </c:pt>
                <c:pt idx="2">
                  <c:v>0.80500000000000005</c:v>
                </c:pt>
                <c:pt idx="3">
                  <c:v>0.82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0E-4007-8E21-52A74A8EEF2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'Kennolaskuri 53mini_ENT'!$D$9:$D$12</c:f>
              <c:numCache>
                <c:formatCode>0</c:formatCode>
                <c:ptCount val="4"/>
                <c:pt idx="0">
                  <c:v>75</c:v>
                </c:pt>
                <c:pt idx="1">
                  <c:v>63.055555555555557</c:v>
                </c:pt>
                <c:pt idx="2">
                  <c:v>50</c:v>
                </c:pt>
                <c:pt idx="3">
                  <c:v>40</c:v>
                </c:pt>
              </c:numCache>
            </c:numRef>
          </c:xVal>
          <c:yVal>
            <c:numRef>
              <c:f>'Kennolaskuri 53mini_ENT'!$F$9:$F$12</c:f>
              <c:numCache>
                <c:formatCode>0.0\ %</c:formatCode>
                <c:ptCount val="4"/>
                <c:pt idx="0">
                  <c:v>0.79</c:v>
                </c:pt>
                <c:pt idx="1">
                  <c:v>0.8</c:v>
                </c:pt>
                <c:pt idx="2">
                  <c:v>0.81500000000000006</c:v>
                </c:pt>
                <c:pt idx="3">
                  <c:v>0.83000000000000007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0E-4007-8E21-52A74A8EEF2E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'Kennolaskuri 53mini_ENT'!$D$9:$D$12</c:f>
              <c:numCache>
                <c:formatCode>0</c:formatCode>
                <c:ptCount val="4"/>
                <c:pt idx="0">
                  <c:v>75</c:v>
                </c:pt>
                <c:pt idx="1">
                  <c:v>63.055555555555557</c:v>
                </c:pt>
                <c:pt idx="2">
                  <c:v>50</c:v>
                </c:pt>
                <c:pt idx="3">
                  <c:v>40</c:v>
                </c:pt>
              </c:numCache>
            </c:numRef>
          </c:xVal>
          <c:yVal>
            <c:numRef>
              <c:f>'Kennolaskuri 53mini_ENT'!$G$9:$G$12</c:f>
              <c:numCache>
                <c:formatCode>0.0\ %</c:formatCode>
                <c:ptCount val="4"/>
                <c:pt idx="0">
                  <c:v>0.79200000000000004</c:v>
                </c:pt>
                <c:pt idx="1">
                  <c:v>0.80400000000000005</c:v>
                </c:pt>
                <c:pt idx="2">
                  <c:v>0.82</c:v>
                </c:pt>
                <c:pt idx="3">
                  <c:v>0.83599999999999997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0E-4007-8E21-52A74A8EEF2E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'Kennolaskuri 53mini_ENT'!$D$9:$D$12</c:f>
              <c:numCache>
                <c:formatCode>0</c:formatCode>
                <c:ptCount val="4"/>
                <c:pt idx="0">
                  <c:v>75</c:v>
                </c:pt>
                <c:pt idx="1">
                  <c:v>63.055555555555557</c:v>
                </c:pt>
                <c:pt idx="2">
                  <c:v>50</c:v>
                </c:pt>
                <c:pt idx="3">
                  <c:v>40</c:v>
                </c:pt>
              </c:numCache>
            </c:numRef>
          </c:xVal>
          <c:yVal>
            <c:numRef>
              <c:f>'Kennolaskuri 53mini_ENT'!$H$9:$H$12</c:f>
              <c:numCache>
                <c:formatCode>0.0\ %</c:formatCode>
                <c:ptCount val="4"/>
                <c:pt idx="0">
                  <c:v>0.78499999999999992</c:v>
                </c:pt>
                <c:pt idx="1">
                  <c:v>0.79499999999999993</c:v>
                </c:pt>
                <c:pt idx="2">
                  <c:v>0.80999999999999994</c:v>
                </c:pt>
                <c:pt idx="3">
                  <c:v>0.82499999999999996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0E-4007-8E21-52A74A8EEF2E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'Kennolaskuri 53mini_ENT'!$D$9:$D$12</c:f>
              <c:numCache>
                <c:formatCode>0</c:formatCode>
                <c:ptCount val="4"/>
                <c:pt idx="0">
                  <c:v>75</c:v>
                </c:pt>
                <c:pt idx="1">
                  <c:v>63.055555555555557</c:v>
                </c:pt>
                <c:pt idx="2">
                  <c:v>50</c:v>
                </c:pt>
                <c:pt idx="3">
                  <c:v>40</c:v>
                </c:pt>
              </c:numCache>
            </c:numRef>
          </c:xVal>
          <c:yVal>
            <c:numRef>
              <c:f>'Kennolaskuri 53mini_ENT'!$I$9:$I$12</c:f>
              <c:numCache>
                <c:formatCode>0.0\ %</c:formatCode>
                <c:ptCount val="4"/>
                <c:pt idx="0">
                  <c:v>0.77692307692307705</c:v>
                </c:pt>
                <c:pt idx="1">
                  <c:v>0.79230769230769238</c:v>
                </c:pt>
                <c:pt idx="2">
                  <c:v>0.80769230769230771</c:v>
                </c:pt>
                <c:pt idx="3">
                  <c:v>0.82307692307692304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60E-4007-8E21-52A74A8EEF2E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'Kennolaskuri 53mini_ENT'!$D$9:$D$12</c:f>
              <c:numCache>
                <c:formatCode>0</c:formatCode>
                <c:ptCount val="4"/>
                <c:pt idx="0">
                  <c:v>75</c:v>
                </c:pt>
                <c:pt idx="1">
                  <c:v>63.055555555555557</c:v>
                </c:pt>
                <c:pt idx="2">
                  <c:v>50</c:v>
                </c:pt>
                <c:pt idx="3">
                  <c:v>40</c:v>
                </c:pt>
              </c:numCache>
            </c:numRef>
          </c:xVal>
          <c:yVal>
            <c:numRef>
              <c:f>'Kennolaskuri 53mini_ENT'!$J$9:$J$12</c:f>
              <c:numCache>
                <c:formatCode>0.0\ %</c:formatCode>
                <c:ptCount val="4"/>
                <c:pt idx="0">
                  <c:v>0.79444444444444451</c:v>
                </c:pt>
                <c:pt idx="1">
                  <c:v>0.80555555555555558</c:v>
                </c:pt>
                <c:pt idx="2">
                  <c:v>0.8222222222222223</c:v>
                </c:pt>
                <c:pt idx="3">
                  <c:v>0.83333333333333337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60E-4007-8E21-52A74A8EEF2E}"/>
            </c:ext>
          </c:extLst>
        </c:ser>
        <c:ser>
          <c:idx val="6"/>
          <c:order val="6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'Kennolaskuri 53mini_ENT'!$D$9:$D$12</c:f>
              <c:numCache>
                <c:formatCode>0</c:formatCode>
                <c:ptCount val="4"/>
                <c:pt idx="0">
                  <c:v>75</c:v>
                </c:pt>
                <c:pt idx="1">
                  <c:v>63.055555555555557</c:v>
                </c:pt>
                <c:pt idx="2">
                  <c:v>50</c:v>
                </c:pt>
                <c:pt idx="3">
                  <c:v>40</c:v>
                </c:pt>
              </c:numCache>
            </c:numRef>
          </c:xVal>
          <c:yVal>
            <c:numRef>
              <c:f>'Kennolaskuri 53mini_ENT'!$K$9:$K$12</c:f>
              <c:numCache>
                <c:formatCode>0.0\ %</c:formatCode>
                <c:ptCount val="4"/>
                <c:pt idx="0">
                  <c:v>0.78888888888888886</c:v>
                </c:pt>
                <c:pt idx="1">
                  <c:v>0.8</c:v>
                </c:pt>
                <c:pt idx="2">
                  <c:v>0.81481481481481477</c:v>
                </c:pt>
                <c:pt idx="3">
                  <c:v>0.82962962962962961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60E-4007-8E21-52A74A8EEF2E}"/>
            </c:ext>
          </c:extLst>
        </c:ser>
        <c:ser>
          <c:idx val="7"/>
          <c:order val="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'Kennolaskuri 53mini_ENT'!$D$9:$D$12</c:f>
              <c:numCache>
                <c:formatCode>0</c:formatCode>
                <c:ptCount val="4"/>
                <c:pt idx="0">
                  <c:v>75</c:v>
                </c:pt>
                <c:pt idx="1">
                  <c:v>63.055555555555557</c:v>
                </c:pt>
                <c:pt idx="2">
                  <c:v>50</c:v>
                </c:pt>
                <c:pt idx="3">
                  <c:v>40</c:v>
                </c:pt>
              </c:numCache>
            </c:numRef>
          </c:xVal>
          <c:yVal>
            <c:numRef>
              <c:f>'Kennolaskuri 53mini_ENT'!$L$9:$L$12</c:f>
              <c:numCache>
                <c:formatCode>0.0\ %</c:formatCode>
                <c:ptCount val="4"/>
                <c:pt idx="0">
                  <c:v>0.79714285714285715</c:v>
                </c:pt>
                <c:pt idx="1">
                  <c:v>0.80571428571428572</c:v>
                </c:pt>
                <c:pt idx="2">
                  <c:v>0.82285714285714284</c:v>
                </c:pt>
                <c:pt idx="3">
                  <c:v>0.83714285714285719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60E-4007-8E21-52A74A8EEF2E}"/>
            </c:ext>
          </c:extLst>
        </c:ser>
        <c:ser>
          <c:idx val="8"/>
          <c:order val="8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1.9769974200823381E-2"/>
                  <c:y val="-0.3778878681831437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53mini_ENT'!$D$9:$D$12</c:f>
              <c:numCache>
                <c:formatCode>0</c:formatCode>
                <c:ptCount val="4"/>
                <c:pt idx="0">
                  <c:v>75</c:v>
                </c:pt>
                <c:pt idx="1">
                  <c:v>63.055555555555557</c:v>
                </c:pt>
                <c:pt idx="2">
                  <c:v>50</c:v>
                </c:pt>
                <c:pt idx="3">
                  <c:v>40</c:v>
                </c:pt>
              </c:numCache>
            </c:numRef>
          </c:xVal>
          <c:yVal>
            <c:numRef>
              <c:f>'Kennolaskuri 53mini_ENT'!$M$9:$M$12</c:f>
              <c:numCache>
                <c:formatCode>0.0\ %</c:formatCode>
                <c:ptCount val="4"/>
                <c:pt idx="0">
                  <c:v>0.78401139601139602</c:v>
                </c:pt>
                <c:pt idx="1">
                  <c:v>0.79683095916429236</c:v>
                </c:pt>
                <c:pt idx="2">
                  <c:v>0.81223488445710657</c:v>
                </c:pt>
                <c:pt idx="3">
                  <c:v>0.82702152579930344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60E-4007-8E21-52A74A8EE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948016"/>
        <c:axId val="1042948976"/>
      </c:scatterChart>
      <c:valAx>
        <c:axId val="1042948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42948976"/>
        <c:crosses val="autoZero"/>
        <c:crossBetween val="midCat"/>
      </c:valAx>
      <c:valAx>
        <c:axId val="104294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042948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100"/>
              <a:t>Kosteushyötysuhde eri kosteuseroilla</a:t>
            </a:r>
            <a:br>
              <a:rPr lang="fi-FI" sz="1100"/>
            </a:br>
            <a:r>
              <a:rPr lang="fi-FI" sz="900"/>
              <a:t>Eriväriset käyrät eri tilavuusvirtoja</a:t>
            </a:r>
            <a:endParaRPr lang="fi-FI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'Kennolaskuri 60_ENT'!$D$47</c:f>
              <c:strCache>
                <c:ptCount val="1"/>
                <c:pt idx="0">
                  <c:v>75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3098936020998245E-2"/>
                  <c:y val="0.259637421157386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60_ENT'!$E$46:$L$46</c:f>
              <c:numCache>
                <c:formatCode>General</c:formatCode>
                <c:ptCount val="8"/>
                <c:pt idx="0">
                  <c:v>1.5100000000000002</c:v>
                </c:pt>
                <c:pt idx="1">
                  <c:v>6.0300000000000011</c:v>
                </c:pt>
                <c:pt idx="2">
                  <c:v>4.8099999999999996</c:v>
                </c:pt>
                <c:pt idx="3">
                  <c:v>3.6900000000000004</c:v>
                </c:pt>
                <c:pt idx="4">
                  <c:v>1.3100000000000005</c:v>
                </c:pt>
                <c:pt idx="5">
                  <c:v>4.8599999999999994</c:v>
                </c:pt>
                <c:pt idx="6">
                  <c:v>3.68</c:v>
                </c:pt>
                <c:pt idx="7">
                  <c:v>8.6999999999999993</c:v>
                </c:pt>
              </c:numCache>
            </c:numRef>
          </c:xVal>
          <c:yVal>
            <c:numRef>
              <c:f>'Kennolaskuri 60_ENT'!$E$47:$L$47</c:f>
              <c:numCache>
                <c:formatCode>0.0\ %</c:formatCode>
                <c:ptCount val="8"/>
                <c:pt idx="0">
                  <c:v>0.29801324503311238</c:v>
                </c:pt>
                <c:pt idx="1">
                  <c:v>0.55058043117744593</c:v>
                </c:pt>
                <c:pt idx="2">
                  <c:v>0.55509355509355507</c:v>
                </c:pt>
                <c:pt idx="3">
                  <c:v>0.47967479674796731</c:v>
                </c:pt>
                <c:pt idx="4">
                  <c:v>0.27480916030534364</c:v>
                </c:pt>
                <c:pt idx="5">
                  <c:v>0.53497942386831288</c:v>
                </c:pt>
                <c:pt idx="6">
                  <c:v>0.52173913043478259</c:v>
                </c:pt>
                <c:pt idx="7">
                  <c:v>0.6356321839080461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CC-493B-97AB-40CA2888241F}"/>
            </c:ext>
          </c:extLst>
        </c:ser>
        <c:ser>
          <c:idx val="1"/>
          <c:order val="1"/>
          <c:tx>
            <c:strRef>
              <c:f>'Kennolaskuri 60_ENT'!$D$48</c:f>
              <c:strCache>
                <c:ptCount val="1"/>
                <c:pt idx="0">
                  <c:v>63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'Kennolaskuri 60_ENT'!$E$46:$L$46</c:f>
              <c:numCache>
                <c:formatCode>General</c:formatCode>
                <c:ptCount val="8"/>
                <c:pt idx="0">
                  <c:v>1.5100000000000002</c:v>
                </c:pt>
                <c:pt idx="1">
                  <c:v>6.0300000000000011</c:v>
                </c:pt>
                <c:pt idx="2">
                  <c:v>4.8099999999999996</c:v>
                </c:pt>
                <c:pt idx="3">
                  <c:v>3.6900000000000004</c:v>
                </c:pt>
                <c:pt idx="4">
                  <c:v>1.3100000000000005</c:v>
                </c:pt>
                <c:pt idx="5">
                  <c:v>4.8599999999999994</c:v>
                </c:pt>
                <c:pt idx="6">
                  <c:v>3.68</c:v>
                </c:pt>
                <c:pt idx="7">
                  <c:v>8.6999999999999993</c:v>
                </c:pt>
              </c:numCache>
            </c:numRef>
          </c:xVal>
          <c:yVal>
            <c:numRef>
              <c:f>'Kennolaskuri 60_ENT'!$E$48:$L$48</c:f>
              <c:numCache>
                <c:formatCode>0.0\ %</c:formatCode>
                <c:ptCount val="8"/>
                <c:pt idx="0">
                  <c:v>0.31940000000000002</c:v>
                </c:pt>
                <c:pt idx="1">
                  <c:v>0.57379767827529005</c:v>
                </c:pt>
                <c:pt idx="2">
                  <c:v>0.58004158004158013</c:v>
                </c:pt>
                <c:pt idx="3">
                  <c:v>0.50406504065040658</c:v>
                </c:pt>
                <c:pt idx="4">
                  <c:v>0.29770992366412247</c:v>
                </c:pt>
                <c:pt idx="5">
                  <c:v>0.5576131687242798</c:v>
                </c:pt>
                <c:pt idx="6">
                  <c:v>0.54619565217391308</c:v>
                </c:pt>
                <c:pt idx="7">
                  <c:v>0.6597701149425288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CC-493B-97AB-40CA2888241F}"/>
            </c:ext>
          </c:extLst>
        </c:ser>
        <c:ser>
          <c:idx val="2"/>
          <c:order val="2"/>
          <c:tx>
            <c:strRef>
              <c:f>'Kennolaskuri 60_ENT'!$D$49</c:f>
              <c:strCache>
                <c:ptCount val="1"/>
                <c:pt idx="0">
                  <c:v>50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'Kennolaskuri 60_ENT'!$E$46:$L$46</c:f>
              <c:numCache>
                <c:formatCode>General</c:formatCode>
                <c:ptCount val="8"/>
                <c:pt idx="0">
                  <c:v>1.5100000000000002</c:v>
                </c:pt>
                <c:pt idx="1">
                  <c:v>6.0300000000000011</c:v>
                </c:pt>
                <c:pt idx="2">
                  <c:v>4.8099999999999996</c:v>
                </c:pt>
                <c:pt idx="3">
                  <c:v>3.6900000000000004</c:v>
                </c:pt>
                <c:pt idx="4">
                  <c:v>1.3100000000000005</c:v>
                </c:pt>
                <c:pt idx="5">
                  <c:v>4.8599999999999994</c:v>
                </c:pt>
                <c:pt idx="6">
                  <c:v>3.68</c:v>
                </c:pt>
                <c:pt idx="7">
                  <c:v>8.6999999999999993</c:v>
                </c:pt>
              </c:numCache>
            </c:numRef>
          </c:xVal>
          <c:yVal>
            <c:numRef>
              <c:f>'Kennolaskuri 60_ENT'!$E$49:$L$49</c:f>
              <c:numCache>
                <c:formatCode>0.0\ %</c:formatCode>
                <c:ptCount val="8"/>
                <c:pt idx="0">
                  <c:v>0.3443708609271523</c:v>
                </c:pt>
                <c:pt idx="1">
                  <c:v>0.60033167495854045</c:v>
                </c:pt>
                <c:pt idx="2">
                  <c:v>0.60498960498960508</c:v>
                </c:pt>
                <c:pt idx="3">
                  <c:v>0.53116531165311642</c:v>
                </c:pt>
                <c:pt idx="4">
                  <c:v>0.32061068702290124</c:v>
                </c:pt>
                <c:pt idx="5">
                  <c:v>0.58436213991769559</c:v>
                </c:pt>
                <c:pt idx="6">
                  <c:v>0.57336956521739124</c:v>
                </c:pt>
                <c:pt idx="7">
                  <c:v>0.68620689655172418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8CC-493B-97AB-40CA2888241F}"/>
            </c:ext>
          </c:extLst>
        </c:ser>
        <c:ser>
          <c:idx val="3"/>
          <c:order val="3"/>
          <c:tx>
            <c:strRef>
              <c:f>'Kennolaskuri 60_ENT'!$D$50</c:f>
              <c:strCache>
                <c:ptCount val="1"/>
                <c:pt idx="0">
                  <c:v>40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'Kennolaskuri 60_ENT'!$E$46:$L$46</c:f>
              <c:numCache>
                <c:formatCode>General</c:formatCode>
                <c:ptCount val="8"/>
                <c:pt idx="0">
                  <c:v>1.5100000000000002</c:v>
                </c:pt>
                <c:pt idx="1">
                  <c:v>6.0300000000000011</c:v>
                </c:pt>
                <c:pt idx="2">
                  <c:v>4.8099999999999996</c:v>
                </c:pt>
                <c:pt idx="3">
                  <c:v>3.6900000000000004</c:v>
                </c:pt>
                <c:pt idx="4">
                  <c:v>1.3100000000000005</c:v>
                </c:pt>
                <c:pt idx="5">
                  <c:v>4.8599999999999994</c:v>
                </c:pt>
                <c:pt idx="6">
                  <c:v>3.68</c:v>
                </c:pt>
                <c:pt idx="7">
                  <c:v>8.6999999999999993</c:v>
                </c:pt>
              </c:numCache>
            </c:numRef>
          </c:xVal>
          <c:yVal>
            <c:numRef>
              <c:f>'Kennolaskuri 60_ENT'!$E$50:$L$50</c:f>
              <c:numCache>
                <c:formatCode>0.0\ %</c:formatCode>
                <c:ptCount val="8"/>
                <c:pt idx="0">
                  <c:v>0.36423841059602663</c:v>
                </c:pt>
                <c:pt idx="1">
                  <c:v>0.62189054726368143</c:v>
                </c:pt>
                <c:pt idx="2">
                  <c:v>0.62785862785862778</c:v>
                </c:pt>
                <c:pt idx="3">
                  <c:v>0.55284552845528445</c:v>
                </c:pt>
                <c:pt idx="4">
                  <c:v>0.34351145038167941</c:v>
                </c:pt>
                <c:pt idx="5">
                  <c:v>0.60493827160493829</c:v>
                </c:pt>
                <c:pt idx="6">
                  <c:v>0.59239130434782605</c:v>
                </c:pt>
                <c:pt idx="7">
                  <c:v>0.70804597701149419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8CC-493B-97AB-40CA2888241F}"/>
            </c:ext>
          </c:extLst>
        </c:ser>
        <c:ser>
          <c:idx val="4"/>
          <c:order val="4"/>
          <c:tx>
            <c:v>Mitoitus kosteusero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('Kennolaskuri 60_ENT'!$M$46,'Kennolaskuri 60_ENT'!$M$46,'Kennolaskuri 60_ENT'!$M$46,'Kennolaskuri 60_ENT'!$M$46)</c:f>
              <c:numCache>
                <c:formatCode>0.00</c:formatCode>
                <c:ptCount val="4"/>
                <c:pt idx="0">
                  <c:v>1.6549160467705586</c:v>
                </c:pt>
                <c:pt idx="1">
                  <c:v>1.6549160467705586</c:v>
                </c:pt>
                <c:pt idx="2">
                  <c:v>1.6549160467705586</c:v>
                </c:pt>
                <c:pt idx="3">
                  <c:v>1.6549160467705586</c:v>
                </c:pt>
              </c:numCache>
            </c:numRef>
          </c:xVal>
          <c:yVal>
            <c:numRef>
              <c:f>'Kennolaskuri 60_ENT'!$M$47:$M$50</c:f>
              <c:numCache>
                <c:formatCode>0.00%</c:formatCode>
                <c:ptCount val="4"/>
                <c:pt idx="0">
                  <c:v>0.32745094814645542</c:v>
                </c:pt>
                <c:pt idx="1">
                  <c:v>0.35014558852156641</c:v>
                </c:pt>
                <c:pt idx="2">
                  <c:v>0.37475093857865277</c:v>
                </c:pt>
                <c:pt idx="3">
                  <c:v>0.39592464474669348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8CC-493B-97AB-40CA2888241F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'Kennolaskuri 60_ENT'!$F$60</c:f>
              <c:numCache>
                <c:formatCode>0.00</c:formatCode>
                <c:ptCount val="1"/>
                <c:pt idx="0">
                  <c:v>1.6549160467705586</c:v>
                </c:pt>
              </c:numCache>
            </c:numRef>
          </c:xVal>
          <c:yVal>
            <c:numRef>
              <c:f>'Kennolaskuri 60_ENT'!$F$63</c:f>
              <c:numCache>
                <c:formatCode>0.0\ %</c:formatCode>
                <c:ptCount val="1"/>
                <c:pt idx="0">
                  <c:v>0.40688496989493506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8CC-493B-97AB-40CA28882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528352"/>
        <c:axId val="219531712"/>
      </c:scatterChart>
      <c:valAx>
        <c:axId val="2195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Kosteusero [g/kg]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219531712"/>
        <c:crosses val="autoZero"/>
        <c:crossBetween val="midCat"/>
      </c:valAx>
      <c:valAx>
        <c:axId val="219531712"/>
        <c:scaling>
          <c:orientation val="minMax"/>
          <c:max val="0.8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Kosteushyötysuhde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219528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Mitoitusolosuhteiden kosteuserolla (talvi)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1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60_ENT'!$D$47:$D$50</c:f>
              <c:numCache>
                <c:formatCode>0</c:formatCode>
                <c:ptCount val="4"/>
                <c:pt idx="0">
                  <c:v>75</c:v>
                </c:pt>
                <c:pt idx="1">
                  <c:v>63.055555555555557</c:v>
                </c:pt>
                <c:pt idx="2">
                  <c:v>50</c:v>
                </c:pt>
                <c:pt idx="3">
                  <c:v>40</c:v>
                </c:pt>
              </c:numCache>
            </c:numRef>
          </c:xVal>
          <c:yVal>
            <c:numRef>
              <c:f>'Kennolaskuri 60_ENT'!$M$47:$M$50</c:f>
              <c:numCache>
                <c:formatCode>0.00%</c:formatCode>
                <c:ptCount val="4"/>
                <c:pt idx="0">
                  <c:v>0.32745094814645542</c:v>
                </c:pt>
                <c:pt idx="1">
                  <c:v>0.35014558852156641</c:v>
                </c:pt>
                <c:pt idx="2">
                  <c:v>0.37475093857865277</c:v>
                </c:pt>
                <c:pt idx="3">
                  <c:v>0.39592464474669348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66-4EE0-8896-3ECA888CEAE9}"/>
            </c:ext>
          </c:extLst>
        </c:ser>
        <c:ser>
          <c:idx val="1"/>
          <c:order val="1"/>
          <c:tx>
            <c:v>Mitoitus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'Kennolaskuri 60_ENT'!$F$61</c:f>
              <c:numCache>
                <c:formatCode>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'Kennolaskuri 60_ENT'!$F$63</c:f>
              <c:numCache>
                <c:formatCode>0.0\ %</c:formatCode>
                <c:ptCount val="1"/>
                <c:pt idx="0">
                  <c:v>0.40688496989493506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66-4EE0-8896-3ECA888CE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453808"/>
        <c:axId val="327465328"/>
      </c:scatterChart>
      <c:valAx>
        <c:axId val="32745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[dm³/s]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327465328"/>
        <c:crosses val="autoZero"/>
        <c:crossBetween val="midCat"/>
      </c:valAx>
      <c:valAx>
        <c:axId val="32746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Kosteushyötysuhde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327453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LEV-455-230, pituus 350 mm, s=2.3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hyötysuhde_C'!$E$97</c:f>
              <c:strCache>
                <c:ptCount val="1"/>
                <c:pt idx="0">
                  <c:v>LEV-455-230, pituus 350 mm, s=2.3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hyötysuhde_C'!$E$104:$E$112</c:f>
              <c:numCache>
                <c:formatCode>General</c:formatCode>
                <c:ptCount val="9"/>
                <c:pt idx="0">
                  <c:v>100</c:v>
                </c:pt>
                <c:pt idx="1">
                  <c:v>90</c:v>
                </c:pt>
                <c:pt idx="2">
                  <c:v>80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22</c:v>
                </c:pt>
              </c:numCache>
            </c:numRef>
          </c:xVal>
          <c:yVal>
            <c:numRef>
              <c:f>'Kojeet ja kennon hyötysuhde_C'!$F$104:$F$112</c:f>
              <c:numCache>
                <c:formatCode>0.0\ %</c:formatCode>
                <c:ptCount val="9"/>
                <c:pt idx="0">
                  <c:v>0.78100000000000003</c:v>
                </c:pt>
                <c:pt idx="1">
                  <c:v>0.78400000000000003</c:v>
                </c:pt>
                <c:pt idx="2">
                  <c:v>0.78700000000000003</c:v>
                </c:pt>
                <c:pt idx="3">
                  <c:v>0.79100000000000004</c:v>
                </c:pt>
                <c:pt idx="4">
                  <c:v>0.79500000000000004</c:v>
                </c:pt>
                <c:pt idx="5">
                  <c:v>0.80200000000000005</c:v>
                </c:pt>
                <c:pt idx="6">
                  <c:v>0.81299999999999994</c:v>
                </c:pt>
                <c:pt idx="7">
                  <c:v>0.83399999999999996</c:v>
                </c:pt>
                <c:pt idx="8">
                  <c:v>0.86399999999999999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92-4C20-9A6E-28DB151A5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Kosteushyötysuhde eri kosteuseroilla</a:t>
            </a:r>
            <a:br>
              <a:rPr lang="fi-FI"/>
            </a:br>
            <a:r>
              <a:rPr lang="fi-FI" sz="800"/>
              <a:t>Eriväriset käyrät eri tilavuusvirtoja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'Kennolaskuri 60_ENT'!$S$47</c:f>
              <c:strCache>
                <c:ptCount val="1"/>
                <c:pt idx="0">
                  <c:v>75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'Kennolaskuri 60_ENT'!$T$46:$V$46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7.4</c:v>
                </c:pt>
                <c:pt idx="2">
                  <c:v>11.03</c:v>
                </c:pt>
              </c:numCache>
            </c:numRef>
          </c:xVal>
          <c:yVal>
            <c:numRef>
              <c:f>'Kennolaskuri 60_ENT'!$T$47:$V$47</c:f>
              <c:numCache>
                <c:formatCode>0.0\ %</c:formatCode>
                <c:ptCount val="3"/>
                <c:pt idx="0">
                  <c:v>0.31707317073170754</c:v>
                </c:pt>
                <c:pt idx="1">
                  <c:v>0.39594594594594612</c:v>
                </c:pt>
                <c:pt idx="2">
                  <c:v>0.44877606527651853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46-4800-AB11-E43AAFB21F30}"/>
            </c:ext>
          </c:extLst>
        </c:ser>
        <c:ser>
          <c:idx val="1"/>
          <c:order val="1"/>
          <c:tx>
            <c:strRef>
              <c:f>'Kennolaskuri 60_ENT'!$S$48</c:f>
              <c:strCache>
                <c:ptCount val="1"/>
                <c:pt idx="0">
                  <c:v>63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'Kennolaskuri 60_ENT'!$T$46:$V$46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7.4</c:v>
                </c:pt>
                <c:pt idx="2">
                  <c:v>11.03</c:v>
                </c:pt>
              </c:numCache>
            </c:numRef>
          </c:xVal>
          <c:yVal>
            <c:numRef>
              <c:f>'Kennolaskuri 60_ENT'!$T$48:$V$48</c:f>
              <c:numCache>
                <c:formatCode>0.0\ %</c:formatCode>
                <c:ptCount val="3"/>
                <c:pt idx="0">
                  <c:v>0.34146341463414648</c:v>
                </c:pt>
                <c:pt idx="1">
                  <c:v>0.41891891891891908</c:v>
                </c:pt>
                <c:pt idx="2">
                  <c:v>0.47325475974614695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446-4800-AB11-E43AAFB21F30}"/>
            </c:ext>
          </c:extLst>
        </c:ser>
        <c:ser>
          <c:idx val="2"/>
          <c:order val="2"/>
          <c:tx>
            <c:strRef>
              <c:f>'Kennolaskuri 60_ENT'!$S$49</c:f>
              <c:strCache>
                <c:ptCount val="1"/>
                <c:pt idx="0">
                  <c:v>50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'Kennolaskuri 60_ENT'!$T$46:$V$46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7.4</c:v>
                </c:pt>
                <c:pt idx="2">
                  <c:v>11.03</c:v>
                </c:pt>
              </c:numCache>
            </c:numRef>
          </c:xVal>
          <c:yVal>
            <c:numRef>
              <c:f>'Kennolaskuri 60_ENT'!$T$49:$V$49</c:f>
              <c:numCache>
                <c:formatCode>0.0\ %</c:formatCode>
                <c:ptCount val="3"/>
                <c:pt idx="0">
                  <c:v>0.36829268292682926</c:v>
                </c:pt>
                <c:pt idx="1">
                  <c:v>0.445945945945946</c:v>
                </c:pt>
                <c:pt idx="2">
                  <c:v>0.50045330915684494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446-4800-AB11-E43AAFB21F30}"/>
            </c:ext>
          </c:extLst>
        </c:ser>
        <c:ser>
          <c:idx val="3"/>
          <c:order val="3"/>
          <c:tx>
            <c:strRef>
              <c:f>'Kennolaskuri 60_ENT'!$S$50</c:f>
              <c:strCache>
                <c:ptCount val="1"/>
                <c:pt idx="0">
                  <c:v>40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5229728850576368"/>
                  <c:y val="-4.29899031834733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60_ENT'!$T$46:$V$46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7.4</c:v>
                </c:pt>
                <c:pt idx="2">
                  <c:v>11.03</c:v>
                </c:pt>
              </c:numCache>
            </c:numRef>
          </c:xVal>
          <c:yVal>
            <c:numRef>
              <c:f>'Kennolaskuri 60_ENT'!$T$50:$V$50</c:f>
              <c:numCache>
                <c:formatCode>0.0\ %</c:formatCode>
                <c:ptCount val="3"/>
                <c:pt idx="0">
                  <c:v>0.3878048780487805</c:v>
                </c:pt>
                <c:pt idx="1">
                  <c:v>0.46756756756756768</c:v>
                </c:pt>
                <c:pt idx="2">
                  <c:v>0.52130553037171357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446-4800-AB11-E43AAFB21F30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'Kennolaskuri 60_ENT'!$X$46</c:f>
              <c:numCache>
                <c:formatCode>0.00</c:formatCode>
                <c:ptCount val="1"/>
                <c:pt idx="0">
                  <c:v>6.0481840032462859</c:v>
                </c:pt>
              </c:numCache>
            </c:numRef>
          </c:xVal>
          <c:yVal>
            <c:numRef>
              <c:f>'Kennolaskuri 60_ENT'!$V$63</c:f>
              <c:numCache>
                <c:formatCode>0.0\ %</c:formatCode>
                <c:ptCount val="1"/>
                <c:pt idx="0">
                  <c:v>0.45099670847810891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446-4800-AB11-E43AAFB21F30}"/>
            </c:ext>
          </c:extLst>
        </c:ser>
        <c:ser>
          <c:idx val="5"/>
          <c:order val="5"/>
          <c:tx>
            <c:v>Mitoitus kosteusero</c:v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('Kennolaskuri 60_ENT'!$X$46,'Kennolaskuri 60_ENT'!$X$46,'Kennolaskuri 60_ENT'!$X$46,'Kennolaskuri 60_ENT'!$X$46)</c:f>
              <c:numCache>
                <c:formatCode>0.00</c:formatCode>
                <c:ptCount val="4"/>
                <c:pt idx="0">
                  <c:v>6.0481840032462859</c:v>
                </c:pt>
                <c:pt idx="1">
                  <c:v>6.0481840032462859</c:v>
                </c:pt>
                <c:pt idx="2">
                  <c:v>6.0481840032462859</c:v>
                </c:pt>
                <c:pt idx="3">
                  <c:v>6.0481840032462859</c:v>
                </c:pt>
              </c:numCache>
            </c:numRef>
          </c:xVal>
          <c:yVal>
            <c:numRef>
              <c:f>'Kennolaskuri 60_ENT'!$X$47:$X$50</c:f>
              <c:numCache>
                <c:formatCode>0.00%</c:formatCode>
                <c:ptCount val="4"/>
                <c:pt idx="0">
                  <c:v>0.36890288543577887</c:v>
                </c:pt>
                <c:pt idx="1">
                  <c:v>0.39286394831634669</c:v>
                </c:pt>
                <c:pt idx="2">
                  <c:v>0.41983115939804005</c:v>
                </c:pt>
                <c:pt idx="3">
                  <c:v>0.44028315121883815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446-4800-AB11-E43AAFB2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1529519"/>
        <c:axId val="1561525199"/>
      </c:scatterChart>
      <c:valAx>
        <c:axId val="15615295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Kosteusero</a:t>
                </a:r>
                <a:r>
                  <a:rPr lang="fi-FI" baseline="0"/>
                  <a:t> [g/kg]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1561525199"/>
        <c:crosses val="autoZero"/>
        <c:crossBetween val="midCat"/>
      </c:valAx>
      <c:valAx>
        <c:axId val="1561525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Kosteushyötysuhde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15615295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Mitoitusolosuhteiden kosteuserolla (kesä)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2.2138670166229221E-2"/>
                  <c:y val="-0.20045902419526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60_ENT'!$S$47:$S$50</c:f>
              <c:numCache>
                <c:formatCode>0</c:formatCode>
                <c:ptCount val="4"/>
                <c:pt idx="0">
                  <c:v>75</c:v>
                </c:pt>
                <c:pt idx="1">
                  <c:v>63.055555555555557</c:v>
                </c:pt>
                <c:pt idx="2">
                  <c:v>50</c:v>
                </c:pt>
                <c:pt idx="3">
                  <c:v>40</c:v>
                </c:pt>
              </c:numCache>
            </c:numRef>
          </c:xVal>
          <c:yVal>
            <c:numRef>
              <c:f>'Kennolaskuri 60_ENT'!$X$47:$X$50</c:f>
              <c:numCache>
                <c:formatCode>0.00%</c:formatCode>
                <c:ptCount val="4"/>
                <c:pt idx="0">
                  <c:v>0.36890288543577887</c:v>
                </c:pt>
                <c:pt idx="1">
                  <c:v>0.39286394831634669</c:v>
                </c:pt>
                <c:pt idx="2">
                  <c:v>0.41983115939804005</c:v>
                </c:pt>
                <c:pt idx="3">
                  <c:v>0.44028315121883815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47-455A-B8AC-D219D8DB53E3}"/>
            </c:ext>
          </c:extLst>
        </c:ser>
        <c:ser>
          <c:idx val="1"/>
          <c:order val="1"/>
          <c:tx>
            <c:v>Miotitus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'Kennolaskuri 60_ENT'!$V$61</c:f>
              <c:numCache>
                <c:formatCode>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'Kennolaskuri 60_ENT'!$V$63</c:f>
              <c:numCache>
                <c:formatCode>0.0\ %</c:formatCode>
                <c:ptCount val="1"/>
                <c:pt idx="0">
                  <c:v>0.45099670847810891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047-455A-B8AC-D219D8DB5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1507919"/>
        <c:axId val="1561495439"/>
      </c:scatterChart>
      <c:valAx>
        <c:axId val="15615079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  <a:r>
                  <a:rPr lang="fi-FI" baseline="0"/>
                  <a:t> [dm³/s]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1561495439"/>
        <c:crosses val="autoZero"/>
        <c:crossBetween val="midCat"/>
      </c:valAx>
      <c:valAx>
        <c:axId val="1561495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Kosteushyötysuhde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15615079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Laskentaohjelmaan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'Kennolaskuri 60_ENT'!$O$17:$O$23</c:f>
              <c:numCache>
                <c:formatCode>General</c:formatCode>
                <c:ptCount val="7"/>
                <c:pt idx="0">
                  <c:v>20</c:v>
                </c:pt>
                <c:pt idx="1">
                  <c:v>45</c:v>
                </c:pt>
                <c:pt idx="2">
                  <c:v>55</c:v>
                </c:pt>
                <c:pt idx="3">
                  <c:v>65</c:v>
                </c:pt>
                <c:pt idx="4">
                  <c:v>75</c:v>
                </c:pt>
                <c:pt idx="5">
                  <c:v>87</c:v>
                </c:pt>
                <c:pt idx="6">
                  <c:v>100</c:v>
                </c:pt>
              </c:numCache>
            </c:numRef>
          </c:xVal>
          <c:yVal>
            <c:numRef>
              <c:f>'Kennolaskuri 60_ENT'!$P$17:$P$23</c:f>
              <c:numCache>
                <c:formatCode>0.0\ %</c:formatCode>
                <c:ptCount val="7"/>
                <c:pt idx="0">
                  <c:v>0.85</c:v>
                </c:pt>
                <c:pt idx="1">
                  <c:v>0.83972857630618725</c:v>
                </c:pt>
                <c:pt idx="2">
                  <c:v>0.8242533549836023</c:v>
                </c:pt>
                <c:pt idx="3">
                  <c:v>0.81158831640316953</c:v>
                </c:pt>
                <c:pt idx="4">
                  <c:v>0.80089413242567431</c:v>
                </c:pt>
                <c:pt idx="5">
                  <c:v>0.78995128354275534</c:v>
                </c:pt>
                <c:pt idx="6">
                  <c:v>0.77981963966212509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F2-4EC0-AAA5-D2A42632D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723295"/>
        <c:axId val="226719935"/>
      </c:scatterChart>
      <c:valAx>
        <c:axId val="2267232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26719935"/>
        <c:crosses val="autoZero"/>
        <c:crossBetween val="midCat"/>
      </c:valAx>
      <c:valAx>
        <c:axId val="226719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267232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Korjaus kosteushyötysuhteeseen</a:t>
            </a:r>
          </a:p>
          <a:p>
            <a:pPr>
              <a:defRPr/>
            </a:pPr>
            <a:r>
              <a:rPr lang="fi-FI" sz="800"/>
              <a:t>Käyrä laskettu mitoitusolosuhteiden keskilämpötilalla</a:t>
            </a:r>
            <a:br>
              <a:rPr lang="fi-FI" sz="800"/>
            </a:br>
            <a:r>
              <a:rPr lang="fi-FI" sz="800"/>
              <a:t>Mitoituspiste käyrästä mitoitusolosuhteiden kosteuserolla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1"/>
            <c:backward val="0.5"/>
            <c:dispRSqr val="1"/>
            <c:dispEq val="1"/>
            <c:trendlineLbl>
              <c:layout>
                <c:manualLayout>
                  <c:x val="4.7563853026867962E-2"/>
                  <c:y val="0.117689450711681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60_ENT'!$C$102:$C$106</c:f>
              <c:numCache>
                <c:formatCode>0" g/kg"</c:formatCode>
                <c:ptCount val="5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xVal>
          <c:yVal>
            <c:numRef>
              <c:f>'Kennolaskuri 60_ENT'!$F$102:$F$106</c:f>
              <c:numCache>
                <c:formatCode>0.000</c:formatCode>
                <c:ptCount val="5"/>
                <c:pt idx="0">
                  <c:v>1.9035278154681148</c:v>
                </c:pt>
                <c:pt idx="1">
                  <c:v>1.4720551378446132</c:v>
                </c:pt>
                <c:pt idx="2">
                  <c:v>1.1951855566700083</c:v>
                </c:pt>
                <c:pt idx="3">
                  <c:v>0.96022427440633606</c:v>
                </c:pt>
                <c:pt idx="4">
                  <c:v>-1.32890365448457E-3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4D-4238-B24B-B0304806F48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'Kennolaskuri 60_ENT'!$D$96</c:f>
              <c:numCache>
                <c:formatCode>0.00</c:formatCode>
                <c:ptCount val="1"/>
                <c:pt idx="0">
                  <c:v>1.6549160467705586</c:v>
                </c:pt>
              </c:numCache>
            </c:numRef>
          </c:xVal>
          <c:yVal>
            <c:numRef>
              <c:f>'Kennolaskuri 60_ENT'!$D$111</c:f>
              <c:numCache>
                <c:formatCode>0.0</c:formatCode>
                <c:ptCount val="1"/>
                <c:pt idx="0">
                  <c:v>0.60166409297556767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4D-4238-B24B-B0304806F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52639"/>
        <c:axId val="63353119"/>
      </c:scatterChart>
      <c:valAx>
        <c:axId val="63352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Keskimääräinen abs. kosteus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&quot; g/kg&quot;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3353119"/>
        <c:crosses val="autoZero"/>
        <c:crossBetween val="midCat"/>
      </c:valAx>
      <c:valAx>
        <c:axId val="63353119"/>
        <c:scaling>
          <c:orientation val="minMax"/>
          <c:max val="1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Korjaus [%-yks.]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3352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Korjaus kosteushyötysuhteeseen</a:t>
            </a:r>
          </a:p>
          <a:p>
            <a:pPr>
              <a:defRPr/>
            </a:pPr>
            <a:r>
              <a:rPr lang="fi-FI" sz="800"/>
              <a:t>Käyrä laskettu mitoitusolosuhteiden keskilämpötilalla</a:t>
            </a:r>
            <a:br>
              <a:rPr lang="fi-FI" sz="800"/>
            </a:br>
            <a:r>
              <a:rPr lang="fi-FI" sz="800"/>
              <a:t>Mitoituspiste käyrästä mitoitusolosuhteiden kosteuserolla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0765083678469506"/>
                  <c:y val="-0.2998007142002265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60_ENT'!$S$102:$S$106</c:f>
              <c:numCache>
                <c:formatCode>0" g/kg"</c:formatCode>
                <c:ptCount val="5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xVal>
          <c:yVal>
            <c:numRef>
              <c:f>'Kennolaskuri 60_ENT'!$V$102:$V$106</c:f>
              <c:numCache>
                <c:formatCode>0.000</c:formatCode>
                <c:ptCount val="5"/>
                <c:pt idx="0">
                  <c:v>0.58192139737991155</c:v>
                </c:pt>
                <c:pt idx="1">
                  <c:v>0.52296943231440807</c:v>
                </c:pt>
                <c:pt idx="2">
                  <c:v>0.46218340611353881</c:v>
                </c:pt>
                <c:pt idx="3">
                  <c:v>0.40017467248908645</c:v>
                </c:pt>
                <c:pt idx="4">
                  <c:v>0.33033333333333204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6E6-4108-B8EF-C57D7C236AF0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'Kennolaskuri 60_ENT'!$T$96</c:f>
              <c:numCache>
                <c:formatCode>0.00</c:formatCode>
                <c:ptCount val="1"/>
                <c:pt idx="0">
                  <c:v>6.0481840032462859</c:v>
                </c:pt>
              </c:numCache>
            </c:numRef>
          </c:xVal>
          <c:yVal>
            <c:numRef>
              <c:f>'Kennolaskuri 60_ENT'!$T$111</c:f>
              <c:numCache>
                <c:formatCode>0.0</c:formatCode>
                <c:ptCount val="1"/>
                <c:pt idx="0">
                  <c:v>0.57371584595576186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6E6-4108-B8EF-C57D7C236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52639"/>
        <c:axId val="63353119"/>
      </c:scatterChart>
      <c:valAx>
        <c:axId val="63352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Keskimääräinen abs. kosteus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&quot; g/kg&quot;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3353119"/>
        <c:crosses val="autoZero"/>
        <c:crossBetween val="midCat"/>
      </c:valAx>
      <c:valAx>
        <c:axId val="63353119"/>
        <c:scaling>
          <c:orientation val="minMax"/>
          <c:max val="2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Korjaus [%-yks.]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3352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Lämpötilahyötysuhteita</a:t>
            </a:r>
            <a:r>
              <a:rPr lang="fi-FI" baseline="0"/>
              <a:t> eri tilavuusvirroilla ja olosuhteilla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'Kennolaskuri 130_ENT'!$F$9</c:f>
              <c:strCache>
                <c:ptCount val="1"/>
                <c:pt idx="0">
                  <c:v>W1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'Kennolaskuri 130_ENT'!$E$10:$E$13</c:f>
              <c:numCache>
                <c:formatCode>0</c:formatCode>
                <c:ptCount val="4"/>
                <c:pt idx="0">
                  <c:v>110</c:v>
                </c:pt>
                <c:pt idx="1">
                  <c:v>91.111111111111114</c:v>
                </c:pt>
                <c:pt idx="2">
                  <c:v>75</c:v>
                </c:pt>
                <c:pt idx="3">
                  <c:v>60</c:v>
                </c:pt>
              </c:numCache>
            </c:numRef>
          </c:xVal>
          <c:yVal>
            <c:numRef>
              <c:f>'Kennolaskuri 130_ENT'!$F$10:$F$13</c:f>
              <c:numCache>
                <c:formatCode>0.0\ %</c:formatCode>
                <c:ptCount val="4"/>
                <c:pt idx="0">
                  <c:v>0.74</c:v>
                </c:pt>
                <c:pt idx="1">
                  <c:v>0.75500000000000012</c:v>
                </c:pt>
                <c:pt idx="2">
                  <c:v>0.76999999999999991</c:v>
                </c:pt>
                <c:pt idx="3">
                  <c:v>0.79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CD-43C4-B997-C6904A026497}"/>
            </c:ext>
          </c:extLst>
        </c:ser>
        <c:ser>
          <c:idx val="1"/>
          <c:order val="1"/>
          <c:tx>
            <c:strRef>
              <c:f>'Kennolaskuri 130_ENT'!$G$9</c:f>
              <c:strCache>
                <c:ptCount val="1"/>
                <c:pt idx="0">
                  <c:v>W2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'Kennolaskuri 130_ENT'!$E$10:$E$13</c:f>
              <c:numCache>
                <c:formatCode>0</c:formatCode>
                <c:ptCount val="4"/>
                <c:pt idx="0">
                  <c:v>110</c:v>
                </c:pt>
                <c:pt idx="1">
                  <c:v>91.111111111111114</c:v>
                </c:pt>
                <c:pt idx="2">
                  <c:v>75</c:v>
                </c:pt>
                <c:pt idx="3">
                  <c:v>60</c:v>
                </c:pt>
              </c:numCache>
            </c:numRef>
          </c:xVal>
          <c:yVal>
            <c:numRef>
              <c:f>'Kennolaskuri 130_ENT'!$G$10:$G$13</c:f>
              <c:numCache>
                <c:formatCode>0.0\ %</c:formatCode>
                <c:ptCount val="4"/>
                <c:pt idx="0">
                  <c:v>0.75500000000000012</c:v>
                </c:pt>
                <c:pt idx="1">
                  <c:v>0.76500000000000001</c:v>
                </c:pt>
                <c:pt idx="2">
                  <c:v>0.78499999999999992</c:v>
                </c:pt>
                <c:pt idx="3">
                  <c:v>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CD-43C4-B997-C6904A026497}"/>
            </c:ext>
          </c:extLst>
        </c:ser>
        <c:ser>
          <c:idx val="2"/>
          <c:order val="2"/>
          <c:tx>
            <c:strRef>
              <c:f>'Kennolaskuri 130_ENT'!$H$9</c:f>
              <c:strCache>
                <c:ptCount val="1"/>
                <c:pt idx="0">
                  <c:v>W3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'Kennolaskuri 130_ENT'!$E$10:$E$13</c:f>
              <c:numCache>
                <c:formatCode>0</c:formatCode>
                <c:ptCount val="4"/>
                <c:pt idx="0">
                  <c:v>110</c:v>
                </c:pt>
                <c:pt idx="1">
                  <c:v>91.111111111111114</c:v>
                </c:pt>
                <c:pt idx="2">
                  <c:v>75</c:v>
                </c:pt>
                <c:pt idx="3">
                  <c:v>60</c:v>
                </c:pt>
              </c:numCache>
            </c:numRef>
          </c:xVal>
          <c:yVal>
            <c:numRef>
              <c:f>'Kennolaskuri 130_ENT'!$H$10:$H$13</c:f>
              <c:numCache>
                <c:formatCode>0.0\ %</c:formatCode>
                <c:ptCount val="4"/>
                <c:pt idx="0">
                  <c:v>0.76</c:v>
                </c:pt>
                <c:pt idx="1">
                  <c:v>0.77200000000000002</c:v>
                </c:pt>
                <c:pt idx="2">
                  <c:v>0.78799999999999992</c:v>
                </c:pt>
                <c:pt idx="3">
                  <c:v>0.80400000000000005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CD-43C4-B997-C6904A026497}"/>
            </c:ext>
          </c:extLst>
        </c:ser>
        <c:ser>
          <c:idx val="3"/>
          <c:order val="3"/>
          <c:tx>
            <c:strRef>
              <c:f>'Kennolaskuri 130_ENT'!$I$9</c:f>
              <c:strCache>
                <c:ptCount val="1"/>
                <c:pt idx="0">
                  <c:v>W4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'Kennolaskuri 130_ENT'!$E$10:$E$13</c:f>
              <c:numCache>
                <c:formatCode>0</c:formatCode>
                <c:ptCount val="4"/>
                <c:pt idx="0">
                  <c:v>110</c:v>
                </c:pt>
                <c:pt idx="1">
                  <c:v>91.111111111111114</c:v>
                </c:pt>
                <c:pt idx="2">
                  <c:v>75</c:v>
                </c:pt>
                <c:pt idx="3">
                  <c:v>60</c:v>
                </c:pt>
              </c:numCache>
            </c:numRef>
          </c:xVal>
          <c:yVal>
            <c:numRef>
              <c:f>'Kennolaskuri 130_ENT'!$I$10:$I$13</c:f>
              <c:numCache>
                <c:formatCode>0.0\ %</c:formatCode>
                <c:ptCount val="4"/>
                <c:pt idx="0">
                  <c:v>0.74499999999999988</c:v>
                </c:pt>
                <c:pt idx="1">
                  <c:v>0.76</c:v>
                </c:pt>
                <c:pt idx="2">
                  <c:v>0.77500000000000002</c:v>
                </c:pt>
                <c:pt idx="3">
                  <c:v>0.79499999999999993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ECD-43C4-B997-C6904A026497}"/>
            </c:ext>
          </c:extLst>
        </c:ser>
        <c:ser>
          <c:idx val="4"/>
          <c:order val="4"/>
          <c:tx>
            <c:strRef>
              <c:f>'Kennolaskuri 130_ENT'!$J$9</c:f>
              <c:strCache>
                <c:ptCount val="1"/>
                <c:pt idx="0">
                  <c:v>W5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'Kennolaskuri 130_ENT'!$E$10:$E$13</c:f>
              <c:numCache>
                <c:formatCode>0</c:formatCode>
                <c:ptCount val="4"/>
                <c:pt idx="0">
                  <c:v>110</c:v>
                </c:pt>
                <c:pt idx="1">
                  <c:v>91.111111111111114</c:v>
                </c:pt>
                <c:pt idx="2">
                  <c:v>75</c:v>
                </c:pt>
                <c:pt idx="3">
                  <c:v>60</c:v>
                </c:pt>
              </c:numCache>
            </c:numRef>
          </c:xVal>
          <c:yVal>
            <c:numRef>
              <c:f>'Kennolaskuri 130_ENT'!$J$10:$J$13</c:f>
              <c:numCache>
                <c:formatCode>0.0\ %</c:formatCode>
                <c:ptCount val="4"/>
                <c:pt idx="0">
                  <c:v>0.73846153846153861</c:v>
                </c:pt>
                <c:pt idx="1">
                  <c:v>0.75384615384615394</c:v>
                </c:pt>
                <c:pt idx="2">
                  <c:v>0.76923076923076927</c:v>
                </c:pt>
                <c:pt idx="3">
                  <c:v>0.79230769230769238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CD-43C4-B997-C6904A026497}"/>
            </c:ext>
          </c:extLst>
        </c:ser>
        <c:ser>
          <c:idx val="5"/>
          <c:order val="5"/>
          <c:tx>
            <c:strRef>
              <c:f>'Kennolaskuri 130_ENT'!$K$9</c:f>
              <c:strCache>
                <c:ptCount val="1"/>
                <c:pt idx="0">
                  <c:v>W6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'Kennolaskuri 130_ENT'!$E$10:$E$13</c:f>
              <c:numCache>
                <c:formatCode>0</c:formatCode>
                <c:ptCount val="4"/>
                <c:pt idx="0">
                  <c:v>110</c:v>
                </c:pt>
                <c:pt idx="1">
                  <c:v>91.111111111111114</c:v>
                </c:pt>
                <c:pt idx="2">
                  <c:v>75</c:v>
                </c:pt>
                <c:pt idx="3">
                  <c:v>60</c:v>
                </c:pt>
              </c:numCache>
            </c:numRef>
          </c:xVal>
          <c:yVal>
            <c:numRef>
              <c:f>'Kennolaskuri 130_ENT'!$K$10:$K$13</c:f>
              <c:numCache>
                <c:formatCode>0.0\ %</c:formatCode>
                <c:ptCount val="4"/>
                <c:pt idx="0">
                  <c:v>0.76111111111111107</c:v>
                </c:pt>
                <c:pt idx="1">
                  <c:v>0.77222222222222225</c:v>
                </c:pt>
                <c:pt idx="2">
                  <c:v>0.78888888888888886</c:v>
                </c:pt>
                <c:pt idx="3">
                  <c:v>0.80555555555555558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ECD-43C4-B997-C6904A026497}"/>
            </c:ext>
          </c:extLst>
        </c:ser>
        <c:ser>
          <c:idx val="6"/>
          <c:order val="6"/>
          <c:tx>
            <c:strRef>
              <c:f>'Kennolaskuri 130_ENT'!$L$9</c:f>
              <c:strCache>
                <c:ptCount val="1"/>
                <c:pt idx="0">
                  <c:v>W7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'Kennolaskuri 130_ENT'!$E$10:$E$13</c:f>
              <c:numCache>
                <c:formatCode>0</c:formatCode>
                <c:ptCount val="4"/>
                <c:pt idx="0">
                  <c:v>110</c:v>
                </c:pt>
                <c:pt idx="1">
                  <c:v>91.111111111111114</c:v>
                </c:pt>
                <c:pt idx="2">
                  <c:v>75</c:v>
                </c:pt>
                <c:pt idx="3">
                  <c:v>60</c:v>
                </c:pt>
              </c:numCache>
            </c:numRef>
          </c:xVal>
          <c:yVal>
            <c:numRef>
              <c:f>'Kennolaskuri 130_ENT'!$L$10:$L$13</c:f>
              <c:numCache>
                <c:formatCode>0.0\ %</c:formatCode>
                <c:ptCount val="4"/>
                <c:pt idx="0">
                  <c:v>0.75185185185185188</c:v>
                </c:pt>
                <c:pt idx="1">
                  <c:v>0.76666666666666661</c:v>
                </c:pt>
                <c:pt idx="2">
                  <c:v>0.78148148148148155</c:v>
                </c:pt>
                <c:pt idx="3">
                  <c:v>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ECD-43C4-B997-C6904A026497}"/>
            </c:ext>
          </c:extLst>
        </c:ser>
        <c:ser>
          <c:idx val="7"/>
          <c:order val="7"/>
          <c:tx>
            <c:strRef>
              <c:f>'Kennolaskuri 130_ENT'!$M$9</c:f>
              <c:strCache>
                <c:ptCount val="1"/>
                <c:pt idx="0">
                  <c:v>W8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'Kennolaskuri 130_ENT'!$E$10:$E$13</c:f>
              <c:numCache>
                <c:formatCode>0</c:formatCode>
                <c:ptCount val="4"/>
                <c:pt idx="0">
                  <c:v>110</c:v>
                </c:pt>
                <c:pt idx="1">
                  <c:v>91.111111111111114</c:v>
                </c:pt>
                <c:pt idx="2">
                  <c:v>75</c:v>
                </c:pt>
                <c:pt idx="3">
                  <c:v>60</c:v>
                </c:pt>
              </c:numCache>
            </c:numRef>
          </c:xVal>
          <c:yVal>
            <c:numRef>
              <c:f>'Kennolaskuri 130_ENT'!$M$10:$M$13</c:f>
              <c:numCache>
                <c:formatCode>0.0\ %</c:formatCode>
                <c:ptCount val="4"/>
                <c:pt idx="0">
                  <c:v>0.76285714285714279</c:v>
                </c:pt>
                <c:pt idx="1">
                  <c:v>0.77428571428571435</c:v>
                </c:pt>
                <c:pt idx="2">
                  <c:v>0.79142857142857137</c:v>
                </c:pt>
                <c:pt idx="3">
                  <c:v>0.80857142857142861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ECD-43C4-B997-C6904A026497}"/>
            </c:ext>
          </c:extLst>
        </c:ser>
        <c:ser>
          <c:idx val="8"/>
          <c:order val="8"/>
          <c:tx>
            <c:strRef>
              <c:f>'Kennolaskuri 130_ENT'!$N$9</c:f>
              <c:strCache>
                <c:ptCount val="1"/>
                <c:pt idx="0">
                  <c:v>KA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5.5764982636314249E-2"/>
                  <c:y val="-0.423791752058389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130_ENT'!$E$10:$E$13</c:f>
              <c:numCache>
                <c:formatCode>0</c:formatCode>
                <c:ptCount val="4"/>
                <c:pt idx="0">
                  <c:v>110</c:v>
                </c:pt>
                <c:pt idx="1">
                  <c:v>91.111111111111114</c:v>
                </c:pt>
                <c:pt idx="2">
                  <c:v>75</c:v>
                </c:pt>
                <c:pt idx="3">
                  <c:v>60</c:v>
                </c:pt>
              </c:numCache>
            </c:numRef>
          </c:xVal>
          <c:yVal>
            <c:numRef>
              <c:f>'Kennolaskuri 130_ENT'!$N$10:$N$13</c:f>
              <c:numCache>
                <c:formatCode>0.0\ %</c:formatCode>
                <c:ptCount val="4"/>
                <c:pt idx="0">
                  <c:v>0.75178520553520545</c:v>
                </c:pt>
                <c:pt idx="1">
                  <c:v>0.76487759462759453</c:v>
                </c:pt>
                <c:pt idx="2">
                  <c:v>0.78112871387871374</c:v>
                </c:pt>
                <c:pt idx="3">
                  <c:v>0.79942933455433451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ECD-43C4-B997-C6904A026497}"/>
            </c:ext>
          </c:extLst>
        </c:ser>
        <c:ser>
          <c:idx val="9"/>
          <c:order val="9"/>
          <c:tx>
            <c:v>Miotitus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'Kennolaskuri 130_ENT'!$P$13</c:f>
              <c:numCache>
                <c:formatCode>General</c:formatCode>
                <c:ptCount val="1"/>
                <c:pt idx="0">
                  <c:v>70</c:v>
                </c:pt>
              </c:numCache>
            </c:numRef>
          </c:xVal>
          <c:yVal>
            <c:numRef>
              <c:f>'Kennolaskuri 130_ENT'!$P$14</c:f>
              <c:numCache>
                <c:formatCode>0%</c:formatCode>
                <c:ptCount val="1"/>
                <c:pt idx="0">
                  <c:v>0.78665696430023235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ECD-43C4-B997-C6904A026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0092480"/>
        <c:axId val="2010092960"/>
      </c:scatterChart>
      <c:valAx>
        <c:axId val="2010092480"/>
        <c:scaling>
          <c:orientation val="minMax"/>
          <c:min val="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 [dm³/s]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010092960"/>
        <c:crosses val="autoZero"/>
        <c:crossBetween val="midCat"/>
      </c:valAx>
      <c:valAx>
        <c:axId val="201009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Tuloilman lämpötilahyötysuhde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010092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100"/>
              <a:t>Kosteushyötysuhteet eri olosuhteilla (talvi) ja tilavuusvirroilla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201319386719823"/>
                  <c:y val="-3.2703316107424414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130_ENT'!$F$49:$L$49</c:f>
              <c:numCache>
                <c:formatCode>General</c:formatCode>
                <c:ptCount val="7"/>
                <c:pt idx="0">
                  <c:v>1.5100000000000002</c:v>
                </c:pt>
                <c:pt idx="1">
                  <c:v>6.0300000000000011</c:v>
                </c:pt>
                <c:pt idx="2">
                  <c:v>4.8099999999999996</c:v>
                </c:pt>
                <c:pt idx="3">
                  <c:v>3.6900000000000004</c:v>
                </c:pt>
                <c:pt idx="4">
                  <c:v>1.3100000000000005</c:v>
                </c:pt>
                <c:pt idx="5">
                  <c:v>4.8599999999999994</c:v>
                </c:pt>
                <c:pt idx="6">
                  <c:v>3.68</c:v>
                </c:pt>
              </c:numCache>
            </c:numRef>
          </c:xVal>
          <c:yVal>
            <c:numRef>
              <c:f>'Kennolaskuri 130_ENT'!$F$50:$L$50</c:f>
              <c:numCache>
                <c:formatCode>0.0\ %</c:formatCode>
                <c:ptCount val="7"/>
                <c:pt idx="0">
                  <c:v>0.25827814569536428</c:v>
                </c:pt>
                <c:pt idx="1">
                  <c:v>0.50248756218905455</c:v>
                </c:pt>
                <c:pt idx="2">
                  <c:v>0.50935550935550944</c:v>
                </c:pt>
                <c:pt idx="3">
                  <c:v>0.43631436314363148</c:v>
                </c:pt>
                <c:pt idx="4">
                  <c:v>0.23664122137404608</c:v>
                </c:pt>
                <c:pt idx="5">
                  <c:v>0.48971193415637854</c:v>
                </c:pt>
                <c:pt idx="6">
                  <c:v>0.47826086956521741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21-4826-B07C-7B5049A376E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'Kennolaskuri 130_ENT'!$F$49:$L$49</c:f>
              <c:numCache>
                <c:formatCode>General</c:formatCode>
                <c:ptCount val="7"/>
                <c:pt idx="0">
                  <c:v>1.5100000000000002</c:v>
                </c:pt>
                <c:pt idx="1">
                  <c:v>6.0300000000000011</c:v>
                </c:pt>
                <c:pt idx="2">
                  <c:v>4.8099999999999996</c:v>
                </c:pt>
                <c:pt idx="3">
                  <c:v>3.6900000000000004</c:v>
                </c:pt>
                <c:pt idx="4">
                  <c:v>1.3100000000000005</c:v>
                </c:pt>
                <c:pt idx="5">
                  <c:v>4.8599999999999994</c:v>
                </c:pt>
                <c:pt idx="6">
                  <c:v>3.68</c:v>
                </c:pt>
              </c:numCache>
            </c:numRef>
          </c:xVal>
          <c:yVal>
            <c:numRef>
              <c:f>'Kennolaskuri 130_ENT'!$F$51:$L$51</c:f>
              <c:numCache>
                <c:formatCode>0.0\ %</c:formatCode>
                <c:ptCount val="7"/>
                <c:pt idx="0">
                  <c:v>0.29139072847682113</c:v>
                </c:pt>
                <c:pt idx="1">
                  <c:v>0.53399668325041449</c:v>
                </c:pt>
                <c:pt idx="2">
                  <c:v>0.53846153846153844</c:v>
                </c:pt>
                <c:pt idx="3">
                  <c:v>0.46612466124661234</c:v>
                </c:pt>
                <c:pt idx="4">
                  <c:v>0.26717557251908425</c:v>
                </c:pt>
                <c:pt idx="5">
                  <c:v>0.5185185185185186</c:v>
                </c:pt>
                <c:pt idx="6">
                  <c:v>0.50815217391304346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21-4826-B07C-7B5049A376EB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'Kennolaskuri 130_ENT'!$F$49:$L$49</c:f>
              <c:numCache>
                <c:formatCode>General</c:formatCode>
                <c:ptCount val="7"/>
                <c:pt idx="0">
                  <c:v>1.5100000000000002</c:v>
                </c:pt>
                <c:pt idx="1">
                  <c:v>6.0300000000000011</c:v>
                </c:pt>
                <c:pt idx="2">
                  <c:v>4.8099999999999996</c:v>
                </c:pt>
                <c:pt idx="3">
                  <c:v>3.6900000000000004</c:v>
                </c:pt>
                <c:pt idx="4">
                  <c:v>1.3100000000000005</c:v>
                </c:pt>
                <c:pt idx="5">
                  <c:v>4.8599999999999994</c:v>
                </c:pt>
                <c:pt idx="6">
                  <c:v>3.68</c:v>
                </c:pt>
              </c:numCache>
            </c:numRef>
          </c:xVal>
          <c:yVal>
            <c:numRef>
              <c:f>'Kennolaskuri 130_ENT'!$F$52:$L$52</c:f>
              <c:numCache>
                <c:formatCode>0.0\ %</c:formatCode>
                <c:ptCount val="7"/>
                <c:pt idx="0">
                  <c:v>0.31788079470198671</c:v>
                </c:pt>
                <c:pt idx="1">
                  <c:v>0.55887230514096164</c:v>
                </c:pt>
                <c:pt idx="2">
                  <c:v>0.56548856548856552</c:v>
                </c:pt>
                <c:pt idx="3">
                  <c:v>0.49322493224932251</c:v>
                </c:pt>
                <c:pt idx="4">
                  <c:v>0.29007633587786308</c:v>
                </c:pt>
                <c:pt idx="5">
                  <c:v>0.54526748971193417</c:v>
                </c:pt>
                <c:pt idx="6">
                  <c:v>0.53260869565217384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21-4826-B07C-7B5049A376EB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'Kennolaskuri 130_ENT'!$F$49:$L$49</c:f>
              <c:numCache>
                <c:formatCode>General</c:formatCode>
                <c:ptCount val="7"/>
                <c:pt idx="0">
                  <c:v>1.5100000000000002</c:v>
                </c:pt>
                <c:pt idx="1">
                  <c:v>6.0300000000000011</c:v>
                </c:pt>
                <c:pt idx="2">
                  <c:v>4.8099999999999996</c:v>
                </c:pt>
                <c:pt idx="3">
                  <c:v>3.6900000000000004</c:v>
                </c:pt>
                <c:pt idx="4">
                  <c:v>1.3100000000000005</c:v>
                </c:pt>
                <c:pt idx="5">
                  <c:v>4.8599999999999994</c:v>
                </c:pt>
                <c:pt idx="6">
                  <c:v>3.68</c:v>
                </c:pt>
              </c:numCache>
            </c:numRef>
          </c:xVal>
          <c:yVal>
            <c:numRef>
              <c:f>'Kennolaskuri 130_ENT'!$F$53:$L$53</c:f>
              <c:numCache>
                <c:formatCode>0.0\ %</c:formatCode>
                <c:ptCount val="7"/>
                <c:pt idx="0">
                  <c:v>0.33774834437086104</c:v>
                </c:pt>
                <c:pt idx="1">
                  <c:v>0.58540630182421216</c:v>
                </c:pt>
                <c:pt idx="2">
                  <c:v>0.59043659043659047</c:v>
                </c:pt>
                <c:pt idx="3">
                  <c:v>0.51761517615176145</c:v>
                </c:pt>
                <c:pt idx="4">
                  <c:v>0.32061068702290124</c:v>
                </c:pt>
                <c:pt idx="5">
                  <c:v>0.56995884773662564</c:v>
                </c:pt>
                <c:pt idx="6">
                  <c:v>0.55978260869565222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B21-4826-B07C-7B5049A376EB}"/>
            </c:ext>
          </c:extLst>
        </c:ser>
        <c:ser>
          <c:idx val="4"/>
          <c:order val="4"/>
          <c:tx>
            <c:v>mitoitus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('Kennolaskuri 130_ENT'!$M$49,'Kennolaskuri 130_ENT'!$M$49,'Kennolaskuri 130_ENT'!$M$49,'Kennolaskuri 130_ENT'!$M$49)</c:f>
              <c:numCache>
                <c:formatCode>0.00</c:formatCode>
                <c:ptCount val="4"/>
                <c:pt idx="0">
                  <c:v>1.6549160467705586</c:v>
                </c:pt>
                <c:pt idx="1">
                  <c:v>1.6549160467705586</c:v>
                </c:pt>
                <c:pt idx="2">
                  <c:v>1.6549160467705586</c:v>
                </c:pt>
                <c:pt idx="3">
                  <c:v>1.6549160467705586</c:v>
                </c:pt>
              </c:numCache>
            </c:numRef>
          </c:xVal>
          <c:yVal>
            <c:numRef>
              <c:f>'Kennolaskuri 130_ENT'!$M$50:$M$53</c:f>
              <c:numCache>
                <c:formatCode>0%</c:formatCode>
                <c:ptCount val="4"/>
                <c:pt idx="0">
                  <c:v>0.27814907493292285</c:v>
                </c:pt>
                <c:pt idx="1">
                  <c:v>0.30952762468949319</c:v>
                </c:pt>
                <c:pt idx="2">
                  <c:v>0.33438096586606081</c:v>
                </c:pt>
                <c:pt idx="3">
                  <c:v>0.35982192178734418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B21-4826-B07C-7B5049A3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528352"/>
        <c:axId val="219531712"/>
      </c:scatterChart>
      <c:valAx>
        <c:axId val="2195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Kosteusero</a:t>
                </a:r>
                <a:r>
                  <a:rPr lang="fi-FI" baseline="0"/>
                  <a:t> [g/kg]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19531712"/>
        <c:crosses val="autoZero"/>
        <c:crossBetween val="midCat"/>
      </c:valAx>
      <c:valAx>
        <c:axId val="219531712"/>
        <c:scaling>
          <c:orientation val="minMax"/>
          <c:max val="0.60000000000000009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Kosteushyötysuhde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19528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200"/>
              <a:t>Kosteushyötysuhde</a:t>
            </a:r>
            <a:r>
              <a:rPr lang="fi-FI" sz="1200" baseline="0"/>
              <a:t> mitoitusolosuhteella (talvi)</a:t>
            </a:r>
            <a:endParaRPr lang="fi-FI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backward val="2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130_ENT'!$E$50:$E$53</c:f>
              <c:numCache>
                <c:formatCode>0</c:formatCode>
                <c:ptCount val="4"/>
                <c:pt idx="0">
                  <c:v>110</c:v>
                </c:pt>
                <c:pt idx="1">
                  <c:v>91.111111111111114</c:v>
                </c:pt>
                <c:pt idx="2">
                  <c:v>75</c:v>
                </c:pt>
                <c:pt idx="3">
                  <c:v>60</c:v>
                </c:pt>
              </c:numCache>
            </c:numRef>
          </c:xVal>
          <c:yVal>
            <c:numRef>
              <c:f>'Kennolaskuri 130_ENT'!$M$50:$M$53</c:f>
              <c:numCache>
                <c:formatCode>0%</c:formatCode>
                <c:ptCount val="4"/>
                <c:pt idx="0">
                  <c:v>0.27814907493292285</c:v>
                </c:pt>
                <c:pt idx="1">
                  <c:v>0.30952762468949319</c:v>
                </c:pt>
                <c:pt idx="2">
                  <c:v>0.33438096586606081</c:v>
                </c:pt>
                <c:pt idx="3">
                  <c:v>0.35982192178734418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E6-4AD1-8C00-78ABC530A9D5}"/>
            </c:ext>
          </c:extLst>
        </c:ser>
        <c:ser>
          <c:idx val="1"/>
          <c:order val="1"/>
          <c:tx>
            <c:v>Mitoitus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'Kennolaskuri 130_ENT'!$G$64</c:f>
              <c:numCache>
                <c:formatCode>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'Kennolaskuri 130_ENT'!$G$66</c:f>
              <c:numCache>
                <c:formatCode>0.0\ %</c:formatCode>
                <c:ptCount val="1"/>
                <c:pt idx="0">
                  <c:v>0.40102971456482622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1E6-4AD1-8C00-78ABC530A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453808"/>
        <c:axId val="327465328"/>
      </c:scatterChart>
      <c:valAx>
        <c:axId val="32745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  <a:r>
                  <a:rPr lang="fi-FI" baseline="0"/>
                  <a:t> [dm³/s]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7465328"/>
        <c:crosses val="autoZero"/>
        <c:crossBetween val="midCat"/>
      </c:valAx>
      <c:valAx>
        <c:axId val="32746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Kosteushyötysuhde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7453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100"/>
              <a:t>Kosteushyötysuhteet eri olosuhteilla (kesä) ja tilavuusvirroilla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backward val="2"/>
            <c:dispRSqr val="0"/>
            <c:dispEq val="0"/>
          </c:trendline>
          <c:xVal>
            <c:numRef>
              <c:f>'Kennolaskuri 130_ENT'!$T$49:$V$49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7.4</c:v>
                </c:pt>
                <c:pt idx="2">
                  <c:v>11.03</c:v>
                </c:pt>
              </c:numCache>
            </c:numRef>
          </c:xVal>
          <c:yVal>
            <c:numRef>
              <c:f>'Kennolaskuri 130_ENT'!$T$50:$V$50</c:f>
              <c:numCache>
                <c:formatCode>0.0\ %</c:formatCode>
                <c:ptCount val="3"/>
                <c:pt idx="0">
                  <c:v>0.28536585365853662</c:v>
                </c:pt>
                <c:pt idx="1">
                  <c:v>0.36486486486486497</c:v>
                </c:pt>
                <c:pt idx="2">
                  <c:v>0.4188576609247508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9C-41FE-BC0E-91EF7FF1038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backward val="2"/>
            <c:dispRSqr val="0"/>
            <c:dispEq val="0"/>
          </c:trendline>
          <c:xVal>
            <c:numRef>
              <c:f>'Kennolaskuri 130_ENT'!$T$49:$V$49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7.4</c:v>
                </c:pt>
                <c:pt idx="2">
                  <c:v>11.03</c:v>
                </c:pt>
              </c:numCache>
            </c:numRef>
          </c:xVal>
          <c:yVal>
            <c:numRef>
              <c:f>'Kennolaskuri 130_ENT'!$T$51:$V$51</c:f>
              <c:numCache>
                <c:formatCode>0.0\ %</c:formatCode>
                <c:ptCount val="3"/>
                <c:pt idx="0">
                  <c:v>0.31463414634146369</c:v>
                </c:pt>
                <c:pt idx="1">
                  <c:v>0.39594594594594612</c:v>
                </c:pt>
                <c:pt idx="2">
                  <c:v>0.45058930190389856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9C-41FE-BC0E-91EF7FF1038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backward val="2"/>
            <c:dispRSqr val="0"/>
            <c:dispEq val="0"/>
          </c:trendline>
          <c:xVal>
            <c:numRef>
              <c:f>'Kennolaskuri 130_ENT'!$T$49:$V$49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7.4</c:v>
                </c:pt>
                <c:pt idx="2">
                  <c:v>11.03</c:v>
                </c:pt>
              </c:numCache>
            </c:numRef>
          </c:xVal>
          <c:yVal>
            <c:numRef>
              <c:f>'Kennolaskuri 130_ENT'!$T$52:$V$52</c:f>
              <c:numCache>
                <c:formatCode>0.0\ %</c:formatCode>
                <c:ptCount val="3"/>
                <c:pt idx="0">
                  <c:v>0.34146341463414648</c:v>
                </c:pt>
                <c:pt idx="1">
                  <c:v>0.42162162162162176</c:v>
                </c:pt>
                <c:pt idx="2">
                  <c:v>0.47688123300090662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9C-41FE-BC0E-91EF7FF10389}"/>
            </c:ext>
          </c:extLst>
        </c:ser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backward val="2"/>
            <c:dispRSqr val="0"/>
            <c:dispEq val="0"/>
          </c:trendline>
          <c:xVal>
            <c:numRef>
              <c:f>'Kennolaskuri 130_ENT'!$T$49:$V$49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7.4</c:v>
                </c:pt>
                <c:pt idx="2">
                  <c:v>11.03</c:v>
                </c:pt>
              </c:numCache>
            </c:numRef>
          </c:xVal>
          <c:yVal>
            <c:numRef>
              <c:f>'Kennolaskuri 130_ENT'!$T$53:$V$53</c:f>
              <c:numCache>
                <c:formatCode>0.0\ %</c:formatCode>
                <c:ptCount val="3"/>
                <c:pt idx="0">
                  <c:v>0.36829268292682926</c:v>
                </c:pt>
                <c:pt idx="1">
                  <c:v>0.44729729729729734</c:v>
                </c:pt>
                <c:pt idx="2">
                  <c:v>0.50226654578422492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69C-41FE-BC0E-91EF7FF10389}"/>
            </c:ext>
          </c:extLst>
        </c:ser>
        <c:ser>
          <c:idx val="4"/>
          <c:order val="4"/>
          <c:tx>
            <c:v>Mitoitus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'Kennolaskuri 130_ENT'!$X$49</c:f>
              <c:numCache>
                <c:formatCode>0.00</c:formatCode>
                <c:ptCount val="1"/>
                <c:pt idx="0">
                  <c:v>6.0481840032462859</c:v>
                </c:pt>
              </c:numCache>
            </c:numRef>
          </c:xVal>
          <c:yVal>
            <c:numRef>
              <c:f>'Kennolaskuri 130_ENT'!$V$68</c:f>
              <c:numCache>
                <c:formatCode>0.0\ %</c:formatCode>
                <c:ptCount val="1"/>
                <c:pt idx="0">
                  <c:v>0.46510083316547957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69C-41FE-BC0E-91EF7FF10389}"/>
            </c:ext>
          </c:extLst>
        </c:ser>
        <c:ser>
          <c:idx val="5"/>
          <c:order val="5"/>
          <c:tx>
            <c:v>Mitoitus qV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('Kennolaskuri 130_ENT'!$X$49,'Kennolaskuri 130_ENT'!$X$49,'Kennolaskuri 130_ENT'!$X$49,'Kennolaskuri 130_ENT'!$X$49)</c:f>
              <c:numCache>
                <c:formatCode>0.00</c:formatCode>
                <c:ptCount val="4"/>
                <c:pt idx="0">
                  <c:v>6.0481840032462859</c:v>
                </c:pt>
                <c:pt idx="1">
                  <c:v>6.0481840032462859</c:v>
                </c:pt>
                <c:pt idx="2">
                  <c:v>6.0481840032462859</c:v>
                </c:pt>
                <c:pt idx="3">
                  <c:v>6.0481840032462859</c:v>
                </c:pt>
              </c:numCache>
            </c:numRef>
          </c:xVal>
          <c:yVal>
            <c:numRef>
              <c:f>'Kennolaskuri 130_ENT'!$X$50:$X$53</c:f>
              <c:numCache>
                <c:formatCode>0%</c:formatCode>
                <c:ptCount val="4"/>
                <c:pt idx="0">
                  <c:v>0.33580133456317829</c:v>
                </c:pt>
                <c:pt idx="1">
                  <c:v>0.3662804754007275</c:v>
                </c:pt>
                <c:pt idx="2">
                  <c:v>0.39223134666715459</c:v>
                </c:pt>
                <c:pt idx="3">
                  <c:v>0.41827713235009828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69C-41FE-BC0E-91EF7FF10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1529519"/>
        <c:axId val="1561525199"/>
      </c:scatterChart>
      <c:valAx>
        <c:axId val="15615295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61525199"/>
        <c:crosses val="autoZero"/>
        <c:crossBetween val="midCat"/>
      </c:valAx>
      <c:valAx>
        <c:axId val="1561525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615295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200"/>
              <a:t>Kosteushyötysuhde mitoitusolosuhteilla (kesä)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backward val="20"/>
            <c:dispRSqr val="1"/>
            <c:dispEq val="1"/>
            <c:trendlineLbl>
              <c:layout>
                <c:manualLayout>
                  <c:x val="-0.27702543912780131"/>
                  <c:y val="1.5567610111423193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130_ENT'!$S$50:$S$53</c:f>
              <c:numCache>
                <c:formatCode>0</c:formatCode>
                <c:ptCount val="4"/>
                <c:pt idx="0">
                  <c:v>110</c:v>
                </c:pt>
                <c:pt idx="1">
                  <c:v>91.111111111111114</c:v>
                </c:pt>
                <c:pt idx="2">
                  <c:v>75</c:v>
                </c:pt>
                <c:pt idx="3">
                  <c:v>60</c:v>
                </c:pt>
              </c:numCache>
            </c:numRef>
          </c:xVal>
          <c:yVal>
            <c:numRef>
              <c:f>'Kennolaskuri 130_ENT'!$X$50:$X$53</c:f>
              <c:numCache>
                <c:formatCode>0%</c:formatCode>
                <c:ptCount val="4"/>
                <c:pt idx="0">
                  <c:v>0.33580133456317829</c:v>
                </c:pt>
                <c:pt idx="1">
                  <c:v>0.3662804754007275</c:v>
                </c:pt>
                <c:pt idx="2">
                  <c:v>0.39223134666715459</c:v>
                </c:pt>
                <c:pt idx="3">
                  <c:v>0.41827713235009828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B7-4DF9-A1F2-377A559D22B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'Kennolaskuri 130_ENT'!$V$64</c:f>
              <c:numCache>
                <c:formatCode>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'Kennolaskuri 130_ENT'!$V$67</c:f>
              <c:numCache>
                <c:formatCode>0.0\ %</c:formatCode>
                <c:ptCount val="1"/>
                <c:pt idx="0">
                  <c:v>0.46296985033152072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5B7-4DF9-A1F2-377A559D2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1507919"/>
        <c:axId val="1561495439"/>
      </c:scatterChart>
      <c:valAx>
        <c:axId val="15615079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61495439"/>
        <c:crosses val="autoZero"/>
        <c:crossBetween val="midCat"/>
      </c:valAx>
      <c:valAx>
        <c:axId val="1561495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615079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LEV-500-270, pituus 350 mm, s=2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hyötysuhde_C'!$E$123</c:f>
              <c:strCache>
                <c:ptCount val="1"/>
                <c:pt idx="0">
                  <c:v>LEV-500-270, pituus 350 mm, s=2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hyötysuhde_C'!$E$130:$E$138</c:f>
              <c:numCache>
                <c:formatCode>General</c:formatCode>
                <c:ptCount val="9"/>
                <c:pt idx="0">
                  <c:v>120</c:v>
                </c:pt>
                <c:pt idx="1">
                  <c:v>100</c:v>
                </c:pt>
                <c:pt idx="2">
                  <c:v>90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25</c:v>
                </c:pt>
              </c:numCache>
            </c:numRef>
          </c:xVal>
          <c:yVal>
            <c:numRef>
              <c:f>'Kojeet ja kennon hyötysuhde_C'!$F$130:$F$138</c:f>
              <c:numCache>
                <c:formatCode>0.0\ %</c:formatCode>
                <c:ptCount val="9"/>
                <c:pt idx="0">
                  <c:v>0.79100000000000004</c:v>
                </c:pt>
                <c:pt idx="1">
                  <c:v>0.79700000000000004</c:v>
                </c:pt>
                <c:pt idx="2">
                  <c:v>0.80100000000000005</c:v>
                </c:pt>
                <c:pt idx="3">
                  <c:v>0.81299999999999994</c:v>
                </c:pt>
                <c:pt idx="4">
                  <c:v>0.82099999999999995</c:v>
                </c:pt>
                <c:pt idx="5">
                  <c:v>0.83099999999999996</c:v>
                </c:pt>
                <c:pt idx="6">
                  <c:v>0.84299999999999997</c:v>
                </c:pt>
                <c:pt idx="7">
                  <c:v>0.85899999999999999</c:v>
                </c:pt>
                <c:pt idx="8">
                  <c:v>0.87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0F-4F3B-AC1F-14D74324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Laskentaohjelmaan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'Kennolaskuri 130_ENT'!$P$18:$P$24</c:f>
              <c:numCache>
                <c:formatCode>General</c:formatCode>
                <c:ptCount val="7"/>
                <c:pt idx="0">
                  <c:v>18</c:v>
                </c:pt>
                <c:pt idx="1">
                  <c:v>37</c:v>
                </c:pt>
                <c:pt idx="2">
                  <c:v>50</c:v>
                </c:pt>
                <c:pt idx="3">
                  <c:v>70</c:v>
                </c:pt>
                <c:pt idx="4">
                  <c:v>90</c:v>
                </c:pt>
                <c:pt idx="5">
                  <c:v>115</c:v>
                </c:pt>
                <c:pt idx="6">
                  <c:v>140</c:v>
                </c:pt>
              </c:numCache>
            </c:numRef>
          </c:xVal>
          <c:yVal>
            <c:numRef>
              <c:f>'Kennolaskuri 130_ENT'!$Q$18:$Q$24</c:f>
              <c:numCache>
                <c:formatCode>0.0\ %</c:formatCode>
                <c:ptCount val="7"/>
                <c:pt idx="0">
                  <c:v>0.85</c:v>
                </c:pt>
                <c:pt idx="1">
                  <c:v>0.83956879413043672</c:v>
                </c:pt>
                <c:pt idx="2">
                  <c:v>0.81415097886302568</c:v>
                </c:pt>
                <c:pt idx="3">
                  <c:v>0.78665696430023235</c:v>
                </c:pt>
                <c:pt idx="4">
                  <c:v>0.76672888956679253</c:v>
                </c:pt>
                <c:pt idx="5">
                  <c:v>0.7477782374760451</c:v>
                </c:pt>
                <c:pt idx="6">
                  <c:v>0.73290969396373318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28-4FCD-A2FA-190EC2414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723295"/>
        <c:axId val="226719935"/>
      </c:scatterChart>
      <c:valAx>
        <c:axId val="2267232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26719935"/>
        <c:crosses val="autoZero"/>
        <c:crossBetween val="midCat"/>
      </c:valAx>
      <c:valAx>
        <c:axId val="226719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267232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Korjaus</a:t>
            </a:r>
            <a:r>
              <a:rPr lang="fi-FI" baseline="0"/>
              <a:t> kosteushyötysuhteeseen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forward val="2"/>
            <c:dispRSqr val="1"/>
            <c:dispEq val="1"/>
            <c:trendlineLbl>
              <c:layout>
                <c:manualLayout>
                  <c:x val="-0.20826509186351705"/>
                  <c:y val="-0.3112318144749403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130_ENT'!$D$105:$D$111</c:f>
              <c:numCache>
                <c:formatCode>0" g/kg"</c:formatCode>
                <c:ptCount val="7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</c:numCache>
            </c:numRef>
          </c:xVal>
          <c:yVal>
            <c:numRef>
              <c:f>'Kennolaskuri 130_ENT'!$G$105:$G$111</c:f>
              <c:numCache>
                <c:formatCode>0.0</c:formatCode>
                <c:ptCount val="7"/>
                <c:pt idx="0">
                  <c:v>-16.447946180797825</c:v>
                </c:pt>
                <c:pt idx="1">
                  <c:v>-8.3671324518949213</c:v>
                </c:pt>
                <c:pt idx="2">
                  <c:v>-2.1972093236793828</c:v>
                </c:pt>
                <c:pt idx="3">
                  <c:v>-1.198547501046896</c:v>
                </c:pt>
                <c:pt idx="4">
                  <c:v>-0.15201150015722398</c:v>
                </c:pt>
                <c:pt idx="5">
                  <c:v>-1.9072698730710407</c:v>
                </c:pt>
                <c:pt idx="6">
                  <c:v>-0.82051793070151202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91-4BBF-90F0-709EE5321DAD}"/>
            </c:ext>
          </c:extLst>
        </c:ser>
        <c:ser>
          <c:idx val="1"/>
          <c:order val="1"/>
          <c:tx>
            <c:v>Mitoitus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'Kennolaskuri 130_ENT'!$E$99</c:f>
              <c:numCache>
                <c:formatCode>0.00</c:formatCode>
                <c:ptCount val="1"/>
                <c:pt idx="0">
                  <c:v>1.6549160467705586</c:v>
                </c:pt>
              </c:numCache>
            </c:numRef>
          </c:xVal>
          <c:yVal>
            <c:numRef>
              <c:f>'Kennolaskuri 130_ENT'!$E$118</c:f>
              <c:numCache>
                <c:formatCode>0.0</c:formatCode>
                <c:ptCount val="1"/>
                <c:pt idx="0">
                  <c:v>-1.2876894324457866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B91-4BBF-90F0-709EE5321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52639"/>
        <c:axId val="63353119"/>
      </c:scatterChart>
      <c:valAx>
        <c:axId val="63352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Keskimääräinen abs. kosteus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&quot; g/kg&quot;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353119"/>
        <c:crosses val="autoZero"/>
        <c:crossBetween val="midCat"/>
      </c:valAx>
      <c:valAx>
        <c:axId val="6335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Korjaus [%-yks.]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352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Korjaus</a:t>
            </a:r>
            <a:r>
              <a:rPr lang="fi-FI" baseline="0"/>
              <a:t> kosteushyötysuhteeseen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15319525755005686"/>
                  <c:y val="-0.29280284466516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130_ENT'!$S$105:$S$109</c:f>
              <c:numCache>
                <c:formatCode>0" g/kg"</c:formatCode>
                <c:ptCount val="5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xVal>
          <c:yVal>
            <c:numRef>
              <c:f>'Kennolaskuri 130_ENT'!$V$105:$V$109</c:f>
              <c:numCache>
                <c:formatCode>0.0</c:formatCode>
                <c:ptCount val="5"/>
                <c:pt idx="0">
                  <c:v>-0.22883333333333056</c:v>
                </c:pt>
                <c:pt idx="1">
                  <c:v>0.27684210526315667</c:v>
                </c:pt>
                <c:pt idx="2">
                  <c:v>0.94320388349514417</c:v>
                </c:pt>
                <c:pt idx="3">
                  <c:v>3.0870307167235502</c:v>
                </c:pt>
                <c:pt idx="4">
                  <c:v>9.0829999999999984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59-4043-8FC3-13897A2A1BE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'Kennolaskuri 130_ENT'!$T$99</c:f>
              <c:numCache>
                <c:formatCode>0.00</c:formatCode>
                <c:ptCount val="1"/>
                <c:pt idx="0">
                  <c:v>6.0481840032462859</c:v>
                </c:pt>
              </c:numCache>
            </c:numRef>
          </c:xVal>
          <c:yVal>
            <c:numRef>
              <c:f>'Kennolaskuri 130_ENT'!$T$118</c:f>
              <c:numCache>
                <c:formatCode>0.0</c:formatCode>
                <c:ptCount val="1"/>
                <c:pt idx="0">
                  <c:v>-0.23677587043987103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B59-4043-8FC3-13897A2A1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52639"/>
        <c:axId val="63353119"/>
      </c:scatterChart>
      <c:valAx>
        <c:axId val="63352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Keskimääräinen abs. kosteus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&quot; g/kg&quot;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353119"/>
        <c:crosses val="autoZero"/>
        <c:crossBetween val="midCat"/>
      </c:valAx>
      <c:valAx>
        <c:axId val="633531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Korjaus [%-yks.]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352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3.7706396433266814E-2"/>
                  <c:y val="0.15623941137710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53mini_ENT'!$D$59:$D$62</c:f>
              <c:numCache>
                <c:formatCode>0.0</c:formatCode>
                <c:ptCount val="4"/>
                <c:pt idx="0">
                  <c:v>92.208864266379081</c:v>
                </c:pt>
                <c:pt idx="1">
                  <c:v>85.914487240323069</c:v>
                </c:pt>
                <c:pt idx="2">
                  <c:v>77.649489374205316</c:v>
                </c:pt>
                <c:pt idx="3">
                  <c:v>67.619832438075576</c:v>
                </c:pt>
              </c:numCache>
            </c:numRef>
          </c:xVal>
          <c:yVal>
            <c:numRef>
              <c:f>'Laskenta tulopuoli 53mini_ENT'!$E$59:$E$62</c:f>
              <c:numCache>
                <c:formatCode>0.0</c:formatCode>
                <c:ptCount val="4"/>
                <c:pt idx="0">
                  <c:v>61.274171526017128</c:v>
                </c:pt>
                <c:pt idx="1">
                  <c:v>59.788162984136761</c:v>
                </c:pt>
                <c:pt idx="2">
                  <c:v>59.882295324484154</c:v>
                </c:pt>
                <c:pt idx="3">
                  <c:v>60.274559745133089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02-4565-9198-FBFE88927E75}"/>
            </c:ext>
          </c:extLst>
        </c:ser>
        <c:ser>
          <c:idx val="1"/>
          <c:order val="1"/>
          <c:tx>
            <c:strRef>
              <c:f>'Laskenta tulopuoli 53mini_ENT'!$C$64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53mini_ENT'!$D$64:$D$67</c:f>
              <c:numCache>
                <c:formatCode>0.0</c:formatCode>
                <c:ptCount val="4"/>
                <c:pt idx="0">
                  <c:v>78.090334198261289</c:v>
                </c:pt>
                <c:pt idx="1">
                  <c:v>71.054290512587201</c:v>
                </c:pt>
                <c:pt idx="2">
                  <c:v>61.630342534175419</c:v>
                </c:pt>
                <c:pt idx="3">
                  <c:v>51.341596907423138</c:v>
                </c:pt>
              </c:numCache>
            </c:numRef>
          </c:xVal>
          <c:yVal>
            <c:numRef>
              <c:f>'Laskenta tulopuoli 53mini_ENT'!$E$64:$E$67</c:f>
              <c:numCache>
                <c:formatCode>0.0</c:formatCode>
                <c:ptCount val="4"/>
                <c:pt idx="0">
                  <c:v>57.769543972600623</c:v>
                </c:pt>
                <c:pt idx="1">
                  <c:v>56.656298830243443</c:v>
                </c:pt>
                <c:pt idx="2">
                  <c:v>55.9635967131656</c:v>
                </c:pt>
                <c:pt idx="3">
                  <c:v>55.174554357451846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502-4565-9198-FBFE88927E75}"/>
            </c:ext>
          </c:extLst>
        </c:ser>
        <c:ser>
          <c:idx val="2"/>
          <c:order val="2"/>
          <c:tx>
            <c:strRef>
              <c:f>'Laskenta tulopuoli 53mini_ENT'!$C$69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53mini_ENT'!$D$69:$D$72</c:f>
              <c:numCache>
                <c:formatCode>0.0</c:formatCode>
                <c:ptCount val="4"/>
                <c:pt idx="0">
                  <c:v>66.525256503016237</c:v>
                </c:pt>
                <c:pt idx="1">
                  <c:v>60.751202111356157</c:v>
                </c:pt>
                <c:pt idx="2">
                  <c:v>51.521768300431745</c:v>
                </c:pt>
                <c:pt idx="3">
                  <c:v>39.062391135313241</c:v>
                </c:pt>
              </c:numCache>
            </c:numRef>
          </c:xVal>
          <c:yVal>
            <c:numRef>
              <c:f>'Laskenta tulopuoli 53mini_ENT'!$E$69:$E$72</c:f>
              <c:numCache>
                <c:formatCode>0.0</c:formatCode>
                <c:ptCount val="4"/>
                <c:pt idx="0">
                  <c:v>54.283952713595298</c:v>
                </c:pt>
                <c:pt idx="1">
                  <c:v>52.935194980770433</c:v>
                </c:pt>
                <c:pt idx="2">
                  <c:v>52.216580385357283</c:v>
                </c:pt>
                <c:pt idx="3">
                  <c:v>51.650818664504186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502-4565-9198-FBFE88927E75}"/>
            </c:ext>
          </c:extLst>
        </c:ser>
        <c:ser>
          <c:idx val="3"/>
          <c:order val="3"/>
          <c:tx>
            <c:strRef>
              <c:f>'Laskenta tulopuoli 53mini_ENT'!$C$74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500076915261491"/>
                  <c:y val="0.134977096132800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53mini_ENT'!$D$74:$D$77</c:f>
              <c:numCache>
                <c:formatCode>0.0</c:formatCode>
                <c:ptCount val="4"/>
                <c:pt idx="0">
                  <c:v>39.233197570699382</c:v>
                </c:pt>
                <c:pt idx="1">
                  <c:v>36.387864836203569</c:v>
                </c:pt>
                <c:pt idx="2">
                  <c:v>31.665338481542531</c:v>
                </c:pt>
                <c:pt idx="3">
                  <c:v>24.552841058481452</c:v>
                </c:pt>
              </c:numCache>
            </c:numRef>
          </c:xVal>
          <c:yVal>
            <c:numRef>
              <c:f>'Laskenta tulopuoli 53mini_ENT'!$E$74:$E$77</c:f>
              <c:numCache>
                <c:formatCode>0.0</c:formatCode>
                <c:ptCount val="4"/>
                <c:pt idx="0">
                  <c:v>44.627027031629972</c:v>
                </c:pt>
                <c:pt idx="1">
                  <c:v>42.897867194101742</c:v>
                </c:pt>
                <c:pt idx="2">
                  <c:v>42.457779304360287</c:v>
                </c:pt>
                <c:pt idx="3">
                  <c:v>41.605638643581962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502-4565-9198-FBFE88927E7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02-4565-9198-FBFE88927E75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C502-4565-9198-FBFE88927E75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53mini_ENT'!$AH$34:$AH$37</c:f>
              <c:numCache>
                <c:formatCode>0.0</c:formatCode>
                <c:ptCount val="4"/>
                <c:pt idx="0">
                  <c:v>72.235062531149424</c:v>
                </c:pt>
                <c:pt idx="1">
                  <c:v>55.955459517742824</c:v>
                </c:pt>
                <c:pt idx="2">
                  <c:v>46.609889709507428</c:v>
                </c:pt>
                <c:pt idx="3">
                  <c:v>28.938966244668133</c:v>
                </c:pt>
              </c:numCache>
            </c:numRef>
          </c:xVal>
          <c:yVal>
            <c:numRef>
              <c:f>'Laskenta tulopuoli 53mini_ENT'!$AI$34:$AI$37</c:f>
              <c:numCache>
                <c:formatCode>0.0</c:formatCode>
                <c:ptCount val="4"/>
                <c:pt idx="0">
                  <c:v>59.835066109997605</c:v>
                </c:pt>
                <c:pt idx="1">
                  <c:v>55.447247654770038</c:v>
                </c:pt>
                <c:pt idx="2">
                  <c:v>51.770293221917967</c:v>
                </c:pt>
                <c:pt idx="3">
                  <c:v>41.795498302994069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502-4565-9198-FBFE88927E7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53mini_ENT'!$J$3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53mini_ENT'!$W$5</c:f>
              <c:numCache>
                <c:formatCode>0.0</c:formatCode>
                <c:ptCount val="1"/>
                <c:pt idx="0">
                  <c:v>45.639457895037502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502-4565-9198-FBFE88927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53mini_ENT'!$N$59:$N$62</c:f>
              <c:numCache>
                <c:formatCode>0.0</c:formatCode>
                <c:ptCount val="4"/>
                <c:pt idx="0">
                  <c:v>92.51719528747023</c:v>
                </c:pt>
                <c:pt idx="1">
                  <c:v>85.971656356331508</c:v>
                </c:pt>
                <c:pt idx="2">
                  <c:v>77.456897830128071</c:v>
                </c:pt>
                <c:pt idx="3">
                  <c:v>67.542919873403633</c:v>
                </c:pt>
              </c:numCache>
            </c:numRef>
          </c:xVal>
          <c:yVal>
            <c:numRef>
              <c:f>'Laskenta tulopuoli 53mini_ENT'!$O$59:$O$62</c:f>
              <c:numCache>
                <c:formatCode>0.0</c:formatCode>
                <c:ptCount val="4"/>
                <c:pt idx="0">
                  <c:v>76.524353896278924</c:v>
                </c:pt>
                <c:pt idx="1">
                  <c:v>76.22994011572807</c:v>
                </c:pt>
                <c:pt idx="2">
                  <c:v>76.135253010845418</c:v>
                </c:pt>
                <c:pt idx="3">
                  <c:v>76.562989638955656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07-43DC-AD22-FEE2F08615DB}"/>
            </c:ext>
          </c:extLst>
        </c:ser>
        <c:ser>
          <c:idx val="1"/>
          <c:order val="1"/>
          <c:tx>
            <c:strRef>
              <c:f>'Laskenta tulopuoli 53mini_ENT'!$C$64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1066990338690714"/>
                  <c:y val="0.1308379476316998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53mini_ENT'!$N$64:$N$67</c:f>
              <c:numCache>
                <c:formatCode>0.0</c:formatCode>
                <c:ptCount val="4"/>
                <c:pt idx="0">
                  <c:v>78.126219403864539</c:v>
                </c:pt>
                <c:pt idx="1">
                  <c:v>71.063022065508562</c:v>
                </c:pt>
                <c:pt idx="2">
                  <c:v>61.257710681232382</c:v>
                </c:pt>
                <c:pt idx="3">
                  <c:v>50.779180423158394</c:v>
                </c:pt>
              </c:numCache>
            </c:numRef>
          </c:xVal>
          <c:yVal>
            <c:numRef>
              <c:f>'Laskenta tulopuoli 53mini_ENT'!$O$64:$O$67</c:f>
              <c:numCache>
                <c:formatCode>0.0</c:formatCode>
                <c:ptCount val="4"/>
                <c:pt idx="0">
                  <c:v>72.528763239506318</c:v>
                </c:pt>
                <c:pt idx="1">
                  <c:v>71.92768072809983</c:v>
                </c:pt>
                <c:pt idx="2">
                  <c:v>71.102572149844761</c:v>
                </c:pt>
                <c:pt idx="3">
                  <c:v>70.575723544336398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07-43DC-AD22-FEE2F08615DB}"/>
            </c:ext>
          </c:extLst>
        </c:ser>
        <c:ser>
          <c:idx val="2"/>
          <c:order val="2"/>
          <c:tx>
            <c:strRef>
              <c:f>'Laskenta tulopuoli 53mini_ENT'!$C$69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2957970056758917"/>
                  <c:y val="0.179376058463258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53mini_ENT'!$N$69:$N$72</c:f>
              <c:numCache>
                <c:formatCode>0.0</c:formatCode>
                <c:ptCount val="4"/>
                <c:pt idx="0">
                  <c:v>66.07437797183222</c:v>
                </c:pt>
                <c:pt idx="1">
                  <c:v>60.736620463698408</c:v>
                </c:pt>
                <c:pt idx="2">
                  <c:v>51.023413859620192</c:v>
                </c:pt>
                <c:pt idx="3">
                  <c:v>38.107442768055868</c:v>
                </c:pt>
              </c:numCache>
            </c:numRef>
          </c:xVal>
          <c:yVal>
            <c:numRef>
              <c:f>'Laskenta tulopuoli 53mini_ENT'!$O$69:$O$72</c:f>
              <c:numCache>
                <c:formatCode>0.0</c:formatCode>
                <c:ptCount val="4"/>
                <c:pt idx="0">
                  <c:v>68.675735253102147</c:v>
                </c:pt>
                <c:pt idx="1">
                  <c:v>68.000333869387376</c:v>
                </c:pt>
                <c:pt idx="2">
                  <c:v>67.401713029957151</c:v>
                </c:pt>
                <c:pt idx="3">
                  <c:v>66.826551042557327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07-43DC-AD22-FEE2F08615DB}"/>
            </c:ext>
          </c:extLst>
        </c:ser>
        <c:ser>
          <c:idx val="3"/>
          <c:order val="3"/>
          <c:tx>
            <c:strRef>
              <c:f>'Laskenta tulopuoli 53mini_ENT'!$C$74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42425264025862269"/>
                  <c:y val="0.1691694934314434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53mini_ENT'!$N$74:$N$77</c:f>
              <c:numCache>
                <c:formatCode>0.0</c:formatCode>
                <c:ptCount val="4"/>
                <c:pt idx="0">
                  <c:v>39.475997985609681</c:v>
                </c:pt>
                <c:pt idx="1">
                  <c:v>36.528782330877029</c:v>
                </c:pt>
                <c:pt idx="2">
                  <c:v>31.337857744647224</c:v>
                </c:pt>
                <c:pt idx="3">
                  <c:v>23.843033292862099</c:v>
                </c:pt>
              </c:numCache>
            </c:numRef>
          </c:xVal>
          <c:yVal>
            <c:numRef>
              <c:f>'Laskenta tulopuoli 53mini_ENT'!$O$74:$O$77</c:f>
              <c:numCache>
                <c:formatCode>0.0</c:formatCode>
                <c:ptCount val="4"/>
                <c:pt idx="0">
                  <c:v>58.140517289590825</c:v>
                </c:pt>
                <c:pt idx="1">
                  <c:v>57.780773039492558</c:v>
                </c:pt>
                <c:pt idx="2">
                  <c:v>57.344675138755122</c:v>
                </c:pt>
                <c:pt idx="3">
                  <c:v>56.770799616907006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307-43DC-AD22-FEE2F08615D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53mini_ENT'!$AH$34:$AH$37</c:f>
              <c:numCache>
                <c:formatCode>0.0</c:formatCode>
                <c:ptCount val="4"/>
                <c:pt idx="0">
                  <c:v>72.235062531149424</c:v>
                </c:pt>
                <c:pt idx="1">
                  <c:v>55.955459517742824</c:v>
                </c:pt>
                <c:pt idx="2">
                  <c:v>46.609889709507428</c:v>
                </c:pt>
                <c:pt idx="3">
                  <c:v>28.938966244668133</c:v>
                </c:pt>
              </c:numCache>
            </c:numRef>
          </c:xVal>
          <c:yVal>
            <c:numRef>
              <c:f>'Laskenta tulopuoli 53mini_ENT'!$AJ$34:$AJ$37</c:f>
              <c:numCache>
                <c:formatCode>0.0</c:formatCode>
                <c:ptCount val="4"/>
                <c:pt idx="0">
                  <c:v>76.298844461425261</c:v>
                </c:pt>
                <c:pt idx="1">
                  <c:v>70.819088432339058</c:v>
                </c:pt>
                <c:pt idx="2">
                  <c:v>67.111518028666822</c:v>
                </c:pt>
                <c:pt idx="3">
                  <c:v>57.130284230892059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307-43DC-AD22-FEE2F08615DB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53mini_ENT'!$J$3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53mini_ENT'!$W$6</c:f>
              <c:numCache>
                <c:formatCode>0.0</c:formatCode>
                <c:ptCount val="1"/>
                <c:pt idx="0">
                  <c:v>60.928146758130822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307-43DC-AD22-FEE2F0861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53mini_ENT'!$AL$35:$AL$41</c:f>
              <c:numCache>
                <c:formatCode>General</c:formatCode>
                <c:ptCount val="7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</c:numCache>
            </c:numRef>
          </c:xVal>
          <c:yVal>
            <c:numRef>
              <c:f>'Laskenta tulopuoli 53mini_ENT'!$AM$35:$AM$41</c:f>
              <c:numCache>
                <c:formatCode>0.0</c:formatCode>
                <c:ptCount val="7"/>
                <c:pt idx="0">
                  <c:v>64.759251218738314</c:v>
                </c:pt>
                <c:pt idx="1">
                  <c:v>55.955459517742824</c:v>
                </c:pt>
                <c:pt idx="2">
                  <c:v>46.609889709507428</c:v>
                </c:pt>
                <c:pt idx="3">
                  <c:v>38.168876715678415</c:v>
                </c:pt>
                <c:pt idx="4">
                  <c:v>28.938966244668133</c:v>
                </c:pt>
                <c:pt idx="5">
                  <c:v>20.086167160438261</c:v>
                </c:pt>
                <c:pt idx="6">
                  <c:v>10.352122109338838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F0-4B48-8531-38C8FD13235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53mini_ENT'!$AN$34:$AN$35</c:f>
              <c:numCache>
                <c:formatCode>General</c:formatCode>
                <c:ptCount val="2"/>
                <c:pt idx="0">
                  <c:v>10</c:v>
                </c:pt>
                <c:pt idx="1">
                  <c:v>8.1999999999999993</c:v>
                </c:pt>
              </c:numCache>
            </c:numRef>
          </c:xVal>
          <c:yVal>
            <c:numRef>
              <c:f>'Laskenta tulopuoli 53mini_ENT'!$AO$34:$AO$35</c:f>
              <c:numCache>
                <c:formatCode>0.0</c:formatCode>
                <c:ptCount val="2"/>
                <c:pt idx="0">
                  <c:v>72.235062531149424</c:v>
                </c:pt>
                <c:pt idx="1">
                  <c:v>66.710778440318535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CF0-4B48-8531-38C8FD132359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53mini_ENT'!$W$9</c:f>
              <c:numCache>
                <c:formatCode>0.0</c:formatCode>
                <c:ptCount val="1"/>
                <c:pt idx="0">
                  <c:v>4.6545920944986499</c:v>
                </c:pt>
              </c:numCache>
            </c:numRef>
          </c:xVal>
          <c:yVal>
            <c:numRef>
              <c:f>'Laskenta tulopuoli 53mini_ENT'!$J$3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CF0-4B48-8531-38C8FD132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0.30358954579704656"/>
                  <c:y val="-7.55377678345630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53mini_ENT'!$C$85:$C$99</c:f>
              <c:numCache>
                <c:formatCode>0.0</c:formatCode>
                <c:ptCount val="15"/>
                <c:pt idx="0">
                  <c:v>21.555491314587435</c:v>
                </c:pt>
                <c:pt idx="1">
                  <c:v>30.777305569227099</c:v>
                </c:pt>
                <c:pt idx="2">
                  <c:v>56.188237201733436</c:v>
                </c:pt>
                <c:pt idx="3">
                  <c:v>62.160267773358939</c:v>
                </c:pt>
                <c:pt idx="4">
                  <c:v>68.571821229975711</c:v>
                </c:pt>
                <c:pt idx="5">
                  <c:v>74.128215204822709</c:v>
                </c:pt>
                <c:pt idx="6">
                  <c:v>78.595763873017845</c:v>
                </c:pt>
                <c:pt idx="7">
                  <c:v>83.229908738096086</c:v>
                </c:pt>
                <c:pt idx="8">
                  <c:v>87.798014439928195</c:v>
                </c:pt>
                <c:pt idx="9">
                  <c:v>92.354452179170124</c:v>
                </c:pt>
                <c:pt idx="10">
                  <c:v>97.314878666915007</c:v>
                </c:pt>
                <c:pt idx="11">
                  <c:v>92.51719528747023</c:v>
                </c:pt>
                <c:pt idx="12">
                  <c:v>85.971656356331508</c:v>
                </c:pt>
                <c:pt idx="13">
                  <c:v>77.456897830128071</c:v>
                </c:pt>
                <c:pt idx="14">
                  <c:v>67.542919873403633</c:v>
                </c:pt>
              </c:numCache>
            </c:numRef>
          </c:xVal>
          <c:yVal>
            <c:numRef>
              <c:f>'Laskenta tulopuoli 53mini_ENT'!$K$85:$K$99</c:f>
              <c:numCache>
                <c:formatCode>0.0</c:formatCode>
                <c:ptCount val="15"/>
                <c:pt idx="0">
                  <c:v>79.833228063191797</c:v>
                </c:pt>
                <c:pt idx="1">
                  <c:v>85.508359439021973</c:v>
                </c:pt>
                <c:pt idx="2">
                  <c:v>106.70803150841374</c:v>
                </c:pt>
                <c:pt idx="3">
                  <c:v>109.77884220048772</c:v>
                </c:pt>
                <c:pt idx="4">
                  <c:v>112.69302133214126</c:v>
                </c:pt>
                <c:pt idx="5">
                  <c:v>114.09709521245601</c:v>
                </c:pt>
                <c:pt idx="6">
                  <c:v>114.99991068548066</c:v>
                </c:pt>
                <c:pt idx="7">
                  <c:v>115.70038413934974</c:v>
                </c:pt>
                <c:pt idx="8">
                  <c:v>116.00959767143212</c:v>
                </c:pt>
                <c:pt idx="9">
                  <c:v>116.17031625326662</c:v>
                </c:pt>
                <c:pt idx="10">
                  <c:v>116.65431448208044</c:v>
                </c:pt>
                <c:pt idx="11">
                  <c:v>116.3395231419871</c:v>
                </c:pt>
                <c:pt idx="12">
                  <c:v>115.95164875873581</c:v>
                </c:pt>
                <c:pt idx="13">
                  <c:v>115.16419571022183</c:v>
                </c:pt>
                <c:pt idx="14">
                  <c:v>112.37575854673311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47-47AD-B969-F94F927BDBC4}"/>
            </c:ext>
          </c:extLst>
        </c:ser>
        <c:ser>
          <c:idx val="1"/>
          <c:order val="1"/>
          <c:tx>
            <c:strRef>
              <c:f>'Laskenta tulopuoli 53mini_ENT'!$C$101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1017928940677306"/>
                  <c:y val="3.106850908860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53mini_ENT'!$C$103:$C$112</c:f>
              <c:numCache>
                <c:formatCode>0.0</c:formatCode>
                <c:ptCount val="10"/>
                <c:pt idx="0">
                  <c:v>17.311290112813221</c:v>
                </c:pt>
                <c:pt idx="1">
                  <c:v>25.484394938404527</c:v>
                </c:pt>
                <c:pt idx="2">
                  <c:v>52.397968756254464</c:v>
                </c:pt>
                <c:pt idx="3">
                  <c:v>60.273508524315986</c:v>
                </c:pt>
                <c:pt idx="4">
                  <c:v>67.091944946704729</c:v>
                </c:pt>
                <c:pt idx="5">
                  <c:v>74.202841470813595</c:v>
                </c:pt>
                <c:pt idx="6">
                  <c:v>79.524705173243134</c:v>
                </c:pt>
                <c:pt idx="7">
                  <c:v>85.762973684653119</c:v>
                </c:pt>
                <c:pt idx="8">
                  <c:v>91.476719889010795</c:v>
                </c:pt>
                <c:pt idx="9">
                  <c:v>97.128922438489539</c:v>
                </c:pt>
              </c:numCache>
            </c:numRef>
          </c:xVal>
          <c:yVal>
            <c:numRef>
              <c:f>'Laskenta tulopuoli 53mini_ENT'!$K$103:$K$112</c:f>
              <c:numCache>
                <c:formatCode>0.0</c:formatCode>
                <c:ptCount val="10"/>
                <c:pt idx="0">
                  <c:v>46.318045923583355</c:v>
                </c:pt>
                <c:pt idx="1">
                  <c:v>49.537054466581459</c:v>
                </c:pt>
                <c:pt idx="2">
                  <c:v>72.442216508977879</c:v>
                </c:pt>
                <c:pt idx="3">
                  <c:v>79.923247286743404</c:v>
                </c:pt>
                <c:pt idx="4">
                  <c:v>87.914736075772325</c:v>
                </c:pt>
                <c:pt idx="5">
                  <c:v>94.918318641988293</c:v>
                </c:pt>
                <c:pt idx="6">
                  <c:v>100.2589313610363</c:v>
                </c:pt>
                <c:pt idx="7">
                  <c:v>106.86559330971659</c:v>
                </c:pt>
                <c:pt idx="8">
                  <c:v>112.68238817630187</c:v>
                </c:pt>
                <c:pt idx="9">
                  <c:v>116.74346733878755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047-47AD-B969-F94F927BDBC4}"/>
            </c:ext>
          </c:extLst>
        </c:ser>
        <c:ser>
          <c:idx val="2"/>
          <c:order val="2"/>
          <c:tx>
            <c:strRef>
              <c:f>'Laskenta tulopuoli 53mini_ENT'!$C$114</c:f>
              <c:strCache>
                <c:ptCount val="1"/>
                <c:pt idx="0">
                  <c:v>7V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9254376958996663"/>
                  <c:y val="-0.354269398993954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53mini_ENT'!$C$116:$C$123</c:f>
              <c:numCache>
                <c:formatCode>0.0</c:formatCode>
                <c:ptCount val="8"/>
                <c:pt idx="0">
                  <c:v>84.226713042912976</c:v>
                </c:pt>
                <c:pt idx="1">
                  <c:v>78.787850205729612</c:v>
                </c:pt>
                <c:pt idx="2">
                  <c:v>72.566443529441287</c:v>
                </c:pt>
                <c:pt idx="3">
                  <c:v>65.926059549039294</c:v>
                </c:pt>
                <c:pt idx="4">
                  <c:v>58.590613625391555</c:v>
                </c:pt>
                <c:pt idx="5">
                  <c:v>48.879036273450126</c:v>
                </c:pt>
                <c:pt idx="6">
                  <c:v>38.592276049878052</c:v>
                </c:pt>
                <c:pt idx="7">
                  <c:v>15.072467348295577</c:v>
                </c:pt>
              </c:numCache>
            </c:numRef>
          </c:xVal>
          <c:yVal>
            <c:numRef>
              <c:f>'Laskenta tulopuoli 53mini_ENT'!$K$116:$K$123</c:f>
              <c:numCache>
                <c:formatCode>0.0</c:formatCode>
                <c:ptCount val="8"/>
                <c:pt idx="0">
                  <c:v>80.128791902988354</c:v>
                </c:pt>
                <c:pt idx="1">
                  <c:v>75.874090088360788</c:v>
                </c:pt>
                <c:pt idx="2">
                  <c:v>71.022856389795251</c:v>
                </c:pt>
                <c:pt idx="3">
                  <c:v>65.915415226586148</c:v>
                </c:pt>
                <c:pt idx="4">
                  <c:v>60.032900875661596</c:v>
                </c:pt>
                <c:pt idx="5">
                  <c:v>52.77292953908929</c:v>
                </c:pt>
                <c:pt idx="6">
                  <c:v>44.836555604768606</c:v>
                </c:pt>
                <c:pt idx="7">
                  <c:v>32.982831580131908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047-47AD-B969-F94F927BDBC4}"/>
            </c:ext>
          </c:extLst>
        </c:ser>
        <c:ser>
          <c:idx val="3"/>
          <c:order val="3"/>
          <c:tx>
            <c:strRef>
              <c:f>'Laskenta tulopuoli 53mini_ENT'!$C$129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3463651985463307"/>
                  <c:y val="3.732163535072194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53mini_ENT'!$C$131:$C$143</c:f>
              <c:numCache>
                <c:formatCode>0.0</c:formatCode>
                <c:ptCount val="13"/>
                <c:pt idx="0">
                  <c:v>13.400951363531069</c:v>
                </c:pt>
                <c:pt idx="1">
                  <c:v>24.485731807549911</c:v>
                </c:pt>
                <c:pt idx="2">
                  <c:v>41.959682054283981</c:v>
                </c:pt>
                <c:pt idx="3">
                  <c:v>47.58124337864745</c:v>
                </c:pt>
                <c:pt idx="4">
                  <c:v>52.662169366406111</c:v>
                </c:pt>
                <c:pt idx="5">
                  <c:v>57.120989296818244</c:v>
                </c:pt>
                <c:pt idx="6">
                  <c:v>62.682990876029329</c:v>
                </c:pt>
                <c:pt idx="7">
                  <c:v>67.037622114153848</c:v>
                </c:pt>
                <c:pt idx="8">
                  <c:v>70.08964803924313</c:v>
                </c:pt>
                <c:pt idx="9">
                  <c:v>66.07437797183222</c:v>
                </c:pt>
                <c:pt idx="10">
                  <c:v>60.736620463698408</c:v>
                </c:pt>
                <c:pt idx="11">
                  <c:v>51.023413859620192</c:v>
                </c:pt>
                <c:pt idx="12">
                  <c:v>38.107442768055868</c:v>
                </c:pt>
              </c:numCache>
            </c:numRef>
          </c:xVal>
          <c:yVal>
            <c:numRef>
              <c:f>'Laskenta tulopuoli 53mini_ENT'!$K$131:$K$143</c:f>
              <c:numCache>
                <c:formatCode>0.0</c:formatCode>
                <c:ptCount val="13"/>
                <c:pt idx="0">
                  <c:v>22.994892084400352</c:v>
                </c:pt>
                <c:pt idx="1">
                  <c:v>26.305964820498399</c:v>
                </c:pt>
                <c:pt idx="2">
                  <c:v>35.439644262882311</c:v>
                </c:pt>
                <c:pt idx="3">
                  <c:v>38.357748035227793</c:v>
                </c:pt>
                <c:pt idx="4">
                  <c:v>41.319098954789858</c:v>
                </c:pt>
                <c:pt idx="5">
                  <c:v>43.67338065470377</c:v>
                </c:pt>
                <c:pt idx="6">
                  <c:v>46.538351182866229</c:v>
                </c:pt>
                <c:pt idx="7">
                  <c:v>48.910793114921432</c:v>
                </c:pt>
                <c:pt idx="8">
                  <c:v>50.626905030896587</c:v>
                </c:pt>
                <c:pt idx="9">
                  <c:v>48.247425296229011</c:v>
                </c:pt>
                <c:pt idx="10">
                  <c:v>44.909569634425793</c:v>
                </c:pt>
                <c:pt idx="11">
                  <c:v>40.435122809199662</c:v>
                </c:pt>
                <c:pt idx="12">
                  <c:v>35.936627601992882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047-47AD-B969-F94F927BDBC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1.5666206636909243E-2"/>
                  <c:y val="-1.654605401217685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53mini_ENT'!$AC$34:$AC$41</c:f>
              <c:numCache>
                <c:formatCode>0.0</c:formatCode>
                <c:ptCount val="8"/>
                <c:pt idx="0">
                  <c:v>72.235062531149424</c:v>
                </c:pt>
                <c:pt idx="1">
                  <c:v>64.759251218738314</c:v>
                </c:pt>
                <c:pt idx="2">
                  <c:v>55.955459517742824</c:v>
                </c:pt>
                <c:pt idx="3">
                  <c:v>46.609889709507428</c:v>
                </c:pt>
                <c:pt idx="4">
                  <c:v>38.168876715678415</c:v>
                </c:pt>
                <c:pt idx="5">
                  <c:v>28.938966244668133</c:v>
                </c:pt>
                <c:pt idx="6">
                  <c:v>20.086167160438261</c:v>
                </c:pt>
                <c:pt idx="7">
                  <c:v>10.352122109338838</c:v>
                </c:pt>
              </c:numCache>
            </c:numRef>
          </c:xVal>
          <c:yVal>
            <c:numRef>
              <c:f>'Laskenta tulopuoli 53mini_ENT'!$AE$34:$AE$41</c:f>
              <c:numCache>
                <c:formatCode>0.0</c:formatCode>
                <c:ptCount val="8"/>
                <c:pt idx="0">
                  <c:v>113.4630276873562</c:v>
                </c:pt>
                <c:pt idx="1">
                  <c:v>84.924458527260043</c:v>
                </c:pt>
                <c:pt idx="2">
                  <c:v>58.029451344841092</c:v>
                </c:pt>
                <c:pt idx="3">
                  <c:v>38.235583000711244</c:v>
                </c:pt>
                <c:pt idx="4">
                  <c:v>23.7722414871184</c:v>
                </c:pt>
                <c:pt idx="5">
                  <c:v>13.985513411911528</c:v>
                </c:pt>
                <c:pt idx="6">
                  <c:v>7.8044609308063748</c:v>
                </c:pt>
                <c:pt idx="7">
                  <c:v>4.5436237946549687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047-47AD-B969-F94F927BDBC4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53mini_ENT'!$J$3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53mini_ENT'!$W$13</c:f>
              <c:numCache>
                <c:formatCode>0.0</c:formatCode>
                <c:ptCount val="1"/>
                <c:pt idx="0">
                  <c:v>19.704150231876277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047-47AD-B969-F94F927BDBC4}"/>
            </c:ext>
          </c:extLst>
        </c:ser>
        <c:ser>
          <c:idx val="6"/>
          <c:order val="6"/>
          <c:tx>
            <c:strRef>
              <c:f>'Laskenta tulopuoli 53mini_ENT'!$C$145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349709184441589"/>
                  <c:y val="-8.789999814230366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53mini_ENT'!$C$147:$C$154</c:f>
              <c:numCache>
                <c:formatCode>0.0</c:formatCode>
                <c:ptCount val="8"/>
                <c:pt idx="0">
                  <c:v>56.108706043813946</c:v>
                </c:pt>
                <c:pt idx="1">
                  <c:v>52.610803297029939</c:v>
                </c:pt>
                <c:pt idx="2">
                  <c:v>49.022927183474209</c:v>
                </c:pt>
                <c:pt idx="3">
                  <c:v>44.73207655672141</c:v>
                </c:pt>
                <c:pt idx="4">
                  <c:v>40.151805346700648</c:v>
                </c:pt>
                <c:pt idx="5">
                  <c:v>35.428056320100808</c:v>
                </c:pt>
                <c:pt idx="6">
                  <c:v>29.946480485233359</c:v>
                </c:pt>
                <c:pt idx="7">
                  <c:v>11.179272393277332</c:v>
                </c:pt>
              </c:numCache>
            </c:numRef>
          </c:xVal>
          <c:yVal>
            <c:numRef>
              <c:f>'Laskenta tulopuoli 53mini_ENT'!$K$147:$K$154</c:f>
              <c:numCache>
                <c:formatCode>0.0</c:formatCode>
                <c:ptCount val="8"/>
                <c:pt idx="0">
                  <c:v>30.657160598072295</c:v>
                </c:pt>
                <c:pt idx="1">
                  <c:v>29.427278430174766</c:v>
                </c:pt>
                <c:pt idx="2">
                  <c:v>27.997652349199392</c:v>
                </c:pt>
                <c:pt idx="3">
                  <c:v>26.425259410215936</c:v>
                </c:pt>
                <c:pt idx="4">
                  <c:v>24.692228909601873</c:v>
                </c:pt>
                <c:pt idx="5">
                  <c:v>22.712623576796137</c:v>
                </c:pt>
                <c:pt idx="6">
                  <c:v>20.60691836010993</c:v>
                </c:pt>
                <c:pt idx="7">
                  <c:v>15.394065069985658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047-47AD-B969-F94F927BDBC4}"/>
            </c:ext>
          </c:extLst>
        </c:ser>
        <c:ser>
          <c:idx val="7"/>
          <c:order val="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53mini_ENT'!$C$85:$C$95</c:f>
              <c:numCache>
                <c:formatCode>0.0</c:formatCode>
                <c:ptCount val="11"/>
                <c:pt idx="0">
                  <c:v>21.555491314587435</c:v>
                </c:pt>
                <c:pt idx="1">
                  <c:v>30.777305569227099</c:v>
                </c:pt>
                <c:pt idx="2">
                  <c:v>56.188237201733436</c:v>
                </c:pt>
                <c:pt idx="3">
                  <c:v>62.160267773358939</c:v>
                </c:pt>
                <c:pt idx="4">
                  <c:v>68.571821229975711</c:v>
                </c:pt>
                <c:pt idx="5">
                  <c:v>74.128215204822709</c:v>
                </c:pt>
                <c:pt idx="6">
                  <c:v>78.595763873017845</c:v>
                </c:pt>
                <c:pt idx="7">
                  <c:v>83.229908738096086</c:v>
                </c:pt>
                <c:pt idx="8">
                  <c:v>87.798014439928195</c:v>
                </c:pt>
                <c:pt idx="9">
                  <c:v>92.354452179170124</c:v>
                </c:pt>
                <c:pt idx="10">
                  <c:v>97.314878666915007</c:v>
                </c:pt>
              </c:numCache>
            </c:numRef>
          </c:xVal>
          <c:yVal>
            <c:numRef>
              <c:f>'Laskenta tulopuoli 53mini_ENT'!$K$85:$K$95</c:f>
              <c:numCache>
                <c:formatCode>0.0</c:formatCode>
                <c:ptCount val="11"/>
                <c:pt idx="0">
                  <c:v>79.833228063191797</c:v>
                </c:pt>
                <c:pt idx="1">
                  <c:v>85.508359439021973</c:v>
                </c:pt>
                <c:pt idx="2">
                  <c:v>106.70803150841374</c:v>
                </c:pt>
                <c:pt idx="3">
                  <c:v>109.77884220048772</c:v>
                </c:pt>
                <c:pt idx="4">
                  <c:v>112.69302133214126</c:v>
                </c:pt>
                <c:pt idx="5">
                  <c:v>114.09709521245601</c:v>
                </c:pt>
                <c:pt idx="6">
                  <c:v>114.99991068548066</c:v>
                </c:pt>
                <c:pt idx="7">
                  <c:v>115.70038413934974</c:v>
                </c:pt>
                <c:pt idx="8">
                  <c:v>116.00959767143212</c:v>
                </c:pt>
                <c:pt idx="9">
                  <c:v>116.17031625326662</c:v>
                </c:pt>
                <c:pt idx="10">
                  <c:v>116.65431448208044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047-47AD-B969-F94F927BDBC4}"/>
            </c:ext>
          </c:extLst>
        </c:ser>
        <c:ser>
          <c:idx val="9"/>
          <c:order val="8"/>
          <c:tx>
            <c:strRef>
              <c:f>'Laskenta tulopuoli 53mini_ENT'!$C$156:$M$156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3141933219276708"/>
                  <c:y val="3.556972450363386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53mini_ENT'!$C$158:$C$168</c:f>
              <c:numCache>
                <c:formatCode>0.0</c:formatCode>
                <c:ptCount val="11"/>
                <c:pt idx="0">
                  <c:v>8.7020229843785071</c:v>
                </c:pt>
                <c:pt idx="1">
                  <c:v>18.138656964471075</c:v>
                </c:pt>
                <c:pt idx="2">
                  <c:v>26.092460237557564</c:v>
                </c:pt>
                <c:pt idx="3">
                  <c:v>31.482845779390328</c:v>
                </c:pt>
                <c:pt idx="4">
                  <c:v>35.399179583348761</c:v>
                </c:pt>
                <c:pt idx="5">
                  <c:v>38.576192202519259</c:v>
                </c:pt>
                <c:pt idx="6">
                  <c:v>41.605917277547576</c:v>
                </c:pt>
                <c:pt idx="7">
                  <c:v>39.475997985609681</c:v>
                </c:pt>
                <c:pt idx="8">
                  <c:v>36.528782330877029</c:v>
                </c:pt>
                <c:pt idx="9">
                  <c:v>31.337857744647224</c:v>
                </c:pt>
                <c:pt idx="10">
                  <c:v>23.843033292862099</c:v>
                </c:pt>
              </c:numCache>
            </c:numRef>
          </c:xVal>
          <c:yVal>
            <c:numRef>
              <c:f>'Laskenta tulopuoli 53mini_ENT'!$K$158:$K$168</c:f>
              <c:numCache>
                <c:formatCode>0.0</c:formatCode>
                <c:ptCount val="11"/>
                <c:pt idx="0">
                  <c:v>9.9647819443576005</c:v>
                </c:pt>
                <c:pt idx="1">
                  <c:v>11.285940922643414</c:v>
                </c:pt>
                <c:pt idx="2">
                  <c:v>13.152668359229462</c:v>
                </c:pt>
                <c:pt idx="3">
                  <c:v>14.467230176886737</c:v>
                </c:pt>
                <c:pt idx="4">
                  <c:v>15.457217416852041</c:v>
                </c:pt>
                <c:pt idx="5">
                  <c:v>16.211045468066871</c:v>
                </c:pt>
                <c:pt idx="6">
                  <c:v>16.953289405090995</c:v>
                </c:pt>
                <c:pt idx="7">
                  <c:v>16.597364474282625</c:v>
                </c:pt>
                <c:pt idx="8">
                  <c:v>15.735562266904543</c:v>
                </c:pt>
                <c:pt idx="9">
                  <c:v>14.645314177297895</c:v>
                </c:pt>
                <c:pt idx="10">
                  <c:v>13.394503822480059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047-47AD-B969-F94F927BDBC4}"/>
            </c:ext>
          </c:extLst>
        </c:ser>
        <c:ser>
          <c:idx val="10"/>
          <c:order val="9"/>
          <c:tx>
            <c:strRef>
              <c:f>'Laskenta tulopuoli 53mini_ENT'!$C$170:$M$170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90037187512207"/>
                  <c:y val="5.46833556600911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53mini_ENT'!$C$172:$C$175</c:f>
              <c:numCache>
                <c:formatCode>0.0</c:formatCode>
                <c:ptCount val="4"/>
                <c:pt idx="0">
                  <c:v>27.807071669221358</c:v>
                </c:pt>
                <c:pt idx="1">
                  <c:v>25.144328944340472</c:v>
                </c:pt>
                <c:pt idx="2">
                  <c:v>21.877979611299835</c:v>
                </c:pt>
                <c:pt idx="3">
                  <c:v>7.0716056604581814</c:v>
                </c:pt>
              </c:numCache>
            </c:numRef>
          </c:xVal>
          <c:yVal>
            <c:numRef>
              <c:f>'Laskenta tulopuoli 53mini_ENT'!$K$172:$K$175</c:f>
              <c:numCache>
                <c:formatCode>0.0</c:formatCode>
                <c:ptCount val="4"/>
                <c:pt idx="0">
                  <c:v>8.8598195584635651</c:v>
                </c:pt>
                <c:pt idx="1">
                  <c:v>8.4968509198557758</c:v>
                </c:pt>
                <c:pt idx="2">
                  <c:v>8.0260468020024707</c:v>
                </c:pt>
                <c:pt idx="3">
                  <c:v>6.4238765175608652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047-47AD-B969-F94F927BDBC4}"/>
            </c:ext>
          </c:extLst>
        </c:ser>
        <c:ser>
          <c:idx val="8"/>
          <c:order val="10"/>
          <c:tx>
            <c:strRef>
              <c:f>'Laskenta tulopuoli 53mini_ENT'!$C$177:$M$177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7.7983864717462437E-2"/>
                  <c:y val="-9.6677718085752141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53mini_ENT'!$C$179:$C$181</c:f>
              <c:numCache>
                <c:formatCode>0.0</c:formatCode>
                <c:ptCount val="3"/>
                <c:pt idx="0">
                  <c:v>3.7710077831888471</c:v>
                </c:pt>
                <c:pt idx="1">
                  <c:v>7.6690941209584045</c:v>
                </c:pt>
                <c:pt idx="2">
                  <c:v>14.476565670296269</c:v>
                </c:pt>
              </c:numCache>
            </c:numRef>
          </c:xVal>
          <c:yVal>
            <c:numRef>
              <c:f>'Laskenta tulopuoli 53mini_ENT'!$K$179:$K$181</c:f>
              <c:numCache>
                <c:formatCode>0.0</c:formatCode>
                <c:ptCount val="3"/>
                <c:pt idx="0">
                  <c:v>4.3951621914971239</c:v>
                </c:pt>
                <c:pt idx="1">
                  <c:v>4.4354680225252423</c:v>
                </c:pt>
                <c:pt idx="2">
                  <c:v>4.8377507661479147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C047-47AD-B969-F94F927BDBC4}"/>
            </c:ext>
          </c:extLst>
        </c:ser>
        <c:ser>
          <c:idx val="11"/>
          <c:order val="11"/>
          <c:tx>
            <c:v>Tulokanavan Lw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('Laskenta tulopuoli 53mini_ENT'!$N$59:$N$62,'Laskenta tulopuoli 53mini_ENT'!$N$64:$N$67,'Laskenta tulopuoli 53mini_ENT'!$N$69:$N$72,'Laskenta tulopuoli 53mini_ENT'!$N$74:$N$77)</c:f>
              <c:numCache>
                <c:formatCode>0.0</c:formatCode>
                <c:ptCount val="16"/>
                <c:pt idx="0">
                  <c:v>92.51719528747023</c:v>
                </c:pt>
                <c:pt idx="1">
                  <c:v>85.971656356331508</c:v>
                </c:pt>
                <c:pt idx="2">
                  <c:v>77.456897830128071</c:v>
                </c:pt>
                <c:pt idx="3">
                  <c:v>67.542919873403633</c:v>
                </c:pt>
                <c:pt idx="4">
                  <c:v>78.126219403864539</c:v>
                </c:pt>
                <c:pt idx="5">
                  <c:v>71.063022065508562</c:v>
                </c:pt>
                <c:pt idx="6">
                  <c:v>61.257710681232382</c:v>
                </c:pt>
                <c:pt idx="7">
                  <c:v>50.779180423158394</c:v>
                </c:pt>
                <c:pt idx="8">
                  <c:v>66.07437797183222</c:v>
                </c:pt>
                <c:pt idx="9">
                  <c:v>60.736620463698408</c:v>
                </c:pt>
                <c:pt idx="10">
                  <c:v>51.023413859620192</c:v>
                </c:pt>
                <c:pt idx="11">
                  <c:v>38.107442768055868</c:v>
                </c:pt>
                <c:pt idx="12">
                  <c:v>39.475997985609681</c:v>
                </c:pt>
                <c:pt idx="13">
                  <c:v>36.528782330877029</c:v>
                </c:pt>
                <c:pt idx="14">
                  <c:v>31.337857744647224</c:v>
                </c:pt>
                <c:pt idx="15">
                  <c:v>23.843033292862099</c:v>
                </c:pt>
              </c:numCache>
            </c:numRef>
          </c:xVal>
          <c:yVal>
            <c:numRef>
              <c:f>('Laskenta tulopuoli 53mini_ENT'!$P$59:$P$62,'Laskenta tulopuoli 53mini_ENT'!$P$64:$P$67,'Laskenta tulopuoli 53mini_ENT'!$P$69:$P$72,'Laskenta tulopuoli 53mini_ENT'!$P$74:$P$77)</c:f>
              <c:numCache>
                <c:formatCode>0.0</c:formatCode>
                <c:ptCount val="16"/>
                <c:pt idx="0">
                  <c:v>116.3395231419871</c:v>
                </c:pt>
                <c:pt idx="1">
                  <c:v>115.95164875873581</c:v>
                </c:pt>
                <c:pt idx="2">
                  <c:v>115.16419571022183</c:v>
                </c:pt>
                <c:pt idx="3">
                  <c:v>112.37575854673311</c:v>
                </c:pt>
                <c:pt idx="4">
                  <c:v>75.549282385964176</c:v>
                </c:pt>
                <c:pt idx="5">
                  <c:v>69.56896225196374</c:v>
                </c:pt>
                <c:pt idx="6">
                  <c:v>62.654615389940865</c:v>
                </c:pt>
                <c:pt idx="7">
                  <c:v>54.698784338712194</c:v>
                </c:pt>
                <c:pt idx="8">
                  <c:v>48.247425296229011</c:v>
                </c:pt>
                <c:pt idx="9">
                  <c:v>44.909569634425793</c:v>
                </c:pt>
                <c:pt idx="10">
                  <c:v>40.435122809199662</c:v>
                </c:pt>
                <c:pt idx="11">
                  <c:v>35.936627601992882</c:v>
                </c:pt>
                <c:pt idx="12">
                  <c:v>16.597364474282625</c:v>
                </c:pt>
                <c:pt idx="13">
                  <c:v>15.735562266904543</c:v>
                </c:pt>
                <c:pt idx="14">
                  <c:v>14.645314177297895</c:v>
                </c:pt>
                <c:pt idx="15">
                  <c:v>13.394503822480059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C047-47AD-B969-F94F927B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53mini_ENT'!$AA$4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53mini_ENT'!$AB$6:$AB$12</c:f>
              <c:numCache>
                <c:formatCode>0.0</c:formatCode>
                <c:ptCount val="7"/>
                <c:pt idx="0">
                  <c:v>95.380316017540977</c:v>
                </c:pt>
                <c:pt idx="1">
                  <c:v>88.947735868714446</c:v>
                </c:pt>
                <c:pt idx="2">
                  <c:v>83.762679772606006</c:v>
                </c:pt>
                <c:pt idx="3">
                  <c:v>78.926454069340437</c:v>
                </c:pt>
                <c:pt idx="4">
                  <c:v>72.674163985891298</c:v>
                </c:pt>
                <c:pt idx="5">
                  <c:v>67.656938734011845</c:v>
                </c:pt>
                <c:pt idx="6">
                  <c:v>58.104961702759233</c:v>
                </c:pt>
              </c:numCache>
            </c:numRef>
          </c:xVal>
          <c:yVal>
            <c:numRef>
              <c:f>'Laskenta tulopuoli 53mini_ENT'!$AA$6:$AA$12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370</c:v>
                </c:pt>
                <c:pt idx="6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B3-4B51-AB7A-E8FD8F57252F}"/>
            </c:ext>
          </c:extLst>
        </c:ser>
        <c:ser>
          <c:idx val="1"/>
          <c:order val="1"/>
          <c:tx>
            <c:strRef>
              <c:f>'Laskenta tulopuoli 53mini_ENT'!$AC$4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53mini_ENT'!$AD$6:$AD$12</c:f>
              <c:numCache>
                <c:formatCode>0.0</c:formatCode>
                <c:ptCount val="7"/>
                <c:pt idx="0">
                  <c:v>96.337047181791775</c:v>
                </c:pt>
                <c:pt idx="1">
                  <c:v>93.166373727890999</c:v>
                </c:pt>
                <c:pt idx="2">
                  <c:v>87.544769993364028</c:v>
                </c:pt>
                <c:pt idx="3">
                  <c:v>81.398298036661288</c:v>
                </c:pt>
                <c:pt idx="4">
                  <c:v>78.755411382447988</c:v>
                </c:pt>
                <c:pt idx="5">
                  <c:v>75.984592486169944</c:v>
                </c:pt>
                <c:pt idx="6">
                  <c:v>49.818926735208919</c:v>
                </c:pt>
              </c:numCache>
            </c:numRef>
          </c:xVal>
          <c:yVal>
            <c:numRef>
              <c:f>'Laskenta tulopuoli 53mini_ENT'!$AC$6:$AC$12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BB3-4B51-AB7A-E8FD8F57252F}"/>
            </c:ext>
          </c:extLst>
        </c:ser>
        <c:ser>
          <c:idx val="2"/>
          <c:order val="2"/>
          <c:tx>
            <c:strRef>
              <c:f>'Laskenta tulopuoli 53mini_ENT'!$AE$4</c:f>
              <c:strCache>
                <c:ptCount val="1"/>
                <c:pt idx="0">
                  <c:v>7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53mini_ENT'!$AF$6:$AF$11</c:f>
              <c:numCache>
                <c:formatCode>0.0</c:formatCode>
                <c:ptCount val="6"/>
                <c:pt idx="0">
                  <c:v>84.039568816164177</c:v>
                </c:pt>
                <c:pt idx="1">
                  <c:v>80.225850223781507</c:v>
                </c:pt>
                <c:pt idx="2">
                  <c:v>77.567381007801956</c:v>
                </c:pt>
                <c:pt idx="3">
                  <c:v>74.803260102765194</c:v>
                </c:pt>
                <c:pt idx="4">
                  <c:v>71.919790815766788</c:v>
                </c:pt>
                <c:pt idx="5">
                  <c:v>54.917543457145847</c:v>
                </c:pt>
              </c:numCache>
            </c:numRef>
          </c:xVal>
          <c:yVal>
            <c:numRef>
              <c:f>'Laskenta tulopuoli 53mini_ENT'!$AE$6:$AE$11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BB3-4B51-AB7A-E8FD8F57252F}"/>
            </c:ext>
          </c:extLst>
        </c:ser>
        <c:ser>
          <c:idx val="3"/>
          <c:order val="3"/>
          <c:tx>
            <c:strRef>
              <c:f>'Laskenta tulopuoli 53mini_ENT'!$AG$4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53mini_ENT'!$AH$6:$AH$10</c:f>
              <c:numCache>
                <c:formatCode>0.0</c:formatCode>
                <c:ptCount val="5"/>
                <c:pt idx="0">
                  <c:v>69.526415226309226</c:v>
                </c:pt>
                <c:pt idx="1">
                  <c:v>67.297184955677153</c:v>
                </c:pt>
                <c:pt idx="2">
                  <c:v>65.758212482557326</c:v>
                </c:pt>
                <c:pt idx="3">
                  <c:v>62.53553498412861</c:v>
                </c:pt>
                <c:pt idx="4">
                  <c:v>45.390768542105448</c:v>
                </c:pt>
              </c:numCache>
            </c:numRef>
          </c:xVal>
          <c:yVal>
            <c:numRef>
              <c:f>'Laskenta tulopuoli 53mini_ENT'!$AG$6:$AG$10</c:f>
              <c:numCache>
                <c:formatCode>0.0</c:formatCode>
                <c:ptCount val="5"/>
                <c:pt idx="0">
                  <c:v>10</c:v>
                </c:pt>
                <c:pt idx="1">
                  <c:v>25</c:v>
                </c:pt>
                <c:pt idx="2">
                  <c:v>35</c:v>
                </c:pt>
                <c:pt idx="3">
                  <c:v>55</c:v>
                </c:pt>
                <c:pt idx="4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BB3-4B51-AB7A-E8FD8F57252F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53mini_ENT'!$J$3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53mini_ENT'!$L$3</c:f>
              <c:numCache>
                <c:formatCode>0.0</c:formatCode>
                <c:ptCount val="1"/>
                <c:pt idx="0">
                  <c:v>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BB3-4B51-AB7A-E8FD8F57252F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53mini_ENT'!$AC$34:$AC$41</c:f>
              <c:numCache>
                <c:formatCode>0.0</c:formatCode>
                <c:ptCount val="8"/>
                <c:pt idx="0">
                  <c:v>72.235062531149424</c:v>
                </c:pt>
                <c:pt idx="1">
                  <c:v>64.759251218738314</c:v>
                </c:pt>
                <c:pt idx="2">
                  <c:v>55.955459517742824</c:v>
                </c:pt>
                <c:pt idx="3">
                  <c:v>46.609889709507428</c:v>
                </c:pt>
                <c:pt idx="4">
                  <c:v>38.168876715678415</c:v>
                </c:pt>
                <c:pt idx="5">
                  <c:v>28.938966244668133</c:v>
                </c:pt>
                <c:pt idx="6">
                  <c:v>20.086167160438261</c:v>
                </c:pt>
                <c:pt idx="7">
                  <c:v>10.352122109338838</c:v>
                </c:pt>
              </c:numCache>
            </c:numRef>
          </c:xVal>
          <c:yVal>
            <c:numRef>
              <c:f>'Laskenta tulopuoli 53mini_ENT'!$AD$34:$AD$41</c:f>
              <c:numCache>
                <c:formatCode>0.0</c:formatCode>
                <c:ptCount val="8"/>
                <c:pt idx="0">
                  <c:v>324.59538813634907</c:v>
                </c:pt>
                <c:pt idx="1">
                  <c:v>260.88546055015257</c:v>
                </c:pt>
                <c:pt idx="2">
                  <c:v>194.77408468775599</c:v>
                </c:pt>
                <c:pt idx="3">
                  <c:v>135.14574897970812</c:v>
                </c:pt>
                <c:pt idx="4">
                  <c:v>90.628542818817948</c:v>
                </c:pt>
                <c:pt idx="5">
                  <c:v>52.096946036823084</c:v>
                </c:pt>
                <c:pt idx="6">
                  <c:v>25.098073349347246</c:v>
                </c:pt>
                <c:pt idx="7">
                  <c:v>6.6666094122237105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BB3-4B51-AB7A-E8FD8F57252F}"/>
            </c:ext>
          </c:extLst>
        </c:ser>
        <c:ser>
          <c:idx val="6"/>
          <c:order val="6"/>
          <c:tx>
            <c:strRef>
              <c:f>'Laskenta tulopuoli 53mini_ENT'!$C$21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53mini_ENT'!$AJ$6:$AJ$10</c:f>
              <c:numCache>
                <c:formatCode>0.0</c:formatCode>
                <c:ptCount val="5"/>
                <c:pt idx="0">
                  <c:v>54.760964406628652</c:v>
                </c:pt>
                <c:pt idx="1">
                  <c:v>53.056757316027998</c:v>
                </c:pt>
                <c:pt idx="2">
                  <c:v>49.424616329456704</c:v>
                </c:pt>
                <c:pt idx="3">
                  <c:v>45.415680268947852</c:v>
                </c:pt>
                <c:pt idx="4">
                  <c:v>28.670725134221712</c:v>
                </c:pt>
              </c:numCache>
            </c:numRef>
          </c:xVal>
          <c:yVal>
            <c:numRef>
              <c:f>'Laskenta tulopuoli 53mini_ENT'!$AI$6:$AI$10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BB3-4B51-AB7A-E8FD8F57252F}"/>
            </c:ext>
          </c:extLst>
        </c:ser>
        <c:ser>
          <c:idx val="7"/>
          <c:order val="7"/>
          <c:tx>
            <c:strRef>
              <c:f>'Laskenta tulopuoli 53mini_ENT'!$C$24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53mini_ENT'!$AL$6:$AL$9</c:f>
              <c:numCache>
                <c:formatCode>0.0</c:formatCode>
                <c:ptCount val="4"/>
                <c:pt idx="0">
                  <c:v>40.015801166334754</c:v>
                </c:pt>
                <c:pt idx="1">
                  <c:v>37.747929468346427</c:v>
                </c:pt>
                <c:pt idx="2">
                  <c:v>32.617007985442889</c:v>
                </c:pt>
                <c:pt idx="3">
                  <c:v>29.619409120844775</c:v>
                </c:pt>
              </c:numCache>
            </c:numRef>
          </c:xVal>
          <c:yVal>
            <c:numRef>
              <c:f>'Laskenta tulopuoli 53mini_ENT'!$AK$6:$AK$9</c:f>
              <c:numCache>
                <c:formatCode>0.0</c:formatCode>
                <c:ptCount val="4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BB3-4B51-AB7A-E8FD8F57252F}"/>
            </c:ext>
          </c:extLst>
        </c:ser>
        <c:ser>
          <c:idx val="8"/>
          <c:order val="8"/>
          <c:tx>
            <c:strRef>
              <c:f>'Laskenta tulopuoli 53mini_ENT'!$C$27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53mini_ENT'!$AN$6:$AN$8</c:f>
              <c:numCache>
                <c:formatCode>0.0</c:formatCode>
                <c:ptCount val="3"/>
                <c:pt idx="0">
                  <c:v>25.96175640860292</c:v>
                </c:pt>
                <c:pt idx="1">
                  <c:v>22.03903525784218</c:v>
                </c:pt>
                <c:pt idx="2">
                  <c:v>12.008452396903799</c:v>
                </c:pt>
              </c:numCache>
            </c:numRef>
          </c:xVal>
          <c:yVal>
            <c:numRef>
              <c:f>'Laskenta tulopuoli 53mini_ENT'!$AM$6:$AM$8</c:f>
              <c:numCache>
                <c:formatCode>0.0</c:formatCode>
                <c:ptCount val="3"/>
                <c:pt idx="0">
                  <c:v>8</c:v>
                </c:pt>
                <c:pt idx="1">
                  <c:v>20</c:v>
                </c:pt>
                <c:pt idx="2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BB3-4B51-AB7A-E8FD8F57252F}"/>
            </c:ext>
          </c:extLst>
        </c:ser>
        <c:ser>
          <c:idx val="9"/>
          <c:order val="9"/>
          <c:tx>
            <c:strRef>
              <c:f>'Laskenta tulopuoli 53mini_ENT'!$AO$4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53mini_ENT'!$AO$6:$AO$9</c:f>
              <c:numCache>
                <c:formatCode>0.0</c:formatCode>
                <c:ptCount val="4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</c:numCache>
            </c:numRef>
          </c:xVal>
          <c:yVal>
            <c:numRef>
              <c:f>'Laskenta tulopuoli 53mini_ENT'!$AP$6:$AP$9</c:f>
              <c:numCache>
                <c:formatCode>0.0</c:formatCode>
                <c:ptCount val="4"/>
                <c:pt idx="0">
                  <c:v>10.7761604447183</c:v>
                </c:pt>
                <c:pt idx="1">
                  <c:v>9.5218408484633397</c:v>
                </c:pt>
                <c:pt idx="2">
                  <c:v>8.3176997954591556</c:v>
                </c:pt>
                <c:pt idx="3">
                  <c:v>7.1581574718994183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BB3-4B51-AB7A-E8FD8F572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Kennojen painehäviöt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53mini_ENT'!$AT$7</c:f>
              <c:strCache>
                <c:ptCount val="1"/>
                <c:pt idx="0">
                  <c:v>RFK+23-265-22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9579702537182853"/>
                  <c:y val="-4.1666666666666669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53mini_ENT'!$AT$13:$AT$19</c:f>
              <c:numCache>
                <c:formatCode>General</c:formatCode>
                <c:ptCount val="7"/>
                <c:pt idx="0">
                  <c:v>30</c:v>
                </c:pt>
                <c:pt idx="1">
                  <c:v>40</c:v>
                </c:pt>
                <c:pt idx="2">
                  <c:v>50</c:v>
                </c:pt>
                <c:pt idx="3">
                  <c:v>60</c:v>
                </c:pt>
                <c:pt idx="4">
                  <c:v>70</c:v>
                </c:pt>
                <c:pt idx="5">
                  <c:v>80</c:v>
                </c:pt>
                <c:pt idx="6">
                  <c:v>90</c:v>
                </c:pt>
              </c:numCache>
            </c:numRef>
          </c:xVal>
          <c:yVal>
            <c:numRef>
              <c:f>'Laskenta tulopuoli 53mini_ENT'!$AU$13:$AU$19</c:f>
              <c:numCache>
                <c:formatCode>0</c:formatCode>
                <c:ptCount val="7"/>
                <c:pt idx="0">
                  <c:v>44.4</c:v>
                </c:pt>
                <c:pt idx="1">
                  <c:v>66.69</c:v>
                </c:pt>
                <c:pt idx="2">
                  <c:v>92.25</c:v>
                </c:pt>
                <c:pt idx="3">
                  <c:v>121.4</c:v>
                </c:pt>
                <c:pt idx="4">
                  <c:v>154.1</c:v>
                </c:pt>
                <c:pt idx="5">
                  <c:v>190.5</c:v>
                </c:pt>
                <c:pt idx="6">
                  <c:v>230.5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8A-4398-89EE-B339F304E90A}"/>
            </c:ext>
          </c:extLst>
        </c:ser>
        <c:ser>
          <c:idx val="1"/>
          <c:order val="1"/>
          <c:tx>
            <c:strRef>
              <c:f>'Laskenta tulopuoli 53mini_ENT'!$AT$8</c:f>
              <c:strCache>
                <c:ptCount val="1"/>
                <c:pt idx="0">
                  <c:v>LEV-455-230 265 2.1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53mini_ENT'!$AT$13:$AT$19</c:f>
              <c:numCache>
                <c:formatCode>General</c:formatCode>
                <c:ptCount val="7"/>
                <c:pt idx="0">
                  <c:v>30</c:v>
                </c:pt>
                <c:pt idx="1">
                  <c:v>40</c:v>
                </c:pt>
                <c:pt idx="2">
                  <c:v>50</c:v>
                </c:pt>
                <c:pt idx="3">
                  <c:v>60</c:v>
                </c:pt>
                <c:pt idx="4">
                  <c:v>70</c:v>
                </c:pt>
                <c:pt idx="5">
                  <c:v>80</c:v>
                </c:pt>
                <c:pt idx="6">
                  <c:v>90</c:v>
                </c:pt>
              </c:numCache>
            </c:numRef>
          </c:xVal>
          <c:yVal>
            <c:numRef>
              <c:f>'Laskenta tulopuoli 53mini_ENT'!$AV$13:$AV$19</c:f>
              <c:numCache>
                <c:formatCode>0</c:formatCode>
                <c:ptCount val="7"/>
                <c:pt idx="0">
                  <c:v>43.4</c:v>
                </c:pt>
                <c:pt idx="1">
                  <c:v>65.400000000000006</c:v>
                </c:pt>
                <c:pt idx="2">
                  <c:v>93</c:v>
                </c:pt>
                <c:pt idx="3">
                  <c:v>121</c:v>
                </c:pt>
                <c:pt idx="4">
                  <c:v>150</c:v>
                </c:pt>
                <c:pt idx="5">
                  <c:v>186</c:v>
                </c:pt>
                <c:pt idx="6">
                  <c:v>234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8A-4398-89EE-B339F304E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459808"/>
        <c:axId val="676455008"/>
      </c:scatterChart>
      <c:valAx>
        <c:axId val="676459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[dm³/s]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76455008"/>
        <c:crosses val="autoZero"/>
        <c:crossBetween val="midCat"/>
      </c:valAx>
      <c:valAx>
        <c:axId val="67645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Painehäviö [Pa]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76459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3.7706396433266814E-2"/>
                  <c:y val="0.15623941137710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53mini_ENT'!$D$59:$D$62</c:f>
              <c:numCache>
                <c:formatCode>0.0</c:formatCode>
                <c:ptCount val="4"/>
                <c:pt idx="0">
                  <c:v>98.742746590211411</c:v>
                </c:pt>
                <c:pt idx="1">
                  <c:v>91.307230306676516</c:v>
                </c:pt>
                <c:pt idx="2">
                  <c:v>82.853756230402922</c:v>
                </c:pt>
                <c:pt idx="3">
                  <c:v>74.241934545069</c:v>
                </c:pt>
              </c:numCache>
            </c:numRef>
          </c:xVal>
          <c:yVal>
            <c:numRef>
              <c:f>'Laskenta poistopuoli 53mini_ENT'!$E$59:$E$62</c:f>
              <c:numCache>
                <c:formatCode>0.0</c:formatCode>
                <c:ptCount val="4"/>
                <c:pt idx="0">
                  <c:v>61.265531640187902</c:v>
                </c:pt>
                <c:pt idx="1">
                  <c:v>62.209822222790692</c:v>
                </c:pt>
                <c:pt idx="2">
                  <c:v>61.599338678817837</c:v>
                </c:pt>
                <c:pt idx="3">
                  <c:v>62.089800135990373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3C-4B0B-BCAB-93965FB16F1E}"/>
            </c:ext>
          </c:extLst>
        </c:ser>
        <c:ser>
          <c:idx val="1"/>
          <c:order val="1"/>
          <c:tx>
            <c:strRef>
              <c:f>'Laskenta poistopuoli 53mini_ENT'!$C$64</c:f>
              <c:strCache>
                <c:ptCount val="1"/>
                <c:pt idx="0">
                  <c:v>7V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53mini_ENT'!$D$64:$D$67</c:f>
              <c:numCache>
                <c:formatCode>0.0</c:formatCode>
                <c:ptCount val="4"/>
                <c:pt idx="0">
                  <c:v>94.190053945822427</c:v>
                </c:pt>
                <c:pt idx="1">
                  <c:v>84.079536443313629</c:v>
                </c:pt>
                <c:pt idx="2">
                  <c:v>69.435413257497288</c:v>
                </c:pt>
                <c:pt idx="3">
                  <c:v>53.784361557743459</c:v>
                </c:pt>
              </c:numCache>
            </c:numRef>
          </c:xVal>
          <c:yVal>
            <c:numRef>
              <c:f>'Laskenta poistopuoli 53mini_ENT'!$E$64:$E$67</c:f>
              <c:numCache>
                <c:formatCode>0.0</c:formatCode>
                <c:ptCount val="4"/>
                <c:pt idx="0">
                  <c:v>59.705673498474269</c:v>
                </c:pt>
                <c:pt idx="1">
                  <c:v>59.796816837604069</c:v>
                </c:pt>
                <c:pt idx="2">
                  <c:v>58.255891169795191</c:v>
                </c:pt>
                <c:pt idx="3">
                  <c:v>57.571924509460288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3C-4B0B-BCAB-93965FB16F1E}"/>
            </c:ext>
          </c:extLst>
        </c:ser>
        <c:ser>
          <c:idx val="2"/>
          <c:order val="2"/>
          <c:tx>
            <c:strRef>
              <c:f>'Laskenta poistopuoli 53mini_ENT'!$C$69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53mini_ENT'!$D$69:$D$72</c:f>
              <c:numCache>
                <c:formatCode>0.0</c:formatCode>
                <c:ptCount val="4"/>
                <c:pt idx="0">
                  <c:v>78.286672626886102</c:v>
                </c:pt>
                <c:pt idx="1">
                  <c:v>70.13631814653786</c:v>
                </c:pt>
                <c:pt idx="2">
                  <c:v>58.92131648445168</c:v>
                </c:pt>
                <c:pt idx="3">
                  <c:v>45.778382609119895</c:v>
                </c:pt>
              </c:numCache>
            </c:numRef>
          </c:xVal>
          <c:yVal>
            <c:numRef>
              <c:f>'Laskenta poistopuoli 53mini_ENT'!$E$69:$E$72</c:f>
              <c:numCache>
                <c:formatCode>0.0</c:formatCode>
                <c:ptCount val="4"/>
                <c:pt idx="0">
                  <c:v>55.730044858160277</c:v>
                </c:pt>
                <c:pt idx="1">
                  <c:v>56.062204993388313</c:v>
                </c:pt>
                <c:pt idx="2">
                  <c:v>54.362652724338176</c:v>
                </c:pt>
                <c:pt idx="3">
                  <c:v>54.449785231889216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3C-4B0B-BCAB-93965FB16F1E}"/>
            </c:ext>
          </c:extLst>
        </c:ser>
        <c:ser>
          <c:idx val="3"/>
          <c:order val="3"/>
          <c:tx>
            <c:strRef>
              <c:f>'Laskenta poistopuoli 53mini_ENT'!$C$74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500076915261491"/>
                  <c:y val="0.134977096132800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53mini_ENT'!$D$74:$D$77</c:f>
              <c:numCache>
                <c:formatCode>0.0</c:formatCode>
                <c:ptCount val="4"/>
                <c:pt idx="0">
                  <c:v>48.102429720469871</c:v>
                </c:pt>
                <c:pt idx="1">
                  <c:v>43.402594673017632</c:v>
                </c:pt>
                <c:pt idx="2">
                  <c:v>37.059545515229644</c:v>
                </c:pt>
                <c:pt idx="3">
                  <c:v>28.980933579546868</c:v>
                </c:pt>
              </c:numCache>
            </c:numRef>
          </c:xVal>
          <c:yVal>
            <c:numRef>
              <c:f>'Laskenta poistopuoli 53mini_ENT'!$E$74:$E$77</c:f>
              <c:numCache>
                <c:formatCode>0.0</c:formatCode>
                <c:ptCount val="4"/>
                <c:pt idx="0">
                  <c:v>45.556998303940148</c:v>
                </c:pt>
                <c:pt idx="1">
                  <c:v>45.29870597031541</c:v>
                </c:pt>
                <c:pt idx="2">
                  <c:v>44.703669707368292</c:v>
                </c:pt>
                <c:pt idx="3">
                  <c:v>44.293790386380152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23C-4B0B-BCAB-93965FB16F1E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3C-4B0B-BCAB-93965FB16F1E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23C-4B0B-BCAB-93965FB16F1E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53mini_ENT'!$AH$34:$AH$37</c:f>
              <c:numCache>
                <c:formatCode>0.0</c:formatCode>
                <c:ptCount val="4"/>
                <c:pt idx="0">
                  <c:v>71.151530281961001</c:v>
                </c:pt>
                <c:pt idx="1">
                  <c:v>57.062018451198732</c:v>
                </c:pt>
                <c:pt idx="2">
                  <c:v>48.328571135845706</c:v>
                </c:pt>
                <c:pt idx="3">
                  <c:v>30.635324500032763</c:v>
                </c:pt>
              </c:numCache>
            </c:numRef>
          </c:xVal>
          <c:yVal>
            <c:numRef>
              <c:f>'Laskenta poistopuoli 53mini_ENT'!$AI$34:$AI$37</c:f>
              <c:numCache>
                <c:formatCode>0.0</c:formatCode>
                <c:ptCount val="4"/>
                <c:pt idx="0">
                  <c:v>61.897154213324214</c:v>
                </c:pt>
                <c:pt idx="1">
                  <c:v>57.723929624313243</c:v>
                </c:pt>
                <c:pt idx="2">
                  <c:v>54.40325803379536</c:v>
                </c:pt>
                <c:pt idx="3">
                  <c:v>44.369804106420354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23C-4B0B-BCAB-93965FB16F1E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53mini_ENT'!$J$3</c:f>
              <c:numCache>
                <c:formatCode>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53mini_ENT'!$W$5</c:f>
              <c:numCache>
                <c:formatCode>0.0</c:formatCode>
                <c:ptCount val="1"/>
                <c:pt idx="0">
                  <c:v>47.174119801153246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23C-4B0B-BCAB-93965FB16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LEV-620-394-500-(lamelli 2,2)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4535039370078739"/>
                  <c:y val="-0.443118985126859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hyötysuhde_C'!$AJ$101:$AJ$108</c:f>
              <c:numCache>
                <c:formatCode>General</c:formatCode>
                <c:ptCount val="8"/>
                <c:pt idx="0">
                  <c:v>50</c:v>
                </c:pt>
                <c:pt idx="1">
                  <c:v>75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'Kojeet ja kennon hyötysuhde_C'!$AL$101:$AL$108</c:f>
              <c:numCache>
                <c:formatCode>General</c:formatCode>
                <c:ptCount val="8"/>
                <c:pt idx="0">
                  <c:v>83.5</c:v>
                </c:pt>
                <c:pt idx="1">
                  <c:v>81.5</c:v>
                </c:pt>
                <c:pt idx="2">
                  <c:v>80.2</c:v>
                </c:pt>
                <c:pt idx="3">
                  <c:v>78.5</c:v>
                </c:pt>
                <c:pt idx="4">
                  <c:v>77.2</c:v>
                </c:pt>
                <c:pt idx="5">
                  <c:v>76.2</c:v>
                </c:pt>
                <c:pt idx="6">
                  <c:v>75.599999999999994</c:v>
                </c:pt>
                <c:pt idx="7">
                  <c:v>75.3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5F-469B-BDB1-D6CE7F402109}"/>
            </c:ext>
          </c:extLst>
        </c:ser>
        <c:ser>
          <c:idx val="1"/>
          <c:order val="1"/>
          <c:tx>
            <c:v>Usanon laskentamalli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hyötysuhde_C'!$AK$130:$AK$136</c:f>
              <c:numCache>
                <c:formatCode>General</c:formatCode>
                <c:ptCount val="7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350</c:v>
                </c:pt>
              </c:numCache>
            </c:numRef>
          </c:xVal>
          <c:yVal>
            <c:numRef>
              <c:f>'Kojeet ja kennon hyötysuhde_C'!$AV$130:$AV$136</c:f>
              <c:numCache>
                <c:formatCode>General</c:formatCode>
                <c:ptCount val="7"/>
                <c:pt idx="0">
                  <c:v>79.5</c:v>
                </c:pt>
                <c:pt idx="1">
                  <c:v>79.5</c:v>
                </c:pt>
                <c:pt idx="2">
                  <c:v>79.5</c:v>
                </c:pt>
                <c:pt idx="3">
                  <c:v>79.273759267300321</c:v>
                </c:pt>
                <c:pt idx="4">
                  <c:v>78.235849475724109</c:v>
                </c:pt>
                <c:pt idx="5">
                  <c:v>77.532048776957595</c:v>
                </c:pt>
                <c:pt idx="6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5F-469B-BDB1-D6CE7F402109}"/>
            </c:ext>
          </c:extLst>
        </c:ser>
        <c:ser>
          <c:idx val="2"/>
          <c:order val="2"/>
          <c:tx>
            <c:v>Usano sovitteeseen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287612429741248"/>
                  <c:y val="-0.189936102814734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hyötysuhde_C'!$AK$133:$AK$136</c:f>
              <c:numCache>
                <c:formatCode>General</c:formatCode>
                <c:ptCount val="4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</c:numCache>
            </c:numRef>
          </c:xVal>
          <c:yVal>
            <c:numRef>
              <c:f>'Kojeet ja kennon hyötysuhde_C'!$AV$133:$AV$136</c:f>
              <c:numCache>
                <c:formatCode>General</c:formatCode>
                <c:ptCount val="4"/>
                <c:pt idx="0">
                  <c:v>79.273759267300321</c:v>
                </c:pt>
                <c:pt idx="1">
                  <c:v>78.235849475724109</c:v>
                </c:pt>
                <c:pt idx="2">
                  <c:v>77.532048776957595</c:v>
                </c:pt>
                <c:pt idx="3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C5F-469B-BDB1-D6CE7F402109}"/>
            </c:ext>
          </c:extLst>
        </c:ser>
        <c:ser>
          <c:idx val="3"/>
          <c:order val="3"/>
          <c:tx>
            <c:v>Mitoutispiste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hyötysuhde_C'!$AR$119</c:f>
              <c:numCache>
                <c:formatCode>0</c:formatCode>
                <c:ptCount val="1"/>
                <c:pt idx="0">
                  <c:v>450</c:v>
                </c:pt>
              </c:numCache>
            </c:numRef>
          </c:xVal>
          <c:yVal>
            <c:numRef>
              <c:f>'Kojeet ja kennon hyötysuhde_C'!$AW$121</c:f>
              <c:numCache>
                <c:formatCode>0.0</c:formatCode>
                <c:ptCount val="1"/>
                <c:pt idx="0">
                  <c:v>77.829802567303446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5F-469B-BDB1-D6CE7F402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850696"/>
        <c:axId val="660852992"/>
      </c:scatterChart>
      <c:valAx>
        <c:axId val="660850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dm3/s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2992"/>
        <c:crosses val="autoZero"/>
        <c:crossBetween val="midCat"/>
      </c:valAx>
      <c:valAx>
        <c:axId val="66085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Hyötysuhde tulo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0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53mini_ENT'!$N$59:$N$62</c:f>
              <c:numCache>
                <c:formatCode>0.0</c:formatCode>
                <c:ptCount val="4"/>
                <c:pt idx="0">
                  <c:v>98.652487497614416</c:v>
                </c:pt>
                <c:pt idx="1">
                  <c:v>91.691329274443603</c:v>
                </c:pt>
                <c:pt idx="2">
                  <c:v>81.263362550605734</c:v>
                </c:pt>
                <c:pt idx="3">
                  <c:v>71.053550839244878</c:v>
                </c:pt>
              </c:numCache>
            </c:numRef>
          </c:xVal>
          <c:yVal>
            <c:numRef>
              <c:f>'Laskenta poistopuoli 53mini_ENT'!$O$59:$O$62</c:f>
              <c:numCache>
                <c:formatCode>0.0</c:formatCode>
                <c:ptCount val="4"/>
                <c:pt idx="0">
                  <c:v>77.93610461192263</c:v>
                </c:pt>
                <c:pt idx="1">
                  <c:v>77.444489766490562</c:v>
                </c:pt>
                <c:pt idx="2">
                  <c:v>77.111012956821682</c:v>
                </c:pt>
                <c:pt idx="3">
                  <c:v>77.169274378833549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91C-4AB8-87D2-5FE430221343}"/>
            </c:ext>
          </c:extLst>
        </c:ser>
        <c:ser>
          <c:idx val="1"/>
          <c:order val="1"/>
          <c:tx>
            <c:strRef>
              <c:f>'Laskenta poistopuoli 53mini_ENT'!$C$64</c:f>
              <c:strCache>
                <c:ptCount val="1"/>
                <c:pt idx="0">
                  <c:v>7V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53mini_ENT'!$N$64:$N$67</c:f>
              <c:numCache>
                <c:formatCode>0.0</c:formatCode>
                <c:ptCount val="4"/>
                <c:pt idx="0">
                  <c:v>93.684238593623874</c:v>
                </c:pt>
                <c:pt idx="1">
                  <c:v>84.938969521756022</c:v>
                </c:pt>
                <c:pt idx="2">
                  <c:v>67.236714157684546</c:v>
                </c:pt>
                <c:pt idx="3">
                  <c:v>48.914015326659239</c:v>
                </c:pt>
              </c:numCache>
            </c:numRef>
          </c:xVal>
          <c:yVal>
            <c:numRef>
              <c:f>'Laskenta poistopuoli 53mini_ENT'!$O$64:$O$67</c:f>
              <c:numCache>
                <c:formatCode>0.0</c:formatCode>
                <c:ptCount val="4"/>
                <c:pt idx="0">
                  <c:v>76.373501407128956</c:v>
                </c:pt>
                <c:pt idx="1">
                  <c:v>74.854988684210909</c:v>
                </c:pt>
                <c:pt idx="2">
                  <c:v>73.232404836893735</c:v>
                </c:pt>
                <c:pt idx="3">
                  <c:v>72.198652001358937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91C-4AB8-87D2-5FE430221343}"/>
            </c:ext>
          </c:extLst>
        </c:ser>
        <c:ser>
          <c:idx val="2"/>
          <c:order val="2"/>
          <c:tx>
            <c:strRef>
              <c:f>'Laskenta poistopuoli 53mini_ENT'!$C$69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53mini_ENT'!$N$69:$N$72</c:f>
              <c:numCache>
                <c:formatCode>0.0</c:formatCode>
                <c:ptCount val="4"/>
                <c:pt idx="0">
                  <c:v>78.629009779933412</c:v>
                </c:pt>
                <c:pt idx="1">
                  <c:v>70.86179174027356</c:v>
                </c:pt>
                <c:pt idx="2">
                  <c:v>56.953288719972342</c:v>
                </c:pt>
                <c:pt idx="3">
                  <c:v>41.878833404632474</c:v>
                </c:pt>
              </c:numCache>
            </c:numRef>
          </c:xVal>
          <c:yVal>
            <c:numRef>
              <c:f>'Laskenta poistopuoli 53mini_ENT'!$O$69:$O$72</c:f>
              <c:numCache>
                <c:formatCode>0.0</c:formatCode>
                <c:ptCount val="4"/>
                <c:pt idx="0">
                  <c:v>72.305242314882378</c:v>
                </c:pt>
                <c:pt idx="1">
                  <c:v>70.929871069723376</c:v>
                </c:pt>
                <c:pt idx="2">
                  <c:v>69.430318017613317</c:v>
                </c:pt>
                <c:pt idx="3">
                  <c:v>68.451805138444385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91C-4AB8-87D2-5FE430221343}"/>
            </c:ext>
          </c:extLst>
        </c:ser>
        <c:ser>
          <c:idx val="3"/>
          <c:order val="3"/>
          <c:tx>
            <c:strRef>
              <c:f>'Laskenta poistopuoli 53mini_ENT'!$C$74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53mini_ENT'!$N$74:$N$77</c:f>
              <c:numCache>
                <c:formatCode>0.0</c:formatCode>
                <c:ptCount val="4"/>
                <c:pt idx="0">
                  <c:v>48.308451150254491</c:v>
                </c:pt>
                <c:pt idx="1">
                  <c:v>43.742563491964916</c:v>
                </c:pt>
                <c:pt idx="2">
                  <c:v>36.047788278297979</c:v>
                </c:pt>
                <c:pt idx="3">
                  <c:v>26.870389836662625</c:v>
                </c:pt>
              </c:numCache>
            </c:numRef>
          </c:xVal>
          <c:yVal>
            <c:numRef>
              <c:f>'Laskenta poistopuoli 53mini_ENT'!$O$74:$O$77</c:f>
              <c:numCache>
                <c:formatCode>0.0</c:formatCode>
                <c:ptCount val="4"/>
                <c:pt idx="0">
                  <c:v>61.383090130980236</c:v>
                </c:pt>
                <c:pt idx="1">
                  <c:v>60.335167484587622</c:v>
                </c:pt>
                <c:pt idx="2">
                  <c:v>59.190493799307653</c:v>
                </c:pt>
                <c:pt idx="3">
                  <c:v>58.527477243791985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91C-4AB8-87D2-5FE430221343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53mini_ENT'!$AH$34:$AH$37</c:f>
              <c:numCache>
                <c:formatCode>0.0</c:formatCode>
                <c:ptCount val="4"/>
                <c:pt idx="0">
                  <c:v>71.151530281961001</c:v>
                </c:pt>
                <c:pt idx="1">
                  <c:v>57.062018451198732</c:v>
                </c:pt>
                <c:pt idx="2">
                  <c:v>48.328571135845706</c:v>
                </c:pt>
                <c:pt idx="3">
                  <c:v>30.635324500032763</c:v>
                </c:pt>
              </c:numCache>
            </c:numRef>
          </c:xVal>
          <c:yVal>
            <c:numRef>
              <c:f>'Laskenta poistopuoli 53mini_ENT'!$AJ$34:$AJ$37</c:f>
              <c:numCache>
                <c:formatCode>0.0</c:formatCode>
                <c:ptCount val="4"/>
                <c:pt idx="0">
                  <c:v>77.169524732994375</c:v>
                </c:pt>
                <c:pt idx="1">
                  <c:v>72.501049290856074</c:v>
                </c:pt>
                <c:pt idx="2">
                  <c:v>68.744443083108393</c:v>
                </c:pt>
                <c:pt idx="3">
                  <c:v>58.689063800326942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91C-4AB8-87D2-5FE430221343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53mini_ENT'!$J$3</c:f>
              <c:numCache>
                <c:formatCode>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53mini_ENT'!$W$6</c:f>
              <c:numCache>
                <c:formatCode>0.0</c:formatCode>
                <c:ptCount val="1"/>
                <c:pt idx="0">
                  <c:v>61.471394060510931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91C-4AB8-87D2-5FE430221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53mini_ENT'!$AL$35:$AL$41</c:f>
              <c:numCache>
                <c:formatCode>General</c:formatCode>
                <c:ptCount val="7"/>
                <c:pt idx="0">
                  <c:v>8</c:v>
                </c:pt>
                <c:pt idx="1">
                  <c:v>7</c:v>
                </c:pt>
                <c:pt idx="2">
                  <c:v>6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</c:numCache>
            </c:numRef>
          </c:xVal>
          <c:yVal>
            <c:numRef>
              <c:f>'Laskenta poistopuoli 53mini_ENT'!$AM$35:$AM$41</c:f>
              <c:numCache>
                <c:formatCode>0.0</c:formatCode>
                <c:ptCount val="7"/>
                <c:pt idx="0">
                  <c:v>66.792044931977074</c:v>
                </c:pt>
                <c:pt idx="1">
                  <c:v>57.062018451198732</c:v>
                </c:pt>
                <c:pt idx="2">
                  <c:v>48.328571135845706</c:v>
                </c:pt>
                <c:pt idx="3">
                  <c:v>39.417319899690959</c:v>
                </c:pt>
                <c:pt idx="4">
                  <c:v>30.635324500032763</c:v>
                </c:pt>
                <c:pt idx="5">
                  <c:v>21.502616788842523</c:v>
                </c:pt>
                <c:pt idx="6">
                  <c:v>12.203093496613818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01-44EB-B587-F6E1DCCE9B9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53mini_ENT'!$AN$34:$AN$35</c:f>
              <c:numCache>
                <c:formatCode>General</c:formatCode>
                <c:ptCount val="2"/>
                <c:pt idx="0">
                  <c:v>10</c:v>
                </c:pt>
                <c:pt idx="1">
                  <c:v>8</c:v>
                </c:pt>
              </c:numCache>
            </c:numRef>
          </c:xVal>
          <c:yVal>
            <c:numRef>
              <c:f>'Laskenta poistopuoli 53mini_ENT'!$AO$34:$AO$35</c:f>
              <c:numCache>
                <c:formatCode>0.0</c:formatCode>
                <c:ptCount val="2"/>
                <c:pt idx="0">
                  <c:v>71.151530281961001</c:v>
                </c:pt>
                <c:pt idx="1">
                  <c:v>66.482166772023277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C01-44EB-B587-F6E1DCCE9B9E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53mini_ENT'!$W$9</c:f>
              <c:numCache>
                <c:formatCode>0.0</c:formatCode>
                <c:ptCount val="1"/>
                <c:pt idx="0">
                  <c:v>4.4792053794970448</c:v>
                </c:pt>
              </c:numCache>
            </c:numRef>
          </c:xVal>
          <c:yVal>
            <c:numRef>
              <c:f>'Laskenta poistopuoli 53mini_ENT'!$J$3</c:f>
              <c:numCache>
                <c:formatCode>0</c:formatCode>
                <c:ptCount val="1"/>
                <c:pt idx="0">
                  <c:v>34.722222222222221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C01-44EB-B587-F6E1DCCE9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0.30358954579704656"/>
                  <c:y val="-7.55377678345630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53mini_ENT'!$C$86:$C$99</c:f>
              <c:numCache>
                <c:formatCode>0.0</c:formatCode>
                <c:ptCount val="14"/>
                <c:pt idx="0">
                  <c:v>52.935794480610994</c:v>
                </c:pt>
                <c:pt idx="1">
                  <c:v>60.196416414121977</c:v>
                </c:pt>
                <c:pt idx="2">
                  <c:v>66.850049956983753</c:v>
                </c:pt>
                <c:pt idx="3">
                  <c:v>72.092515518762838</c:v>
                </c:pt>
                <c:pt idx="4">
                  <c:v>78.430238209908183</c:v>
                </c:pt>
                <c:pt idx="5">
                  <c:v>83.705668780180915</c:v>
                </c:pt>
                <c:pt idx="6">
                  <c:v>88.850876918216699</c:v>
                </c:pt>
                <c:pt idx="7">
                  <c:v>94.351532550284048</c:v>
                </c:pt>
                <c:pt idx="8">
                  <c:v>99.246817401902931</c:v>
                </c:pt>
                <c:pt idx="9">
                  <c:v>104.32503301510096</c:v>
                </c:pt>
                <c:pt idx="10">
                  <c:v>98.742746590211411</c:v>
                </c:pt>
                <c:pt idx="11">
                  <c:v>91.307230306676516</c:v>
                </c:pt>
                <c:pt idx="12">
                  <c:v>82.853756230402922</c:v>
                </c:pt>
                <c:pt idx="13">
                  <c:v>74.241934545069</c:v>
                </c:pt>
              </c:numCache>
            </c:numRef>
          </c:xVal>
          <c:yVal>
            <c:numRef>
              <c:f>'Laskenta poistopuoli 53mini_ENT'!$K$86:$K$99</c:f>
              <c:numCache>
                <c:formatCode>0.0</c:formatCode>
                <c:ptCount val="14"/>
                <c:pt idx="0">
                  <c:v>107.1717419780138</c:v>
                </c:pt>
                <c:pt idx="1">
                  <c:v>111.86402712305474</c:v>
                </c:pt>
                <c:pt idx="2">
                  <c:v>114.05230252357103</c:v>
                </c:pt>
                <c:pt idx="3">
                  <c:v>115.20550247884994</c:v>
                </c:pt>
                <c:pt idx="4">
                  <c:v>115.33462837521566</c:v>
                </c:pt>
                <c:pt idx="5">
                  <c:v>115.89167490537216</c:v>
                </c:pt>
                <c:pt idx="6">
                  <c:v>116.43062639071822</c:v>
                </c:pt>
                <c:pt idx="7">
                  <c:v>116.88174825791347</c:v>
                </c:pt>
                <c:pt idx="8">
                  <c:v>117.27725841655079</c:v>
                </c:pt>
                <c:pt idx="9">
                  <c:v>117.44447919875502</c:v>
                </c:pt>
                <c:pt idx="10">
                  <c:v>116.21024435328435</c:v>
                </c:pt>
                <c:pt idx="11">
                  <c:v>115.03221834091013</c:v>
                </c:pt>
                <c:pt idx="12">
                  <c:v>113.87960125221184</c:v>
                </c:pt>
                <c:pt idx="13">
                  <c:v>112.12193536557662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A7-47F7-8DA3-FEB15939C9F5}"/>
            </c:ext>
          </c:extLst>
        </c:ser>
        <c:ser>
          <c:idx val="1"/>
          <c:order val="1"/>
          <c:tx>
            <c:strRef>
              <c:f>'Laskenta poistopuoli 53mini_ENT'!$C$104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1017928940677306"/>
                  <c:y val="3.106850908860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53mini_ENT'!$C$110:$C$116</c:f>
              <c:numCache>
                <c:formatCode>0.0</c:formatCode>
                <c:ptCount val="7"/>
                <c:pt idx="0">
                  <c:v>88.346620615970906</c:v>
                </c:pt>
                <c:pt idx="1">
                  <c:v>84.392974971168883</c:v>
                </c:pt>
                <c:pt idx="2">
                  <c:v>77.579823889888303</c:v>
                </c:pt>
                <c:pt idx="3">
                  <c:v>68.157968954652915</c:v>
                </c:pt>
                <c:pt idx="4">
                  <c:v>57.088283609370528</c:v>
                </c:pt>
                <c:pt idx="5">
                  <c:v>45.821199046294701</c:v>
                </c:pt>
                <c:pt idx="6">
                  <c:v>16.03249318817603</c:v>
                </c:pt>
              </c:numCache>
            </c:numRef>
          </c:xVal>
          <c:yVal>
            <c:numRef>
              <c:f>'Laskenta poistopuoli 53mini_ENT'!$K$110:$K$116</c:f>
              <c:numCache>
                <c:formatCode>0.0</c:formatCode>
                <c:ptCount val="7"/>
                <c:pt idx="0">
                  <c:v>115.62401354560232</c:v>
                </c:pt>
                <c:pt idx="1">
                  <c:v>115.03512976188136</c:v>
                </c:pt>
                <c:pt idx="2">
                  <c:v>108.0412609734754</c:v>
                </c:pt>
                <c:pt idx="3">
                  <c:v>96.67737759856962</c:v>
                </c:pt>
                <c:pt idx="4">
                  <c:v>83.928908513481048</c:v>
                </c:pt>
                <c:pt idx="5">
                  <c:v>71.26197544176398</c:v>
                </c:pt>
                <c:pt idx="6">
                  <c:v>44.86625036767358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5A7-47F7-8DA3-FEB15939C9F5}"/>
            </c:ext>
          </c:extLst>
        </c:ser>
        <c:ser>
          <c:idx val="2"/>
          <c:order val="2"/>
          <c:tx>
            <c:strRef>
              <c:f>'Laskenta poistopuoli 53mini_ENT'!$C$118</c:f>
              <c:strCache>
                <c:ptCount val="1"/>
                <c:pt idx="0">
                  <c:v>7V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9254376958996663"/>
                  <c:y val="-0.354269398993954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53mini_ENT'!$C$120:$C$134</c:f>
              <c:numCache>
                <c:formatCode>0.0</c:formatCode>
                <c:ptCount val="15"/>
                <c:pt idx="0">
                  <c:v>15.799549507199115</c:v>
                </c:pt>
                <c:pt idx="1">
                  <c:v>51.128838371369135</c:v>
                </c:pt>
                <c:pt idx="2">
                  <c:v>60.245452542821475</c:v>
                </c:pt>
                <c:pt idx="3">
                  <c:v>68.191354988839507</c:v>
                </c:pt>
                <c:pt idx="4">
                  <c:v>74.926029613736688</c:v>
                </c:pt>
                <c:pt idx="5">
                  <c:v>80.815123949068777</c:v>
                </c:pt>
                <c:pt idx="6">
                  <c:v>86.150582458184942</c:v>
                </c:pt>
                <c:pt idx="7">
                  <c:v>93.769133628379237</c:v>
                </c:pt>
                <c:pt idx="8">
                  <c:v>99.530285532717997</c:v>
                </c:pt>
                <c:pt idx="9">
                  <c:v>94.190053945822427</c:v>
                </c:pt>
                <c:pt idx="10">
                  <c:v>84.079536443313629</c:v>
                </c:pt>
                <c:pt idx="11">
                  <c:v>69.435413257497288</c:v>
                </c:pt>
                <c:pt idx="12">
                  <c:v>93.684238593623874</c:v>
                </c:pt>
                <c:pt idx="13">
                  <c:v>84.938969521756022</c:v>
                </c:pt>
                <c:pt idx="14">
                  <c:v>67.236714157684546</c:v>
                </c:pt>
              </c:numCache>
            </c:numRef>
          </c:xVal>
          <c:yVal>
            <c:numRef>
              <c:f>'Laskenta poistopuoli 53mini_ENT'!$K$120:$K$134</c:f>
              <c:numCache>
                <c:formatCode>0.0</c:formatCode>
                <c:ptCount val="15"/>
                <c:pt idx="0">
                  <c:v>33.596537743665735</c:v>
                </c:pt>
                <c:pt idx="1">
                  <c:v>59.590984922988532</c:v>
                </c:pt>
                <c:pt idx="2">
                  <c:v>67.555205370176154</c:v>
                </c:pt>
                <c:pt idx="3">
                  <c:v>73.937935233279433</c:v>
                </c:pt>
                <c:pt idx="4">
                  <c:v>80.254864853355954</c:v>
                </c:pt>
                <c:pt idx="5">
                  <c:v>86.055215808458428</c:v>
                </c:pt>
                <c:pt idx="6">
                  <c:v>91.158449534674943</c:v>
                </c:pt>
                <c:pt idx="7">
                  <c:v>99.227558659690871</c:v>
                </c:pt>
                <c:pt idx="8">
                  <c:v>105.49298198277867</c:v>
                </c:pt>
                <c:pt idx="9">
                  <c:v>98.661858881069861</c:v>
                </c:pt>
                <c:pt idx="10">
                  <c:v>86.695619421533181</c:v>
                </c:pt>
                <c:pt idx="11">
                  <c:v>76.36872224980641</c:v>
                </c:pt>
                <c:pt idx="12">
                  <c:v>97.143807702138176</c:v>
                </c:pt>
                <c:pt idx="13">
                  <c:v>86.483732412262924</c:v>
                </c:pt>
                <c:pt idx="14">
                  <c:v>74.070932265823956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A7-47F7-8DA3-FEB15939C9F5}"/>
            </c:ext>
          </c:extLst>
        </c:ser>
        <c:ser>
          <c:idx val="3"/>
          <c:order val="3"/>
          <c:tx>
            <c:strRef>
              <c:f>'Laskenta poistopuoli 53mini_ENT'!$C$136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3463651985463307"/>
                  <c:y val="3.732163535072194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53mini_ENT'!$C$138:$C$153</c:f>
              <c:numCache>
                <c:formatCode>0.0</c:formatCode>
                <c:ptCount val="16"/>
                <c:pt idx="0">
                  <c:v>82.810183971981445</c:v>
                </c:pt>
                <c:pt idx="1">
                  <c:v>79.019673818076285</c:v>
                </c:pt>
                <c:pt idx="2">
                  <c:v>75.001399095710752</c:v>
                </c:pt>
                <c:pt idx="3">
                  <c:v>70.47230092636191</c:v>
                </c:pt>
                <c:pt idx="4">
                  <c:v>65.987694006431695</c:v>
                </c:pt>
                <c:pt idx="5">
                  <c:v>60.592487002274083</c:v>
                </c:pt>
                <c:pt idx="6">
                  <c:v>54.391055371869335</c:v>
                </c:pt>
                <c:pt idx="7">
                  <c:v>49.007052658519648</c:v>
                </c:pt>
                <c:pt idx="8">
                  <c:v>40.785937356594836</c:v>
                </c:pt>
                <c:pt idx="9">
                  <c:v>13.907472545168961</c:v>
                </c:pt>
                <c:pt idx="10">
                  <c:v>78.286672626886102</c:v>
                </c:pt>
                <c:pt idx="11">
                  <c:v>70.13631814653786</c:v>
                </c:pt>
                <c:pt idx="12">
                  <c:v>58.92131648445168</c:v>
                </c:pt>
                <c:pt idx="13">
                  <c:v>78.629009779933412</c:v>
                </c:pt>
                <c:pt idx="14">
                  <c:v>70.86179174027356</c:v>
                </c:pt>
                <c:pt idx="15">
                  <c:v>56.953288719972342</c:v>
                </c:pt>
              </c:numCache>
            </c:numRef>
          </c:xVal>
          <c:yVal>
            <c:numRef>
              <c:f>'Laskenta poistopuoli 53mini_ENT'!$K$138:$K$153</c:f>
              <c:numCache>
                <c:formatCode>0.0</c:formatCode>
                <c:ptCount val="16"/>
                <c:pt idx="0">
                  <c:v>65.56240342406528</c:v>
                </c:pt>
                <c:pt idx="1">
                  <c:v>62.81907768749317</c:v>
                </c:pt>
                <c:pt idx="2">
                  <c:v>60.138119223103722</c:v>
                </c:pt>
                <c:pt idx="3">
                  <c:v>56.91973067067552</c:v>
                </c:pt>
                <c:pt idx="4">
                  <c:v>53.094380526806766</c:v>
                </c:pt>
                <c:pt idx="5">
                  <c:v>49.519056101056613</c:v>
                </c:pt>
                <c:pt idx="6">
                  <c:v>45.677174086315709</c:v>
                </c:pt>
                <c:pt idx="7">
                  <c:v>42.371673394046965</c:v>
                </c:pt>
                <c:pt idx="8">
                  <c:v>37.175480838667852</c:v>
                </c:pt>
                <c:pt idx="9">
                  <c:v>23.160696903004986</c:v>
                </c:pt>
                <c:pt idx="10">
                  <c:v>61.834991560803509</c:v>
                </c:pt>
                <c:pt idx="11">
                  <c:v>55.197267659479841</c:v>
                </c:pt>
                <c:pt idx="12">
                  <c:v>49.394813375094301</c:v>
                </c:pt>
                <c:pt idx="13">
                  <c:v>62.705350004708741</c:v>
                </c:pt>
                <c:pt idx="14">
                  <c:v>55.250037167637878</c:v>
                </c:pt>
                <c:pt idx="15">
                  <c:v>47.631701083523424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5A7-47F7-8DA3-FEB15939C9F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-1.5666206636909243E-2"/>
                  <c:y val="-1.654605401217685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53mini_ENT'!$AC$34:$AC$40</c:f>
              <c:numCache>
                <c:formatCode>0.0</c:formatCode>
                <c:ptCount val="7"/>
                <c:pt idx="0">
                  <c:v>71.151530281961001</c:v>
                </c:pt>
                <c:pt idx="1">
                  <c:v>66.792044931977074</c:v>
                </c:pt>
                <c:pt idx="2">
                  <c:v>57.062018451198732</c:v>
                </c:pt>
                <c:pt idx="3">
                  <c:v>48.328571135845706</c:v>
                </c:pt>
                <c:pt idx="4">
                  <c:v>39.417319899690959</c:v>
                </c:pt>
                <c:pt idx="5">
                  <c:v>30.635324500032763</c:v>
                </c:pt>
                <c:pt idx="6">
                  <c:v>21.502616788842523</c:v>
                </c:pt>
              </c:numCache>
            </c:numRef>
          </c:xVal>
          <c:yVal>
            <c:numRef>
              <c:f>'Laskenta poistopuoli 53mini_ENT'!$AE$34:$AE$40</c:f>
              <c:numCache>
                <c:formatCode>0.0</c:formatCode>
                <c:ptCount val="7"/>
                <c:pt idx="0">
                  <c:v>113.44878218873009</c:v>
                </c:pt>
                <c:pt idx="1">
                  <c:v>94.472202783794728</c:v>
                </c:pt>
                <c:pt idx="2">
                  <c:v>64.49630470945867</c:v>
                </c:pt>
                <c:pt idx="3">
                  <c:v>41.842133145993223</c:v>
                </c:pt>
                <c:pt idx="4">
                  <c:v>26.122565933674103</c:v>
                </c:pt>
                <c:pt idx="5">
                  <c:v>15.350759423478946</c:v>
                </c:pt>
                <c:pt idx="6">
                  <c:v>8.3782032004231191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5A7-47F7-8DA3-FEB15939C9F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53mini_ENT'!$J$3</c:f>
              <c:numCache>
                <c:formatCode>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53mini_ENT'!$W$13</c:f>
              <c:numCache>
                <c:formatCode>0.0</c:formatCode>
                <c:ptCount val="1"/>
                <c:pt idx="0">
                  <c:v>19.816099128316758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5A7-47F7-8DA3-FEB15939C9F5}"/>
            </c:ext>
          </c:extLst>
        </c:ser>
        <c:ser>
          <c:idx val="6"/>
          <c:order val="6"/>
          <c:tx>
            <c:strRef>
              <c:f>'Laskenta poistopuoli 53mini_ENT'!$C$155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349709184441589"/>
                  <c:y val="-8.789999814230366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53mini_ENT'!$C$157:$C$164</c:f>
              <c:numCache>
                <c:formatCode>0.0</c:formatCode>
                <c:ptCount val="8"/>
                <c:pt idx="0">
                  <c:v>11.384846984323948</c:v>
                </c:pt>
                <c:pt idx="1">
                  <c:v>34.531370705214478</c:v>
                </c:pt>
                <c:pt idx="2">
                  <c:v>41.425278265669888</c:v>
                </c:pt>
                <c:pt idx="3">
                  <c:v>47.231349507173377</c:v>
                </c:pt>
                <c:pt idx="4">
                  <c:v>51.746791312718564</c:v>
                </c:pt>
                <c:pt idx="5">
                  <c:v>56.14997598416398</c:v>
                </c:pt>
                <c:pt idx="6">
                  <c:v>61.498409350401033</c:v>
                </c:pt>
                <c:pt idx="7">
                  <c:v>66.727911144381636</c:v>
                </c:pt>
              </c:numCache>
            </c:numRef>
          </c:xVal>
          <c:yVal>
            <c:numRef>
              <c:f>'Laskenta poistopuoli 53mini_ENT'!$K$157:$K$164</c:f>
              <c:numCache>
                <c:formatCode>0.0</c:formatCode>
                <c:ptCount val="8"/>
                <c:pt idx="0">
                  <c:v>15.527629952437218</c:v>
                </c:pt>
                <c:pt idx="1">
                  <c:v>24.064636961853513</c:v>
                </c:pt>
                <c:pt idx="2">
                  <c:v>27.131810416410989</c:v>
                </c:pt>
                <c:pt idx="3">
                  <c:v>29.313014435953669</c:v>
                </c:pt>
                <c:pt idx="4">
                  <c:v>31.539347102768506</c:v>
                </c:pt>
                <c:pt idx="5">
                  <c:v>33.892000573467882</c:v>
                </c:pt>
                <c:pt idx="6">
                  <c:v>36.283209317974041</c:v>
                </c:pt>
                <c:pt idx="7">
                  <c:v>38.887767903398796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5A7-47F7-8DA3-FEB15939C9F5}"/>
            </c:ext>
          </c:extLst>
        </c:ser>
        <c:ser>
          <c:idx val="7"/>
          <c:order val="7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53mini_ENT'!$C$86:$C$102</c:f>
              <c:numCache>
                <c:formatCode>0.0</c:formatCode>
                <c:ptCount val="17"/>
                <c:pt idx="0">
                  <c:v>52.935794480610994</c:v>
                </c:pt>
                <c:pt idx="1">
                  <c:v>60.196416414121977</c:v>
                </c:pt>
                <c:pt idx="2">
                  <c:v>66.850049956983753</c:v>
                </c:pt>
                <c:pt idx="3">
                  <c:v>72.092515518762838</c:v>
                </c:pt>
                <c:pt idx="4">
                  <c:v>78.430238209908183</c:v>
                </c:pt>
                <c:pt idx="5">
                  <c:v>83.705668780180915</c:v>
                </c:pt>
                <c:pt idx="6">
                  <c:v>88.850876918216699</c:v>
                </c:pt>
                <c:pt idx="7">
                  <c:v>94.351532550284048</c:v>
                </c:pt>
                <c:pt idx="8">
                  <c:v>99.246817401902931</c:v>
                </c:pt>
                <c:pt idx="9">
                  <c:v>104.32503301510096</c:v>
                </c:pt>
                <c:pt idx="10">
                  <c:v>98.742746590211411</c:v>
                </c:pt>
                <c:pt idx="11">
                  <c:v>91.307230306676516</c:v>
                </c:pt>
                <c:pt idx="12">
                  <c:v>82.853756230402922</c:v>
                </c:pt>
                <c:pt idx="13">
                  <c:v>74.241934545069</c:v>
                </c:pt>
                <c:pt idx="14">
                  <c:v>98.652487497614416</c:v>
                </c:pt>
                <c:pt idx="15">
                  <c:v>91.691329274443603</c:v>
                </c:pt>
                <c:pt idx="16">
                  <c:v>81.263362550605734</c:v>
                </c:pt>
              </c:numCache>
            </c:numRef>
          </c:xVal>
          <c:yVal>
            <c:numRef>
              <c:f>'Laskenta poistopuoli 53mini_ENT'!$K$86:$K$102</c:f>
              <c:numCache>
                <c:formatCode>0.0</c:formatCode>
                <c:ptCount val="17"/>
                <c:pt idx="0">
                  <c:v>107.1717419780138</c:v>
                </c:pt>
                <c:pt idx="1">
                  <c:v>111.86402712305474</c:v>
                </c:pt>
                <c:pt idx="2">
                  <c:v>114.05230252357103</c:v>
                </c:pt>
                <c:pt idx="3">
                  <c:v>115.20550247884994</c:v>
                </c:pt>
                <c:pt idx="4">
                  <c:v>115.33462837521566</c:v>
                </c:pt>
                <c:pt idx="5">
                  <c:v>115.89167490537216</c:v>
                </c:pt>
                <c:pt idx="6">
                  <c:v>116.43062639071822</c:v>
                </c:pt>
                <c:pt idx="7">
                  <c:v>116.88174825791347</c:v>
                </c:pt>
                <c:pt idx="8">
                  <c:v>117.27725841655079</c:v>
                </c:pt>
                <c:pt idx="9">
                  <c:v>117.44447919875502</c:v>
                </c:pt>
                <c:pt idx="10">
                  <c:v>116.21024435328435</c:v>
                </c:pt>
                <c:pt idx="11">
                  <c:v>115.03221834091013</c:v>
                </c:pt>
                <c:pt idx="12">
                  <c:v>113.87960125221184</c:v>
                </c:pt>
                <c:pt idx="13">
                  <c:v>112.12193536557662</c:v>
                </c:pt>
                <c:pt idx="14">
                  <c:v>116.5274562748061</c:v>
                </c:pt>
                <c:pt idx="15">
                  <c:v>116.11077717775966</c:v>
                </c:pt>
                <c:pt idx="16">
                  <c:v>115.11642203590731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5A7-47F7-8DA3-FEB15939C9F5}"/>
            </c:ext>
          </c:extLst>
        </c:ser>
        <c:ser>
          <c:idx val="9"/>
          <c:order val="8"/>
          <c:tx>
            <c:strRef>
              <c:f>'Laskenta poistopuoli 53mini_ENT'!$C$166:$M$166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3141933219276708"/>
                  <c:y val="3.556972450363386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53mini_ENT'!$C$168:$C$179</c:f>
              <c:numCache>
                <c:formatCode>0.0</c:formatCode>
                <c:ptCount val="12"/>
                <c:pt idx="0">
                  <c:v>50.594110477267272</c:v>
                </c:pt>
                <c:pt idx="1">
                  <c:v>47.171129229978334</c:v>
                </c:pt>
                <c:pt idx="2">
                  <c:v>43.806261938415503</c:v>
                </c:pt>
                <c:pt idx="3">
                  <c:v>38.974923126839606</c:v>
                </c:pt>
                <c:pt idx="4">
                  <c:v>34.217164679266496</c:v>
                </c:pt>
                <c:pt idx="5">
                  <c:v>29.225164199935808</c:v>
                </c:pt>
                <c:pt idx="6">
                  <c:v>21.708027585537948</c:v>
                </c:pt>
                <c:pt idx="7">
                  <c:v>8.8472126181212989</c:v>
                </c:pt>
                <c:pt idx="8">
                  <c:v>48.102429720469871</c:v>
                </c:pt>
                <c:pt idx="9">
                  <c:v>43.402594673017632</c:v>
                </c:pt>
                <c:pt idx="10">
                  <c:v>37.059545515229644</c:v>
                </c:pt>
                <c:pt idx="11">
                  <c:v>28.980933579546868</c:v>
                </c:pt>
              </c:numCache>
            </c:numRef>
          </c:xVal>
          <c:yVal>
            <c:numRef>
              <c:f>'Laskenta poistopuoli 53mini_ENT'!$K$168:$K$179</c:f>
              <c:numCache>
                <c:formatCode>0.0</c:formatCode>
                <c:ptCount val="12"/>
                <c:pt idx="0">
                  <c:v>21.095299339979306</c:v>
                </c:pt>
                <c:pt idx="1">
                  <c:v>19.99420264023642</c:v>
                </c:pt>
                <c:pt idx="2">
                  <c:v>18.842965972102125</c:v>
                </c:pt>
                <c:pt idx="3">
                  <c:v>17.599541615480167</c:v>
                </c:pt>
                <c:pt idx="4">
                  <c:v>16.188317881157047</c:v>
                </c:pt>
                <c:pt idx="5">
                  <c:v>14.808779834216191</c:v>
                </c:pt>
                <c:pt idx="6">
                  <c:v>12.450211901002875</c:v>
                </c:pt>
                <c:pt idx="7">
                  <c:v>10.034532155755411</c:v>
                </c:pt>
                <c:pt idx="8">
                  <c:v>20.519391977210955</c:v>
                </c:pt>
                <c:pt idx="9">
                  <c:v>18.794457888074728</c:v>
                </c:pt>
                <c:pt idx="10">
                  <c:v>17.429035529323933</c:v>
                </c:pt>
                <c:pt idx="11">
                  <c:v>15.644540282791711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5A7-47F7-8DA3-FEB15939C9F5}"/>
            </c:ext>
          </c:extLst>
        </c:ser>
        <c:ser>
          <c:idx val="10"/>
          <c:order val="9"/>
          <c:tx>
            <c:strRef>
              <c:f>'Laskenta poistopuoli 53mini_ENT'!$C$181:$M$181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90037187512207"/>
                  <c:y val="5.46833556600911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53mini_ENT'!$C$183:$C$187</c:f>
              <c:numCache>
                <c:formatCode>0.0</c:formatCode>
                <c:ptCount val="5"/>
                <c:pt idx="0">
                  <c:v>6.5509089256984874</c:v>
                </c:pt>
                <c:pt idx="1">
                  <c:v>19.707226791678767</c:v>
                </c:pt>
                <c:pt idx="2">
                  <c:v>26.753510871053262</c:v>
                </c:pt>
                <c:pt idx="3">
                  <c:v>30.989531465025948</c:v>
                </c:pt>
                <c:pt idx="4">
                  <c:v>34.392515764513497</c:v>
                </c:pt>
              </c:numCache>
            </c:numRef>
          </c:xVal>
          <c:yVal>
            <c:numRef>
              <c:f>'Laskenta poistopuoli 53mini_ENT'!$K$183:$K$187</c:f>
              <c:numCache>
                <c:formatCode>0.0</c:formatCode>
                <c:ptCount val="5"/>
                <c:pt idx="0">
                  <c:v>6.4300818035165612</c:v>
                </c:pt>
                <c:pt idx="1">
                  <c:v>8.1252998518277533</c:v>
                </c:pt>
                <c:pt idx="2">
                  <c:v>9.1930343735982234</c:v>
                </c:pt>
                <c:pt idx="3">
                  <c:v>9.8071738647800277</c:v>
                </c:pt>
                <c:pt idx="4">
                  <c:v>10.460232604253974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5A7-47F7-8DA3-FEB15939C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53mini_ENT'!$AA$4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53mini_ENT'!$AB$6:$AB$12</c:f>
              <c:numCache>
                <c:formatCode>0.0</c:formatCode>
                <c:ptCount val="7"/>
                <c:pt idx="0">
                  <c:v>103.57553241263072</c:v>
                </c:pt>
                <c:pt idx="1">
                  <c:v>94.880901963147465</c:v>
                </c:pt>
                <c:pt idx="2">
                  <c:v>88.807959332100708</c:v>
                </c:pt>
                <c:pt idx="3">
                  <c:v>83.402123627509837</c:v>
                </c:pt>
                <c:pt idx="4">
                  <c:v>76.831301252434912</c:v>
                </c:pt>
                <c:pt idx="5">
                  <c:v>71.942009838283937</c:v>
                </c:pt>
                <c:pt idx="6">
                  <c:v>62.662556243440676</c:v>
                </c:pt>
              </c:numCache>
            </c:numRef>
          </c:xVal>
          <c:yVal>
            <c:numRef>
              <c:f>'Laskenta poistopuoli 53mini_ENT'!$AA$6:$AA$12</c:f>
              <c:numCache>
                <c:formatCode>0.0</c:formatCode>
                <c:ptCount val="7"/>
                <c:pt idx="0">
                  <c:v>15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370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F5-40C5-B9BA-C1B53AD11414}"/>
            </c:ext>
          </c:extLst>
        </c:ser>
        <c:ser>
          <c:idx val="1"/>
          <c:order val="1"/>
          <c:tx>
            <c:strRef>
              <c:f>'Laskenta poistopuoli 53mini_ENT'!$AC$4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53mini_ENT'!$AD$6:$AD$12</c:f>
              <c:numCache>
                <c:formatCode>0.0</c:formatCode>
                <c:ptCount val="7"/>
                <c:pt idx="0">
                  <c:v>103.56426593475659</c:v>
                </c:pt>
                <c:pt idx="1">
                  <c:v>100.68992023693473</c:v>
                </c:pt>
                <c:pt idx="2">
                  <c:v>96.312360679370698</c:v>
                </c:pt>
                <c:pt idx="3">
                  <c:v>91.536434304785857</c:v>
                </c:pt>
                <c:pt idx="4">
                  <c:v>89.48699640745069</c:v>
                </c:pt>
                <c:pt idx="5">
                  <c:v>87.341571419937026</c:v>
                </c:pt>
                <c:pt idx="6">
                  <c:v>60.282027789731337</c:v>
                </c:pt>
              </c:numCache>
            </c:numRef>
          </c:xVal>
          <c:yVal>
            <c:numRef>
              <c:f>'Laskenta poistopuoli 53mini_ENT'!$AC$6:$AC$12</c:f>
              <c:numCache>
                <c:formatCode>0.0</c:formatCode>
                <c:ptCount val="7"/>
                <c:pt idx="0">
                  <c:v>15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F5-40C5-B9BA-C1B53AD11414}"/>
            </c:ext>
          </c:extLst>
        </c:ser>
        <c:ser>
          <c:idx val="2"/>
          <c:order val="2"/>
          <c:tx>
            <c:strRef>
              <c:f>'Laskenta poistopuoli 53mini_ENT'!$AE$4</c:f>
              <c:strCache>
                <c:ptCount val="1"/>
                <c:pt idx="0">
                  <c:v>7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53mini_ENT'!$AF$6:$AF$11</c:f>
              <c:numCache>
                <c:formatCode>0.0</c:formatCode>
                <c:ptCount val="6"/>
                <c:pt idx="0">
                  <c:v>98.863748472513095</c:v>
                </c:pt>
                <c:pt idx="1">
                  <c:v>94.863745143000813</c:v>
                </c:pt>
                <c:pt idx="2">
                  <c:v>92.068115196745225</c:v>
                </c:pt>
                <c:pt idx="3">
                  <c:v>89.154081732102</c:v>
                </c:pt>
                <c:pt idx="4">
                  <c:v>86.10519059739714</c:v>
                </c:pt>
                <c:pt idx="5">
                  <c:v>48.048861693966089</c:v>
                </c:pt>
              </c:numCache>
            </c:numRef>
          </c:xVal>
          <c:yVal>
            <c:numRef>
              <c:f>'Laskenta poistopuoli 53mini_ENT'!$AE$6:$AE$11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270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F5-40C5-B9BA-C1B53AD11414}"/>
            </c:ext>
          </c:extLst>
        </c:ser>
        <c:ser>
          <c:idx val="3"/>
          <c:order val="3"/>
          <c:tx>
            <c:strRef>
              <c:f>'Laskenta poistopuoli 53mini_ENT'!$AG$4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53mini_ENT'!$AH$6:$AH$10</c:f>
              <c:numCache>
                <c:formatCode>0.0</c:formatCode>
                <c:ptCount val="5"/>
                <c:pt idx="0">
                  <c:v>81.983013493976628</c:v>
                </c:pt>
                <c:pt idx="1">
                  <c:v>79.696567243836242</c:v>
                </c:pt>
                <c:pt idx="2">
                  <c:v>78.122767590392229</c:v>
                </c:pt>
                <c:pt idx="3">
                  <c:v>74.841120229685856</c:v>
                </c:pt>
                <c:pt idx="4">
                  <c:v>46.436616599215917</c:v>
                </c:pt>
              </c:numCache>
            </c:numRef>
          </c:xVal>
          <c:yVal>
            <c:numRef>
              <c:f>'Laskenta poistopuoli 53mini_ENT'!$AG$6:$AG$10</c:f>
              <c:numCache>
                <c:formatCode>0.0</c:formatCode>
                <c:ptCount val="5"/>
                <c:pt idx="0">
                  <c:v>10</c:v>
                </c:pt>
                <c:pt idx="1">
                  <c:v>25</c:v>
                </c:pt>
                <c:pt idx="2">
                  <c:v>35</c:v>
                </c:pt>
                <c:pt idx="3">
                  <c:v>55</c:v>
                </c:pt>
                <c:pt idx="4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3F5-40C5-B9BA-C1B53AD11414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53mini_ENT'!$J$3</c:f>
              <c:numCache>
                <c:formatCode>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53mini_ENT'!$L$3</c:f>
              <c:numCache>
                <c:formatCode>0.0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3F5-40C5-B9BA-C1B53AD1141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53mini_ENT'!$AC$34:$AC$41</c:f>
              <c:numCache>
                <c:formatCode>0.0</c:formatCode>
                <c:ptCount val="8"/>
                <c:pt idx="0">
                  <c:v>71.151530281961001</c:v>
                </c:pt>
                <c:pt idx="1">
                  <c:v>66.792044931977074</c:v>
                </c:pt>
                <c:pt idx="2">
                  <c:v>57.062018451198732</c:v>
                </c:pt>
                <c:pt idx="3">
                  <c:v>48.328571135845706</c:v>
                </c:pt>
                <c:pt idx="4">
                  <c:v>39.417319899690959</c:v>
                </c:pt>
                <c:pt idx="5">
                  <c:v>30.635324500032763</c:v>
                </c:pt>
                <c:pt idx="6">
                  <c:v>21.502616788842523</c:v>
                </c:pt>
                <c:pt idx="7">
                  <c:v>12.203093496613818</c:v>
                </c:pt>
              </c:numCache>
            </c:numRef>
          </c:xVal>
          <c:yVal>
            <c:numRef>
              <c:f>'Laskenta poistopuoli 53mini_ENT'!$AD$34:$AD$41</c:f>
              <c:numCache>
                <c:formatCode>0.0</c:formatCode>
                <c:ptCount val="8"/>
                <c:pt idx="0">
                  <c:v>377.91660550224367</c:v>
                </c:pt>
                <c:pt idx="1">
                  <c:v>333.02509845056841</c:v>
                </c:pt>
                <c:pt idx="2">
                  <c:v>243.06461791738732</c:v>
                </c:pt>
                <c:pt idx="3">
                  <c:v>174.35539706631084</c:v>
                </c:pt>
                <c:pt idx="4">
                  <c:v>115.98495782772365</c:v>
                </c:pt>
                <c:pt idx="5">
                  <c:v>70.060374544902331</c:v>
                </c:pt>
                <c:pt idx="6">
                  <c:v>34.515177827505688</c:v>
                </c:pt>
                <c:pt idx="7">
                  <c:v>11.116481828525544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3F5-40C5-B9BA-C1B53AD11414}"/>
            </c:ext>
          </c:extLst>
        </c:ser>
        <c:ser>
          <c:idx val="6"/>
          <c:order val="6"/>
          <c:tx>
            <c:strRef>
              <c:f>'Laskenta poistopuoli 53mini_ENT'!$C$21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53mini_ENT'!$AJ$6:$AJ$10</c:f>
              <c:numCache>
                <c:formatCode>0.0</c:formatCode>
                <c:ptCount val="5"/>
                <c:pt idx="0">
                  <c:v>65.508263329639192</c:v>
                </c:pt>
                <c:pt idx="1">
                  <c:v>63.637604496298707</c:v>
                </c:pt>
                <c:pt idx="2">
                  <c:v>59.6662850941036</c:v>
                </c:pt>
                <c:pt idx="3">
                  <c:v>55.313706862535192</c:v>
                </c:pt>
                <c:pt idx="4">
                  <c:v>37.871590945814823</c:v>
                </c:pt>
              </c:numCache>
            </c:numRef>
          </c:xVal>
          <c:yVal>
            <c:numRef>
              <c:f>'Laskenta poistopuoli 53mini_ENT'!$AI$6:$AI$10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120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3F5-40C5-B9BA-C1B53AD11414}"/>
            </c:ext>
          </c:extLst>
        </c:ser>
        <c:ser>
          <c:idx val="7"/>
          <c:order val="7"/>
          <c:tx>
            <c:strRef>
              <c:f>'Laskenta poistopuoli 53mini_ENT'!$C$24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53mini_ENT'!$AL$6:$AL$9</c:f>
              <c:numCache>
                <c:formatCode>0.0</c:formatCode>
                <c:ptCount val="4"/>
                <c:pt idx="0">
                  <c:v>48.797613651027639</c:v>
                </c:pt>
                <c:pt idx="1">
                  <c:v>46.415338122451843</c:v>
                </c:pt>
                <c:pt idx="2">
                  <c:v>34.64658196138771</c:v>
                </c:pt>
                <c:pt idx="3">
                  <c:v>25.668533811416562</c:v>
                </c:pt>
              </c:numCache>
            </c:numRef>
          </c:xVal>
          <c:yVal>
            <c:numRef>
              <c:f>'Laskenta poistopuoli 53mini_ENT'!$AK$6:$AK$9</c:f>
              <c:numCache>
                <c:formatCode>0.0</c:formatCode>
                <c:ptCount val="4"/>
                <c:pt idx="0">
                  <c:v>10</c:v>
                </c:pt>
                <c:pt idx="1">
                  <c:v>20</c:v>
                </c:pt>
                <c:pt idx="2">
                  <c:v>60</c:v>
                </c:pt>
                <c:pt idx="3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3F5-40C5-B9BA-C1B53AD11414}"/>
            </c:ext>
          </c:extLst>
        </c:ser>
        <c:ser>
          <c:idx val="8"/>
          <c:order val="8"/>
          <c:tx>
            <c:strRef>
              <c:f>'Laskenta poistopuoli 53mini_ENT'!$C$27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53mini_ENT'!$AN$6:$AN$8</c:f>
              <c:numCache>
                <c:formatCode>0.0</c:formatCode>
                <c:ptCount val="3"/>
                <c:pt idx="0">
                  <c:v>32.198829381813553</c:v>
                </c:pt>
                <c:pt idx="1">
                  <c:v>28.017033069008061</c:v>
                </c:pt>
                <c:pt idx="2">
                  <c:v>18.151133945730049</c:v>
                </c:pt>
              </c:numCache>
            </c:numRef>
          </c:xVal>
          <c:yVal>
            <c:numRef>
              <c:f>'Laskenta poistopuoli 53mini_ENT'!$AM$6:$AM$8</c:f>
              <c:numCache>
                <c:formatCode>0.0</c:formatCode>
                <c:ptCount val="3"/>
                <c:pt idx="0">
                  <c:v>8</c:v>
                </c:pt>
                <c:pt idx="1">
                  <c:v>20</c:v>
                </c:pt>
                <c:pt idx="2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3F5-40C5-B9BA-C1B53AD11414}"/>
            </c:ext>
          </c:extLst>
        </c:ser>
        <c:ser>
          <c:idx val="9"/>
          <c:order val="9"/>
          <c:tx>
            <c:strRef>
              <c:f>'Laskenta poistopuoli 53mini_ENT'!$AO$4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53mini_ENT'!$AP$6:$AP$9</c:f>
              <c:numCache>
                <c:formatCode>0.0</c:formatCode>
                <c:ptCount val="4"/>
                <c:pt idx="0">
                  <c:v>16.041783235142876</c:v>
                </c:pt>
                <c:pt idx="1">
                  <c:v>13.000281264577914</c:v>
                </c:pt>
                <c:pt idx="2">
                  <c:v>11.527166136435172</c:v>
                </c:pt>
                <c:pt idx="3">
                  <c:v>9.7946796341437654</c:v>
                </c:pt>
              </c:numCache>
            </c:numRef>
          </c:xVal>
          <c:yVal>
            <c:numRef>
              <c:f>'Laskenta poistopuoli 53mini_ENT'!$AO$6:$AO$9</c:f>
              <c:numCache>
                <c:formatCode>0.0</c:formatCode>
                <c:ptCount val="4"/>
                <c:pt idx="0">
                  <c:v>5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D3F5-40C5-B9BA-C1B53AD11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-1.1771771771771772E-3"/>
                  <c:y val="0.214158383641521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53mini_ENT'!$D$59:$D$62</c:f>
              <c:numCache>
                <c:formatCode>0.0</c:formatCode>
                <c:ptCount val="4"/>
                <c:pt idx="0">
                  <c:v>142.33692589140077</c:v>
                </c:pt>
                <c:pt idx="1">
                  <c:v>135.55354520352333</c:v>
                </c:pt>
                <c:pt idx="2">
                  <c:v>120.87292567048598</c:v>
                </c:pt>
                <c:pt idx="3">
                  <c:v>99.354279744439367</c:v>
                </c:pt>
              </c:numCache>
            </c:numRef>
          </c:xVal>
          <c:yVal>
            <c:numRef>
              <c:f>'Laskenta poisto 53mini_ENT'!$E$59:$E$62</c:f>
              <c:numCache>
                <c:formatCode>0.0</c:formatCode>
                <c:ptCount val="4"/>
                <c:pt idx="0">
                  <c:v>63.504792074772809</c:v>
                </c:pt>
                <c:pt idx="1">
                  <c:v>63.293976534273817</c:v>
                </c:pt>
                <c:pt idx="2">
                  <c:v>63.858494061413182</c:v>
                </c:pt>
                <c:pt idx="3">
                  <c:v>64.001811053093547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B7-4BE7-AE86-D740544E8FBC}"/>
            </c:ext>
          </c:extLst>
        </c:ser>
        <c:ser>
          <c:idx val="1"/>
          <c:order val="1"/>
          <c:tx>
            <c:strRef>
              <c:f>'Laskenta poisto 53mini_ENT'!$C$64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-1.9939939939939939E-2"/>
                  <c:y val="0.279999694583704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 53mini_ENT'!$E$64:$E$67</c:f>
              <c:numCache>
                <c:formatCode>0.0</c:formatCode>
                <c:ptCount val="4"/>
                <c:pt idx="0">
                  <c:v>60.755407441724529</c:v>
                </c:pt>
                <c:pt idx="1">
                  <c:v>59.863910817556906</c:v>
                </c:pt>
                <c:pt idx="2">
                  <c:v>59.500309027733529</c:v>
                </c:pt>
                <c:pt idx="3">
                  <c:v>59.437175303534943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9B7-4BE7-AE86-D740544E8FBC}"/>
            </c:ext>
          </c:extLst>
        </c:ser>
        <c:ser>
          <c:idx val="2"/>
          <c:order val="2"/>
          <c:tx>
            <c:strRef>
              <c:f>'Laskenta poisto 53mini_ENT'!$C$69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1578898583622993"/>
                  <c:y val="0.230266707166140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53mini_ENT'!$D$69:$D$72</c:f>
              <c:numCache>
                <c:formatCode>0.0</c:formatCode>
                <c:ptCount val="4"/>
                <c:pt idx="0">
                  <c:v>93.509550571045949</c:v>
                </c:pt>
                <c:pt idx="1">
                  <c:v>84.603189103799437</c:v>
                </c:pt>
                <c:pt idx="2">
                  <c:v>73.637239543770193</c:v>
                </c:pt>
                <c:pt idx="3">
                  <c:v>62.440986792248914</c:v>
                </c:pt>
              </c:numCache>
            </c:numRef>
          </c:xVal>
          <c:yVal>
            <c:numRef>
              <c:f>'Laskenta poisto 53mini_ENT'!$E$69:$E$72</c:f>
              <c:numCache>
                <c:formatCode>0.0</c:formatCode>
                <c:ptCount val="4"/>
                <c:pt idx="0">
                  <c:v>54.415504897675802</c:v>
                </c:pt>
                <c:pt idx="1">
                  <c:v>53.466522438874719</c:v>
                </c:pt>
                <c:pt idx="2">
                  <c:v>52.965459876340411</c:v>
                </c:pt>
                <c:pt idx="3">
                  <c:v>53.03990267809472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9B7-4BE7-AE86-D740544E8FBC}"/>
            </c:ext>
          </c:extLst>
        </c:ser>
        <c:ser>
          <c:idx val="3"/>
          <c:order val="3"/>
          <c:tx>
            <c:strRef>
              <c:f>'Laskenta poisto 53mini_ENT'!$C$74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41774410631103542"/>
                  <c:y val="0.18949172286048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 53mini_ENT'!$E$74:$E$77</c:f>
              <c:numCache>
                <c:formatCode>0.0</c:formatCode>
                <c:ptCount val="4"/>
                <c:pt idx="0">
                  <c:v>45.027312949970536</c:v>
                </c:pt>
                <c:pt idx="1">
                  <c:v>45.390878440304824</c:v>
                </c:pt>
                <c:pt idx="2">
                  <c:v>44.940241651074359</c:v>
                </c:pt>
                <c:pt idx="3">
                  <c:v>44.609229142732467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9B7-4BE7-AE86-D740544E8FBC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B7-4BE7-AE86-D740544E8FBC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9B7-4BE7-AE86-D740544E8FBC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8415521032843866"/>
                  <c:y val="-8.2353118025979957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53mini_ENT'!$AC$34:$AC$37</c:f>
              <c:numCache>
                <c:formatCode>0.0</c:formatCode>
                <c:ptCount val="4"/>
                <c:pt idx="0">
                  <c:v>80.645571519651597</c:v>
                </c:pt>
                <c:pt idx="1">
                  <c:v>65.607854506080955</c:v>
                </c:pt>
                <c:pt idx="2">
                  <c:v>48.388846390145559</c:v>
                </c:pt>
                <c:pt idx="3">
                  <c:v>31.280962695965766</c:v>
                </c:pt>
              </c:numCache>
            </c:numRef>
          </c:xVal>
          <c:yVal>
            <c:numRef>
              <c:f>'Laskenta poisto 53mini_ENT'!$AF$34:$AF$37</c:f>
              <c:numCache>
                <c:formatCode>0.0</c:formatCode>
                <c:ptCount val="4"/>
                <c:pt idx="0">
                  <c:v>64.198202762053668</c:v>
                </c:pt>
                <c:pt idx="1">
                  <c:v>60.78075482868131</c:v>
                </c:pt>
                <c:pt idx="2">
                  <c:v>54.120361064929838</c:v>
                </c:pt>
                <c:pt idx="3">
                  <c:v>43.499651470027679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9B7-4BE7-AE86-D740544E8FBC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 53mini_ENT'!$J$3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 53mini_ENT'!$W$5</c:f>
              <c:numCache>
                <c:formatCode>0.0</c:formatCode>
                <c:ptCount val="1"/>
                <c:pt idx="0">
                  <c:v>46.219392022125092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9B7-4BE7-AE86-D740544E8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53mini_ENT'!$N$59:$N$62</c:f>
              <c:numCache>
                <c:formatCode>0.0</c:formatCode>
                <c:ptCount val="4"/>
                <c:pt idx="0">
                  <c:v>142.31089483268275</c:v>
                </c:pt>
                <c:pt idx="1">
                  <c:v>135.75297833011399</c:v>
                </c:pt>
                <c:pt idx="2">
                  <c:v>121.88498248796257</c:v>
                </c:pt>
                <c:pt idx="3">
                  <c:v>98.845904208709058</c:v>
                </c:pt>
              </c:numCache>
            </c:numRef>
          </c:xVal>
          <c:yVal>
            <c:numRef>
              <c:f>'Laskenta poisto 53mini_ENT'!$O$59:$O$62</c:f>
              <c:numCache>
                <c:formatCode>0.0</c:formatCode>
                <c:ptCount val="4"/>
                <c:pt idx="0">
                  <c:v>76.38069339977983</c:v>
                </c:pt>
                <c:pt idx="1">
                  <c:v>75.606125966760828</c:v>
                </c:pt>
                <c:pt idx="2">
                  <c:v>75.27508361363077</c:v>
                </c:pt>
                <c:pt idx="3">
                  <c:v>75.51677763329937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C8-43FD-B682-A0615873A931}"/>
            </c:ext>
          </c:extLst>
        </c:ser>
        <c:ser>
          <c:idx val="1"/>
          <c:order val="1"/>
          <c:tx>
            <c:strRef>
              <c:f>'Laskenta poisto 53mini_ENT'!$C$64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53mini_ENT'!$N$64:$N$67</c:f>
              <c:numCache>
                <c:formatCode>0.0</c:formatCode>
                <c:ptCount val="4"/>
                <c:pt idx="0">
                  <c:v>124.39645653823712</c:v>
                </c:pt>
                <c:pt idx="1">
                  <c:v>115.27995865272432</c:v>
                </c:pt>
                <c:pt idx="2">
                  <c:v>101.91624124775765</c:v>
                </c:pt>
                <c:pt idx="3">
                  <c:v>83.81228756595587</c:v>
                </c:pt>
              </c:numCache>
            </c:numRef>
          </c:xVal>
          <c:yVal>
            <c:numRef>
              <c:f>'Laskenta poisto 53mini_ENT'!$O$64:$O$67</c:f>
              <c:numCache>
                <c:formatCode>0.0</c:formatCode>
                <c:ptCount val="4"/>
                <c:pt idx="0">
                  <c:v>73.274158998284477</c:v>
                </c:pt>
                <c:pt idx="1">
                  <c:v>72.04948224384114</c:v>
                </c:pt>
                <c:pt idx="2">
                  <c:v>71.079127309114256</c:v>
                </c:pt>
                <c:pt idx="3">
                  <c:v>71.200535622630397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C8-43FD-B682-A0615873A931}"/>
            </c:ext>
          </c:extLst>
        </c:ser>
        <c:ser>
          <c:idx val="2"/>
          <c:order val="2"/>
          <c:tx>
            <c:strRef>
              <c:f>'Laskenta poisto 53mini_ENT'!$C$69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 53mini_ENT'!$O$69:$O$72</c:f>
              <c:numCache>
                <c:formatCode>0.0</c:formatCode>
                <c:ptCount val="4"/>
                <c:pt idx="0">
                  <c:v>66.574724987435175</c:v>
                </c:pt>
                <c:pt idx="1">
                  <c:v>65.900228657656129</c:v>
                </c:pt>
                <c:pt idx="2">
                  <c:v>64.745187392101812</c:v>
                </c:pt>
                <c:pt idx="3">
                  <c:v>64.778560386905198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C8-43FD-B682-A0615873A931}"/>
            </c:ext>
          </c:extLst>
        </c:ser>
        <c:ser>
          <c:idx val="3"/>
          <c:order val="3"/>
          <c:tx>
            <c:strRef>
              <c:f>'Laskenta poisto 53mini_ENT'!$C$74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53mini_ENT'!$N$74:$N$77</c:f>
              <c:numCache>
                <c:formatCode>0.0</c:formatCode>
                <c:ptCount val="4"/>
                <c:pt idx="0">
                  <c:v>58.419544531154315</c:v>
                </c:pt>
                <c:pt idx="1">
                  <c:v>52.196889475840962</c:v>
                </c:pt>
                <c:pt idx="2">
                  <c:v>45.892068901589042</c:v>
                </c:pt>
                <c:pt idx="3">
                  <c:v>38.225352061782701</c:v>
                </c:pt>
              </c:numCache>
            </c:numRef>
          </c:xVal>
          <c:yVal>
            <c:numRef>
              <c:f>'Laskenta poisto 53mini_ENT'!$O$74:$O$77</c:f>
              <c:numCache>
                <c:formatCode>0.0</c:formatCode>
                <c:ptCount val="4"/>
                <c:pt idx="0">
                  <c:v>57.040901964604288</c:v>
                </c:pt>
                <c:pt idx="1">
                  <c:v>56.496554636920223</c:v>
                </c:pt>
                <c:pt idx="2">
                  <c:v>55.851746083342412</c:v>
                </c:pt>
                <c:pt idx="3">
                  <c:v>55.770251275797165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7C8-43FD-B682-A0615873A931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53mini_ENT'!$AC$34:$AC$37</c:f>
              <c:numCache>
                <c:formatCode>0.0</c:formatCode>
                <c:ptCount val="4"/>
                <c:pt idx="0">
                  <c:v>80.645571519651597</c:v>
                </c:pt>
                <c:pt idx="1">
                  <c:v>65.607854506080955</c:v>
                </c:pt>
                <c:pt idx="2">
                  <c:v>48.388846390145559</c:v>
                </c:pt>
                <c:pt idx="3">
                  <c:v>31.280962695965766</c:v>
                </c:pt>
              </c:numCache>
            </c:numRef>
          </c:xVal>
          <c:yVal>
            <c:numRef>
              <c:f>'Laskenta poisto 53mini_ENT'!$AG$34:$AG$37</c:f>
              <c:numCache>
                <c:formatCode>0.0</c:formatCode>
                <c:ptCount val="4"/>
                <c:pt idx="0">
                  <c:v>76.995404581124063</c:v>
                </c:pt>
                <c:pt idx="1">
                  <c:v>73.046605586184342</c:v>
                </c:pt>
                <c:pt idx="2">
                  <c:v>65.050243860540661</c:v>
                </c:pt>
                <c:pt idx="3">
                  <c:v>55.880456465574987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7C8-43FD-B682-A0615873A931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 53mini_ENT'!$J$3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 53mini_ENT'!$W$6</c:f>
              <c:numCache>
                <c:formatCode>0.0</c:formatCode>
                <c:ptCount val="1"/>
                <c:pt idx="0">
                  <c:v>58.072136755219844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7C8-43FD-B682-A0615873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 53mini_ENT'!$AM$35:$AM$38</c:f>
              <c:numCache>
                <c:formatCode>0.0</c:formatCode>
                <c:ptCount val="4"/>
                <c:pt idx="0">
                  <c:v>72.938998778367932</c:v>
                </c:pt>
                <c:pt idx="1">
                  <c:v>65.607854506080955</c:v>
                </c:pt>
                <c:pt idx="2">
                  <c:v>48.388846390145559</c:v>
                </c:pt>
                <c:pt idx="3">
                  <c:v>31.280962695965766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16-47E8-B0E4-A1E4F44CE81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7654053814097757E-2"/>
                  <c:y val="0.164188156777800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 53mini_ENT'!$AM$34:$AM$35</c:f>
              <c:numCache>
                <c:formatCode>0.0</c:formatCode>
                <c:ptCount val="2"/>
                <c:pt idx="0">
                  <c:v>80.645571519651597</c:v>
                </c:pt>
                <c:pt idx="1">
                  <c:v>72.938998778367932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16-47E8-B0E4-A1E4F44CE813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 53mini_ENT'!$W$9</c:f>
              <c:numCache>
                <c:formatCode>0.0</c:formatCode>
                <c:ptCount val="1"/>
                <c:pt idx="0">
                  <c:v>4.3873053788776968</c:v>
                </c:pt>
              </c:numCache>
            </c:numRef>
          </c:xVal>
          <c:yVal>
            <c:numRef>
              <c:f>'Laskenta poisto 53mini_ENT'!$J$3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16-47E8-B0E4-A1E4F44CE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9.6325788086510059E-2"/>
                  <c:y val="-3.99871039742079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53mini_ENT'!$X$63:$X$68</c:f>
              <c:numCache>
                <c:formatCode>0.0</c:formatCode>
                <c:ptCount val="6"/>
                <c:pt idx="0">
                  <c:v>126.45313821471686</c:v>
                </c:pt>
                <c:pt idx="1">
                  <c:v>121.46818656102965</c:v>
                </c:pt>
                <c:pt idx="2">
                  <c:v>113.97454094383536</c:v>
                </c:pt>
                <c:pt idx="3">
                  <c:v>98.894194031361593</c:v>
                </c:pt>
                <c:pt idx="4">
                  <c:v>82.599850212683407</c:v>
                </c:pt>
                <c:pt idx="5">
                  <c:v>59.628845690569321</c:v>
                </c:pt>
              </c:numCache>
            </c:numRef>
          </c:xVal>
          <c:yVal>
            <c:numRef>
              <c:f>'Laskenta poisto 53mini_ENT'!$Y$63:$Y$68</c:f>
              <c:numCache>
                <c:formatCode>0.0</c:formatCode>
                <c:ptCount val="6"/>
                <c:pt idx="0">
                  <c:v>170.40340335914607</c:v>
                </c:pt>
                <c:pt idx="1">
                  <c:v>169.75780539499809</c:v>
                </c:pt>
                <c:pt idx="2">
                  <c:v>167.39901054092508</c:v>
                </c:pt>
                <c:pt idx="3">
                  <c:v>151.94567006146681</c:v>
                </c:pt>
                <c:pt idx="4">
                  <c:v>138.15078073532626</c:v>
                </c:pt>
                <c:pt idx="5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0C-477A-A27E-539FBE46F6FA}"/>
            </c:ext>
          </c:extLst>
        </c:ser>
        <c:ser>
          <c:idx val="1"/>
          <c:order val="1"/>
          <c:tx>
            <c:strRef>
              <c:f>'Laskenta poisto 53mini_ENT'!$W$70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53mini_ENT'!$X$70:$X$76</c:f>
              <c:numCache>
                <c:formatCode>0.0</c:formatCode>
                <c:ptCount val="7"/>
                <c:pt idx="0">
                  <c:v>48.113768648848222</c:v>
                </c:pt>
                <c:pt idx="1">
                  <c:v>69.725952249164479</c:v>
                </c:pt>
                <c:pt idx="2">
                  <c:v>94.145823061534287</c:v>
                </c:pt>
                <c:pt idx="3">
                  <c:v>104.21457877159305</c:v>
                </c:pt>
                <c:pt idx="4">
                  <c:v>112.57223888931715</c:v>
                </c:pt>
                <c:pt idx="5">
                  <c:v>121.08321064793208</c:v>
                </c:pt>
                <c:pt idx="6">
                  <c:v>128.25979843355867</c:v>
                </c:pt>
              </c:numCache>
            </c:numRef>
          </c:xVal>
          <c:yVal>
            <c:numRef>
              <c:f>'Laskenta poisto 53mini_ENT'!$Y$70:$Y$76</c:f>
              <c:numCache>
                <c:formatCode>0.0</c:formatCode>
                <c:ptCount val="7"/>
                <c:pt idx="0">
                  <c:v>66.989400705630914</c:v>
                </c:pt>
                <c:pt idx="1">
                  <c:v>81.624373459526382</c:v>
                </c:pt>
                <c:pt idx="2">
                  <c:v>99.999477318025953</c:v>
                </c:pt>
                <c:pt idx="3">
                  <c:v>103.48805129721504</c:v>
                </c:pt>
                <c:pt idx="4">
                  <c:v>108.26752691162672</c:v>
                </c:pt>
                <c:pt idx="5">
                  <c:v>114.19640879671721</c:v>
                </c:pt>
                <c:pt idx="6">
                  <c:v>120.0773159902373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80C-477A-A27E-539FBE46F6FA}"/>
            </c:ext>
          </c:extLst>
        </c:ser>
        <c:ser>
          <c:idx val="2"/>
          <c:order val="2"/>
          <c:tx>
            <c:strRef>
              <c:f>'Laskenta poisto 53mini_ENT'!$W$78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53mini_ENT'!$X$78:$X$82</c:f>
              <c:numCache>
                <c:formatCode>0.0</c:formatCode>
                <c:ptCount val="5"/>
                <c:pt idx="0">
                  <c:v>95.288588606918864</c:v>
                </c:pt>
                <c:pt idx="1">
                  <c:v>84.236237037741418</c:v>
                </c:pt>
                <c:pt idx="2">
                  <c:v>67.284582916698795</c:v>
                </c:pt>
                <c:pt idx="3">
                  <c:v>38.781474840211665</c:v>
                </c:pt>
                <c:pt idx="4">
                  <c:v>28.199869006956831</c:v>
                </c:pt>
              </c:numCache>
            </c:numRef>
          </c:xVal>
          <c:yVal>
            <c:numRef>
              <c:f>'Laskenta poisto 53mini_ENT'!$Y$78:$Y$82</c:f>
              <c:numCache>
                <c:formatCode>0.0</c:formatCode>
                <c:ptCount val="5"/>
                <c:pt idx="0">
                  <c:v>55.926419615573145</c:v>
                </c:pt>
                <c:pt idx="1">
                  <c:v>50.599349202971588</c:v>
                </c:pt>
                <c:pt idx="2">
                  <c:v>43.796688567953638</c:v>
                </c:pt>
                <c:pt idx="3">
                  <c:v>32.110345134320482</c:v>
                </c:pt>
                <c:pt idx="4">
                  <c:v>28.517985540807324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80C-477A-A27E-539FBE46F6FA}"/>
            </c:ext>
          </c:extLst>
        </c:ser>
        <c:ser>
          <c:idx val="3"/>
          <c:order val="3"/>
          <c:tx>
            <c:strRef>
              <c:f>'Laskenta poisto 53mini_ENT'!$W$86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53mini_ENT'!$X$86:$X$89</c:f>
              <c:numCache>
                <c:formatCode>0.0</c:formatCode>
                <c:ptCount val="4"/>
                <c:pt idx="0">
                  <c:v>18.229681878656653</c:v>
                </c:pt>
                <c:pt idx="1">
                  <c:v>38.356644506032225</c:v>
                </c:pt>
                <c:pt idx="2">
                  <c:v>50.652024686808119</c:v>
                </c:pt>
                <c:pt idx="3">
                  <c:v>58.713396920140099</c:v>
                </c:pt>
              </c:numCache>
            </c:numRef>
          </c:xVal>
          <c:yVal>
            <c:numRef>
              <c:f>'Laskenta poisto 53mini_ENT'!$Y$86:$Y$89</c:f>
              <c:numCache>
                <c:formatCode>0.0</c:formatCode>
                <c:ptCount val="4"/>
                <c:pt idx="0">
                  <c:v>11.829330691825657</c:v>
                </c:pt>
                <c:pt idx="1">
                  <c:v>14.906650602251696</c:v>
                </c:pt>
                <c:pt idx="2">
                  <c:v>17.447344781188477</c:v>
                </c:pt>
                <c:pt idx="3">
                  <c:v>18.86532265222845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80C-477A-A27E-539FBE46F6FA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53mini_ENT'!$AC$34:$AC$38</c:f>
              <c:numCache>
                <c:formatCode>0.0</c:formatCode>
                <c:ptCount val="5"/>
                <c:pt idx="0">
                  <c:v>80.645571519651597</c:v>
                </c:pt>
                <c:pt idx="1">
                  <c:v>65.607854506080955</c:v>
                </c:pt>
                <c:pt idx="2">
                  <c:v>48.388846390145559</c:v>
                </c:pt>
                <c:pt idx="3">
                  <c:v>31.280962695965766</c:v>
                </c:pt>
                <c:pt idx="4">
                  <c:v>72.938998778367932</c:v>
                </c:pt>
              </c:numCache>
            </c:numRef>
          </c:xVal>
          <c:yVal>
            <c:numRef>
              <c:f>'Laskenta poisto 53mini_ENT'!$AE$34:$AE$38</c:f>
              <c:numCache>
                <c:formatCode>0.0</c:formatCode>
                <c:ptCount val="5"/>
                <c:pt idx="0">
                  <c:v>137.58301783919649</c:v>
                </c:pt>
                <c:pt idx="1">
                  <c:v>79.155355991982901</c:v>
                </c:pt>
                <c:pt idx="2">
                  <c:v>35.951394967333044</c:v>
                </c:pt>
                <c:pt idx="3">
                  <c:v>13.80201235556201</c:v>
                </c:pt>
                <c:pt idx="4">
                  <c:v>113.05016746907802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80C-477A-A27E-539FBE46F6F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 53mini_ENT'!$J$3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 53mini_ENT'!$W$13</c:f>
              <c:numCache>
                <c:formatCode>0.0</c:formatCode>
                <c:ptCount val="1"/>
                <c:pt idx="0">
                  <c:v>16.315780096029933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80C-477A-A27E-539FBE46F6FA}"/>
            </c:ext>
          </c:extLst>
        </c:ser>
        <c:ser>
          <c:idx val="6"/>
          <c:order val="6"/>
          <c:tx>
            <c:strRef>
              <c:f>'Laskenta poisto 53mini_ENT'!$W$92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53mini_ENT'!$X$92:$X$96</c:f>
              <c:numCache>
                <c:formatCode>0.0</c:formatCode>
                <c:ptCount val="5"/>
                <c:pt idx="0">
                  <c:v>120.12416008604148</c:v>
                </c:pt>
                <c:pt idx="1">
                  <c:v>104.28237943386655</c:v>
                </c:pt>
                <c:pt idx="2">
                  <c:v>70.69056308182347</c:v>
                </c:pt>
                <c:pt idx="3">
                  <c:v>49.564301038903714</c:v>
                </c:pt>
                <c:pt idx="4">
                  <c:v>88.638894657469507</c:v>
                </c:pt>
              </c:numCache>
            </c:numRef>
          </c:xVal>
          <c:yVal>
            <c:numRef>
              <c:f>'Laskenta poisto 53mini_ENT'!$Y$92:$Y$96</c:f>
              <c:numCache>
                <c:formatCode>0.0</c:formatCode>
                <c:ptCount val="5"/>
                <c:pt idx="0">
                  <c:v>158.71858363035491</c:v>
                </c:pt>
                <c:pt idx="1">
                  <c:v>143.40845802475638</c:v>
                </c:pt>
                <c:pt idx="2">
                  <c:v>111.60794943452888</c:v>
                </c:pt>
                <c:pt idx="3">
                  <c:v>91.87637660025311</c:v>
                </c:pt>
                <c:pt idx="4">
                  <c:v>126.91451442541967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80C-477A-A27E-539FBE46F6FA}"/>
            </c:ext>
          </c:extLst>
        </c:ser>
        <c:ser>
          <c:idx val="7"/>
          <c:order val="7"/>
          <c:tx>
            <c:strRef>
              <c:f>'Laskenta poisto 53mini_ENT'!$W$59</c:f>
              <c:strCache>
                <c:ptCount val="1"/>
                <c:pt idx="0">
                  <c:v>10V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 53mini_ENT'!$X$59:$X$68</c:f>
              <c:numCache>
                <c:formatCode>0.0</c:formatCode>
                <c:ptCount val="10"/>
                <c:pt idx="0">
                  <c:v>145.93280562131633</c:v>
                </c:pt>
                <c:pt idx="1">
                  <c:v>141.05384772765888</c:v>
                </c:pt>
                <c:pt idx="2">
                  <c:v>137.14938858370206</c:v>
                </c:pt>
                <c:pt idx="3">
                  <c:v>131.55494143634706</c:v>
                </c:pt>
                <c:pt idx="4">
                  <c:v>126.45313821471686</c:v>
                </c:pt>
                <c:pt idx="5">
                  <c:v>121.46818656102965</c:v>
                </c:pt>
                <c:pt idx="6">
                  <c:v>113.97454094383536</c:v>
                </c:pt>
                <c:pt idx="7">
                  <c:v>98.894194031361593</c:v>
                </c:pt>
                <c:pt idx="8">
                  <c:v>82.599850212683407</c:v>
                </c:pt>
                <c:pt idx="9">
                  <c:v>59.628845690569321</c:v>
                </c:pt>
              </c:numCache>
            </c:numRef>
          </c:xVal>
          <c:yVal>
            <c:numRef>
              <c:f>'Laskenta poisto 53mini_ENT'!$Y$59:$Y$68</c:f>
              <c:numCache>
                <c:formatCode>0.0</c:formatCode>
                <c:ptCount val="10"/>
                <c:pt idx="0">
                  <c:v>171.33659884692841</c:v>
                </c:pt>
                <c:pt idx="1">
                  <c:v>171.20476167067767</c:v>
                </c:pt>
                <c:pt idx="2">
                  <c:v>170.53321022331545</c:v>
                </c:pt>
                <c:pt idx="3">
                  <c:v>170.80421961235893</c:v>
                </c:pt>
                <c:pt idx="4">
                  <c:v>170.40340335914607</c:v>
                </c:pt>
                <c:pt idx="5">
                  <c:v>169.75780539499809</c:v>
                </c:pt>
                <c:pt idx="6">
                  <c:v>167.39901054092508</c:v>
                </c:pt>
                <c:pt idx="7">
                  <c:v>151.94567006146681</c:v>
                </c:pt>
                <c:pt idx="8">
                  <c:v>138.15078073532626</c:v>
                </c:pt>
                <c:pt idx="9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80C-477A-A27E-539FBE46F6FA}"/>
            </c:ext>
          </c:extLst>
        </c:ser>
        <c:ser>
          <c:idx val="8"/>
          <c:order val="8"/>
          <c:tx>
            <c:v>6V ääni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 53mini_ENT'!$N$69:$N$72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 53mini_ENT'!$P$69:$P$72</c:f>
              <c:numCache>
                <c:formatCode>0.0</c:formatCode>
                <c:ptCount val="4"/>
                <c:pt idx="0">
                  <c:v>51.840740552727752</c:v>
                </c:pt>
                <c:pt idx="1">
                  <c:v>49.063899227254822</c:v>
                </c:pt>
                <c:pt idx="2">
                  <c:v>44.520187546631931</c:v>
                </c:pt>
                <c:pt idx="3">
                  <c:v>37.896921857869309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80C-477A-A27E-539FBE46F6FA}"/>
            </c:ext>
          </c:extLst>
        </c:ser>
        <c:ser>
          <c:idx val="9"/>
          <c:order val="9"/>
          <c:tx>
            <c:v>4 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 53mini_ENT'!$D$74:$D$77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 53mini_ENT'!$F$74:$F$77</c:f>
              <c:numCache>
                <c:formatCode>0.0</c:formatCode>
                <c:ptCount val="4"/>
                <c:pt idx="0">
                  <c:v>18.288711059751751</c:v>
                </c:pt>
                <c:pt idx="1">
                  <c:v>17.173412186741277</c:v>
                </c:pt>
                <c:pt idx="2">
                  <c:v>15.976519793234619</c:v>
                </c:pt>
                <c:pt idx="3">
                  <c:v>14.286412768134158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C80C-477A-A27E-539FBE46F6FA}"/>
            </c:ext>
          </c:extLst>
        </c:ser>
        <c:ser>
          <c:idx val="10"/>
          <c:order val="10"/>
          <c:tx>
            <c:v>8V äänimiitaus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 53mini_ENT'!$D$64:$D$67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 53mini_ENT'!$F$64:$F$67</c:f>
              <c:numCache>
                <c:formatCode>0.0</c:formatCode>
                <c:ptCount val="4"/>
                <c:pt idx="0">
                  <c:v>113.60317789708478</c:v>
                </c:pt>
                <c:pt idx="1">
                  <c:v>105.55857205937565</c:v>
                </c:pt>
                <c:pt idx="2">
                  <c:v>97.976349714782643</c:v>
                </c:pt>
                <c:pt idx="3">
                  <c:v>86.958592380060594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C80C-477A-A27E-539FBE46F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 53mini_ENT'!$AA$4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4428258967629047E-2"/>
                  <c:y val="-0.744498972134675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53mini_ENT'!$AB$6:$AB$12</c:f>
              <c:numCache>
                <c:formatCode>0.0</c:formatCode>
                <c:ptCount val="7"/>
                <c:pt idx="0">
                  <c:v>149.37198438834608</c:v>
                </c:pt>
                <c:pt idx="1">
                  <c:v>140.44019694340693</c:v>
                </c:pt>
                <c:pt idx="2">
                  <c:v>133.12312176781919</c:v>
                </c:pt>
                <c:pt idx="3">
                  <c:v>126.16844933408204</c:v>
                </c:pt>
                <c:pt idx="4">
                  <c:v>116.90930697190107</c:v>
                </c:pt>
                <c:pt idx="5">
                  <c:v>105.63452662019705</c:v>
                </c:pt>
                <c:pt idx="6">
                  <c:v>89.816310441248532</c:v>
                </c:pt>
              </c:numCache>
            </c:numRef>
          </c:xVal>
          <c:yVal>
            <c:numRef>
              <c:f>'Laskenta poisto 53mini_ENT'!$AA$6:$AA$12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C5-457F-B975-9DFA128D74B8}"/>
            </c:ext>
          </c:extLst>
        </c:ser>
        <c:ser>
          <c:idx val="1"/>
          <c:order val="1"/>
          <c:tx>
            <c:strRef>
              <c:f>'Laskenta poisto 53mini_ENT'!$AC$4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53mini_ENT'!$AD$6:$AD$12</c:f>
              <c:numCache>
                <c:formatCode>0.0</c:formatCode>
                <c:ptCount val="7"/>
                <c:pt idx="0">
                  <c:v>133.17332240375293</c:v>
                </c:pt>
                <c:pt idx="1">
                  <c:v>128.50888008908166</c:v>
                </c:pt>
                <c:pt idx="2">
                  <c:v>120.21047153971138</c:v>
                </c:pt>
                <c:pt idx="3">
                  <c:v>111.08472606866653</c:v>
                </c:pt>
                <c:pt idx="4">
                  <c:v>107.1393496264217</c:v>
                </c:pt>
                <c:pt idx="5">
                  <c:v>102.9859461818326</c:v>
                </c:pt>
                <c:pt idx="6">
                  <c:v>64.002142123508037</c:v>
                </c:pt>
              </c:numCache>
            </c:numRef>
          </c:xVal>
          <c:yVal>
            <c:numRef>
              <c:f>'Laskenta poisto 53mini_ENT'!$AC$6:$AC$12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C5-457F-B975-9DFA128D74B8}"/>
            </c:ext>
          </c:extLst>
        </c:ser>
        <c:ser>
          <c:idx val="2"/>
          <c:order val="2"/>
          <c:tx>
            <c:strRef>
              <c:f>'Laskenta poisto 53mini_ENT'!$AE$4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53mini_ENT'!$AF$6:$AF$11</c:f>
              <c:numCache>
                <c:formatCode>0.0</c:formatCode>
                <c:ptCount val="6"/>
                <c:pt idx="0">
                  <c:v>99.999058386718588</c:v>
                </c:pt>
                <c:pt idx="1">
                  <c:v>94.108238875868778</c:v>
                </c:pt>
                <c:pt idx="2">
                  <c:v>89.069837468278507</c:v>
                </c:pt>
                <c:pt idx="3">
                  <c:v>83.675510586883604</c:v>
                </c:pt>
                <c:pt idx="4">
                  <c:v>77.837118713065038</c:v>
                </c:pt>
                <c:pt idx="5">
                  <c:v>42.180912652297032</c:v>
                </c:pt>
              </c:numCache>
            </c:numRef>
          </c:xVal>
          <c:yVal>
            <c:numRef>
              <c:f>'Laskenta poisto 53mini_ENT'!$AE$6:$AE$11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AC5-457F-B975-9DFA128D74B8}"/>
            </c:ext>
          </c:extLst>
        </c:ser>
        <c:ser>
          <c:idx val="3"/>
          <c:order val="3"/>
          <c:tx>
            <c:strRef>
              <c:f>'Laskenta poisto 53mini_ENT'!$AG$4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53mini_ENT'!$AH$6:$AH$10</c:f>
              <c:numCache>
                <c:formatCode>0.0</c:formatCode>
                <c:ptCount val="5"/>
                <c:pt idx="0">
                  <c:v>61.555446560450939</c:v>
                </c:pt>
                <c:pt idx="1">
                  <c:v>57.822327947272591</c:v>
                </c:pt>
                <c:pt idx="2">
                  <c:v>53.830589598087514</c:v>
                </c:pt>
                <c:pt idx="3">
                  <c:v>51.71915361429582</c:v>
                </c:pt>
                <c:pt idx="4">
                  <c:v>25.847865510561171</c:v>
                </c:pt>
              </c:numCache>
            </c:numRef>
          </c:xVal>
          <c:yVal>
            <c:numRef>
              <c:f>'Laskenta poisto 53mini_ENT'!$AG$6:$AG$10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AC5-457F-B975-9DFA128D74B8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 53mini_ENT'!$J$3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 53mini_ENT'!$L$3</c:f>
              <c:numCache>
                <c:formatCode>General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AC5-457F-B975-9DFA128D74B8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 53mini_ENT'!$AC$34:$AC$37</c:f>
              <c:numCache>
                <c:formatCode>0.0</c:formatCode>
                <c:ptCount val="4"/>
                <c:pt idx="0">
                  <c:v>80.645571519651597</c:v>
                </c:pt>
                <c:pt idx="1">
                  <c:v>65.607854506080955</c:v>
                </c:pt>
                <c:pt idx="2">
                  <c:v>48.388846390145559</c:v>
                </c:pt>
                <c:pt idx="3">
                  <c:v>31.280962695965766</c:v>
                </c:pt>
              </c:numCache>
            </c:numRef>
          </c:xVal>
          <c:yVal>
            <c:numRef>
              <c:f>'Laskenta poisto 53mini_ENT'!$AD$34:$AD$37</c:f>
              <c:numCache>
                <c:formatCode>0.0</c:formatCode>
                <c:ptCount val="4"/>
                <c:pt idx="0">
                  <c:v>485.49921607455474</c:v>
                </c:pt>
                <c:pt idx="1">
                  <c:v>321.3210345100905</c:v>
                </c:pt>
                <c:pt idx="2">
                  <c:v>174.79057937126154</c:v>
                </c:pt>
                <c:pt idx="3">
                  <c:v>73.044531120014014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AC5-457F-B975-9DFA128D74B8}"/>
            </c:ext>
          </c:extLst>
        </c:ser>
        <c:ser>
          <c:idx val="6"/>
          <c:order val="6"/>
          <c:tx>
            <c:strRef>
              <c:f>'Laskenta poisto 53mini_ENT'!$C$26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forward val="15"/>
            <c:dispRSqr val="0"/>
            <c:dispEq val="0"/>
          </c:trendline>
          <c:xVal>
            <c:numRef>
              <c:f>'Laskenta poisto 53mini_ENT'!$P$23:$P$25</c:f>
              <c:numCache>
                <c:formatCode>General</c:formatCode>
                <c:ptCount val="3"/>
                <c:pt idx="0">
                  <c:v>80</c:v>
                </c:pt>
                <c:pt idx="1">
                  <c:v>90</c:v>
                </c:pt>
                <c:pt idx="2">
                  <c:v>135</c:v>
                </c:pt>
              </c:numCache>
            </c:numRef>
          </c:xVal>
          <c:yVal>
            <c:numRef>
              <c:f>'Laskenta poisto 53mini_ENT'!$Q$23:$Q$25</c:f>
              <c:numCache>
                <c:formatCode>General</c:formatCode>
                <c:ptCount val="3"/>
                <c:pt idx="0">
                  <c:v>382.29368625398979</c:v>
                </c:pt>
                <c:pt idx="1">
                  <c:v>354.53081848682547</c:v>
                </c:pt>
                <c:pt idx="2">
                  <c:v>131.92949072175963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4AC5-457F-B975-9DFA128D7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LwAtot vs Ohjausjännite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6052449693788276"/>
                  <c:y val="-3.408439041479557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53mini_ENT'!$K$11:$K$14</c:f>
              <c:numCache>
                <c:formatCode>General</c:formatCode>
                <c:ptCount val="4"/>
                <c:pt idx="0">
                  <c:v>8.3000000000000007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vaipan läpi 53mini_ENT'!$L$11:$L$14</c:f>
              <c:numCache>
                <c:formatCode>0.0</c:formatCode>
                <c:ptCount val="4"/>
                <c:pt idx="0">
                  <c:v>49.553859374815694</c:v>
                </c:pt>
                <c:pt idx="1">
                  <c:v>45.807948790518893</c:v>
                </c:pt>
                <c:pt idx="2">
                  <c:v>42.261905297078613</c:v>
                </c:pt>
                <c:pt idx="3">
                  <c:v>32.924946633813931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13-4733-849C-333C39E97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160480"/>
        <c:axId val="634160808"/>
      </c:scatterChart>
      <c:valAx>
        <c:axId val="63416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808"/>
        <c:crosses val="autoZero"/>
        <c:crossBetween val="midCat"/>
      </c:valAx>
      <c:valAx>
        <c:axId val="63416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13141-7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hyötysuhde_C'!$E$24:$E$30</c:f>
              <c:numCache>
                <c:formatCode>0.000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xVal>
          <c:yVal>
            <c:numRef>
              <c:f>'Kojeet ja kennon hyötysuhde_C'!$G$24:$G$30</c:f>
              <c:numCache>
                <c:formatCode>0.0\ %</c:formatCode>
                <c:ptCount val="7"/>
                <c:pt idx="0">
                  <c:v>0.83</c:v>
                </c:pt>
                <c:pt idx="1">
                  <c:v>0.83400000000000007</c:v>
                </c:pt>
                <c:pt idx="2">
                  <c:v>0.85199999999999998</c:v>
                </c:pt>
                <c:pt idx="3">
                  <c:v>0.85299999999999998</c:v>
                </c:pt>
                <c:pt idx="4">
                  <c:v>0.85299999999999998</c:v>
                </c:pt>
                <c:pt idx="5">
                  <c:v>0.85099999999999998</c:v>
                </c:pt>
                <c:pt idx="6">
                  <c:v>0.85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59-45D7-99A3-7AB676D55043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hyötysuhde_C'!$F$36</c:f>
              <c:numCache>
                <c:formatCode>0</c:formatCode>
                <c:ptCount val="1"/>
                <c:pt idx="0">
                  <c:v>450</c:v>
                </c:pt>
              </c:numCache>
            </c:numRef>
          </c:xVal>
          <c:yVal>
            <c:numRef>
              <c:f>'Kojeet ja kennon hyötysuhde_C'!$F$38</c:f>
              <c:numCache>
                <c:formatCode>0.00</c:formatCode>
                <c:ptCount val="1"/>
                <c:pt idx="0">
                  <c:v>0.85299999999999998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59-45D7-99A3-7AB676D55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53mini_ENT'!$K$26:$R$26</c:f>
              <c:numCache>
                <c:formatCode>0.0</c:formatCode>
                <c:ptCount val="8"/>
                <c:pt idx="0">
                  <c:v>13.099169884919704</c:v>
                </c:pt>
                <c:pt idx="1">
                  <c:v>10.953065112759937</c:v>
                </c:pt>
                <c:pt idx="2">
                  <c:v>6.3862816744534214</c:v>
                </c:pt>
                <c:pt idx="3">
                  <c:v>-6.4729753286077525</c:v>
                </c:pt>
                <c:pt idx="4">
                  <c:v>-15.205184865873434</c:v>
                </c:pt>
                <c:pt idx="5">
                  <c:v>-21.083597630575333</c:v>
                </c:pt>
                <c:pt idx="6">
                  <c:v>-24.20121690458739</c:v>
                </c:pt>
                <c:pt idx="7">
                  <c:v>-26.635811916584782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8-44C0-BC3D-22F00320847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53mini_ENT'!$K$27:$R$27</c:f>
              <c:numCache>
                <c:formatCode>0.0</c:formatCode>
                <c:ptCount val="8"/>
                <c:pt idx="0">
                  <c:v>14.185982766482596</c:v>
                </c:pt>
                <c:pt idx="1">
                  <c:v>10.980798295440522</c:v>
                </c:pt>
                <c:pt idx="2">
                  <c:v>6.0170975890181637</c:v>
                </c:pt>
                <c:pt idx="3">
                  <c:v>-6.6051994144095119</c:v>
                </c:pt>
                <c:pt idx="4">
                  <c:v>-14.170812896989023</c:v>
                </c:pt>
                <c:pt idx="5">
                  <c:v>-20.886451373024244</c:v>
                </c:pt>
                <c:pt idx="6">
                  <c:v>-23.93960987458123</c:v>
                </c:pt>
                <c:pt idx="7">
                  <c:v>-27.411542253082978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8-44C0-BC3D-22F003208478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53mini_ENT'!$K$28:$R$28</c:f>
              <c:numCache>
                <c:formatCode>0.0</c:formatCode>
                <c:ptCount val="8"/>
                <c:pt idx="0">
                  <c:v>14.588593305053429</c:v>
                </c:pt>
                <c:pt idx="1">
                  <c:v>11.917108263680632</c:v>
                </c:pt>
                <c:pt idx="2">
                  <c:v>5.6028284165453996</c:v>
                </c:pt>
                <c:pt idx="3">
                  <c:v>-6.5263643558055975</c:v>
                </c:pt>
                <c:pt idx="4">
                  <c:v>-13.421843829972623</c:v>
                </c:pt>
                <c:pt idx="5">
                  <c:v>-20.688583185952151</c:v>
                </c:pt>
                <c:pt idx="6">
                  <c:v>-25.813919987884297</c:v>
                </c:pt>
                <c:pt idx="7">
                  <c:v>-29.61287904687606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8-44C0-BC3D-22F003208478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53mini_ENT'!$K$29:$R$29</c:f>
              <c:numCache>
                <c:formatCode>0.0</c:formatCode>
                <c:ptCount val="8"/>
                <c:pt idx="0">
                  <c:v>18.683110110305101</c:v>
                </c:pt>
                <c:pt idx="1">
                  <c:v>11.712085093303159</c:v>
                </c:pt>
                <c:pt idx="2">
                  <c:v>4.4051487936569629</c:v>
                </c:pt>
                <c:pt idx="3">
                  <c:v>-7.1255880329292225</c:v>
                </c:pt>
                <c:pt idx="4">
                  <c:v>-12.603038351387934</c:v>
                </c:pt>
                <c:pt idx="5">
                  <c:v>-20.725034429745214</c:v>
                </c:pt>
                <c:pt idx="6">
                  <c:v>-25.533907210625955</c:v>
                </c:pt>
                <c:pt idx="7">
                  <c:v>-27.783648867649568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18-44C0-BC3D-22F00320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8962032"/>
        <c:axId val="778965312"/>
      </c:lineChart>
      <c:catAx>
        <c:axId val="778962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5312"/>
        <c:crosses val="autoZero"/>
        <c:auto val="1"/>
        <c:lblAlgn val="ctr"/>
        <c:lblOffset val="100"/>
        <c:noMultiLvlLbl val="0"/>
      </c:catAx>
      <c:valAx>
        <c:axId val="77896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Verkkokäyrän korjaus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7822615923009573E-2"/>
                  <c:y val="-0.377778142315543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53mini_ENT'!$AA$58:$AA$69</c:f>
              <c:numCache>
                <c:formatCode>0.00</c:formatCode>
                <c:ptCount val="12"/>
                <c:pt idx="0">
                  <c:v>7.6102689790380458E-3</c:v>
                </c:pt>
                <c:pt idx="1">
                  <c:v>2.0356088364759866E-2</c:v>
                </c:pt>
                <c:pt idx="2">
                  <c:v>4.3776886807526484E-2</c:v>
                </c:pt>
                <c:pt idx="3">
                  <c:v>8.9786673107239187E-2</c:v>
                </c:pt>
                <c:pt idx="4">
                  <c:v>7.7422845456261349E-3</c:v>
                </c:pt>
                <c:pt idx="5">
                  <c:v>2.0273647732094342E-2</c:v>
                </c:pt>
                <c:pt idx="6">
                  <c:v>4.3799261716828373E-2</c:v>
                </c:pt>
                <c:pt idx="7">
                  <c:v>9.6975783373867405E-2</c:v>
                </c:pt>
                <c:pt idx="8">
                  <c:v>7.8351835095548279E-3</c:v>
                </c:pt>
                <c:pt idx="9">
                  <c:v>2.074120821467363E-2</c:v>
                </c:pt>
                <c:pt idx="10">
                  <c:v>4.3140331166919822E-2</c:v>
                </c:pt>
                <c:pt idx="11">
                  <c:v>9.0323882452608001E-2</c:v>
                </c:pt>
              </c:numCache>
            </c:numRef>
          </c:xVal>
          <c:yVal>
            <c:numRef>
              <c:f>'Laskenta vaipan läpi 53mini_ENT'!$AC$58:$AC$69</c:f>
              <c:numCache>
                <c:formatCode>0.0</c:formatCode>
                <c:ptCount val="12"/>
                <c:pt idx="0">
                  <c:v>1.216691505336911</c:v>
                </c:pt>
                <c:pt idx="1">
                  <c:v>0.4464527860151577</c:v>
                </c:pt>
                <c:pt idx="2">
                  <c:v>-0.65313341119583868</c:v>
                </c:pt>
                <c:pt idx="3">
                  <c:v>-1.4995142907542132</c:v>
                </c:pt>
                <c:pt idx="4">
                  <c:v>1.1148459269631843</c:v>
                </c:pt>
                <c:pt idx="5">
                  <c:v>0.19012724618733046</c:v>
                </c:pt>
                <c:pt idx="6">
                  <c:v>-0.32494599872951113</c:v>
                </c:pt>
                <c:pt idx="7">
                  <c:v>-1.3390219536385786</c:v>
                </c:pt>
                <c:pt idx="8">
                  <c:v>0.8256953897465138</c:v>
                </c:pt>
                <c:pt idx="9">
                  <c:v>0.24626124430299967</c:v>
                </c:pt>
                <c:pt idx="10">
                  <c:v>-0.21414859502976924</c:v>
                </c:pt>
                <c:pt idx="11">
                  <c:v>-1.0769803406104685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81-4DD8-8998-21C38026C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8571231"/>
        <c:axId val="1388591871"/>
      </c:scatterChart>
      <c:valAx>
        <c:axId val="13885712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88591871"/>
        <c:crosses val="autoZero"/>
        <c:crossBetween val="midCat"/>
      </c:valAx>
      <c:valAx>
        <c:axId val="1388591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8857123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3.7706396433266814E-2"/>
                  <c:y val="0.15623941137710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130_ENT'!$D$59:$D$62</c:f>
              <c:numCache>
                <c:formatCode>0.0</c:formatCode>
                <c:ptCount val="4"/>
                <c:pt idx="0">
                  <c:v>124.45552078709319</c:v>
                </c:pt>
                <c:pt idx="1">
                  <c:v>116.51720534386456</c:v>
                </c:pt>
                <c:pt idx="2">
                  <c:v>101.70534454841015</c:v>
                </c:pt>
                <c:pt idx="3">
                  <c:v>82.365017043939588</c:v>
                </c:pt>
              </c:numCache>
            </c:numRef>
          </c:xVal>
          <c:yVal>
            <c:numRef>
              <c:f>'Laskenta tulopuoli 130_ENT'!$E$59:$E$62</c:f>
              <c:numCache>
                <c:formatCode>0.0</c:formatCode>
                <c:ptCount val="4"/>
                <c:pt idx="0">
                  <c:v>59.464218542298468</c:v>
                </c:pt>
                <c:pt idx="1">
                  <c:v>59.36196924526331</c:v>
                </c:pt>
                <c:pt idx="2">
                  <c:v>60.027949452160676</c:v>
                </c:pt>
                <c:pt idx="3">
                  <c:v>60.608228329655951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5E-46FD-A509-EB1337294EC4}"/>
            </c:ext>
          </c:extLst>
        </c:ser>
        <c:ser>
          <c:idx val="1"/>
          <c:order val="1"/>
          <c:tx>
            <c:strRef>
              <c:f>'Laskenta tulopuoli 130_ENT'!$C$64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130_ENT'!$D$64:$D$67</c:f>
              <c:numCache>
                <c:formatCode>0.0</c:formatCode>
                <c:ptCount val="4"/>
                <c:pt idx="0">
                  <c:v>108.61605915705071</c:v>
                </c:pt>
                <c:pt idx="1">
                  <c:v>98.281498327194029</c:v>
                </c:pt>
                <c:pt idx="2">
                  <c:v>84.237915047166098</c:v>
                </c:pt>
                <c:pt idx="3">
                  <c:v>68.226231139270695</c:v>
                </c:pt>
              </c:numCache>
            </c:numRef>
          </c:xVal>
          <c:yVal>
            <c:numRef>
              <c:f>'Laskenta tulopuoli 130_ENT'!$E$64:$E$67</c:f>
              <c:numCache>
                <c:formatCode>0.0</c:formatCode>
                <c:ptCount val="4"/>
                <c:pt idx="0">
                  <c:v>56.814264092463056</c:v>
                </c:pt>
                <c:pt idx="1">
                  <c:v>56.095905975041596</c:v>
                </c:pt>
                <c:pt idx="2">
                  <c:v>55.812437707556704</c:v>
                </c:pt>
                <c:pt idx="3">
                  <c:v>56.113551475189496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35E-46FD-A509-EB1337294EC4}"/>
            </c:ext>
          </c:extLst>
        </c:ser>
        <c:ser>
          <c:idx val="2"/>
          <c:order val="2"/>
          <c:tx>
            <c:strRef>
              <c:f>'Laskenta tulopuoli 130_ENT'!$C$69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130_ENT'!$D$69:$D$72</c:f>
              <c:numCache>
                <c:formatCode>0.0</c:formatCode>
                <c:ptCount val="4"/>
                <c:pt idx="0">
                  <c:v>78.91869125446334</c:v>
                </c:pt>
                <c:pt idx="1">
                  <c:v>70.580249223838763</c:v>
                </c:pt>
                <c:pt idx="2">
                  <c:v>61.003247611336789</c:v>
                </c:pt>
                <c:pt idx="3">
                  <c:v>50.009324712830463</c:v>
                </c:pt>
              </c:numCache>
            </c:numRef>
          </c:xVal>
          <c:yVal>
            <c:numRef>
              <c:f>'Laskenta tulopuoli 130_ENT'!$E$69:$E$72</c:f>
              <c:numCache>
                <c:formatCode>0.0</c:formatCode>
                <c:ptCount val="4"/>
                <c:pt idx="0">
                  <c:v>50.35449179308835</c:v>
                </c:pt>
                <c:pt idx="1">
                  <c:v>49.716367440911277</c:v>
                </c:pt>
                <c:pt idx="2">
                  <c:v>49.303164455402957</c:v>
                </c:pt>
                <c:pt idx="3">
                  <c:v>49.591899884279549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35E-46FD-A509-EB1337294EC4}"/>
            </c:ext>
          </c:extLst>
        </c:ser>
        <c:ser>
          <c:idx val="3"/>
          <c:order val="3"/>
          <c:tx>
            <c:strRef>
              <c:f>'Laskenta tulopuoli 130_ENT'!$C$74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500076915261491"/>
                  <c:y val="0.134977096132800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130_ENT'!$D$74:$D$77</c:f>
              <c:numCache>
                <c:formatCode>0.0</c:formatCode>
                <c:ptCount val="4"/>
                <c:pt idx="0">
                  <c:v>47.209584540076754</c:v>
                </c:pt>
                <c:pt idx="1">
                  <c:v>42.465356495567598</c:v>
                </c:pt>
                <c:pt idx="2">
                  <c:v>37.102816665150158</c:v>
                </c:pt>
                <c:pt idx="3">
                  <c:v>29.182562373170153</c:v>
                </c:pt>
              </c:numCache>
            </c:numRef>
          </c:xVal>
          <c:yVal>
            <c:numRef>
              <c:f>'Laskenta tulopuoli 130_ENT'!$E$74:$E$77</c:f>
              <c:numCache>
                <c:formatCode>0.0</c:formatCode>
                <c:ptCount val="4"/>
                <c:pt idx="0">
                  <c:v>41.263554965594018</c:v>
                </c:pt>
                <c:pt idx="1">
                  <c:v>40.752210874042227</c:v>
                </c:pt>
                <c:pt idx="2">
                  <c:v>40.829184240359169</c:v>
                </c:pt>
                <c:pt idx="3">
                  <c:v>40.707367893087195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35E-46FD-A509-EB1337294EC4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5E-46FD-A509-EB1337294EC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735E-46FD-A509-EB1337294EC4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130_ENT'!$AC$34:$AC$37</c:f>
              <c:numCache>
                <c:formatCode>0.0</c:formatCode>
                <c:ptCount val="4"/>
                <c:pt idx="0">
                  <c:v>79.71254856335878</c:v>
                </c:pt>
                <c:pt idx="1">
                  <c:v>64.858211499470514</c:v>
                </c:pt>
                <c:pt idx="2">
                  <c:v>47.178742939205094</c:v>
                </c:pt>
                <c:pt idx="3">
                  <c:v>28.590110082325001</c:v>
                </c:pt>
              </c:numCache>
            </c:numRef>
          </c:xVal>
          <c:yVal>
            <c:numRef>
              <c:f>'Laskenta tulopuoli 130_ENT'!$AF$34:$AF$37</c:f>
              <c:numCache>
                <c:formatCode>0.0</c:formatCode>
                <c:ptCount val="4"/>
                <c:pt idx="0">
                  <c:v>60.747302012956958</c:v>
                </c:pt>
                <c:pt idx="1">
                  <c:v>56.297471984586323</c:v>
                </c:pt>
                <c:pt idx="2">
                  <c:v>49.749987516037208</c:v>
                </c:pt>
                <c:pt idx="3">
                  <c:v>40.749945168840291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35E-46FD-A509-EB1337294EC4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130_ENT'!$W$5</c:f>
              <c:numCache>
                <c:formatCode>0.0</c:formatCode>
                <c:ptCount val="1"/>
                <c:pt idx="0">
                  <c:v>44.262824069243834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35E-46FD-A509-EB1337294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130_ENT'!$N$59:$N$62</c:f>
              <c:numCache>
                <c:formatCode>0.0</c:formatCode>
                <c:ptCount val="4"/>
                <c:pt idx="0">
                  <c:v>124.49829752500722</c:v>
                </c:pt>
                <c:pt idx="1">
                  <c:v>116.22872893281689</c:v>
                </c:pt>
                <c:pt idx="2">
                  <c:v>102.73164382577521</c:v>
                </c:pt>
                <c:pt idx="3">
                  <c:v>82.099032137491747</c:v>
                </c:pt>
              </c:numCache>
            </c:numRef>
          </c:xVal>
          <c:yVal>
            <c:numRef>
              <c:f>'Laskenta tulopuoli 130_ENT'!$O$59:$O$62</c:f>
              <c:numCache>
                <c:formatCode>0.0</c:formatCode>
                <c:ptCount val="4"/>
                <c:pt idx="0">
                  <c:v>74.843704730864445</c:v>
                </c:pt>
                <c:pt idx="1">
                  <c:v>74.987135559894881</c:v>
                </c:pt>
                <c:pt idx="2">
                  <c:v>75.708977921572853</c:v>
                </c:pt>
                <c:pt idx="3">
                  <c:v>76.464934909676941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DF-4217-A815-2EDD55A7E139}"/>
            </c:ext>
          </c:extLst>
        </c:ser>
        <c:ser>
          <c:idx val="1"/>
          <c:order val="1"/>
          <c:tx>
            <c:strRef>
              <c:f>'Laskenta tulopuoli 130_ENT'!$C$64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130_ENT'!$N$64:$N$67</c:f>
              <c:numCache>
                <c:formatCode>0.0</c:formatCode>
                <c:ptCount val="4"/>
                <c:pt idx="0">
                  <c:v>108.79901687814959</c:v>
                </c:pt>
                <c:pt idx="1">
                  <c:v>97.159742938215373</c:v>
                </c:pt>
                <c:pt idx="2">
                  <c:v>85.227725522189502</c:v>
                </c:pt>
                <c:pt idx="3">
                  <c:v>67.119168106658208</c:v>
                </c:pt>
              </c:numCache>
            </c:numRef>
          </c:xVal>
          <c:yVal>
            <c:numRef>
              <c:f>'Laskenta tulopuoli 130_ENT'!$O$64:$O$67</c:f>
              <c:numCache>
                <c:formatCode>0.0</c:formatCode>
                <c:ptCount val="4"/>
                <c:pt idx="0">
                  <c:v>72.000070714917115</c:v>
                </c:pt>
                <c:pt idx="1">
                  <c:v>71.638832438309009</c:v>
                </c:pt>
                <c:pt idx="2">
                  <c:v>71.781837965876733</c:v>
                </c:pt>
                <c:pt idx="3">
                  <c:v>72.155935238638762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3DF-4217-A815-2EDD55A7E139}"/>
            </c:ext>
          </c:extLst>
        </c:ser>
        <c:ser>
          <c:idx val="2"/>
          <c:order val="2"/>
          <c:tx>
            <c:strRef>
              <c:f>'Laskenta tulopuoli 130_ENT'!$C$69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130_ENT'!$N$69:$N$72</c:f>
              <c:numCache>
                <c:formatCode>0.0</c:formatCode>
                <c:ptCount val="4"/>
                <c:pt idx="0">
                  <c:v>79.189925082805274</c:v>
                </c:pt>
                <c:pt idx="1">
                  <c:v>69.29180640070085</c:v>
                </c:pt>
                <c:pt idx="2">
                  <c:v>61.072161700876308</c:v>
                </c:pt>
                <c:pt idx="3">
                  <c:v>48.975695956645126</c:v>
                </c:pt>
              </c:numCache>
            </c:numRef>
          </c:xVal>
          <c:yVal>
            <c:numRef>
              <c:f>'Laskenta tulopuoli 130_ENT'!$O$69:$O$72</c:f>
              <c:numCache>
                <c:formatCode>0.0</c:formatCode>
                <c:ptCount val="4"/>
                <c:pt idx="0">
                  <c:v>65.344965804359333</c:v>
                </c:pt>
                <c:pt idx="1">
                  <c:v>65.19105994578031</c:v>
                </c:pt>
                <c:pt idx="2">
                  <c:v>65.221443421121307</c:v>
                </c:pt>
                <c:pt idx="3">
                  <c:v>65.532160154792763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3DF-4217-A815-2EDD55A7E139}"/>
            </c:ext>
          </c:extLst>
        </c:ser>
        <c:ser>
          <c:idx val="3"/>
          <c:order val="3"/>
          <c:tx>
            <c:strRef>
              <c:f>'Laskenta tulopuoli 130_ENT'!$C$74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130_ENT'!$N$74:$N$77</c:f>
              <c:numCache>
                <c:formatCode>0.0</c:formatCode>
                <c:ptCount val="4"/>
                <c:pt idx="0">
                  <c:v>47.482793089946028</c:v>
                </c:pt>
                <c:pt idx="1">
                  <c:v>41.228509340499677</c:v>
                </c:pt>
                <c:pt idx="2">
                  <c:v>36.475191125897595</c:v>
                </c:pt>
                <c:pt idx="3">
                  <c:v>27.664795652547159</c:v>
                </c:pt>
              </c:numCache>
            </c:numRef>
          </c:xVal>
          <c:yVal>
            <c:numRef>
              <c:f>'Laskenta tulopuoli 130_ENT'!$O$74:$O$77</c:f>
              <c:numCache>
                <c:formatCode>0.0</c:formatCode>
                <c:ptCount val="4"/>
                <c:pt idx="0">
                  <c:v>55.826600262242778</c:v>
                </c:pt>
                <c:pt idx="1">
                  <c:v>55.930075733390261</c:v>
                </c:pt>
                <c:pt idx="2">
                  <c:v>55.788583914062073</c:v>
                </c:pt>
                <c:pt idx="3">
                  <c:v>55.713078457982796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3DF-4217-A815-2EDD55A7E139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130_ENT'!$AC$34:$AC$37</c:f>
              <c:numCache>
                <c:formatCode>0.0</c:formatCode>
                <c:ptCount val="4"/>
                <c:pt idx="0">
                  <c:v>79.71254856335878</c:v>
                </c:pt>
                <c:pt idx="1">
                  <c:v>64.858211499470514</c:v>
                </c:pt>
                <c:pt idx="2">
                  <c:v>47.178742939205094</c:v>
                </c:pt>
                <c:pt idx="3">
                  <c:v>28.590110082325001</c:v>
                </c:pt>
              </c:numCache>
            </c:numRef>
          </c:xVal>
          <c:yVal>
            <c:numRef>
              <c:f>'Laskenta tulopuoli 130_ENT'!$AG$34:$AG$37</c:f>
              <c:numCache>
                <c:formatCode>0.0</c:formatCode>
                <c:ptCount val="4"/>
                <c:pt idx="0">
                  <c:v>76.579829454000361</c:v>
                </c:pt>
                <c:pt idx="1">
                  <c:v>72.268480906531096</c:v>
                </c:pt>
                <c:pt idx="2">
                  <c:v>65.604899230395333</c:v>
                </c:pt>
                <c:pt idx="3">
                  <c:v>55.723049601694498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3DF-4217-A815-2EDD55A7E139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130_ENT'!$W$6</c:f>
              <c:numCache>
                <c:formatCode>0.0</c:formatCode>
                <c:ptCount val="1"/>
                <c:pt idx="0">
                  <c:v>59.570501301046434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3DF-4217-A815-2EDD55A7E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130_ENT'!$AM$35:$AM$38</c:f>
              <c:numCache>
                <c:formatCode>0.0</c:formatCode>
                <c:ptCount val="4"/>
                <c:pt idx="0">
                  <c:v>73.994470096419207</c:v>
                </c:pt>
                <c:pt idx="1">
                  <c:v>64.858211499470514</c:v>
                </c:pt>
                <c:pt idx="2">
                  <c:v>47.178742939205094</c:v>
                </c:pt>
                <c:pt idx="3">
                  <c:v>28.590110082325001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D0-4217-BADB-DEF93153ACA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130_ENT'!$AM$34:$AM$35</c:f>
              <c:numCache>
                <c:formatCode>0.0</c:formatCode>
                <c:ptCount val="2"/>
                <c:pt idx="0">
                  <c:v>79.71254856335878</c:v>
                </c:pt>
                <c:pt idx="1">
                  <c:v>73.994470096419207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9D0-4217-BADB-DEF93153ACAC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130_ENT'!$W$9</c:f>
              <c:numCache>
                <c:formatCode>0.0</c:formatCode>
                <c:ptCount val="1"/>
                <c:pt idx="0">
                  <c:v>4.6589712343931486</c:v>
                </c:pt>
              </c:numCache>
            </c:numRef>
          </c:xVal>
          <c:yVal>
            <c:numRef>
              <c:f>'Laskenta tulopuoli 130_ENT'!$J$3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9D0-4217-BADB-DEF93153A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0.30358954579704656"/>
                  <c:y val="-7.55377678345630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130_ENT'!$X$62:$X$68</c:f>
              <c:numCache>
                <c:formatCode>0.0</c:formatCode>
                <c:ptCount val="7"/>
                <c:pt idx="0">
                  <c:v>115.07326296692654</c:v>
                </c:pt>
                <c:pt idx="1">
                  <c:v>110.37714302386942</c:v>
                </c:pt>
                <c:pt idx="2">
                  <c:v>103.29973361775856</c:v>
                </c:pt>
                <c:pt idx="3">
                  <c:v>92.00971203437571</c:v>
                </c:pt>
                <c:pt idx="4">
                  <c:v>79.647869425429306</c:v>
                </c:pt>
                <c:pt idx="5">
                  <c:v>68.418898324482583</c:v>
                </c:pt>
                <c:pt idx="6">
                  <c:v>52.880453885014383</c:v>
                </c:pt>
              </c:numCache>
            </c:numRef>
          </c:xVal>
          <c:yVal>
            <c:numRef>
              <c:f>'Laskenta tulopuoli 130_ENT'!$Y$62:$Y$68</c:f>
              <c:numCache>
                <c:formatCode>0.0</c:formatCode>
                <c:ptCount val="7"/>
                <c:pt idx="0">
                  <c:v>167.55901865645629</c:v>
                </c:pt>
                <c:pt idx="1">
                  <c:v>166.83068715224474</c:v>
                </c:pt>
                <c:pt idx="2">
                  <c:v>163.1785428035638</c:v>
                </c:pt>
                <c:pt idx="3">
                  <c:v>149.02892706748165</c:v>
                </c:pt>
                <c:pt idx="4">
                  <c:v>137.70061008294681</c:v>
                </c:pt>
                <c:pt idx="5">
                  <c:v>126.95007636248987</c:v>
                </c:pt>
                <c:pt idx="6">
                  <c:v>109.75920069451099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79-413A-B55F-B5B67B44C38D}"/>
            </c:ext>
          </c:extLst>
        </c:ser>
        <c:ser>
          <c:idx val="1"/>
          <c:order val="1"/>
          <c:tx>
            <c:strRef>
              <c:f>'Laskenta tulopuoli 130_ENT'!$W$70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130_ENT'!$X$70:$X$76</c:f>
              <c:numCache>
                <c:formatCode>0.0</c:formatCode>
                <c:ptCount val="7"/>
                <c:pt idx="0">
                  <c:v>42.211275851555982</c:v>
                </c:pt>
                <c:pt idx="1">
                  <c:v>58.642949192646377</c:v>
                </c:pt>
                <c:pt idx="2">
                  <c:v>71.897152256247168</c:v>
                </c:pt>
                <c:pt idx="3">
                  <c:v>89.052329006531664</c:v>
                </c:pt>
                <c:pt idx="4">
                  <c:v>97.587712481034103</c:v>
                </c:pt>
                <c:pt idx="5">
                  <c:v>104.27133188591066</c:v>
                </c:pt>
                <c:pt idx="6">
                  <c:v>111.74275916804318</c:v>
                </c:pt>
              </c:numCache>
            </c:numRef>
          </c:xVal>
          <c:yVal>
            <c:numRef>
              <c:f>'Laskenta tulopuoli 130_ENT'!$Y$70:$Y$76</c:f>
              <c:numCache>
                <c:formatCode>0.0</c:formatCode>
                <c:ptCount val="7"/>
                <c:pt idx="0">
                  <c:v>64.573221113007946</c:v>
                </c:pt>
                <c:pt idx="1">
                  <c:v>76.697210767145009</c:v>
                </c:pt>
                <c:pt idx="2">
                  <c:v>86.468910889524679</c:v>
                </c:pt>
                <c:pt idx="3">
                  <c:v>101.34825145413782</c:v>
                </c:pt>
                <c:pt idx="4">
                  <c:v>108.33146437607296</c:v>
                </c:pt>
                <c:pt idx="5">
                  <c:v>114.30265628247243</c:v>
                </c:pt>
                <c:pt idx="6">
                  <c:v>119.61292912838947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179-413A-B55F-B5B67B44C38D}"/>
            </c:ext>
          </c:extLst>
        </c:ser>
        <c:ser>
          <c:idx val="2"/>
          <c:order val="2"/>
          <c:tx>
            <c:strRef>
              <c:f>'Laskenta tulopuoli 130_ENT'!$W$78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130_ENT'!$X$78:$X$82</c:f>
              <c:numCache>
                <c:formatCode>0.0</c:formatCode>
                <c:ptCount val="5"/>
                <c:pt idx="0">
                  <c:v>81.198846939796766</c:v>
                </c:pt>
                <c:pt idx="1">
                  <c:v>70.254539314096192</c:v>
                </c:pt>
                <c:pt idx="2">
                  <c:v>52.851142891263699</c:v>
                </c:pt>
                <c:pt idx="3">
                  <c:v>35.427885488417679</c:v>
                </c:pt>
                <c:pt idx="4">
                  <c:v>24.980850337281851</c:v>
                </c:pt>
              </c:numCache>
            </c:numRef>
          </c:xVal>
          <c:yVal>
            <c:numRef>
              <c:f>'Laskenta tulopuoli 130_ENT'!$Y$78:$Y$82</c:f>
              <c:numCache>
                <c:formatCode>0.0</c:formatCode>
                <c:ptCount val="5"/>
                <c:pt idx="0">
                  <c:v>53.948619317926948</c:v>
                </c:pt>
                <c:pt idx="1">
                  <c:v>48.762386933316016</c:v>
                </c:pt>
                <c:pt idx="2">
                  <c:v>40.17479588942841</c:v>
                </c:pt>
                <c:pt idx="3">
                  <c:v>32.654563666299268</c:v>
                </c:pt>
                <c:pt idx="4">
                  <c:v>28.243687599468238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179-413A-B55F-B5B67B44C38D}"/>
            </c:ext>
          </c:extLst>
        </c:ser>
        <c:ser>
          <c:idx val="3"/>
          <c:order val="3"/>
          <c:tx>
            <c:strRef>
              <c:f>'Laskenta tulopuoli 130_ENT'!$W$86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130_ENT'!$X$86:$X$89</c:f>
              <c:numCache>
                <c:formatCode>0.0</c:formatCode>
                <c:ptCount val="4"/>
                <c:pt idx="0">
                  <c:v>11.711435293612686</c:v>
                </c:pt>
                <c:pt idx="1">
                  <c:v>27.818556286951857</c:v>
                </c:pt>
                <c:pt idx="2">
                  <c:v>36.046560556264176</c:v>
                </c:pt>
                <c:pt idx="3">
                  <c:v>46.471423023508507</c:v>
                </c:pt>
              </c:numCache>
            </c:numRef>
          </c:xVal>
          <c:yVal>
            <c:numRef>
              <c:f>'Laskenta tulopuoli 130_ENT'!$Y$86:$Y$89</c:f>
              <c:numCache>
                <c:formatCode>0.0</c:formatCode>
                <c:ptCount val="4"/>
                <c:pt idx="0">
                  <c:v>10.725288918422793</c:v>
                </c:pt>
                <c:pt idx="1">
                  <c:v>13.699672910599288</c:v>
                </c:pt>
                <c:pt idx="2">
                  <c:v>15.230560172038357</c:v>
                </c:pt>
                <c:pt idx="3">
                  <c:v>17.476266161553145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179-413A-B55F-B5B67B44C38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0249005732555573"/>
                  <c:y val="0.294122636635546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130_ENT'!$AC$34:$AC$38</c:f>
              <c:numCache>
                <c:formatCode>0.0</c:formatCode>
                <c:ptCount val="5"/>
                <c:pt idx="0">
                  <c:v>79.71254856335878</c:v>
                </c:pt>
                <c:pt idx="1">
                  <c:v>64.858211499470514</c:v>
                </c:pt>
                <c:pt idx="2">
                  <c:v>47.178742939205094</c:v>
                </c:pt>
                <c:pt idx="3">
                  <c:v>28.590110082325001</c:v>
                </c:pt>
                <c:pt idx="4">
                  <c:v>73.994470096419207</c:v>
                </c:pt>
              </c:numCache>
            </c:numRef>
          </c:xVal>
          <c:yVal>
            <c:numRef>
              <c:f>'Laskenta tulopuoli 130_ENT'!$AE$34:$AE$38</c:f>
              <c:numCache>
                <c:formatCode>0.0</c:formatCode>
                <c:ptCount val="5"/>
                <c:pt idx="0">
                  <c:v>138.62051295915444</c:v>
                </c:pt>
                <c:pt idx="1">
                  <c:v>81.564932070539442</c:v>
                </c:pt>
                <c:pt idx="2">
                  <c:v>37.751166329819171</c:v>
                </c:pt>
                <c:pt idx="3">
                  <c:v>13.806150483502689</c:v>
                </c:pt>
                <c:pt idx="4">
                  <c:v>106.37545483140913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179-413A-B55F-B5B67B44C38D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130_ENT'!$W$13</c:f>
              <c:numCache>
                <c:formatCode>0.0</c:formatCode>
                <c:ptCount val="1"/>
                <c:pt idx="0">
                  <c:v>18.877731672521207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179-413A-B55F-B5B67B44C38D}"/>
            </c:ext>
          </c:extLst>
        </c:ser>
        <c:ser>
          <c:idx val="6"/>
          <c:order val="6"/>
          <c:tx>
            <c:strRef>
              <c:f>'Laskenta tulopuoli 130_ENT'!$W$92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130_ENT'!$X$92:$X$97</c:f>
              <c:numCache>
                <c:formatCode>0.0</c:formatCode>
                <c:ptCount val="6"/>
                <c:pt idx="0">
                  <c:v>141.10404124096343</c:v>
                </c:pt>
                <c:pt idx="1">
                  <c:v>124.94903554906834</c:v>
                </c:pt>
                <c:pt idx="2">
                  <c:v>106.62217899469141</c:v>
                </c:pt>
                <c:pt idx="3">
                  <c:v>64.419920557585854</c:v>
                </c:pt>
                <c:pt idx="4">
                  <c:v>56.229712184516153</c:v>
                </c:pt>
                <c:pt idx="5">
                  <c:v>83.611180354954868</c:v>
                </c:pt>
              </c:numCache>
            </c:numRef>
          </c:xVal>
          <c:yVal>
            <c:numRef>
              <c:f>'Laskenta tulopuoli 130_ENT'!$Y$92:$Y$97</c:f>
              <c:numCache>
                <c:formatCode>0.0</c:formatCode>
                <c:ptCount val="6"/>
                <c:pt idx="0">
                  <c:v>167.93655444929746</c:v>
                </c:pt>
                <c:pt idx="1">
                  <c:v>151.20163489695867</c:v>
                </c:pt>
                <c:pt idx="2">
                  <c:v>133.50891905510676</c:v>
                </c:pt>
                <c:pt idx="3">
                  <c:v>99.092044063706723</c:v>
                </c:pt>
                <c:pt idx="4">
                  <c:v>93.114830247782109</c:v>
                </c:pt>
                <c:pt idx="5">
                  <c:v>114.54522119951174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179-413A-B55F-B5B67B44C38D}"/>
            </c:ext>
          </c:extLst>
        </c:ser>
        <c:ser>
          <c:idx val="7"/>
          <c:order val="7"/>
          <c:tx>
            <c:v>10V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130_ENT'!$X$59:$X$68</c:f>
              <c:numCache>
                <c:formatCode>0.0</c:formatCode>
                <c:ptCount val="10"/>
                <c:pt idx="0">
                  <c:v>126.54627249330899</c:v>
                </c:pt>
                <c:pt idx="1">
                  <c:v>124.17422218989299</c:v>
                </c:pt>
                <c:pt idx="2">
                  <c:v>119.51684900019518</c:v>
                </c:pt>
                <c:pt idx="3">
                  <c:v>115.07326296692654</c:v>
                </c:pt>
                <c:pt idx="4">
                  <c:v>110.37714302386942</c:v>
                </c:pt>
                <c:pt idx="5">
                  <c:v>103.29973361775856</c:v>
                </c:pt>
                <c:pt idx="6">
                  <c:v>92.00971203437571</c:v>
                </c:pt>
                <c:pt idx="7">
                  <c:v>79.647869425429306</c:v>
                </c:pt>
                <c:pt idx="8">
                  <c:v>68.418898324482583</c:v>
                </c:pt>
                <c:pt idx="9">
                  <c:v>52.880453885014383</c:v>
                </c:pt>
              </c:numCache>
            </c:numRef>
          </c:xVal>
          <c:yVal>
            <c:numRef>
              <c:f>'Laskenta tulopuoli 130_ENT'!$Y$59:$Y$68</c:f>
              <c:numCache>
                <c:formatCode>0.0</c:formatCode>
                <c:ptCount val="10"/>
                <c:pt idx="0">
                  <c:v>166.57546823070092</c:v>
                </c:pt>
                <c:pt idx="1">
                  <c:v>167.97619510885116</c:v>
                </c:pt>
                <c:pt idx="2">
                  <c:v>166.98982665915423</c:v>
                </c:pt>
                <c:pt idx="3">
                  <c:v>167.55901865645629</c:v>
                </c:pt>
                <c:pt idx="4">
                  <c:v>166.83068715224474</c:v>
                </c:pt>
                <c:pt idx="5">
                  <c:v>163.1785428035638</c:v>
                </c:pt>
                <c:pt idx="6">
                  <c:v>149.02892706748165</c:v>
                </c:pt>
                <c:pt idx="7">
                  <c:v>137.70061008294681</c:v>
                </c:pt>
                <c:pt idx="8">
                  <c:v>126.95007636248987</c:v>
                </c:pt>
                <c:pt idx="9">
                  <c:v>109.75920069451099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179-413A-B55F-B5B67B44C38D}"/>
            </c:ext>
          </c:extLst>
        </c:ser>
        <c:ser>
          <c:idx val="8"/>
          <c:order val="8"/>
          <c:tx>
            <c:v>8V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130_ENT'!$D$64:$D$67</c:f>
              <c:numCache>
                <c:formatCode>0.0</c:formatCode>
                <c:ptCount val="4"/>
                <c:pt idx="0">
                  <c:v>108.61605915705071</c:v>
                </c:pt>
                <c:pt idx="1">
                  <c:v>98.281498327194029</c:v>
                </c:pt>
                <c:pt idx="2">
                  <c:v>84.237915047166098</c:v>
                </c:pt>
                <c:pt idx="3">
                  <c:v>68.226231139270695</c:v>
                </c:pt>
              </c:numCache>
            </c:numRef>
          </c:xVal>
          <c:yVal>
            <c:numRef>
              <c:f>'Laskenta tulopuoli 130_ENT'!$F$64:$F$67</c:f>
              <c:numCache>
                <c:formatCode>0.0</c:formatCode>
                <c:ptCount val="4"/>
                <c:pt idx="0">
                  <c:v>113.88364344629936</c:v>
                </c:pt>
                <c:pt idx="1">
                  <c:v>105.60183590543593</c:v>
                </c:pt>
                <c:pt idx="2">
                  <c:v>96.726317106350749</c:v>
                </c:pt>
                <c:pt idx="3">
                  <c:v>80.48587455606517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179-413A-B55F-B5B67B44C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130_ENT'!$AA$4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130_ENT'!$AB$6:$AB$12</c:f>
              <c:numCache>
                <c:formatCode>0.0</c:formatCode>
                <c:ptCount val="7"/>
                <c:pt idx="0">
                  <c:v>126.01974435017826</c:v>
                </c:pt>
                <c:pt idx="1">
                  <c:v>116.9551794907145</c:v>
                </c:pt>
                <c:pt idx="2">
                  <c:v>109.49073106750077</c:v>
                </c:pt>
                <c:pt idx="3">
                  <c:v>102.35092924915141</c:v>
                </c:pt>
                <c:pt idx="4">
                  <c:v>92.744114863169855</c:v>
                </c:pt>
                <c:pt idx="5">
                  <c:v>80.772307836137671</c:v>
                </c:pt>
                <c:pt idx="6">
                  <c:v>62.490705197281741</c:v>
                </c:pt>
              </c:numCache>
            </c:numRef>
          </c:xVal>
          <c:yVal>
            <c:numRef>
              <c:f>'Laskenta tulopuoli 130_ENT'!$AA$6:$AA$12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CE-4844-8489-AE896EB8F626}"/>
            </c:ext>
          </c:extLst>
        </c:ser>
        <c:ser>
          <c:idx val="1"/>
          <c:order val="1"/>
          <c:tx>
            <c:strRef>
              <c:f>'Laskenta tulopuoli 130_ENT'!$AC$4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130_ENT'!$AD$6:$AD$12</c:f>
              <c:numCache>
                <c:formatCode>0.0</c:formatCode>
                <c:ptCount val="7"/>
                <c:pt idx="0">
                  <c:v>109.58070691735244</c:v>
                </c:pt>
                <c:pt idx="1">
                  <c:v>105.19149757967907</c:v>
                </c:pt>
                <c:pt idx="2">
                  <c:v>97.381640927517822</c:v>
                </c:pt>
                <c:pt idx="3">
                  <c:v>88.791077175548679</c:v>
                </c:pt>
                <c:pt idx="4">
                  <c:v>85.076221283069771</c:v>
                </c:pt>
                <c:pt idx="5">
                  <c:v>81.164804640481279</c:v>
                </c:pt>
                <c:pt idx="6">
                  <c:v>46.424019513205216</c:v>
                </c:pt>
              </c:numCache>
            </c:numRef>
          </c:xVal>
          <c:yVal>
            <c:numRef>
              <c:f>'Laskenta tulopuoli 130_ENT'!$AC$6:$AC$12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CE-4844-8489-AE896EB8F626}"/>
            </c:ext>
          </c:extLst>
        </c:ser>
        <c:ser>
          <c:idx val="2"/>
          <c:order val="2"/>
          <c:tx>
            <c:strRef>
              <c:f>'Laskenta tulopuoli 130_ENT'!$AE$4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130_ENT'!$AF$6:$AF$11</c:f>
              <c:numCache>
                <c:formatCode>0.0</c:formatCode>
                <c:ptCount val="6"/>
                <c:pt idx="0">
                  <c:v>79.447008572256934</c:v>
                </c:pt>
                <c:pt idx="1">
                  <c:v>72.849851058462903</c:v>
                </c:pt>
                <c:pt idx="2">
                  <c:v>68.197902980402219</c:v>
                </c:pt>
                <c:pt idx="3">
                  <c:v>63.306445013042172</c:v>
                </c:pt>
                <c:pt idx="4">
                  <c:v>58.134168283347442</c:v>
                </c:pt>
                <c:pt idx="5">
                  <c:v>33.145608031307056</c:v>
                </c:pt>
              </c:numCache>
            </c:numRef>
          </c:xVal>
          <c:yVal>
            <c:numRef>
              <c:f>'Laskenta tulopuoli 130_ENT'!$AE$6:$AE$11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CE-4844-8489-AE896EB8F626}"/>
            </c:ext>
          </c:extLst>
        </c:ser>
        <c:ser>
          <c:idx val="3"/>
          <c:order val="3"/>
          <c:tx>
            <c:strRef>
              <c:f>'Laskenta tulopuoli 130_ENT'!$AG$4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130_ENT'!$AH$6:$AH$10</c:f>
              <c:numCache>
                <c:formatCode>0.0</c:formatCode>
                <c:ptCount val="5"/>
                <c:pt idx="0">
                  <c:v>44.757579886904097</c:v>
                </c:pt>
                <c:pt idx="1">
                  <c:v>41.068093478037703</c:v>
                </c:pt>
                <c:pt idx="2">
                  <c:v>39.165523733600942</c:v>
                </c:pt>
                <c:pt idx="3">
                  <c:v>37.221020713685533</c:v>
                </c:pt>
                <c:pt idx="4">
                  <c:v>19.714016122663523</c:v>
                </c:pt>
              </c:numCache>
            </c:numRef>
          </c:xVal>
          <c:yVal>
            <c:numRef>
              <c:f>'Laskenta tulopuoli 130_ENT'!$AG$6:$AG$10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BCE-4844-8489-AE896EB8F626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130_ENT'!$L$3</c:f>
              <c:numCache>
                <c:formatCode>0.0</c:formatCode>
                <c:ptCount val="1"/>
                <c:pt idx="0">
                  <c:v>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BCE-4844-8489-AE896EB8F626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130_ENT'!$AC$34:$AC$37</c:f>
              <c:numCache>
                <c:formatCode>0.0</c:formatCode>
                <c:ptCount val="4"/>
                <c:pt idx="0">
                  <c:v>79.71254856335878</c:v>
                </c:pt>
                <c:pt idx="1">
                  <c:v>64.858211499470514</c:v>
                </c:pt>
                <c:pt idx="2">
                  <c:v>47.178742939205094</c:v>
                </c:pt>
                <c:pt idx="3">
                  <c:v>28.590110082325001</c:v>
                </c:pt>
              </c:numCache>
            </c:numRef>
          </c:xVal>
          <c:yVal>
            <c:numRef>
              <c:f>'Laskenta tulopuoli 130_ENT'!$AD$34:$AD$37</c:f>
              <c:numCache>
                <c:formatCode>0.0</c:formatCode>
                <c:ptCount val="4"/>
                <c:pt idx="0">
                  <c:v>395.27525550776244</c:v>
                </c:pt>
                <c:pt idx="1">
                  <c:v>261.68340135299644</c:v>
                </c:pt>
                <c:pt idx="2">
                  <c:v>138.46466811741016</c:v>
                </c:pt>
                <c:pt idx="3">
                  <c:v>50.848470494266664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BCE-4844-8489-AE896EB8F626}"/>
            </c:ext>
          </c:extLst>
        </c:ser>
        <c:ser>
          <c:idx val="6"/>
          <c:order val="6"/>
          <c:tx>
            <c:strRef>
              <c:f>'Laskenta tulopuoli 130_ENT'!$C$26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forward val="13"/>
            <c:dispRSqr val="0"/>
            <c:dispEq val="0"/>
          </c:trendline>
          <c:xVal>
            <c:numRef>
              <c:f>'Laskenta tulopuoli 130_ENT'!$P$24:$P$26</c:f>
              <c:numCache>
                <c:formatCode>General</c:formatCode>
                <c:ptCount val="3"/>
                <c:pt idx="0">
                  <c:v>60</c:v>
                </c:pt>
                <c:pt idx="1">
                  <c:v>90</c:v>
                </c:pt>
                <c:pt idx="2">
                  <c:v>120</c:v>
                </c:pt>
              </c:numCache>
            </c:numRef>
          </c:xVal>
          <c:yVal>
            <c:numRef>
              <c:f>'Laskenta tulopuoli 130_ENT'!$Q$24:$Q$26</c:f>
              <c:numCache>
                <c:formatCode>General</c:formatCode>
                <c:ptCount val="3"/>
                <c:pt idx="0">
                  <c:v>394.99311539262897</c:v>
                </c:pt>
                <c:pt idx="1">
                  <c:v>260.6867185259527</c:v>
                </c:pt>
                <c:pt idx="2">
                  <c:v>60.013738172779824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BCE-4844-8489-AE896EB8F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358503937007874"/>
                  <c:y val="-6.348028861128186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130_ENT'!$BA$13:$BA$20</c:f>
              <c:numCache>
                <c:formatCode>General</c:formatCode>
                <c:ptCount val="8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</c:numCache>
            </c:numRef>
          </c:xVal>
          <c:yVal>
            <c:numRef>
              <c:f>'Laskenta tulopuoli 130_ENT'!$BB$13:$BB$20</c:f>
              <c:numCache>
                <c:formatCode>0.0</c:formatCode>
                <c:ptCount val="8"/>
                <c:pt idx="0">
                  <c:v>0</c:v>
                </c:pt>
                <c:pt idx="1">
                  <c:v>10.663988849438311</c:v>
                </c:pt>
                <c:pt idx="2">
                  <c:v>27.594635574203007</c:v>
                </c:pt>
                <c:pt idx="3">
                  <c:v>50.77615342540247</c:v>
                </c:pt>
                <c:pt idx="4">
                  <c:v>80.208542403036688</c:v>
                </c:pt>
                <c:pt idx="5">
                  <c:v>115.89180250710567</c:v>
                </c:pt>
                <c:pt idx="6">
                  <c:v>157.82593373760943</c:v>
                </c:pt>
                <c:pt idx="7">
                  <c:v>206.01093609454793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AD-4F13-A227-E42CBFDD270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3816994750656165"/>
                  <c:y val="-0.1761498095263801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130_ENT'!$BA$13:$BA$20</c:f>
              <c:numCache>
                <c:formatCode>General</c:formatCode>
                <c:ptCount val="8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</c:numCache>
            </c:numRef>
          </c:xVal>
          <c:yVal>
            <c:numRef>
              <c:f>'Laskenta tulopuoli 130_ENT'!$BC$13:$BC$20</c:f>
              <c:numCache>
                <c:formatCode>0.0</c:formatCode>
                <c:ptCount val="8"/>
                <c:pt idx="0">
                  <c:v>0</c:v>
                </c:pt>
                <c:pt idx="1">
                  <c:v>7.5156214655086053</c:v>
                </c:pt>
                <c:pt idx="2">
                  <c:v>18.000161056465664</c:v>
                </c:pt>
                <c:pt idx="3">
                  <c:v>32.753775013829411</c:v>
                </c:pt>
                <c:pt idx="4">
                  <c:v>51.776463337599857</c:v>
                </c:pt>
                <c:pt idx="5">
                  <c:v>75.068226027776973</c:v>
                </c:pt>
                <c:pt idx="6">
                  <c:v>102.62906308436081</c:v>
                </c:pt>
                <c:pt idx="7">
                  <c:v>134.45897450735134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8AD-4F13-A227-E42CBFDD2709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2751706036745409"/>
                  <c:y val="-0.2414770599158646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130_ENT'!$BA$13:$BA$20</c:f>
              <c:numCache>
                <c:formatCode>General</c:formatCode>
                <c:ptCount val="8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</c:numCache>
            </c:numRef>
          </c:xVal>
          <c:yVal>
            <c:numRef>
              <c:f>'Laskenta tulopuoli 130_ENT'!$BD$13:$BD$20</c:f>
              <c:numCache>
                <c:formatCode>0.0</c:formatCode>
                <c:ptCount val="8"/>
                <c:pt idx="0" formatCode="General">
                  <c:v>0</c:v>
                </c:pt>
                <c:pt idx="1">
                  <c:v>-3.1483673839297062</c:v>
                </c:pt>
                <c:pt idx="2">
                  <c:v>-9.5944745177373427</c:v>
                </c:pt>
                <c:pt idx="3">
                  <c:v>-18.022378411573058</c:v>
                </c:pt>
                <c:pt idx="4">
                  <c:v>-28.432079065436831</c:v>
                </c:pt>
                <c:pt idx="5">
                  <c:v>-40.823576479328693</c:v>
                </c:pt>
                <c:pt idx="6">
                  <c:v>-55.196870653248624</c:v>
                </c:pt>
                <c:pt idx="7">
                  <c:v>-71.551961587196587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8AD-4F13-A227-E42CBFDD2709}"/>
            </c:ext>
          </c:extLst>
        </c:ser>
        <c:ser>
          <c:idx val="3"/>
          <c:order val="3"/>
          <c:tx>
            <c:v>10 V testi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130_ENT'!$BB$40:$BB$45</c:f>
              <c:numCache>
                <c:formatCode>General</c:formatCode>
                <c:ptCount val="6"/>
                <c:pt idx="0">
                  <c:v>80</c:v>
                </c:pt>
                <c:pt idx="1">
                  <c:v>50</c:v>
                </c:pt>
                <c:pt idx="2">
                  <c:v>25</c:v>
                </c:pt>
                <c:pt idx="3">
                  <c:v>50</c:v>
                </c:pt>
                <c:pt idx="4">
                  <c:v>35</c:v>
                </c:pt>
                <c:pt idx="5">
                  <c:v>20</c:v>
                </c:pt>
              </c:numCache>
            </c:numRef>
          </c:xVal>
          <c:yVal>
            <c:numRef>
              <c:f>'Laskenta tulopuoli 130_ENT'!$BF$40:$BF$45</c:f>
              <c:numCache>
                <c:formatCode>0.0</c:formatCode>
                <c:ptCount val="6"/>
                <c:pt idx="0">
                  <c:v>-28.267586191705561</c:v>
                </c:pt>
                <c:pt idx="1">
                  <c:v>-13.601825088084524</c:v>
                </c:pt>
                <c:pt idx="2">
                  <c:v>-4.9750521008488136</c:v>
                </c:pt>
                <c:pt idx="3">
                  <c:v>-13.601825088084524</c:v>
                </c:pt>
                <c:pt idx="4">
                  <c:v>-8.0336127940214794</c:v>
                </c:pt>
                <c:pt idx="5">
                  <c:v>-3.6418460051234263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8AD-4F13-A227-E42CBFDD2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1361311"/>
        <c:axId val="1461356511"/>
      </c:scatterChart>
      <c:valAx>
        <c:axId val="1461361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61356511"/>
        <c:crosses val="autoZero"/>
        <c:crossBetween val="midCat"/>
      </c:valAx>
      <c:valAx>
        <c:axId val="1461356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61361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Tulopuoli, </a:t>
            </a:r>
            <a:r>
              <a:rPr lang="fi-FI">
                <a:solidFill>
                  <a:schemeClr val="accent1"/>
                </a:solidFill>
              </a:rPr>
              <a:t>alumiini-</a:t>
            </a:r>
            <a:r>
              <a:rPr lang="fi-FI"/>
              <a:t> ja </a:t>
            </a:r>
            <a:r>
              <a:rPr lang="fi-FI">
                <a:solidFill>
                  <a:schemeClr val="accent2"/>
                </a:solidFill>
              </a:rPr>
              <a:t>entalpia</a:t>
            </a:r>
            <a:r>
              <a:rPr lang="fi-FI"/>
              <a:t>kennot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130_ENT'!$BK$38:$BK$44</c:f>
              <c:numCache>
                <c:formatCode>0.0</c:formatCode>
                <c:ptCount val="7"/>
                <c:pt idx="0">
                  <c:v>131.65147221131414</c:v>
                </c:pt>
                <c:pt idx="1">
                  <c:v>122.52946208046407</c:v>
                </c:pt>
                <c:pt idx="2">
                  <c:v>115.04274265297924</c:v>
                </c:pt>
                <c:pt idx="3">
                  <c:v>107.91088932436708</c:v>
                </c:pt>
                <c:pt idx="4">
                  <c:v>98.380674781731599</c:v>
                </c:pt>
                <c:pt idx="5">
                  <c:v>86.68396882006833</c:v>
                </c:pt>
                <c:pt idx="6">
                  <c:v>69.837702333332686</c:v>
                </c:pt>
              </c:numCache>
            </c:numRef>
          </c:xVal>
          <c:yVal>
            <c:numRef>
              <c:f>'Laskenta tulopuoli 130_ENT'!$BJ$38:$BJ$44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A8-4899-89D3-CEA74FCE96A7}"/>
            </c:ext>
          </c:extLst>
        </c:ser>
        <c:ser>
          <c:idx val="1"/>
          <c:order val="1"/>
          <c:tx>
            <c:v>8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130_ENT'!$BM$38:$BM$44</c:f>
              <c:numCache>
                <c:formatCode>0.0</c:formatCode>
                <c:ptCount val="7"/>
                <c:pt idx="0">
                  <c:v>116.85450849239542</c:v>
                </c:pt>
                <c:pt idx="1">
                  <c:v>112.30721540202725</c:v>
                </c:pt>
                <c:pt idx="2">
                  <c:v>104.21936943528442</c:v>
                </c:pt>
                <c:pt idx="3">
                  <c:v>93.431540814632683</c:v>
                </c:pt>
                <c:pt idx="4">
                  <c:v>80.921676740180061</c:v>
                </c:pt>
                <c:pt idx="5">
                  <c:v>68.331598673084983</c:v>
                </c:pt>
                <c:pt idx="6">
                  <c:v>51.732198585414771</c:v>
                </c:pt>
              </c:numCache>
            </c:numRef>
          </c:xVal>
          <c:yVal>
            <c:numRef>
              <c:f>'Laskenta tulopuoli 130_ENT'!$BL$38:$BL$44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160</c:v>
                </c:pt>
                <c:pt idx="4">
                  <c:v>220</c:v>
                </c:pt>
                <c:pt idx="5">
                  <c:v>270</c:v>
                </c:pt>
                <c:pt idx="6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A8-4899-89D3-CEA74FCE96A7}"/>
            </c:ext>
          </c:extLst>
        </c:ser>
        <c:ser>
          <c:idx val="2"/>
          <c:order val="2"/>
          <c:tx>
            <c:v>6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130_ENT'!$BO$38:$BO$44</c:f>
              <c:numCache>
                <c:formatCode>0.0</c:formatCode>
                <c:ptCount val="7"/>
                <c:pt idx="0">
                  <c:v>86.014925141186822</c:v>
                </c:pt>
                <c:pt idx="1">
                  <c:v>76.488203324437805</c:v>
                </c:pt>
                <c:pt idx="2">
                  <c:v>65.987586593828979</c:v>
                </c:pt>
                <c:pt idx="3">
                  <c:v>54.134504837324769</c:v>
                </c:pt>
                <c:pt idx="4">
                  <c:v>43.951833625457141</c:v>
                </c:pt>
                <c:pt idx="5">
                  <c:v>36.255180897120141</c:v>
                </c:pt>
              </c:numCache>
            </c:numRef>
          </c:xVal>
          <c:yVal>
            <c:numRef>
              <c:f>'Laskenta tulopuoli 130_ENT'!$BN$38:$BN$44</c:f>
              <c:numCache>
                <c:formatCode>0.0</c:formatCode>
                <c:ptCount val="7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160</c:v>
                </c:pt>
                <c:pt idx="5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A8-4899-89D3-CEA74FCE96A7}"/>
            </c:ext>
          </c:extLst>
        </c:ser>
        <c:ser>
          <c:idx val="3"/>
          <c:order val="3"/>
          <c:tx>
            <c:v>4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130_ENT'!$BQ$38:$BQ$42</c:f>
              <c:numCache>
                <c:formatCode>0.0</c:formatCode>
                <c:ptCount val="5"/>
                <c:pt idx="0">
                  <c:v>49.481696828913591</c:v>
                </c:pt>
                <c:pt idx="1">
                  <c:v>45.39455871587581</c:v>
                </c:pt>
                <c:pt idx="2">
                  <c:v>38.925666850998439</c:v>
                </c:pt>
                <c:pt idx="3">
                  <c:v>31.96867708479072</c:v>
                </c:pt>
                <c:pt idx="4">
                  <c:v>21.698347502443017</c:v>
                </c:pt>
              </c:numCache>
            </c:numRef>
          </c:xVal>
          <c:yVal>
            <c:numRef>
              <c:f>'Laskenta tulopuoli 130_ENT'!$BP$38:$BP$42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35</c:v>
                </c:pt>
                <c:pt idx="3">
                  <c:v>50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5A8-4899-89D3-CEA74FCE96A7}"/>
            </c:ext>
          </c:extLst>
        </c:ser>
        <c:ser>
          <c:idx val="4"/>
          <c:order val="4"/>
          <c:tx>
            <c:v>10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130_ENT'!$BT$38:$BT$44</c:f>
              <c:numCache>
                <c:formatCode>0.0</c:formatCode>
                <c:ptCount val="7"/>
                <c:pt idx="0">
                  <c:v>126.01974435017826</c:v>
                </c:pt>
                <c:pt idx="1">
                  <c:v>116.9551794907145</c:v>
                </c:pt>
                <c:pt idx="2">
                  <c:v>109.49073106750077</c:v>
                </c:pt>
                <c:pt idx="3">
                  <c:v>102.35092924915141</c:v>
                </c:pt>
                <c:pt idx="4">
                  <c:v>92.744114863169855</c:v>
                </c:pt>
                <c:pt idx="5">
                  <c:v>80.772307836137671</c:v>
                </c:pt>
                <c:pt idx="6">
                  <c:v>62.490705197281741</c:v>
                </c:pt>
              </c:numCache>
            </c:numRef>
          </c:xVal>
          <c:yVal>
            <c:numRef>
              <c:f>'Laskenta tulopuoli 130_ENT'!$BS$38:$BS$44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5A8-4899-89D3-CEA74FCE96A7}"/>
            </c:ext>
          </c:extLst>
        </c:ser>
        <c:ser>
          <c:idx val="5"/>
          <c:order val="5"/>
          <c:tx>
            <c:v>8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130_ENT'!$BV$38:$BV$44</c:f>
              <c:numCache>
                <c:formatCode>0.0</c:formatCode>
                <c:ptCount val="7"/>
                <c:pt idx="0">
                  <c:v>109.58070691735244</c:v>
                </c:pt>
                <c:pt idx="1">
                  <c:v>105.19149757967907</c:v>
                </c:pt>
                <c:pt idx="2">
                  <c:v>97.381640927517822</c:v>
                </c:pt>
                <c:pt idx="3">
                  <c:v>86.956379745934314</c:v>
                </c:pt>
                <c:pt idx="4">
                  <c:v>74.849592000423684</c:v>
                </c:pt>
                <c:pt idx="5">
                  <c:v>62.633665607218042</c:v>
                </c:pt>
                <c:pt idx="6">
                  <c:v>46.424019513205216</c:v>
                </c:pt>
              </c:numCache>
            </c:numRef>
          </c:xVal>
          <c:yVal>
            <c:numRef>
              <c:f>'Laskenta tulopuoli 130_ENT'!$BU$38:$BU$44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160</c:v>
                </c:pt>
                <c:pt idx="4">
                  <c:v>220</c:v>
                </c:pt>
                <c:pt idx="5">
                  <c:v>270</c:v>
                </c:pt>
                <c:pt idx="6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5A8-4899-89D3-CEA74FCE96A7}"/>
            </c:ext>
          </c:extLst>
        </c:ser>
        <c:ser>
          <c:idx val="6"/>
          <c:order val="6"/>
          <c:tx>
            <c:v>6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130_ENT'!$BX$38:$BX$43</c:f>
              <c:numCache>
                <c:formatCode>0.0</c:formatCode>
                <c:ptCount val="6"/>
                <c:pt idx="0">
                  <c:v>79.447008572256934</c:v>
                </c:pt>
                <c:pt idx="1">
                  <c:v>70.55163127664099</c:v>
                </c:pt>
                <c:pt idx="2">
                  <c:v>60.758451649660564</c:v>
                </c:pt>
                <c:pt idx="3">
                  <c:v>49.724123383608621</c:v>
                </c:pt>
                <c:pt idx="4">
                  <c:v>40.269638817294457</c:v>
                </c:pt>
                <c:pt idx="5">
                  <c:v>33.145608031307056</c:v>
                </c:pt>
              </c:numCache>
            </c:numRef>
          </c:xVal>
          <c:yVal>
            <c:numRef>
              <c:f>'Laskenta tulopuoli 130_ENT'!$BW$38:$BW$43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160</c:v>
                </c:pt>
                <c:pt idx="5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5A8-4899-89D3-CEA74FCE96A7}"/>
            </c:ext>
          </c:extLst>
        </c:ser>
        <c:ser>
          <c:idx val="7"/>
          <c:order val="7"/>
          <c:tx>
            <c:v>4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130_ENT'!$BZ$38:$BZ$42</c:f>
              <c:numCache>
                <c:formatCode>0.0</c:formatCode>
                <c:ptCount val="5"/>
                <c:pt idx="0">
                  <c:v>44.757579886904097</c:v>
                </c:pt>
                <c:pt idx="1">
                  <c:v>41.068093478037703</c:v>
                </c:pt>
                <c:pt idx="2">
                  <c:v>35.231683119514592</c:v>
                </c:pt>
                <c:pt idx="3">
                  <c:v>28.959997618885104</c:v>
                </c:pt>
                <c:pt idx="4">
                  <c:v>19.714016122663523</c:v>
                </c:pt>
              </c:numCache>
            </c:numRef>
          </c:xVal>
          <c:yVal>
            <c:numRef>
              <c:f>'Laskenta tulopuoli 130_ENT'!$BY$38:$BY$42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35</c:v>
                </c:pt>
                <c:pt idx="3">
                  <c:v>50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85A8-4899-89D3-CEA74FCE9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7504783"/>
        <c:axId val="1477506223"/>
      </c:scatterChart>
      <c:valAx>
        <c:axId val="147750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7506223"/>
        <c:crosses val="autoZero"/>
        <c:crossBetween val="midCat"/>
      </c:valAx>
      <c:valAx>
        <c:axId val="147750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750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-1.1771771771771772E-3"/>
                  <c:y val="0.214158383641521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130_ENT'!$D$59:$D$62</c:f>
              <c:numCache>
                <c:formatCode>0.0</c:formatCode>
                <c:ptCount val="4"/>
                <c:pt idx="0">
                  <c:v>142.33692589140077</c:v>
                </c:pt>
                <c:pt idx="1">
                  <c:v>135.55354520352333</c:v>
                </c:pt>
                <c:pt idx="2">
                  <c:v>120.87292567048598</c:v>
                </c:pt>
                <c:pt idx="3">
                  <c:v>99.354279744439367</c:v>
                </c:pt>
              </c:numCache>
            </c:numRef>
          </c:xVal>
          <c:yVal>
            <c:numRef>
              <c:f>'Laskenta poistopuoli 130_ENT'!$E$59:$E$62</c:f>
              <c:numCache>
                <c:formatCode>0.0</c:formatCode>
                <c:ptCount val="4"/>
                <c:pt idx="0">
                  <c:v>63.504792074772809</c:v>
                </c:pt>
                <c:pt idx="1">
                  <c:v>63.293976534273817</c:v>
                </c:pt>
                <c:pt idx="2">
                  <c:v>63.858494061413182</c:v>
                </c:pt>
                <c:pt idx="3">
                  <c:v>64.001811053093547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392-4115-90CB-3E59D5191109}"/>
            </c:ext>
          </c:extLst>
        </c:ser>
        <c:ser>
          <c:idx val="1"/>
          <c:order val="1"/>
          <c:tx>
            <c:strRef>
              <c:f>'Laskenta poistopuoli 130_ENT'!$C$64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-1.9939939939939939E-2"/>
                  <c:y val="0.279999694583704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poistopuoli 130_ENT'!$E$64:$E$67</c:f>
              <c:numCache>
                <c:formatCode>0.0</c:formatCode>
                <c:ptCount val="4"/>
                <c:pt idx="0">
                  <c:v>60.755407441724529</c:v>
                </c:pt>
                <c:pt idx="1">
                  <c:v>59.863910817556906</c:v>
                </c:pt>
                <c:pt idx="2">
                  <c:v>59.500309027733529</c:v>
                </c:pt>
                <c:pt idx="3">
                  <c:v>59.437175303534943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392-4115-90CB-3E59D5191109}"/>
            </c:ext>
          </c:extLst>
        </c:ser>
        <c:ser>
          <c:idx val="2"/>
          <c:order val="2"/>
          <c:tx>
            <c:strRef>
              <c:f>'Laskenta poistopuoli 130_ENT'!$C$69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1578898583622993"/>
                  <c:y val="0.230266707166140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130_ENT'!$D$69:$D$72</c:f>
              <c:numCache>
                <c:formatCode>0.0</c:formatCode>
                <c:ptCount val="4"/>
                <c:pt idx="0">
                  <c:v>93.509550571045949</c:v>
                </c:pt>
                <c:pt idx="1">
                  <c:v>84.603189103799437</c:v>
                </c:pt>
                <c:pt idx="2">
                  <c:v>73.637239543770193</c:v>
                </c:pt>
                <c:pt idx="3">
                  <c:v>62.440986792248914</c:v>
                </c:pt>
              </c:numCache>
            </c:numRef>
          </c:xVal>
          <c:yVal>
            <c:numRef>
              <c:f>'Laskenta poistopuoli 130_ENT'!$E$69:$E$72</c:f>
              <c:numCache>
                <c:formatCode>0.0</c:formatCode>
                <c:ptCount val="4"/>
                <c:pt idx="0">
                  <c:v>54.415504897675802</c:v>
                </c:pt>
                <c:pt idx="1">
                  <c:v>53.466522438874719</c:v>
                </c:pt>
                <c:pt idx="2">
                  <c:v>52.965459876340411</c:v>
                </c:pt>
                <c:pt idx="3">
                  <c:v>53.03990267809472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392-4115-90CB-3E59D5191109}"/>
            </c:ext>
          </c:extLst>
        </c:ser>
        <c:ser>
          <c:idx val="3"/>
          <c:order val="3"/>
          <c:tx>
            <c:strRef>
              <c:f>'Laskenta poistopuoli 130_ENT'!$C$74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41774410631103542"/>
                  <c:y val="0.18949172286048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poistopuoli 130_ENT'!$E$74:$E$77</c:f>
              <c:numCache>
                <c:formatCode>0.0</c:formatCode>
                <c:ptCount val="4"/>
                <c:pt idx="0">
                  <c:v>45.027312949970536</c:v>
                </c:pt>
                <c:pt idx="1">
                  <c:v>45.390878440304824</c:v>
                </c:pt>
                <c:pt idx="2">
                  <c:v>44.940241651074359</c:v>
                </c:pt>
                <c:pt idx="3">
                  <c:v>44.609229142732467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392-4115-90CB-3E59D5191109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92-4115-90CB-3E59D5191109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392-4115-90CB-3E59D5191109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8415521032843866"/>
                  <c:y val="-8.2353118025979957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130_ENT'!$AC$34:$AC$37</c:f>
              <c:numCache>
                <c:formatCode>0.0</c:formatCode>
                <c:ptCount val="4"/>
                <c:pt idx="0">
                  <c:v>78.671485859312483</c:v>
                </c:pt>
                <c:pt idx="1">
                  <c:v>63.949470378006446</c:v>
                </c:pt>
                <c:pt idx="2">
                  <c:v>46.99427223137819</c:v>
                </c:pt>
                <c:pt idx="3">
                  <c:v>30.191960257454728</c:v>
                </c:pt>
              </c:numCache>
            </c:numRef>
          </c:xVal>
          <c:yVal>
            <c:numRef>
              <c:f>'Laskenta poistopuoli 130_ENT'!$AF$34:$AF$37</c:f>
              <c:numCache>
                <c:formatCode>0.0</c:formatCode>
                <c:ptCount val="4"/>
                <c:pt idx="0">
                  <c:v>64.21276234508619</c:v>
                </c:pt>
                <c:pt idx="1">
                  <c:v>60.944737454712808</c:v>
                </c:pt>
                <c:pt idx="2">
                  <c:v>54.284281873774873</c:v>
                </c:pt>
                <c:pt idx="3">
                  <c:v>43.317026113271524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392-4115-90CB-3E59D5191109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130_ENT'!$W$5</c:f>
              <c:numCache>
                <c:formatCode>0.0</c:formatCode>
                <c:ptCount val="1"/>
                <c:pt idx="0">
                  <c:v>46.900589359925604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392-4115-90CB-3E59D5191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308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hyötysuhde_C'!$E$24:$E$30</c:f>
              <c:numCache>
                <c:formatCode>0.000</c:formatCode>
                <c:ptCount val="7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</c:numCache>
            </c:numRef>
          </c:xVal>
          <c:yVal>
            <c:numRef>
              <c:f>'Kojeet ja kennon hyötysuhde_C'!$H$24:$H$30</c:f>
              <c:numCache>
                <c:formatCode>0.000\ %</c:formatCode>
                <c:ptCount val="7"/>
                <c:pt idx="0">
                  <c:v>0.87</c:v>
                </c:pt>
                <c:pt idx="1">
                  <c:v>0.86900000000000011</c:v>
                </c:pt>
                <c:pt idx="2">
                  <c:v>0.84</c:v>
                </c:pt>
                <c:pt idx="3">
                  <c:v>0.82200000000000006</c:v>
                </c:pt>
                <c:pt idx="4">
                  <c:v>0.81</c:v>
                </c:pt>
                <c:pt idx="5">
                  <c:v>0.79900000000000004</c:v>
                </c:pt>
                <c:pt idx="6">
                  <c:v>0.79099999999999993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58-42FB-9030-35E2D8459D5B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hyötysuhde_C'!$F$36</c:f>
              <c:numCache>
                <c:formatCode>0</c:formatCode>
                <c:ptCount val="1"/>
                <c:pt idx="0">
                  <c:v>450</c:v>
                </c:pt>
              </c:numCache>
            </c:numRef>
          </c:xVal>
          <c:yVal>
            <c:numRef>
              <c:f>'Kojeet ja kennon hyötysuhde_C'!$F$39</c:f>
              <c:numCache>
                <c:formatCode>0.00</c:formatCode>
                <c:ptCount val="1"/>
                <c:pt idx="0">
                  <c:v>0.81600000000000006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58-42FB-9030-35E2D8459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130_ENT'!$N$59:$N$62</c:f>
              <c:numCache>
                <c:formatCode>0.0</c:formatCode>
                <c:ptCount val="4"/>
                <c:pt idx="0">
                  <c:v>142.31089483268275</c:v>
                </c:pt>
                <c:pt idx="1">
                  <c:v>135.75297833011399</c:v>
                </c:pt>
                <c:pt idx="2">
                  <c:v>121.88498248796257</c:v>
                </c:pt>
                <c:pt idx="3">
                  <c:v>98.845904208709058</c:v>
                </c:pt>
              </c:numCache>
            </c:numRef>
          </c:xVal>
          <c:yVal>
            <c:numRef>
              <c:f>'Laskenta poistopuoli 130_ENT'!$O$59:$O$62</c:f>
              <c:numCache>
                <c:formatCode>0.0</c:formatCode>
                <c:ptCount val="4"/>
                <c:pt idx="0">
                  <c:v>76.38069339977983</c:v>
                </c:pt>
                <c:pt idx="1">
                  <c:v>75.606125966760828</c:v>
                </c:pt>
                <c:pt idx="2">
                  <c:v>75.27508361363077</c:v>
                </c:pt>
                <c:pt idx="3">
                  <c:v>75.51677763329937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EF-414D-B5F4-1EFD0AAFF32B}"/>
            </c:ext>
          </c:extLst>
        </c:ser>
        <c:ser>
          <c:idx val="1"/>
          <c:order val="1"/>
          <c:tx>
            <c:strRef>
              <c:f>'Laskenta poistopuoli 130_ENT'!$C$64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130_ENT'!$N$64:$N$67</c:f>
              <c:numCache>
                <c:formatCode>0.0</c:formatCode>
                <c:ptCount val="4"/>
                <c:pt idx="0">
                  <c:v>124.39645653823712</c:v>
                </c:pt>
                <c:pt idx="1">
                  <c:v>115.27995865272432</c:v>
                </c:pt>
                <c:pt idx="2">
                  <c:v>101.91624124775765</c:v>
                </c:pt>
                <c:pt idx="3">
                  <c:v>83.81228756595587</c:v>
                </c:pt>
              </c:numCache>
            </c:numRef>
          </c:xVal>
          <c:yVal>
            <c:numRef>
              <c:f>'Laskenta poistopuoli 130_ENT'!$O$64:$O$67</c:f>
              <c:numCache>
                <c:formatCode>0.0</c:formatCode>
                <c:ptCount val="4"/>
                <c:pt idx="0">
                  <c:v>73.274158998284477</c:v>
                </c:pt>
                <c:pt idx="1">
                  <c:v>72.04948224384114</c:v>
                </c:pt>
                <c:pt idx="2">
                  <c:v>71.079127309114256</c:v>
                </c:pt>
                <c:pt idx="3">
                  <c:v>71.200535622630397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2EF-414D-B5F4-1EFD0AAFF32B}"/>
            </c:ext>
          </c:extLst>
        </c:ser>
        <c:ser>
          <c:idx val="2"/>
          <c:order val="2"/>
          <c:tx>
            <c:strRef>
              <c:f>'Laskenta poistopuoli 130_ENT'!$C$69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poistopuoli 130_ENT'!$O$69:$O$72</c:f>
              <c:numCache>
                <c:formatCode>0.0</c:formatCode>
                <c:ptCount val="4"/>
                <c:pt idx="0">
                  <c:v>66.574724987435175</c:v>
                </c:pt>
                <c:pt idx="1">
                  <c:v>65.900228657656129</c:v>
                </c:pt>
                <c:pt idx="2">
                  <c:v>64.745187392101812</c:v>
                </c:pt>
                <c:pt idx="3">
                  <c:v>64.778560386905198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2EF-414D-B5F4-1EFD0AAFF32B}"/>
            </c:ext>
          </c:extLst>
        </c:ser>
        <c:ser>
          <c:idx val="3"/>
          <c:order val="3"/>
          <c:tx>
            <c:strRef>
              <c:f>'Laskenta poistopuoli 130_ENT'!$C$74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130_ENT'!$N$74:$N$77</c:f>
              <c:numCache>
                <c:formatCode>0.0</c:formatCode>
                <c:ptCount val="4"/>
                <c:pt idx="0">
                  <c:v>58.419544531154315</c:v>
                </c:pt>
                <c:pt idx="1">
                  <c:v>52.196889475840962</c:v>
                </c:pt>
                <c:pt idx="2">
                  <c:v>45.892068901589042</c:v>
                </c:pt>
                <c:pt idx="3">
                  <c:v>38.225352061782701</c:v>
                </c:pt>
              </c:numCache>
            </c:numRef>
          </c:xVal>
          <c:yVal>
            <c:numRef>
              <c:f>'Laskenta poistopuoli 130_ENT'!$O$74:$O$77</c:f>
              <c:numCache>
                <c:formatCode>0.0</c:formatCode>
                <c:ptCount val="4"/>
                <c:pt idx="0">
                  <c:v>57.040901964604288</c:v>
                </c:pt>
                <c:pt idx="1">
                  <c:v>56.496554636920223</c:v>
                </c:pt>
                <c:pt idx="2">
                  <c:v>55.851746083342412</c:v>
                </c:pt>
                <c:pt idx="3">
                  <c:v>55.770251275797165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2EF-414D-B5F4-1EFD0AAFF32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130_ENT'!$AC$34:$AC$37</c:f>
              <c:numCache>
                <c:formatCode>0.0</c:formatCode>
                <c:ptCount val="4"/>
                <c:pt idx="0">
                  <c:v>78.671485859312483</c:v>
                </c:pt>
                <c:pt idx="1">
                  <c:v>63.949470378006446</c:v>
                </c:pt>
                <c:pt idx="2">
                  <c:v>46.99427223137819</c:v>
                </c:pt>
                <c:pt idx="3">
                  <c:v>30.191960257454728</c:v>
                </c:pt>
              </c:numCache>
            </c:numRef>
          </c:xVal>
          <c:yVal>
            <c:numRef>
              <c:f>'Laskenta poistopuoli 130_ENT'!$AG$34:$AG$37</c:f>
              <c:numCache>
                <c:formatCode>0.0</c:formatCode>
                <c:ptCount val="4"/>
                <c:pt idx="0">
                  <c:v>77.21701571523576</c:v>
                </c:pt>
                <c:pt idx="1">
                  <c:v>73.299874419283952</c:v>
                </c:pt>
                <c:pt idx="2">
                  <c:v>65.124882003366267</c:v>
                </c:pt>
                <c:pt idx="3">
                  <c:v>55.929541050740127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2EF-414D-B5F4-1EFD0AAFF32B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130_ENT'!$W$6</c:f>
              <c:numCache>
                <c:formatCode>0.0</c:formatCode>
                <c:ptCount val="1"/>
                <c:pt idx="0">
                  <c:v>58.890598737637035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2EF-414D-B5F4-1EFD0AAFF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130_ENT'!$AM$35:$AM$38</c:f>
              <c:numCache>
                <c:formatCode>0.0</c:formatCode>
                <c:ptCount val="4"/>
                <c:pt idx="0">
                  <c:v>71.06639929440918</c:v>
                </c:pt>
                <c:pt idx="1">
                  <c:v>63.949470378006446</c:v>
                </c:pt>
                <c:pt idx="2">
                  <c:v>46.99427223137819</c:v>
                </c:pt>
                <c:pt idx="3">
                  <c:v>30.191960257454728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BE-435E-9AE7-A8EE16F2B4A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7654053814097757E-2"/>
                  <c:y val="0.164188156777800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130_ENT'!$AM$34:$AM$35</c:f>
              <c:numCache>
                <c:formatCode>0.0</c:formatCode>
                <c:ptCount val="2"/>
                <c:pt idx="0">
                  <c:v>78.671485859312483</c:v>
                </c:pt>
                <c:pt idx="1">
                  <c:v>71.06639929440918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BE-435E-9AE7-A8EE16F2B4AC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130_ENT'!$W$9</c:f>
              <c:numCache>
                <c:formatCode>0.0</c:formatCode>
                <c:ptCount val="1"/>
                <c:pt idx="0">
                  <c:v>4.5261056308218102</c:v>
                </c:pt>
              </c:numCache>
            </c:numRef>
          </c:xVal>
          <c:yVal>
            <c:numRef>
              <c:f>'Laskenta poistopuoli 130_ENT'!$J$3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ABE-435E-9AE7-A8EE16F2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9.6325788086510059E-2"/>
                  <c:y val="-3.99871039742079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130_ENT'!$X$63:$X$68</c:f>
              <c:numCache>
                <c:formatCode>0.0</c:formatCode>
                <c:ptCount val="6"/>
                <c:pt idx="0">
                  <c:v>126.45313821471686</c:v>
                </c:pt>
                <c:pt idx="1">
                  <c:v>121.46818656102965</c:v>
                </c:pt>
                <c:pt idx="2">
                  <c:v>113.97454094383536</c:v>
                </c:pt>
                <c:pt idx="3">
                  <c:v>98.894194031361593</c:v>
                </c:pt>
                <c:pt idx="4">
                  <c:v>82.599850212683407</c:v>
                </c:pt>
                <c:pt idx="5">
                  <c:v>59.628845690569321</c:v>
                </c:pt>
              </c:numCache>
            </c:numRef>
          </c:xVal>
          <c:yVal>
            <c:numRef>
              <c:f>'Laskenta poistopuoli 130_ENT'!$Y$63:$Y$68</c:f>
              <c:numCache>
                <c:formatCode>0.0</c:formatCode>
                <c:ptCount val="6"/>
                <c:pt idx="0">
                  <c:v>170.40340335914607</c:v>
                </c:pt>
                <c:pt idx="1">
                  <c:v>169.75780539499809</c:v>
                </c:pt>
                <c:pt idx="2">
                  <c:v>167.39901054092508</c:v>
                </c:pt>
                <c:pt idx="3">
                  <c:v>151.94567006146681</c:v>
                </c:pt>
                <c:pt idx="4">
                  <c:v>138.15078073532626</c:v>
                </c:pt>
                <c:pt idx="5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39-4495-977E-4378297E9DC3}"/>
            </c:ext>
          </c:extLst>
        </c:ser>
        <c:ser>
          <c:idx val="1"/>
          <c:order val="1"/>
          <c:tx>
            <c:strRef>
              <c:f>'Laskenta poistopuoli 130_ENT'!$W$70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130_ENT'!$X$70:$X$76</c:f>
              <c:numCache>
                <c:formatCode>0.0</c:formatCode>
                <c:ptCount val="7"/>
                <c:pt idx="0">
                  <c:v>48.113768648848222</c:v>
                </c:pt>
                <c:pt idx="1">
                  <c:v>69.725952249164479</c:v>
                </c:pt>
                <c:pt idx="2">
                  <c:v>94.145823061534287</c:v>
                </c:pt>
                <c:pt idx="3">
                  <c:v>104.21457877159305</c:v>
                </c:pt>
                <c:pt idx="4">
                  <c:v>112.57223888931715</c:v>
                </c:pt>
                <c:pt idx="5">
                  <c:v>121.08321064793208</c:v>
                </c:pt>
                <c:pt idx="6">
                  <c:v>128.25979843355867</c:v>
                </c:pt>
              </c:numCache>
            </c:numRef>
          </c:xVal>
          <c:yVal>
            <c:numRef>
              <c:f>'Laskenta poistopuoli 130_ENT'!$Y$70:$Y$76</c:f>
              <c:numCache>
                <c:formatCode>0.0</c:formatCode>
                <c:ptCount val="7"/>
                <c:pt idx="0">
                  <c:v>66.989400705630914</c:v>
                </c:pt>
                <c:pt idx="1">
                  <c:v>81.624373459526382</c:v>
                </c:pt>
                <c:pt idx="2">
                  <c:v>99.999477318025953</c:v>
                </c:pt>
                <c:pt idx="3">
                  <c:v>103.48805129721504</c:v>
                </c:pt>
                <c:pt idx="4">
                  <c:v>108.26752691162672</c:v>
                </c:pt>
                <c:pt idx="5">
                  <c:v>114.19640879671721</c:v>
                </c:pt>
                <c:pt idx="6">
                  <c:v>120.0773159902373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39-4495-977E-4378297E9DC3}"/>
            </c:ext>
          </c:extLst>
        </c:ser>
        <c:ser>
          <c:idx val="2"/>
          <c:order val="2"/>
          <c:tx>
            <c:strRef>
              <c:f>'Laskenta poistopuoli 130_ENT'!$W$78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130_ENT'!$X$78:$X$82</c:f>
              <c:numCache>
                <c:formatCode>0.0</c:formatCode>
                <c:ptCount val="5"/>
                <c:pt idx="0">
                  <c:v>95.288588606918864</c:v>
                </c:pt>
                <c:pt idx="1">
                  <c:v>84.236237037741418</c:v>
                </c:pt>
                <c:pt idx="2">
                  <c:v>67.284582916698795</c:v>
                </c:pt>
                <c:pt idx="3">
                  <c:v>38.781474840211665</c:v>
                </c:pt>
                <c:pt idx="4">
                  <c:v>28.199869006956831</c:v>
                </c:pt>
              </c:numCache>
            </c:numRef>
          </c:xVal>
          <c:yVal>
            <c:numRef>
              <c:f>'Laskenta poistopuoli 130_ENT'!$Y$78:$Y$82</c:f>
              <c:numCache>
                <c:formatCode>0.0</c:formatCode>
                <c:ptCount val="5"/>
                <c:pt idx="0">
                  <c:v>55.926419615573145</c:v>
                </c:pt>
                <c:pt idx="1">
                  <c:v>50.599349202971588</c:v>
                </c:pt>
                <c:pt idx="2">
                  <c:v>43.796688567953638</c:v>
                </c:pt>
                <c:pt idx="3">
                  <c:v>32.110345134320482</c:v>
                </c:pt>
                <c:pt idx="4">
                  <c:v>28.517985540807324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39-4495-977E-4378297E9DC3}"/>
            </c:ext>
          </c:extLst>
        </c:ser>
        <c:ser>
          <c:idx val="3"/>
          <c:order val="3"/>
          <c:tx>
            <c:strRef>
              <c:f>'Laskenta poistopuoli 130_ENT'!$W$86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130_ENT'!$X$86:$X$89</c:f>
              <c:numCache>
                <c:formatCode>0.0</c:formatCode>
                <c:ptCount val="4"/>
                <c:pt idx="0">
                  <c:v>18.229681878656653</c:v>
                </c:pt>
                <c:pt idx="1">
                  <c:v>38.356644506032225</c:v>
                </c:pt>
                <c:pt idx="2">
                  <c:v>50.652024686808119</c:v>
                </c:pt>
                <c:pt idx="3">
                  <c:v>58.713396920140099</c:v>
                </c:pt>
              </c:numCache>
            </c:numRef>
          </c:xVal>
          <c:yVal>
            <c:numRef>
              <c:f>'Laskenta poistopuoli 130_ENT'!$Y$86:$Y$89</c:f>
              <c:numCache>
                <c:formatCode>0.0</c:formatCode>
                <c:ptCount val="4"/>
                <c:pt idx="0">
                  <c:v>11.829330691825657</c:v>
                </c:pt>
                <c:pt idx="1">
                  <c:v>14.906650602251696</c:v>
                </c:pt>
                <c:pt idx="2">
                  <c:v>17.447344781188477</c:v>
                </c:pt>
                <c:pt idx="3">
                  <c:v>18.86532265222845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D39-4495-977E-4378297E9DC3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130_ENT'!$AC$34:$AC$38</c:f>
              <c:numCache>
                <c:formatCode>0.0</c:formatCode>
                <c:ptCount val="5"/>
                <c:pt idx="0">
                  <c:v>78.671485859312483</c:v>
                </c:pt>
                <c:pt idx="1">
                  <c:v>63.949470378006446</c:v>
                </c:pt>
                <c:pt idx="2">
                  <c:v>46.99427223137819</c:v>
                </c:pt>
                <c:pt idx="3">
                  <c:v>30.191960257454728</c:v>
                </c:pt>
                <c:pt idx="4">
                  <c:v>71.06639929440918</c:v>
                </c:pt>
              </c:numCache>
            </c:numRef>
          </c:xVal>
          <c:yVal>
            <c:numRef>
              <c:f>'Laskenta poistopuoli 130_ENT'!$AE$34:$AE$38</c:f>
              <c:numCache>
                <c:formatCode>0.0</c:formatCode>
                <c:ptCount val="5"/>
                <c:pt idx="0">
                  <c:v>135.79527762681647</c:v>
                </c:pt>
                <c:pt idx="1">
                  <c:v>78.026190401950501</c:v>
                </c:pt>
                <c:pt idx="2">
                  <c:v>35.411493084678412</c:v>
                </c:pt>
                <c:pt idx="3">
                  <c:v>13.624707874333732</c:v>
                </c:pt>
                <c:pt idx="4">
                  <c:v>111.32649180473618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D39-4495-977E-4378297E9DC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130_ENT'!$W$13</c:f>
              <c:numCache>
                <c:formatCode>0.0</c:formatCode>
                <c:ptCount val="1"/>
                <c:pt idx="0">
                  <c:v>17.221555272096694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D39-4495-977E-4378297E9DC3}"/>
            </c:ext>
          </c:extLst>
        </c:ser>
        <c:ser>
          <c:idx val="6"/>
          <c:order val="6"/>
          <c:tx>
            <c:strRef>
              <c:f>'Laskenta poistopuoli 130_ENT'!$W$92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130_ENT'!$X$92:$X$96</c:f>
              <c:numCache>
                <c:formatCode>0.0</c:formatCode>
                <c:ptCount val="5"/>
                <c:pt idx="0">
                  <c:v>120.12416008604148</c:v>
                </c:pt>
                <c:pt idx="1">
                  <c:v>104.28237943386655</c:v>
                </c:pt>
                <c:pt idx="2">
                  <c:v>70.69056308182347</c:v>
                </c:pt>
                <c:pt idx="3">
                  <c:v>49.564301038903714</c:v>
                </c:pt>
                <c:pt idx="4">
                  <c:v>88.638894657469507</c:v>
                </c:pt>
              </c:numCache>
            </c:numRef>
          </c:xVal>
          <c:yVal>
            <c:numRef>
              <c:f>'Laskenta poistopuoli 130_ENT'!$Y$92:$Y$96</c:f>
              <c:numCache>
                <c:formatCode>0.0</c:formatCode>
                <c:ptCount val="5"/>
                <c:pt idx="0">
                  <c:v>158.71858363035491</c:v>
                </c:pt>
                <c:pt idx="1">
                  <c:v>143.40845802475638</c:v>
                </c:pt>
                <c:pt idx="2">
                  <c:v>111.60794943452888</c:v>
                </c:pt>
                <c:pt idx="3">
                  <c:v>91.87637660025311</c:v>
                </c:pt>
                <c:pt idx="4">
                  <c:v>126.91451442541967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7D39-4495-977E-4378297E9DC3}"/>
            </c:ext>
          </c:extLst>
        </c:ser>
        <c:ser>
          <c:idx val="7"/>
          <c:order val="7"/>
          <c:tx>
            <c:strRef>
              <c:f>'Laskenta poistopuoli 130_ENT'!$W$59</c:f>
              <c:strCache>
                <c:ptCount val="1"/>
                <c:pt idx="0">
                  <c:v>10V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130_ENT'!$X$59:$X$68</c:f>
              <c:numCache>
                <c:formatCode>0.0</c:formatCode>
                <c:ptCount val="10"/>
                <c:pt idx="0">
                  <c:v>145.93280562131633</c:v>
                </c:pt>
                <c:pt idx="1">
                  <c:v>141.05384772765888</c:v>
                </c:pt>
                <c:pt idx="2">
                  <c:v>137.14938858370206</c:v>
                </c:pt>
                <c:pt idx="3">
                  <c:v>131.55494143634706</c:v>
                </c:pt>
                <c:pt idx="4">
                  <c:v>126.45313821471686</c:v>
                </c:pt>
                <c:pt idx="5">
                  <c:v>121.46818656102965</c:v>
                </c:pt>
                <c:pt idx="6">
                  <c:v>113.97454094383536</c:v>
                </c:pt>
                <c:pt idx="7">
                  <c:v>98.894194031361593</c:v>
                </c:pt>
                <c:pt idx="8">
                  <c:v>82.599850212683407</c:v>
                </c:pt>
                <c:pt idx="9">
                  <c:v>59.628845690569321</c:v>
                </c:pt>
              </c:numCache>
            </c:numRef>
          </c:xVal>
          <c:yVal>
            <c:numRef>
              <c:f>'Laskenta poistopuoli 130_ENT'!$Y$59:$Y$68</c:f>
              <c:numCache>
                <c:formatCode>0.0</c:formatCode>
                <c:ptCount val="10"/>
                <c:pt idx="0">
                  <c:v>171.33659884692841</c:v>
                </c:pt>
                <c:pt idx="1">
                  <c:v>171.20476167067767</c:v>
                </c:pt>
                <c:pt idx="2">
                  <c:v>170.53321022331545</c:v>
                </c:pt>
                <c:pt idx="3">
                  <c:v>170.80421961235893</c:v>
                </c:pt>
                <c:pt idx="4">
                  <c:v>170.40340335914607</c:v>
                </c:pt>
                <c:pt idx="5">
                  <c:v>169.75780539499809</c:v>
                </c:pt>
                <c:pt idx="6">
                  <c:v>167.39901054092508</c:v>
                </c:pt>
                <c:pt idx="7">
                  <c:v>151.94567006146681</c:v>
                </c:pt>
                <c:pt idx="8">
                  <c:v>138.15078073532626</c:v>
                </c:pt>
                <c:pt idx="9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D39-4495-977E-4378297E9DC3}"/>
            </c:ext>
          </c:extLst>
        </c:ser>
        <c:ser>
          <c:idx val="8"/>
          <c:order val="8"/>
          <c:tx>
            <c:v>6V ääni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130_ENT'!$N$69:$N$72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poistopuoli 130_ENT'!$P$69:$P$72</c:f>
              <c:numCache>
                <c:formatCode>0.0</c:formatCode>
                <c:ptCount val="4"/>
                <c:pt idx="0">
                  <c:v>51.840740552727752</c:v>
                </c:pt>
                <c:pt idx="1">
                  <c:v>49.063899227254822</c:v>
                </c:pt>
                <c:pt idx="2">
                  <c:v>44.520187546631931</c:v>
                </c:pt>
                <c:pt idx="3">
                  <c:v>37.896921857869309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D39-4495-977E-4378297E9DC3}"/>
            </c:ext>
          </c:extLst>
        </c:ser>
        <c:ser>
          <c:idx val="9"/>
          <c:order val="9"/>
          <c:tx>
            <c:v>4 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130_ENT'!$D$74:$D$77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poistopuoli 130_ENT'!$F$74:$F$77</c:f>
              <c:numCache>
                <c:formatCode>0.0</c:formatCode>
                <c:ptCount val="4"/>
                <c:pt idx="0">
                  <c:v>18.288711059751751</c:v>
                </c:pt>
                <c:pt idx="1">
                  <c:v>17.173412186741277</c:v>
                </c:pt>
                <c:pt idx="2">
                  <c:v>15.976519793234619</c:v>
                </c:pt>
                <c:pt idx="3">
                  <c:v>14.286412768134158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D39-4495-977E-4378297E9DC3}"/>
            </c:ext>
          </c:extLst>
        </c:ser>
        <c:ser>
          <c:idx val="10"/>
          <c:order val="10"/>
          <c:tx>
            <c:v>8V äänimiitaus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130_ENT'!$D$64:$D$67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poistopuoli 130_ENT'!$F$64:$F$67</c:f>
              <c:numCache>
                <c:formatCode>0.0</c:formatCode>
                <c:ptCount val="4"/>
                <c:pt idx="0">
                  <c:v>113.60317789708478</c:v>
                </c:pt>
                <c:pt idx="1">
                  <c:v>105.55857205937565</c:v>
                </c:pt>
                <c:pt idx="2">
                  <c:v>97.976349714782643</c:v>
                </c:pt>
                <c:pt idx="3">
                  <c:v>86.958592380060594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D39-4495-977E-4378297E9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130_ENT'!$AA$4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4428258967629047E-2"/>
                  <c:y val="-0.744498972134675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130_ENT'!$AB$6:$AB$12</c:f>
              <c:numCache>
                <c:formatCode>0.0</c:formatCode>
                <c:ptCount val="7"/>
                <c:pt idx="0">
                  <c:v>142.50784343790036</c:v>
                </c:pt>
                <c:pt idx="1">
                  <c:v>133.54670360166355</c:v>
                </c:pt>
                <c:pt idx="2">
                  <c:v>126.16500651811565</c:v>
                </c:pt>
                <c:pt idx="3">
                  <c:v>119.10149788792224</c:v>
                </c:pt>
                <c:pt idx="4">
                  <c:v>109.59077137600245</c:v>
                </c:pt>
                <c:pt idx="5">
                  <c:v>97.720092125961884</c:v>
                </c:pt>
                <c:pt idx="6">
                  <c:v>79.469872844831499</c:v>
                </c:pt>
              </c:numCache>
            </c:numRef>
          </c:xVal>
          <c:yVal>
            <c:numRef>
              <c:f>'Laskenta poistopuoli 130_ENT'!$AA$6:$AA$12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CB-4A5B-813D-A05D4A48C908}"/>
            </c:ext>
          </c:extLst>
        </c:ser>
        <c:ser>
          <c:idx val="1"/>
          <c:order val="1"/>
          <c:tx>
            <c:strRef>
              <c:f>'Laskenta poistopuoli 130_ENT'!$AC$4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130_ENT'!$AD$6:$AD$12</c:f>
              <c:numCache>
                <c:formatCode>0.0</c:formatCode>
                <c:ptCount val="7"/>
                <c:pt idx="0">
                  <c:v>123.9136684003799</c:v>
                </c:pt>
                <c:pt idx="1">
                  <c:v>119.39610535585672</c:v>
                </c:pt>
                <c:pt idx="2">
                  <c:v>111.34979062702189</c:v>
                </c:pt>
                <c:pt idx="3">
                  <c:v>102.48393643561623</c:v>
                </c:pt>
                <c:pt idx="4">
                  <c:v>98.643736362646024</c:v>
                </c:pt>
                <c:pt idx="5">
                  <c:v>94.595258574250607</c:v>
                </c:pt>
                <c:pt idx="6">
                  <c:v>55.892288183544039</c:v>
                </c:pt>
              </c:numCache>
            </c:numRef>
          </c:xVal>
          <c:yVal>
            <c:numRef>
              <c:f>'Laskenta poistopuoli 130_ENT'!$AC$6:$AC$12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CB-4A5B-813D-A05D4A48C908}"/>
            </c:ext>
          </c:extLst>
        </c:ser>
        <c:ser>
          <c:idx val="2"/>
          <c:order val="2"/>
          <c:tx>
            <c:strRef>
              <c:f>'Laskenta poistopuoli 130_ENT'!$AE$4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130_ENT'!$AF$6:$AF$11</c:f>
              <c:numCache>
                <c:formatCode>0.0</c:formatCode>
                <c:ptCount val="6"/>
                <c:pt idx="0">
                  <c:v>91.581706317939648</c:v>
                </c:pt>
                <c:pt idx="1">
                  <c:v>85.952274612072401</c:v>
                </c:pt>
                <c:pt idx="2">
                  <c:v>81.134573528729419</c:v>
                </c:pt>
                <c:pt idx="3">
                  <c:v>75.97293214384446</c:v>
                </c:pt>
                <c:pt idx="4">
                  <c:v>70.381118945435134</c:v>
                </c:pt>
                <c:pt idx="5">
                  <c:v>35.916971395500518</c:v>
                </c:pt>
              </c:numCache>
            </c:numRef>
          </c:xVal>
          <c:yVal>
            <c:numRef>
              <c:f>'Laskenta poistopuoli 130_ENT'!$AE$6:$AE$11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8CB-4A5B-813D-A05D4A48C908}"/>
            </c:ext>
          </c:extLst>
        </c:ser>
        <c:ser>
          <c:idx val="3"/>
          <c:order val="3"/>
          <c:tx>
            <c:strRef>
              <c:f>'Laskenta poistopuoli 130_ENT'!$AG$4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130_ENT'!$AH$6:$AH$10</c:f>
              <c:numCache>
                <c:formatCode>0.0</c:formatCode>
                <c:ptCount val="5"/>
                <c:pt idx="0">
                  <c:v>55.48862206138228</c:v>
                </c:pt>
                <c:pt idx="1">
                  <c:v>51.968529040147651</c:v>
                </c:pt>
                <c:pt idx="2">
                  <c:v>48.206575766589324</c:v>
                </c:pt>
                <c:pt idx="3">
                  <c:v>46.217679334679865</c:v>
                </c:pt>
                <c:pt idx="4">
                  <c:v>21.971393009889287</c:v>
                </c:pt>
              </c:numCache>
            </c:numRef>
          </c:xVal>
          <c:yVal>
            <c:numRef>
              <c:f>'Laskenta poistopuoli 130_ENT'!$AG$6:$AG$10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8CB-4A5B-813D-A05D4A48C908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poistopuoli 130_ENT'!$L$3</c:f>
              <c:numCache>
                <c:formatCode>General</c:formatCode>
                <c:ptCount val="1"/>
                <c:pt idx="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8CB-4A5B-813D-A05D4A48C908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130_ENT'!$AC$34:$AC$37</c:f>
              <c:numCache>
                <c:formatCode>0.0</c:formatCode>
                <c:ptCount val="4"/>
                <c:pt idx="0">
                  <c:v>78.671485859312483</c:v>
                </c:pt>
                <c:pt idx="1">
                  <c:v>63.949470378006446</c:v>
                </c:pt>
                <c:pt idx="2">
                  <c:v>46.99427223137819</c:v>
                </c:pt>
                <c:pt idx="3">
                  <c:v>30.191960257454728</c:v>
                </c:pt>
              </c:numCache>
            </c:numRef>
          </c:xVal>
          <c:yVal>
            <c:numRef>
              <c:f>'Laskenta poistopuoli 130_ENT'!$AD$34:$AD$37</c:f>
              <c:numCache>
                <c:formatCode>0.0</c:formatCode>
                <c:ptCount val="4"/>
                <c:pt idx="0">
                  <c:v>462.02150492676611</c:v>
                </c:pt>
                <c:pt idx="1">
                  <c:v>305.28213414159006</c:v>
                </c:pt>
                <c:pt idx="2">
                  <c:v>164.86077673922236</c:v>
                </c:pt>
                <c:pt idx="3">
                  <c:v>68.047176129828031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8CB-4A5B-813D-A05D4A48C908}"/>
            </c:ext>
          </c:extLst>
        </c:ser>
        <c:ser>
          <c:idx val="6"/>
          <c:order val="6"/>
          <c:tx>
            <c:strRef>
              <c:f>'Laskenta poistopuoli 130_ENT'!$C$26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forward val="15"/>
            <c:dispRSqr val="0"/>
            <c:dispEq val="0"/>
          </c:trendline>
          <c:xVal>
            <c:numRef>
              <c:f>'Laskenta poistopuoli 130_ENT'!$P$23:$P$25</c:f>
              <c:numCache>
                <c:formatCode>General</c:formatCode>
                <c:ptCount val="3"/>
                <c:pt idx="0">
                  <c:v>80</c:v>
                </c:pt>
                <c:pt idx="1">
                  <c:v>90</c:v>
                </c:pt>
                <c:pt idx="2">
                  <c:v>135</c:v>
                </c:pt>
              </c:numCache>
            </c:numRef>
          </c:xVal>
          <c:yVal>
            <c:numRef>
              <c:f>'Laskenta poistopuoli 130_ENT'!$Q$23:$Q$25</c:f>
              <c:numCache>
                <c:formatCode>General</c:formatCode>
                <c:ptCount val="3"/>
                <c:pt idx="0">
                  <c:v>354.02610006228417</c:v>
                </c:pt>
                <c:pt idx="1">
                  <c:v>320.32891592265509</c:v>
                </c:pt>
                <c:pt idx="2">
                  <c:v>64.552714203089977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8CB-4A5B-813D-A05D4A48C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358503937007874"/>
                  <c:y val="-6.348028861128186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130_ENT'!$BA$13:$BA$20</c:f>
              <c:numCache>
                <c:formatCode>General</c:formatCode>
                <c:ptCount val="8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</c:numCache>
            </c:numRef>
          </c:xVal>
          <c:yVal>
            <c:numRef>
              <c:f>'Laskenta tulopuoli 130_ENT'!$BB$13:$BB$20</c:f>
              <c:numCache>
                <c:formatCode>0.0</c:formatCode>
                <c:ptCount val="8"/>
                <c:pt idx="0">
                  <c:v>0</c:v>
                </c:pt>
                <c:pt idx="1">
                  <c:v>10.663988849438311</c:v>
                </c:pt>
                <c:pt idx="2">
                  <c:v>27.594635574203007</c:v>
                </c:pt>
                <c:pt idx="3">
                  <c:v>50.77615342540247</c:v>
                </c:pt>
                <c:pt idx="4">
                  <c:v>80.208542403036688</c:v>
                </c:pt>
                <c:pt idx="5">
                  <c:v>115.89180250710567</c:v>
                </c:pt>
                <c:pt idx="6">
                  <c:v>157.82593373760943</c:v>
                </c:pt>
                <c:pt idx="7">
                  <c:v>206.01093609454793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03-4631-A841-85658E682CF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3443742993063902"/>
                  <c:y val="-0.1050939366367758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130_ENT'!$BA$13:$BA$20</c:f>
              <c:numCache>
                <c:formatCode>General</c:formatCode>
                <c:ptCount val="8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</c:numCache>
            </c:numRef>
          </c:xVal>
          <c:yVal>
            <c:numRef>
              <c:f>'Laskenta tulopuoli 130_ENT'!$BC$13:$BC$20</c:f>
              <c:numCache>
                <c:formatCode>0.0</c:formatCode>
                <c:ptCount val="8"/>
                <c:pt idx="0">
                  <c:v>0</c:v>
                </c:pt>
                <c:pt idx="1">
                  <c:v>7.5156214655086053</c:v>
                </c:pt>
                <c:pt idx="2">
                  <c:v>18.000161056465664</c:v>
                </c:pt>
                <c:pt idx="3">
                  <c:v>32.753775013829411</c:v>
                </c:pt>
                <c:pt idx="4">
                  <c:v>51.776463337599857</c:v>
                </c:pt>
                <c:pt idx="5">
                  <c:v>75.068226027776973</c:v>
                </c:pt>
                <c:pt idx="6">
                  <c:v>102.62906308436081</c:v>
                </c:pt>
                <c:pt idx="7">
                  <c:v>134.45897450735134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A03-4631-A841-85658E682CF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2751706036745409"/>
                  <c:y val="-0.2414770599158646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130_ENT'!$BA$13:$BA$20</c:f>
              <c:numCache>
                <c:formatCode>General</c:formatCode>
                <c:ptCount val="8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</c:numCache>
            </c:numRef>
          </c:xVal>
          <c:yVal>
            <c:numRef>
              <c:f>'Laskenta tulopuoli 130_ENT'!$BD$13:$BD$20</c:f>
              <c:numCache>
                <c:formatCode>0.0</c:formatCode>
                <c:ptCount val="8"/>
                <c:pt idx="0" formatCode="General">
                  <c:v>0</c:v>
                </c:pt>
                <c:pt idx="1">
                  <c:v>-3.1483673839297062</c:v>
                </c:pt>
                <c:pt idx="2">
                  <c:v>-9.5944745177373427</c:v>
                </c:pt>
                <c:pt idx="3">
                  <c:v>-18.022378411573058</c:v>
                </c:pt>
                <c:pt idx="4">
                  <c:v>-28.432079065436831</c:v>
                </c:pt>
                <c:pt idx="5">
                  <c:v>-40.823576479328693</c:v>
                </c:pt>
                <c:pt idx="6">
                  <c:v>-55.196870653248624</c:v>
                </c:pt>
                <c:pt idx="7">
                  <c:v>-71.551961587196587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A03-4631-A841-85658E682CFA}"/>
            </c:ext>
          </c:extLst>
        </c:ser>
        <c:ser>
          <c:idx val="3"/>
          <c:order val="3"/>
          <c:tx>
            <c:v>10 V testi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130_ENT'!$BB$40:$BB$45</c:f>
              <c:numCache>
                <c:formatCode>General</c:formatCode>
                <c:ptCount val="6"/>
                <c:pt idx="0">
                  <c:v>80</c:v>
                </c:pt>
                <c:pt idx="1">
                  <c:v>50</c:v>
                </c:pt>
                <c:pt idx="2">
                  <c:v>25</c:v>
                </c:pt>
                <c:pt idx="3">
                  <c:v>50</c:v>
                </c:pt>
                <c:pt idx="4">
                  <c:v>35</c:v>
                </c:pt>
                <c:pt idx="5">
                  <c:v>20</c:v>
                </c:pt>
              </c:numCache>
            </c:numRef>
          </c:xVal>
          <c:yVal>
            <c:numRef>
              <c:f>'Laskenta tulopuoli 130_ENT'!$BF$40:$BF$45</c:f>
              <c:numCache>
                <c:formatCode>0.0</c:formatCode>
                <c:ptCount val="6"/>
                <c:pt idx="0">
                  <c:v>-28.267586191705561</c:v>
                </c:pt>
                <c:pt idx="1">
                  <c:v>-13.601825088084524</c:v>
                </c:pt>
                <c:pt idx="2">
                  <c:v>-4.9750521008488136</c:v>
                </c:pt>
                <c:pt idx="3">
                  <c:v>-13.601825088084524</c:v>
                </c:pt>
                <c:pt idx="4">
                  <c:v>-8.0336127940214794</c:v>
                </c:pt>
                <c:pt idx="5">
                  <c:v>-3.6418460051234263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A03-4631-A841-85658E682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1361311"/>
        <c:axId val="1461356511"/>
      </c:scatterChart>
      <c:valAx>
        <c:axId val="1461361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61356511"/>
        <c:crosses val="autoZero"/>
        <c:crossBetween val="midCat"/>
      </c:valAx>
      <c:valAx>
        <c:axId val="1461356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61361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Poistopuoli, </a:t>
            </a:r>
            <a:r>
              <a:rPr lang="fi-FI">
                <a:solidFill>
                  <a:schemeClr val="accent1"/>
                </a:solidFill>
              </a:rPr>
              <a:t>alumiini-</a:t>
            </a:r>
            <a:r>
              <a:rPr lang="fi-FI"/>
              <a:t> ja </a:t>
            </a:r>
            <a:r>
              <a:rPr lang="fi-FI">
                <a:solidFill>
                  <a:schemeClr val="accent2"/>
                </a:solidFill>
              </a:rPr>
              <a:t>entalpia</a:t>
            </a:r>
            <a:r>
              <a:rPr lang="fi-FI"/>
              <a:t>kennot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130_ENT'!$BK$38:$BK$44</c:f>
              <c:numCache>
                <c:formatCode>0.0</c:formatCode>
                <c:ptCount val="7"/>
                <c:pt idx="0">
                  <c:v>149.37198438834608</c:v>
                </c:pt>
                <c:pt idx="1">
                  <c:v>140.44019694340693</c:v>
                </c:pt>
                <c:pt idx="2">
                  <c:v>133.12312176781919</c:v>
                </c:pt>
                <c:pt idx="3">
                  <c:v>126.16844933408204</c:v>
                </c:pt>
                <c:pt idx="4">
                  <c:v>116.90930697190107</c:v>
                </c:pt>
                <c:pt idx="5">
                  <c:v>105.63452662019705</c:v>
                </c:pt>
                <c:pt idx="6">
                  <c:v>89.816310441248532</c:v>
                </c:pt>
              </c:numCache>
            </c:numRef>
          </c:xVal>
          <c:yVal>
            <c:numRef>
              <c:f>'Laskenta poistopuoli 130_ENT'!$BJ$38:$BJ$44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42-4008-B058-7A577B2C61F6}"/>
            </c:ext>
          </c:extLst>
        </c:ser>
        <c:ser>
          <c:idx val="1"/>
          <c:order val="1"/>
          <c:tx>
            <c:v>8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130_ENT'!$BM$38:$BM$44</c:f>
              <c:numCache>
                <c:formatCode>0.0</c:formatCode>
                <c:ptCount val="7"/>
                <c:pt idx="0">
                  <c:v>133.17332240375293</c:v>
                </c:pt>
                <c:pt idx="1">
                  <c:v>128.50888008908166</c:v>
                </c:pt>
                <c:pt idx="2">
                  <c:v>120.21047153971138</c:v>
                </c:pt>
                <c:pt idx="3">
                  <c:v>109.13610076465594</c:v>
                </c:pt>
                <c:pt idx="4">
                  <c:v>96.281958901187053</c:v>
                </c:pt>
                <c:pt idx="5">
                  <c:v>83.323678766016627</c:v>
                </c:pt>
                <c:pt idx="6">
                  <c:v>66.167836060870897</c:v>
                </c:pt>
              </c:numCache>
            </c:numRef>
          </c:xVal>
          <c:yVal>
            <c:numRef>
              <c:f>'Laskenta poistopuoli 130_ENT'!$BL$38:$BL$44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160</c:v>
                </c:pt>
                <c:pt idx="4">
                  <c:v>220</c:v>
                </c:pt>
                <c:pt idx="5">
                  <c:v>270</c:v>
                </c:pt>
                <c:pt idx="6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242-4008-B058-7A577B2C61F6}"/>
            </c:ext>
          </c:extLst>
        </c:ser>
        <c:ser>
          <c:idx val="2"/>
          <c:order val="2"/>
          <c:tx>
            <c:v>6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130_ENT'!$BO$38:$BO$44</c:f>
              <c:numCache>
                <c:formatCode>0.0</c:formatCode>
                <c:ptCount val="7"/>
                <c:pt idx="0">
                  <c:v>101.13023422901634</c:v>
                </c:pt>
                <c:pt idx="1">
                  <c:v>91.629165408458178</c:v>
                </c:pt>
                <c:pt idx="2">
                  <c:v>80.818738743727678</c:v>
                </c:pt>
                <c:pt idx="3">
                  <c:v>67.937775729614941</c:v>
                </c:pt>
                <c:pt idx="4">
                  <c:v>55.831490726966067</c:v>
                </c:pt>
                <c:pt idx="5">
                  <c:v>45.368179329793406</c:v>
                </c:pt>
              </c:numCache>
            </c:numRef>
          </c:xVal>
          <c:yVal>
            <c:numRef>
              <c:f>'Laskenta poistopuoli 130_ENT'!$BN$38:$BN$44</c:f>
              <c:numCache>
                <c:formatCode>0.0</c:formatCode>
                <c:ptCount val="7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160</c:v>
                </c:pt>
                <c:pt idx="5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42-4008-B058-7A577B2C61F6}"/>
            </c:ext>
          </c:extLst>
        </c:ser>
        <c:ser>
          <c:idx val="3"/>
          <c:order val="3"/>
          <c:tx>
            <c:v>4 V ALU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130_ENT'!$BQ$38:$BQ$42</c:f>
              <c:numCache>
                <c:formatCode>0.0</c:formatCode>
                <c:ptCount val="5"/>
                <c:pt idx="0">
                  <c:v>61.555446560450939</c:v>
                </c:pt>
                <c:pt idx="1">
                  <c:v>57.822327947272591</c:v>
                </c:pt>
                <c:pt idx="2">
                  <c:v>51.71915361429582</c:v>
                </c:pt>
                <c:pt idx="3">
                  <c:v>44.790616499422576</c:v>
                </c:pt>
                <c:pt idx="4">
                  <c:v>33.381426227056068</c:v>
                </c:pt>
              </c:numCache>
            </c:numRef>
          </c:xVal>
          <c:yVal>
            <c:numRef>
              <c:f>'Laskenta poistopuoli 130_ENT'!$BP$38:$BP$42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35</c:v>
                </c:pt>
                <c:pt idx="3">
                  <c:v>50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242-4008-B058-7A577B2C61F6}"/>
            </c:ext>
          </c:extLst>
        </c:ser>
        <c:ser>
          <c:idx val="4"/>
          <c:order val="4"/>
          <c:tx>
            <c:v>10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130_ENT'!$BT$38:$BT$44</c:f>
              <c:numCache>
                <c:formatCode>0.0</c:formatCode>
                <c:ptCount val="7"/>
                <c:pt idx="0">
                  <c:v>142.50784343790036</c:v>
                </c:pt>
                <c:pt idx="1">
                  <c:v>133.54670360166355</c:v>
                </c:pt>
                <c:pt idx="2">
                  <c:v>126.16500651811565</c:v>
                </c:pt>
                <c:pt idx="3">
                  <c:v>119.10149788792224</c:v>
                </c:pt>
                <c:pt idx="4">
                  <c:v>109.59077137600245</c:v>
                </c:pt>
                <c:pt idx="5">
                  <c:v>97.720092125961884</c:v>
                </c:pt>
                <c:pt idx="6">
                  <c:v>79.469872844831499</c:v>
                </c:pt>
              </c:numCache>
            </c:numRef>
          </c:xVal>
          <c:yVal>
            <c:numRef>
              <c:f>'Laskenta poistopuoli 130_ENT'!$BS$38:$BS$44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242-4008-B058-7A577B2C61F6}"/>
            </c:ext>
          </c:extLst>
        </c:ser>
        <c:ser>
          <c:idx val="5"/>
          <c:order val="5"/>
          <c:tx>
            <c:v>8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130_ENT'!$BV$38:$BV$44</c:f>
              <c:numCache>
                <c:formatCode>0.0</c:formatCode>
                <c:ptCount val="7"/>
                <c:pt idx="0">
                  <c:v>123.9136684003799</c:v>
                </c:pt>
                <c:pt idx="1">
                  <c:v>119.39610535585672</c:v>
                </c:pt>
                <c:pt idx="2">
                  <c:v>111.34979062702189</c:v>
                </c:pt>
                <c:pt idx="3">
                  <c:v>100.58787595577202</c:v>
                </c:pt>
                <c:pt idx="4">
                  <c:v>88.04526695723159</c:v>
                </c:pt>
                <c:pt idx="5">
                  <c:v>75.306508150349146</c:v>
                </c:pt>
                <c:pt idx="6">
                  <c:v>58.115408599793952</c:v>
                </c:pt>
              </c:numCache>
            </c:numRef>
          </c:xVal>
          <c:yVal>
            <c:numRef>
              <c:f>'Laskenta poistopuoli 130_ENT'!$BU$38:$BU$44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160</c:v>
                </c:pt>
                <c:pt idx="4">
                  <c:v>220</c:v>
                </c:pt>
                <c:pt idx="5">
                  <c:v>270</c:v>
                </c:pt>
                <c:pt idx="6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242-4008-B058-7A577B2C61F6}"/>
            </c:ext>
          </c:extLst>
        </c:ser>
        <c:ser>
          <c:idx val="6"/>
          <c:order val="6"/>
          <c:tx>
            <c:v>6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130_ENT'!$BX$38:$BX$43</c:f>
              <c:numCache>
                <c:formatCode>0.0</c:formatCode>
                <c:ptCount val="6"/>
                <c:pt idx="0">
                  <c:v>92.662333128046768</c:v>
                </c:pt>
                <c:pt idx="1">
                  <c:v>83.582158816330846</c:v>
                </c:pt>
                <c:pt idx="2">
                  <c:v>73.237580218241973</c:v>
                </c:pt>
                <c:pt idx="3">
                  <c:v>60.882520142548941</c:v>
                </c:pt>
                <c:pt idx="4">
                  <c:v>49.217119830252535</c:v>
                </c:pt>
                <c:pt idx="5">
                  <c:v>39.046369357961204</c:v>
                </c:pt>
              </c:numCache>
            </c:numRef>
          </c:xVal>
          <c:yVal>
            <c:numRef>
              <c:f>'Laskenta poistopuoli 130_ENT'!$BW$38:$BW$43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160</c:v>
                </c:pt>
                <c:pt idx="5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242-4008-B058-7A577B2C61F6}"/>
            </c:ext>
          </c:extLst>
        </c:ser>
        <c:ser>
          <c:idx val="7"/>
          <c:order val="7"/>
          <c:tx>
            <c:v>4 V ENT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poistopuoli 130_ENT'!$BZ$38:$BZ$42</c:f>
              <c:numCache>
                <c:formatCode>0.0</c:formatCode>
                <c:ptCount val="5"/>
                <c:pt idx="0">
                  <c:v>55.48862206138228</c:v>
                </c:pt>
                <c:pt idx="1">
                  <c:v>51.968529040147651</c:v>
                </c:pt>
                <c:pt idx="2">
                  <c:v>46.217679334679865</c:v>
                </c:pt>
                <c:pt idx="3">
                  <c:v>39.697473289399944</c:v>
                </c:pt>
                <c:pt idx="4">
                  <c:v>28.994017872125497</c:v>
                </c:pt>
              </c:numCache>
            </c:numRef>
          </c:xVal>
          <c:yVal>
            <c:numRef>
              <c:f>'Laskenta poistopuoli 130_ENT'!$BY$38:$BY$42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35</c:v>
                </c:pt>
                <c:pt idx="3">
                  <c:v>50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242-4008-B058-7A577B2C6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7504783"/>
        <c:axId val="1477506223"/>
      </c:scatterChart>
      <c:valAx>
        <c:axId val="147750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7506223"/>
        <c:crosses val="autoZero"/>
        <c:crossBetween val="midCat"/>
      </c:valAx>
      <c:valAx>
        <c:axId val="147750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750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LwAtot vs Ohjausjännite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130_ENT'!$K$9:$K$14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8</c:v>
                </c:pt>
                <c:pt idx="4">
                  <c:v>6</c:v>
                </c:pt>
                <c:pt idx="5">
                  <c:v>4</c:v>
                </c:pt>
              </c:numCache>
            </c:numRef>
          </c:xVal>
          <c:yVal>
            <c:numRef>
              <c:f>'Laskenta vaipan läpi 130_ENT'!$L$9:$L$14</c:f>
              <c:numCache>
                <c:formatCode>0.0</c:formatCode>
                <c:ptCount val="6"/>
                <c:pt idx="0">
                  <c:v>50.727797451867104</c:v>
                </c:pt>
                <c:pt idx="1">
                  <c:v>50.906829010197214</c:v>
                </c:pt>
                <c:pt idx="2">
                  <c:v>51.633663631872835</c:v>
                </c:pt>
                <c:pt idx="3">
                  <c:v>46.855554140426776</c:v>
                </c:pt>
                <c:pt idx="4">
                  <c:v>40.081737985343281</c:v>
                </c:pt>
                <c:pt idx="5">
                  <c:v>31.57611766294508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03-4292-9C26-2ED93181B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160480"/>
        <c:axId val="634160808"/>
      </c:scatterChart>
      <c:valAx>
        <c:axId val="63416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808"/>
        <c:crosses val="autoZero"/>
        <c:crossBetween val="midCat"/>
      </c:valAx>
      <c:valAx>
        <c:axId val="63416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130_ENT'!$K$26:$R$26</c:f>
              <c:numCache>
                <c:formatCode>0.0</c:formatCode>
                <c:ptCount val="8"/>
                <c:pt idx="0">
                  <c:v>9.7468202549653924</c:v>
                </c:pt>
                <c:pt idx="1">
                  <c:v>10.219263302672097</c:v>
                </c:pt>
                <c:pt idx="2">
                  <c:v>5.3781920854758241</c:v>
                </c:pt>
                <c:pt idx="3">
                  <c:v>-3.9657985891290366</c:v>
                </c:pt>
                <c:pt idx="4">
                  <c:v>-13.359993973034364</c:v>
                </c:pt>
                <c:pt idx="5">
                  <c:v>-20.064650430155496</c:v>
                </c:pt>
                <c:pt idx="6">
                  <c:v>-22.340090753141155</c:v>
                </c:pt>
                <c:pt idx="7">
                  <c:v>-28.553896681989183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C-4029-8FB9-774F5CB3DD0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130_ENT'!$K$27:$R$27</c:f>
              <c:numCache>
                <c:formatCode>0.0</c:formatCode>
                <c:ptCount val="8"/>
                <c:pt idx="0">
                  <c:v>11.236941839387399</c:v>
                </c:pt>
                <c:pt idx="1">
                  <c:v>11.056052328251184</c:v>
                </c:pt>
                <c:pt idx="2">
                  <c:v>4.9083153482445141</c:v>
                </c:pt>
                <c:pt idx="3">
                  <c:v>-4.7775181731402157</c:v>
                </c:pt>
                <c:pt idx="4">
                  <c:v>-13.536029841384838</c:v>
                </c:pt>
                <c:pt idx="5">
                  <c:v>-19.184478618620521</c:v>
                </c:pt>
                <c:pt idx="6">
                  <c:v>-21.982808019835808</c:v>
                </c:pt>
                <c:pt idx="7">
                  <c:v>-30.053106147872946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9C-4029-8FB9-774F5CB3DD08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130_ENT'!$K$28:$R$28</c:f>
              <c:numCache>
                <c:formatCode>0.0</c:formatCode>
                <c:ptCount val="8"/>
                <c:pt idx="0">
                  <c:v>12.735566185817156</c:v>
                </c:pt>
                <c:pt idx="1">
                  <c:v>11.673832905841174</c:v>
                </c:pt>
                <c:pt idx="2">
                  <c:v>4.3029839976731026</c:v>
                </c:pt>
                <c:pt idx="3">
                  <c:v>-4.3906920362002353</c:v>
                </c:pt>
                <c:pt idx="4">
                  <c:v>-12.347572631167044</c:v>
                </c:pt>
                <c:pt idx="5">
                  <c:v>-18.408761251056614</c:v>
                </c:pt>
                <c:pt idx="6">
                  <c:v>-22.504675847330248</c:v>
                </c:pt>
                <c:pt idx="7">
                  <c:v>-32.552716373499145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9C-4029-8FB9-774F5CB3DD08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130_ENT'!$K$29:$R$29</c:f>
              <c:numCache>
                <c:formatCode>0.0</c:formatCode>
                <c:ptCount val="8"/>
                <c:pt idx="0">
                  <c:v>13.439367235351192</c:v>
                </c:pt>
                <c:pt idx="1">
                  <c:v>10.652940829954503</c:v>
                </c:pt>
                <c:pt idx="2">
                  <c:v>3.9931605095815286</c:v>
                </c:pt>
                <c:pt idx="3">
                  <c:v>-2.5463497520913201</c:v>
                </c:pt>
                <c:pt idx="4">
                  <c:v>-11.208760733142839</c:v>
                </c:pt>
                <c:pt idx="5">
                  <c:v>-19.614113890886642</c:v>
                </c:pt>
                <c:pt idx="6">
                  <c:v>-26.274170407881535</c:v>
                </c:pt>
                <c:pt idx="7">
                  <c:v>-27.959041304388652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9C-4029-8FB9-774F5CB3D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8962032"/>
        <c:axId val="778965312"/>
      </c:lineChart>
      <c:catAx>
        <c:axId val="778962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5312"/>
        <c:crosses val="autoZero"/>
        <c:auto val="1"/>
        <c:lblAlgn val="ctr"/>
        <c:lblOffset val="100"/>
        <c:noMultiLvlLbl val="0"/>
      </c:catAx>
      <c:valAx>
        <c:axId val="77896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100"/>
              <a:t>Kosteushyötysuhde eri kosteuseroilla</a:t>
            </a:r>
            <a:br>
              <a:rPr lang="fi-FI" sz="1100"/>
            </a:br>
            <a:r>
              <a:rPr lang="fi-FI" sz="900"/>
              <a:t>Eriväriset käyrät eri tilavuusvirtoja</a:t>
            </a:r>
            <a:endParaRPr lang="fi-FI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'Kennolaskuri 150_250_350_ENT'!$D$47</c:f>
              <c:strCache>
                <c:ptCount val="1"/>
                <c:pt idx="0">
                  <c:v>300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3098936020998245E-2"/>
                  <c:y val="0.2596374211573869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150_250_350_ENT'!$E$46:$L$46</c:f>
              <c:numCache>
                <c:formatCode>General</c:formatCode>
                <c:ptCount val="8"/>
                <c:pt idx="0">
                  <c:v>1.5100000000000002</c:v>
                </c:pt>
                <c:pt idx="1">
                  <c:v>6.0300000000000011</c:v>
                </c:pt>
                <c:pt idx="2">
                  <c:v>4.8099999999999996</c:v>
                </c:pt>
                <c:pt idx="3">
                  <c:v>3.6900000000000004</c:v>
                </c:pt>
                <c:pt idx="4">
                  <c:v>1.3100000000000005</c:v>
                </c:pt>
                <c:pt idx="5">
                  <c:v>4.8599999999999994</c:v>
                </c:pt>
                <c:pt idx="6">
                  <c:v>3.68</c:v>
                </c:pt>
                <c:pt idx="7">
                  <c:v>8.6999999999999993</c:v>
                </c:pt>
              </c:numCache>
            </c:numRef>
          </c:xVal>
          <c:yVal>
            <c:numRef>
              <c:f>'Kennolaskuri 150_250_350_ENT'!$E$47:$L$47</c:f>
              <c:numCache>
                <c:formatCode>0.0\ %</c:formatCode>
                <c:ptCount val="8"/>
                <c:pt idx="0">
                  <c:v>0.25827814569536428</c:v>
                </c:pt>
                <c:pt idx="1">
                  <c:v>0.49585406301824198</c:v>
                </c:pt>
                <c:pt idx="2">
                  <c:v>0.50519750519750517</c:v>
                </c:pt>
                <c:pt idx="3">
                  <c:v>0.43360433604336029</c:v>
                </c:pt>
                <c:pt idx="4">
                  <c:v>0.23664122137404608</c:v>
                </c:pt>
                <c:pt idx="5">
                  <c:v>0.48559670781893005</c:v>
                </c:pt>
                <c:pt idx="6">
                  <c:v>0.47554347826086957</c:v>
                </c:pt>
                <c:pt idx="7">
                  <c:v>0.57701149425287357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CC-494D-A253-D1BD507154A7}"/>
            </c:ext>
          </c:extLst>
        </c:ser>
        <c:ser>
          <c:idx val="1"/>
          <c:order val="1"/>
          <c:tx>
            <c:strRef>
              <c:f>'Kennolaskuri 150_250_350_ENT'!$D$48</c:f>
              <c:strCache>
                <c:ptCount val="1"/>
                <c:pt idx="0">
                  <c:v>225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'Kennolaskuri 150_250_350_ENT'!$E$46:$L$46</c:f>
              <c:numCache>
                <c:formatCode>General</c:formatCode>
                <c:ptCount val="8"/>
                <c:pt idx="0">
                  <c:v>1.5100000000000002</c:v>
                </c:pt>
                <c:pt idx="1">
                  <c:v>6.0300000000000011</c:v>
                </c:pt>
                <c:pt idx="2">
                  <c:v>4.8099999999999996</c:v>
                </c:pt>
                <c:pt idx="3">
                  <c:v>3.6900000000000004</c:v>
                </c:pt>
                <c:pt idx="4">
                  <c:v>1.3100000000000005</c:v>
                </c:pt>
                <c:pt idx="5">
                  <c:v>4.8599999999999994</c:v>
                </c:pt>
                <c:pt idx="6">
                  <c:v>3.68</c:v>
                </c:pt>
                <c:pt idx="7">
                  <c:v>8.6999999999999993</c:v>
                </c:pt>
              </c:numCache>
            </c:numRef>
          </c:xVal>
          <c:yVal>
            <c:numRef>
              <c:f>'Kennolaskuri 150_250_350_ENT'!$E$48:$L$48</c:f>
              <c:numCache>
                <c:formatCode>0.0\ %</c:formatCode>
                <c:ptCount val="8"/>
                <c:pt idx="0">
                  <c:v>0.31125827814569546</c:v>
                </c:pt>
                <c:pt idx="1">
                  <c:v>0.55223880597014907</c:v>
                </c:pt>
                <c:pt idx="2">
                  <c:v>0.56133056133056136</c:v>
                </c:pt>
                <c:pt idx="3">
                  <c:v>0.49051490514905133</c:v>
                </c:pt>
                <c:pt idx="4">
                  <c:v>0.29007633587786308</c:v>
                </c:pt>
                <c:pt idx="5">
                  <c:v>0.54115226337448552</c:v>
                </c:pt>
                <c:pt idx="6">
                  <c:v>0.53260869565217384</c:v>
                </c:pt>
                <c:pt idx="7">
                  <c:v>0.6344827586206897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CC-494D-A253-D1BD507154A7}"/>
            </c:ext>
          </c:extLst>
        </c:ser>
        <c:ser>
          <c:idx val="2"/>
          <c:order val="2"/>
          <c:tx>
            <c:strRef>
              <c:f>'Kennolaskuri 150_250_350_ENT'!$D$49</c:f>
              <c:strCache>
                <c:ptCount val="1"/>
                <c:pt idx="0">
                  <c:v>150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'Kennolaskuri 150_250_350_ENT'!$E$46:$L$46</c:f>
              <c:numCache>
                <c:formatCode>General</c:formatCode>
                <c:ptCount val="8"/>
                <c:pt idx="0">
                  <c:v>1.5100000000000002</c:v>
                </c:pt>
                <c:pt idx="1">
                  <c:v>6.0300000000000011</c:v>
                </c:pt>
                <c:pt idx="2">
                  <c:v>4.8099999999999996</c:v>
                </c:pt>
                <c:pt idx="3">
                  <c:v>3.6900000000000004</c:v>
                </c:pt>
                <c:pt idx="4">
                  <c:v>1.3100000000000005</c:v>
                </c:pt>
                <c:pt idx="5">
                  <c:v>4.8599999999999994</c:v>
                </c:pt>
                <c:pt idx="6">
                  <c:v>3.68</c:v>
                </c:pt>
                <c:pt idx="7">
                  <c:v>8.6999999999999993</c:v>
                </c:pt>
              </c:numCache>
            </c:numRef>
          </c:xVal>
          <c:yVal>
            <c:numRef>
              <c:f>'Kennolaskuri 150_250_350_ENT'!$E$49:$L$49</c:f>
              <c:numCache>
                <c:formatCode>0.0\ %</c:formatCode>
                <c:ptCount val="8"/>
                <c:pt idx="0">
                  <c:v>0.37086092715231783</c:v>
                </c:pt>
                <c:pt idx="1">
                  <c:v>0.60862354892205617</c:v>
                </c:pt>
                <c:pt idx="2">
                  <c:v>0.61746361746361744</c:v>
                </c:pt>
                <c:pt idx="3">
                  <c:v>0.5447154471544714</c:v>
                </c:pt>
                <c:pt idx="4">
                  <c:v>0.34351145038167941</c:v>
                </c:pt>
                <c:pt idx="5">
                  <c:v>0.594650205761317</c:v>
                </c:pt>
                <c:pt idx="6">
                  <c:v>0.58695652173913049</c:v>
                </c:pt>
                <c:pt idx="7">
                  <c:v>0.69080459770114955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FCC-494D-A253-D1BD507154A7}"/>
            </c:ext>
          </c:extLst>
        </c:ser>
        <c:ser>
          <c:idx val="3"/>
          <c:order val="3"/>
          <c:tx>
            <c:strRef>
              <c:f>'Kennolaskuri 150_250_350_ENT'!$D$50</c:f>
              <c:strCache>
                <c:ptCount val="1"/>
                <c:pt idx="0">
                  <c:v>65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'Kennolaskuri 150_250_350_ENT'!$E$46:$L$46</c:f>
              <c:numCache>
                <c:formatCode>General</c:formatCode>
                <c:ptCount val="8"/>
                <c:pt idx="0">
                  <c:v>1.5100000000000002</c:v>
                </c:pt>
                <c:pt idx="1">
                  <c:v>6.0300000000000011</c:v>
                </c:pt>
                <c:pt idx="2">
                  <c:v>4.8099999999999996</c:v>
                </c:pt>
                <c:pt idx="3">
                  <c:v>3.6900000000000004</c:v>
                </c:pt>
                <c:pt idx="4">
                  <c:v>1.3100000000000005</c:v>
                </c:pt>
                <c:pt idx="5">
                  <c:v>4.8599999999999994</c:v>
                </c:pt>
                <c:pt idx="6">
                  <c:v>3.68</c:v>
                </c:pt>
                <c:pt idx="7">
                  <c:v>8.6999999999999993</c:v>
                </c:pt>
              </c:numCache>
            </c:numRef>
          </c:xVal>
          <c:yVal>
            <c:numRef>
              <c:f>'Kennolaskuri 150_250_350_ENT'!$E$50:$L$50</c:f>
              <c:numCache>
                <c:formatCode>0.0\ %</c:formatCode>
                <c:ptCount val="8"/>
                <c:pt idx="0">
                  <c:v>0.43708609271523152</c:v>
                </c:pt>
                <c:pt idx="1">
                  <c:v>0.67827529021558852</c:v>
                </c:pt>
                <c:pt idx="2">
                  <c:v>0.68814968814968813</c:v>
                </c:pt>
                <c:pt idx="3">
                  <c:v>0.61517615176151741</c:v>
                </c:pt>
                <c:pt idx="4">
                  <c:v>0.41221374045801512</c:v>
                </c:pt>
                <c:pt idx="5">
                  <c:v>0.66460905349794241</c:v>
                </c:pt>
                <c:pt idx="6">
                  <c:v>0.65760869565217395</c:v>
                </c:pt>
                <c:pt idx="7">
                  <c:v>0.76206896551724146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FCC-494D-A253-D1BD507154A7}"/>
            </c:ext>
          </c:extLst>
        </c:ser>
        <c:ser>
          <c:idx val="4"/>
          <c:order val="4"/>
          <c:tx>
            <c:v>Mitoitus kosteusero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('Kennolaskuri 150_250_350_ENT'!$M$46,'Kennolaskuri 150_250_350_ENT'!$M$46,'Kennolaskuri 150_250_350_ENT'!$M$46,'Kennolaskuri 150_250_350_ENT'!$M$46)</c:f>
              <c:numCache>
                <c:formatCode>0.00</c:formatCode>
                <c:ptCount val="4"/>
                <c:pt idx="0">
                  <c:v>1.6549160467705586</c:v>
                </c:pt>
                <c:pt idx="1">
                  <c:v>1.6549160467705586</c:v>
                </c:pt>
                <c:pt idx="2">
                  <c:v>1.6549160467705586</c:v>
                </c:pt>
                <c:pt idx="3">
                  <c:v>1.6549160467705586</c:v>
                </c:pt>
              </c:numCache>
            </c:numRef>
          </c:xVal>
          <c:yVal>
            <c:numRef>
              <c:f>'Kennolaskuri 150_250_350_ENT'!$M$47:$M$50</c:f>
              <c:numCache>
                <c:formatCode>0.00%</c:formatCode>
                <c:ptCount val="4"/>
                <c:pt idx="0">
                  <c:v>0.28781352636481972</c:v>
                </c:pt>
                <c:pt idx="1">
                  <c:v>0.34177152479831696</c:v>
                </c:pt>
                <c:pt idx="2">
                  <c:v>0.39746657263650281</c:v>
                </c:pt>
                <c:pt idx="3">
                  <c:v>0.46562709608304786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FCC-494D-A253-D1BD507154A7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'Kennolaskuri 150_250_350_ENT'!$F$60</c:f>
              <c:numCache>
                <c:formatCode>0.00</c:formatCode>
                <c:ptCount val="1"/>
                <c:pt idx="0">
                  <c:v>1.6549160467705586</c:v>
                </c:pt>
              </c:numCache>
            </c:numRef>
          </c:xVal>
          <c:yVal>
            <c:numRef>
              <c:f>'Kennolaskuri 150_250_350_ENT'!$F$63</c:f>
              <c:numCache>
                <c:formatCode>0.0\ %</c:formatCode>
                <c:ptCount val="1"/>
                <c:pt idx="0">
                  <c:v>0.49056514231564574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FCC-494D-A253-D1BD50715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528352"/>
        <c:axId val="219531712"/>
      </c:scatterChart>
      <c:valAx>
        <c:axId val="2195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Kosteusero [g/kg]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219531712"/>
        <c:crosses val="autoZero"/>
        <c:crossBetween val="midCat"/>
      </c:valAx>
      <c:valAx>
        <c:axId val="219531712"/>
        <c:scaling>
          <c:orientation val="minMax"/>
          <c:max val="0.8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Kosteushyötysuhde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219528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Mitoitusolosuhteiden kosteuserolla (talvi)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1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150_250_350_ENT'!$D$47:$D$50</c:f>
              <c:numCache>
                <c:formatCode>0</c:formatCode>
                <c:ptCount val="4"/>
                <c:pt idx="0">
                  <c:v>300</c:v>
                </c:pt>
                <c:pt idx="1">
                  <c:v>225</c:v>
                </c:pt>
                <c:pt idx="2">
                  <c:v>150</c:v>
                </c:pt>
                <c:pt idx="3">
                  <c:v>65</c:v>
                </c:pt>
              </c:numCache>
            </c:numRef>
          </c:xVal>
          <c:yVal>
            <c:numRef>
              <c:f>'Kennolaskuri 150_250_350_ENT'!$M$47:$M$50</c:f>
              <c:numCache>
                <c:formatCode>0.00%</c:formatCode>
                <c:ptCount val="4"/>
                <c:pt idx="0">
                  <c:v>0.28781352636481972</c:v>
                </c:pt>
                <c:pt idx="1">
                  <c:v>0.34177152479831696</c:v>
                </c:pt>
                <c:pt idx="2">
                  <c:v>0.39746657263650281</c:v>
                </c:pt>
                <c:pt idx="3">
                  <c:v>0.46562709608304786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14-47E4-8D07-06721EC2B97A}"/>
            </c:ext>
          </c:extLst>
        </c:ser>
        <c:ser>
          <c:idx val="1"/>
          <c:order val="1"/>
          <c:tx>
            <c:v>Mitoitus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'Kennolaskuri 150_250_350_ENT'!$F$61</c:f>
              <c:numCache>
                <c:formatCode>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'Kennolaskuri 150_250_350_ENT'!$F$63</c:f>
              <c:numCache>
                <c:formatCode>0.0\ %</c:formatCode>
                <c:ptCount val="1"/>
                <c:pt idx="0">
                  <c:v>0.49056514231564574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14-47E4-8D07-06721EC2B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453808"/>
        <c:axId val="327465328"/>
      </c:scatterChart>
      <c:valAx>
        <c:axId val="32745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[dm³/s]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327465328"/>
        <c:crosses val="autoZero"/>
        <c:crossBetween val="midCat"/>
      </c:valAx>
      <c:valAx>
        <c:axId val="32746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Kosteushyötysuhde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3274538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C5'!$C$59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0.11786675444785626"/>
                  <c:y val="8.53726823350474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C5'!$D$59:$D$62</c:f>
              <c:numCache>
                <c:formatCode>0.0</c:formatCode>
                <c:ptCount val="4"/>
                <c:pt idx="0">
                  <c:v>611.24785436810203</c:v>
                </c:pt>
                <c:pt idx="1">
                  <c:v>541.62478974594433</c:v>
                </c:pt>
                <c:pt idx="2">
                  <c:v>461.52175623506179</c:v>
                </c:pt>
                <c:pt idx="3">
                  <c:v>357.67806103248057</c:v>
                </c:pt>
              </c:numCache>
            </c:numRef>
          </c:xVal>
          <c:yVal>
            <c:numRef>
              <c:f>'Laskenta tulopuoli C5'!$E$59:$E$62</c:f>
              <c:numCache>
                <c:formatCode>0.0</c:formatCode>
                <c:ptCount val="4"/>
                <c:pt idx="0">
                  <c:v>56.039310494973591</c:v>
                </c:pt>
                <c:pt idx="1">
                  <c:v>55.032590691675303</c:v>
                </c:pt>
                <c:pt idx="2">
                  <c:v>57.55522907548734</c:v>
                </c:pt>
                <c:pt idx="3">
                  <c:v>63.567010423443264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C9F-4D01-8221-72F7248AC51F}"/>
            </c:ext>
          </c:extLst>
        </c:ser>
        <c:ser>
          <c:idx val="1"/>
          <c:order val="1"/>
          <c:tx>
            <c:strRef>
              <c:f>'Laskenta tulopuoli C5'!$C$64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10484383510690112"/>
                  <c:y val="0.135361139277178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2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C5'!$D$64:$D$67</c:f>
              <c:numCache>
                <c:formatCode>0.0</c:formatCode>
                <c:ptCount val="4"/>
                <c:pt idx="0">
                  <c:v>542.17973154723245</c:v>
                </c:pt>
                <c:pt idx="1">
                  <c:v>472.47464976336812</c:v>
                </c:pt>
                <c:pt idx="2">
                  <c:v>389.74060928785525</c:v>
                </c:pt>
                <c:pt idx="3">
                  <c:v>292.98939438082436</c:v>
                </c:pt>
              </c:numCache>
            </c:numRef>
          </c:xVal>
          <c:yVal>
            <c:numRef>
              <c:f>'Laskenta tulopuoli C5'!$E$64:$E$67</c:f>
              <c:numCache>
                <c:formatCode>0.0</c:formatCode>
                <c:ptCount val="4"/>
                <c:pt idx="0">
                  <c:v>55.408722331093671</c:v>
                </c:pt>
                <c:pt idx="1">
                  <c:v>54.475572963562122</c:v>
                </c:pt>
                <c:pt idx="2">
                  <c:v>55.826521838973228</c:v>
                </c:pt>
                <c:pt idx="3">
                  <c:v>60.12898930801839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C9F-4D01-8221-72F7248AC51F}"/>
            </c:ext>
          </c:extLst>
        </c:ser>
        <c:ser>
          <c:idx val="2"/>
          <c:order val="2"/>
          <c:tx>
            <c:strRef>
              <c:f>'Laskenta tulopuoli C5'!$C$69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11936167470669527"/>
                  <c:y val="0.131954352864489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3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C5'!$D$69:$D$72</c:f>
              <c:numCache>
                <c:formatCode>0.0</c:formatCode>
                <c:ptCount val="4"/>
                <c:pt idx="0">
                  <c:v>387.63817389018845</c:v>
                </c:pt>
                <c:pt idx="1">
                  <c:v>335.53377285666636</c:v>
                </c:pt>
                <c:pt idx="2">
                  <c:v>277.64440783292383</c:v>
                </c:pt>
                <c:pt idx="3">
                  <c:v>191.37159094168865</c:v>
                </c:pt>
              </c:numCache>
            </c:numRef>
          </c:xVal>
          <c:yVal>
            <c:numRef>
              <c:f>'Laskenta tulopuoli C5'!$E$69:$E$72</c:f>
              <c:numCache>
                <c:formatCode>0.0</c:formatCode>
                <c:ptCount val="4"/>
                <c:pt idx="0">
                  <c:v>48.06850608295192</c:v>
                </c:pt>
                <c:pt idx="1">
                  <c:v>46.922722267487693</c:v>
                </c:pt>
                <c:pt idx="2">
                  <c:v>47.930748155823295</c:v>
                </c:pt>
                <c:pt idx="3">
                  <c:v>53.052885496574561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C9F-4D01-8221-72F7248AC51F}"/>
            </c:ext>
          </c:extLst>
        </c:ser>
        <c:ser>
          <c:idx val="3"/>
          <c:order val="3"/>
          <c:tx>
            <c:strRef>
              <c:f>'Laskenta tulopuoli C5'!$C$74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8.263818775215509E-2"/>
                  <c:y val="0.1156209259795755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4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'Laskenta tulopuoli C5'!$D$74:$D$77</c:f>
              <c:numCache>
                <c:formatCode>0.0</c:formatCode>
                <c:ptCount val="4"/>
                <c:pt idx="0">
                  <c:v>241.54774717790758</c:v>
                </c:pt>
                <c:pt idx="1">
                  <c:v>210.39256375926465</c:v>
                </c:pt>
                <c:pt idx="2">
                  <c:v>175.32883927084114</c:v>
                </c:pt>
                <c:pt idx="3">
                  <c:v>131.62355365636563</c:v>
                </c:pt>
              </c:numCache>
            </c:numRef>
          </c:xVal>
          <c:yVal>
            <c:numRef>
              <c:f>'Laskenta tulopuoli C5'!$E$74:$E$77</c:f>
              <c:numCache>
                <c:formatCode>0.0</c:formatCode>
                <c:ptCount val="4"/>
                <c:pt idx="0">
                  <c:v>39.832465884352047</c:v>
                </c:pt>
                <c:pt idx="1">
                  <c:v>38.90781019036568</c:v>
                </c:pt>
                <c:pt idx="2">
                  <c:v>42.096114198066246</c:v>
                </c:pt>
                <c:pt idx="3">
                  <c:v>45.163853243501777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C9F-4D01-8221-72F7248AC51F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BC9F-4D01-8221-72F7248AC51F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BC9F-4D01-8221-72F7248AC51F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4.5263059823858934E-2"/>
                  <c:y val="-0.12787263706815383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C5'!$AC$34:$AC$37</c:f>
              <c:numCache>
                <c:formatCode>0.0</c:formatCode>
                <c:ptCount val="4"/>
                <c:pt idx="0">
                  <c:v>607.51258153431093</c:v>
                </c:pt>
                <c:pt idx="1">
                  <c:v>536.00556116047687</c:v>
                </c:pt>
                <c:pt idx="2">
                  <c:v>385.83471671142053</c:v>
                </c:pt>
                <c:pt idx="3">
                  <c:v>242.8170625318144</c:v>
                </c:pt>
              </c:numCache>
            </c:numRef>
          </c:xVal>
          <c:yVal>
            <c:numRef>
              <c:f>'Laskenta tulopuoli C5'!$AF$34:$AF$37</c:f>
              <c:numCache>
                <c:formatCode>0.0</c:formatCode>
                <c:ptCount val="4"/>
                <c:pt idx="0">
                  <c:v>55.404584121860829</c:v>
                </c:pt>
                <c:pt idx="1">
                  <c:v>54.924846548842375</c:v>
                </c:pt>
                <c:pt idx="2">
                  <c:v>47.545908745018473</c:v>
                </c:pt>
                <c:pt idx="3">
                  <c:v>39.279245607966168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C9F-4D01-8221-72F7248AC51F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C5'!$J$3</c:f>
              <c:numCache>
                <c:formatCode>0</c:formatCode>
                <c:ptCount val="1"/>
                <c:pt idx="0">
                  <c:v>450</c:v>
                </c:pt>
              </c:numCache>
            </c:numRef>
          </c:xVal>
          <c:yVal>
            <c:numRef>
              <c:f>'Laskenta tulopuoli C5'!$W$5</c:f>
              <c:numCache>
                <c:formatCode>0.0</c:formatCode>
                <c:ptCount val="1"/>
                <c:pt idx="0">
                  <c:v>50.650294986973819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C9F-4D01-8221-72F7248AC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Kosteushyötysuhde eri kosteuseroilla</a:t>
            </a:r>
            <a:br>
              <a:rPr lang="fi-FI"/>
            </a:br>
            <a:r>
              <a:rPr lang="fi-FI" sz="800"/>
              <a:t>Eriväriset käyrät eri tilavuusvirtoja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'Kennolaskuri 150_250_350_ENT'!$S$47</c:f>
              <c:strCache>
                <c:ptCount val="1"/>
                <c:pt idx="0">
                  <c:v>300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'Kennolaskuri 150_250_350_ENT'!$T$46:$V$46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7.4</c:v>
                </c:pt>
                <c:pt idx="2">
                  <c:v>11.03</c:v>
                </c:pt>
              </c:numCache>
            </c:numRef>
          </c:xVal>
          <c:yVal>
            <c:numRef>
              <c:f>'Kennolaskuri 150_250_350_ENT'!$T$47:$V$47</c:f>
              <c:numCache>
                <c:formatCode>0.0\ %</c:formatCode>
                <c:ptCount val="3"/>
                <c:pt idx="0">
                  <c:v>0.31707317073170754</c:v>
                </c:pt>
                <c:pt idx="1">
                  <c:v>0.39594594594594612</c:v>
                </c:pt>
                <c:pt idx="2">
                  <c:v>0.44877606527651853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3A-44E1-87AE-C79A86EFD87D}"/>
            </c:ext>
          </c:extLst>
        </c:ser>
        <c:ser>
          <c:idx val="1"/>
          <c:order val="1"/>
          <c:tx>
            <c:strRef>
              <c:f>'Kennolaskuri 150_250_350_ENT'!$S$48</c:f>
              <c:strCache>
                <c:ptCount val="1"/>
                <c:pt idx="0">
                  <c:v>225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'Kennolaskuri 150_250_350_ENT'!$T$46:$V$46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7.4</c:v>
                </c:pt>
                <c:pt idx="2">
                  <c:v>11.03</c:v>
                </c:pt>
              </c:numCache>
            </c:numRef>
          </c:xVal>
          <c:yVal>
            <c:numRef>
              <c:f>'Kennolaskuri 150_250_350_ENT'!$T$48:$V$48</c:f>
              <c:numCache>
                <c:formatCode>0.0\ %</c:formatCode>
                <c:ptCount val="3"/>
                <c:pt idx="0">
                  <c:v>0.34146341463414648</c:v>
                </c:pt>
                <c:pt idx="1">
                  <c:v>0.41891891891891908</c:v>
                </c:pt>
                <c:pt idx="2">
                  <c:v>0.47325475974614695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3A-44E1-87AE-C79A86EFD87D}"/>
            </c:ext>
          </c:extLst>
        </c:ser>
        <c:ser>
          <c:idx val="2"/>
          <c:order val="2"/>
          <c:tx>
            <c:strRef>
              <c:f>'Kennolaskuri 150_250_350_ENT'!$S$49</c:f>
              <c:strCache>
                <c:ptCount val="1"/>
                <c:pt idx="0">
                  <c:v>150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'Kennolaskuri 150_250_350_ENT'!$T$46:$V$46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7.4</c:v>
                </c:pt>
                <c:pt idx="2">
                  <c:v>11.03</c:v>
                </c:pt>
              </c:numCache>
            </c:numRef>
          </c:xVal>
          <c:yVal>
            <c:numRef>
              <c:f>'Kennolaskuri 150_250_350_ENT'!$T$49:$V$49</c:f>
              <c:numCache>
                <c:formatCode>0.0\ %</c:formatCode>
                <c:ptCount val="3"/>
                <c:pt idx="0">
                  <c:v>0.36829268292682926</c:v>
                </c:pt>
                <c:pt idx="1">
                  <c:v>0.445945945945946</c:v>
                </c:pt>
                <c:pt idx="2">
                  <c:v>0.50045330915684494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03A-44E1-87AE-C79A86EFD87D}"/>
            </c:ext>
          </c:extLst>
        </c:ser>
        <c:ser>
          <c:idx val="3"/>
          <c:order val="3"/>
          <c:tx>
            <c:strRef>
              <c:f>'Kennolaskuri 150_250_350_ENT'!$S$50</c:f>
              <c:strCache>
                <c:ptCount val="1"/>
                <c:pt idx="0">
                  <c:v>65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5229728850576368"/>
                  <c:y val="-4.29899031834733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150_250_350_ENT'!$T$46:$V$46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7.4</c:v>
                </c:pt>
                <c:pt idx="2">
                  <c:v>11.03</c:v>
                </c:pt>
              </c:numCache>
            </c:numRef>
          </c:xVal>
          <c:yVal>
            <c:numRef>
              <c:f>'Kennolaskuri 150_250_350_ENT'!$T$50:$V$50</c:f>
              <c:numCache>
                <c:formatCode>0.0\ %</c:formatCode>
                <c:ptCount val="3"/>
                <c:pt idx="0">
                  <c:v>0.3878048780487805</c:v>
                </c:pt>
                <c:pt idx="1">
                  <c:v>0.46756756756756768</c:v>
                </c:pt>
                <c:pt idx="2">
                  <c:v>0.52130553037171357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03A-44E1-87AE-C79A86EFD87D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'Kennolaskuri 150_250_350_ENT'!$X$46</c:f>
              <c:numCache>
                <c:formatCode>0.00</c:formatCode>
                <c:ptCount val="1"/>
                <c:pt idx="0">
                  <c:v>6.0481840032462859</c:v>
                </c:pt>
              </c:numCache>
            </c:numRef>
          </c:xVal>
          <c:yVal>
            <c:numRef>
              <c:f>'Kennolaskuri 150_250_350_ENT'!$V$63</c:f>
              <c:numCache>
                <c:formatCode>0.0\ %</c:formatCode>
                <c:ptCount val="1"/>
                <c:pt idx="0">
                  <c:v>0.45181051890903745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03A-44E1-87AE-C79A86EFD87D}"/>
            </c:ext>
          </c:extLst>
        </c:ser>
        <c:ser>
          <c:idx val="5"/>
          <c:order val="5"/>
          <c:tx>
            <c:v>Mitoitus kosteusero</c:v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('Kennolaskuri 150_250_350_ENT'!$X$46,'Kennolaskuri 150_250_350_ENT'!$X$46,'Kennolaskuri 150_250_350_ENT'!$X$46,'Kennolaskuri 150_250_350_ENT'!$X$46)</c:f>
              <c:numCache>
                <c:formatCode>0.00</c:formatCode>
                <c:ptCount val="4"/>
                <c:pt idx="0">
                  <c:v>6.0481840032462859</c:v>
                </c:pt>
                <c:pt idx="1">
                  <c:v>6.0481840032462859</c:v>
                </c:pt>
                <c:pt idx="2">
                  <c:v>6.0481840032462859</c:v>
                </c:pt>
                <c:pt idx="3">
                  <c:v>6.0481840032462859</c:v>
                </c:pt>
              </c:numCache>
            </c:numRef>
          </c:xVal>
          <c:yVal>
            <c:numRef>
              <c:f>'Kennolaskuri 150_250_350_ENT'!$X$47:$X$50</c:f>
              <c:numCache>
                <c:formatCode>0.00%</c:formatCode>
                <c:ptCount val="4"/>
                <c:pt idx="0">
                  <c:v>0.36890288543577887</c:v>
                </c:pt>
                <c:pt idx="1">
                  <c:v>0.39286394831634669</c:v>
                </c:pt>
                <c:pt idx="2">
                  <c:v>0.41983115939804005</c:v>
                </c:pt>
                <c:pt idx="3">
                  <c:v>0.44028315121883815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03A-44E1-87AE-C79A86EFD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1529519"/>
        <c:axId val="1561525199"/>
      </c:scatterChart>
      <c:valAx>
        <c:axId val="15615295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Kosteusero</a:t>
                </a:r>
                <a:r>
                  <a:rPr lang="fi-FI" baseline="0"/>
                  <a:t> [g/kg]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1561525199"/>
        <c:crosses val="autoZero"/>
        <c:crossBetween val="midCat"/>
      </c:valAx>
      <c:valAx>
        <c:axId val="1561525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Kosteushyötysuhde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15615295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Mitoitusolosuhteiden kosteuserolla (kesä)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2.2138670166229221E-2"/>
                  <c:y val="-0.20045902419526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150_250_350_ENT'!$S$47:$S$50</c:f>
              <c:numCache>
                <c:formatCode>0</c:formatCode>
                <c:ptCount val="4"/>
                <c:pt idx="0">
                  <c:v>300</c:v>
                </c:pt>
                <c:pt idx="1">
                  <c:v>225</c:v>
                </c:pt>
                <c:pt idx="2">
                  <c:v>150</c:v>
                </c:pt>
                <c:pt idx="3">
                  <c:v>65</c:v>
                </c:pt>
              </c:numCache>
            </c:numRef>
          </c:xVal>
          <c:yVal>
            <c:numRef>
              <c:f>'Kennolaskuri 150_250_350_ENT'!$X$47:$X$50</c:f>
              <c:numCache>
                <c:formatCode>0.00%</c:formatCode>
                <c:ptCount val="4"/>
                <c:pt idx="0">
                  <c:v>0.36890288543577887</c:v>
                </c:pt>
                <c:pt idx="1">
                  <c:v>0.39286394831634669</c:v>
                </c:pt>
                <c:pt idx="2">
                  <c:v>0.41983115939804005</c:v>
                </c:pt>
                <c:pt idx="3">
                  <c:v>0.44028315121883815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AD-4BF5-A75A-5EC95522382B}"/>
            </c:ext>
          </c:extLst>
        </c:ser>
        <c:ser>
          <c:idx val="1"/>
          <c:order val="1"/>
          <c:tx>
            <c:v>Miotitus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'Kennolaskuri 150_250_350_ENT'!$V$61</c:f>
              <c:numCache>
                <c:formatCode>0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'Kennolaskuri 150_250_350_ENT'!$V$63</c:f>
              <c:numCache>
                <c:formatCode>0.0\ %</c:formatCode>
                <c:ptCount val="1"/>
                <c:pt idx="0">
                  <c:v>0.45181051890903745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AD-4BF5-A75A-5EC955223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1507919"/>
        <c:axId val="1561495439"/>
      </c:scatterChart>
      <c:valAx>
        <c:axId val="15615079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  <a:r>
                  <a:rPr lang="fi-FI" baseline="0"/>
                  <a:t> [dm³/s]</a:t>
                </a:r>
                <a:endParaRPr lang="fi-FI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1561495439"/>
        <c:crosses val="autoZero"/>
        <c:crossBetween val="midCat"/>
      </c:valAx>
      <c:valAx>
        <c:axId val="1561495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Kosteushyötysuhde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15615079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Laskentaohjelmaan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'Kennolaskuri 150_250_350_ENT'!$O$17:$O$23</c:f>
              <c:numCache>
                <c:formatCode>General</c:formatCode>
                <c:ptCount val="7"/>
                <c:pt idx="0">
                  <c:v>40</c:v>
                </c:pt>
                <c:pt idx="1">
                  <c:v>78</c:v>
                </c:pt>
                <c:pt idx="2">
                  <c:v>110</c:v>
                </c:pt>
                <c:pt idx="3">
                  <c:v>160</c:v>
                </c:pt>
                <c:pt idx="4">
                  <c:v>220</c:v>
                </c:pt>
                <c:pt idx="5">
                  <c:v>280</c:v>
                </c:pt>
                <c:pt idx="6">
                  <c:v>340</c:v>
                </c:pt>
              </c:numCache>
            </c:numRef>
          </c:xVal>
          <c:yVal>
            <c:numRef>
              <c:f>'Kennolaskuri 150_250_350_ENT'!$P$17:$P$23</c:f>
              <c:numCache>
                <c:formatCode>0.0\ %</c:formatCode>
                <c:ptCount val="7"/>
                <c:pt idx="0">
                  <c:v>0.85</c:v>
                </c:pt>
                <c:pt idx="1">
                  <c:v>0.84033073012510295</c:v>
                </c:pt>
                <c:pt idx="2">
                  <c:v>0.81246764299333762</c:v>
                </c:pt>
                <c:pt idx="3">
                  <c:v>0.78314949742262241</c:v>
                </c:pt>
                <c:pt idx="4">
                  <c:v>0.75906506499293136</c:v>
                </c:pt>
                <c:pt idx="5">
                  <c:v>0.74132022404676445</c:v>
                </c:pt>
                <c:pt idx="6">
                  <c:v>0.7273359973145842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CE-4743-98E8-643730896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723295"/>
        <c:axId val="226719935"/>
      </c:scatterChart>
      <c:valAx>
        <c:axId val="2267232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26719935"/>
        <c:crosses val="autoZero"/>
        <c:crossBetween val="midCat"/>
      </c:valAx>
      <c:valAx>
        <c:axId val="226719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267232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Korjaus kosteushyötysuhteeseen</a:t>
            </a:r>
          </a:p>
          <a:p>
            <a:pPr>
              <a:defRPr/>
            </a:pPr>
            <a:r>
              <a:rPr lang="fi-FI" sz="800"/>
              <a:t>Käyrä laskettu mitoitusolosuhteiden keskilämpötilalla</a:t>
            </a:r>
            <a:br>
              <a:rPr lang="fi-FI" sz="800"/>
            </a:br>
            <a:r>
              <a:rPr lang="fi-FI" sz="800"/>
              <a:t>Mitoituspiste käyrästä mitoitusolosuhteiden kosteuserolla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1"/>
            <c:backward val="0.5"/>
            <c:dispRSqr val="1"/>
            <c:dispEq val="1"/>
            <c:trendlineLbl>
              <c:layout>
                <c:manualLayout>
                  <c:x val="4.7563853026867962E-2"/>
                  <c:y val="0.1176894507116815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150_250_350_ENT'!$C$102:$C$106</c:f>
              <c:numCache>
                <c:formatCode>0" g/kg"</c:formatCode>
                <c:ptCount val="5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xVal>
          <c:yVal>
            <c:numRef>
              <c:f>'Kennolaskuri 150_250_350_ENT'!$F$102:$F$106</c:f>
              <c:numCache>
                <c:formatCode>0.000</c:formatCode>
                <c:ptCount val="5"/>
                <c:pt idx="0">
                  <c:v>2.0666214382632244</c:v>
                </c:pt>
                <c:pt idx="1">
                  <c:v>1.5438596491228065</c:v>
                </c:pt>
                <c:pt idx="2">
                  <c:v>1.2357572718154461</c:v>
                </c:pt>
                <c:pt idx="3">
                  <c:v>0.96701846965699367</c:v>
                </c:pt>
                <c:pt idx="4">
                  <c:v>-2.4916943521595236E-2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C0-4150-91C5-2905C27E1D9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'Kennolaskuri 150_250_350_ENT'!$D$96</c:f>
              <c:numCache>
                <c:formatCode>0.00</c:formatCode>
                <c:ptCount val="1"/>
                <c:pt idx="0">
                  <c:v>1.6549160467705586</c:v>
                </c:pt>
              </c:numCache>
            </c:numRef>
          </c:xVal>
          <c:yVal>
            <c:numRef>
              <c:f>'Kennolaskuri 150_250_350_ENT'!$D$111</c:f>
              <c:numCache>
                <c:formatCode>0.0</c:formatCode>
                <c:ptCount val="1"/>
                <c:pt idx="0">
                  <c:v>0.60543324550001154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C0-4150-91C5-2905C27E1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52639"/>
        <c:axId val="63353119"/>
      </c:scatterChart>
      <c:valAx>
        <c:axId val="63352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Keskimääräinen abs. kosteus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&quot; g/kg&quot;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3353119"/>
        <c:crosses val="autoZero"/>
        <c:crossBetween val="midCat"/>
      </c:valAx>
      <c:valAx>
        <c:axId val="63353119"/>
        <c:scaling>
          <c:orientation val="minMax"/>
          <c:max val="1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Korjaus [%-yks.]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3352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Korjaus kosteushyötysuhteeseen</a:t>
            </a:r>
          </a:p>
          <a:p>
            <a:pPr>
              <a:defRPr/>
            </a:pPr>
            <a:r>
              <a:rPr lang="fi-FI" sz="800"/>
              <a:t>Käyrä laskettu mitoitusolosuhteiden keskilämpötilalla</a:t>
            </a:r>
            <a:br>
              <a:rPr lang="fi-FI" sz="800"/>
            </a:br>
            <a:r>
              <a:rPr lang="fi-FI" sz="800"/>
              <a:t>Mitoituspiste käyrästä mitoitusolosuhteiden kosteuserolla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5875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0765083678469506"/>
                  <c:y val="-0.2998007142002265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'Kennolaskuri 150_250_350_ENT'!$S$102:$S$106</c:f>
              <c:numCache>
                <c:formatCode>0" g/kg"</c:formatCode>
                <c:ptCount val="5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</c:numCache>
            </c:numRef>
          </c:xVal>
          <c:yVal>
            <c:numRef>
              <c:f>'Kennolaskuri 150_250_350_ENT'!$V$102:$V$106</c:f>
              <c:numCache>
                <c:formatCode>0.000</c:formatCode>
                <c:ptCount val="5"/>
                <c:pt idx="0">
                  <c:v>0.70838427947598248</c:v>
                </c:pt>
                <c:pt idx="1">
                  <c:v>0.65834061135371158</c:v>
                </c:pt>
                <c:pt idx="2">
                  <c:v>0.61248908296943583</c:v>
                </c:pt>
                <c:pt idx="3">
                  <c:v>0.44157205240174946</c:v>
                </c:pt>
                <c:pt idx="4">
                  <c:v>0.35733333333333661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13-41B0-A8BE-7DB69EF173D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'Kennolaskuri 150_250_350_ENT'!$T$96</c:f>
              <c:numCache>
                <c:formatCode>0.00</c:formatCode>
                <c:ptCount val="1"/>
                <c:pt idx="0">
                  <c:v>6.0481840032462859</c:v>
                </c:pt>
              </c:numCache>
            </c:numRef>
          </c:xVal>
          <c:yVal>
            <c:numRef>
              <c:f>'Kennolaskuri 150_250_350_ENT'!$T$111</c:f>
              <c:numCache>
                <c:formatCode>0.0</c:formatCode>
                <c:ptCount val="1"/>
                <c:pt idx="0">
                  <c:v>0.72518312749345681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13-41B0-A8BE-7DB69EF17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52639"/>
        <c:axId val="63353119"/>
      </c:scatterChart>
      <c:valAx>
        <c:axId val="633526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Keskimääräinen abs. kosteus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&quot; g/kg&quot;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3353119"/>
        <c:crosses val="autoZero"/>
        <c:crossBetween val="midCat"/>
      </c:valAx>
      <c:valAx>
        <c:axId val="63353119"/>
        <c:scaling>
          <c:orientation val="minMax"/>
          <c:max val="2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Korjaus [%-yks.]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335263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Verkkokäyräkorjaus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2"/>
            <c:backward val="0.1"/>
            <c:dispRSqr val="1"/>
            <c:dispEq val="1"/>
            <c:trendlineLbl>
              <c:layout>
                <c:manualLayout>
                  <c:x val="-0.2896305774278215"/>
                  <c:y val="8.2028288130650343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keittiöohitus_ENT'!$J$22:$L$22</c:f>
              <c:numCache>
                <c:formatCode>0.000</c:formatCode>
                <c:ptCount val="3"/>
                <c:pt idx="0">
                  <c:v>0.54954526656136349</c:v>
                </c:pt>
                <c:pt idx="1">
                  <c:v>0.22583179581272428</c:v>
                </c:pt>
                <c:pt idx="2">
                  <c:v>0.11445523142259598</c:v>
                </c:pt>
              </c:numCache>
            </c:numRef>
          </c:xVal>
          <c:yVal>
            <c:numRef>
              <c:f>'Laskenta keittiöohitus_ENT'!$J$23:$L$23</c:f>
              <c:numCache>
                <c:formatCode>General</c:formatCode>
                <c:ptCount val="3"/>
                <c:pt idx="0">
                  <c:v>-2.4</c:v>
                </c:pt>
                <c:pt idx="1">
                  <c:v>0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A4-4A6C-A2CC-4CE93B69445B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keittiöohitus_ENT'!$C$22</c:f>
              <c:numCache>
                <c:formatCode>General</c:formatCode>
                <c:ptCount val="1"/>
                <c:pt idx="0">
                  <c:v>0.27322078983854797</c:v>
                </c:pt>
              </c:numCache>
            </c:numRef>
          </c:xVal>
          <c:yVal>
            <c:numRef>
              <c:f>'Laskenta keittiöohitus_ENT'!$F$25</c:f>
              <c:numCache>
                <c:formatCode>0.000</c:formatCode>
                <c:ptCount val="1"/>
                <c:pt idx="0">
                  <c:v>-0.28598718662107436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A4-4A6C-A2CC-4CE93B694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686552"/>
        <c:axId val="765691144"/>
      </c:scatterChart>
      <c:valAx>
        <c:axId val="765686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65691144"/>
        <c:crosses val="autoZero"/>
        <c:crossBetween val="midCat"/>
      </c:valAx>
      <c:valAx>
        <c:axId val="76569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65686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xVal>
            <c:numRef>
              <c:f>'Laskenta tulopuoli 250_ENT'!$D$59:$D$62</c:f>
              <c:numCache>
                <c:formatCode>0.0</c:formatCode>
                <c:ptCount val="4"/>
                <c:pt idx="0">
                  <c:v>344.7</c:v>
                </c:pt>
                <c:pt idx="1">
                  <c:v>324</c:v>
                </c:pt>
                <c:pt idx="2">
                  <c:v>292.5</c:v>
                </c:pt>
                <c:pt idx="3">
                  <c:v>199.8</c:v>
                </c:pt>
              </c:numCache>
            </c:numRef>
          </c:xVal>
          <c:yVal>
            <c:numRef>
              <c:f>'Laskenta tulopuoli 250_ENT'!$E$59:$E$62</c:f>
              <c:numCache>
                <c:formatCode>0.0</c:formatCode>
                <c:ptCount val="4"/>
                <c:pt idx="0">
                  <c:v>62.144673041028028</c:v>
                </c:pt>
                <c:pt idx="1">
                  <c:v>61.110829409089718</c:v>
                </c:pt>
                <c:pt idx="2">
                  <c:v>60.985409403702306</c:v>
                </c:pt>
                <c:pt idx="3">
                  <c:v>60.500427442168004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A2F-446C-8D8B-15CD081B0F20}"/>
            </c:ext>
          </c:extLst>
        </c:ser>
        <c:ser>
          <c:idx val="1"/>
          <c:order val="1"/>
          <c:tx>
            <c:strRef>
              <c:f>'Laskenta tulopuoli 250_ENT'!$C$64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250_ENT'!$D$64:$D$67</c:f>
              <c:numCache>
                <c:formatCode>0.0</c:formatCode>
                <c:ptCount val="4"/>
                <c:pt idx="0">
                  <c:v>281.5</c:v>
                </c:pt>
                <c:pt idx="1">
                  <c:v>263.3</c:v>
                </c:pt>
                <c:pt idx="2">
                  <c:v>237.6</c:v>
                </c:pt>
                <c:pt idx="3">
                  <c:v>163.80000000000001</c:v>
                </c:pt>
              </c:numCache>
            </c:numRef>
          </c:xVal>
          <c:yVal>
            <c:numRef>
              <c:f>'Laskenta tulopuoli 250_ENT'!$E$64:$E$67</c:f>
              <c:numCache>
                <c:formatCode>0.0</c:formatCode>
                <c:ptCount val="4"/>
                <c:pt idx="0">
                  <c:v>58.24228272767192</c:v>
                </c:pt>
                <c:pt idx="1">
                  <c:v>57.721583476668464</c:v>
                </c:pt>
                <c:pt idx="2">
                  <c:v>57.063736576510934</c:v>
                </c:pt>
                <c:pt idx="3">
                  <c:v>55.682298664375324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A2F-446C-8D8B-15CD081B0F20}"/>
            </c:ext>
          </c:extLst>
        </c:ser>
        <c:ser>
          <c:idx val="2"/>
          <c:order val="2"/>
          <c:tx>
            <c:strRef>
              <c:f>'Laskenta tulopuoli 250_ENT'!$C$69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250_ENT'!$D$69:$D$72</c:f>
              <c:numCache>
                <c:formatCode>0.0</c:formatCode>
                <c:ptCount val="4"/>
                <c:pt idx="0">
                  <c:v>199.7</c:v>
                </c:pt>
                <c:pt idx="1">
                  <c:v>189.6</c:v>
                </c:pt>
                <c:pt idx="2">
                  <c:v>172.1</c:v>
                </c:pt>
                <c:pt idx="3">
                  <c:v>116.3</c:v>
                </c:pt>
              </c:numCache>
            </c:numRef>
          </c:xVal>
          <c:yVal>
            <c:numRef>
              <c:f>'Laskenta tulopuoli 250_ENT'!$E$69:$E$72</c:f>
              <c:numCache>
                <c:formatCode>0.0</c:formatCode>
                <c:ptCount val="4"/>
                <c:pt idx="0">
                  <c:v>52.054568508290444</c:v>
                </c:pt>
                <c:pt idx="1">
                  <c:v>50.877843425757796</c:v>
                </c:pt>
                <c:pt idx="2">
                  <c:v>50.40068165114193</c:v>
                </c:pt>
                <c:pt idx="3">
                  <c:v>49.985155052847965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A2F-446C-8D8B-15CD081B0F20}"/>
            </c:ext>
          </c:extLst>
        </c:ser>
        <c:ser>
          <c:idx val="3"/>
          <c:order val="3"/>
          <c:tx>
            <c:strRef>
              <c:f>'Laskenta tulopuoli 250_ENT'!$C$74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250_ENT'!$D$74:$D$77</c:f>
              <c:numCache>
                <c:formatCode>0.0</c:formatCode>
                <c:ptCount val="4"/>
                <c:pt idx="0">
                  <c:v>120.9</c:v>
                </c:pt>
                <c:pt idx="1">
                  <c:v>111.7</c:v>
                </c:pt>
                <c:pt idx="2">
                  <c:v>102.2</c:v>
                </c:pt>
                <c:pt idx="3">
                  <c:v>75.400000000000006</c:v>
                </c:pt>
              </c:numCache>
            </c:numRef>
          </c:xVal>
          <c:yVal>
            <c:numRef>
              <c:f>'Laskenta tulopuoli 250_ENT'!$E$74:$E$77</c:f>
              <c:numCache>
                <c:formatCode>0.0</c:formatCode>
                <c:ptCount val="4"/>
                <c:pt idx="0">
                  <c:v>42.714217266282517</c:v>
                </c:pt>
                <c:pt idx="1">
                  <c:v>41.582199094486363</c:v>
                </c:pt>
                <c:pt idx="2">
                  <c:v>41.026264842676959</c:v>
                </c:pt>
                <c:pt idx="3">
                  <c:v>40.82876371299777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A2F-446C-8D8B-15CD081B0F20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BA2F-446C-8D8B-15CD081B0F20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BA2F-446C-8D8B-15CD081B0F20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2.674304082754787E-2"/>
                  <c:y val="-6.978125780825413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250_ENT'!$AC$34:$AC$37</c:f>
              <c:numCache>
                <c:formatCode>0.0</c:formatCode>
                <c:ptCount val="4"/>
                <c:pt idx="0">
                  <c:v>102.30222754939838</c:v>
                </c:pt>
                <c:pt idx="1">
                  <c:v>82.516497657439885</c:v>
                </c:pt>
                <c:pt idx="2">
                  <c:v>58.577996607238198</c:v>
                </c:pt>
                <c:pt idx="3">
                  <c:v>37.915875474993129</c:v>
                </c:pt>
              </c:numCache>
            </c:numRef>
          </c:xVal>
          <c:yVal>
            <c:numRef>
              <c:f>'Laskenta tulopuoli 250_ENT'!$AF$34:$AF$37</c:f>
              <c:numCache>
                <c:formatCode>0.0</c:formatCode>
                <c:ptCount val="4"/>
                <c:pt idx="0">
                  <c:v>59.271194955387301</c:v>
                </c:pt>
                <c:pt idx="1">
                  <c:v>53.432128271479861</c:v>
                </c:pt>
                <c:pt idx="2">
                  <c:v>48.374700520908959</c:v>
                </c:pt>
                <c:pt idx="3">
                  <c:v>38.932052844315898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A2F-446C-8D8B-15CD081B0F20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250_ENT'!$W$5</c:f>
              <c:numCache>
                <c:formatCode>0.0</c:formatCode>
                <c:ptCount val="1"/>
                <c:pt idx="0">
                  <c:v>37.340861970400134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A2F-446C-8D8B-15CD081B0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250_ENT'!$N$59:$N$62</c:f>
              <c:numCache>
                <c:formatCode>0.0</c:formatCode>
                <c:ptCount val="4"/>
                <c:pt idx="0">
                  <c:v>347.55882244303535</c:v>
                </c:pt>
                <c:pt idx="1">
                  <c:v>318.57365469368182</c:v>
                </c:pt>
                <c:pt idx="2">
                  <c:v>289.31281640836551</c:v>
                </c:pt>
                <c:pt idx="3">
                  <c:v>207.42294296613554</c:v>
                </c:pt>
              </c:numCache>
            </c:numRef>
          </c:xVal>
          <c:yVal>
            <c:numRef>
              <c:f>'Laskenta tulopuoli 250_ENT'!$O$59:$O$62</c:f>
              <c:numCache>
                <c:formatCode>0.0</c:formatCode>
                <c:ptCount val="4"/>
                <c:pt idx="0">
                  <c:v>81.851516160933571</c:v>
                </c:pt>
                <c:pt idx="1">
                  <c:v>81.06411222486777</c:v>
                </c:pt>
                <c:pt idx="2">
                  <c:v>80.236796311049133</c:v>
                </c:pt>
                <c:pt idx="3">
                  <c:v>78.507118643238755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132-4778-902B-5C98082820BE}"/>
            </c:ext>
          </c:extLst>
        </c:ser>
        <c:ser>
          <c:idx val="1"/>
          <c:order val="1"/>
          <c:tx>
            <c:strRef>
              <c:f>'Laskenta tulopuoli 250_ENT'!$C$64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250_ENT'!$N$64:$N$67</c:f>
              <c:numCache>
                <c:formatCode>0.0</c:formatCode>
                <c:ptCount val="4"/>
                <c:pt idx="0">
                  <c:v>283.96765425773657</c:v>
                </c:pt>
                <c:pt idx="1">
                  <c:v>261.96983501546862</c:v>
                </c:pt>
                <c:pt idx="2">
                  <c:v>234.55670322791551</c:v>
                </c:pt>
                <c:pt idx="3">
                  <c:v>167.45120469341205</c:v>
                </c:pt>
              </c:numCache>
            </c:numRef>
          </c:xVal>
          <c:yVal>
            <c:numRef>
              <c:f>'Laskenta tulopuoli 250_ENT'!$O$64:$O$67</c:f>
              <c:numCache>
                <c:formatCode>0.0</c:formatCode>
                <c:ptCount val="4"/>
                <c:pt idx="0">
                  <c:v>77.735360552640628</c:v>
                </c:pt>
                <c:pt idx="1">
                  <c:v>76.862945314317813</c:v>
                </c:pt>
                <c:pt idx="2">
                  <c:v>75.986323411337054</c:v>
                </c:pt>
                <c:pt idx="3">
                  <c:v>74.277783828246243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132-4778-902B-5C98082820BE}"/>
            </c:ext>
          </c:extLst>
        </c:ser>
        <c:ser>
          <c:idx val="2"/>
          <c:order val="2"/>
          <c:tx>
            <c:strRef>
              <c:f>'Laskenta tulopuoli 250_ENT'!$C$69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250_ENT'!$N$69:$N$72</c:f>
              <c:numCache>
                <c:formatCode>0.0</c:formatCode>
                <c:ptCount val="4"/>
                <c:pt idx="0">
                  <c:v>196.59593379240673</c:v>
                </c:pt>
                <c:pt idx="1">
                  <c:v>188.24966838990059</c:v>
                </c:pt>
                <c:pt idx="2">
                  <c:v>164.38494862120547</c:v>
                </c:pt>
                <c:pt idx="3">
                  <c:v>119.65707821171999</c:v>
                </c:pt>
              </c:numCache>
            </c:numRef>
          </c:xVal>
          <c:yVal>
            <c:numRef>
              <c:f>'Laskenta tulopuoli 250_ENT'!$O$69:$O$72</c:f>
              <c:numCache>
                <c:formatCode>0.0</c:formatCode>
                <c:ptCount val="4"/>
                <c:pt idx="0">
                  <c:v>70.294486455567011</c:v>
                </c:pt>
                <c:pt idx="1">
                  <c:v>70.39393478183564</c:v>
                </c:pt>
                <c:pt idx="2">
                  <c:v>69.238525709591201</c:v>
                </c:pt>
                <c:pt idx="3">
                  <c:v>68.005684116574912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132-4778-902B-5C98082820BE}"/>
            </c:ext>
          </c:extLst>
        </c:ser>
        <c:ser>
          <c:idx val="3"/>
          <c:order val="3"/>
          <c:tx>
            <c:strRef>
              <c:f>'Laskenta tulopuoli 250_ENT'!$C$74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250_ENT'!$N$74:$N$77</c:f>
              <c:numCache>
                <c:formatCode>0.0</c:formatCode>
                <c:ptCount val="4"/>
                <c:pt idx="0">
                  <c:v>120.06691977873932</c:v>
                </c:pt>
                <c:pt idx="1">
                  <c:v>110.21384224054002</c:v>
                </c:pt>
                <c:pt idx="2">
                  <c:v>101.54208149102088</c:v>
                </c:pt>
                <c:pt idx="3">
                  <c:v>71.51080035745774</c:v>
                </c:pt>
              </c:numCache>
            </c:numRef>
          </c:xVal>
          <c:yVal>
            <c:numRef>
              <c:f>'Laskenta tulopuoli 250_ENT'!$O$74:$O$77</c:f>
              <c:numCache>
                <c:formatCode>0.0</c:formatCode>
                <c:ptCount val="4"/>
                <c:pt idx="0">
                  <c:v>60.277409039035533</c:v>
                </c:pt>
                <c:pt idx="1">
                  <c:v>59.745318906529754</c:v>
                </c:pt>
                <c:pt idx="2">
                  <c:v>59.237513523597116</c:v>
                </c:pt>
                <c:pt idx="3">
                  <c:v>58.0702069810362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7132-4778-902B-5C98082820BE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1.8473446385078678E-2"/>
                  <c:y val="-7.269786616947292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250_ENT'!$AC$34:$AC$37</c:f>
              <c:numCache>
                <c:formatCode>0.0</c:formatCode>
                <c:ptCount val="4"/>
                <c:pt idx="0">
                  <c:v>102.30222754939838</c:v>
                </c:pt>
                <c:pt idx="1">
                  <c:v>82.516497657439885</c:v>
                </c:pt>
                <c:pt idx="2">
                  <c:v>58.577996607238198</c:v>
                </c:pt>
                <c:pt idx="3">
                  <c:v>37.915875474993129</c:v>
                </c:pt>
              </c:numCache>
            </c:numRef>
          </c:xVal>
          <c:yVal>
            <c:numRef>
              <c:f>'Laskenta tulopuoli 250_ENT'!$AG$34:$AG$37</c:f>
              <c:numCache>
                <c:formatCode>0.0</c:formatCode>
                <c:ptCount val="4"/>
                <c:pt idx="0">
                  <c:v>75.294847173186668</c:v>
                </c:pt>
                <c:pt idx="1">
                  <c:v>71.060765816515371</c:v>
                </c:pt>
                <c:pt idx="2">
                  <c:v>65.498096195133584</c:v>
                </c:pt>
                <c:pt idx="3">
                  <c:v>56.146767270411296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7132-4778-902B-5C98082820BE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250_ENT'!$W$6</c:f>
              <c:numCache>
                <c:formatCode>0.0</c:formatCode>
                <c:ptCount val="1"/>
                <c:pt idx="0">
                  <c:v>54.816477065637883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132-4778-902B-5C980828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250_ENT'!$AJ$36:$AJ$38</c:f>
              <c:numCache>
                <c:formatCode>0.0</c:formatCode>
                <c:ptCount val="3"/>
                <c:pt idx="0">
                  <c:v>82.516497657439885</c:v>
                </c:pt>
                <c:pt idx="1">
                  <c:v>58.577996607238198</c:v>
                </c:pt>
                <c:pt idx="2">
                  <c:v>37.915875474993129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D0-40A2-AA47-9BC33092230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250_ENT'!$AJ$34:$AJ$35</c:f>
              <c:numCache>
                <c:formatCode>0.0</c:formatCode>
                <c:ptCount val="2"/>
                <c:pt idx="0">
                  <c:v>102.30222754939838</c:v>
                </c:pt>
                <c:pt idx="1">
                  <c:v>93.120589883392128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3D0-40A2-AA47-9BC33092230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250_ENT'!$W$9</c:f>
              <c:numCache>
                <c:formatCode>0.00</c:formatCode>
                <c:ptCount val="1"/>
                <c:pt idx="0">
                  <c:v>3.7590233552788086</c:v>
                </c:pt>
              </c:numCache>
            </c:numRef>
          </c:xVal>
          <c:yVal>
            <c:numRef>
              <c:f>'Laskenta tulopuoli 250_ENT'!$J$3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3D0-40A2-AA47-9BC330922301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250_ENT'!$AC$34:$AC$37</c:f>
              <c:numCache>
                <c:formatCode>0.0</c:formatCode>
                <c:ptCount val="4"/>
                <c:pt idx="0">
                  <c:v>102.30222754939838</c:v>
                </c:pt>
                <c:pt idx="1">
                  <c:v>82.516497657439885</c:v>
                </c:pt>
                <c:pt idx="2">
                  <c:v>58.577996607238198</c:v>
                </c:pt>
                <c:pt idx="3">
                  <c:v>37.915875474993129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3D0-40A2-AA47-9BC330922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250_ENT'!$X$59:$X$67</c:f>
              <c:numCache>
                <c:formatCode>0.0</c:formatCode>
                <c:ptCount val="9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  <c:pt idx="8">
                  <c:v>88.39543467590552</c:v>
                </c:pt>
              </c:numCache>
            </c:numRef>
          </c:xVal>
          <c:yVal>
            <c:numRef>
              <c:f>'Laskenta tulopuoli 250_ENT'!$Y$59:$Y$67</c:f>
              <c:numCache>
                <c:formatCode>0.0</c:formatCode>
                <c:ptCount val="9"/>
                <c:pt idx="0">
                  <c:v>269.87126140289683</c:v>
                </c:pt>
                <c:pt idx="1">
                  <c:v>344.24106644222212</c:v>
                </c:pt>
                <c:pt idx="2">
                  <c:v>404.74934395940249</c:v>
                </c:pt>
                <c:pt idx="3">
                  <c:v>441.21443337830112</c:v>
                </c:pt>
                <c:pt idx="4">
                  <c:v>476.01090864587957</c:v>
                </c:pt>
                <c:pt idx="5">
                  <c:v>508.64545939713418</c:v>
                </c:pt>
                <c:pt idx="6">
                  <c:v>470.25008534934227</c:v>
                </c:pt>
                <c:pt idx="7">
                  <c:v>500.70540336719438</c:v>
                </c:pt>
                <c:pt idx="8">
                  <c:v>219.51717363439141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9C-4B21-BD03-30425A70FF95}"/>
            </c:ext>
          </c:extLst>
        </c:ser>
        <c:ser>
          <c:idx val="1"/>
          <c:order val="1"/>
          <c:tx>
            <c:strRef>
              <c:f>'Laskenta tulopuoli 250_ENT'!$W$70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250_ENT'!$X$70:$X$78</c:f>
              <c:numCache>
                <c:formatCode>0.0</c:formatCode>
                <c:ptCount val="9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  <c:pt idx="8">
                  <c:v>69.746589293639971</c:v>
                </c:pt>
              </c:numCache>
            </c:numRef>
          </c:xVal>
          <c:yVal>
            <c:numRef>
              <c:f>'Laskenta tulopuoli 250_ENT'!$Y$70:$Y$78</c:f>
              <c:numCache>
                <c:formatCode>0.0</c:formatCode>
                <c:ptCount val="9"/>
                <c:pt idx="0">
                  <c:v>149.69222564951269</c:v>
                </c:pt>
                <c:pt idx="1">
                  <c:v>194.21295707561856</c:v>
                </c:pt>
                <c:pt idx="2">
                  <c:v>226.86308284600184</c:v>
                </c:pt>
                <c:pt idx="3">
                  <c:v>250.01490513085002</c:v>
                </c:pt>
                <c:pt idx="4">
                  <c:v>291.75989245361296</c:v>
                </c:pt>
                <c:pt idx="5">
                  <c:v>272.36127011804143</c:v>
                </c:pt>
                <c:pt idx="6">
                  <c:v>272.86710131104024</c:v>
                </c:pt>
                <c:pt idx="7">
                  <c:v>293.34861075163002</c:v>
                </c:pt>
                <c:pt idx="8">
                  <c:v>122.34343264857729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9C-4B21-BD03-30425A70FF95}"/>
            </c:ext>
          </c:extLst>
        </c:ser>
        <c:ser>
          <c:idx val="2"/>
          <c:order val="2"/>
          <c:tx>
            <c:strRef>
              <c:f>'Laskenta tulopuoli 250_ENT'!$W$81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250_ENT'!$X$81:$X$88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250_ENT'!$Y$81:$Y$88</c:f>
              <c:numCache>
                <c:formatCode>0.0</c:formatCode>
                <c:ptCount val="8"/>
                <c:pt idx="0">
                  <c:v>68.338082142436136</c:v>
                </c:pt>
                <c:pt idx="1">
                  <c:v>85.817945626993549</c:v>
                </c:pt>
                <c:pt idx="2">
                  <c:v>100.58211420649553</c:v>
                </c:pt>
                <c:pt idx="3">
                  <c:v>108.18499603886791</c:v>
                </c:pt>
                <c:pt idx="4">
                  <c:v>122.06707576044337</c:v>
                </c:pt>
                <c:pt idx="5">
                  <c:v>127.03579746433738</c:v>
                </c:pt>
                <c:pt idx="6">
                  <c:v>121.47438704053738</c:v>
                </c:pt>
                <c:pt idx="7">
                  <c:v>120.34526296527847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A9C-4B21-BD03-30425A70FF95}"/>
            </c:ext>
          </c:extLst>
        </c:ser>
        <c:ser>
          <c:idx val="3"/>
          <c:order val="3"/>
          <c:tx>
            <c:strRef>
              <c:f>'Laskenta tulopuoli 250_ENT'!$W$92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250_ENT'!$X$92:$X$98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250_ENT'!$Y$92:$Y$98</c:f>
              <c:numCache>
                <c:formatCode>0.0</c:formatCode>
                <c:ptCount val="7"/>
                <c:pt idx="0">
                  <c:v>27.789129554462839</c:v>
                </c:pt>
                <c:pt idx="1">
                  <c:v>32.284696155606284</c:v>
                </c:pt>
                <c:pt idx="2">
                  <c:v>35.64020826027015</c:v>
                </c:pt>
                <c:pt idx="3">
                  <c:v>38.902321225263641</c:v>
                </c:pt>
                <c:pt idx="4">
                  <c:v>42.421503042537594</c:v>
                </c:pt>
                <c:pt idx="5">
                  <c:v>41.173887650695342</c:v>
                </c:pt>
                <c:pt idx="6">
                  <c:v>42.255082918151238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9C-4B21-BD03-30425A70FF9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250_ENT'!$AC$34:$AC$38</c:f>
              <c:numCache>
                <c:formatCode>0.0</c:formatCode>
                <c:ptCount val="5"/>
                <c:pt idx="0">
                  <c:v>102.30222754939838</c:v>
                </c:pt>
                <c:pt idx="1">
                  <c:v>82.516497657439885</c:v>
                </c:pt>
                <c:pt idx="2">
                  <c:v>58.577996607238198</c:v>
                </c:pt>
                <c:pt idx="3">
                  <c:v>37.915875474993129</c:v>
                </c:pt>
                <c:pt idx="4">
                  <c:v>76.278368943893071</c:v>
                </c:pt>
              </c:numCache>
            </c:numRef>
          </c:xVal>
          <c:yVal>
            <c:numRef>
              <c:f>'Laskenta tulopuoli 250_ENT'!$AE$34:$AE$37</c:f>
              <c:numCache>
                <c:formatCode>0.0</c:formatCode>
                <c:ptCount val="4"/>
                <c:pt idx="0">
                  <c:v>229.22945026558938</c:v>
                </c:pt>
                <c:pt idx="1">
                  <c:v>129.00543097061279</c:v>
                </c:pt>
                <c:pt idx="2">
                  <c:v>57.571242061674269</c:v>
                </c:pt>
                <c:pt idx="3">
                  <c:v>25.260015769487143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A9C-4B21-BD03-30425A70FF9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250_ENT'!$J$3</c:f>
              <c:numCache>
                <c:formatCode>General</c:formatCode>
                <c:ptCount val="1"/>
                <c:pt idx="0">
                  <c:v>34.722222222222221</c:v>
                </c:pt>
              </c:numCache>
            </c:numRef>
          </c:xVal>
          <c:yVal>
            <c:numRef>
              <c:f>'Laskenta tulopuoli 250_ENT'!$W$13</c:f>
              <c:numCache>
                <c:formatCode>0.0</c:formatCode>
                <c:ptCount val="1"/>
                <c:pt idx="0">
                  <c:v>23.191384374974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9A9C-4B21-BD03-30425A70F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7" dropStyle="combo" dx="22" fmlaLink="Tulokset!$W$5" fmlaRange="Tulokset!$X$12:$X$18" noThreeD="1" sel="2" val="0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Drop" dropLines="15" dropStyle="combo" dx="22" fmlaLink="Säädata!$B$27" fmlaRange="Aluelistaus" noThreeD="1" sel="1" val="0"/>
</file>

<file path=xl/ctrlProps/ctrlProp14.xml><?xml version="1.0" encoding="utf-8"?>
<formControlPr xmlns="http://schemas.microsoft.com/office/spreadsheetml/2009/9/main" objectType="Drop" dropLines="2" dropStyle="combo" dx="22" fmlaLink="Laskenta_vuosihyötysuhde!$C$34" fmlaRange="Laskenta_vuosihyötysuhde!$B$32:$B$33" noThreeD="1" sel="1" val="0"/>
</file>

<file path=xl/ctrlProps/ctrlProp15.xml><?xml version="1.0" encoding="utf-8"?>
<formControlPr xmlns="http://schemas.microsoft.com/office/spreadsheetml/2009/9/main" objectType="Radio" checked="Checked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Drop" dropLines="7" dropStyle="combo" dx="22" fmlaLink="$W$5" fmlaRange="$X$12:$X$18" noThreeD="1" sel="2" val="0"/>
</file>

<file path=xl/ctrlProps/ctrlProp2.xml><?xml version="1.0" encoding="utf-8"?>
<formControlPr xmlns="http://schemas.microsoft.com/office/spreadsheetml/2009/9/main" objectType="Drop" dropLines="2" dropStyle="combo" dx="22" fmlaLink="'SEC-laskenta'!$H$7" fmlaRange="'SEC-laskenta'!$C$7:$C$8" noThreeD="1" sel="1" val="0"/>
</file>

<file path=xl/ctrlProps/ctrlProp20.xml><?xml version="1.0" encoding="utf-8"?>
<formControlPr xmlns="http://schemas.microsoft.com/office/spreadsheetml/2009/9/main" objectType="Drop" dropLines="5" dropStyle="combo" dx="22" fmlaLink="Tulokset!$DK$3" fmlaRange="Tulokset!$DJ$10:$DJ$14" noThreeD="1" sel="1" val="0"/>
</file>

<file path=xl/ctrlProps/ctrlProp21.xml><?xml version="1.0" encoding="utf-8"?>
<formControlPr xmlns="http://schemas.microsoft.com/office/spreadsheetml/2009/9/main" objectType="Drop" dropLines="2" dropStyle="combo" dx="22" fmlaLink="'SEC-laskenta_ENT'!$H$7" fmlaRange="'SEC-laskenta_ENT'!$C$7:$C$8" noThreeD="1" sel="1" val="0"/>
</file>

<file path=xl/ctrlProps/ctrlProp22.xml><?xml version="1.0" encoding="utf-8"?>
<formControlPr xmlns="http://schemas.microsoft.com/office/spreadsheetml/2009/9/main" objectType="Drop" dropLines="4" dropStyle="combo" dx="22" fmlaLink="'SEC-laskenta_ENT'!$H$11" fmlaRange="'SEC-laskenta_ENT'!$C$11:$C$14" noThreeD="1" sel="4" val="0"/>
</file>

<file path=xl/ctrlProps/ctrlProp23.xml><?xml version="1.0" encoding="utf-8"?>
<formControlPr xmlns="http://schemas.microsoft.com/office/spreadsheetml/2009/9/main" objectType="Drop" dropLines="4" dropStyle="combo" dx="22" fmlaLink="'SEC-laskenta_ENT'!$H$17" fmlaRange="'SEC-laskenta_ENT'!$C$17:$C$20" noThreeD="1" sel="4" val="0"/>
</file>

<file path=xl/ctrlProps/ctrlProp24.xml><?xml version="1.0" encoding="utf-8"?>
<formControlPr xmlns="http://schemas.microsoft.com/office/spreadsheetml/2009/9/main" objectType="Drop" dropLines="3" dropStyle="combo" dx="22" fmlaLink="'SEC-laskenta_ENT'!$L$23" fmlaRange="'SEC-laskenta_ENT'!$C$23:$C$25" noThreeD="1" sel="2" val="0"/>
</file>

<file path=xl/ctrlProps/ctrlProp25.xml><?xml version="1.0" encoding="utf-8"?>
<formControlPr xmlns="http://schemas.microsoft.com/office/spreadsheetml/2009/9/main" objectType="CheckBox" fmlaLink="Tulokset_ENT!$BD$2"/>
</file>

<file path=xl/ctrlProps/ctrlProp26.xml><?xml version="1.0" encoding="utf-8"?>
<formControlPr xmlns="http://schemas.microsoft.com/office/spreadsheetml/2009/9/main" objectType="CheckBox" fmlaLink="Tulokset_ENT!$BT$15" lockText="1" noThreeD="1"/>
</file>

<file path=xl/ctrlProps/ctrlProp27.xml><?xml version="1.0" encoding="utf-8"?>
<formControlPr xmlns="http://schemas.microsoft.com/office/spreadsheetml/2009/9/main" objectType="CheckBox" fmlaLink="Tulokset_ENT!$D$41" lockText="1"/>
</file>

<file path=xl/ctrlProps/ctrlProp28.xml><?xml version="1.0" encoding="utf-8"?>
<formControlPr xmlns="http://schemas.microsoft.com/office/spreadsheetml/2009/9/main" objectType="Radio" firstButton="1" fmlaLink="Kirjasto_ENT!$B$4" lockText="1" noThreeD="1"/>
</file>

<file path=xl/ctrlProps/ctrlProp29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Drop" dropLines="4" dropStyle="combo" dx="22" fmlaLink="'SEC-laskenta'!$H$11" fmlaRange="'SEC-laskenta'!$C$11:$C$14" noThreeD="1" sel="4" val="0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Drop" dropLines="15" dropStyle="combo" dx="22" fmlaLink="Säädata_ENT!$B$27" fmlaRange="Aluelistaus_ENT" noThreeD="1" sel="8" val="0"/>
</file>

<file path=xl/ctrlProps/ctrlProp33.xml><?xml version="1.0" encoding="utf-8"?>
<formControlPr xmlns="http://schemas.microsoft.com/office/spreadsheetml/2009/9/main" objectType="Drop" dropLines="2" dropStyle="combo" dx="22" fmlaLink="Laskenta_vuosihyötysuhde_ENT!$C$34" fmlaRange="Laskenta_vuosihyötysuhde_ENT!$B$32:$B$33" noThreeD="1" sel="1" val="0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Drop" dropStyle="combo" dx="26" fmlaLink="Tulokset_ENT!$W$3" fmlaRange="Tulokset_ENT!$X$44:$X$49" noThreeD="1" sel="2" val="0"/>
</file>

<file path=xl/ctrlProps/ctrlProp39.xml><?xml version="1.0" encoding="utf-8"?>
<formControlPr xmlns="http://schemas.microsoft.com/office/spreadsheetml/2009/9/main" objectType="Drop" dropStyle="combo" dx="26" fmlaLink="'C koodit'!$B$115" fmlaRange="Valikko_S" noThreeD="1" sel="3" val="0"/>
</file>

<file path=xl/ctrlProps/ctrlProp4.xml><?xml version="1.0" encoding="utf-8"?>
<formControlPr xmlns="http://schemas.microsoft.com/office/spreadsheetml/2009/9/main" objectType="Drop" dropLines="4" dropStyle="combo" dx="22" fmlaLink="'SEC-laskenta'!$H$17" fmlaRange="'SEC-laskenta'!$C$17:$C$20" noThreeD="1" sel="4" val="0"/>
</file>

<file path=xl/ctrlProps/ctrlProp40.xml><?xml version="1.0" encoding="utf-8"?>
<formControlPr xmlns="http://schemas.microsoft.com/office/spreadsheetml/2009/9/main" objectType="Drop" dropStyle="combo" dx="26" fmlaLink="'C koodit'!$B$79" fmlaRange="Valikko_A" noThreeD="1" sel="1" val="0"/>
</file>

<file path=xl/ctrlProps/ctrlProp41.xml><?xml version="1.0" encoding="utf-8"?>
<formControlPr xmlns="http://schemas.microsoft.com/office/spreadsheetml/2009/9/main" objectType="Drop" dropStyle="combo" dx="26" fmlaLink="'C koodit'!$B$81" fmlaRange="Valikko_B" noThreeD="1" sel="1" val="0"/>
</file>

<file path=xl/ctrlProps/ctrlProp42.xml><?xml version="1.0" encoding="utf-8"?>
<formControlPr xmlns="http://schemas.microsoft.com/office/spreadsheetml/2009/9/main" objectType="Drop" dropStyle="combo" dx="26" fmlaLink="'C koodit'!$B$83" fmlaRange="Valikko_C" noThreeD="1" sel="1" val="0"/>
</file>

<file path=xl/ctrlProps/ctrlProp43.xml><?xml version="1.0" encoding="utf-8"?>
<formControlPr xmlns="http://schemas.microsoft.com/office/spreadsheetml/2009/9/main" objectType="Drop" dropStyle="combo" dx="26" fmlaLink="'C koodit'!$B$85" fmlaRange="Valikko_D" noThreeD="1" sel="1" val="0"/>
</file>

<file path=xl/ctrlProps/ctrlProp44.xml><?xml version="1.0" encoding="utf-8"?>
<formControlPr xmlns="http://schemas.microsoft.com/office/spreadsheetml/2009/9/main" objectType="Drop" dropStyle="combo" dx="26" fmlaLink="'C koodit'!$B$89" fmlaRange="Valikko_F" noThreeD="1" sel="1" val="0"/>
</file>

<file path=xl/ctrlProps/ctrlProp45.xml><?xml version="1.0" encoding="utf-8"?>
<formControlPr xmlns="http://schemas.microsoft.com/office/spreadsheetml/2009/9/main" objectType="Drop" dropStyle="combo" dx="26" fmlaLink="'C koodit'!$B$87" fmlaRange="Valikko_E" noThreeD="1" sel="2" val="0"/>
</file>

<file path=xl/ctrlProps/ctrlProp46.xml><?xml version="1.0" encoding="utf-8"?>
<formControlPr xmlns="http://schemas.microsoft.com/office/spreadsheetml/2009/9/main" objectType="Drop" dropStyle="combo" dx="26" fmlaLink="'C koodit'!$B$91" fmlaRange="Valikko_G" noThreeD="1" sel="2" val="0"/>
</file>

<file path=xl/ctrlProps/ctrlProp47.xml><?xml version="1.0" encoding="utf-8"?>
<formControlPr xmlns="http://schemas.microsoft.com/office/spreadsheetml/2009/9/main" objectType="Drop" dropStyle="combo" dx="26" fmlaLink="'C koodit'!$B$93" fmlaRange="Valikko_H" noThreeD="1" sel="1" val="0"/>
</file>

<file path=xl/ctrlProps/ctrlProp48.xml><?xml version="1.0" encoding="utf-8"?>
<formControlPr xmlns="http://schemas.microsoft.com/office/spreadsheetml/2009/9/main" objectType="Drop" dropStyle="combo" dx="26" fmlaLink="'C koodit'!$B$95" fmlaRange="Valikko_I" noThreeD="1" sel="1" val="0"/>
</file>

<file path=xl/ctrlProps/ctrlProp49.xml><?xml version="1.0" encoding="utf-8"?>
<formControlPr xmlns="http://schemas.microsoft.com/office/spreadsheetml/2009/9/main" objectType="Drop" dropStyle="combo" dx="26" fmlaLink="'C koodit'!$B$97" fmlaRange="Valikko_J" noThreeD="1" sel="1" val="0"/>
</file>

<file path=xl/ctrlProps/ctrlProp5.xml><?xml version="1.0" encoding="utf-8"?>
<formControlPr xmlns="http://schemas.microsoft.com/office/spreadsheetml/2009/9/main" objectType="Drop" dropLines="3" dropStyle="combo" dx="22" fmlaLink="'SEC-laskenta'!$L$23" fmlaRange="'SEC-laskenta'!$C$23:$C$25" noThreeD="1" sel="2" val="0"/>
</file>

<file path=xl/ctrlProps/ctrlProp50.xml><?xml version="1.0" encoding="utf-8"?>
<formControlPr xmlns="http://schemas.microsoft.com/office/spreadsheetml/2009/9/main" objectType="Drop" dropStyle="combo" dx="26" fmlaLink="'C koodit'!$B$99" fmlaRange="Valikko_K" noThreeD="1" sel="1" val="0"/>
</file>

<file path=xl/ctrlProps/ctrlProp51.xml><?xml version="1.0" encoding="utf-8"?>
<formControlPr xmlns="http://schemas.microsoft.com/office/spreadsheetml/2009/9/main" objectType="Drop" dropStyle="combo" dx="26" fmlaLink="'C koodit'!$B$101" fmlaRange="Valikko_L" noThreeD="1" sel="1" val="0"/>
</file>

<file path=xl/ctrlProps/ctrlProp52.xml><?xml version="1.0" encoding="utf-8"?>
<formControlPr xmlns="http://schemas.microsoft.com/office/spreadsheetml/2009/9/main" objectType="Drop" dropStyle="combo" dx="26" fmlaLink="'C koodit'!$B$103" fmlaRange="Valikko_M" noThreeD="1" sel="1" val="0"/>
</file>

<file path=xl/ctrlProps/ctrlProp53.xml><?xml version="1.0" encoding="utf-8"?>
<formControlPr xmlns="http://schemas.microsoft.com/office/spreadsheetml/2009/9/main" objectType="Drop" dropStyle="combo" dx="26" fmlaLink="'C koodit'!$B$105" fmlaRange="Valikko_N" noThreeD="1" sel="1" val="0"/>
</file>

<file path=xl/ctrlProps/ctrlProp54.xml><?xml version="1.0" encoding="utf-8"?>
<formControlPr xmlns="http://schemas.microsoft.com/office/spreadsheetml/2009/9/main" objectType="Drop" dropStyle="combo" dx="26" fmlaLink="'C koodit'!$B$107" fmlaRange="Valikko_O" noThreeD="1" sel="1" val="0"/>
</file>

<file path=xl/ctrlProps/ctrlProp55.xml><?xml version="1.0" encoding="utf-8"?>
<formControlPr xmlns="http://schemas.microsoft.com/office/spreadsheetml/2009/9/main" objectType="Drop" dropStyle="combo" dx="26" fmlaLink="'C koodit'!$B$109" fmlaRange="Valikko_P" noThreeD="1" sel="1" val="0"/>
</file>

<file path=xl/ctrlProps/ctrlProp56.xml><?xml version="1.0" encoding="utf-8"?>
<formControlPr xmlns="http://schemas.microsoft.com/office/spreadsheetml/2009/9/main" objectType="Drop" dropStyle="combo" dx="26" fmlaLink="'C koodit'!$B$111" fmlaRange="Valikko_Q" noThreeD="1" sel="1" val="0"/>
</file>

<file path=xl/ctrlProps/ctrlProp57.xml><?xml version="1.0" encoding="utf-8"?>
<formControlPr xmlns="http://schemas.microsoft.com/office/spreadsheetml/2009/9/main" objectType="Drop" dropStyle="combo" dx="26" fmlaLink="'C koodit'!$B$113" fmlaRange="Valikko_R" noThreeD="1" sel="1" val="0"/>
</file>

<file path=xl/ctrlProps/ctrlProp58.xml><?xml version="1.0" encoding="utf-8"?>
<formControlPr xmlns="http://schemas.microsoft.com/office/spreadsheetml/2009/9/main" objectType="Radio" checked="Checked" firstButton="1" fmlaLink="KirjastoC!$B$4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CheckBox" fmlaLink="Tulokset!$BD$2"/>
</file>

<file path=xl/ctrlProps/ctrlProp60.xml><?xml version="1.0" encoding="utf-8"?>
<formControlPr xmlns="http://schemas.microsoft.com/office/spreadsheetml/2009/9/main" objectType="Drop" dropLines="15" dropStyle="combo" dx="22" fmlaLink="SäädataC!$B$27" fmlaRange="AluelistausC" noThreeD="1" sel="1" val="0"/>
</file>

<file path=xl/ctrlProps/ctrlProp61.xml><?xml version="1.0" encoding="utf-8"?>
<formControlPr xmlns="http://schemas.microsoft.com/office/spreadsheetml/2009/9/main" objectType="Drop" dropLines="2" dropStyle="combo" dx="22" fmlaLink="Laskenta_vuosihyötysuhde_C!$C$34" fmlaRange="Laskenta_vuosihyötysuhde_C!$B$32:$B$33" noThreeD="1" sel="1" val="0"/>
</file>

<file path=xl/ctrlProps/ctrlProp62.xml><?xml version="1.0" encoding="utf-8"?>
<formControlPr xmlns="http://schemas.microsoft.com/office/spreadsheetml/2009/9/main" objectType="Radio" checked="Checked" firstButton="1" fmlaLink="KirjastoC!$B$4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Drop" dropLines="6" dropStyle="combo" dx="22" fmlaLink="$W$5" fmlaRange="$X$12:$X$17" noThreeD="1" sel="1" val="0"/>
</file>

<file path=xl/ctrlProps/ctrlProp65.xml><?xml version="1.0" encoding="utf-8"?>
<formControlPr xmlns="http://schemas.microsoft.com/office/spreadsheetml/2009/9/main" objectType="Drop" dropLines="5" dropStyle="combo" dx="22" fmlaLink="TuloksetC!$DK$3" fmlaRange="TuloksetC!$DJ$10:$DJ$14" noThreeD="1" sel="1" val="0"/>
</file>

<file path=xl/ctrlProps/ctrlProp66.xml><?xml version="1.0" encoding="utf-8"?>
<formControlPr xmlns="http://schemas.microsoft.com/office/spreadsheetml/2009/9/main" objectType="Drop" dropLines="6" dropStyle="combo" dx="22" fmlaLink="TuloksetC!$W$5" fmlaRange="TuloksetC!$X$12:$X$17" noThreeD="1" sel="1" val="0"/>
</file>

<file path=xl/ctrlProps/ctrlProp67.xml><?xml version="1.0" encoding="utf-8"?>
<formControlPr xmlns="http://schemas.microsoft.com/office/spreadsheetml/2009/9/main" objectType="Drop" dropLines="2" dropStyle="combo" dx="22" fmlaLink="'SEC-laskenta_C'!$H$7" fmlaRange="'SEC-laskenta_C'!$C$7:$C$8" noThreeD="1" sel="2" val="0"/>
</file>

<file path=xl/ctrlProps/ctrlProp68.xml><?xml version="1.0" encoding="utf-8"?>
<formControlPr xmlns="http://schemas.microsoft.com/office/spreadsheetml/2009/9/main" objectType="Drop" dropLines="4" dropStyle="combo" dx="22" fmlaLink="'SEC-laskenta_C'!$H$11" fmlaRange="'SEC-laskenta_C'!$C$11:$C$14" noThreeD="1" sel="1" val="0"/>
</file>

<file path=xl/ctrlProps/ctrlProp69.xml><?xml version="1.0" encoding="utf-8"?>
<formControlPr xmlns="http://schemas.microsoft.com/office/spreadsheetml/2009/9/main" objectType="Drop" dropLines="4" dropStyle="combo" dx="22" fmlaLink="'SEC-laskenta_C'!$H$17" fmlaRange="'SEC-laskenta_C'!$C$17:$C$20" noThreeD="1" sel="2" val="0"/>
</file>

<file path=xl/ctrlProps/ctrlProp7.xml><?xml version="1.0" encoding="utf-8"?>
<formControlPr xmlns="http://schemas.microsoft.com/office/spreadsheetml/2009/9/main" objectType="CheckBox" fmlaLink="Tulokset!$BT$15" lockText="1" noThreeD="1"/>
</file>

<file path=xl/ctrlProps/ctrlProp70.xml><?xml version="1.0" encoding="utf-8"?>
<formControlPr xmlns="http://schemas.microsoft.com/office/spreadsheetml/2009/9/main" objectType="Drop" dropLines="3" dropStyle="combo" dx="22" fmlaLink="'SEC-laskenta_C'!$L$23" fmlaRange="'SEC-laskenta_C'!$C$23:$C$25" noThreeD="1" sel="1" val="0"/>
</file>

<file path=xl/ctrlProps/ctrlProp71.xml><?xml version="1.0" encoding="utf-8"?>
<formControlPr xmlns="http://schemas.microsoft.com/office/spreadsheetml/2009/9/main" objectType="Drop" dropLines="7" dropStyle="combo" dx="22" fmlaLink="Laskenta_vuosihyötysuhde_C!$E$13" fmlaRange="Valtiolistaus" sel="1" val="0"/>
</file>

<file path=xl/ctrlProps/ctrlProp72.xml><?xml version="1.0" encoding="utf-8"?>
<formControlPr xmlns="http://schemas.microsoft.com/office/spreadsheetml/2009/9/main" objectType="Drop" dropLines="4" dropStyle="combo" dx="22" fmlaLink="Laskenta_vuosihyötysuhde_C!$E$14" fmlaRange="Kuntalistaus" sel="1" val="0"/>
</file>

<file path=xl/ctrlProps/ctrlProp73.xml><?xml version="1.0" encoding="utf-8"?>
<formControlPr xmlns="http://schemas.microsoft.com/office/spreadsheetml/2009/9/main" objectType="Drop" dropLines="7" dropStyle="combo" dx="22" fmlaLink="$W$5" fmlaRange="$X$12:$X$18" noThreeD="1" sel="4" val="0"/>
</file>

<file path=xl/ctrlProps/ctrlProp74.xml><?xml version="1.0" encoding="utf-8"?>
<formControlPr xmlns="http://schemas.microsoft.com/office/spreadsheetml/2009/9/main" objectType="Drop" dropLines="5" dropStyle="combo" dx="22" fmlaLink="Tulokset_ENT!$DK$3" fmlaRange="Tulokset_ENT!$DJ$10:$DJ$14" noThreeD="1" sel="1" val="0"/>
</file>

<file path=xl/ctrlProps/ctrlProp75.xml><?xml version="1.0" encoding="utf-8"?>
<formControlPr xmlns="http://schemas.microsoft.com/office/spreadsheetml/2009/9/main" objectType="Drop" dropStyle="combo" dx="26" fmlaLink="$W$3" fmlaRange="$X$44:$X$49" noThreeD="1" sel="2" val="0"/>
</file>

<file path=xl/ctrlProps/ctrlProp76.xml><?xml version="1.0" encoding="utf-8"?>
<formControlPr xmlns="http://schemas.microsoft.com/office/spreadsheetml/2009/9/main" objectType="Drop" dropLines="7" dropStyle="combo" dx="22" fmlaLink="Tulokset_ENT!$W$5" fmlaRange="Tulokset_ENT!$X$12:$X$18" noThreeD="1" sel="4" val="0"/>
</file>

<file path=xl/ctrlProps/ctrlProp77.xml><?xml version="1.0" encoding="utf-8"?>
<formControlPr xmlns="http://schemas.microsoft.com/office/spreadsheetml/2009/9/main" objectType="Drop" dropLines="15" dropStyle="combo" dx="22" fmlaLink="$B$27" fmlaRange="Aluelistaus_ENT" noThreeD="1" sel="8" val="0"/>
</file>

<file path=xl/ctrlProps/ctrlProp78.xml><?xml version="1.0" encoding="utf-8"?>
<formControlPr xmlns="http://schemas.microsoft.com/office/spreadsheetml/2009/9/main" objectType="Drop" dropLines="7" dropStyle="combo" dx="22" fmlaLink="Laskenta_vuosihyötysuhde_ENT!$E$13" fmlaRange="Valtiolistaus_ENT" sel="1" val="0"/>
</file>

<file path=xl/ctrlProps/ctrlProp79.xml><?xml version="1.0" encoding="utf-8"?>
<formControlPr xmlns="http://schemas.microsoft.com/office/spreadsheetml/2009/9/main" objectType="Drop" dropLines="4" dropStyle="combo" dx="22" fmlaLink="Laskenta_vuosihyötysuhde_ENT!$E$14" fmlaRange="Kuntalistaus_ENT" sel="1" val="0"/>
</file>

<file path=xl/ctrlProps/ctrlProp8.xml><?xml version="1.0" encoding="utf-8"?>
<formControlPr xmlns="http://schemas.microsoft.com/office/spreadsheetml/2009/9/main" objectType="CheckBox" fmlaLink="Tulokset!$D$41" lockText="1"/>
</file>

<file path=xl/ctrlProps/ctrlProp80.xml><?xml version="1.0" encoding="utf-8"?>
<formControlPr xmlns="http://schemas.microsoft.com/office/spreadsheetml/2009/9/main" objectType="Drop" dropLines="15" dropStyle="combo" dx="22" fmlaLink="$B$27" fmlaRange="AluelistausC" noThreeD="1" sel="1" val="0"/>
</file>

<file path=xl/ctrlProps/ctrlProp81.xml><?xml version="1.0" encoding="utf-8"?>
<formControlPr xmlns="http://schemas.microsoft.com/office/spreadsheetml/2009/9/main" objectType="Drop" dropLines="15" dropStyle="combo" dx="22" fmlaLink="$B$27" fmlaRange="Aluelistaus" noThreeD="1" sel="1" val="0"/>
</file>

<file path=xl/ctrlProps/ctrlProp82.xml><?xml version="1.0" encoding="utf-8"?>
<formControlPr xmlns="http://schemas.microsoft.com/office/spreadsheetml/2009/9/main" objectType="Drop" dropLines="7" dropStyle="combo" dx="22" fmlaLink="Laskenta_vuosihyötysuhde!$E$13" fmlaRange="Valtiolistaus" sel="1" val="0"/>
</file>

<file path=xl/ctrlProps/ctrlProp83.xml><?xml version="1.0" encoding="utf-8"?>
<formControlPr xmlns="http://schemas.microsoft.com/office/spreadsheetml/2009/9/main" objectType="Drop" dropLines="4" dropStyle="combo" dx="22" fmlaLink="Laskenta_vuosihyötysuhde!$E$14" fmlaRange="Kuntalistaus" sel="1" val="0"/>
</file>

<file path=xl/ctrlProps/ctrlProp84.xml><?xml version="1.0" encoding="utf-8"?>
<formControlPr xmlns="http://schemas.microsoft.com/office/spreadsheetml/2009/9/main" objectType="Drop" dropStyle="combo" dx="26" fmlaLink="'C koodit'!$B$91" fmlaRange="Valikko_G" noThreeD="1" sel="2" val="0"/>
</file>

<file path=xl/ctrlProps/ctrlProp85.xml><?xml version="1.0" encoding="utf-8"?>
<formControlPr xmlns="http://schemas.microsoft.com/office/spreadsheetml/2009/9/main" objectType="Drop" dropStyle="combo" dx="26" fmlaLink="'C koodit'!$B$93" fmlaRange="Valikko_H" noThreeD="1" sel="1" val="0"/>
</file>

<file path=xl/ctrlProps/ctrlProp86.xml><?xml version="1.0" encoding="utf-8"?>
<formControlPr xmlns="http://schemas.microsoft.com/office/spreadsheetml/2009/9/main" objectType="Drop" dropStyle="combo" dx="26" fmlaLink="'C koodit'!$B$91" fmlaRange="Valikko_G" noThreeD="1" sel="2" val="0"/>
</file>

<file path=xl/ctrlProps/ctrlProp87.xml><?xml version="1.0" encoding="utf-8"?>
<formControlPr xmlns="http://schemas.microsoft.com/office/spreadsheetml/2009/9/main" objectType="Drop" dropStyle="combo" dx="26" fmlaLink="'C koodit'!$B$95" fmlaRange="Valikko_I" noThreeD="1" sel="1" val="0"/>
</file>

<file path=xl/ctrlProps/ctrlProp88.xml><?xml version="1.0" encoding="utf-8"?>
<formControlPr xmlns="http://schemas.microsoft.com/office/spreadsheetml/2009/9/main" objectType="Drop" dropStyle="combo" dx="26" fmlaLink="'C koodit'!$B$95" fmlaRange="Valikko_I" noThreeD="1" sel="1" val="0"/>
</file>

<file path=xl/ctrlProps/ctrlProp89.xml><?xml version="1.0" encoding="utf-8"?>
<formControlPr xmlns="http://schemas.microsoft.com/office/spreadsheetml/2009/9/main" objectType="Drop" dropStyle="combo" dx="26" fmlaLink="'C koodit'!$B$97" fmlaRange="Valikko_J" noThreeD="1" sel="1" val="0"/>
</file>

<file path=xl/ctrlProps/ctrlProp9.xml><?xml version="1.0" encoding="utf-8"?>
<formControlPr xmlns="http://schemas.microsoft.com/office/spreadsheetml/2009/9/main" objectType="Radio" firstButton="1" fmlaLink="Kirjasto!$B$4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12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jpe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image" Target="../media/image20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7" Type="http://schemas.openxmlformats.org/officeDocument/2006/relationships/chart" Target="../charts/chart78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4" Type="http://schemas.openxmlformats.org/officeDocument/2006/relationships/chart" Target="../charts/chart7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7" Type="http://schemas.openxmlformats.org/officeDocument/2006/relationships/chart" Target="../charts/chart85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5" Type="http://schemas.openxmlformats.org/officeDocument/2006/relationships/chart" Target="../charts/chart83.xml"/><Relationship Id="rId4" Type="http://schemas.openxmlformats.org/officeDocument/2006/relationships/chart" Target="../charts/chart82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7" Type="http://schemas.openxmlformats.org/officeDocument/2006/relationships/chart" Target="../charts/chart94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Relationship Id="rId6" Type="http://schemas.openxmlformats.org/officeDocument/2006/relationships/chart" Target="../charts/chart93.xml"/><Relationship Id="rId5" Type="http://schemas.openxmlformats.org/officeDocument/2006/relationships/chart" Target="../charts/chart92.xml"/><Relationship Id="rId4" Type="http://schemas.openxmlformats.org/officeDocument/2006/relationships/chart" Target="../charts/chart9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3" Type="http://schemas.openxmlformats.org/officeDocument/2006/relationships/chart" Target="../charts/chart98.xml"/><Relationship Id="rId7" Type="http://schemas.openxmlformats.org/officeDocument/2006/relationships/chart" Target="../charts/chart102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4" Type="http://schemas.openxmlformats.org/officeDocument/2006/relationships/chart" Target="../charts/chart99.xml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1.xml"/><Relationship Id="rId3" Type="http://schemas.openxmlformats.org/officeDocument/2006/relationships/chart" Target="../charts/chart106.xml"/><Relationship Id="rId7" Type="http://schemas.openxmlformats.org/officeDocument/2006/relationships/chart" Target="../charts/chart110.xml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Relationship Id="rId6" Type="http://schemas.openxmlformats.org/officeDocument/2006/relationships/chart" Target="../charts/chart109.xml"/><Relationship Id="rId5" Type="http://schemas.openxmlformats.org/officeDocument/2006/relationships/chart" Target="../charts/chart108.xml"/><Relationship Id="rId4" Type="http://schemas.openxmlformats.org/officeDocument/2006/relationships/chart" Target="../charts/chart10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3" Type="http://schemas.openxmlformats.org/officeDocument/2006/relationships/chart" Target="../charts/chart116.xml"/><Relationship Id="rId7" Type="http://schemas.openxmlformats.org/officeDocument/2006/relationships/chart" Target="../charts/chart120.xml"/><Relationship Id="rId2" Type="http://schemas.openxmlformats.org/officeDocument/2006/relationships/chart" Target="../charts/chart115.xml"/><Relationship Id="rId1" Type="http://schemas.openxmlformats.org/officeDocument/2006/relationships/chart" Target="../charts/chart114.xml"/><Relationship Id="rId6" Type="http://schemas.openxmlformats.org/officeDocument/2006/relationships/chart" Target="../charts/chart119.xml"/><Relationship Id="rId5" Type="http://schemas.openxmlformats.org/officeDocument/2006/relationships/chart" Target="../charts/chart118.xml"/><Relationship Id="rId4" Type="http://schemas.openxmlformats.org/officeDocument/2006/relationships/chart" Target="../charts/chart117.xm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9.xml"/><Relationship Id="rId3" Type="http://schemas.openxmlformats.org/officeDocument/2006/relationships/chart" Target="../charts/chart124.xml"/><Relationship Id="rId7" Type="http://schemas.openxmlformats.org/officeDocument/2006/relationships/chart" Target="../charts/chart128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5" Type="http://schemas.openxmlformats.org/officeDocument/2006/relationships/chart" Target="../charts/chart126.xml"/><Relationship Id="rId4" Type="http://schemas.openxmlformats.org/officeDocument/2006/relationships/chart" Target="../charts/chart12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5.png"/><Relationship Id="rId3" Type="http://schemas.openxmlformats.org/officeDocument/2006/relationships/image" Target="../media/image13.jpeg"/><Relationship Id="rId7" Type="http://schemas.openxmlformats.org/officeDocument/2006/relationships/image" Target="../media/image14.jpeg"/><Relationship Id="rId12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chart" Target="../charts/chart2.xm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jpe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9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5" Type="http://schemas.openxmlformats.org/officeDocument/2006/relationships/chart" Target="../charts/chart141.xml"/><Relationship Id="rId4" Type="http://schemas.openxmlformats.org/officeDocument/2006/relationships/chart" Target="../charts/chart140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9.xml"/><Relationship Id="rId3" Type="http://schemas.openxmlformats.org/officeDocument/2006/relationships/chart" Target="../charts/chart144.xml"/><Relationship Id="rId7" Type="http://schemas.openxmlformats.org/officeDocument/2006/relationships/chart" Target="../charts/chart148.xml"/><Relationship Id="rId2" Type="http://schemas.openxmlformats.org/officeDocument/2006/relationships/chart" Target="../charts/chart143.xml"/><Relationship Id="rId1" Type="http://schemas.openxmlformats.org/officeDocument/2006/relationships/chart" Target="../charts/chart142.xml"/><Relationship Id="rId6" Type="http://schemas.openxmlformats.org/officeDocument/2006/relationships/chart" Target="../charts/chart147.xml"/><Relationship Id="rId5" Type="http://schemas.openxmlformats.org/officeDocument/2006/relationships/chart" Target="../charts/chart146.xml"/><Relationship Id="rId4" Type="http://schemas.openxmlformats.org/officeDocument/2006/relationships/chart" Target="../charts/chart14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7" Type="http://schemas.openxmlformats.org/officeDocument/2006/relationships/chart" Target="../charts/chart156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Relationship Id="rId6" Type="http://schemas.openxmlformats.org/officeDocument/2006/relationships/chart" Target="../charts/chart155.xml"/><Relationship Id="rId5" Type="http://schemas.openxmlformats.org/officeDocument/2006/relationships/chart" Target="../charts/chart154.xml"/><Relationship Id="rId4" Type="http://schemas.openxmlformats.org/officeDocument/2006/relationships/chart" Target="../charts/chart15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4.xml"/><Relationship Id="rId3" Type="http://schemas.openxmlformats.org/officeDocument/2006/relationships/chart" Target="../charts/chart160.xml"/><Relationship Id="rId7" Type="http://schemas.openxmlformats.org/officeDocument/2006/relationships/chart" Target="../charts/chart163.xml"/><Relationship Id="rId2" Type="http://schemas.openxmlformats.org/officeDocument/2006/relationships/chart" Target="../charts/chart159.xml"/><Relationship Id="rId1" Type="http://schemas.openxmlformats.org/officeDocument/2006/relationships/chart" Target="../charts/chart158.xml"/><Relationship Id="rId6" Type="http://schemas.openxmlformats.org/officeDocument/2006/relationships/image" Target="../media/image21.png"/><Relationship Id="rId11" Type="http://schemas.openxmlformats.org/officeDocument/2006/relationships/chart" Target="../charts/chart167.xml"/><Relationship Id="rId5" Type="http://schemas.openxmlformats.org/officeDocument/2006/relationships/chart" Target="../charts/chart162.xml"/><Relationship Id="rId10" Type="http://schemas.openxmlformats.org/officeDocument/2006/relationships/chart" Target="../charts/chart166.xml"/><Relationship Id="rId4" Type="http://schemas.openxmlformats.org/officeDocument/2006/relationships/chart" Target="../charts/chart161.xml"/><Relationship Id="rId9" Type="http://schemas.openxmlformats.org/officeDocument/2006/relationships/chart" Target="../charts/chart16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4" Type="http://schemas.openxmlformats.org/officeDocument/2006/relationships/image" Target="../media/image20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Relationship Id="rId5" Type="http://schemas.openxmlformats.org/officeDocument/2006/relationships/chart" Target="../charts/chart176.xml"/><Relationship Id="rId4" Type="http://schemas.openxmlformats.org/officeDocument/2006/relationships/chart" Target="../charts/chart175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Relationship Id="rId5" Type="http://schemas.openxmlformats.org/officeDocument/2006/relationships/chart" Target="../charts/chart181.xml"/><Relationship Id="rId4" Type="http://schemas.openxmlformats.org/officeDocument/2006/relationships/chart" Target="../charts/chart18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4.xml"/><Relationship Id="rId2" Type="http://schemas.openxmlformats.org/officeDocument/2006/relationships/chart" Target="../charts/chart183.xml"/><Relationship Id="rId1" Type="http://schemas.openxmlformats.org/officeDocument/2006/relationships/chart" Target="../charts/chart182.xml"/><Relationship Id="rId5" Type="http://schemas.openxmlformats.org/officeDocument/2006/relationships/chart" Target="../charts/chart186.xml"/><Relationship Id="rId4" Type="http://schemas.openxmlformats.org/officeDocument/2006/relationships/chart" Target="../charts/chart185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9.xml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Relationship Id="rId5" Type="http://schemas.openxmlformats.org/officeDocument/2006/relationships/chart" Target="../charts/chart194.xml"/><Relationship Id="rId4" Type="http://schemas.openxmlformats.org/officeDocument/2006/relationships/chart" Target="../charts/chart19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Relationship Id="rId5" Type="http://schemas.openxmlformats.org/officeDocument/2006/relationships/chart" Target="../charts/chart199.xml"/><Relationship Id="rId4" Type="http://schemas.openxmlformats.org/officeDocument/2006/relationships/chart" Target="../charts/chart198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1.xml"/><Relationship Id="rId1" Type="http://schemas.openxmlformats.org/officeDocument/2006/relationships/chart" Target="../charts/chart20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chart" Target="../charts/chart203.xml"/><Relationship Id="rId1" Type="http://schemas.openxmlformats.org/officeDocument/2006/relationships/chart" Target="../charts/chart202.xml"/><Relationship Id="rId5" Type="http://schemas.openxmlformats.org/officeDocument/2006/relationships/chart" Target="../charts/chart206.xml"/><Relationship Id="rId4" Type="http://schemas.openxmlformats.org/officeDocument/2006/relationships/chart" Target="../charts/chart205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Relationship Id="rId5" Type="http://schemas.openxmlformats.org/officeDocument/2006/relationships/chart" Target="../charts/chart211.xml"/><Relationship Id="rId4" Type="http://schemas.openxmlformats.org/officeDocument/2006/relationships/chart" Target="../charts/chart210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2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5.xml"/><Relationship Id="rId2" Type="http://schemas.openxmlformats.org/officeDocument/2006/relationships/chart" Target="../charts/chart214.xml"/><Relationship Id="rId1" Type="http://schemas.openxmlformats.org/officeDocument/2006/relationships/chart" Target="../charts/chart213.xml"/><Relationship Id="rId6" Type="http://schemas.openxmlformats.org/officeDocument/2006/relationships/chart" Target="../charts/chart218.xml"/><Relationship Id="rId5" Type="http://schemas.openxmlformats.org/officeDocument/2006/relationships/chart" Target="../charts/chart217.xml"/><Relationship Id="rId4" Type="http://schemas.openxmlformats.org/officeDocument/2006/relationships/chart" Target="../charts/chart216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Relationship Id="rId6" Type="http://schemas.openxmlformats.org/officeDocument/2006/relationships/chart" Target="../charts/chart224.xml"/><Relationship Id="rId5" Type="http://schemas.openxmlformats.org/officeDocument/2006/relationships/chart" Target="../charts/chart223.xml"/><Relationship Id="rId4" Type="http://schemas.openxmlformats.org/officeDocument/2006/relationships/chart" Target="../charts/chart222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9.xml"/><Relationship Id="rId2" Type="http://schemas.openxmlformats.org/officeDocument/2006/relationships/chart" Target="../charts/chart228.xml"/><Relationship Id="rId1" Type="http://schemas.openxmlformats.org/officeDocument/2006/relationships/chart" Target="../charts/chart227.xml"/><Relationship Id="rId6" Type="http://schemas.openxmlformats.org/officeDocument/2006/relationships/chart" Target="../charts/chart232.xml"/><Relationship Id="rId5" Type="http://schemas.openxmlformats.org/officeDocument/2006/relationships/chart" Target="../charts/chart231.xml"/><Relationship Id="rId4" Type="http://schemas.openxmlformats.org/officeDocument/2006/relationships/chart" Target="../charts/chart230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5.xml"/><Relationship Id="rId2" Type="http://schemas.openxmlformats.org/officeDocument/2006/relationships/chart" Target="../charts/chart234.xml"/><Relationship Id="rId1" Type="http://schemas.openxmlformats.org/officeDocument/2006/relationships/chart" Target="../charts/chart233.xml"/><Relationship Id="rId6" Type="http://schemas.openxmlformats.org/officeDocument/2006/relationships/chart" Target="../charts/chart238.xml"/><Relationship Id="rId5" Type="http://schemas.openxmlformats.org/officeDocument/2006/relationships/chart" Target="../charts/chart237.xml"/><Relationship Id="rId4" Type="http://schemas.openxmlformats.org/officeDocument/2006/relationships/chart" Target="../charts/chart236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0.xml"/><Relationship Id="rId1" Type="http://schemas.openxmlformats.org/officeDocument/2006/relationships/chart" Target="../charts/chart23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jpeg"/><Relationship Id="rId1" Type="http://schemas.openxmlformats.org/officeDocument/2006/relationships/chart" Target="../charts/chart3.xml"/><Relationship Id="rId5" Type="http://schemas.openxmlformats.org/officeDocument/2006/relationships/image" Target="../media/image16.jpeg"/><Relationship Id="rId4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3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5" Type="http://schemas.openxmlformats.org/officeDocument/2006/relationships/chart" Target="../charts/chart245.xml"/><Relationship Id="rId4" Type="http://schemas.openxmlformats.org/officeDocument/2006/relationships/chart" Target="../charts/chart244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Relationship Id="rId5" Type="http://schemas.openxmlformats.org/officeDocument/2006/relationships/chart" Target="../charts/chart250.xml"/><Relationship Id="rId4" Type="http://schemas.openxmlformats.org/officeDocument/2006/relationships/chart" Target="../charts/chart249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3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chart" Target="../charts/chart256.xml"/><Relationship Id="rId5" Type="http://schemas.openxmlformats.org/officeDocument/2006/relationships/chart" Target="../charts/chart255.xml"/><Relationship Id="rId4" Type="http://schemas.openxmlformats.org/officeDocument/2006/relationships/chart" Target="../charts/chart254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9.xml"/><Relationship Id="rId2" Type="http://schemas.openxmlformats.org/officeDocument/2006/relationships/chart" Target="../charts/chart258.xml"/><Relationship Id="rId1" Type="http://schemas.openxmlformats.org/officeDocument/2006/relationships/chart" Target="../charts/chart257.xml"/><Relationship Id="rId5" Type="http://schemas.openxmlformats.org/officeDocument/2006/relationships/chart" Target="../charts/chart261.xml"/><Relationship Id="rId4" Type="http://schemas.openxmlformats.org/officeDocument/2006/relationships/chart" Target="../charts/chart260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2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3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Relationship Id="rId6" Type="http://schemas.openxmlformats.org/officeDocument/2006/relationships/image" Target="../media/image21.png"/><Relationship Id="rId5" Type="http://schemas.openxmlformats.org/officeDocument/2006/relationships/chart" Target="../charts/chart268.xml"/><Relationship Id="rId4" Type="http://schemas.openxmlformats.org/officeDocument/2006/relationships/chart" Target="../charts/chart267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9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Relationship Id="rId4" Type="http://schemas.openxmlformats.org/officeDocument/2006/relationships/image" Target="../media/image20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Relationship Id="rId5" Type="http://schemas.openxmlformats.org/officeDocument/2006/relationships/chart" Target="../charts/chart277.xml"/><Relationship Id="rId4" Type="http://schemas.openxmlformats.org/officeDocument/2006/relationships/chart" Target="../charts/chart276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0.xml"/><Relationship Id="rId2" Type="http://schemas.openxmlformats.org/officeDocument/2006/relationships/chart" Target="../charts/chart279.xml"/><Relationship Id="rId1" Type="http://schemas.openxmlformats.org/officeDocument/2006/relationships/chart" Target="../charts/chart278.xml"/><Relationship Id="rId5" Type="http://schemas.openxmlformats.org/officeDocument/2006/relationships/chart" Target="../charts/chart282.xml"/><Relationship Id="rId4" Type="http://schemas.openxmlformats.org/officeDocument/2006/relationships/chart" Target="../charts/chart281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5.xml"/><Relationship Id="rId7" Type="http://schemas.openxmlformats.org/officeDocument/2006/relationships/chart" Target="../charts/chart289.xml"/><Relationship Id="rId2" Type="http://schemas.openxmlformats.org/officeDocument/2006/relationships/chart" Target="../charts/chart284.xml"/><Relationship Id="rId1" Type="http://schemas.openxmlformats.org/officeDocument/2006/relationships/chart" Target="../charts/chart283.xml"/><Relationship Id="rId6" Type="http://schemas.openxmlformats.org/officeDocument/2006/relationships/chart" Target="../charts/chart288.xml"/><Relationship Id="rId5" Type="http://schemas.openxmlformats.org/officeDocument/2006/relationships/chart" Target="../charts/chart287.xml"/><Relationship Id="rId4" Type="http://schemas.openxmlformats.org/officeDocument/2006/relationships/chart" Target="../charts/chart286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2.xml"/><Relationship Id="rId2" Type="http://schemas.openxmlformats.org/officeDocument/2006/relationships/chart" Target="../charts/chart291.xml"/><Relationship Id="rId1" Type="http://schemas.openxmlformats.org/officeDocument/2006/relationships/chart" Target="../charts/chart290.xml"/><Relationship Id="rId6" Type="http://schemas.openxmlformats.org/officeDocument/2006/relationships/chart" Target="../charts/chart295.xml"/><Relationship Id="rId5" Type="http://schemas.openxmlformats.org/officeDocument/2006/relationships/chart" Target="../charts/chart294.xml"/><Relationship Id="rId4" Type="http://schemas.openxmlformats.org/officeDocument/2006/relationships/chart" Target="../charts/chart29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43816</xdr:colOff>
      <xdr:row>10</xdr:row>
      <xdr:rowOff>40525</xdr:rowOff>
    </xdr:from>
    <xdr:to>
      <xdr:col>14</xdr:col>
      <xdr:colOff>15240</xdr:colOff>
      <xdr:row>33</xdr:row>
      <xdr:rowOff>69099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95803</xdr:colOff>
      <xdr:row>4</xdr:row>
      <xdr:rowOff>66675</xdr:rowOff>
    </xdr:from>
    <xdr:to>
      <xdr:col>13</xdr:col>
      <xdr:colOff>164581</xdr:colOff>
      <xdr:row>7</xdr:row>
      <xdr:rowOff>98837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6303" y="1047750"/>
          <a:ext cx="1012713" cy="752252"/>
        </a:xfrm>
        <a:prstGeom prst="rect">
          <a:avLst/>
        </a:prstGeom>
      </xdr:spPr>
    </xdr:pic>
    <xdr:clientData/>
  </xdr:twoCellAnchor>
  <xdr:twoCellAnchor>
    <xdr:from>
      <xdr:col>10</xdr:col>
      <xdr:colOff>717624</xdr:colOff>
      <xdr:row>12</xdr:row>
      <xdr:rowOff>175392</xdr:rowOff>
    </xdr:from>
    <xdr:to>
      <xdr:col>13</xdr:col>
      <xdr:colOff>493504</xdr:colOff>
      <xdr:row>15</xdr:row>
      <xdr:rowOff>67320</xdr:rowOff>
    </xdr:to>
    <xdr:grpSp>
      <xdr:nvGrpSpPr>
        <xdr:cNvPr id="12" name="Ryhmä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9417124" y="3083692"/>
          <a:ext cx="2925480" cy="412628"/>
          <a:chOff x="9315820" y="1784262"/>
          <a:chExt cx="1630951" cy="194320"/>
        </a:xfrm>
      </xdr:grpSpPr>
      <xdr:sp macro="" textlink="">
        <xdr:nvSpPr>
          <xdr:cNvPr id="2" name="Tekstiruutu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 txBox="1"/>
        </xdr:nvSpPr>
        <xdr:spPr>
          <a:xfrm>
            <a:off x="9315820" y="1784262"/>
            <a:ext cx="1630951" cy="1943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>
              <a:lnSpc>
                <a:spcPct val="100000"/>
              </a:lnSpc>
            </a:pPr>
            <a:r>
              <a:rPr lang="fi-FI" sz="1000" baseline="0">
                <a:latin typeface="Century Gothic" panose="020B0502020202020204" pitchFamily="34" charset="0"/>
              </a:rPr>
              <a:t>                          </a:t>
            </a:r>
            <a:endParaRPr lang="fi-FI" sz="1000">
              <a:latin typeface="Century Gothic" panose="020B0502020202020204" pitchFamily="34" charset="0"/>
            </a:endParaRPr>
          </a:p>
        </xdr:txBody>
      </xdr:sp>
      <xdr:grpSp>
        <xdr:nvGrpSpPr>
          <xdr:cNvPr id="11" name="Ryhmä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GrpSpPr/>
        </xdr:nvGrpSpPr>
        <xdr:grpSpPr>
          <a:xfrm>
            <a:off x="9367318" y="1839381"/>
            <a:ext cx="307859" cy="79438"/>
            <a:chOff x="9367318" y="1839381"/>
            <a:chExt cx="307859" cy="79438"/>
          </a:xfrm>
        </xdr:grpSpPr>
        <xdr:cxnSp macro="">
          <xdr:nvCxnSpPr>
            <xdr:cNvPr id="6" name="Suora yhdysviiva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CxnSpPr/>
          </xdr:nvCxnSpPr>
          <xdr:spPr>
            <a:xfrm>
              <a:off x="9367318" y="1839381"/>
              <a:ext cx="304800" cy="0"/>
            </a:xfrm>
            <a:prstGeom prst="line">
              <a:avLst/>
            </a:prstGeom>
            <a:ln w="190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Suora yhdysviiva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370377" y="1918819"/>
              <a:ext cx="304800" cy="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1168400</xdr:colOff>
          <xdr:row>6</xdr:row>
          <xdr:rowOff>25400</xdr:rowOff>
        </xdr:from>
        <xdr:to>
          <xdr:col>3</xdr:col>
          <xdr:colOff>482600</xdr:colOff>
          <xdr:row>6</xdr:row>
          <xdr:rowOff>215900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70</xdr:row>
          <xdr:rowOff>0</xdr:rowOff>
        </xdr:from>
        <xdr:to>
          <xdr:col>5</xdr:col>
          <xdr:colOff>698500</xdr:colOff>
          <xdr:row>70</xdr:row>
          <xdr:rowOff>177800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71</xdr:row>
          <xdr:rowOff>38100</xdr:rowOff>
        </xdr:from>
        <xdr:to>
          <xdr:col>5</xdr:col>
          <xdr:colOff>685800</xdr:colOff>
          <xdr:row>71</xdr:row>
          <xdr:rowOff>215900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71</xdr:row>
          <xdr:rowOff>266700</xdr:rowOff>
        </xdr:from>
        <xdr:to>
          <xdr:col>5</xdr:col>
          <xdr:colOff>673100</xdr:colOff>
          <xdr:row>72</xdr:row>
          <xdr:rowOff>177800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72</xdr:row>
          <xdr:rowOff>254000</xdr:rowOff>
        </xdr:from>
        <xdr:to>
          <xdr:col>5</xdr:col>
          <xdr:colOff>673100</xdr:colOff>
          <xdr:row>73</xdr:row>
          <xdr:rowOff>190500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5</xdr:row>
          <xdr:rowOff>215900</xdr:rowOff>
        </xdr:from>
        <xdr:to>
          <xdr:col>9</xdr:col>
          <xdr:colOff>647700</xdr:colOff>
          <xdr:row>7</xdr:row>
          <xdr:rowOff>38100</xdr:rowOff>
        </xdr:to>
        <xdr:sp macro="" textlink="">
          <xdr:nvSpPr>
            <xdr:cNvPr id="1031" name="Check Box 7" descr="Sound insulated casing: dB-package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25</xdr:col>
      <xdr:colOff>561975</xdr:colOff>
      <xdr:row>2</xdr:row>
      <xdr:rowOff>495300</xdr:rowOff>
    </xdr:from>
    <xdr:to>
      <xdr:col>28</xdr:col>
      <xdr:colOff>136966</xdr:colOff>
      <xdr:row>7</xdr:row>
      <xdr:rowOff>110939</xdr:rowOff>
    </xdr:to>
    <xdr:pic>
      <xdr:nvPicPr>
        <xdr:cNvPr id="23" name="Kuva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275" y="847725"/>
          <a:ext cx="1386646" cy="105839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1778000</xdr:colOff>
          <xdr:row>56</xdr:row>
          <xdr:rowOff>0</xdr:rowOff>
        </xdr:from>
        <xdr:to>
          <xdr:col>3</xdr:col>
          <xdr:colOff>38100</xdr:colOff>
          <xdr:row>56</xdr:row>
          <xdr:rowOff>177800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490123</xdr:colOff>
      <xdr:row>76</xdr:row>
      <xdr:rowOff>123825</xdr:rowOff>
    </xdr:from>
    <xdr:to>
      <xdr:col>13</xdr:col>
      <xdr:colOff>365026</xdr:colOff>
      <xdr:row>77</xdr:row>
      <xdr:rowOff>137047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123" y="15144750"/>
          <a:ext cx="813682" cy="186576"/>
        </a:xfrm>
        <a:prstGeom prst="rect">
          <a:avLst/>
        </a:prstGeom>
      </xdr:spPr>
    </xdr:pic>
    <xdr:clientData/>
  </xdr:twoCellAnchor>
  <xdr:oneCellAnchor>
    <xdr:from>
      <xdr:col>27</xdr:col>
      <xdr:colOff>253364</xdr:colOff>
      <xdr:row>71</xdr:row>
      <xdr:rowOff>261566</xdr:rowOff>
    </xdr:from>
    <xdr:ext cx="937025" cy="219074"/>
    <xdr:pic>
      <xdr:nvPicPr>
        <xdr:cNvPr id="25" name="Kuva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9277" y="14656740"/>
          <a:ext cx="937025" cy="21907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596900</xdr:colOff>
          <xdr:row>6</xdr:row>
          <xdr:rowOff>215900</xdr:rowOff>
        </xdr:from>
        <xdr:to>
          <xdr:col>7</xdr:col>
          <xdr:colOff>101600</xdr:colOff>
          <xdr:row>8</xdr:row>
          <xdr:rowOff>63500</xdr:rowOff>
        </xdr:to>
        <xdr:sp macro="" textlink="">
          <xdr:nvSpPr>
            <xdr:cNvPr id="1038" name="Check Box 14" descr="Sound insulated casing: dB-package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711200</xdr:colOff>
          <xdr:row>1</xdr:row>
          <xdr:rowOff>127000</xdr:rowOff>
        </xdr:from>
        <xdr:to>
          <xdr:col>10</xdr:col>
          <xdr:colOff>711200</xdr:colOff>
          <xdr:row>2</xdr:row>
          <xdr:rowOff>152400</xdr:rowOff>
        </xdr:to>
        <xdr:sp macro="" textlink="">
          <xdr:nvSpPr>
            <xdr:cNvPr id="1040" name="Option Button 16" descr="Suomi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482600</xdr:colOff>
          <xdr:row>1</xdr:row>
          <xdr:rowOff>114300</xdr:rowOff>
        </xdr:from>
        <xdr:to>
          <xdr:col>11</xdr:col>
          <xdr:colOff>457200</xdr:colOff>
          <xdr:row>2</xdr:row>
          <xdr:rowOff>152400</xdr:rowOff>
        </xdr:to>
        <xdr:sp macro="" textlink="">
          <xdr:nvSpPr>
            <xdr:cNvPr id="1041" name="Option 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1</xdr:row>
          <xdr:rowOff>114300</xdr:rowOff>
        </xdr:from>
        <xdr:to>
          <xdr:col>12</xdr:col>
          <xdr:colOff>330200</xdr:colOff>
          <xdr:row>2</xdr:row>
          <xdr:rowOff>152400</xdr:rowOff>
        </xdr:to>
        <xdr:sp macro="" textlink="">
          <xdr:nvSpPr>
            <xdr:cNvPr id="1042" name="Option Butto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SVE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266700</xdr:colOff>
          <xdr:row>1</xdr:row>
          <xdr:rowOff>114300</xdr:rowOff>
        </xdr:from>
        <xdr:to>
          <xdr:col>13</xdr:col>
          <xdr:colOff>254000</xdr:colOff>
          <xdr:row>2</xdr:row>
          <xdr:rowOff>139700</xdr:rowOff>
        </xdr:to>
        <xdr:sp macro="" textlink="">
          <xdr:nvSpPr>
            <xdr:cNvPr id="1043" name="Option 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GER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922119</xdr:colOff>
      <xdr:row>1</xdr:row>
      <xdr:rowOff>123370</xdr:rowOff>
    </xdr:from>
    <xdr:to>
      <xdr:col>10</xdr:col>
      <xdr:colOff>284739</xdr:colOff>
      <xdr:row>2</xdr:row>
      <xdr:rowOff>135783</xdr:rowOff>
    </xdr:to>
    <xdr:pic>
      <xdr:nvPicPr>
        <xdr:cNvPr id="4" name="Kuva 3" descr="Finland flag icon - Country flag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5359" y="291010"/>
          <a:ext cx="305595" cy="180053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563575</xdr:colOff>
      <xdr:row>1</xdr:row>
      <xdr:rowOff>123597</xdr:rowOff>
    </xdr:from>
    <xdr:to>
      <xdr:col>12</xdr:col>
      <xdr:colOff>3776</xdr:colOff>
      <xdr:row>2</xdr:row>
      <xdr:rowOff>136072</xdr:rowOff>
    </xdr:to>
    <xdr:pic>
      <xdr:nvPicPr>
        <xdr:cNvPr id="8" name="Kuva 7" descr="Country, flag, sweden icon - Download on Iconfinder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4088" r="-1" b="24985"/>
        <a:stretch/>
      </xdr:blipFill>
      <xdr:spPr bwMode="auto">
        <a:xfrm>
          <a:off x="7930591" y="291237"/>
          <a:ext cx="365060" cy="180115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687208</xdr:colOff>
      <xdr:row>1</xdr:row>
      <xdr:rowOff>134197</xdr:rowOff>
    </xdr:from>
    <xdr:to>
      <xdr:col>11</xdr:col>
      <xdr:colOff>64206</xdr:colOff>
      <xdr:row>2</xdr:row>
      <xdr:rowOff>132364</xdr:rowOff>
    </xdr:to>
    <xdr:pic>
      <xdr:nvPicPr>
        <xdr:cNvPr id="9" name="Kuva 8" descr="Free Vector | Illustration of uk fla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078483" y="305647"/>
          <a:ext cx="301658" cy="186762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472767</xdr:colOff>
      <xdr:row>1</xdr:row>
      <xdr:rowOff>126307</xdr:rowOff>
    </xdr:from>
    <xdr:to>
      <xdr:col>12</xdr:col>
      <xdr:colOff>800988</xdr:colOff>
      <xdr:row>2</xdr:row>
      <xdr:rowOff>148967</xdr:rowOff>
    </xdr:to>
    <xdr:pic>
      <xdr:nvPicPr>
        <xdr:cNvPr id="13" name="Kuva 12" descr="DE, Germany, Flag Icon in Public Domain World Flags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3267" y="297757"/>
          <a:ext cx="316615" cy="203635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431865</xdr:colOff>
      <xdr:row>12</xdr:row>
      <xdr:rowOff>168648</xdr:rowOff>
    </xdr:from>
    <xdr:ext cx="1893892" cy="265265"/>
    <xdr:sp macro="" textlink="Kirjasto!M17">
      <xdr:nvSpPr>
        <xdr:cNvPr id="14" name="Tekstiruutu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8509065" y="3130509"/>
          <a:ext cx="1893892" cy="265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39C6C333-DB60-4A6F-AD6E-C55E1F9427D2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/>
            <a:t>Powietrze nawiewane</a:t>
          </a:fld>
          <a:endParaRPr lang="fi-FI" sz="105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11</xdr:col>
      <xdr:colOff>412376</xdr:colOff>
      <xdr:row>13</xdr:row>
      <xdr:rowOff>153206</xdr:rowOff>
    </xdr:from>
    <xdr:ext cx="1847120" cy="257443"/>
    <xdr:sp macro="" textlink="Kirjasto!M18">
      <xdr:nvSpPr>
        <xdr:cNvPr id="15" name="Tekstiruutu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8489576" y="3313849"/>
          <a:ext cx="1847120" cy="257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A99AF5DD-DEC1-426C-AC1E-14003926A2AC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/>
            <a:t>Powietrze wywiewane</a:t>
          </a:fld>
          <a:endParaRPr lang="fi-FI" sz="105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5</xdr:col>
      <xdr:colOff>146798</xdr:colOff>
      <xdr:row>6</xdr:row>
      <xdr:rowOff>11207</xdr:rowOff>
    </xdr:from>
    <xdr:ext cx="3825127" cy="233205"/>
    <xdr:sp macro="" textlink="Kirjasto!M20">
      <xdr:nvSpPr>
        <xdr:cNvPr id="16" name="Tekstiruutu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998211" y="1477229"/>
          <a:ext cx="3825127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E47F7F7D-3CF8-4DF3-ABCB-46EC52F64BE1}" type="TxLink">
            <a:rPr lang="en-US" sz="900" b="0" i="0" u="none" strike="noStrike">
              <a:solidFill>
                <a:srgbClr val="000000"/>
              </a:solidFill>
              <a:latin typeface="+mn-lt"/>
              <a:cs typeface="Calibri"/>
            </a:rPr>
            <a:pPr/>
            <a:t>Obudowa tłumiąca dźwięk: "pakiet dB" (Uwaga! Wymaga ramy szafki) </a:t>
          </a:fld>
          <a:endParaRPr lang="fi-FI" sz="900">
            <a:latin typeface="+mn-lt"/>
          </a:endParaRPr>
        </a:p>
      </xdr:txBody>
    </xdr:sp>
    <xdr:clientData/>
  </xdr:oneCellAnchor>
  <xdr:oneCellAnchor>
    <xdr:from>
      <xdr:col>5</xdr:col>
      <xdr:colOff>167527</xdr:colOff>
      <xdr:row>7</xdr:row>
      <xdr:rowOff>3362</xdr:rowOff>
    </xdr:from>
    <xdr:ext cx="1966073" cy="233205"/>
    <xdr:sp macro="" textlink="Kirjasto!M21">
      <xdr:nvSpPr>
        <xdr:cNvPr id="17" name="Tekstiruutu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4018940" y="1709579"/>
          <a:ext cx="196607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6B30ECE5-850A-480A-87A0-1037317DD5EE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Nagrzewnica wodna</a:t>
          </a:fld>
          <a:endParaRPr lang="fi-FI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25400</xdr:colOff>
          <xdr:row>23</xdr:row>
          <xdr:rowOff>190500</xdr:rowOff>
        </xdr:from>
        <xdr:to>
          <xdr:col>20</xdr:col>
          <xdr:colOff>12700</xdr:colOff>
          <xdr:row>24</xdr:row>
          <xdr:rowOff>139700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25400</xdr:colOff>
          <xdr:row>27</xdr:row>
          <xdr:rowOff>25400</xdr:rowOff>
        </xdr:from>
        <xdr:to>
          <xdr:col>20</xdr:col>
          <xdr:colOff>0</xdr:colOff>
          <xdr:row>27</xdr:row>
          <xdr:rowOff>177800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711200</xdr:colOff>
          <xdr:row>2</xdr:row>
          <xdr:rowOff>266700</xdr:rowOff>
        </xdr:from>
        <xdr:to>
          <xdr:col>10</xdr:col>
          <xdr:colOff>711200</xdr:colOff>
          <xdr:row>3</xdr:row>
          <xdr:rowOff>76200</xdr:rowOff>
        </xdr:to>
        <xdr:sp macro="" textlink="">
          <xdr:nvSpPr>
            <xdr:cNvPr id="1054" name="Option Button 30" descr="EST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POL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482600</xdr:colOff>
          <xdr:row>2</xdr:row>
          <xdr:rowOff>254000</xdr:rowOff>
        </xdr:from>
        <xdr:to>
          <xdr:col>11</xdr:col>
          <xdr:colOff>444500</xdr:colOff>
          <xdr:row>3</xdr:row>
          <xdr:rowOff>63500</xdr:rowOff>
        </xdr:to>
        <xdr:sp macro="" textlink="">
          <xdr:nvSpPr>
            <xdr:cNvPr id="1055" name="Option Button 31" descr="EST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2</xdr:row>
          <xdr:rowOff>254000</xdr:rowOff>
        </xdr:from>
        <xdr:to>
          <xdr:col>12</xdr:col>
          <xdr:colOff>330200</xdr:colOff>
          <xdr:row>3</xdr:row>
          <xdr:rowOff>63500</xdr:rowOff>
        </xdr:to>
        <xdr:sp macro="" textlink="">
          <xdr:nvSpPr>
            <xdr:cNvPr id="1056" name="Option Button 32" descr="EST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279400</xdr:colOff>
          <xdr:row>2</xdr:row>
          <xdr:rowOff>254000</xdr:rowOff>
        </xdr:from>
        <xdr:to>
          <xdr:col>13</xdr:col>
          <xdr:colOff>215900</xdr:colOff>
          <xdr:row>3</xdr:row>
          <xdr:rowOff>63500</xdr:rowOff>
        </xdr:to>
        <xdr:sp macro="" textlink="">
          <xdr:nvSpPr>
            <xdr:cNvPr id="1057" name="Option Button 33" descr="EST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LTU</a:t>
              </a:r>
            </a:p>
          </xdr:txBody>
        </xdr:sp>
        <xdr:clientData/>
      </xdr:twoCellAnchor>
    </mc:Choice>
    <mc:Fallback/>
  </mc:AlternateContent>
  <xdr:twoCellAnchor editAs="oneCell">
    <xdr:from>
      <xdr:col>11</xdr:col>
      <xdr:colOff>572861</xdr:colOff>
      <xdr:row>2</xdr:row>
      <xdr:rowOff>263687</xdr:rowOff>
    </xdr:from>
    <xdr:to>
      <xdr:col>11</xdr:col>
      <xdr:colOff>911215</xdr:colOff>
      <xdr:row>3</xdr:row>
      <xdr:rowOff>60581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84FFE24F-D3A6-735F-A65D-5DA3A37F7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9877" y="598967"/>
          <a:ext cx="341539" cy="20265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12</xdr:col>
      <xdr:colOff>473529</xdr:colOff>
      <xdr:row>2</xdr:row>
      <xdr:rowOff>269938</xdr:rowOff>
    </xdr:from>
    <xdr:to>
      <xdr:col>12</xdr:col>
      <xdr:colOff>800250</xdr:colOff>
      <xdr:row>3</xdr:row>
      <xdr:rowOff>60581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314D32D4-BD05-65A2-AFA7-7EBF10CC7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26345" y="605218"/>
          <a:ext cx="341512" cy="19640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680358</xdr:colOff>
      <xdr:row>2</xdr:row>
      <xdr:rowOff>271112</xdr:rowOff>
    </xdr:from>
    <xdr:to>
      <xdr:col>11</xdr:col>
      <xdr:colOff>74218</xdr:colOff>
      <xdr:row>3</xdr:row>
      <xdr:rowOff>60581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7CD8BD0F-2846-2BB7-77E7-780AAE065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70134" y="606392"/>
          <a:ext cx="335665" cy="195234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9</xdr:col>
      <xdr:colOff>917666</xdr:colOff>
      <xdr:row>2</xdr:row>
      <xdr:rowOff>271490</xdr:rowOff>
    </xdr:from>
    <xdr:to>
      <xdr:col>10</xdr:col>
      <xdr:colOff>288924</xdr:colOff>
      <xdr:row>3</xdr:row>
      <xdr:rowOff>60581</xdr:rowOff>
    </xdr:to>
    <xdr:pic>
      <xdr:nvPicPr>
        <xdr:cNvPr id="24" name="Kuva 23">
          <a:extLst>
            <a:ext uri="{FF2B5EF4-FFF2-40B4-BE49-F238E27FC236}">
              <a16:creationId xmlns:a16="http://schemas.microsoft.com/office/drawing/2014/main" id="{94C35F38-5949-3ED2-7581-72B062BC3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90906" y="606770"/>
          <a:ext cx="316138" cy="185331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995415</xdr:colOff>
      <xdr:row>77</xdr:row>
      <xdr:rowOff>168219</xdr:rowOff>
    </xdr:from>
    <xdr:to>
      <xdr:col>17</xdr:col>
      <xdr:colOff>225791</xdr:colOff>
      <xdr:row>100</xdr:row>
      <xdr:rowOff>128559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6351C7D8-43E7-605A-CB8A-020BB2B4C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730724" y="29900074"/>
          <a:ext cx="14068594" cy="3950450"/>
        </a:xfrm>
        <a:prstGeom prst="rect">
          <a:avLst/>
        </a:prstGeom>
      </xdr:spPr>
    </xdr:pic>
    <xdr:clientData/>
  </xdr:twoCellAnchor>
  <xdr:twoCellAnchor editAs="oneCell">
    <xdr:from>
      <xdr:col>11</xdr:col>
      <xdr:colOff>13856</xdr:colOff>
      <xdr:row>104</xdr:row>
      <xdr:rowOff>166253</xdr:rowOff>
    </xdr:from>
    <xdr:to>
      <xdr:col>16</xdr:col>
      <xdr:colOff>560934</xdr:colOff>
      <xdr:row>148</xdr:row>
      <xdr:rowOff>132692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3E0DAEC-F655-E604-5466-C6AA8D1E5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868911" y="34580944"/>
          <a:ext cx="11145805" cy="76972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63500</xdr:colOff>
          <xdr:row>14</xdr:row>
          <xdr:rowOff>0</xdr:rowOff>
        </xdr:from>
        <xdr:to>
          <xdr:col>29</xdr:col>
          <xdr:colOff>63500</xdr:colOff>
          <xdr:row>15</xdr:row>
          <xdr:rowOff>0</xdr:rowOff>
        </xdr:to>
        <xdr:sp macro="" textlink="">
          <xdr:nvSpPr>
            <xdr:cNvPr id="247809" name="Drop Down 1" hidden="1">
              <a:extLst>
                <a:ext uri="{63B3BB69-23CF-44E3-9099-C40C66FF867C}">
                  <a14:compatExt spid="_x0000_s247809"/>
                </a:ext>
                <a:ext uri="{FF2B5EF4-FFF2-40B4-BE49-F238E27FC236}">
                  <a16:creationId xmlns:a16="http://schemas.microsoft.com/office/drawing/2014/main" id="{00000000-0008-0000-0A00-000001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63500</xdr:colOff>
          <xdr:row>15</xdr:row>
          <xdr:rowOff>38100</xdr:rowOff>
        </xdr:from>
        <xdr:to>
          <xdr:col>29</xdr:col>
          <xdr:colOff>63500</xdr:colOff>
          <xdr:row>16</xdr:row>
          <xdr:rowOff>38100</xdr:rowOff>
        </xdr:to>
        <xdr:sp macro="" textlink="">
          <xdr:nvSpPr>
            <xdr:cNvPr id="247810" name="Drop Down 2" hidden="1">
              <a:extLst>
                <a:ext uri="{63B3BB69-23CF-44E3-9099-C40C66FF867C}">
                  <a14:compatExt spid="_x0000_s247810"/>
                </a:ext>
                <a:ext uri="{FF2B5EF4-FFF2-40B4-BE49-F238E27FC236}">
                  <a16:creationId xmlns:a16="http://schemas.microsoft.com/office/drawing/2014/main" id="{00000000-0008-0000-0A00-000002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63500</xdr:colOff>
          <xdr:row>15</xdr:row>
          <xdr:rowOff>266700</xdr:rowOff>
        </xdr:from>
        <xdr:to>
          <xdr:col>29</xdr:col>
          <xdr:colOff>50800</xdr:colOff>
          <xdr:row>17</xdr:row>
          <xdr:rowOff>12700</xdr:rowOff>
        </xdr:to>
        <xdr:sp macro="" textlink="">
          <xdr:nvSpPr>
            <xdr:cNvPr id="247811" name="Drop Down 3" hidden="1">
              <a:extLst>
                <a:ext uri="{63B3BB69-23CF-44E3-9099-C40C66FF867C}">
                  <a14:compatExt spid="_x0000_s247811"/>
                </a:ext>
                <a:ext uri="{FF2B5EF4-FFF2-40B4-BE49-F238E27FC236}">
                  <a16:creationId xmlns:a16="http://schemas.microsoft.com/office/drawing/2014/main" id="{00000000-0008-0000-0A00-000003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63500</xdr:colOff>
          <xdr:row>16</xdr:row>
          <xdr:rowOff>254000</xdr:rowOff>
        </xdr:from>
        <xdr:to>
          <xdr:col>29</xdr:col>
          <xdr:colOff>50800</xdr:colOff>
          <xdr:row>18</xdr:row>
          <xdr:rowOff>25400</xdr:rowOff>
        </xdr:to>
        <xdr:sp macro="" textlink="">
          <xdr:nvSpPr>
            <xdr:cNvPr id="247812" name="Drop Down 4" hidden="1">
              <a:extLst>
                <a:ext uri="{63B3BB69-23CF-44E3-9099-C40C66FF867C}">
                  <a14:compatExt spid="_x0000_s247812"/>
                </a:ext>
                <a:ext uri="{FF2B5EF4-FFF2-40B4-BE49-F238E27FC236}">
                  <a16:creationId xmlns:a16="http://schemas.microsoft.com/office/drawing/2014/main" id="{00000000-0008-0000-0A00-000004C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35</xdr:col>
      <xdr:colOff>490123</xdr:colOff>
      <xdr:row>20</xdr:row>
      <xdr:rowOff>123825</xdr:rowOff>
    </xdr:from>
    <xdr:ext cx="786165" cy="175594"/>
    <xdr:pic>
      <xdr:nvPicPr>
        <xdr:cNvPr id="2" name="Kuva 1">
          <a:extLst>
            <a:ext uri="{FF2B5EF4-FFF2-40B4-BE49-F238E27FC236}">
              <a16:creationId xmlns:a16="http://schemas.microsoft.com/office/drawing/2014/main" id="{03B42A2B-C954-4F95-8E1A-B2EB8ABF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9398" y="15763875"/>
          <a:ext cx="786165" cy="175594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96</xdr:row>
      <xdr:rowOff>19050</xdr:rowOff>
    </xdr:from>
    <xdr:to>
      <xdr:col>30</xdr:col>
      <xdr:colOff>419100</xdr:colOff>
      <xdr:row>112</xdr:row>
      <xdr:rowOff>19050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7CDAEBD2-643E-4CB6-8C97-33ECA260D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190500</xdr:colOff>
      <xdr:row>121</xdr:row>
      <xdr:rowOff>38100</xdr:rowOff>
    </xdr:from>
    <xdr:to>
      <xdr:col>30</xdr:col>
      <xdr:colOff>552450</xdr:colOff>
      <xdr:row>137</xdr:row>
      <xdr:rowOff>38100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11D51ABE-37B4-4712-91C1-BAC63CECF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28574</xdr:colOff>
      <xdr:row>109</xdr:row>
      <xdr:rowOff>19050</xdr:rowOff>
    </xdr:from>
    <xdr:to>
      <xdr:col>42</xdr:col>
      <xdr:colOff>342899</xdr:colOff>
      <xdr:row>125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4F08BEE5-2D82-4F77-A7D3-8BBDD1FAD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352984</xdr:colOff>
      <xdr:row>20</xdr:row>
      <xdr:rowOff>135590</xdr:rowOff>
    </xdr:from>
    <xdr:to>
      <xdr:col>15</xdr:col>
      <xdr:colOff>251012</xdr:colOff>
      <xdr:row>33</xdr:row>
      <xdr:rowOff>43702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83C1EE41-559B-4BBB-83B8-C80FE894D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369794</xdr:colOff>
      <xdr:row>33</xdr:row>
      <xdr:rowOff>123264</xdr:rowOff>
    </xdr:from>
    <xdr:to>
      <xdr:col>15</xdr:col>
      <xdr:colOff>295835</xdr:colOff>
      <xdr:row>45</xdr:row>
      <xdr:rowOff>154640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EADCD0BD-D673-4F53-BEFD-B94E017D4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197EB53-0549-4550-8026-552225F4C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4B03F6C1-2BE7-4224-A131-52BF5231D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28174</xdr:colOff>
      <xdr:row>12</xdr:row>
      <xdr:rowOff>63659</xdr:rowOff>
    </xdr:from>
    <xdr:to>
      <xdr:col>34</xdr:col>
      <xdr:colOff>6219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FC2ED4E0-3811-41C8-BC8E-4369566EA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70793971-08DC-4663-975A-84F153827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2B1B210D-63F0-485F-B01D-031375BE2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69</xdr:col>
      <xdr:colOff>463923</xdr:colOff>
      <xdr:row>8</xdr:row>
      <xdr:rowOff>57710</xdr:rowOff>
    </xdr:from>
    <xdr:to>
      <xdr:col>77</xdr:col>
      <xdr:colOff>194982</xdr:colOff>
      <xdr:row>24</xdr:row>
      <xdr:rowOff>26894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22E456C4-FB14-0D11-3987-DBDAD78699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69</xdr:col>
      <xdr:colOff>400050</xdr:colOff>
      <xdr:row>24</xdr:row>
      <xdr:rowOff>147637</xdr:rowOff>
    </xdr:from>
    <xdr:to>
      <xdr:col>77</xdr:col>
      <xdr:colOff>95250</xdr:colOff>
      <xdr:row>42</xdr:row>
      <xdr:rowOff>161925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0E995FF9-0EDA-F038-0AD9-9A4C7C0538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67</xdr:col>
      <xdr:colOff>599513</xdr:colOff>
      <xdr:row>56</xdr:row>
      <xdr:rowOff>45942</xdr:rowOff>
    </xdr:from>
    <xdr:to>
      <xdr:col>77</xdr:col>
      <xdr:colOff>560294</xdr:colOff>
      <xdr:row>74</xdr:row>
      <xdr:rowOff>123263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B9AC30B4-C040-CB4D-3B42-D22AB5581F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65</xdr:col>
      <xdr:colOff>610721</xdr:colOff>
      <xdr:row>96</xdr:row>
      <xdr:rowOff>79560</xdr:rowOff>
    </xdr:from>
    <xdr:to>
      <xdr:col>73</xdr:col>
      <xdr:colOff>5604</xdr:colOff>
      <xdr:row>112</xdr:row>
      <xdr:rowOff>133348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B6BD2B69-6471-F2FB-EA87-25E03B05D2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1EF8DF3F-2C76-4F30-9AD5-1F6D2F7E2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70242E2E-0D68-4493-853F-04F36328B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12931E76-3013-4C86-BD64-C3B82C085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430529</xdr:colOff>
      <xdr:row>47</xdr:row>
      <xdr:rowOff>80010</xdr:rowOff>
    </xdr:from>
    <xdr:to>
      <xdr:col>45</xdr:col>
      <xdr:colOff>195942</xdr:colOff>
      <xdr:row>89</xdr:row>
      <xdr:rowOff>21772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7C0A6ACF-6AB5-47C0-ADA2-269F3DC48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1D79B806-9009-4F4B-AA34-5CBDC0E04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65</xdr:col>
      <xdr:colOff>296636</xdr:colOff>
      <xdr:row>25</xdr:row>
      <xdr:rowOff>107496</xdr:rowOff>
    </xdr:from>
    <xdr:to>
      <xdr:col>72</xdr:col>
      <xdr:colOff>582386</xdr:colOff>
      <xdr:row>41</xdr:row>
      <xdr:rowOff>20411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C8A8A144-B34E-2857-C117-AC24A81F9F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391870</xdr:colOff>
      <xdr:row>24</xdr:row>
      <xdr:rowOff>113291</xdr:rowOff>
    </xdr:from>
    <xdr:to>
      <xdr:col>46</xdr:col>
      <xdr:colOff>87070</xdr:colOff>
      <xdr:row>41</xdr:row>
      <xdr:rowOff>155425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1102925B-351D-44B4-BE46-7F7247E04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22412</xdr:colOff>
      <xdr:row>21</xdr:row>
      <xdr:rowOff>134472</xdr:rowOff>
    </xdr:from>
    <xdr:to>
      <xdr:col>32</xdr:col>
      <xdr:colOff>327212</xdr:colOff>
      <xdr:row>37</xdr:row>
      <xdr:rowOff>152401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2D7F33CE-1221-99E7-6A84-649BB023E3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237564</xdr:colOff>
      <xdr:row>30</xdr:row>
      <xdr:rowOff>161364</xdr:rowOff>
    </xdr:from>
    <xdr:to>
      <xdr:col>30</xdr:col>
      <xdr:colOff>8965</xdr:colOff>
      <xdr:row>45</xdr:row>
      <xdr:rowOff>143435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5F5D194C-7960-E6CC-406B-6EE81A042E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390525</xdr:colOff>
      <xdr:row>4</xdr:row>
      <xdr:rowOff>28575</xdr:rowOff>
    </xdr:from>
    <xdr:to>
      <xdr:col>28</xdr:col>
      <xdr:colOff>85725</xdr:colOff>
      <xdr:row>19</xdr:row>
      <xdr:rowOff>133350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A11ADBE-039D-4132-8553-996C29AA7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409575</xdr:colOff>
      <xdr:row>20</xdr:row>
      <xdr:rowOff>76200</xdr:rowOff>
    </xdr:from>
    <xdr:to>
      <xdr:col>28</xdr:col>
      <xdr:colOff>104775</xdr:colOff>
      <xdr:row>36</xdr:row>
      <xdr:rowOff>19050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35F0D955-37E0-4800-A046-74E891087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457200</xdr:colOff>
      <xdr:row>40</xdr:row>
      <xdr:rowOff>0</xdr:rowOff>
    </xdr:from>
    <xdr:to>
      <xdr:col>28</xdr:col>
      <xdr:colOff>152400</xdr:colOff>
      <xdr:row>56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D82A4C31-49C6-42B3-897A-2278BDCD3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C528FAD9-3F3C-4B8C-82E5-9EDCC5E84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152400</xdr:rowOff>
        </xdr:from>
        <xdr:to>
          <xdr:col>4</xdr:col>
          <xdr:colOff>0</xdr:colOff>
          <xdr:row>12</xdr:row>
          <xdr:rowOff>152400</xdr:rowOff>
        </xdr:to>
        <xdr:sp macro="" textlink="">
          <xdr:nvSpPr>
            <xdr:cNvPr id="201729" name="Drop Down 1" hidden="1">
              <a:extLst>
                <a:ext uri="{63B3BB69-23CF-44E3-9099-C40C66FF867C}">
                  <a14:compatExt spid="_x0000_s201729"/>
                </a:ext>
                <a:ext uri="{FF2B5EF4-FFF2-40B4-BE49-F238E27FC236}">
                  <a16:creationId xmlns:a16="http://schemas.microsoft.com/office/drawing/2014/main" id="{00000000-0008-0000-1000-000001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13</xdr:row>
          <xdr:rowOff>0</xdr:rowOff>
        </xdr:from>
        <xdr:to>
          <xdr:col>4</xdr:col>
          <xdr:colOff>38100</xdr:colOff>
          <xdr:row>14</xdr:row>
          <xdr:rowOff>12700</xdr:rowOff>
        </xdr:to>
        <xdr:sp macro="" textlink="">
          <xdr:nvSpPr>
            <xdr:cNvPr id="201730" name="Drop Down 3" hidden="1">
              <a:extLst>
                <a:ext uri="{63B3BB69-23CF-44E3-9099-C40C66FF867C}">
                  <a14:compatExt spid="_x0000_s201730"/>
                </a:ext>
                <a:ext uri="{FF2B5EF4-FFF2-40B4-BE49-F238E27FC236}">
                  <a16:creationId xmlns:a16="http://schemas.microsoft.com/office/drawing/2014/main" id="{00000000-0008-0000-1000-000002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106457</xdr:rowOff>
    </xdr:from>
    <xdr:to>
      <xdr:col>3</xdr:col>
      <xdr:colOff>3887392</xdr:colOff>
      <xdr:row>2</xdr:row>
      <xdr:rowOff>106457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745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3671659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3330466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13665091" y="49267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58453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58130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976312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flipV="1">
          <a:off x="958069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957746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3343956</xdr:colOff>
      <xdr:row>2</xdr:row>
      <xdr:rowOff>20410</xdr:rowOff>
    </xdr:from>
    <xdr:to>
      <xdr:col>4</xdr:col>
      <xdr:colOff>3750789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>
          <a:off x="9582831" y="401410"/>
          <a:ext cx="40683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 flipV="1">
          <a:off x="957631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3340161</xdr:colOff>
      <xdr:row>1</xdr:row>
      <xdr:rowOff>188955</xdr:rowOff>
    </xdr:from>
    <xdr:to>
      <xdr:col>4</xdr:col>
      <xdr:colOff>3746991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V="1">
          <a:off x="9579036" y="379455"/>
          <a:ext cx="406830" cy="19050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9575347" y="421140"/>
          <a:ext cx="40683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>
          <a:off x="1414002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8" name="Suora yhdysviiva 17">
          <a:extLst>
            <a:ext uri="{FF2B5EF4-FFF2-40B4-BE49-F238E27FC236}">
              <a16:creationId xmlns:a16="http://schemas.microsoft.com/office/drawing/2014/main" id="{47084826-EC9F-4E8B-A1D5-C5FDDAAAA0BE}"/>
            </a:ext>
          </a:extLst>
        </xdr:cNvPr>
        <xdr:cNvCxnSpPr/>
      </xdr:nvCxnSpPr>
      <xdr:spPr>
        <a:xfrm flipV="1">
          <a:off x="9750242" y="38190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9" name="Suora yhdysviiva 18">
          <a:extLst>
            <a:ext uri="{FF2B5EF4-FFF2-40B4-BE49-F238E27FC236}">
              <a16:creationId xmlns:a16="http://schemas.microsoft.com/office/drawing/2014/main" id="{3D0A5D45-73A3-4DF0-ACF6-1D7E843AA16F}"/>
            </a:ext>
          </a:extLst>
        </xdr:cNvPr>
        <xdr:cNvCxnSpPr/>
      </xdr:nvCxnSpPr>
      <xdr:spPr>
        <a:xfrm flipV="1">
          <a:off x="9745860" y="392109"/>
          <a:ext cx="406830" cy="18532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20" name="Suora yhdysviiva 19">
          <a:extLst>
            <a:ext uri="{FF2B5EF4-FFF2-40B4-BE49-F238E27FC236}">
              <a16:creationId xmlns:a16="http://schemas.microsoft.com/office/drawing/2014/main" id="{8E9AF329-61C0-48C3-BB5A-71138F7E5218}"/>
            </a:ext>
          </a:extLst>
        </xdr:cNvPr>
        <xdr:cNvCxnSpPr/>
      </xdr:nvCxnSpPr>
      <xdr:spPr>
        <a:xfrm>
          <a:off x="9744892" y="405900"/>
          <a:ext cx="406833" cy="16595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E3303C48-28B5-441A-876E-E1ED77DDC834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53BC3244-3133-4DDE-B753-B0EC7A3B8D51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106457</xdr:rowOff>
    </xdr:from>
    <xdr:to>
      <xdr:col>3</xdr:col>
      <xdr:colOff>3887392</xdr:colOff>
      <xdr:row>2</xdr:row>
      <xdr:rowOff>106457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D204C9FB-BB31-48D6-A5D4-5E09FF47624B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745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351AC148-A25C-4C84-825B-EDDE1B4F8AC3}"/>
            </a:ext>
          </a:extLst>
        </xdr:cNvPr>
        <xdr:cNvSpPr/>
      </xdr:nvSpPr>
      <xdr:spPr>
        <a:xfrm>
          <a:off x="13671659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3330466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E2390EC7-9B78-442C-8578-4F30D1248976}"/>
            </a:ext>
          </a:extLst>
        </xdr:cNvPr>
        <xdr:cNvCxnSpPr/>
      </xdr:nvCxnSpPr>
      <xdr:spPr>
        <a:xfrm>
          <a:off x="13665091" y="49267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34CA23A2-9986-4C0E-A84F-7C134CD1B06B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7F425776-1F6E-4678-A813-C430B34FA070}"/>
            </a:ext>
          </a:extLst>
        </xdr:cNvPr>
        <xdr:cNvSpPr/>
      </xdr:nvSpPr>
      <xdr:spPr>
        <a:xfrm>
          <a:off x="958453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AE25DDAE-0CD1-444D-9A82-F89627995A79}"/>
            </a:ext>
          </a:extLst>
        </xdr:cNvPr>
        <xdr:cNvSpPr/>
      </xdr:nvSpPr>
      <xdr:spPr>
        <a:xfrm>
          <a:off x="958130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A90B42DC-92C8-4DA4-AA01-0E516AF0907E}"/>
            </a:ext>
          </a:extLst>
        </xdr:cNvPr>
        <xdr:cNvSpPr/>
      </xdr:nvSpPr>
      <xdr:spPr>
        <a:xfrm>
          <a:off x="976312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4E9063E4-AFC0-4BFF-A960-C2C210CFF6F9}"/>
            </a:ext>
          </a:extLst>
        </xdr:cNvPr>
        <xdr:cNvCxnSpPr/>
      </xdr:nvCxnSpPr>
      <xdr:spPr>
        <a:xfrm flipV="1">
          <a:off x="958069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78B163A1-0A99-45E0-B37F-A544BE0FF3E2}"/>
            </a:ext>
          </a:extLst>
        </xdr:cNvPr>
        <xdr:cNvCxnSpPr/>
      </xdr:nvCxnSpPr>
      <xdr:spPr>
        <a:xfrm>
          <a:off x="957746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3343956</xdr:colOff>
      <xdr:row>2</xdr:row>
      <xdr:rowOff>20410</xdr:rowOff>
    </xdr:from>
    <xdr:to>
      <xdr:col>4</xdr:col>
      <xdr:colOff>3750789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89EC3138-777A-47CE-B918-1057C074B628}"/>
            </a:ext>
          </a:extLst>
        </xdr:cNvPr>
        <xdr:cNvCxnSpPr/>
      </xdr:nvCxnSpPr>
      <xdr:spPr>
        <a:xfrm>
          <a:off x="9582831" y="401410"/>
          <a:ext cx="40683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30195549-71A7-4C00-8B7C-26F30E0EC407}"/>
            </a:ext>
          </a:extLst>
        </xdr:cNvPr>
        <xdr:cNvCxnSpPr/>
      </xdr:nvCxnSpPr>
      <xdr:spPr>
        <a:xfrm flipV="1">
          <a:off x="957631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3340161</xdr:colOff>
      <xdr:row>1</xdr:row>
      <xdr:rowOff>188955</xdr:rowOff>
    </xdr:from>
    <xdr:to>
      <xdr:col>4</xdr:col>
      <xdr:colOff>3746991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847C9B95-02F3-4B64-91BF-0974404A5A16}"/>
            </a:ext>
          </a:extLst>
        </xdr:cNvPr>
        <xdr:cNvCxnSpPr/>
      </xdr:nvCxnSpPr>
      <xdr:spPr>
        <a:xfrm flipV="1">
          <a:off x="9579036" y="379455"/>
          <a:ext cx="406830" cy="19050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179FE4DC-5887-40DC-99D6-1ED6F616379F}"/>
            </a:ext>
          </a:extLst>
        </xdr:cNvPr>
        <xdr:cNvCxnSpPr/>
      </xdr:nvCxnSpPr>
      <xdr:spPr>
        <a:xfrm>
          <a:off x="9575347" y="421140"/>
          <a:ext cx="40683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FDA17983-46B5-4C2B-A6ED-006148F860A2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0.71966</cdr:x>
      <cdr:y>0.04003</cdr:y>
    </cdr:from>
    <cdr:to>
      <cdr:x>0.96462</cdr:x>
      <cdr:y>0.11339</cdr:y>
    </cdr:to>
    <cdr:sp macro="" textlink="Kirjasto!$M$16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25259208-2A74-40B1-9301-ADD8EE5868BD}"/>
            </a:ext>
          </a:extLst>
        </cdr:cNvPr>
        <cdr:cNvSpPr txBox="1"/>
      </cdr:nvSpPr>
      <cdr:spPr>
        <a:xfrm xmlns:a="http://schemas.openxmlformats.org/drawingml/2006/main">
          <a:off x="7695927" y="177189"/>
          <a:ext cx="2619577" cy="32472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>
              <a:lumMod val="50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B458726-0B5C-4ED5-9E1C-C843137D9B5A}" type="TxLink">
            <a:rPr lang="en-US" sz="1000" b="0" i="0" u="none" strike="noStrike" baseline="0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 algn="ctr"/>
            <a:t>Gęstość powietrza: 1,2 kg/m³</a:t>
          </a:fld>
          <a:endParaRPr lang="fi-FI" sz="800" baseline="30000">
            <a:latin typeface="Century Gothic" panose="020B0502020202020204" pitchFamily="34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</xdr:row>
          <xdr:rowOff>25400</xdr:rowOff>
        </xdr:from>
        <xdr:to>
          <xdr:col>6</xdr:col>
          <xdr:colOff>368300</xdr:colOff>
          <xdr:row>4</xdr:row>
          <xdr:rowOff>152400</xdr:rowOff>
        </xdr:to>
        <xdr:sp macro="" textlink="">
          <xdr:nvSpPr>
            <xdr:cNvPr id="315393" name="Drop Down 1" hidden="1">
              <a:extLst>
                <a:ext uri="{63B3BB69-23CF-44E3-9099-C40C66FF867C}">
                  <a14:compatExt spid="_x0000_s315393"/>
                </a:ext>
                <a:ext uri="{FF2B5EF4-FFF2-40B4-BE49-F238E27FC236}">
                  <a16:creationId xmlns:a16="http://schemas.microsoft.com/office/drawing/2014/main" id="{00000000-0008-0000-1300-000001D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135</xdr:col>
      <xdr:colOff>367082</xdr:colOff>
      <xdr:row>5</xdr:row>
      <xdr:rowOff>56537</xdr:rowOff>
    </xdr:from>
    <xdr:to>
      <xdr:col>154</xdr:col>
      <xdr:colOff>339216</xdr:colOff>
      <xdr:row>64</xdr:row>
      <xdr:rowOff>140583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6F6F6139-E990-4488-87C9-49924BD83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710457" y="932837"/>
          <a:ext cx="11554534" cy="1044724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116</xdr:col>
          <xdr:colOff>88900</xdr:colOff>
          <xdr:row>3</xdr:row>
          <xdr:rowOff>12700</xdr:rowOff>
        </xdr:from>
        <xdr:to>
          <xdr:col>117</xdr:col>
          <xdr:colOff>50800</xdr:colOff>
          <xdr:row>4</xdr:row>
          <xdr:rowOff>0</xdr:rowOff>
        </xdr:to>
        <xdr:sp macro="" textlink="">
          <xdr:nvSpPr>
            <xdr:cNvPr id="315394" name="Drop Down 2" hidden="1">
              <a:extLst>
                <a:ext uri="{63B3BB69-23CF-44E3-9099-C40C66FF867C}">
                  <a14:compatExt spid="_x0000_s315394"/>
                </a:ext>
                <a:ext uri="{FF2B5EF4-FFF2-40B4-BE49-F238E27FC236}">
                  <a16:creationId xmlns:a16="http://schemas.microsoft.com/office/drawing/2014/main" id="{00000000-0008-0000-1300-000002D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1</xdr:row>
          <xdr:rowOff>25400</xdr:rowOff>
        </xdr:from>
        <xdr:to>
          <xdr:col>20</xdr:col>
          <xdr:colOff>469900</xdr:colOff>
          <xdr:row>2</xdr:row>
          <xdr:rowOff>139700</xdr:rowOff>
        </xdr:to>
        <xdr:sp macro="" textlink="">
          <xdr:nvSpPr>
            <xdr:cNvPr id="315395" name="Drop Down 3" hidden="1">
              <a:extLst>
                <a:ext uri="{63B3BB69-23CF-44E3-9099-C40C66FF867C}">
                  <a14:compatExt spid="_x0000_s315395"/>
                </a:ext>
                <a:ext uri="{FF2B5EF4-FFF2-40B4-BE49-F238E27FC236}">
                  <a16:creationId xmlns:a16="http://schemas.microsoft.com/office/drawing/2014/main" id="{00000000-0008-0000-1300-000003D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139700</xdr:colOff>
          <xdr:row>1</xdr:row>
          <xdr:rowOff>12700</xdr:rowOff>
        </xdr:from>
        <xdr:to>
          <xdr:col>6</xdr:col>
          <xdr:colOff>368300</xdr:colOff>
          <xdr:row>2</xdr:row>
          <xdr:rowOff>101600</xdr:rowOff>
        </xdr:to>
        <xdr:sp macro="" textlink="">
          <xdr:nvSpPr>
            <xdr:cNvPr id="315396" name="Drop Down 4" hidden="1">
              <a:extLst>
                <a:ext uri="{63B3BB69-23CF-44E3-9099-C40C66FF867C}">
                  <a14:compatExt spid="_x0000_s315396"/>
                </a:ext>
                <a:ext uri="{FF2B5EF4-FFF2-40B4-BE49-F238E27FC236}">
                  <a16:creationId xmlns:a16="http://schemas.microsoft.com/office/drawing/2014/main" id="{00000000-0008-0000-1300-000004D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4D5F1687-ECC4-44C1-94A3-DD5D67F766B0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1914E462-A81C-403A-8FFE-7F4168DDAA0D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106457</xdr:rowOff>
    </xdr:from>
    <xdr:to>
      <xdr:col>3</xdr:col>
      <xdr:colOff>3887392</xdr:colOff>
      <xdr:row>2</xdr:row>
      <xdr:rowOff>106457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A11602E8-4050-463E-8908-CC4F006BD4EB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745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A37FE387-D480-47C7-B41F-E098CF4078F9}"/>
            </a:ext>
          </a:extLst>
        </xdr:cNvPr>
        <xdr:cNvSpPr/>
      </xdr:nvSpPr>
      <xdr:spPr>
        <a:xfrm>
          <a:off x="13671659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3330466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352E8534-6789-4401-ABB7-5723319C0D84}"/>
            </a:ext>
          </a:extLst>
        </xdr:cNvPr>
        <xdr:cNvCxnSpPr/>
      </xdr:nvCxnSpPr>
      <xdr:spPr>
        <a:xfrm>
          <a:off x="13665091" y="49267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A1A517FA-9885-4253-B8C1-6E306D5D768D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DAE316CD-854B-4C0C-9B3C-95A6DE0FB64B}"/>
            </a:ext>
          </a:extLst>
        </xdr:cNvPr>
        <xdr:cNvSpPr/>
      </xdr:nvSpPr>
      <xdr:spPr>
        <a:xfrm>
          <a:off x="958453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7577A127-5563-4E19-AFB6-B72150A931AB}"/>
            </a:ext>
          </a:extLst>
        </xdr:cNvPr>
        <xdr:cNvSpPr/>
      </xdr:nvSpPr>
      <xdr:spPr>
        <a:xfrm>
          <a:off x="958130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C807009E-7062-4942-8D5E-586F082E2A3F}"/>
            </a:ext>
          </a:extLst>
        </xdr:cNvPr>
        <xdr:cNvSpPr/>
      </xdr:nvSpPr>
      <xdr:spPr>
        <a:xfrm>
          <a:off x="976312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5B3D8474-FB48-4C85-AB91-C477DF266D19}"/>
            </a:ext>
          </a:extLst>
        </xdr:cNvPr>
        <xdr:cNvCxnSpPr/>
      </xdr:nvCxnSpPr>
      <xdr:spPr>
        <a:xfrm flipV="1">
          <a:off x="958069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8AA075E4-86D9-45D6-A33D-6D06450324A3}"/>
            </a:ext>
          </a:extLst>
        </xdr:cNvPr>
        <xdr:cNvCxnSpPr/>
      </xdr:nvCxnSpPr>
      <xdr:spPr>
        <a:xfrm>
          <a:off x="957746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3343956</xdr:colOff>
      <xdr:row>2</xdr:row>
      <xdr:rowOff>20410</xdr:rowOff>
    </xdr:from>
    <xdr:to>
      <xdr:col>4</xdr:col>
      <xdr:colOff>3750789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EDF72B34-2FDA-4270-8560-869D02882FD5}"/>
            </a:ext>
          </a:extLst>
        </xdr:cNvPr>
        <xdr:cNvCxnSpPr/>
      </xdr:nvCxnSpPr>
      <xdr:spPr>
        <a:xfrm>
          <a:off x="9582831" y="401410"/>
          <a:ext cx="40683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CAA89806-E4A2-4FE2-98B8-CE3155904876}"/>
            </a:ext>
          </a:extLst>
        </xdr:cNvPr>
        <xdr:cNvCxnSpPr/>
      </xdr:nvCxnSpPr>
      <xdr:spPr>
        <a:xfrm flipV="1">
          <a:off x="957631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3340161</xdr:colOff>
      <xdr:row>1</xdr:row>
      <xdr:rowOff>188955</xdr:rowOff>
    </xdr:from>
    <xdr:to>
      <xdr:col>4</xdr:col>
      <xdr:colOff>3746991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458FA35E-F9B9-4F65-B651-16D1D6ADDF44}"/>
            </a:ext>
          </a:extLst>
        </xdr:cNvPr>
        <xdr:cNvCxnSpPr/>
      </xdr:nvCxnSpPr>
      <xdr:spPr>
        <a:xfrm flipV="1">
          <a:off x="9579036" y="379455"/>
          <a:ext cx="406830" cy="19050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D3CE3B25-98FD-436A-9DF5-D86009461CA0}"/>
            </a:ext>
          </a:extLst>
        </xdr:cNvPr>
        <xdr:cNvCxnSpPr/>
      </xdr:nvCxnSpPr>
      <xdr:spPr>
        <a:xfrm>
          <a:off x="9575347" y="421140"/>
          <a:ext cx="40683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59CF879A-C4E1-4582-B464-65D5C74CCCF7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8" name="Suora yhdysviiva 17">
          <a:extLst>
            <a:ext uri="{FF2B5EF4-FFF2-40B4-BE49-F238E27FC236}">
              <a16:creationId xmlns:a16="http://schemas.microsoft.com/office/drawing/2014/main" id="{7B6E0368-2879-4024-9BD7-C20DB9085550}"/>
            </a:ext>
          </a:extLst>
        </xdr:cNvPr>
        <xdr:cNvCxnSpPr/>
      </xdr:nvCxnSpPr>
      <xdr:spPr>
        <a:xfrm flipV="1">
          <a:off x="958069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9" name="Suora yhdysviiva 18">
          <a:extLst>
            <a:ext uri="{FF2B5EF4-FFF2-40B4-BE49-F238E27FC236}">
              <a16:creationId xmlns:a16="http://schemas.microsoft.com/office/drawing/2014/main" id="{72413471-C4B2-4AAA-A4C4-4196CB5815B6}"/>
            </a:ext>
          </a:extLst>
        </xdr:cNvPr>
        <xdr:cNvCxnSpPr/>
      </xdr:nvCxnSpPr>
      <xdr:spPr>
        <a:xfrm flipV="1">
          <a:off x="957631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20" name="Suora yhdysviiva 19">
          <a:extLst>
            <a:ext uri="{FF2B5EF4-FFF2-40B4-BE49-F238E27FC236}">
              <a16:creationId xmlns:a16="http://schemas.microsoft.com/office/drawing/2014/main" id="{C987D2C9-3F9D-4065-8F25-12397B6555CC}"/>
            </a:ext>
          </a:extLst>
        </xdr:cNvPr>
        <xdr:cNvCxnSpPr/>
      </xdr:nvCxnSpPr>
      <xdr:spPr>
        <a:xfrm>
          <a:off x="9575347" y="421140"/>
          <a:ext cx="40683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604950</xdr:colOff>
      <xdr:row>65</xdr:row>
      <xdr:rowOff>78440</xdr:rowOff>
    </xdr:from>
    <xdr:to>
      <xdr:col>10</xdr:col>
      <xdr:colOff>515177</xdr:colOff>
      <xdr:row>85</xdr:row>
      <xdr:rowOff>160916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6B2A045E-F193-4A06-B2D7-37FA7CDBE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589093</xdr:colOff>
      <xdr:row>65</xdr:row>
      <xdr:rowOff>123264</xdr:rowOff>
    </xdr:from>
    <xdr:to>
      <xdr:col>15</xdr:col>
      <xdr:colOff>590326</xdr:colOff>
      <xdr:row>85</xdr:row>
      <xdr:rowOff>160018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7D52F53B-A86C-4262-9E02-B5553C32E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36911</xdr:colOff>
      <xdr:row>65</xdr:row>
      <xdr:rowOff>156882</xdr:rowOff>
    </xdr:from>
    <xdr:to>
      <xdr:col>23</xdr:col>
      <xdr:colOff>636494</xdr:colOff>
      <xdr:row>85</xdr:row>
      <xdr:rowOff>26895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DDFB0631-2623-430A-BDB4-36E2B4066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692522</xdr:colOff>
      <xdr:row>66</xdr:row>
      <xdr:rowOff>11205</xdr:rowOff>
    </xdr:from>
    <xdr:to>
      <xdr:col>31</xdr:col>
      <xdr:colOff>154640</xdr:colOff>
      <xdr:row>85</xdr:row>
      <xdr:rowOff>8965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74CB8259-8AB3-4CFB-93F8-D672917CB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246530</xdr:colOff>
      <xdr:row>8</xdr:row>
      <xdr:rowOff>90768</xdr:rowOff>
    </xdr:from>
    <xdr:to>
      <xdr:col>34</xdr:col>
      <xdr:colOff>493058</xdr:colOff>
      <xdr:row>29</xdr:row>
      <xdr:rowOff>11206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F5B4C62F-F25D-45A7-86DB-B5E827714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38100</xdr:colOff>
      <xdr:row>91</xdr:row>
      <xdr:rowOff>19050</xdr:rowOff>
    </xdr:from>
    <xdr:to>
      <xdr:col>13</xdr:col>
      <xdr:colOff>497205</xdr:colOff>
      <xdr:row>112</xdr:row>
      <xdr:rowOff>91440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7B2AC6C0-707D-48E9-A2E5-9C730E4FB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38100</xdr:colOff>
      <xdr:row>91</xdr:row>
      <xdr:rowOff>19050</xdr:rowOff>
    </xdr:from>
    <xdr:to>
      <xdr:col>29</xdr:col>
      <xdr:colOff>497205</xdr:colOff>
      <xdr:row>112</xdr:row>
      <xdr:rowOff>91440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88B7F028-C3AA-4587-902B-37B986412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13445</xdr:colOff>
      <xdr:row>12</xdr:row>
      <xdr:rowOff>143435</xdr:rowOff>
    </xdr:from>
    <xdr:to>
      <xdr:col>12</xdr:col>
      <xdr:colOff>582704</xdr:colOff>
      <xdr:row>28</xdr:row>
      <xdr:rowOff>161364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6DC254EE-6097-4DDF-AF44-5D9E0C693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604950</xdr:colOff>
      <xdr:row>65</xdr:row>
      <xdr:rowOff>100852</xdr:rowOff>
    </xdr:from>
    <xdr:to>
      <xdr:col>10</xdr:col>
      <xdr:colOff>515177</xdr:colOff>
      <xdr:row>85</xdr:row>
      <xdr:rowOff>160916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423B066-E426-4A74-9ED4-3570C817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589093</xdr:colOff>
      <xdr:row>65</xdr:row>
      <xdr:rowOff>112058</xdr:rowOff>
    </xdr:from>
    <xdr:to>
      <xdr:col>15</xdr:col>
      <xdr:colOff>590326</xdr:colOff>
      <xdr:row>85</xdr:row>
      <xdr:rowOff>160018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B7E0E1CC-8D49-428D-82B5-0BA30C846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36911</xdr:colOff>
      <xdr:row>65</xdr:row>
      <xdr:rowOff>112059</xdr:rowOff>
    </xdr:from>
    <xdr:to>
      <xdr:col>23</xdr:col>
      <xdr:colOff>636494</xdr:colOff>
      <xdr:row>85</xdr:row>
      <xdr:rowOff>26895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11C864A5-9BCD-4E79-BB8A-B405CFFFB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692522</xdr:colOff>
      <xdr:row>65</xdr:row>
      <xdr:rowOff>145675</xdr:rowOff>
    </xdr:from>
    <xdr:to>
      <xdr:col>31</xdr:col>
      <xdr:colOff>154640</xdr:colOff>
      <xdr:row>85</xdr:row>
      <xdr:rowOff>8965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DD40F9B-AD25-403B-9B9D-D0254E8F5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22412</xdr:colOff>
      <xdr:row>7</xdr:row>
      <xdr:rowOff>68356</xdr:rowOff>
    </xdr:from>
    <xdr:to>
      <xdr:col>35</xdr:col>
      <xdr:colOff>268941</xdr:colOff>
      <xdr:row>27</xdr:row>
      <xdr:rowOff>156883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EE717F01-BA7F-4ED6-9023-81F846066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38100</xdr:colOff>
      <xdr:row>91</xdr:row>
      <xdr:rowOff>19050</xdr:rowOff>
    </xdr:from>
    <xdr:to>
      <xdr:col>13</xdr:col>
      <xdr:colOff>497205</xdr:colOff>
      <xdr:row>112</xdr:row>
      <xdr:rowOff>91440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1F912D57-B3EA-497E-96EF-DA58EAE4C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38100</xdr:colOff>
      <xdr:row>91</xdr:row>
      <xdr:rowOff>19050</xdr:rowOff>
    </xdr:from>
    <xdr:to>
      <xdr:col>29</xdr:col>
      <xdr:colOff>497205</xdr:colOff>
      <xdr:row>112</xdr:row>
      <xdr:rowOff>91440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4F35B734-B17A-46A2-9E4D-592B96E49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</xdr:colOff>
      <xdr:row>14</xdr:row>
      <xdr:rowOff>38100</xdr:rowOff>
    </xdr:from>
    <xdr:to>
      <xdr:col>13</xdr:col>
      <xdr:colOff>523875</xdr:colOff>
      <xdr:row>38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166B0B98-457F-4DA0-B966-85B718EE0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578505</xdr:colOff>
      <xdr:row>69</xdr:row>
      <xdr:rowOff>0</xdr:rowOff>
    </xdr:from>
    <xdr:to>
      <xdr:col>7</xdr:col>
      <xdr:colOff>546849</xdr:colOff>
      <xdr:row>88</xdr:row>
      <xdr:rowOff>156883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68AEE8F1-0B09-41AB-992E-8726034A8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47624</xdr:colOff>
      <xdr:row>69</xdr:row>
      <xdr:rowOff>28575</xdr:rowOff>
    </xdr:from>
    <xdr:to>
      <xdr:col>15</xdr:col>
      <xdr:colOff>203947</xdr:colOff>
      <xdr:row>88</xdr:row>
      <xdr:rowOff>156882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7858E97F-9CFB-49BF-9E9C-C902BF269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484095</xdr:colOff>
      <xdr:row>69</xdr:row>
      <xdr:rowOff>129540</xdr:rowOff>
    </xdr:from>
    <xdr:to>
      <xdr:col>24</xdr:col>
      <xdr:colOff>542365</xdr:colOff>
      <xdr:row>87</xdr:row>
      <xdr:rowOff>145676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161B8422-FC06-4BC5-99AD-44BABFBF2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64993</xdr:colOff>
      <xdr:row>69</xdr:row>
      <xdr:rowOff>99060</xdr:rowOff>
    </xdr:from>
    <xdr:to>
      <xdr:col>32</xdr:col>
      <xdr:colOff>369793</xdr:colOff>
      <xdr:row>87</xdr:row>
      <xdr:rowOff>123264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1977D3C-D121-43D8-8391-1E114E42D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22412</xdr:colOff>
      <xdr:row>8</xdr:row>
      <xdr:rowOff>68356</xdr:rowOff>
    </xdr:from>
    <xdr:to>
      <xdr:col>36</xdr:col>
      <xdr:colOff>268941</xdr:colOff>
      <xdr:row>28</xdr:row>
      <xdr:rowOff>156883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9090715B-C299-4E56-8DBD-3DBA79BA3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60960</xdr:colOff>
      <xdr:row>95</xdr:row>
      <xdr:rowOff>57150</xdr:rowOff>
    </xdr:from>
    <xdr:to>
      <xdr:col>14</xdr:col>
      <xdr:colOff>701040</xdr:colOff>
      <xdr:row>116</xdr:row>
      <xdr:rowOff>129540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ABA018A2-E5C5-444A-BE92-7C4BEE3E7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38100</xdr:colOff>
      <xdr:row>94</xdr:row>
      <xdr:rowOff>19050</xdr:rowOff>
    </xdr:from>
    <xdr:to>
      <xdr:col>29</xdr:col>
      <xdr:colOff>497205</xdr:colOff>
      <xdr:row>115</xdr:row>
      <xdr:rowOff>91440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BA174481-EB10-41DA-9175-A2C63E330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32</xdr:row>
      <xdr:rowOff>54428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6300A4D7-D6A1-4898-8C9A-BBD248A72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32</xdr:row>
      <xdr:rowOff>97971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EA67B689-0489-43F4-9EAA-FA0678E64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109AE87-E210-4EAF-8852-6EA7448C1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6801</xdr:colOff>
      <xdr:row>83</xdr:row>
      <xdr:rowOff>47624</xdr:rowOff>
    </xdr:from>
    <xdr:to>
      <xdr:col>37</xdr:col>
      <xdr:colOff>68036</xdr:colOff>
      <xdr:row>137</xdr:row>
      <xdr:rowOff>40820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38EF4EAE-9FAA-472E-92BD-2983E18DB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551089</xdr:colOff>
      <xdr:row>5</xdr:row>
      <xdr:rowOff>87085</xdr:rowOff>
    </xdr:from>
    <xdr:to>
      <xdr:col>13</xdr:col>
      <xdr:colOff>598714</xdr:colOff>
      <xdr:row>27</xdr:row>
      <xdr:rowOff>87085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48AE7AD-6181-4EF1-BFAE-39B51F677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10884</xdr:colOff>
      <xdr:row>4</xdr:row>
      <xdr:rowOff>87085</xdr:rowOff>
    </xdr:from>
    <xdr:to>
      <xdr:col>59</xdr:col>
      <xdr:colOff>381000</xdr:colOff>
      <xdr:row>21</xdr:row>
      <xdr:rowOff>152400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14E7E2CC-235C-4A13-B978-C3E4CF564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32</xdr:row>
      <xdr:rowOff>54428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831CE657-20AF-4EC0-AF25-C2C907B52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32</xdr:row>
      <xdr:rowOff>97971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D9383878-EAA6-40CD-8766-8AAE714A9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C81E7B9F-8361-42F8-95C1-A19163663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65232</xdr:colOff>
      <xdr:row>82</xdr:row>
      <xdr:rowOff>142875</xdr:rowOff>
    </xdr:from>
    <xdr:to>
      <xdr:col>33</xdr:col>
      <xdr:colOff>429491</xdr:colOff>
      <xdr:row>143</xdr:row>
      <xdr:rowOff>84044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5425A4F4-9B80-4361-9521-92D394806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551089</xdr:colOff>
      <xdr:row>5</xdr:row>
      <xdr:rowOff>87085</xdr:rowOff>
    </xdr:from>
    <xdr:to>
      <xdr:col>13</xdr:col>
      <xdr:colOff>598714</xdr:colOff>
      <xdr:row>27</xdr:row>
      <xdr:rowOff>87085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D91339AE-C727-4F1A-85AE-F1563E23A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57149</xdr:rowOff>
    </xdr:from>
    <xdr:to>
      <xdr:col>10</xdr:col>
      <xdr:colOff>314325</xdr:colOff>
      <xdr:row>53</xdr:row>
      <xdr:rowOff>114300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48C14E0C-B206-4899-A462-D9CC034A8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966E5B05-C26C-4826-9247-5969835AD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77383385-0700-47B7-A366-D697778CC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142874</xdr:rowOff>
    </xdr:from>
    <xdr:to>
      <xdr:col>32</xdr:col>
      <xdr:colOff>419100</xdr:colOff>
      <xdr:row>92</xdr:row>
      <xdr:rowOff>19049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B88F6E66-0C8A-4CBD-9003-F68E15057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FE681887-7A39-4DC5-AECB-35A6BAF1C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2</xdr:row>
      <xdr:rowOff>123825</xdr:rowOff>
    </xdr:from>
    <xdr:to>
      <xdr:col>20</xdr:col>
      <xdr:colOff>371475</xdr:colOff>
      <xdr:row>18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F060F80B-384B-4ADB-96A5-1DD5112C1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428625</xdr:colOff>
      <xdr:row>13</xdr:row>
      <xdr:rowOff>114300</xdr:rowOff>
    </xdr:from>
    <xdr:to>
      <xdr:col>28</xdr:col>
      <xdr:colOff>123825</xdr:colOff>
      <xdr:row>29</xdr:row>
      <xdr:rowOff>85725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181AE544-9346-4786-A3FD-BF9A7B6D1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83820</xdr:colOff>
      <xdr:row>75</xdr:row>
      <xdr:rowOff>49530</xdr:rowOff>
    </xdr:from>
    <xdr:to>
      <xdr:col>19</xdr:col>
      <xdr:colOff>388620</xdr:colOff>
      <xdr:row>91</xdr:row>
      <xdr:rowOff>110490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B675A7D8-0F3C-4421-8B35-25BFC8A21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9525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1414061F-EC70-47B2-B9C6-E4F276BAA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1FCB70D5-B41A-4B0D-8631-66DD8C95B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B3A65FDC-4858-4453-A659-28C0EF05F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33</xdr:col>
      <xdr:colOff>369794</xdr:colOff>
      <xdr:row>90</xdr:row>
      <xdr:rowOff>145677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65D48052-24FB-48D2-9441-548EFCA1D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F106AAA0-E5AB-4274-B2C5-072663141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61</xdr:col>
      <xdr:colOff>459684</xdr:colOff>
      <xdr:row>11</xdr:row>
      <xdr:rowOff>15736</xdr:rowOff>
    </xdr:from>
    <xdr:to>
      <xdr:col>69</xdr:col>
      <xdr:colOff>128380</xdr:colOff>
      <xdr:row>29</xdr:row>
      <xdr:rowOff>140804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844C0BED-176F-40B2-BDB2-2C3BA2079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61</xdr:col>
      <xdr:colOff>64434</xdr:colOff>
      <xdr:row>45</xdr:row>
      <xdr:rowOff>29694</xdr:rowOff>
    </xdr:from>
    <xdr:to>
      <xdr:col>71</xdr:col>
      <xdr:colOff>445434</xdr:colOff>
      <xdr:row>65</xdr:row>
      <xdr:rowOff>140633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A0AB1600-E147-4D94-B262-F38591322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</xdr:row>
          <xdr:rowOff>12700</xdr:rowOff>
        </xdr:from>
        <xdr:to>
          <xdr:col>11</xdr:col>
          <xdr:colOff>152400</xdr:colOff>
          <xdr:row>4</xdr:row>
          <xdr:rowOff>152400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121</xdr:col>
      <xdr:colOff>389595</xdr:colOff>
      <xdr:row>6</xdr:row>
      <xdr:rowOff>134468</xdr:rowOff>
    </xdr:from>
    <xdr:to>
      <xdr:col>140</xdr:col>
      <xdr:colOff>361729</xdr:colOff>
      <xdr:row>67</xdr:row>
      <xdr:rowOff>123264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96154" y="1187821"/>
          <a:ext cx="11469369" cy="103318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116</xdr:col>
          <xdr:colOff>88900</xdr:colOff>
          <xdr:row>3</xdr:row>
          <xdr:rowOff>12700</xdr:rowOff>
        </xdr:from>
        <xdr:to>
          <xdr:col>117</xdr:col>
          <xdr:colOff>50800</xdr:colOff>
          <xdr:row>4</xdr:row>
          <xdr:rowOff>0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57149</xdr:rowOff>
    </xdr:from>
    <xdr:to>
      <xdr:col>10</xdr:col>
      <xdr:colOff>314325</xdr:colOff>
      <xdr:row>53</xdr:row>
      <xdr:rowOff>114300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C1AEA613-373C-4D80-804A-05B80F3BF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CEF254EE-BB14-4C2B-9DF6-ECCAA9989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3C3B1D85-80D3-4088-9820-2E89462F2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142874</xdr:rowOff>
    </xdr:from>
    <xdr:to>
      <xdr:col>32</xdr:col>
      <xdr:colOff>419100</xdr:colOff>
      <xdr:row>92</xdr:row>
      <xdr:rowOff>19049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D15F490-CE76-49B2-B04D-329B83692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89B81DAB-B602-4F10-9FFD-882BF8FE1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61</xdr:col>
      <xdr:colOff>459684</xdr:colOff>
      <xdr:row>11</xdr:row>
      <xdr:rowOff>15736</xdr:rowOff>
    </xdr:from>
    <xdr:to>
      <xdr:col>69</xdr:col>
      <xdr:colOff>128380</xdr:colOff>
      <xdr:row>29</xdr:row>
      <xdr:rowOff>140804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ABE7776C-A4DF-496E-9F6A-77E33A2B4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61</xdr:col>
      <xdr:colOff>112059</xdr:colOff>
      <xdr:row>45</xdr:row>
      <xdr:rowOff>1119</xdr:rowOff>
    </xdr:from>
    <xdr:to>
      <xdr:col>71</xdr:col>
      <xdr:colOff>493059</xdr:colOff>
      <xdr:row>69</xdr:row>
      <xdr:rowOff>100853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EC44961F-AA59-441E-B420-2025BA168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2</xdr:row>
      <xdr:rowOff>123825</xdr:rowOff>
    </xdr:from>
    <xdr:to>
      <xdr:col>20</xdr:col>
      <xdr:colOff>371475</xdr:colOff>
      <xdr:row>18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409CD7C0-DE13-4FE5-ADE5-0C5C47C4F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428625</xdr:colOff>
      <xdr:row>13</xdr:row>
      <xdr:rowOff>114300</xdr:rowOff>
    </xdr:from>
    <xdr:to>
      <xdr:col>28</xdr:col>
      <xdr:colOff>123825</xdr:colOff>
      <xdr:row>29</xdr:row>
      <xdr:rowOff>85725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CCFC68A1-737B-4A72-836C-33730A94E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604950</xdr:colOff>
      <xdr:row>65</xdr:row>
      <xdr:rowOff>100852</xdr:rowOff>
    </xdr:from>
    <xdr:to>
      <xdr:col>10</xdr:col>
      <xdr:colOff>515177</xdr:colOff>
      <xdr:row>85</xdr:row>
      <xdr:rowOff>160916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56C65CE-FDE9-4D49-B4A6-CD0F58550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589093</xdr:colOff>
      <xdr:row>65</xdr:row>
      <xdr:rowOff>112058</xdr:rowOff>
    </xdr:from>
    <xdr:to>
      <xdr:col>15</xdr:col>
      <xdr:colOff>590326</xdr:colOff>
      <xdr:row>85</xdr:row>
      <xdr:rowOff>160018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623831DB-ED82-4727-A491-AE8703B04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36911</xdr:colOff>
      <xdr:row>65</xdr:row>
      <xdr:rowOff>112059</xdr:rowOff>
    </xdr:from>
    <xdr:to>
      <xdr:col>23</xdr:col>
      <xdr:colOff>636494</xdr:colOff>
      <xdr:row>85</xdr:row>
      <xdr:rowOff>26895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29ACCC6E-F900-40C8-9814-1A563E90C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692522</xdr:colOff>
      <xdr:row>65</xdr:row>
      <xdr:rowOff>145675</xdr:rowOff>
    </xdr:from>
    <xdr:to>
      <xdr:col>31</xdr:col>
      <xdr:colOff>154640</xdr:colOff>
      <xdr:row>85</xdr:row>
      <xdr:rowOff>8965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7D80598D-A5A5-4460-BEE9-F9FB4C6F5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22412</xdr:colOff>
      <xdr:row>7</xdr:row>
      <xdr:rowOff>68356</xdr:rowOff>
    </xdr:from>
    <xdr:to>
      <xdr:col>35</xdr:col>
      <xdr:colOff>268941</xdr:colOff>
      <xdr:row>27</xdr:row>
      <xdr:rowOff>156883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2768451C-8D64-4236-B169-FA367D751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38100</xdr:colOff>
      <xdr:row>91</xdr:row>
      <xdr:rowOff>19050</xdr:rowOff>
    </xdr:from>
    <xdr:to>
      <xdr:col>13</xdr:col>
      <xdr:colOff>497205</xdr:colOff>
      <xdr:row>112</xdr:row>
      <xdr:rowOff>91440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F1453C1A-4EA0-4C2F-B28B-6A5C7FB38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38100</xdr:colOff>
      <xdr:row>91</xdr:row>
      <xdr:rowOff>19050</xdr:rowOff>
    </xdr:from>
    <xdr:to>
      <xdr:col>29</xdr:col>
      <xdr:colOff>497205</xdr:colOff>
      <xdr:row>112</xdr:row>
      <xdr:rowOff>91440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07E88DEE-6BA2-465D-910E-63A05D2F6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9</xdr:row>
      <xdr:rowOff>0</xdr:rowOff>
    </xdr:from>
    <xdr:to>
      <xdr:col>17</xdr:col>
      <xdr:colOff>190500</xdr:colOff>
      <xdr:row>23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27C333E7-EA8C-4561-983B-816CC7954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3F492A4-8DE1-4444-B8D8-87881D3BF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491D4608-4F1A-48CD-8BE0-3D213F633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26283975-62BA-4AC6-875F-C94F674AC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713F0B82-A2CC-4E53-BF26-9461E1352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657E2751-2CE8-45B9-8929-7F763D6D6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A51D4078-07C4-468F-869F-A89685F9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65</xdr:col>
      <xdr:colOff>459684</xdr:colOff>
      <xdr:row>9</xdr:row>
      <xdr:rowOff>15736</xdr:rowOff>
    </xdr:from>
    <xdr:to>
      <xdr:col>73</xdr:col>
      <xdr:colOff>128380</xdr:colOff>
      <xdr:row>27</xdr:row>
      <xdr:rowOff>140804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53C2DCE6-A8C3-4BB1-92B9-5628FEEA2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65</xdr:col>
      <xdr:colOff>64433</xdr:colOff>
      <xdr:row>43</xdr:row>
      <xdr:rowOff>29694</xdr:rowOff>
    </xdr:from>
    <xdr:to>
      <xdr:col>81</xdr:col>
      <xdr:colOff>537882</xdr:colOff>
      <xdr:row>72</xdr:row>
      <xdr:rowOff>112058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C66EEB6C-0A7D-473F-BCDF-3563DCAA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840C7AAF-5844-4DC8-A631-A5E1ED661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9DFFE25E-5C97-4CB6-B5AC-FB648F156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2738FBBA-1858-41EB-BAC8-498F308E9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430530</xdr:colOff>
      <xdr:row>46</xdr:row>
      <xdr:rowOff>156209</xdr:rowOff>
    </xdr:from>
    <xdr:to>
      <xdr:col>36</xdr:col>
      <xdr:colOff>503464</xdr:colOff>
      <xdr:row>86</xdr:row>
      <xdr:rowOff>8964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CF1AA2EA-B9F5-48AE-804E-0C8C09EFD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BBDC299E-580D-4C2E-96F6-2BB600D61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6351956E-2AEA-4915-8B83-8675ED980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65</xdr:col>
      <xdr:colOff>459684</xdr:colOff>
      <xdr:row>9</xdr:row>
      <xdr:rowOff>15736</xdr:rowOff>
    </xdr:from>
    <xdr:to>
      <xdr:col>73</xdr:col>
      <xdr:colOff>128380</xdr:colOff>
      <xdr:row>27</xdr:row>
      <xdr:rowOff>140804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14EE6FD6-F5E3-48A6-B7D1-60C9CDC70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65</xdr:col>
      <xdr:colOff>64433</xdr:colOff>
      <xdr:row>43</xdr:row>
      <xdr:rowOff>29694</xdr:rowOff>
    </xdr:from>
    <xdr:to>
      <xdr:col>81</xdr:col>
      <xdr:colOff>537882</xdr:colOff>
      <xdr:row>72</xdr:row>
      <xdr:rowOff>112058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54606DAB-DD9A-4981-B94C-90C94B435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14</xdr:row>
      <xdr:rowOff>146685</xdr:rowOff>
    </xdr:from>
    <xdr:to>
      <xdr:col>32</xdr:col>
      <xdr:colOff>226695</xdr:colOff>
      <xdr:row>31</xdr:row>
      <xdr:rowOff>154305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D08A859B-33F6-44E0-BFA6-213C8FD4B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78105</xdr:colOff>
      <xdr:row>18</xdr:row>
      <xdr:rowOff>158115</xdr:rowOff>
    </xdr:from>
    <xdr:to>
      <xdr:col>41</xdr:col>
      <xdr:colOff>382905</xdr:colOff>
      <xdr:row>36</xdr:row>
      <xdr:rowOff>20955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A95DDA5D-A078-425B-9BA1-7340CD0F9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BB85B7DF-9C59-4481-9484-22B9C21AF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D59E0210-EBCA-4082-84C7-8F0EF776D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23B941D0-6AE4-43C8-8272-65259B09E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BC461E-00E8-4207-936C-052D7F570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623061CD-F1FD-46F5-8ECD-CC376B1E3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DAB02A8D-E051-4C70-BB18-C2B5379BC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929BFA34-4D81-49BA-8AA4-6984A38ED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65</xdr:col>
      <xdr:colOff>459684</xdr:colOff>
      <xdr:row>9</xdr:row>
      <xdr:rowOff>15736</xdr:rowOff>
    </xdr:from>
    <xdr:to>
      <xdr:col>73</xdr:col>
      <xdr:colOff>128380</xdr:colOff>
      <xdr:row>27</xdr:row>
      <xdr:rowOff>140804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E1AF1782-FBD1-4056-85B7-144070636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65</xdr:col>
      <xdr:colOff>64433</xdr:colOff>
      <xdr:row>43</xdr:row>
      <xdr:rowOff>29694</xdr:rowOff>
    </xdr:from>
    <xdr:to>
      <xdr:col>81</xdr:col>
      <xdr:colOff>537882</xdr:colOff>
      <xdr:row>72</xdr:row>
      <xdr:rowOff>112058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3213F9FA-F08F-4A7B-B86E-90BA6DB42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DB886355-48E1-4F83-9E4A-7E9098193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2D7B9EBF-FA3A-4E51-98FA-D77960449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84B5FC30-8A6F-486A-9C09-B2B40336A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430530</xdr:colOff>
      <xdr:row>46</xdr:row>
      <xdr:rowOff>156209</xdr:rowOff>
    </xdr:from>
    <xdr:to>
      <xdr:col>36</xdr:col>
      <xdr:colOff>503464</xdr:colOff>
      <xdr:row>86</xdr:row>
      <xdr:rowOff>8964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821E8EFB-753E-429F-A76F-0B2B8CEE3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EE2D4243-9521-4195-B56F-D56D62704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B5E9C347-E732-4857-9CD0-29F8091D2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65</xdr:col>
      <xdr:colOff>459684</xdr:colOff>
      <xdr:row>9</xdr:row>
      <xdr:rowOff>15736</xdr:rowOff>
    </xdr:from>
    <xdr:to>
      <xdr:col>73</xdr:col>
      <xdr:colOff>128380</xdr:colOff>
      <xdr:row>27</xdr:row>
      <xdr:rowOff>140804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CC3F13CB-0EDF-4F48-908C-0A4E144A8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65</xdr:col>
      <xdr:colOff>64433</xdr:colOff>
      <xdr:row>43</xdr:row>
      <xdr:rowOff>29694</xdr:rowOff>
    </xdr:from>
    <xdr:to>
      <xdr:col>81</xdr:col>
      <xdr:colOff>537882</xdr:colOff>
      <xdr:row>72</xdr:row>
      <xdr:rowOff>112058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63065FDA-C9F0-4677-987F-20389CC77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47626</xdr:colOff>
      <xdr:row>10</xdr:row>
      <xdr:rowOff>40525</xdr:rowOff>
    </xdr:from>
    <xdr:to>
      <xdr:col>14</xdr:col>
      <xdr:colOff>15240</xdr:colOff>
      <xdr:row>33</xdr:row>
      <xdr:rowOff>65289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5800BC7C-5495-4E99-8A4C-66C9ACC67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95803</xdr:colOff>
      <xdr:row>4</xdr:row>
      <xdr:rowOff>66675</xdr:rowOff>
    </xdr:from>
    <xdr:to>
      <xdr:col>13</xdr:col>
      <xdr:colOff>172201</xdr:colOff>
      <xdr:row>7</xdr:row>
      <xdr:rowOff>98838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9CD9FB9-74E4-487D-BEEF-611412D0A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5078" y="1028700"/>
          <a:ext cx="1000323" cy="746537"/>
        </a:xfrm>
        <a:prstGeom prst="rect">
          <a:avLst/>
        </a:prstGeom>
      </xdr:spPr>
    </xdr:pic>
    <xdr:clientData/>
  </xdr:twoCellAnchor>
  <xdr:twoCellAnchor>
    <xdr:from>
      <xdr:col>10</xdr:col>
      <xdr:colOff>717624</xdr:colOff>
      <xdr:row>12</xdr:row>
      <xdr:rowOff>175392</xdr:rowOff>
    </xdr:from>
    <xdr:to>
      <xdr:col>13</xdr:col>
      <xdr:colOff>493504</xdr:colOff>
      <xdr:row>15</xdr:row>
      <xdr:rowOff>67320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93D826BE-5814-46DD-A176-56FD0C7AFA6E}"/>
            </a:ext>
          </a:extLst>
        </xdr:cNvPr>
        <xdr:cNvGrpSpPr/>
      </xdr:nvGrpSpPr>
      <xdr:grpSpPr>
        <a:xfrm>
          <a:off x="9417124" y="3083692"/>
          <a:ext cx="2925480" cy="412628"/>
          <a:chOff x="9315820" y="1784262"/>
          <a:chExt cx="1630951" cy="194320"/>
        </a:xfrm>
      </xdr:grpSpPr>
      <xdr:sp macro="" textlink="">
        <xdr:nvSpPr>
          <xdr:cNvPr id="5" name="Tekstiruutu 4">
            <a:extLst>
              <a:ext uri="{FF2B5EF4-FFF2-40B4-BE49-F238E27FC236}">
                <a16:creationId xmlns:a16="http://schemas.microsoft.com/office/drawing/2014/main" id="{E4C446BF-5C35-F8D2-5349-FA9E1AF30239}"/>
              </a:ext>
            </a:extLst>
          </xdr:cNvPr>
          <xdr:cNvSpPr txBox="1"/>
        </xdr:nvSpPr>
        <xdr:spPr>
          <a:xfrm>
            <a:off x="9315820" y="1784262"/>
            <a:ext cx="1630951" cy="1943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>
              <a:lnSpc>
                <a:spcPct val="100000"/>
              </a:lnSpc>
            </a:pPr>
            <a:r>
              <a:rPr lang="fi-FI" sz="1000" baseline="0">
                <a:latin typeface="Century Gothic" panose="020B0502020202020204" pitchFamily="34" charset="0"/>
              </a:rPr>
              <a:t>                          </a:t>
            </a:r>
            <a:endParaRPr lang="fi-FI" sz="1000">
              <a:latin typeface="Century Gothic" panose="020B0502020202020204" pitchFamily="34" charset="0"/>
            </a:endParaRPr>
          </a:p>
        </xdr:txBody>
      </xdr:sp>
      <xdr:grpSp>
        <xdr:nvGrpSpPr>
          <xdr:cNvPr id="6" name="Ryhmä 5">
            <a:extLst>
              <a:ext uri="{FF2B5EF4-FFF2-40B4-BE49-F238E27FC236}">
                <a16:creationId xmlns:a16="http://schemas.microsoft.com/office/drawing/2014/main" id="{6F34C4F1-16A3-691F-CB1B-D6B9BFD7600C}"/>
              </a:ext>
            </a:extLst>
          </xdr:cNvPr>
          <xdr:cNvGrpSpPr/>
        </xdr:nvGrpSpPr>
        <xdr:grpSpPr>
          <a:xfrm>
            <a:off x="9367318" y="1839381"/>
            <a:ext cx="307859" cy="79438"/>
            <a:chOff x="9367318" y="1839381"/>
            <a:chExt cx="307859" cy="79438"/>
          </a:xfrm>
        </xdr:grpSpPr>
        <xdr:cxnSp macro="">
          <xdr:nvCxnSpPr>
            <xdr:cNvPr id="7" name="Suora yhdysviiva 6">
              <a:extLst>
                <a:ext uri="{FF2B5EF4-FFF2-40B4-BE49-F238E27FC236}">
                  <a16:creationId xmlns:a16="http://schemas.microsoft.com/office/drawing/2014/main" id="{49416270-630C-828E-2259-E4C9A707DB26}"/>
                </a:ext>
              </a:extLst>
            </xdr:cNvPr>
            <xdr:cNvCxnSpPr/>
          </xdr:nvCxnSpPr>
          <xdr:spPr>
            <a:xfrm>
              <a:off x="9367318" y="1839381"/>
              <a:ext cx="304800" cy="0"/>
            </a:xfrm>
            <a:prstGeom prst="line">
              <a:avLst/>
            </a:prstGeom>
            <a:ln w="190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Suora yhdysviiva 7">
              <a:extLst>
                <a:ext uri="{FF2B5EF4-FFF2-40B4-BE49-F238E27FC236}">
                  <a16:creationId xmlns:a16="http://schemas.microsoft.com/office/drawing/2014/main" id="{F04A4D2B-1C7A-59ED-152B-F1D8A0358368}"/>
                </a:ext>
              </a:extLst>
            </xdr:cNvPr>
            <xdr:cNvCxnSpPr/>
          </xdr:nvCxnSpPr>
          <xdr:spPr>
            <a:xfrm>
              <a:off x="9370377" y="1918819"/>
              <a:ext cx="304800" cy="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70</xdr:row>
          <xdr:rowOff>0</xdr:rowOff>
        </xdr:from>
        <xdr:to>
          <xdr:col>5</xdr:col>
          <xdr:colOff>698500</xdr:colOff>
          <xdr:row>70</xdr:row>
          <xdr:rowOff>177800</xdr:rowOff>
        </xdr:to>
        <xdr:sp macro="" textlink="">
          <xdr:nvSpPr>
            <xdr:cNvPr id="314369" name="Drop Down 1" hidden="1">
              <a:extLst>
                <a:ext uri="{63B3BB69-23CF-44E3-9099-C40C66FF867C}">
                  <a14:compatExt spid="_x0000_s314369"/>
                </a:ext>
                <a:ext uri="{FF2B5EF4-FFF2-40B4-BE49-F238E27FC236}">
                  <a16:creationId xmlns:a16="http://schemas.microsoft.com/office/drawing/2014/main" id="{00000000-0008-0000-0300-000001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71</xdr:row>
          <xdr:rowOff>38100</xdr:rowOff>
        </xdr:from>
        <xdr:to>
          <xdr:col>5</xdr:col>
          <xdr:colOff>685800</xdr:colOff>
          <xdr:row>71</xdr:row>
          <xdr:rowOff>228600</xdr:rowOff>
        </xdr:to>
        <xdr:sp macro="" textlink="">
          <xdr:nvSpPr>
            <xdr:cNvPr id="314370" name="Drop Down 2" hidden="1">
              <a:extLst>
                <a:ext uri="{63B3BB69-23CF-44E3-9099-C40C66FF867C}">
                  <a14:compatExt spid="_x0000_s314370"/>
                </a:ext>
                <a:ext uri="{FF2B5EF4-FFF2-40B4-BE49-F238E27FC236}">
                  <a16:creationId xmlns:a16="http://schemas.microsoft.com/office/drawing/2014/main" id="{00000000-0008-0000-0300-000002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71</xdr:row>
          <xdr:rowOff>266700</xdr:rowOff>
        </xdr:from>
        <xdr:to>
          <xdr:col>5</xdr:col>
          <xdr:colOff>673100</xdr:colOff>
          <xdr:row>72</xdr:row>
          <xdr:rowOff>177800</xdr:rowOff>
        </xdr:to>
        <xdr:sp macro="" textlink="">
          <xdr:nvSpPr>
            <xdr:cNvPr id="314371" name="Drop Down 3" hidden="1">
              <a:extLst>
                <a:ext uri="{63B3BB69-23CF-44E3-9099-C40C66FF867C}">
                  <a14:compatExt spid="_x0000_s314371"/>
                </a:ext>
                <a:ext uri="{FF2B5EF4-FFF2-40B4-BE49-F238E27FC236}">
                  <a16:creationId xmlns:a16="http://schemas.microsoft.com/office/drawing/2014/main" id="{00000000-0008-0000-0300-000003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72</xdr:row>
          <xdr:rowOff>254000</xdr:rowOff>
        </xdr:from>
        <xdr:to>
          <xdr:col>5</xdr:col>
          <xdr:colOff>673100</xdr:colOff>
          <xdr:row>73</xdr:row>
          <xdr:rowOff>190500</xdr:rowOff>
        </xdr:to>
        <xdr:sp macro="" textlink="">
          <xdr:nvSpPr>
            <xdr:cNvPr id="314372" name="Drop Down 4" hidden="1">
              <a:extLst>
                <a:ext uri="{63B3BB69-23CF-44E3-9099-C40C66FF867C}">
                  <a14:compatExt spid="_x0000_s314372"/>
                </a:ext>
                <a:ext uri="{FF2B5EF4-FFF2-40B4-BE49-F238E27FC236}">
                  <a16:creationId xmlns:a16="http://schemas.microsoft.com/office/drawing/2014/main" id="{00000000-0008-0000-0300-000004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5</xdr:row>
          <xdr:rowOff>215900</xdr:rowOff>
        </xdr:from>
        <xdr:to>
          <xdr:col>9</xdr:col>
          <xdr:colOff>647700</xdr:colOff>
          <xdr:row>7</xdr:row>
          <xdr:rowOff>38100</xdr:rowOff>
        </xdr:to>
        <xdr:sp macro="" textlink="">
          <xdr:nvSpPr>
            <xdr:cNvPr id="314373" name="Check Box 5" descr="Sound insulated casing: dB-package" hidden="1">
              <a:extLst>
                <a:ext uri="{63B3BB69-23CF-44E3-9099-C40C66FF867C}">
                  <a14:compatExt spid="_x0000_s314373"/>
                </a:ext>
                <a:ext uri="{FF2B5EF4-FFF2-40B4-BE49-F238E27FC236}">
                  <a16:creationId xmlns:a16="http://schemas.microsoft.com/office/drawing/2014/main" id="{00000000-0008-0000-0300-000005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26</xdr:col>
      <xdr:colOff>19050</xdr:colOff>
      <xdr:row>2</xdr:row>
      <xdr:rowOff>304800</xdr:rowOff>
    </xdr:from>
    <xdr:to>
      <xdr:col>28</xdr:col>
      <xdr:colOff>285556</xdr:colOff>
      <xdr:row>7</xdr:row>
      <xdr:rowOff>15689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336CBA8D-7C1B-467D-98F5-B5ABEDFB4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1200" y="638175"/>
          <a:ext cx="1390456" cy="105391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1778000</xdr:colOff>
          <xdr:row>56</xdr:row>
          <xdr:rowOff>0</xdr:rowOff>
        </xdr:from>
        <xdr:to>
          <xdr:col>3</xdr:col>
          <xdr:colOff>38100</xdr:colOff>
          <xdr:row>56</xdr:row>
          <xdr:rowOff>177800</xdr:rowOff>
        </xdr:to>
        <xdr:sp macro="" textlink="">
          <xdr:nvSpPr>
            <xdr:cNvPr id="314374" name="Check Box 6" hidden="1">
              <a:extLst>
                <a:ext uri="{63B3BB69-23CF-44E3-9099-C40C66FF867C}">
                  <a14:compatExt spid="_x0000_s314374"/>
                </a:ext>
                <a:ext uri="{FF2B5EF4-FFF2-40B4-BE49-F238E27FC236}">
                  <a16:creationId xmlns:a16="http://schemas.microsoft.com/office/drawing/2014/main" id="{00000000-0008-0000-0300-000006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490123</xdr:colOff>
      <xdr:row>76</xdr:row>
      <xdr:rowOff>123825</xdr:rowOff>
    </xdr:from>
    <xdr:to>
      <xdr:col>13</xdr:col>
      <xdr:colOff>365026</xdr:colOff>
      <xdr:row>77</xdr:row>
      <xdr:rowOff>131330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5B979B33-A32A-40A0-BA47-B492E9C26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9398" y="15611475"/>
          <a:ext cx="798828" cy="178956"/>
        </a:xfrm>
        <a:prstGeom prst="rect">
          <a:avLst/>
        </a:prstGeom>
      </xdr:spPr>
    </xdr:pic>
    <xdr:clientData/>
  </xdr:twoCellAnchor>
  <xdr:oneCellAnchor>
    <xdr:from>
      <xdr:col>27</xdr:col>
      <xdr:colOff>253364</xdr:colOff>
      <xdr:row>71</xdr:row>
      <xdr:rowOff>261566</xdr:rowOff>
    </xdr:from>
    <xdr:ext cx="937025" cy="219074"/>
    <xdr:pic>
      <xdr:nvPicPr>
        <xdr:cNvPr id="11" name="Kuva 10">
          <a:extLst>
            <a:ext uri="{FF2B5EF4-FFF2-40B4-BE49-F238E27FC236}">
              <a16:creationId xmlns:a16="http://schemas.microsoft.com/office/drawing/2014/main" id="{B345782F-B171-451C-821C-2C91B7052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7489" y="14558591"/>
          <a:ext cx="937025" cy="21907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596900</xdr:colOff>
          <xdr:row>6</xdr:row>
          <xdr:rowOff>215900</xdr:rowOff>
        </xdr:from>
        <xdr:to>
          <xdr:col>7</xdr:col>
          <xdr:colOff>101600</xdr:colOff>
          <xdr:row>8</xdr:row>
          <xdr:rowOff>63500</xdr:rowOff>
        </xdr:to>
        <xdr:sp macro="" textlink="">
          <xdr:nvSpPr>
            <xdr:cNvPr id="314375" name="Check Box 7" descr="Sound insulated casing: dB-package" hidden="1">
              <a:extLst>
                <a:ext uri="{63B3BB69-23CF-44E3-9099-C40C66FF867C}">
                  <a14:compatExt spid="_x0000_s314375"/>
                </a:ext>
                <a:ext uri="{FF2B5EF4-FFF2-40B4-BE49-F238E27FC236}">
                  <a16:creationId xmlns:a16="http://schemas.microsoft.com/office/drawing/2014/main" id="{00000000-0008-0000-0300-000007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711200</xdr:colOff>
          <xdr:row>1</xdr:row>
          <xdr:rowOff>127000</xdr:rowOff>
        </xdr:from>
        <xdr:to>
          <xdr:col>10</xdr:col>
          <xdr:colOff>711200</xdr:colOff>
          <xdr:row>2</xdr:row>
          <xdr:rowOff>139700</xdr:rowOff>
        </xdr:to>
        <xdr:sp macro="" textlink="">
          <xdr:nvSpPr>
            <xdr:cNvPr id="314376" name="Option Button 8" descr="Suomi" hidden="1">
              <a:extLst>
                <a:ext uri="{63B3BB69-23CF-44E3-9099-C40C66FF867C}">
                  <a14:compatExt spid="_x0000_s314376"/>
                </a:ext>
                <a:ext uri="{FF2B5EF4-FFF2-40B4-BE49-F238E27FC236}">
                  <a16:creationId xmlns:a16="http://schemas.microsoft.com/office/drawing/2014/main" id="{00000000-0008-0000-0300-000008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482600</xdr:colOff>
          <xdr:row>1</xdr:row>
          <xdr:rowOff>114300</xdr:rowOff>
        </xdr:from>
        <xdr:to>
          <xdr:col>11</xdr:col>
          <xdr:colOff>457200</xdr:colOff>
          <xdr:row>2</xdr:row>
          <xdr:rowOff>139700</xdr:rowOff>
        </xdr:to>
        <xdr:sp macro="" textlink="">
          <xdr:nvSpPr>
            <xdr:cNvPr id="314377" name="Option Button 9" hidden="1">
              <a:extLst>
                <a:ext uri="{63B3BB69-23CF-44E3-9099-C40C66FF867C}">
                  <a14:compatExt spid="_x0000_s314377"/>
                </a:ext>
                <a:ext uri="{FF2B5EF4-FFF2-40B4-BE49-F238E27FC236}">
                  <a16:creationId xmlns:a16="http://schemas.microsoft.com/office/drawing/2014/main" id="{00000000-0008-0000-0300-000009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1</xdr:row>
          <xdr:rowOff>114300</xdr:rowOff>
        </xdr:from>
        <xdr:to>
          <xdr:col>12</xdr:col>
          <xdr:colOff>330200</xdr:colOff>
          <xdr:row>2</xdr:row>
          <xdr:rowOff>139700</xdr:rowOff>
        </xdr:to>
        <xdr:sp macro="" textlink="">
          <xdr:nvSpPr>
            <xdr:cNvPr id="314378" name="Option Button 10" hidden="1">
              <a:extLst>
                <a:ext uri="{63B3BB69-23CF-44E3-9099-C40C66FF867C}">
                  <a14:compatExt spid="_x0000_s314378"/>
                </a:ext>
                <a:ext uri="{FF2B5EF4-FFF2-40B4-BE49-F238E27FC236}">
                  <a16:creationId xmlns:a16="http://schemas.microsoft.com/office/drawing/2014/main" id="{00000000-0008-0000-0300-00000A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SVE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266700</xdr:colOff>
          <xdr:row>1</xdr:row>
          <xdr:rowOff>114300</xdr:rowOff>
        </xdr:from>
        <xdr:to>
          <xdr:col>13</xdr:col>
          <xdr:colOff>254000</xdr:colOff>
          <xdr:row>2</xdr:row>
          <xdr:rowOff>114300</xdr:rowOff>
        </xdr:to>
        <xdr:sp macro="" textlink="">
          <xdr:nvSpPr>
            <xdr:cNvPr id="314379" name="Option Button 11" hidden="1">
              <a:extLst>
                <a:ext uri="{63B3BB69-23CF-44E3-9099-C40C66FF867C}">
                  <a14:compatExt spid="_x0000_s314379"/>
                </a:ext>
                <a:ext uri="{FF2B5EF4-FFF2-40B4-BE49-F238E27FC236}">
                  <a16:creationId xmlns:a16="http://schemas.microsoft.com/office/drawing/2014/main" id="{00000000-0008-0000-0300-00000B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GER</a:t>
              </a:r>
            </a:p>
          </xdr:txBody>
        </xdr:sp>
        <xdr:clientData/>
      </xdr:twoCellAnchor>
    </mc:Choice>
    <mc:Fallback/>
  </mc:AlternateContent>
  <xdr:twoCellAnchor editAs="oneCell">
    <xdr:from>
      <xdr:col>9</xdr:col>
      <xdr:colOff>922119</xdr:colOff>
      <xdr:row>1</xdr:row>
      <xdr:rowOff>123370</xdr:rowOff>
    </xdr:from>
    <xdr:to>
      <xdr:col>10</xdr:col>
      <xdr:colOff>282834</xdr:colOff>
      <xdr:row>2</xdr:row>
      <xdr:rowOff>113372</xdr:rowOff>
    </xdr:to>
    <xdr:pic>
      <xdr:nvPicPr>
        <xdr:cNvPr id="12" name="Kuva 11" descr="Finland flag icon - Country flags">
          <a:extLst>
            <a:ext uri="{FF2B5EF4-FFF2-40B4-BE49-F238E27FC236}">
              <a16:creationId xmlns:a16="http://schemas.microsoft.com/office/drawing/2014/main" id="{AE6A9E23-45D9-4E02-AB8A-A6D22727E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9144" y="294820"/>
          <a:ext cx="284640" cy="174338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563575</xdr:colOff>
      <xdr:row>1</xdr:row>
      <xdr:rowOff>123597</xdr:rowOff>
    </xdr:from>
    <xdr:to>
      <xdr:col>12</xdr:col>
      <xdr:colOff>20921</xdr:colOff>
      <xdr:row>2</xdr:row>
      <xdr:rowOff>113661</xdr:rowOff>
    </xdr:to>
    <xdr:pic>
      <xdr:nvPicPr>
        <xdr:cNvPr id="13" name="Kuva 12" descr="Country, flag, sweden icon - Download on Iconfinder">
          <a:extLst>
            <a:ext uri="{FF2B5EF4-FFF2-40B4-BE49-F238E27FC236}">
              <a16:creationId xmlns:a16="http://schemas.microsoft.com/office/drawing/2014/main" id="{BFC2E5F3-53D2-4E72-9FF4-63D95ABE0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4088" r="-1" b="24985"/>
        <a:stretch/>
      </xdr:blipFill>
      <xdr:spPr bwMode="auto">
        <a:xfrm>
          <a:off x="9078925" y="295047"/>
          <a:ext cx="381271" cy="174400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687208</xdr:colOff>
      <xdr:row>1</xdr:row>
      <xdr:rowOff>134197</xdr:rowOff>
    </xdr:from>
    <xdr:to>
      <xdr:col>11</xdr:col>
      <xdr:colOff>56586</xdr:colOff>
      <xdr:row>2</xdr:row>
      <xdr:rowOff>109953</xdr:rowOff>
    </xdr:to>
    <xdr:pic>
      <xdr:nvPicPr>
        <xdr:cNvPr id="14" name="Kuva 13" descr="Free Vector | Illustration of uk flag">
          <a:extLst>
            <a:ext uri="{FF2B5EF4-FFF2-40B4-BE49-F238E27FC236}">
              <a16:creationId xmlns:a16="http://schemas.microsoft.com/office/drawing/2014/main" id="{4283CF9B-2A4E-450A-9043-FD4B091A2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8288158" y="305647"/>
          <a:ext cx="283778" cy="160092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472767</xdr:colOff>
      <xdr:row>1</xdr:row>
      <xdr:rowOff>126307</xdr:rowOff>
    </xdr:from>
    <xdr:to>
      <xdr:col>12</xdr:col>
      <xdr:colOff>800988</xdr:colOff>
      <xdr:row>2</xdr:row>
      <xdr:rowOff>126556</xdr:rowOff>
    </xdr:to>
    <xdr:pic>
      <xdr:nvPicPr>
        <xdr:cNvPr id="15" name="Kuva 14" descr="DE, Germany, Flag Icon in Public Domain World Flags">
          <a:extLst>
            <a:ext uri="{FF2B5EF4-FFF2-40B4-BE49-F238E27FC236}">
              <a16:creationId xmlns:a16="http://schemas.microsoft.com/office/drawing/2014/main" id="{FAECBC74-D288-454E-A542-255274929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2042" y="297757"/>
          <a:ext cx="328221" cy="184585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431865</xdr:colOff>
      <xdr:row>12</xdr:row>
      <xdr:rowOff>168648</xdr:rowOff>
    </xdr:from>
    <xdr:ext cx="1893892" cy="265265"/>
    <xdr:sp macro="" textlink="Kirjasto_ENT!M17">
      <xdr:nvSpPr>
        <xdr:cNvPr id="16" name="Tekstiruutu 15">
          <a:extLst>
            <a:ext uri="{FF2B5EF4-FFF2-40B4-BE49-F238E27FC236}">
              <a16:creationId xmlns:a16="http://schemas.microsoft.com/office/drawing/2014/main" id="{A72EDE8B-7C7C-4968-B3A9-0535EDBE18A4}"/>
            </a:ext>
          </a:extLst>
        </xdr:cNvPr>
        <xdr:cNvSpPr txBox="1"/>
      </xdr:nvSpPr>
      <xdr:spPr>
        <a:xfrm>
          <a:off x="8947215" y="3130923"/>
          <a:ext cx="1893892" cy="265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39C6C333-DB60-4A6F-AD6E-C55E1F9427D2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ea typeface="Calibri"/>
              <a:cs typeface="Calibri"/>
            </a:rPr>
            <a:pPr/>
            <a:t>Supply air</a:t>
          </a:fld>
          <a:endParaRPr lang="fi-FI" sz="105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11</xdr:col>
      <xdr:colOff>412376</xdr:colOff>
      <xdr:row>13</xdr:row>
      <xdr:rowOff>153206</xdr:rowOff>
    </xdr:from>
    <xdr:ext cx="1847120" cy="257443"/>
    <xdr:sp macro="" textlink="Kirjasto_ENT!M18">
      <xdr:nvSpPr>
        <xdr:cNvPr id="17" name="Tekstiruutu 16">
          <a:extLst>
            <a:ext uri="{FF2B5EF4-FFF2-40B4-BE49-F238E27FC236}">
              <a16:creationId xmlns:a16="http://schemas.microsoft.com/office/drawing/2014/main" id="{42C32D7A-C49B-4648-B943-9993B73DFD2F}"/>
            </a:ext>
          </a:extLst>
        </xdr:cNvPr>
        <xdr:cNvSpPr txBox="1"/>
      </xdr:nvSpPr>
      <xdr:spPr>
        <a:xfrm>
          <a:off x="8927726" y="3315506"/>
          <a:ext cx="1847120" cy="257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A99AF5DD-DEC1-426C-AC1E-14003926A2AC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ea typeface="Calibri"/>
              <a:cs typeface="Calibri"/>
            </a:rPr>
            <a:pPr/>
            <a:t>Extract air</a:t>
          </a:fld>
          <a:endParaRPr lang="fi-FI" sz="105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5</xdr:col>
      <xdr:colOff>146798</xdr:colOff>
      <xdr:row>6</xdr:row>
      <xdr:rowOff>11207</xdr:rowOff>
    </xdr:from>
    <xdr:ext cx="3825127" cy="233205"/>
    <xdr:sp macro="" textlink="Kirjasto_ENT!M20">
      <xdr:nvSpPr>
        <xdr:cNvPr id="18" name="Tekstiruutu 17">
          <a:extLst>
            <a:ext uri="{FF2B5EF4-FFF2-40B4-BE49-F238E27FC236}">
              <a16:creationId xmlns:a16="http://schemas.microsoft.com/office/drawing/2014/main" id="{CBCB8561-857E-47B5-8C6D-8B1D5275C70A}"/>
            </a:ext>
          </a:extLst>
        </xdr:cNvPr>
        <xdr:cNvSpPr txBox="1"/>
      </xdr:nvSpPr>
      <xdr:spPr>
        <a:xfrm>
          <a:off x="4433048" y="1449482"/>
          <a:ext cx="3825127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E47F7F7D-3CF8-4DF3-ABCB-46EC52F64BE1}" type="TxLink">
            <a:rPr lang="en-US" sz="900" b="0" i="0" u="none" strike="noStrike">
              <a:solidFill>
                <a:srgbClr val="000000"/>
              </a:solidFill>
              <a:latin typeface="+mn-lt"/>
              <a:ea typeface="Calibri"/>
              <a:cs typeface="Calibri"/>
            </a:rPr>
            <a:pPr/>
            <a:t>Sound insulated casing: "dB-paketti" (NB! Requires a cabinet)</a:t>
          </a:fld>
          <a:endParaRPr lang="fi-FI" sz="900">
            <a:latin typeface="+mn-lt"/>
          </a:endParaRPr>
        </a:p>
      </xdr:txBody>
    </xdr:sp>
    <xdr:clientData/>
  </xdr:oneCellAnchor>
  <xdr:oneCellAnchor>
    <xdr:from>
      <xdr:col>5</xdr:col>
      <xdr:colOff>167527</xdr:colOff>
      <xdr:row>7</xdr:row>
      <xdr:rowOff>3362</xdr:rowOff>
    </xdr:from>
    <xdr:ext cx="1966073" cy="233205"/>
    <xdr:sp macro="" textlink="Kirjasto_ENT!M21">
      <xdr:nvSpPr>
        <xdr:cNvPr id="19" name="Tekstiruutu 18">
          <a:extLst>
            <a:ext uri="{FF2B5EF4-FFF2-40B4-BE49-F238E27FC236}">
              <a16:creationId xmlns:a16="http://schemas.microsoft.com/office/drawing/2014/main" id="{A3BA6024-E701-45D2-84D5-A162B3F1DC73}"/>
            </a:ext>
          </a:extLst>
        </xdr:cNvPr>
        <xdr:cNvSpPr txBox="1"/>
      </xdr:nvSpPr>
      <xdr:spPr>
        <a:xfrm>
          <a:off x="4453777" y="1679762"/>
          <a:ext cx="196607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6B30ECE5-850A-480A-87A0-1037317DD5EE}" type="TxLink">
            <a:rPr lang="en-US" sz="900" b="0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pPr/>
            <a:t>Post heating water</a:t>
          </a:fld>
          <a:endParaRPr lang="fi-FI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25400</xdr:colOff>
          <xdr:row>23</xdr:row>
          <xdr:rowOff>190500</xdr:rowOff>
        </xdr:from>
        <xdr:to>
          <xdr:col>20</xdr:col>
          <xdr:colOff>12700</xdr:colOff>
          <xdr:row>24</xdr:row>
          <xdr:rowOff>139700</xdr:rowOff>
        </xdr:to>
        <xdr:sp macro="" textlink="">
          <xdr:nvSpPr>
            <xdr:cNvPr id="314380" name="Drop Down 12" hidden="1">
              <a:extLst>
                <a:ext uri="{63B3BB69-23CF-44E3-9099-C40C66FF867C}">
                  <a14:compatExt spid="_x0000_s314380"/>
                </a:ext>
                <a:ext uri="{FF2B5EF4-FFF2-40B4-BE49-F238E27FC236}">
                  <a16:creationId xmlns:a16="http://schemas.microsoft.com/office/drawing/2014/main" id="{00000000-0008-0000-0300-00000C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25400</xdr:colOff>
          <xdr:row>27</xdr:row>
          <xdr:rowOff>25400</xdr:rowOff>
        </xdr:from>
        <xdr:to>
          <xdr:col>20</xdr:col>
          <xdr:colOff>0</xdr:colOff>
          <xdr:row>27</xdr:row>
          <xdr:rowOff>177800</xdr:rowOff>
        </xdr:to>
        <xdr:sp macro="" textlink="">
          <xdr:nvSpPr>
            <xdr:cNvPr id="314381" name="Drop Down 13" hidden="1">
              <a:extLst>
                <a:ext uri="{63B3BB69-23CF-44E3-9099-C40C66FF867C}">
                  <a14:compatExt spid="_x0000_s314381"/>
                </a:ext>
                <a:ext uri="{FF2B5EF4-FFF2-40B4-BE49-F238E27FC236}">
                  <a16:creationId xmlns:a16="http://schemas.microsoft.com/office/drawing/2014/main" id="{00000000-0008-0000-0300-00000D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711200</xdr:colOff>
          <xdr:row>2</xdr:row>
          <xdr:rowOff>266700</xdr:rowOff>
        </xdr:from>
        <xdr:to>
          <xdr:col>10</xdr:col>
          <xdr:colOff>711200</xdr:colOff>
          <xdr:row>3</xdr:row>
          <xdr:rowOff>76200</xdr:rowOff>
        </xdr:to>
        <xdr:sp macro="" textlink="">
          <xdr:nvSpPr>
            <xdr:cNvPr id="314382" name="Option Button 14" descr="EST" hidden="1">
              <a:extLst>
                <a:ext uri="{63B3BB69-23CF-44E3-9099-C40C66FF867C}">
                  <a14:compatExt spid="_x0000_s314382"/>
                </a:ext>
                <a:ext uri="{FF2B5EF4-FFF2-40B4-BE49-F238E27FC236}">
                  <a16:creationId xmlns:a16="http://schemas.microsoft.com/office/drawing/2014/main" id="{00000000-0008-0000-0300-00000E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POL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482600</xdr:colOff>
          <xdr:row>2</xdr:row>
          <xdr:rowOff>254000</xdr:rowOff>
        </xdr:from>
        <xdr:to>
          <xdr:col>11</xdr:col>
          <xdr:colOff>444500</xdr:colOff>
          <xdr:row>3</xdr:row>
          <xdr:rowOff>63500</xdr:rowOff>
        </xdr:to>
        <xdr:sp macro="" textlink="">
          <xdr:nvSpPr>
            <xdr:cNvPr id="314383" name="Option Button 15" descr="EST" hidden="1">
              <a:extLst>
                <a:ext uri="{63B3BB69-23CF-44E3-9099-C40C66FF867C}">
                  <a14:compatExt spid="_x0000_s314383"/>
                </a:ext>
                <a:ext uri="{FF2B5EF4-FFF2-40B4-BE49-F238E27FC236}">
                  <a16:creationId xmlns:a16="http://schemas.microsoft.com/office/drawing/2014/main" id="{00000000-0008-0000-0300-00000F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2</xdr:row>
          <xdr:rowOff>254000</xdr:rowOff>
        </xdr:from>
        <xdr:to>
          <xdr:col>12</xdr:col>
          <xdr:colOff>330200</xdr:colOff>
          <xdr:row>3</xdr:row>
          <xdr:rowOff>63500</xdr:rowOff>
        </xdr:to>
        <xdr:sp macro="" textlink="">
          <xdr:nvSpPr>
            <xdr:cNvPr id="314384" name="Option Button 16" descr="EST" hidden="1">
              <a:extLst>
                <a:ext uri="{63B3BB69-23CF-44E3-9099-C40C66FF867C}">
                  <a14:compatExt spid="_x0000_s314384"/>
                </a:ext>
                <a:ext uri="{FF2B5EF4-FFF2-40B4-BE49-F238E27FC236}">
                  <a16:creationId xmlns:a16="http://schemas.microsoft.com/office/drawing/2014/main" id="{00000000-0008-0000-0300-000010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279400</xdr:colOff>
          <xdr:row>2</xdr:row>
          <xdr:rowOff>254000</xdr:rowOff>
        </xdr:from>
        <xdr:to>
          <xdr:col>13</xdr:col>
          <xdr:colOff>228600</xdr:colOff>
          <xdr:row>3</xdr:row>
          <xdr:rowOff>63500</xdr:rowOff>
        </xdr:to>
        <xdr:sp macro="" textlink="">
          <xdr:nvSpPr>
            <xdr:cNvPr id="314385" name="Option Button 17" descr="EST" hidden="1">
              <a:extLst>
                <a:ext uri="{63B3BB69-23CF-44E3-9099-C40C66FF867C}">
                  <a14:compatExt spid="_x0000_s314385"/>
                </a:ext>
                <a:ext uri="{FF2B5EF4-FFF2-40B4-BE49-F238E27FC236}">
                  <a16:creationId xmlns:a16="http://schemas.microsoft.com/office/drawing/2014/main" id="{00000000-0008-0000-0300-000011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LTU</a:t>
              </a:r>
            </a:p>
          </xdr:txBody>
        </xdr:sp>
        <xdr:clientData/>
      </xdr:twoCellAnchor>
    </mc:Choice>
    <mc:Fallback/>
  </mc:AlternateContent>
  <xdr:twoCellAnchor editAs="oneCell">
    <xdr:from>
      <xdr:col>11</xdr:col>
      <xdr:colOff>572861</xdr:colOff>
      <xdr:row>2</xdr:row>
      <xdr:rowOff>263687</xdr:rowOff>
    </xdr:from>
    <xdr:to>
      <xdr:col>11</xdr:col>
      <xdr:colOff>894070</xdr:colOff>
      <xdr:row>3</xdr:row>
      <xdr:rowOff>60580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6D7C6DC6-3826-48C4-98DE-F1BCB5F22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088211" y="597062"/>
          <a:ext cx="321209" cy="19694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12</xdr:col>
      <xdr:colOff>473529</xdr:colOff>
      <xdr:row>2</xdr:row>
      <xdr:rowOff>269938</xdr:rowOff>
    </xdr:from>
    <xdr:to>
      <xdr:col>12</xdr:col>
      <xdr:colOff>800250</xdr:colOff>
      <xdr:row>3</xdr:row>
      <xdr:rowOff>60580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A8334483-E41D-437D-8BA6-0A83ECCF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912804" y="603313"/>
          <a:ext cx="326721" cy="19069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680358</xdr:colOff>
      <xdr:row>2</xdr:row>
      <xdr:rowOff>271112</xdr:rowOff>
    </xdr:from>
    <xdr:to>
      <xdr:col>11</xdr:col>
      <xdr:colOff>74218</xdr:colOff>
      <xdr:row>3</xdr:row>
      <xdr:rowOff>60580</xdr:rowOff>
    </xdr:to>
    <xdr:pic>
      <xdr:nvPicPr>
        <xdr:cNvPr id="22" name="Kuva 21">
          <a:extLst>
            <a:ext uri="{FF2B5EF4-FFF2-40B4-BE49-F238E27FC236}">
              <a16:creationId xmlns:a16="http://schemas.microsoft.com/office/drawing/2014/main" id="{4EB60142-02C8-4B6A-9BF0-0CB47989A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81308" y="604487"/>
          <a:ext cx="308260" cy="189519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9</xdr:col>
      <xdr:colOff>917666</xdr:colOff>
      <xdr:row>2</xdr:row>
      <xdr:rowOff>271490</xdr:rowOff>
    </xdr:from>
    <xdr:to>
      <xdr:col>10</xdr:col>
      <xdr:colOff>288924</xdr:colOff>
      <xdr:row>3</xdr:row>
      <xdr:rowOff>60580</xdr:rowOff>
    </xdr:to>
    <xdr:pic>
      <xdr:nvPicPr>
        <xdr:cNvPr id="23" name="Kuva 22">
          <a:extLst>
            <a:ext uri="{FF2B5EF4-FFF2-40B4-BE49-F238E27FC236}">
              <a16:creationId xmlns:a16="http://schemas.microsoft.com/office/drawing/2014/main" id="{44A7EA26-DAC9-459A-B187-316BB8DB5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04216" y="604865"/>
          <a:ext cx="285658" cy="189141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9</xdr:col>
      <xdr:colOff>637983</xdr:colOff>
      <xdr:row>1</xdr:row>
      <xdr:rowOff>109930</xdr:rowOff>
    </xdr:from>
    <xdr:to>
      <xdr:col>10</xdr:col>
      <xdr:colOff>457456</xdr:colOff>
      <xdr:row>2</xdr:row>
      <xdr:rowOff>207586</xdr:rowOff>
    </xdr:to>
    <xdr:pic>
      <xdr:nvPicPr>
        <xdr:cNvPr id="24" name="Kuva 23">
          <a:extLst>
            <a:ext uri="{FF2B5EF4-FFF2-40B4-BE49-F238E27FC236}">
              <a16:creationId xmlns:a16="http://schemas.microsoft.com/office/drawing/2014/main" id="{F964AD20-01C9-4EC6-8D20-E7516F976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324533" y="281380"/>
          <a:ext cx="733873" cy="28199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965200</xdr:colOff>
          <xdr:row>6</xdr:row>
          <xdr:rowOff>50800</xdr:rowOff>
        </xdr:from>
        <xdr:to>
          <xdr:col>3</xdr:col>
          <xdr:colOff>215900</xdr:colOff>
          <xdr:row>7</xdr:row>
          <xdr:rowOff>0</xdr:rowOff>
        </xdr:to>
        <xdr:sp macro="" textlink="">
          <xdr:nvSpPr>
            <xdr:cNvPr id="314386" name="Drop Down 18" hidden="1">
              <a:extLst>
                <a:ext uri="{63B3BB69-23CF-44E3-9099-C40C66FF867C}">
                  <a14:compatExt spid="_x0000_s314386"/>
                </a:ext>
                <a:ext uri="{FF2B5EF4-FFF2-40B4-BE49-F238E27FC236}">
                  <a16:creationId xmlns:a16="http://schemas.microsoft.com/office/drawing/2014/main" id="{00000000-0008-0000-0300-000012C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14</xdr:row>
      <xdr:rowOff>146685</xdr:rowOff>
    </xdr:from>
    <xdr:to>
      <xdr:col>32</xdr:col>
      <xdr:colOff>226695</xdr:colOff>
      <xdr:row>31</xdr:row>
      <xdr:rowOff>154305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B933ECF7-45CC-4D0E-8EFF-EACE4C459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78105</xdr:colOff>
      <xdr:row>18</xdr:row>
      <xdr:rowOff>158115</xdr:rowOff>
    </xdr:from>
    <xdr:to>
      <xdr:col>41</xdr:col>
      <xdr:colOff>382905</xdr:colOff>
      <xdr:row>36</xdr:row>
      <xdr:rowOff>20955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C7701344-F764-4463-A409-DB0AE86BC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192B88A2-DA2D-4A37-BA09-F33CF91E5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F5ED1CB5-ED8B-4C49-871A-DE1408777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CDDB3031-14D7-479F-BC24-A7FB2A665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D3963FCD-78BB-4BD3-BF41-4D3E4C3FE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B1C1EA12-B3E3-4F9B-B382-0E760D5B9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69A2EC5-5DD5-4AD3-8097-561480677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617EA94B-5D47-45C9-9026-2BF54139C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103655</xdr:rowOff>
    </xdr:from>
    <xdr:to>
      <xdr:col>33</xdr:col>
      <xdr:colOff>238125</xdr:colOff>
      <xdr:row>28</xdr:row>
      <xdr:rowOff>65555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5273006-E832-43EC-9342-9AC792F13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4FD4EF13-0F70-4D46-8E10-E1681915E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AEBB28F6-EBDE-465D-96DD-EB0BDE070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B6B1BFD3-F8D9-4018-BCAF-8CC2F498B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7AFFB803-5EC6-4C1D-B90C-C131B8C7A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12</xdr:row>
      <xdr:rowOff>76200</xdr:rowOff>
    </xdr:from>
    <xdr:to>
      <xdr:col>33</xdr:col>
      <xdr:colOff>266700</xdr:colOff>
      <xdr:row>29</xdr:row>
      <xdr:rowOff>104775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CD335081-DC28-4BD6-9B48-217C787A0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F613417-7A23-470E-ABC9-1C9BEFD20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E95FF702-0F84-442A-B91B-BBEB0C3C1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76200</xdr:colOff>
      <xdr:row>65</xdr:row>
      <xdr:rowOff>57150</xdr:rowOff>
    </xdr:from>
    <xdr:to>
      <xdr:col>33</xdr:col>
      <xdr:colOff>381000</xdr:colOff>
      <xdr:row>81</xdr:row>
      <xdr:rowOff>57150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328F35CA-88F4-40AC-892E-C945FDF0A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459684</xdr:colOff>
      <xdr:row>9</xdr:row>
      <xdr:rowOff>15736</xdr:rowOff>
    </xdr:from>
    <xdr:to>
      <xdr:col>62</xdr:col>
      <xdr:colOff>128380</xdr:colOff>
      <xdr:row>27</xdr:row>
      <xdr:rowOff>140804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AF5C1E52-2CFC-4970-82C4-0D2042580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54</xdr:col>
      <xdr:colOff>64433</xdr:colOff>
      <xdr:row>43</xdr:row>
      <xdr:rowOff>29694</xdr:rowOff>
    </xdr:from>
    <xdr:to>
      <xdr:col>70</xdr:col>
      <xdr:colOff>537882</xdr:colOff>
      <xdr:row>72</xdr:row>
      <xdr:rowOff>112058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337209AA-AB8E-4EA6-8F67-48017D2E9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C876DF2E-F78A-483D-B4F6-1CCB8F9AB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1863C100-D838-45EC-B38E-B2E015B2B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12</xdr:row>
      <xdr:rowOff>76200</xdr:rowOff>
    </xdr:from>
    <xdr:to>
      <xdr:col>33</xdr:col>
      <xdr:colOff>266700</xdr:colOff>
      <xdr:row>29</xdr:row>
      <xdr:rowOff>104775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C1545718-721E-4701-8CFC-57E243C61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B0F6637A-12D0-4C11-89B3-CAE6710E5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DECDDB4F-19CC-49E8-9071-68C02CA1C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54</xdr:col>
      <xdr:colOff>459684</xdr:colOff>
      <xdr:row>9</xdr:row>
      <xdr:rowOff>15736</xdr:rowOff>
    </xdr:from>
    <xdr:to>
      <xdr:col>62</xdr:col>
      <xdr:colOff>128380</xdr:colOff>
      <xdr:row>27</xdr:row>
      <xdr:rowOff>140804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66F5B0C9-CF38-418D-BBEF-F3D660B0A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64433</xdr:colOff>
      <xdr:row>43</xdr:row>
      <xdr:rowOff>29694</xdr:rowOff>
    </xdr:from>
    <xdr:to>
      <xdr:col>70</xdr:col>
      <xdr:colOff>537882</xdr:colOff>
      <xdr:row>72</xdr:row>
      <xdr:rowOff>112058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EFE0D577-1E06-4CE2-9C7C-DF346B7E9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24</xdr:row>
          <xdr:rowOff>0</xdr:rowOff>
        </xdr:from>
        <xdr:to>
          <xdr:col>1</xdr:col>
          <xdr:colOff>1041400</xdr:colOff>
          <xdr:row>24</xdr:row>
          <xdr:rowOff>165100</xdr:rowOff>
        </xdr:to>
        <xdr:sp macro="" textlink="">
          <xdr:nvSpPr>
            <xdr:cNvPr id="343041" name="Drop Down 1" hidden="1">
              <a:extLst>
                <a:ext uri="{63B3BB69-23CF-44E3-9099-C40C66FF867C}">
                  <a14:compatExt spid="_x0000_s343041"/>
                </a:ext>
                <a:ext uri="{FF2B5EF4-FFF2-40B4-BE49-F238E27FC236}">
                  <a16:creationId xmlns:a16="http://schemas.microsoft.com/office/drawing/2014/main" id="{00000000-0008-0000-3300-0000013C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434340</xdr:colOff>
      <xdr:row>84</xdr:row>
      <xdr:rowOff>156210</xdr:rowOff>
    </xdr:from>
    <xdr:to>
      <xdr:col>17</xdr:col>
      <xdr:colOff>502920</xdr:colOff>
      <xdr:row>122</xdr:row>
      <xdr:rowOff>83820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2F4A3FB4-CD04-484A-A010-4292D129E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97</xdr:row>
      <xdr:rowOff>19050</xdr:rowOff>
    </xdr:from>
    <xdr:to>
      <xdr:col>15</xdr:col>
      <xdr:colOff>419100</xdr:colOff>
      <xdr:row>113</xdr:row>
      <xdr:rowOff>19050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DCA7CCE0-F982-49B9-86D1-9643D6058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190500</xdr:colOff>
      <xdr:row>122</xdr:row>
      <xdr:rowOff>38100</xdr:rowOff>
    </xdr:from>
    <xdr:to>
      <xdr:col>15</xdr:col>
      <xdr:colOff>552450</xdr:colOff>
      <xdr:row>138</xdr:row>
      <xdr:rowOff>38100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1AD40B13-A13E-4FC2-AC99-1C1E0E000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28574</xdr:colOff>
      <xdr:row>109</xdr:row>
      <xdr:rowOff>19050</xdr:rowOff>
    </xdr:from>
    <xdr:to>
      <xdr:col>27</xdr:col>
      <xdr:colOff>342899</xdr:colOff>
      <xdr:row>125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3B3D6B1F-98C1-4C0E-BF8E-4EE52E575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352984</xdr:colOff>
      <xdr:row>20</xdr:row>
      <xdr:rowOff>135590</xdr:rowOff>
    </xdr:from>
    <xdr:to>
      <xdr:col>15</xdr:col>
      <xdr:colOff>5602</xdr:colOff>
      <xdr:row>33</xdr:row>
      <xdr:rowOff>43702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A8A17E0-5D04-459E-9333-B83562DB4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369794</xdr:colOff>
      <xdr:row>33</xdr:row>
      <xdr:rowOff>123264</xdr:rowOff>
    </xdr:from>
    <xdr:to>
      <xdr:col>14</xdr:col>
      <xdr:colOff>605116</xdr:colOff>
      <xdr:row>45</xdr:row>
      <xdr:rowOff>154640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21287E7D-7BE5-4AF2-ACE9-3E3AA92F8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37</xdr:col>
      <xdr:colOff>33617</xdr:colOff>
      <xdr:row>68</xdr:row>
      <xdr:rowOff>67235</xdr:rowOff>
    </xdr:from>
    <xdr:to>
      <xdr:col>44</xdr:col>
      <xdr:colOff>31998</xdr:colOff>
      <xdr:row>83</xdr:row>
      <xdr:rowOff>82241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D5E9E95D-B082-426A-BCB9-58C435CE9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151917" y="14659535"/>
          <a:ext cx="4484656" cy="3129681"/>
        </a:xfrm>
        <a:prstGeom prst="rect">
          <a:avLst/>
        </a:prstGeom>
      </xdr:spPr>
    </xdr:pic>
    <xdr:clientData/>
  </xdr:twoCellAnchor>
  <xdr:twoCellAnchor>
    <xdr:from>
      <xdr:col>37</xdr:col>
      <xdr:colOff>554690</xdr:colOff>
      <xdr:row>32</xdr:row>
      <xdr:rowOff>112058</xdr:rowOff>
    </xdr:from>
    <xdr:to>
      <xdr:col>44</xdr:col>
      <xdr:colOff>224118</xdr:colOff>
      <xdr:row>41</xdr:row>
      <xdr:rowOff>155759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FD17F0EA-2D21-4391-A2C4-ACA9850CD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37</xdr:col>
      <xdr:colOff>504265</xdr:colOff>
      <xdr:row>5</xdr:row>
      <xdr:rowOff>33618</xdr:rowOff>
    </xdr:from>
    <xdr:to>
      <xdr:col>44</xdr:col>
      <xdr:colOff>173693</xdr:colOff>
      <xdr:row>16</xdr:row>
      <xdr:rowOff>10083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17D8CB8C-1D10-4314-A828-0947F505B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37</xdr:col>
      <xdr:colOff>123264</xdr:colOff>
      <xdr:row>66</xdr:row>
      <xdr:rowOff>112059</xdr:rowOff>
    </xdr:from>
    <xdr:to>
      <xdr:col>43</xdr:col>
      <xdr:colOff>397810</xdr:colOff>
      <xdr:row>75</xdr:row>
      <xdr:rowOff>189377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51898C0D-54F9-41AA-97A8-854EBDD8B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37</xdr:col>
      <xdr:colOff>717176</xdr:colOff>
      <xdr:row>44</xdr:row>
      <xdr:rowOff>44824</xdr:rowOff>
    </xdr:from>
    <xdr:to>
      <xdr:col>44</xdr:col>
      <xdr:colOff>386604</xdr:colOff>
      <xdr:row>53</xdr:row>
      <xdr:rowOff>88524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58D7453-A495-4027-B1E0-731B8CABC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0</xdr:colOff>
      <xdr:row>57</xdr:row>
      <xdr:rowOff>0</xdr:rowOff>
    </xdr:from>
    <xdr:to>
      <xdr:col>44</xdr:col>
      <xdr:colOff>476251</xdr:colOff>
      <xdr:row>65</xdr:row>
      <xdr:rowOff>21289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C21E541B-A7D1-4523-AD44-D9CDC60A5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581025</xdr:colOff>
      <xdr:row>10</xdr:row>
      <xdr:rowOff>14287</xdr:rowOff>
    </xdr:from>
    <xdr:to>
      <xdr:col>21</xdr:col>
      <xdr:colOff>276225</xdr:colOff>
      <xdr:row>24</xdr:row>
      <xdr:rowOff>142875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730B8D6-B175-4A79-9698-45967D23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4</xdr:col>
          <xdr:colOff>0</xdr:colOff>
          <xdr:row>13</xdr:row>
          <xdr:rowOff>0</xdr:rowOff>
        </xdr:to>
        <xdr:sp macro="" textlink="">
          <xdr:nvSpPr>
            <xdr:cNvPr id="346113" name="Drop Down 1" hidden="1">
              <a:extLst>
                <a:ext uri="{63B3BB69-23CF-44E3-9099-C40C66FF867C}">
                  <a14:compatExt spid="_x0000_s346113"/>
                </a:ext>
                <a:ext uri="{FF2B5EF4-FFF2-40B4-BE49-F238E27FC236}">
                  <a16:creationId xmlns:a16="http://schemas.microsoft.com/office/drawing/2014/main" id="{00000000-0008-0000-3600-0000014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660400</xdr:colOff>
          <xdr:row>13</xdr:row>
          <xdr:rowOff>0</xdr:rowOff>
        </xdr:from>
        <xdr:to>
          <xdr:col>3</xdr:col>
          <xdr:colOff>444500</xdr:colOff>
          <xdr:row>14</xdr:row>
          <xdr:rowOff>12700</xdr:rowOff>
        </xdr:to>
        <xdr:sp macro="" textlink="">
          <xdr:nvSpPr>
            <xdr:cNvPr id="346114" name="Drop Down 3" hidden="1">
              <a:extLst>
                <a:ext uri="{63B3BB69-23CF-44E3-9099-C40C66FF867C}">
                  <a14:compatExt spid="_x0000_s346114"/>
                </a:ext>
                <a:ext uri="{FF2B5EF4-FFF2-40B4-BE49-F238E27FC236}">
                  <a16:creationId xmlns:a16="http://schemas.microsoft.com/office/drawing/2014/main" id="{00000000-0008-0000-3600-00000248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BD181398-3BC3-4F18-BDD1-E992F5E292E6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3BDCB6BD-C7D9-4C07-A833-70AC23169D2A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F217BECB-01E4-420F-A3DA-F59C98E44FE9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364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43684E6C-4C4F-437B-B02C-4270AD797C2D}"/>
            </a:ext>
          </a:extLst>
        </xdr:cNvPr>
        <xdr:cNvSpPr/>
      </xdr:nvSpPr>
      <xdr:spPr>
        <a:xfrm>
          <a:off x="13109684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9C89A910-D511-4C18-92F0-FC28F7BE5CA1}"/>
            </a:ext>
          </a:extLst>
        </xdr:cNvPr>
        <xdr:cNvCxnSpPr/>
      </xdr:nvCxnSpPr>
      <xdr:spPr>
        <a:xfrm>
          <a:off x="13106926" y="492673"/>
          <a:ext cx="39855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FCC9FF3D-F185-4DB0-9A6C-88490ACBADD0}"/>
            </a:ext>
          </a:extLst>
        </xdr:cNvPr>
        <xdr:cNvCxnSpPr/>
      </xdr:nvCxnSpPr>
      <xdr:spPr>
        <a:xfrm>
          <a:off x="13254202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8EA9B15C-A782-4F77-8EA0-47C2B3B5BF62}"/>
            </a:ext>
          </a:extLst>
        </xdr:cNvPr>
        <xdr:cNvSpPr/>
      </xdr:nvSpPr>
      <xdr:spPr>
        <a:xfrm>
          <a:off x="914638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11E9BF16-419A-4ED4-A59A-F3AEFB130DF0}"/>
            </a:ext>
          </a:extLst>
        </xdr:cNvPr>
        <xdr:cNvSpPr/>
      </xdr:nvSpPr>
      <xdr:spPr>
        <a:xfrm>
          <a:off x="914315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1ADC995-84FE-41F0-AFAC-2B536097634D}"/>
            </a:ext>
          </a:extLst>
        </xdr:cNvPr>
        <xdr:cNvSpPr/>
      </xdr:nvSpPr>
      <xdr:spPr>
        <a:xfrm>
          <a:off x="932497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2D391427-79B9-4141-8CC2-6E0BF51CCF5C}"/>
            </a:ext>
          </a:extLst>
        </xdr:cNvPr>
        <xdr:cNvCxnSpPr/>
      </xdr:nvCxnSpPr>
      <xdr:spPr>
        <a:xfrm flipV="1">
          <a:off x="914254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D12F9BCE-E4F6-4E8E-B532-658FF3D707B2}"/>
            </a:ext>
          </a:extLst>
        </xdr:cNvPr>
        <xdr:cNvCxnSpPr/>
      </xdr:nvCxnSpPr>
      <xdr:spPr>
        <a:xfrm>
          <a:off x="913931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DECDBF9A-2D01-450C-B4D4-F84AB79AB6C0}"/>
            </a:ext>
          </a:extLst>
        </xdr:cNvPr>
        <xdr:cNvCxnSpPr/>
      </xdr:nvCxnSpPr>
      <xdr:spPr>
        <a:xfrm>
          <a:off x="9142776" y="397600"/>
          <a:ext cx="412548" cy="17493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A579FA52-EB7A-46BE-89A7-FA8F1E877F6B}"/>
            </a:ext>
          </a:extLst>
        </xdr:cNvPr>
        <xdr:cNvCxnSpPr/>
      </xdr:nvCxnSpPr>
      <xdr:spPr>
        <a:xfrm flipV="1">
          <a:off x="913816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A9A0C74D-DBC8-4616-9262-D945F43DCE63}"/>
            </a:ext>
          </a:extLst>
        </xdr:cNvPr>
        <xdr:cNvCxnSpPr/>
      </xdr:nvCxnSpPr>
      <xdr:spPr>
        <a:xfrm flipV="1">
          <a:off x="9137076" y="369930"/>
          <a:ext cx="414450" cy="20002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D8D98856-48BD-4F1F-B6A4-1D082343B231}"/>
            </a:ext>
          </a:extLst>
        </xdr:cNvPr>
        <xdr:cNvCxnSpPr/>
      </xdr:nvCxnSpPr>
      <xdr:spPr>
        <a:xfrm>
          <a:off x="9137197" y="421140"/>
          <a:ext cx="41064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243D99A7-ACDB-473C-A91A-38804B7BBD05}"/>
            </a:ext>
          </a:extLst>
        </xdr:cNvPr>
        <xdr:cNvCxnSpPr/>
      </xdr:nvCxnSpPr>
      <xdr:spPr>
        <a:xfrm>
          <a:off x="13261822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0.71966</cdr:x>
      <cdr:y>0.04003</cdr:y>
    </cdr:from>
    <cdr:to>
      <cdr:x>0.96462</cdr:x>
      <cdr:y>0.11339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25259208-2A74-40B1-9301-ADD8EE5868BD}"/>
            </a:ext>
          </a:extLst>
        </cdr:cNvPr>
        <cdr:cNvSpPr txBox="1"/>
      </cdr:nvSpPr>
      <cdr:spPr>
        <a:xfrm xmlns:a="http://schemas.openxmlformats.org/drawingml/2006/main">
          <a:off x="7695927" y="177189"/>
          <a:ext cx="2619577" cy="32472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>
              <a:lumMod val="50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B458726-0B5C-4ED5-9E1C-C843137D9B5A}" type="TxLink">
            <a:rPr lang="en-US" sz="1000" b="0" i="0" u="none" strike="noStrike" baseline="0">
              <a:solidFill>
                <a:srgbClr val="000000"/>
              </a:solidFill>
              <a:latin typeface="Century Gothic" panose="020B0502020202020204" pitchFamily="34" charset="0"/>
              <a:ea typeface="Calibri"/>
              <a:cs typeface="Calibri"/>
            </a:rPr>
            <a:pPr algn="ctr"/>
            <a:t>Air density: 1.2 kg/m³</a:t>
          </a:fld>
          <a:endParaRPr lang="fi-FI" sz="800" baseline="30000">
            <a:latin typeface="Century Gothic" panose="020B0502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B549710A-32D9-44EF-B484-1EA344DB1BD7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C1CF4B80-7046-4D12-AF38-8944B2ED511B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E2540076-62F5-4A16-B7AD-B5FEE9AC093B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364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4AF590C7-F24F-42EB-9A85-8CB4E8205857}"/>
            </a:ext>
          </a:extLst>
        </xdr:cNvPr>
        <xdr:cNvSpPr/>
      </xdr:nvSpPr>
      <xdr:spPr>
        <a:xfrm>
          <a:off x="13109684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707A4DC3-DDB5-4A21-972A-B3CA8B9C3806}"/>
            </a:ext>
          </a:extLst>
        </xdr:cNvPr>
        <xdr:cNvCxnSpPr/>
      </xdr:nvCxnSpPr>
      <xdr:spPr>
        <a:xfrm>
          <a:off x="13106926" y="492673"/>
          <a:ext cx="39855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257D4E61-9948-4FD9-9C1A-C612E028734D}"/>
            </a:ext>
          </a:extLst>
        </xdr:cNvPr>
        <xdr:cNvCxnSpPr/>
      </xdr:nvCxnSpPr>
      <xdr:spPr>
        <a:xfrm>
          <a:off x="13254202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7BBC1CFA-1415-43D8-B3BE-01755CD03262}"/>
            </a:ext>
          </a:extLst>
        </xdr:cNvPr>
        <xdr:cNvSpPr/>
      </xdr:nvSpPr>
      <xdr:spPr>
        <a:xfrm>
          <a:off x="914638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72C59412-FEC6-407A-9FA0-FB4C09D1AE36}"/>
            </a:ext>
          </a:extLst>
        </xdr:cNvPr>
        <xdr:cNvSpPr/>
      </xdr:nvSpPr>
      <xdr:spPr>
        <a:xfrm>
          <a:off x="914315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C3C99918-AC44-4A37-8CC5-07BE85596B99}"/>
            </a:ext>
          </a:extLst>
        </xdr:cNvPr>
        <xdr:cNvSpPr/>
      </xdr:nvSpPr>
      <xdr:spPr>
        <a:xfrm>
          <a:off x="932497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2B66CA5A-B054-481D-B591-93BA751A16FB}"/>
            </a:ext>
          </a:extLst>
        </xdr:cNvPr>
        <xdr:cNvCxnSpPr/>
      </xdr:nvCxnSpPr>
      <xdr:spPr>
        <a:xfrm flipV="1">
          <a:off x="914254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C465B52-8619-43B4-A226-CA33DD4225D2}"/>
            </a:ext>
          </a:extLst>
        </xdr:cNvPr>
        <xdr:cNvCxnSpPr/>
      </xdr:nvCxnSpPr>
      <xdr:spPr>
        <a:xfrm>
          <a:off x="913931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422D9F98-8046-45AE-A6AC-A23659285918}"/>
            </a:ext>
          </a:extLst>
        </xdr:cNvPr>
        <xdr:cNvCxnSpPr/>
      </xdr:nvCxnSpPr>
      <xdr:spPr>
        <a:xfrm>
          <a:off x="9142776" y="397600"/>
          <a:ext cx="412548" cy="17493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41464B14-A29F-40CD-B9D1-8C7842AC3ED1}"/>
            </a:ext>
          </a:extLst>
        </xdr:cNvPr>
        <xdr:cNvCxnSpPr/>
      </xdr:nvCxnSpPr>
      <xdr:spPr>
        <a:xfrm flipV="1">
          <a:off x="913816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BFA5CC07-23A3-428A-AC65-2AFC99FE1BE0}"/>
            </a:ext>
          </a:extLst>
        </xdr:cNvPr>
        <xdr:cNvCxnSpPr/>
      </xdr:nvCxnSpPr>
      <xdr:spPr>
        <a:xfrm flipV="1">
          <a:off x="9137076" y="369930"/>
          <a:ext cx="414450" cy="20002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3164727D-E295-46A1-BFB3-5B4FA71A2675}"/>
            </a:ext>
          </a:extLst>
        </xdr:cNvPr>
        <xdr:cNvCxnSpPr/>
      </xdr:nvCxnSpPr>
      <xdr:spPr>
        <a:xfrm>
          <a:off x="9137197" y="421140"/>
          <a:ext cx="41064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32F6B3EE-AD2F-4751-A8B5-704F1D8F991C}"/>
            </a:ext>
          </a:extLst>
        </xdr:cNvPr>
        <xdr:cNvCxnSpPr/>
      </xdr:nvCxnSpPr>
      <xdr:spPr>
        <a:xfrm>
          <a:off x="13261822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</xdr:colOff>
      <xdr:row>5</xdr:row>
      <xdr:rowOff>95251</xdr:rowOff>
    </xdr:from>
    <xdr:to>
      <xdr:col>18</xdr:col>
      <xdr:colOff>377410</xdr:colOff>
      <xdr:row>24</xdr:row>
      <xdr:rowOff>95251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F9F16F79-8858-4CD3-9636-87A1CA8AA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0350" y="1609726"/>
          <a:ext cx="929860" cy="3257550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5</xdr:row>
      <xdr:rowOff>87093</xdr:rowOff>
    </xdr:from>
    <xdr:to>
      <xdr:col>23</xdr:col>
      <xdr:colOff>359960</xdr:colOff>
      <xdr:row>11</xdr:row>
      <xdr:rowOff>47625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94F3A3AB-8E42-485F-8B8A-37894A8D9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20475" y="1601568"/>
          <a:ext cx="2960285" cy="98923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390525</xdr:colOff>
      <xdr:row>4</xdr:row>
      <xdr:rowOff>28575</xdr:rowOff>
    </xdr:from>
    <xdr:to>
      <xdr:col>28</xdr:col>
      <xdr:colOff>85725</xdr:colOff>
      <xdr:row>19</xdr:row>
      <xdr:rowOff>133350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71DE1B2A-ED0B-4600-8764-7F2F7DA08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409575</xdr:colOff>
      <xdr:row>20</xdr:row>
      <xdr:rowOff>76200</xdr:rowOff>
    </xdr:from>
    <xdr:to>
      <xdr:col>28</xdr:col>
      <xdr:colOff>104775</xdr:colOff>
      <xdr:row>36</xdr:row>
      <xdr:rowOff>19050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CF1CB59D-C928-44C0-B367-716CE7CB8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457200</xdr:colOff>
      <xdr:row>40</xdr:row>
      <xdr:rowOff>0</xdr:rowOff>
    </xdr:from>
    <xdr:to>
      <xdr:col>28</xdr:col>
      <xdr:colOff>152400</xdr:colOff>
      <xdr:row>56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13B3C2C9-FBF0-41B3-8519-7457A85C9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5194C8C1-820E-4CC0-B6B2-4AE463F87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32</xdr:row>
      <xdr:rowOff>54428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4E43C33F-111E-4C42-84C6-256AF7BD3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32</xdr:row>
      <xdr:rowOff>97971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930F0872-2AA9-46EA-A443-AB62C79B2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58F610C3-1D80-411E-9FEF-A83DAE5A5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6801</xdr:colOff>
      <xdr:row>83</xdr:row>
      <xdr:rowOff>47624</xdr:rowOff>
    </xdr:from>
    <xdr:to>
      <xdr:col>37</xdr:col>
      <xdr:colOff>68036</xdr:colOff>
      <xdr:row>137</xdr:row>
      <xdr:rowOff>40820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7D1034A5-375C-4022-95D0-F938D78C9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551089</xdr:colOff>
      <xdr:row>5</xdr:row>
      <xdr:rowOff>87085</xdr:rowOff>
    </xdr:from>
    <xdr:to>
      <xdr:col>13</xdr:col>
      <xdr:colOff>598714</xdr:colOff>
      <xdr:row>27</xdr:row>
      <xdr:rowOff>87085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3D07DE1F-360F-4EE7-92DA-DCAC115E5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32</xdr:row>
      <xdr:rowOff>54428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46F7CF0E-153F-4E47-8CB0-7BEDBF223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32</xdr:row>
      <xdr:rowOff>97971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A570B4AA-CEA1-4045-ADD3-1FE8561CC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F2084DB5-8623-44C0-A2EE-49B855F41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65232</xdr:colOff>
      <xdr:row>82</xdr:row>
      <xdr:rowOff>142875</xdr:rowOff>
    </xdr:from>
    <xdr:to>
      <xdr:col>33</xdr:col>
      <xdr:colOff>429491</xdr:colOff>
      <xdr:row>143</xdr:row>
      <xdr:rowOff>84044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33914B30-7EB3-4204-89DF-60953AB82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551089</xdr:colOff>
      <xdr:row>5</xdr:row>
      <xdr:rowOff>87085</xdr:rowOff>
    </xdr:from>
    <xdr:to>
      <xdr:col>13</xdr:col>
      <xdr:colOff>598714</xdr:colOff>
      <xdr:row>27</xdr:row>
      <xdr:rowOff>87085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46FE2B93-7DCC-41B8-9E4A-605C55508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57149</xdr:rowOff>
    </xdr:from>
    <xdr:to>
      <xdr:col>10</xdr:col>
      <xdr:colOff>314325</xdr:colOff>
      <xdr:row>53</xdr:row>
      <xdr:rowOff>114300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470863C-D0DC-43FC-B012-2E77C10F6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A1D01581-FDBF-4CE7-BA9F-C9C194798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48574F61-464A-42E0-A957-4B5AD46F8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142874</xdr:rowOff>
    </xdr:from>
    <xdr:to>
      <xdr:col>32</xdr:col>
      <xdr:colOff>419100</xdr:colOff>
      <xdr:row>92</xdr:row>
      <xdr:rowOff>19049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39AEF70F-DC4F-46C6-A400-A6CBCB4CA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E442AB3E-9015-41B3-AB4D-703B5D57C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2</xdr:row>
      <xdr:rowOff>123825</xdr:rowOff>
    </xdr:from>
    <xdr:to>
      <xdr:col>20</xdr:col>
      <xdr:colOff>371475</xdr:colOff>
      <xdr:row>18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63617770-706F-4F98-B6AF-55CA6CBF3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428625</xdr:colOff>
      <xdr:row>13</xdr:row>
      <xdr:rowOff>114300</xdr:rowOff>
    </xdr:from>
    <xdr:to>
      <xdr:col>28</xdr:col>
      <xdr:colOff>123825</xdr:colOff>
      <xdr:row>29</xdr:row>
      <xdr:rowOff>85725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2707DD36-510D-4923-95E3-1365AA98E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83820</xdr:colOff>
      <xdr:row>75</xdr:row>
      <xdr:rowOff>49530</xdr:rowOff>
    </xdr:from>
    <xdr:to>
      <xdr:col>19</xdr:col>
      <xdr:colOff>388620</xdr:colOff>
      <xdr:row>91</xdr:row>
      <xdr:rowOff>110490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DCAB035B-73D8-2B26-1B27-B54DB7DCC7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9525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33</xdr:col>
      <xdr:colOff>369794</xdr:colOff>
      <xdr:row>90</xdr:row>
      <xdr:rowOff>145677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57149</xdr:rowOff>
    </xdr:from>
    <xdr:to>
      <xdr:col>10</xdr:col>
      <xdr:colOff>314325</xdr:colOff>
      <xdr:row>53</xdr:row>
      <xdr:rowOff>114300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142874</xdr:rowOff>
    </xdr:from>
    <xdr:to>
      <xdr:col>32</xdr:col>
      <xdr:colOff>419100</xdr:colOff>
      <xdr:row>92</xdr:row>
      <xdr:rowOff>19049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2</xdr:row>
      <xdr:rowOff>123825</xdr:rowOff>
    </xdr:from>
    <xdr:to>
      <xdr:col>20</xdr:col>
      <xdr:colOff>371475</xdr:colOff>
      <xdr:row>18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428625</xdr:colOff>
      <xdr:row>13</xdr:row>
      <xdr:rowOff>114300</xdr:rowOff>
    </xdr:from>
    <xdr:to>
      <xdr:col>28</xdr:col>
      <xdr:colOff>123825</xdr:colOff>
      <xdr:row>29</xdr:row>
      <xdr:rowOff>85725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15</xdr:row>
          <xdr:rowOff>63500</xdr:rowOff>
        </xdr:from>
        <xdr:to>
          <xdr:col>32</xdr:col>
          <xdr:colOff>63500</xdr:colOff>
          <xdr:row>15</xdr:row>
          <xdr:rowOff>266700</xdr:rowOff>
        </xdr:to>
        <xdr:sp macro="" textlink="">
          <xdr:nvSpPr>
            <xdr:cNvPr id="163841" name="Drop Down 1" hidden="1">
              <a:extLst>
                <a:ext uri="{63B3BB69-23CF-44E3-9099-C40C66FF867C}">
                  <a14:compatExt spid="_x0000_s163841"/>
                </a:ext>
                <a:ext uri="{FF2B5EF4-FFF2-40B4-BE49-F238E27FC236}">
                  <a16:creationId xmlns:a16="http://schemas.microsoft.com/office/drawing/2014/main" id="{00000000-0008-0000-0400-000001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17</xdr:row>
          <xdr:rowOff>63500</xdr:rowOff>
        </xdr:from>
        <xdr:to>
          <xdr:col>32</xdr:col>
          <xdr:colOff>63500</xdr:colOff>
          <xdr:row>17</xdr:row>
          <xdr:rowOff>279400</xdr:rowOff>
        </xdr:to>
        <xdr:sp macro="" textlink="">
          <xdr:nvSpPr>
            <xdr:cNvPr id="163842" name="Drop Down 2" hidden="1">
              <a:extLst>
                <a:ext uri="{63B3BB69-23CF-44E3-9099-C40C66FF867C}">
                  <a14:compatExt spid="_x0000_s163842"/>
                </a:ext>
                <a:ext uri="{FF2B5EF4-FFF2-40B4-BE49-F238E27FC236}">
                  <a16:creationId xmlns:a16="http://schemas.microsoft.com/office/drawing/2014/main" id="{00000000-0008-0000-0400-000002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19</xdr:row>
          <xdr:rowOff>63500</xdr:rowOff>
        </xdr:from>
        <xdr:to>
          <xdr:col>32</xdr:col>
          <xdr:colOff>63500</xdr:colOff>
          <xdr:row>19</xdr:row>
          <xdr:rowOff>279400</xdr:rowOff>
        </xdr:to>
        <xdr:sp macro="" textlink="">
          <xdr:nvSpPr>
            <xdr:cNvPr id="163843" name="Drop Down 3" hidden="1">
              <a:extLst>
                <a:ext uri="{63B3BB69-23CF-44E3-9099-C40C66FF867C}">
                  <a14:compatExt spid="_x0000_s163843"/>
                </a:ext>
                <a:ext uri="{FF2B5EF4-FFF2-40B4-BE49-F238E27FC236}">
                  <a16:creationId xmlns:a16="http://schemas.microsoft.com/office/drawing/2014/main" id="{00000000-0008-0000-0400-00000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21</xdr:row>
          <xdr:rowOff>50800</xdr:rowOff>
        </xdr:from>
        <xdr:to>
          <xdr:col>32</xdr:col>
          <xdr:colOff>50800</xdr:colOff>
          <xdr:row>21</xdr:row>
          <xdr:rowOff>254000</xdr:rowOff>
        </xdr:to>
        <xdr:sp macro="" textlink="">
          <xdr:nvSpPr>
            <xdr:cNvPr id="163844" name="Drop Down 4" hidden="1">
              <a:extLst>
                <a:ext uri="{63B3BB69-23CF-44E3-9099-C40C66FF867C}">
                  <a14:compatExt spid="_x0000_s163844"/>
                </a:ext>
                <a:ext uri="{FF2B5EF4-FFF2-40B4-BE49-F238E27FC236}">
                  <a16:creationId xmlns:a16="http://schemas.microsoft.com/office/drawing/2014/main" id="{00000000-0008-0000-0400-000004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26</xdr:row>
          <xdr:rowOff>63500</xdr:rowOff>
        </xdr:from>
        <xdr:to>
          <xdr:col>32</xdr:col>
          <xdr:colOff>63500</xdr:colOff>
          <xdr:row>26</xdr:row>
          <xdr:rowOff>266700</xdr:rowOff>
        </xdr:to>
        <xdr:sp macro="" textlink="">
          <xdr:nvSpPr>
            <xdr:cNvPr id="163845" name="Drop Down 5" hidden="1">
              <a:extLst>
                <a:ext uri="{63B3BB69-23CF-44E3-9099-C40C66FF867C}">
                  <a14:compatExt spid="_x0000_s163845"/>
                </a:ext>
                <a:ext uri="{FF2B5EF4-FFF2-40B4-BE49-F238E27FC236}">
                  <a16:creationId xmlns:a16="http://schemas.microsoft.com/office/drawing/2014/main" id="{00000000-0008-0000-0400-00000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24</xdr:row>
          <xdr:rowOff>63500</xdr:rowOff>
        </xdr:from>
        <xdr:to>
          <xdr:col>32</xdr:col>
          <xdr:colOff>50800</xdr:colOff>
          <xdr:row>24</xdr:row>
          <xdr:rowOff>266700</xdr:rowOff>
        </xdr:to>
        <xdr:sp macro="" textlink="">
          <xdr:nvSpPr>
            <xdr:cNvPr id="163846" name="Drop Down 6" hidden="1">
              <a:extLst>
                <a:ext uri="{63B3BB69-23CF-44E3-9099-C40C66FF867C}">
                  <a14:compatExt spid="_x0000_s163846"/>
                </a:ext>
                <a:ext uri="{FF2B5EF4-FFF2-40B4-BE49-F238E27FC236}">
                  <a16:creationId xmlns:a16="http://schemas.microsoft.com/office/drawing/2014/main" id="{00000000-0008-0000-0400-000006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29</xdr:row>
          <xdr:rowOff>63500</xdr:rowOff>
        </xdr:from>
        <xdr:to>
          <xdr:col>32</xdr:col>
          <xdr:colOff>63500</xdr:colOff>
          <xdr:row>29</xdr:row>
          <xdr:rowOff>266700</xdr:rowOff>
        </xdr:to>
        <xdr:sp macro="" textlink="">
          <xdr:nvSpPr>
            <xdr:cNvPr id="163847" name="Drop Down 7" hidden="1">
              <a:extLst>
                <a:ext uri="{63B3BB69-23CF-44E3-9099-C40C66FF867C}">
                  <a14:compatExt spid="_x0000_s163847"/>
                </a:ext>
                <a:ext uri="{FF2B5EF4-FFF2-40B4-BE49-F238E27FC236}">
                  <a16:creationId xmlns:a16="http://schemas.microsoft.com/office/drawing/2014/main" id="{00000000-0008-0000-0400-000007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31</xdr:row>
          <xdr:rowOff>63500</xdr:rowOff>
        </xdr:from>
        <xdr:to>
          <xdr:col>32</xdr:col>
          <xdr:colOff>63500</xdr:colOff>
          <xdr:row>31</xdr:row>
          <xdr:rowOff>266700</xdr:rowOff>
        </xdr:to>
        <xdr:sp macro="" textlink="">
          <xdr:nvSpPr>
            <xdr:cNvPr id="163848" name="Drop Down 8" hidden="1">
              <a:extLst>
                <a:ext uri="{63B3BB69-23CF-44E3-9099-C40C66FF867C}">
                  <a14:compatExt spid="_x0000_s163848"/>
                </a:ext>
                <a:ext uri="{FF2B5EF4-FFF2-40B4-BE49-F238E27FC236}">
                  <a16:creationId xmlns:a16="http://schemas.microsoft.com/office/drawing/2014/main" id="{00000000-0008-0000-0400-000008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33</xdr:row>
          <xdr:rowOff>63500</xdr:rowOff>
        </xdr:from>
        <xdr:to>
          <xdr:col>32</xdr:col>
          <xdr:colOff>63500</xdr:colOff>
          <xdr:row>33</xdr:row>
          <xdr:rowOff>279400</xdr:rowOff>
        </xdr:to>
        <xdr:sp macro="" textlink="">
          <xdr:nvSpPr>
            <xdr:cNvPr id="163849" name="Drop Down 9" hidden="1">
              <a:extLst>
                <a:ext uri="{63B3BB69-23CF-44E3-9099-C40C66FF867C}">
                  <a14:compatExt spid="_x0000_s163849"/>
                </a:ext>
                <a:ext uri="{FF2B5EF4-FFF2-40B4-BE49-F238E27FC236}">
                  <a16:creationId xmlns:a16="http://schemas.microsoft.com/office/drawing/2014/main" id="{00000000-0008-0000-0400-000009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35</xdr:row>
          <xdr:rowOff>63500</xdr:rowOff>
        </xdr:from>
        <xdr:to>
          <xdr:col>32</xdr:col>
          <xdr:colOff>63500</xdr:colOff>
          <xdr:row>35</xdr:row>
          <xdr:rowOff>266700</xdr:rowOff>
        </xdr:to>
        <xdr:sp macro="" textlink="">
          <xdr:nvSpPr>
            <xdr:cNvPr id="163850" name="Drop Down 10" hidden="1">
              <a:extLst>
                <a:ext uri="{63B3BB69-23CF-44E3-9099-C40C66FF867C}">
                  <a14:compatExt spid="_x0000_s163850"/>
                </a:ext>
                <a:ext uri="{FF2B5EF4-FFF2-40B4-BE49-F238E27FC236}">
                  <a16:creationId xmlns:a16="http://schemas.microsoft.com/office/drawing/2014/main" id="{00000000-0008-0000-0400-00000A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38</xdr:row>
          <xdr:rowOff>63500</xdr:rowOff>
        </xdr:from>
        <xdr:to>
          <xdr:col>32</xdr:col>
          <xdr:colOff>63500</xdr:colOff>
          <xdr:row>38</xdr:row>
          <xdr:rowOff>266700</xdr:rowOff>
        </xdr:to>
        <xdr:sp macro="" textlink="">
          <xdr:nvSpPr>
            <xdr:cNvPr id="163851" name="Drop Down 11" hidden="1">
              <a:extLst>
                <a:ext uri="{63B3BB69-23CF-44E3-9099-C40C66FF867C}">
                  <a14:compatExt spid="_x0000_s163851"/>
                </a:ext>
                <a:ext uri="{FF2B5EF4-FFF2-40B4-BE49-F238E27FC236}">
                  <a16:creationId xmlns:a16="http://schemas.microsoft.com/office/drawing/2014/main" id="{00000000-0008-0000-0400-00000B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63500</xdr:colOff>
          <xdr:row>40</xdr:row>
          <xdr:rowOff>63500</xdr:rowOff>
        </xdr:from>
        <xdr:to>
          <xdr:col>32</xdr:col>
          <xdr:colOff>63500</xdr:colOff>
          <xdr:row>40</xdr:row>
          <xdr:rowOff>266700</xdr:rowOff>
        </xdr:to>
        <xdr:sp macro="" textlink="">
          <xdr:nvSpPr>
            <xdr:cNvPr id="163852" name="Drop Down 12" hidden="1">
              <a:extLst>
                <a:ext uri="{63B3BB69-23CF-44E3-9099-C40C66FF867C}">
                  <a14:compatExt spid="_x0000_s163852"/>
                </a:ext>
                <a:ext uri="{FF2B5EF4-FFF2-40B4-BE49-F238E27FC236}">
                  <a16:creationId xmlns:a16="http://schemas.microsoft.com/office/drawing/2014/main" id="{00000000-0008-0000-0400-00000C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42</xdr:row>
          <xdr:rowOff>63500</xdr:rowOff>
        </xdr:from>
        <xdr:to>
          <xdr:col>32</xdr:col>
          <xdr:colOff>63500</xdr:colOff>
          <xdr:row>42</xdr:row>
          <xdr:rowOff>266700</xdr:rowOff>
        </xdr:to>
        <xdr:sp macro="" textlink="">
          <xdr:nvSpPr>
            <xdr:cNvPr id="163853" name="Drop Down 13" hidden="1">
              <a:extLst>
                <a:ext uri="{63B3BB69-23CF-44E3-9099-C40C66FF867C}">
                  <a14:compatExt spid="_x0000_s163853"/>
                </a:ext>
                <a:ext uri="{FF2B5EF4-FFF2-40B4-BE49-F238E27FC236}">
                  <a16:creationId xmlns:a16="http://schemas.microsoft.com/office/drawing/2014/main" id="{00000000-0008-0000-0400-00000D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44</xdr:row>
          <xdr:rowOff>63500</xdr:rowOff>
        </xdr:from>
        <xdr:to>
          <xdr:col>32</xdr:col>
          <xdr:colOff>63500</xdr:colOff>
          <xdr:row>44</xdr:row>
          <xdr:rowOff>266700</xdr:rowOff>
        </xdr:to>
        <xdr:sp macro="" textlink="">
          <xdr:nvSpPr>
            <xdr:cNvPr id="163854" name="Drop Down 14" hidden="1">
              <a:extLst>
                <a:ext uri="{63B3BB69-23CF-44E3-9099-C40C66FF867C}">
                  <a14:compatExt spid="_x0000_s163854"/>
                </a:ext>
                <a:ext uri="{FF2B5EF4-FFF2-40B4-BE49-F238E27FC236}">
                  <a16:creationId xmlns:a16="http://schemas.microsoft.com/office/drawing/2014/main" id="{00000000-0008-0000-0400-00000E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46</xdr:row>
          <xdr:rowOff>50800</xdr:rowOff>
        </xdr:from>
        <xdr:to>
          <xdr:col>32</xdr:col>
          <xdr:colOff>63500</xdr:colOff>
          <xdr:row>46</xdr:row>
          <xdr:rowOff>254000</xdr:rowOff>
        </xdr:to>
        <xdr:sp macro="" textlink="">
          <xdr:nvSpPr>
            <xdr:cNvPr id="163855" name="Drop Down 15" hidden="1">
              <a:extLst>
                <a:ext uri="{63B3BB69-23CF-44E3-9099-C40C66FF867C}">
                  <a14:compatExt spid="_x0000_s163855"/>
                </a:ext>
                <a:ext uri="{FF2B5EF4-FFF2-40B4-BE49-F238E27FC236}">
                  <a16:creationId xmlns:a16="http://schemas.microsoft.com/office/drawing/2014/main" id="{00000000-0008-0000-0400-00000F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48</xdr:row>
          <xdr:rowOff>50800</xdr:rowOff>
        </xdr:from>
        <xdr:to>
          <xdr:col>32</xdr:col>
          <xdr:colOff>63500</xdr:colOff>
          <xdr:row>48</xdr:row>
          <xdr:rowOff>254000</xdr:rowOff>
        </xdr:to>
        <xdr:sp macro="" textlink="">
          <xdr:nvSpPr>
            <xdr:cNvPr id="163856" name="Drop Down 16" hidden="1">
              <a:extLst>
                <a:ext uri="{63B3BB69-23CF-44E3-9099-C40C66FF867C}">
                  <a14:compatExt spid="_x0000_s163856"/>
                </a:ext>
                <a:ext uri="{FF2B5EF4-FFF2-40B4-BE49-F238E27FC236}">
                  <a16:creationId xmlns:a16="http://schemas.microsoft.com/office/drawing/2014/main" id="{00000000-0008-0000-0400-000010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51</xdr:row>
          <xdr:rowOff>63500</xdr:rowOff>
        </xdr:from>
        <xdr:to>
          <xdr:col>32</xdr:col>
          <xdr:colOff>63500</xdr:colOff>
          <xdr:row>51</xdr:row>
          <xdr:rowOff>279400</xdr:rowOff>
        </xdr:to>
        <xdr:sp macro="" textlink="">
          <xdr:nvSpPr>
            <xdr:cNvPr id="163857" name="Drop Down 17" hidden="1">
              <a:extLst>
                <a:ext uri="{63B3BB69-23CF-44E3-9099-C40C66FF867C}">
                  <a14:compatExt spid="_x0000_s163857"/>
                </a:ext>
                <a:ext uri="{FF2B5EF4-FFF2-40B4-BE49-F238E27FC236}">
                  <a16:creationId xmlns:a16="http://schemas.microsoft.com/office/drawing/2014/main" id="{00000000-0008-0000-0400-000011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53</xdr:row>
          <xdr:rowOff>63500</xdr:rowOff>
        </xdr:from>
        <xdr:to>
          <xdr:col>32</xdr:col>
          <xdr:colOff>63500</xdr:colOff>
          <xdr:row>53</xdr:row>
          <xdr:rowOff>279400</xdr:rowOff>
        </xdr:to>
        <xdr:sp macro="" textlink="">
          <xdr:nvSpPr>
            <xdr:cNvPr id="163858" name="Drop Down 18" hidden="1">
              <a:extLst>
                <a:ext uri="{63B3BB69-23CF-44E3-9099-C40C66FF867C}">
                  <a14:compatExt spid="_x0000_s163858"/>
                </a:ext>
                <a:ext uri="{FF2B5EF4-FFF2-40B4-BE49-F238E27FC236}">
                  <a16:creationId xmlns:a16="http://schemas.microsoft.com/office/drawing/2014/main" id="{00000000-0008-0000-0400-000012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55</xdr:row>
          <xdr:rowOff>63500</xdr:rowOff>
        </xdr:from>
        <xdr:to>
          <xdr:col>32</xdr:col>
          <xdr:colOff>63500</xdr:colOff>
          <xdr:row>55</xdr:row>
          <xdr:rowOff>266700</xdr:rowOff>
        </xdr:to>
        <xdr:sp macro="" textlink="">
          <xdr:nvSpPr>
            <xdr:cNvPr id="163859" name="Drop Down 19" hidden="1">
              <a:extLst>
                <a:ext uri="{63B3BB69-23CF-44E3-9099-C40C66FF867C}">
                  <a14:compatExt spid="_x0000_s163859"/>
                </a:ext>
                <a:ext uri="{FF2B5EF4-FFF2-40B4-BE49-F238E27FC236}">
                  <a16:creationId xmlns:a16="http://schemas.microsoft.com/office/drawing/2014/main" id="{00000000-0008-0000-0400-00001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28</xdr:col>
      <xdr:colOff>228600</xdr:colOff>
      <xdr:row>1</xdr:row>
      <xdr:rowOff>161924</xdr:rowOff>
    </xdr:from>
    <xdr:to>
      <xdr:col>32</xdr:col>
      <xdr:colOff>49392</xdr:colOff>
      <xdr:row>5</xdr:row>
      <xdr:rowOff>99059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9896FE8A-39EA-462F-989A-263ECF5BF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2820" y="329564"/>
          <a:ext cx="1039992" cy="80581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12700</xdr:colOff>
          <xdr:row>2</xdr:row>
          <xdr:rowOff>63500</xdr:rowOff>
        </xdr:from>
        <xdr:to>
          <xdr:col>25</xdr:col>
          <xdr:colOff>139700</xdr:colOff>
          <xdr:row>2</xdr:row>
          <xdr:rowOff>266700</xdr:rowOff>
        </xdr:to>
        <xdr:sp macro="" textlink="">
          <xdr:nvSpPr>
            <xdr:cNvPr id="163860" name="Option Button 20" descr="Suomi" hidden="1">
              <a:extLst>
                <a:ext uri="{63B3BB69-23CF-44E3-9099-C40C66FF867C}">
                  <a14:compatExt spid="_x0000_s163860"/>
                </a:ext>
                <a:ext uri="{FF2B5EF4-FFF2-40B4-BE49-F238E27FC236}">
                  <a16:creationId xmlns:a16="http://schemas.microsoft.com/office/drawing/2014/main" id="{00000000-0008-0000-0400-000014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292100</xdr:colOff>
          <xdr:row>2</xdr:row>
          <xdr:rowOff>63500</xdr:rowOff>
        </xdr:from>
        <xdr:to>
          <xdr:col>27</xdr:col>
          <xdr:colOff>101600</xdr:colOff>
          <xdr:row>3</xdr:row>
          <xdr:rowOff>0</xdr:rowOff>
        </xdr:to>
        <xdr:sp macro="" textlink="">
          <xdr:nvSpPr>
            <xdr:cNvPr id="163861" name="Option Button 21" hidden="1">
              <a:extLst>
                <a:ext uri="{63B3BB69-23CF-44E3-9099-C40C66FF867C}">
                  <a14:compatExt spid="_x0000_s163861"/>
                </a:ext>
                <a:ext uri="{FF2B5EF4-FFF2-40B4-BE49-F238E27FC236}">
                  <a16:creationId xmlns:a16="http://schemas.microsoft.com/office/drawing/2014/main" id="{00000000-0008-0000-0400-00001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ENG</a:t>
              </a:r>
            </a:p>
          </xdr:txBody>
        </xdr:sp>
        <xdr:clientData/>
      </xdr:twoCellAnchor>
    </mc:Choice>
    <mc:Fallback/>
  </mc:AlternateContent>
  <xdr:twoCellAnchor editAs="oneCell">
    <xdr:from>
      <xdr:col>23</xdr:col>
      <xdr:colOff>213360</xdr:colOff>
      <xdr:row>2</xdr:row>
      <xdr:rowOff>83820</xdr:rowOff>
    </xdr:from>
    <xdr:to>
      <xdr:col>24</xdr:col>
      <xdr:colOff>107475</xdr:colOff>
      <xdr:row>2</xdr:row>
      <xdr:rowOff>263873</xdr:rowOff>
    </xdr:to>
    <xdr:pic>
      <xdr:nvPicPr>
        <xdr:cNvPr id="3" name="Kuva 2" descr="Finland flag icon - Country flags">
          <a:extLst>
            <a:ext uri="{FF2B5EF4-FFF2-40B4-BE49-F238E27FC236}">
              <a16:creationId xmlns:a16="http://schemas.microsoft.com/office/drawing/2014/main" id="{2EC07648-9C2B-4C90-9099-B4ED0B4EC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0" y="419100"/>
          <a:ext cx="297975" cy="180053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107989</xdr:colOff>
      <xdr:row>2</xdr:row>
      <xdr:rowOff>94647</xdr:rowOff>
    </xdr:from>
    <xdr:to>
      <xdr:col>26</xdr:col>
      <xdr:colOff>26007</xdr:colOff>
      <xdr:row>2</xdr:row>
      <xdr:rowOff>260454</xdr:rowOff>
    </xdr:to>
    <xdr:pic>
      <xdr:nvPicPr>
        <xdr:cNvPr id="4" name="Kuva 3" descr="Free Vector | Illustration of uk flag">
          <a:extLst>
            <a:ext uri="{FF2B5EF4-FFF2-40B4-BE49-F238E27FC236}">
              <a16:creationId xmlns:a16="http://schemas.microsoft.com/office/drawing/2014/main" id="{E430CF40-1A81-4136-B1ED-B2A6AFC98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922549" y="429927"/>
          <a:ext cx="321878" cy="165807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4</xdr:row>
      <xdr:rowOff>19050</xdr:rowOff>
    </xdr:from>
    <xdr:to>
      <xdr:col>14</xdr:col>
      <xdr:colOff>361950</xdr:colOff>
      <xdr:row>25</xdr:row>
      <xdr:rowOff>104774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371475</xdr:colOff>
      <xdr:row>15</xdr:row>
      <xdr:rowOff>47625</xdr:rowOff>
    </xdr:from>
    <xdr:to>
      <xdr:col>33</xdr:col>
      <xdr:colOff>0</xdr:colOff>
      <xdr:row>30</xdr:row>
      <xdr:rowOff>9525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380999</xdr:colOff>
      <xdr:row>26</xdr:row>
      <xdr:rowOff>57149</xdr:rowOff>
    </xdr:from>
    <xdr:to>
      <xdr:col>10</xdr:col>
      <xdr:colOff>180974</xdr:colOff>
      <xdr:row>53</xdr:row>
      <xdr:rowOff>66675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238125</xdr:colOff>
      <xdr:row>26</xdr:row>
      <xdr:rowOff>76200</xdr:rowOff>
    </xdr:from>
    <xdr:to>
      <xdr:col>19</xdr:col>
      <xdr:colOff>381000</xdr:colOff>
      <xdr:row>53</xdr:row>
      <xdr:rowOff>85726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295274</xdr:colOff>
      <xdr:row>57</xdr:row>
      <xdr:rowOff>19049</xdr:rowOff>
    </xdr:from>
    <xdr:to>
      <xdr:col>32</xdr:col>
      <xdr:colOff>590549</xdr:colOff>
      <xdr:row>79</xdr:row>
      <xdr:rowOff>104775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4</xdr:row>
      <xdr:rowOff>19050</xdr:rowOff>
    </xdr:from>
    <xdr:to>
      <xdr:col>14</xdr:col>
      <xdr:colOff>361950</xdr:colOff>
      <xdr:row>25</xdr:row>
      <xdr:rowOff>104774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438150</xdr:colOff>
      <xdr:row>14</xdr:row>
      <xdr:rowOff>104775</xdr:rowOff>
    </xdr:from>
    <xdr:to>
      <xdr:col>32</xdr:col>
      <xdr:colOff>9525</xdr:colOff>
      <xdr:row>29</xdr:row>
      <xdr:rowOff>66675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380999</xdr:colOff>
      <xdr:row>26</xdr:row>
      <xdr:rowOff>57149</xdr:rowOff>
    </xdr:from>
    <xdr:to>
      <xdr:col>10</xdr:col>
      <xdr:colOff>180974</xdr:colOff>
      <xdr:row>53</xdr:row>
      <xdr:rowOff>66675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238125</xdr:colOff>
      <xdr:row>26</xdr:row>
      <xdr:rowOff>76200</xdr:rowOff>
    </xdr:from>
    <xdr:to>
      <xdr:col>19</xdr:col>
      <xdr:colOff>381000</xdr:colOff>
      <xdr:row>53</xdr:row>
      <xdr:rowOff>85726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295274</xdr:colOff>
      <xdr:row>57</xdr:row>
      <xdr:rowOff>19049</xdr:rowOff>
    </xdr:from>
    <xdr:to>
      <xdr:col>36</xdr:col>
      <xdr:colOff>323849</xdr:colOff>
      <xdr:row>88</xdr:row>
      <xdr:rowOff>123824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9</xdr:row>
      <xdr:rowOff>0</xdr:rowOff>
    </xdr:from>
    <xdr:to>
      <xdr:col>17</xdr:col>
      <xdr:colOff>190500</xdr:colOff>
      <xdr:row>23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430530</xdr:colOff>
      <xdr:row>46</xdr:row>
      <xdr:rowOff>156209</xdr:rowOff>
    </xdr:from>
    <xdr:to>
      <xdr:col>36</xdr:col>
      <xdr:colOff>503464</xdr:colOff>
      <xdr:row>86</xdr:row>
      <xdr:rowOff>8964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14</xdr:row>
      <xdr:rowOff>146685</xdr:rowOff>
    </xdr:from>
    <xdr:to>
      <xdr:col>32</xdr:col>
      <xdr:colOff>226695</xdr:colOff>
      <xdr:row>31</xdr:row>
      <xdr:rowOff>154305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78105</xdr:colOff>
      <xdr:row>18</xdr:row>
      <xdr:rowOff>158115</xdr:rowOff>
    </xdr:from>
    <xdr:to>
      <xdr:col>41</xdr:col>
      <xdr:colOff>382905</xdr:colOff>
      <xdr:row>36</xdr:row>
      <xdr:rowOff>20955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430530</xdr:colOff>
      <xdr:row>46</xdr:row>
      <xdr:rowOff>156209</xdr:rowOff>
    </xdr:from>
    <xdr:to>
      <xdr:col>36</xdr:col>
      <xdr:colOff>503464</xdr:colOff>
      <xdr:row>86</xdr:row>
      <xdr:rowOff>8964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14</xdr:row>
      <xdr:rowOff>146685</xdr:rowOff>
    </xdr:from>
    <xdr:to>
      <xdr:col>32</xdr:col>
      <xdr:colOff>226695</xdr:colOff>
      <xdr:row>31</xdr:row>
      <xdr:rowOff>154305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78105</xdr:colOff>
      <xdr:row>18</xdr:row>
      <xdr:rowOff>158115</xdr:rowOff>
    </xdr:from>
    <xdr:to>
      <xdr:col>41</xdr:col>
      <xdr:colOff>382905</xdr:colOff>
      <xdr:row>36</xdr:row>
      <xdr:rowOff>20955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8</xdr:row>
      <xdr:rowOff>78443</xdr:rowOff>
    </xdr:from>
    <xdr:to>
      <xdr:col>14</xdr:col>
      <xdr:colOff>0</xdr:colOff>
      <xdr:row>37</xdr:row>
      <xdr:rowOff>112058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50E469A5-FD5F-4EDB-A2C9-3E3CF5CDA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400603</xdr:colOff>
      <xdr:row>4</xdr:row>
      <xdr:rowOff>28575</xdr:rowOff>
    </xdr:from>
    <xdr:to>
      <xdr:col>13</xdr:col>
      <xdr:colOff>469381</xdr:colOff>
      <xdr:row>7</xdr:row>
      <xdr:rowOff>71622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84EBD299-2E8C-49DB-BC4D-86B994B04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878" y="1009650"/>
          <a:ext cx="992703" cy="747897"/>
        </a:xfrm>
        <a:prstGeom prst="rect">
          <a:avLst/>
        </a:prstGeom>
      </xdr:spPr>
    </xdr:pic>
    <xdr:clientData/>
  </xdr:twoCellAnchor>
  <xdr:twoCellAnchor>
    <xdr:from>
      <xdr:col>10</xdr:col>
      <xdr:colOff>750600</xdr:colOff>
      <xdr:row>12</xdr:row>
      <xdr:rowOff>12106</xdr:rowOff>
    </xdr:from>
    <xdr:to>
      <xdr:col>13</xdr:col>
      <xdr:colOff>526479</xdr:colOff>
      <xdr:row>14</xdr:row>
      <xdr:rowOff>67961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D9DBBE58-C98D-4FB4-AC13-5D55B74948B4}"/>
            </a:ext>
          </a:extLst>
        </xdr:cNvPr>
        <xdr:cNvGrpSpPr/>
      </xdr:nvGrpSpPr>
      <xdr:grpSpPr>
        <a:xfrm>
          <a:off x="9450100" y="2679106"/>
          <a:ext cx="2925479" cy="462255"/>
          <a:chOff x="9315822" y="1784262"/>
          <a:chExt cx="1630951" cy="194320"/>
        </a:xfrm>
      </xdr:grpSpPr>
      <xdr:sp macro="" textlink="">
        <xdr:nvSpPr>
          <xdr:cNvPr id="5" name="Tekstiruutu 4">
            <a:extLst>
              <a:ext uri="{FF2B5EF4-FFF2-40B4-BE49-F238E27FC236}">
                <a16:creationId xmlns:a16="http://schemas.microsoft.com/office/drawing/2014/main" id="{57949DD3-3B6A-CECE-2E8D-FE6B9FDB2A85}"/>
              </a:ext>
            </a:extLst>
          </xdr:cNvPr>
          <xdr:cNvSpPr txBox="1"/>
        </xdr:nvSpPr>
        <xdr:spPr>
          <a:xfrm>
            <a:off x="9315822" y="1784262"/>
            <a:ext cx="1630951" cy="1943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>
              <a:lnSpc>
                <a:spcPct val="100000"/>
              </a:lnSpc>
            </a:pPr>
            <a:r>
              <a:rPr lang="fi-FI" sz="1000" baseline="0">
                <a:latin typeface="Century Gothic" panose="020B0502020202020204" pitchFamily="34" charset="0"/>
              </a:rPr>
              <a:t>                          </a:t>
            </a:r>
            <a:endParaRPr lang="fi-FI" sz="1000">
              <a:latin typeface="Century Gothic" panose="020B0502020202020204" pitchFamily="34" charset="0"/>
            </a:endParaRPr>
          </a:p>
        </xdr:txBody>
      </xdr:sp>
      <xdr:grpSp>
        <xdr:nvGrpSpPr>
          <xdr:cNvPr id="6" name="Ryhmä 5">
            <a:extLst>
              <a:ext uri="{FF2B5EF4-FFF2-40B4-BE49-F238E27FC236}">
                <a16:creationId xmlns:a16="http://schemas.microsoft.com/office/drawing/2014/main" id="{93EBDA5B-2361-210D-F8D9-AA3D2326714D}"/>
              </a:ext>
            </a:extLst>
          </xdr:cNvPr>
          <xdr:cNvGrpSpPr/>
        </xdr:nvGrpSpPr>
        <xdr:grpSpPr>
          <a:xfrm>
            <a:off x="9367318" y="1839381"/>
            <a:ext cx="307859" cy="79438"/>
            <a:chOff x="9367318" y="1839381"/>
            <a:chExt cx="307859" cy="79438"/>
          </a:xfrm>
        </xdr:grpSpPr>
        <xdr:cxnSp macro="">
          <xdr:nvCxnSpPr>
            <xdr:cNvPr id="7" name="Suora yhdysviiva 6">
              <a:extLst>
                <a:ext uri="{FF2B5EF4-FFF2-40B4-BE49-F238E27FC236}">
                  <a16:creationId xmlns:a16="http://schemas.microsoft.com/office/drawing/2014/main" id="{B4DBF94C-33D5-C7E1-4CBA-DEF825FDB328}"/>
                </a:ext>
              </a:extLst>
            </xdr:cNvPr>
            <xdr:cNvCxnSpPr/>
          </xdr:nvCxnSpPr>
          <xdr:spPr>
            <a:xfrm>
              <a:off x="9367318" y="1839381"/>
              <a:ext cx="304800" cy="0"/>
            </a:xfrm>
            <a:prstGeom prst="line">
              <a:avLst/>
            </a:prstGeom>
            <a:ln w="190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Suora yhdysviiva 7">
              <a:extLst>
                <a:ext uri="{FF2B5EF4-FFF2-40B4-BE49-F238E27FC236}">
                  <a16:creationId xmlns:a16="http://schemas.microsoft.com/office/drawing/2014/main" id="{1CEA96AF-CE00-728C-11E9-F47DD95E9DCA}"/>
                </a:ext>
              </a:extLst>
            </xdr:cNvPr>
            <xdr:cNvCxnSpPr/>
          </xdr:nvCxnSpPr>
          <xdr:spPr>
            <a:xfrm>
              <a:off x="9370377" y="1918819"/>
              <a:ext cx="304800" cy="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26</xdr:col>
      <xdr:colOff>344260</xdr:colOff>
      <xdr:row>2</xdr:row>
      <xdr:rowOff>124098</xdr:rowOff>
    </xdr:from>
    <xdr:to>
      <xdr:col>28</xdr:col>
      <xdr:colOff>549968</xdr:colOff>
      <xdr:row>6</xdr:row>
      <xdr:rowOff>68035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1EB86CA5-BE60-4230-99CC-FB696BD85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63289" y="450669"/>
          <a:ext cx="1359593" cy="986245"/>
        </a:xfrm>
        <a:prstGeom prst="rect">
          <a:avLst/>
        </a:prstGeom>
      </xdr:spPr>
    </xdr:pic>
    <xdr:clientData/>
  </xdr:twoCellAnchor>
  <xdr:oneCellAnchor>
    <xdr:from>
      <xdr:col>27</xdr:col>
      <xdr:colOff>253364</xdr:colOff>
      <xdr:row>72</xdr:row>
      <xdr:rowOff>261566</xdr:rowOff>
    </xdr:from>
    <xdr:ext cx="937025" cy="219074"/>
    <xdr:pic>
      <xdr:nvPicPr>
        <xdr:cNvPr id="11" name="Kuva 10">
          <a:extLst>
            <a:ext uri="{FF2B5EF4-FFF2-40B4-BE49-F238E27FC236}">
              <a16:creationId xmlns:a16="http://schemas.microsoft.com/office/drawing/2014/main" id="{3EA53E5C-ACD9-4C48-BB73-475336A80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7489" y="14644316"/>
          <a:ext cx="937025" cy="21907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685800</xdr:colOff>
          <xdr:row>1</xdr:row>
          <xdr:rowOff>165100</xdr:rowOff>
        </xdr:from>
        <xdr:to>
          <xdr:col>12</xdr:col>
          <xdr:colOff>673100</xdr:colOff>
          <xdr:row>2</xdr:row>
          <xdr:rowOff>190500</xdr:rowOff>
        </xdr:to>
        <xdr:sp macro="" textlink="">
          <xdr:nvSpPr>
            <xdr:cNvPr id="93193" name="Option Button 9" descr="Suomi" hidden="1">
              <a:extLst>
                <a:ext uri="{63B3BB69-23CF-44E3-9099-C40C66FF867C}">
                  <a14:compatExt spid="_x0000_s93193"/>
                </a:ext>
                <a:ext uri="{FF2B5EF4-FFF2-40B4-BE49-F238E27FC236}">
                  <a16:creationId xmlns:a16="http://schemas.microsoft.com/office/drawing/2014/main" id="{00000000-0008-0000-0500-000009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533400</xdr:colOff>
          <xdr:row>1</xdr:row>
          <xdr:rowOff>165100</xdr:rowOff>
        </xdr:from>
        <xdr:to>
          <xdr:col>13</xdr:col>
          <xdr:colOff>508000</xdr:colOff>
          <xdr:row>2</xdr:row>
          <xdr:rowOff>203200</xdr:rowOff>
        </xdr:to>
        <xdr:sp macro="" textlink="">
          <xdr:nvSpPr>
            <xdr:cNvPr id="93194" name="Option Button 10" hidden="1">
              <a:extLst>
                <a:ext uri="{63B3BB69-23CF-44E3-9099-C40C66FF867C}">
                  <a14:compatExt spid="_x0000_s93194"/>
                </a:ext>
                <a:ext uri="{FF2B5EF4-FFF2-40B4-BE49-F238E27FC236}">
                  <a16:creationId xmlns:a16="http://schemas.microsoft.com/office/drawing/2014/main" id="{00000000-0008-0000-0500-00000A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ENG</a:t>
              </a:r>
            </a:p>
          </xdr:txBody>
        </xdr:sp>
        <xdr:clientData/>
      </xdr:twoCellAnchor>
    </mc:Choice>
    <mc:Fallback/>
  </mc:AlternateContent>
  <xdr:twoCellAnchor editAs="oneCell">
    <xdr:from>
      <xdr:col>11</xdr:col>
      <xdr:colOff>903069</xdr:colOff>
      <xdr:row>1</xdr:row>
      <xdr:rowOff>170995</xdr:rowOff>
    </xdr:from>
    <xdr:to>
      <xdr:col>12</xdr:col>
      <xdr:colOff>263784</xdr:colOff>
      <xdr:row>2</xdr:row>
      <xdr:rowOff>183408</xdr:rowOff>
    </xdr:to>
    <xdr:pic>
      <xdr:nvPicPr>
        <xdr:cNvPr id="12" name="Kuva 11" descr="Finland flag icon - Country flags">
          <a:extLst>
            <a:ext uri="{FF2B5EF4-FFF2-40B4-BE49-F238E27FC236}">
              <a16:creationId xmlns:a16="http://schemas.microsoft.com/office/drawing/2014/main" id="{B534B0AA-F274-43E1-B03F-044AA7BEE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8419" y="342445"/>
          <a:ext cx="284640" cy="193388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763408</xdr:colOff>
      <xdr:row>2</xdr:row>
      <xdr:rowOff>847</xdr:rowOff>
    </xdr:from>
    <xdr:to>
      <xdr:col>13</xdr:col>
      <xdr:colOff>138501</xdr:colOff>
      <xdr:row>2</xdr:row>
      <xdr:rowOff>179989</xdr:rowOff>
    </xdr:to>
    <xdr:pic>
      <xdr:nvPicPr>
        <xdr:cNvPr id="14" name="Kuva 13" descr="Free Vector | Illustration of uk flag">
          <a:extLst>
            <a:ext uri="{FF2B5EF4-FFF2-40B4-BE49-F238E27FC236}">
              <a16:creationId xmlns:a16="http://schemas.microsoft.com/office/drawing/2014/main" id="{117FD72F-07CD-4AF5-9ADC-BF406446B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0202683" y="353272"/>
          <a:ext cx="299018" cy="179142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487574</xdr:colOff>
      <xdr:row>11</xdr:row>
      <xdr:rowOff>186897</xdr:rowOff>
    </xdr:from>
    <xdr:ext cx="1893892" cy="257443"/>
    <xdr:sp macro="" textlink="KirjastoC!M17">
      <xdr:nvSpPr>
        <xdr:cNvPr id="16" name="Tekstiruutu 15">
          <a:extLst>
            <a:ext uri="{FF2B5EF4-FFF2-40B4-BE49-F238E27FC236}">
              <a16:creationId xmlns:a16="http://schemas.microsoft.com/office/drawing/2014/main" id="{676BFF2C-D085-44CF-88BB-13C1E5FAE158}"/>
            </a:ext>
          </a:extLst>
        </xdr:cNvPr>
        <xdr:cNvSpPr txBox="1"/>
      </xdr:nvSpPr>
      <xdr:spPr>
        <a:xfrm>
          <a:off x="9002924" y="2711022"/>
          <a:ext cx="1893892" cy="257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5DACEF58-FEA9-4B61-A859-BAF7F1D8E135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ea typeface="Calibri"/>
              <a:cs typeface="Calibri"/>
            </a:rPr>
            <a:pPr/>
            <a:t>Tuloilma</a:t>
          </a:fld>
          <a:endParaRPr lang="fi-FI" sz="100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11</xdr:col>
      <xdr:colOff>472503</xdr:colOff>
      <xdr:row>12</xdr:row>
      <xdr:rowOff>183045</xdr:rowOff>
    </xdr:from>
    <xdr:ext cx="1847120" cy="257443"/>
    <xdr:sp macro="" textlink="KirjastoC!M18">
      <xdr:nvSpPr>
        <xdr:cNvPr id="17" name="Tekstiruutu 16">
          <a:extLst>
            <a:ext uri="{FF2B5EF4-FFF2-40B4-BE49-F238E27FC236}">
              <a16:creationId xmlns:a16="http://schemas.microsoft.com/office/drawing/2014/main" id="{50674D50-5250-444B-8DF2-A058FA6EBB87}"/>
            </a:ext>
          </a:extLst>
        </xdr:cNvPr>
        <xdr:cNvSpPr txBox="1"/>
      </xdr:nvSpPr>
      <xdr:spPr>
        <a:xfrm>
          <a:off x="9220263" y="2880525"/>
          <a:ext cx="1847120" cy="257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0ED7568C-4E10-4A29-B139-BC02B8C403F8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ea typeface="Calibri"/>
              <a:cs typeface="Calibri"/>
            </a:rPr>
            <a:pPr/>
            <a:t>Poistoilma</a:t>
          </a:fld>
          <a:endParaRPr lang="fi-FI" sz="1000">
            <a:latin typeface="Century Gothic" panose="020B0502020202020204" pitchFamily="34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50800</xdr:colOff>
          <xdr:row>25</xdr:row>
          <xdr:rowOff>25400</xdr:rowOff>
        </xdr:from>
        <xdr:to>
          <xdr:col>20</xdr:col>
          <xdr:colOff>25400</xdr:colOff>
          <xdr:row>25</xdr:row>
          <xdr:rowOff>177800</xdr:rowOff>
        </xdr:to>
        <xdr:sp macro="" textlink="">
          <xdr:nvSpPr>
            <xdr:cNvPr id="93197" name="Drop Down 13" hidden="1">
              <a:extLst>
                <a:ext uri="{63B3BB69-23CF-44E3-9099-C40C66FF867C}">
                  <a14:compatExt spid="_x0000_s93197"/>
                </a:ext>
                <a:ext uri="{FF2B5EF4-FFF2-40B4-BE49-F238E27FC236}">
                  <a16:creationId xmlns:a16="http://schemas.microsoft.com/office/drawing/2014/main" id="{00000000-0008-0000-0500-00000D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50800</xdr:colOff>
          <xdr:row>28</xdr:row>
          <xdr:rowOff>50800</xdr:rowOff>
        </xdr:from>
        <xdr:to>
          <xdr:col>20</xdr:col>
          <xdr:colOff>25400</xdr:colOff>
          <xdr:row>29</xdr:row>
          <xdr:rowOff>12700</xdr:rowOff>
        </xdr:to>
        <xdr:sp macro="" textlink="">
          <xdr:nvSpPr>
            <xdr:cNvPr id="93198" name="Drop Down 14" hidden="1">
              <a:extLst>
                <a:ext uri="{63B3BB69-23CF-44E3-9099-C40C66FF867C}">
                  <a14:compatExt spid="_x0000_s93198"/>
                </a:ext>
                <a:ext uri="{FF2B5EF4-FFF2-40B4-BE49-F238E27FC236}">
                  <a16:creationId xmlns:a16="http://schemas.microsoft.com/office/drawing/2014/main" id="{00000000-0008-0000-0500-00000E6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12</xdr:col>
      <xdr:colOff>806823</xdr:colOff>
      <xdr:row>72</xdr:row>
      <xdr:rowOff>246529</xdr:rowOff>
    </xdr:from>
    <xdr:ext cx="937025" cy="219074"/>
    <xdr:pic>
      <xdr:nvPicPr>
        <xdr:cNvPr id="18" name="Kuva 17">
          <a:extLst>
            <a:ext uri="{FF2B5EF4-FFF2-40B4-BE49-F238E27FC236}">
              <a16:creationId xmlns:a16="http://schemas.microsoft.com/office/drawing/2014/main" id="{D17F8278-D663-447F-8015-38BA56453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3382" y="14623676"/>
          <a:ext cx="937025" cy="219074"/>
        </a:xfrm>
        <a:prstGeom prst="rect">
          <a:avLst/>
        </a:prstGeom>
      </xdr:spPr>
    </xdr:pic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103655</xdr:rowOff>
    </xdr:from>
    <xdr:to>
      <xdr:col>33</xdr:col>
      <xdr:colOff>238125</xdr:colOff>
      <xdr:row>28</xdr:row>
      <xdr:rowOff>65555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12</xdr:row>
      <xdr:rowOff>76200</xdr:rowOff>
    </xdr:from>
    <xdr:to>
      <xdr:col>33</xdr:col>
      <xdr:colOff>266700</xdr:colOff>
      <xdr:row>29</xdr:row>
      <xdr:rowOff>104775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76200</xdr:colOff>
      <xdr:row>65</xdr:row>
      <xdr:rowOff>57150</xdr:rowOff>
    </xdr:from>
    <xdr:to>
      <xdr:col>33</xdr:col>
      <xdr:colOff>381000</xdr:colOff>
      <xdr:row>81</xdr:row>
      <xdr:rowOff>57150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12</xdr:row>
      <xdr:rowOff>76200</xdr:rowOff>
    </xdr:from>
    <xdr:to>
      <xdr:col>33</xdr:col>
      <xdr:colOff>266700</xdr:colOff>
      <xdr:row>29</xdr:row>
      <xdr:rowOff>104775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24</xdr:row>
          <xdr:rowOff>0</xdr:rowOff>
        </xdr:from>
        <xdr:to>
          <xdr:col>1</xdr:col>
          <xdr:colOff>1041400</xdr:colOff>
          <xdr:row>24</xdr:row>
          <xdr:rowOff>165100</xdr:rowOff>
        </xdr:to>
        <xdr:sp macro="" textlink="">
          <xdr:nvSpPr>
            <xdr:cNvPr id="239617" name="Drop Down 1" hidden="1">
              <a:extLst>
                <a:ext uri="{63B3BB69-23CF-44E3-9099-C40C66FF867C}">
                  <a14:compatExt spid="_x0000_s239617"/>
                </a:ext>
                <a:ext uri="{FF2B5EF4-FFF2-40B4-BE49-F238E27FC236}">
                  <a16:creationId xmlns:a16="http://schemas.microsoft.com/office/drawing/2014/main" id="{00000000-0008-0000-5600-000001A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434340</xdr:colOff>
      <xdr:row>84</xdr:row>
      <xdr:rowOff>156210</xdr:rowOff>
    </xdr:from>
    <xdr:to>
      <xdr:col>17</xdr:col>
      <xdr:colOff>502920</xdr:colOff>
      <xdr:row>122</xdr:row>
      <xdr:rowOff>83820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872408E-528B-44FD-A6FB-DE72422A0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24</xdr:row>
          <xdr:rowOff>0</xdr:rowOff>
        </xdr:from>
        <xdr:to>
          <xdr:col>1</xdr:col>
          <xdr:colOff>1041400</xdr:colOff>
          <xdr:row>24</xdr:row>
          <xdr:rowOff>165100</xdr:rowOff>
        </xdr:to>
        <xdr:sp macro="" textlink="">
          <xdr:nvSpPr>
            <xdr:cNvPr id="46081" name="Drop Down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57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434340</xdr:colOff>
      <xdr:row>84</xdr:row>
      <xdr:rowOff>156210</xdr:rowOff>
    </xdr:from>
    <xdr:to>
      <xdr:col>17</xdr:col>
      <xdr:colOff>502920</xdr:colOff>
      <xdr:row>122</xdr:row>
      <xdr:rowOff>83820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97</xdr:row>
      <xdr:rowOff>19050</xdr:rowOff>
    </xdr:from>
    <xdr:to>
      <xdr:col>15</xdr:col>
      <xdr:colOff>419100</xdr:colOff>
      <xdr:row>113</xdr:row>
      <xdr:rowOff>19050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190500</xdr:colOff>
      <xdr:row>122</xdr:row>
      <xdr:rowOff>38100</xdr:rowOff>
    </xdr:from>
    <xdr:to>
      <xdr:col>15</xdr:col>
      <xdr:colOff>552450</xdr:colOff>
      <xdr:row>138</xdr:row>
      <xdr:rowOff>38100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28574</xdr:colOff>
      <xdr:row>109</xdr:row>
      <xdr:rowOff>19050</xdr:rowOff>
    </xdr:from>
    <xdr:to>
      <xdr:col>27</xdr:col>
      <xdr:colOff>342899</xdr:colOff>
      <xdr:row>125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352984</xdr:colOff>
      <xdr:row>20</xdr:row>
      <xdr:rowOff>135590</xdr:rowOff>
    </xdr:from>
    <xdr:to>
      <xdr:col>15</xdr:col>
      <xdr:colOff>5602</xdr:colOff>
      <xdr:row>33</xdr:row>
      <xdr:rowOff>43702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369794</xdr:colOff>
      <xdr:row>33</xdr:row>
      <xdr:rowOff>123264</xdr:rowOff>
    </xdr:from>
    <xdr:to>
      <xdr:col>14</xdr:col>
      <xdr:colOff>605116</xdr:colOff>
      <xdr:row>45</xdr:row>
      <xdr:rowOff>154640</xdr:rowOff>
    </xdr:to>
    <xdr:graphicFrame macro="">
      <xdr:nvGraphicFramePr>
        <xdr:cNvPr id="13" name="Kaavi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33</xdr:col>
      <xdr:colOff>33617</xdr:colOff>
      <xdr:row>68</xdr:row>
      <xdr:rowOff>67235</xdr:rowOff>
    </xdr:from>
    <xdr:to>
      <xdr:col>40</xdr:col>
      <xdr:colOff>31998</xdr:colOff>
      <xdr:row>82</xdr:row>
      <xdr:rowOff>73277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EEE417-969D-C556-D99D-6A53BDA9D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916529" y="14590059"/>
          <a:ext cx="4458322" cy="314368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581025</xdr:colOff>
      <xdr:row>10</xdr:row>
      <xdr:rowOff>14287</xdr:rowOff>
    </xdr:from>
    <xdr:to>
      <xdr:col>21</xdr:col>
      <xdr:colOff>276225</xdr:colOff>
      <xdr:row>24</xdr:row>
      <xdr:rowOff>142875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86AD9079-4113-4318-7EAB-6E3CF86F03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4</xdr:col>
          <xdr:colOff>0</xdr:colOff>
          <xdr:row>13</xdr:row>
          <xdr:rowOff>0</xdr:rowOff>
        </xdr:to>
        <xdr:sp macro="" textlink="">
          <xdr:nvSpPr>
            <xdr:cNvPr id="33793" name="Drop Down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5A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660400</xdr:colOff>
          <xdr:row>13</xdr:row>
          <xdr:rowOff>0</xdr:rowOff>
        </xdr:from>
        <xdr:to>
          <xdr:col>3</xdr:col>
          <xdr:colOff>444500</xdr:colOff>
          <xdr:row>14</xdr:row>
          <xdr:rowOff>12700</xdr:rowOff>
        </xdr:to>
        <xdr:sp macro="" textlink="">
          <xdr:nvSpPr>
            <xdr:cNvPr id="33794" name="Drop Down 3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5A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5374790" y="375062"/>
          <a:ext cx="39855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CxnSpPr/>
      </xdr:nvCxnSpPr>
      <xdr:spPr>
        <a:xfrm>
          <a:off x="5526768" y="37836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74790" y="460787"/>
          <a:ext cx="39855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13391624" y="378897"/>
          <a:ext cx="408077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CxnSpPr/>
      </xdr:nvCxnSpPr>
      <xdr:spPr>
        <a:xfrm>
          <a:off x="13388866" y="47362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CxnSpPr/>
      </xdr:nvCxnSpPr>
      <xdr:spPr>
        <a:xfrm>
          <a:off x="13543762" y="37784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9315927" y="377666"/>
          <a:ext cx="408077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9312697" y="447704"/>
          <a:ext cx="410528" cy="47624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>
        <a:xfrm>
          <a:off x="9500234" y="383619"/>
          <a:ext cx="41910" cy="178356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CxnSpPr/>
      </xdr:nvCxnSpPr>
      <xdr:spPr>
        <a:xfrm flipV="1">
          <a:off x="9312092" y="381904"/>
          <a:ext cx="412545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CxnSpPr/>
      </xdr:nvCxnSpPr>
      <xdr:spPr>
        <a:xfrm>
          <a:off x="9306955" y="383970"/>
          <a:ext cx="414453" cy="17684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CxnSpPr/>
      </xdr:nvCxnSpPr>
      <xdr:spPr>
        <a:xfrm>
          <a:off x="9312321" y="382360"/>
          <a:ext cx="41064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CxnSpPr/>
      </xdr:nvCxnSpPr>
      <xdr:spPr>
        <a:xfrm flipV="1">
          <a:off x="9305805" y="384489"/>
          <a:ext cx="412545" cy="194854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CxnSpPr/>
      </xdr:nvCxnSpPr>
      <xdr:spPr>
        <a:xfrm flipV="1">
          <a:off x="9304716" y="358500"/>
          <a:ext cx="422070" cy="19240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CxnSpPr/>
      </xdr:nvCxnSpPr>
      <xdr:spPr>
        <a:xfrm>
          <a:off x="9304837" y="402090"/>
          <a:ext cx="41826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CxnSpPr/>
      </xdr:nvCxnSpPr>
      <xdr:spPr>
        <a:xfrm>
          <a:off x="13543762" y="377847"/>
          <a:ext cx="0" cy="19430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0.72521</cdr:x>
      <cdr:y>0.04072</cdr:y>
    </cdr:from>
    <cdr:to>
      <cdr:x>0.97092</cdr:x>
      <cdr:y>0.11299</cdr:y>
    </cdr:to>
    <cdr:sp macro="" textlink="KirjastoC!$M$16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25259208-2A74-40B1-9301-ADD8EE5868BD}"/>
            </a:ext>
          </a:extLst>
        </cdr:cNvPr>
        <cdr:cNvSpPr txBox="1"/>
      </cdr:nvSpPr>
      <cdr:spPr>
        <a:xfrm xmlns:a="http://schemas.openxmlformats.org/drawingml/2006/main">
          <a:off x="7755289" y="230103"/>
          <a:ext cx="2627587" cy="40837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>
              <a:lumMod val="50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38460508-79DB-4FC9-B92F-050BE74955D7}" type="TxLink">
            <a:rPr lang="en-US" sz="1050" b="0" i="0" u="none" strike="noStrike" baseline="0">
              <a:solidFill>
                <a:srgbClr val="000000"/>
              </a:solidFill>
              <a:latin typeface="Century Gothic" panose="020B0502020202020204" pitchFamily="34" charset="0"/>
              <a:ea typeface="Calibri"/>
              <a:cs typeface="Calibri"/>
            </a:rPr>
            <a:pPr algn="l"/>
            <a:t>Ilman tiheys: 1,2 kg/m³</a:t>
          </a:fld>
          <a:endParaRPr lang="fi-FI" sz="800" baseline="30000">
            <a:latin typeface="Century Gothic" panose="020B0502020202020204" pitchFamily="34" charset="0"/>
          </a:endParaRP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5374790" y="375062"/>
          <a:ext cx="39855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CxnSpPr/>
      </xdr:nvCxnSpPr>
      <xdr:spPr>
        <a:xfrm>
          <a:off x="5526768" y="37836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74790" y="460787"/>
          <a:ext cx="39855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13391624" y="378897"/>
          <a:ext cx="408077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CxnSpPr/>
      </xdr:nvCxnSpPr>
      <xdr:spPr>
        <a:xfrm>
          <a:off x="13388866" y="47362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CxnSpPr/>
      </xdr:nvCxnSpPr>
      <xdr:spPr>
        <a:xfrm>
          <a:off x="13543762" y="37784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/>
      </xdr:nvSpPr>
      <xdr:spPr>
        <a:xfrm>
          <a:off x="9315927" y="377666"/>
          <a:ext cx="408077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9312697" y="447704"/>
          <a:ext cx="410528" cy="47624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>
        <a:xfrm>
          <a:off x="9500234" y="383619"/>
          <a:ext cx="41910" cy="178356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CxnSpPr/>
      </xdr:nvCxnSpPr>
      <xdr:spPr>
        <a:xfrm flipV="1">
          <a:off x="9312092" y="381904"/>
          <a:ext cx="412545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CxnSpPr/>
      </xdr:nvCxnSpPr>
      <xdr:spPr>
        <a:xfrm>
          <a:off x="9306955" y="383970"/>
          <a:ext cx="414453" cy="17684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CxnSpPr/>
      </xdr:nvCxnSpPr>
      <xdr:spPr>
        <a:xfrm>
          <a:off x="9312321" y="382360"/>
          <a:ext cx="41064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CxnSpPr/>
      </xdr:nvCxnSpPr>
      <xdr:spPr>
        <a:xfrm flipV="1">
          <a:off x="9305805" y="384489"/>
          <a:ext cx="412545" cy="194854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CxnSpPr/>
      </xdr:nvCxnSpPr>
      <xdr:spPr>
        <a:xfrm flipV="1">
          <a:off x="9304716" y="358500"/>
          <a:ext cx="422070" cy="19240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CxnSpPr/>
      </xdr:nvCxnSpPr>
      <xdr:spPr>
        <a:xfrm>
          <a:off x="9304837" y="402090"/>
          <a:ext cx="41826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CxnSpPr/>
      </xdr:nvCxnSpPr>
      <xdr:spPr>
        <a:xfrm>
          <a:off x="13543762" y="377847"/>
          <a:ext cx="0" cy="19430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</xdr:colOff>
      <xdr:row>5</xdr:row>
      <xdr:rowOff>95251</xdr:rowOff>
    </xdr:from>
    <xdr:to>
      <xdr:col>18</xdr:col>
      <xdr:colOff>377410</xdr:colOff>
      <xdr:row>24</xdr:row>
      <xdr:rowOff>95251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0350" y="1438276"/>
          <a:ext cx="929860" cy="3257550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5</xdr:row>
      <xdr:rowOff>87093</xdr:rowOff>
    </xdr:from>
    <xdr:to>
      <xdr:col>23</xdr:col>
      <xdr:colOff>359960</xdr:colOff>
      <xdr:row>11</xdr:row>
      <xdr:rowOff>47625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20475" y="1439643"/>
          <a:ext cx="2960285" cy="989232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390525</xdr:colOff>
      <xdr:row>4</xdr:row>
      <xdr:rowOff>28575</xdr:rowOff>
    </xdr:from>
    <xdr:to>
      <xdr:col>28</xdr:col>
      <xdr:colOff>85725</xdr:colOff>
      <xdr:row>19</xdr:row>
      <xdr:rowOff>133350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409575</xdr:colOff>
      <xdr:row>20</xdr:row>
      <xdr:rowOff>76200</xdr:rowOff>
    </xdr:from>
    <xdr:to>
      <xdr:col>28</xdr:col>
      <xdr:colOff>104775</xdr:colOff>
      <xdr:row>36</xdr:row>
      <xdr:rowOff>19050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457200</xdr:colOff>
      <xdr:row>40</xdr:row>
      <xdr:rowOff>0</xdr:rowOff>
    </xdr:from>
    <xdr:to>
      <xdr:col>28</xdr:col>
      <xdr:colOff>152400</xdr:colOff>
      <xdr:row>56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CB68ABF6-4572-4C27-BEB7-66F2ECD125C5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F97ED59C-4246-4579-8E7B-FD243C2B388B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5368EF57-E9C7-4226-B186-D2E39D720390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364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4B7FF8FB-3C8F-4BFE-8D1D-25CFC4323375}"/>
            </a:ext>
          </a:extLst>
        </xdr:cNvPr>
        <xdr:cNvSpPr/>
      </xdr:nvSpPr>
      <xdr:spPr>
        <a:xfrm>
          <a:off x="13109684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AF09D9D8-B67F-4ADF-82C9-E4FE41E48787}"/>
            </a:ext>
          </a:extLst>
        </xdr:cNvPr>
        <xdr:cNvCxnSpPr/>
      </xdr:nvCxnSpPr>
      <xdr:spPr>
        <a:xfrm>
          <a:off x="13106926" y="492673"/>
          <a:ext cx="39855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D4C061B-D52F-4638-9279-F7B1AF9DB5EE}"/>
            </a:ext>
          </a:extLst>
        </xdr:cNvPr>
        <xdr:cNvCxnSpPr/>
      </xdr:nvCxnSpPr>
      <xdr:spPr>
        <a:xfrm>
          <a:off x="13254202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28512152-51CC-43DF-BC35-40F49191A863}"/>
            </a:ext>
          </a:extLst>
        </xdr:cNvPr>
        <xdr:cNvSpPr/>
      </xdr:nvSpPr>
      <xdr:spPr>
        <a:xfrm>
          <a:off x="914638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14D9F564-2712-4FEE-B4AD-BE3EEBF81B48}"/>
            </a:ext>
          </a:extLst>
        </xdr:cNvPr>
        <xdr:cNvSpPr/>
      </xdr:nvSpPr>
      <xdr:spPr>
        <a:xfrm>
          <a:off x="914315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89B47BAA-6BA9-456E-9850-ABA0A75BB960}"/>
            </a:ext>
          </a:extLst>
        </xdr:cNvPr>
        <xdr:cNvSpPr/>
      </xdr:nvSpPr>
      <xdr:spPr>
        <a:xfrm>
          <a:off x="932497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3E5F1F31-DF34-4B5F-9ECE-66EAC8C87DFC}"/>
            </a:ext>
          </a:extLst>
        </xdr:cNvPr>
        <xdr:cNvCxnSpPr/>
      </xdr:nvCxnSpPr>
      <xdr:spPr>
        <a:xfrm flipV="1">
          <a:off x="914254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E3D127A-3945-410D-8FC8-36636F81F7E6}"/>
            </a:ext>
          </a:extLst>
        </xdr:cNvPr>
        <xdr:cNvCxnSpPr/>
      </xdr:nvCxnSpPr>
      <xdr:spPr>
        <a:xfrm>
          <a:off x="913931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5BA9CB13-8D80-44AC-8A2E-DED23682661D}"/>
            </a:ext>
          </a:extLst>
        </xdr:cNvPr>
        <xdr:cNvCxnSpPr/>
      </xdr:nvCxnSpPr>
      <xdr:spPr>
        <a:xfrm>
          <a:off x="9142776" y="397600"/>
          <a:ext cx="412548" cy="17493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DEEF11FC-5ED8-4B04-9115-38D6523C43D5}"/>
            </a:ext>
          </a:extLst>
        </xdr:cNvPr>
        <xdr:cNvCxnSpPr/>
      </xdr:nvCxnSpPr>
      <xdr:spPr>
        <a:xfrm flipV="1">
          <a:off x="913816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8FEC8825-FB95-4058-B45F-5103406B7904}"/>
            </a:ext>
          </a:extLst>
        </xdr:cNvPr>
        <xdr:cNvCxnSpPr/>
      </xdr:nvCxnSpPr>
      <xdr:spPr>
        <a:xfrm flipV="1">
          <a:off x="9137076" y="369930"/>
          <a:ext cx="414450" cy="20002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C28B9E48-8641-4229-ABB2-79F5963ECE16}"/>
            </a:ext>
          </a:extLst>
        </xdr:cNvPr>
        <xdr:cNvCxnSpPr/>
      </xdr:nvCxnSpPr>
      <xdr:spPr>
        <a:xfrm>
          <a:off x="9137197" y="421140"/>
          <a:ext cx="41064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56ABF721-7E21-43B8-82B8-FB1D4354D319}"/>
            </a:ext>
          </a:extLst>
        </xdr:cNvPr>
        <xdr:cNvCxnSpPr/>
      </xdr:nvCxnSpPr>
      <xdr:spPr>
        <a:xfrm>
          <a:off x="13261822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25400</xdr:colOff>
          <xdr:row>6</xdr:row>
          <xdr:rowOff>63500</xdr:rowOff>
        </xdr:from>
        <xdr:to>
          <xdr:col>12</xdr:col>
          <xdr:colOff>241300</xdr:colOff>
          <xdr:row>7</xdr:row>
          <xdr:rowOff>139700</xdr:rowOff>
        </xdr:to>
        <xdr:sp macro="" textlink="">
          <xdr:nvSpPr>
            <xdr:cNvPr id="295937" name="Drop Down 1" hidden="1">
              <a:extLst>
                <a:ext uri="{63B3BB69-23CF-44E3-9099-C40C66FF867C}">
                  <a14:compatExt spid="_x0000_s295937"/>
                </a:ext>
                <a:ext uri="{FF2B5EF4-FFF2-40B4-BE49-F238E27FC236}">
                  <a16:creationId xmlns:a16="http://schemas.microsoft.com/office/drawing/2014/main" id="{00000000-0008-0000-6200-0000018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8963</xdr:colOff>
      <xdr:row>38</xdr:row>
      <xdr:rowOff>0</xdr:rowOff>
    </xdr:from>
    <xdr:to>
      <xdr:col>22</xdr:col>
      <xdr:colOff>68501</xdr:colOff>
      <xdr:row>47</xdr:row>
      <xdr:rowOff>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95B0560-2855-2409-7D5A-71628BBF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798" y="6454588"/>
          <a:ext cx="6155538" cy="15688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101600</xdr:colOff>
          <xdr:row>77</xdr:row>
          <xdr:rowOff>127000</xdr:rowOff>
        </xdr:from>
        <xdr:to>
          <xdr:col>29</xdr:col>
          <xdr:colOff>533400</xdr:colOff>
          <xdr:row>78</xdr:row>
          <xdr:rowOff>165100</xdr:rowOff>
        </xdr:to>
        <xdr:sp macro="" textlink="">
          <xdr:nvSpPr>
            <xdr:cNvPr id="295938" name="Drop Down 2" hidden="1">
              <a:extLst>
                <a:ext uri="{63B3BB69-23CF-44E3-9099-C40C66FF867C}">
                  <a14:compatExt spid="_x0000_s295938"/>
                </a:ext>
                <a:ext uri="{FF2B5EF4-FFF2-40B4-BE49-F238E27FC236}">
                  <a16:creationId xmlns:a16="http://schemas.microsoft.com/office/drawing/2014/main" id="{00000000-0008-0000-6200-0000028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101600</xdr:colOff>
          <xdr:row>76</xdr:row>
          <xdr:rowOff>38100</xdr:rowOff>
        </xdr:from>
        <xdr:to>
          <xdr:col>22</xdr:col>
          <xdr:colOff>25400</xdr:colOff>
          <xdr:row>77</xdr:row>
          <xdr:rowOff>76200</xdr:rowOff>
        </xdr:to>
        <xdr:sp macro="" textlink="">
          <xdr:nvSpPr>
            <xdr:cNvPr id="295939" name="Drop Down 3" hidden="1">
              <a:extLst>
                <a:ext uri="{63B3BB69-23CF-44E3-9099-C40C66FF867C}">
                  <a14:compatExt spid="_x0000_s295939"/>
                </a:ext>
                <a:ext uri="{FF2B5EF4-FFF2-40B4-BE49-F238E27FC236}">
                  <a16:creationId xmlns:a16="http://schemas.microsoft.com/office/drawing/2014/main" id="{00000000-0008-0000-6200-0000038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559820</xdr:colOff>
      <xdr:row>39</xdr:row>
      <xdr:rowOff>69174</xdr:rowOff>
    </xdr:from>
    <xdr:to>
      <xdr:col>28</xdr:col>
      <xdr:colOff>37318</xdr:colOff>
      <xdr:row>61</xdr:row>
      <xdr:rowOff>54584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5F77269-092C-2827-E08A-D3B201CE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5670" y="7651074"/>
          <a:ext cx="9840698" cy="40240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50800</xdr:colOff>
          <xdr:row>6</xdr:row>
          <xdr:rowOff>101600</xdr:rowOff>
        </xdr:from>
        <xdr:to>
          <xdr:col>10</xdr:col>
          <xdr:colOff>368300</xdr:colOff>
          <xdr:row>7</xdr:row>
          <xdr:rowOff>152400</xdr:rowOff>
        </xdr:to>
        <xdr:sp macro="" textlink="">
          <xdr:nvSpPr>
            <xdr:cNvPr id="309250" name="Drop Down 2" hidden="1">
              <a:extLst>
                <a:ext uri="{63B3BB69-23CF-44E3-9099-C40C66FF867C}">
                  <a14:compatExt spid="_x0000_s309250"/>
                </a:ext>
                <a:ext uri="{FF2B5EF4-FFF2-40B4-BE49-F238E27FC236}">
                  <a16:creationId xmlns:a16="http://schemas.microsoft.com/office/drawing/2014/main" id="{00000000-0008-0000-6300-000002B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63500</xdr:colOff>
          <xdr:row>93</xdr:row>
          <xdr:rowOff>139700</xdr:rowOff>
        </xdr:from>
        <xdr:to>
          <xdr:col>20</xdr:col>
          <xdr:colOff>101600</xdr:colOff>
          <xdr:row>94</xdr:row>
          <xdr:rowOff>165100</xdr:rowOff>
        </xdr:to>
        <xdr:sp macro="" textlink="">
          <xdr:nvSpPr>
            <xdr:cNvPr id="309251" name="Drop Down 3" hidden="1">
              <a:extLst>
                <a:ext uri="{63B3BB69-23CF-44E3-9099-C40C66FF867C}">
                  <a14:compatExt spid="_x0000_s309251"/>
                </a:ext>
                <a:ext uri="{FF2B5EF4-FFF2-40B4-BE49-F238E27FC236}">
                  <a16:creationId xmlns:a16="http://schemas.microsoft.com/office/drawing/2014/main" id="{00000000-0008-0000-6300-000003B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76200</xdr:colOff>
          <xdr:row>95</xdr:row>
          <xdr:rowOff>38100</xdr:rowOff>
        </xdr:from>
        <xdr:to>
          <xdr:col>20</xdr:col>
          <xdr:colOff>114300</xdr:colOff>
          <xdr:row>96</xdr:row>
          <xdr:rowOff>63500</xdr:rowOff>
        </xdr:to>
        <xdr:sp macro="" textlink="">
          <xdr:nvSpPr>
            <xdr:cNvPr id="309252" name="Drop Down 4" hidden="1">
              <a:extLst>
                <a:ext uri="{63B3BB69-23CF-44E3-9099-C40C66FF867C}">
                  <a14:compatExt spid="_x0000_s309252"/>
                </a:ext>
                <a:ext uri="{FF2B5EF4-FFF2-40B4-BE49-F238E27FC236}">
                  <a16:creationId xmlns:a16="http://schemas.microsoft.com/office/drawing/2014/main" id="{00000000-0008-0000-6300-000004B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476250</xdr:colOff>
      <xdr:row>46</xdr:row>
      <xdr:rowOff>0</xdr:rowOff>
    </xdr:from>
    <xdr:to>
      <xdr:col>34</xdr:col>
      <xdr:colOff>42863</xdr:colOff>
      <xdr:row>67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B982374-F86E-46DA-A312-8EBFED8B5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442634</xdr:colOff>
      <xdr:row>47</xdr:row>
      <xdr:rowOff>151279</xdr:rowOff>
    </xdr:from>
    <xdr:to>
      <xdr:col>23</xdr:col>
      <xdr:colOff>290234</xdr:colOff>
      <xdr:row>62</xdr:row>
      <xdr:rowOff>126626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7B88C898-A53C-47A4-AEF7-3525BE559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476250</xdr:colOff>
      <xdr:row>64</xdr:row>
      <xdr:rowOff>38100</xdr:rowOff>
    </xdr:from>
    <xdr:to>
      <xdr:col>23</xdr:col>
      <xdr:colOff>323850</xdr:colOff>
      <xdr:row>78</xdr:row>
      <xdr:rowOff>114300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19A2F98E-88A3-40B7-B203-40DA1663F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133350</xdr:colOff>
      <xdr:row>1</xdr:row>
      <xdr:rowOff>33337</xdr:rowOff>
    </xdr:from>
    <xdr:to>
      <xdr:col>37</xdr:col>
      <xdr:colOff>419100</xdr:colOff>
      <xdr:row>22</xdr:row>
      <xdr:rowOff>28575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B53B2A7E-F7B9-46DA-A0E0-0C1516DF2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42862</xdr:colOff>
      <xdr:row>24</xdr:row>
      <xdr:rowOff>100011</xdr:rowOff>
    </xdr:from>
    <xdr:to>
      <xdr:col>37</xdr:col>
      <xdr:colOff>347662</xdr:colOff>
      <xdr:row>43</xdr:row>
      <xdr:rowOff>76199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C53536CF-F256-4BC4-8B2D-87F300BB9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476250</xdr:colOff>
      <xdr:row>46</xdr:row>
      <xdr:rowOff>0</xdr:rowOff>
    </xdr:from>
    <xdr:to>
      <xdr:col>34</xdr:col>
      <xdr:colOff>42863</xdr:colOff>
      <xdr:row>67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B16E4B7F-5443-4E42-9E50-EFDF71120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555764</xdr:colOff>
      <xdr:row>47</xdr:row>
      <xdr:rowOff>100220</xdr:rowOff>
    </xdr:from>
    <xdr:to>
      <xdr:col>23</xdr:col>
      <xdr:colOff>403364</xdr:colOff>
      <xdr:row>62</xdr:row>
      <xdr:rowOff>88624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5DBE7A70-BB2A-455E-8467-33503624F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476250</xdr:colOff>
      <xdr:row>64</xdr:row>
      <xdr:rowOff>38100</xdr:rowOff>
    </xdr:from>
    <xdr:to>
      <xdr:col>23</xdr:col>
      <xdr:colOff>323850</xdr:colOff>
      <xdr:row>78</xdr:row>
      <xdr:rowOff>114300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C04D5DC7-FC16-4752-B2AC-B62E8A171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357808</xdr:colOff>
      <xdr:row>1</xdr:row>
      <xdr:rowOff>206</xdr:rowOff>
    </xdr:from>
    <xdr:to>
      <xdr:col>40</xdr:col>
      <xdr:colOff>87795</xdr:colOff>
      <xdr:row>21</xdr:row>
      <xdr:rowOff>161096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FF4B885B-B117-4419-91D1-F613BCC02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166687</xdr:colOff>
      <xdr:row>24</xdr:row>
      <xdr:rowOff>4761</xdr:rowOff>
    </xdr:from>
    <xdr:to>
      <xdr:col>37</xdr:col>
      <xdr:colOff>471487</xdr:colOff>
      <xdr:row>42</xdr:row>
      <xdr:rowOff>142874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C259E14A-D9BE-4EC7-8F3B-4B69086D9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546652</xdr:colOff>
      <xdr:row>55</xdr:row>
      <xdr:rowOff>41828</xdr:rowOff>
    </xdr:from>
    <xdr:to>
      <xdr:col>27</xdr:col>
      <xdr:colOff>527189</xdr:colOff>
      <xdr:row>78</xdr:row>
      <xdr:rowOff>82412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FC4F75DC-D9DB-49FE-99E0-E78E5D01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124447</xdr:colOff>
      <xdr:row>55</xdr:row>
      <xdr:rowOff>62120</xdr:rowOff>
    </xdr:from>
    <xdr:to>
      <xdr:col>35</xdr:col>
      <xdr:colOff>388662</xdr:colOff>
      <xdr:row>71</xdr:row>
      <xdr:rowOff>43484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24EA1D25-A0F6-405E-A60B-614543183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488674</xdr:colOff>
      <xdr:row>56</xdr:row>
      <xdr:rowOff>1</xdr:rowOff>
    </xdr:from>
    <xdr:to>
      <xdr:col>43</xdr:col>
      <xdr:colOff>139975</xdr:colOff>
      <xdr:row>71</xdr:row>
      <xdr:rowOff>125896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5E83F9E-EC8F-4F0D-B354-51083B57E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447259</xdr:colOff>
      <xdr:row>80</xdr:row>
      <xdr:rowOff>86139</xdr:rowOff>
    </xdr:from>
    <xdr:to>
      <xdr:col>19</xdr:col>
      <xdr:colOff>496956</xdr:colOff>
      <xdr:row>98</xdr:row>
      <xdr:rowOff>124238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802F0AE1-0F7D-4D82-954E-27A1869E2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70889</xdr:colOff>
      <xdr:row>118</xdr:row>
      <xdr:rowOff>89549</xdr:rowOff>
    </xdr:from>
    <xdr:to>
      <xdr:col>28</xdr:col>
      <xdr:colOff>538857</xdr:colOff>
      <xdr:row>135</xdr:row>
      <xdr:rowOff>69671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7B4CA523-B97C-45EB-8C97-076FE482C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207067</xdr:colOff>
      <xdr:row>34</xdr:row>
      <xdr:rowOff>74543</xdr:rowOff>
    </xdr:from>
    <xdr:to>
      <xdr:col>41</xdr:col>
      <xdr:colOff>198784</xdr:colOff>
      <xdr:row>52</xdr:row>
      <xdr:rowOff>33130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70324F8F-700D-4693-A16F-04263CB12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571498</xdr:colOff>
      <xdr:row>54</xdr:row>
      <xdr:rowOff>119268</xdr:rowOff>
    </xdr:from>
    <xdr:to>
      <xdr:col>54</xdr:col>
      <xdr:colOff>546651</xdr:colOff>
      <xdr:row>78</xdr:row>
      <xdr:rowOff>157369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EB40C539-5E05-47D7-B7CD-3D1AE19B0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331304</xdr:colOff>
      <xdr:row>55</xdr:row>
      <xdr:rowOff>41828</xdr:rowOff>
    </xdr:from>
    <xdr:to>
      <xdr:col>27</xdr:col>
      <xdr:colOff>527189</xdr:colOff>
      <xdr:row>78</xdr:row>
      <xdr:rowOff>82412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AF3F12E-E71A-4BF8-9D61-FED2AE6D8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124447</xdr:colOff>
      <xdr:row>55</xdr:row>
      <xdr:rowOff>62120</xdr:rowOff>
    </xdr:from>
    <xdr:to>
      <xdr:col>35</xdr:col>
      <xdr:colOff>388662</xdr:colOff>
      <xdr:row>71</xdr:row>
      <xdr:rowOff>43484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C911D390-B1AF-447B-9B94-787C75E50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488674</xdr:colOff>
      <xdr:row>56</xdr:row>
      <xdr:rowOff>1</xdr:rowOff>
    </xdr:from>
    <xdr:to>
      <xdr:col>43</xdr:col>
      <xdr:colOff>139975</xdr:colOff>
      <xdr:row>71</xdr:row>
      <xdr:rowOff>125896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A75BE88-2CF8-446F-A629-3320DEBEF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447259</xdr:colOff>
      <xdr:row>80</xdr:row>
      <xdr:rowOff>86139</xdr:rowOff>
    </xdr:from>
    <xdr:to>
      <xdr:col>19</xdr:col>
      <xdr:colOff>496956</xdr:colOff>
      <xdr:row>98</xdr:row>
      <xdr:rowOff>124238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4FA8606B-16EA-4D38-AF01-A676FE4CB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56913</xdr:colOff>
      <xdr:row>109</xdr:row>
      <xdr:rowOff>133704</xdr:rowOff>
    </xdr:from>
    <xdr:to>
      <xdr:col>12</xdr:col>
      <xdr:colOff>11359</xdr:colOff>
      <xdr:row>126</xdr:row>
      <xdr:rowOff>124712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44FA007-C53A-40E3-AC1E-408C77953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21772</xdr:colOff>
      <xdr:row>30</xdr:row>
      <xdr:rowOff>87086</xdr:rowOff>
    </xdr:from>
    <xdr:to>
      <xdr:col>35</xdr:col>
      <xdr:colOff>250372</xdr:colOff>
      <xdr:row>49</xdr:row>
      <xdr:rowOff>87086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BF589FB9-DF78-49AD-A801-B95685614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</xdr:row>
          <xdr:rowOff>12700</xdr:rowOff>
        </xdr:from>
        <xdr:to>
          <xdr:col>11</xdr:col>
          <xdr:colOff>152400</xdr:colOff>
          <xdr:row>4</xdr:row>
          <xdr:rowOff>152400</xdr:rowOff>
        </xdr:to>
        <xdr:sp macro="" textlink="">
          <xdr:nvSpPr>
            <xdr:cNvPr id="94209" name="Drop Down 1" hidden="1">
              <a:extLst>
                <a:ext uri="{63B3BB69-23CF-44E3-9099-C40C66FF867C}">
                  <a14:compatExt spid="_x0000_s94209"/>
                </a:ext>
                <a:ext uri="{FF2B5EF4-FFF2-40B4-BE49-F238E27FC236}">
                  <a16:creationId xmlns:a16="http://schemas.microsoft.com/office/drawing/2014/main" id="{00000000-0008-0000-0700-000001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116</xdr:col>
          <xdr:colOff>88900</xdr:colOff>
          <xdr:row>3</xdr:row>
          <xdr:rowOff>12700</xdr:rowOff>
        </xdr:from>
        <xdr:to>
          <xdr:col>117</xdr:col>
          <xdr:colOff>50800</xdr:colOff>
          <xdr:row>4</xdr:row>
          <xdr:rowOff>0</xdr:rowOff>
        </xdr:to>
        <xdr:sp macro="" textlink="">
          <xdr:nvSpPr>
            <xdr:cNvPr id="94210" name="Drop Down 2" hidden="1">
              <a:extLst>
                <a:ext uri="{63B3BB69-23CF-44E3-9099-C40C66FF867C}">
                  <a14:compatExt spid="_x0000_s94210"/>
                </a:ext>
                <a:ext uri="{FF2B5EF4-FFF2-40B4-BE49-F238E27FC236}">
                  <a16:creationId xmlns:a16="http://schemas.microsoft.com/office/drawing/2014/main" id="{00000000-0008-0000-0700-000002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25400</xdr:colOff>
          <xdr:row>1</xdr:row>
          <xdr:rowOff>76200</xdr:rowOff>
        </xdr:from>
        <xdr:to>
          <xdr:col>23</xdr:col>
          <xdr:colOff>825500</xdr:colOff>
          <xdr:row>2</xdr:row>
          <xdr:rowOff>101600</xdr:rowOff>
        </xdr:to>
        <xdr:sp macro="" textlink="">
          <xdr:nvSpPr>
            <xdr:cNvPr id="94211" name="Drop Down 3" hidden="1">
              <a:extLst>
                <a:ext uri="{63B3BB69-23CF-44E3-9099-C40C66FF867C}">
                  <a14:compatExt spid="_x0000_s94211"/>
                </a:ext>
                <a:ext uri="{FF2B5EF4-FFF2-40B4-BE49-F238E27FC236}">
                  <a16:creationId xmlns:a16="http://schemas.microsoft.com/office/drawing/2014/main" id="{00000000-0008-0000-0700-0000037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trlProp" Target="../ctrlProps/ctrlProp7.xml"/><Relationship Id="rId18" Type="http://schemas.openxmlformats.org/officeDocument/2006/relationships/ctrlProp" Target="../ctrlProps/ctrlProp12.xml"/><Relationship Id="rId3" Type="http://schemas.openxmlformats.org/officeDocument/2006/relationships/hyperlink" Target="http://www.airfi.fi/en" TargetMode="External"/><Relationship Id="rId21" Type="http://schemas.openxmlformats.org/officeDocument/2006/relationships/ctrlProp" Target="../ctrlProps/ctrlProp15.xml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17" Type="http://schemas.openxmlformats.org/officeDocument/2006/relationships/ctrlProp" Target="../ctrlProps/ctrlProp11.xml"/><Relationship Id="rId2" Type="http://schemas.openxmlformats.org/officeDocument/2006/relationships/hyperlink" Target="http://www.airfi.fi/en" TargetMode="External"/><Relationship Id="rId16" Type="http://schemas.openxmlformats.org/officeDocument/2006/relationships/ctrlProp" Target="../ctrlProps/ctrlProp10.xml"/><Relationship Id="rId20" Type="http://schemas.openxmlformats.org/officeDocument/2006/relationships/ctrlProp" Target="../ctrlProps/ctrlProp14.xml"/><Relationship Id="rId1" Type="http://schemas.openxmlformats.org/officeDocument/2006/relationships/hyperlink" Target="http://www.airfi.fi/" TargetMode="External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24" Type="http://schemas.openxmlformats.org/officeDocument/2006/relationships/ctrlProp" Target="../ctrlProps/ctrlProp18.xml"/><Relationship Id="rId5" Type="http://schemas.openxmlformats.org/officeDocument/2006/relationships/drawing" Target="../drawings/drawing1.xml"/><Relationship Id="rId15" Type="http://schemas.openxmlformats.org/officeDocument/2006/relationships/ctrlProp" Target="../ctrlProps/ctrlProp9.xml"/><Relationship Id="rId23" Type="http://schemas.openxmlformats.org/officeDocument/2006/relationships/ctrlProp" Target="../ctrlProps/ctrlProp17.xml"/><Relationship Id="rId10" Type="http://schemas.openxmlformats.org/officeDocument/2006/relationships/ctrlProp" Target="../ctrlProps/ctrlProp4.xml"/><Relationship Id="rId19" Type="http://schemas.openxmlformats.org/officeDocument/2006/relationships/ctrlProp" Target="../ctrlProps/ctrlProp13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Relationship Id="rId14" Type="http://schemas.openxmlformats.org/officeDocument/2006/relationships/ctrlProp" Target="../ctrlProps/ctrlProp8.xml"/><Relationship Id="rId22" Type="http://schemas.openxmlformats.org/officeDocument/2006/relationships/ctrlProp" Target="../ctrlProps/ctrlProp16.xm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7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85.xml"/><Relationship Id="rId5" Type="http://schemas.openxmlformats.org/officeDocument/2006/relationships/ctrlProp" Target="../ctrlProps/ctrlProp89.xml"/><Relationship Id="rId4" Type="http://schemas.openxmlformats.org/officeDocument/2006/relationships/ctrlProp" Target="../ctrlProps/ctrlProp8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0.xml"/><Relationship Id="rId3" Type="http://schemas.openxmlformats.org/officeDocument/2006/relationships/drawing" Target="../drawings/drawing11.xml"/><Relationship Id="rId7" Type="http://schemas.openxmlformats.org/officeDocument/2006/relationships/ctrlProp" Target="../ctrlProps/ctrlProp69.xml"/><Relationship Id="rId2" Type="http://schemas.openxmlformats.org/officeDocument/2006/relationships/hyperlink" Target="http://www.airfi.fi/en" TargetMode="External"/><Relationship Id="rId1" Type="http://schemas.openxmlformats.org/officeDocument/2006/relationships/hyperlink" Target="http://www.airfi.fi/" TargetMode="Externa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vmlDrawing" Target="../drawings/vmlDrawing7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72.xml"/><Relationship Id="rId4" Type="http://schemas.openxmlformats.org/officeDocument/2006/relationships/ctrlProp" Target="../ctrlProps/ctrlProp7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76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75.xml"/><Relationship Id="rId5" Type="http://schemas.openxmlformats.org/officeDocument/2006/relationships/ctrlProp" Target="../ctrlProps/ctrlProp74.xml"/><Relationship Id="rId4" Type="http://schemas.openxmlformats.org/officeDocument/2006/relationships/ctrlProp" Target="../ctrlProps/ctrlProp73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13" Type="http://schemas.openxmlformats.org/officeDocument/2006/relationships/ctrlProp" Target="../ctrlProps/ctrlProp27.xml"/><Relationship Id="rId18" Type="http://schemas.openxmlformats.org/officeDocument/2006/relationships/ctrlProp" Target="../ctrlProps/ctrlProp32.xml"/><Relationship Id="rId3" Type="http://schemas.openxmlformats.org/officeDocument/2006/relationships/hyperlink" Target="http://www.airfi.fi/en" TargetMode="External"/><Relationship Id="rId21" Type="http://schemas.openxmlformats.org/officeDocument/2006/relationships/ctrlProp" Target="../ctrlProps/ctrlProp35.xml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17" Type="http://schemas.openxmlformats.org/officeDocument/2006/relationships/ctrlProp" Target="../ctrlProps/ctrlProp31.xml"/><Relationship Id="rId2" Type="http://schemas.openxmlformats.org/officeDocument/2006/relationships/hyperlink" Target="http://www.airfi.fi/en" TargetMode="External"/><Relationship Id="rId16" Type="http://schemas.openxmlformats.org/officeDocument/2006/relationships/ctrlProp" Target="../ctrlProps/ctrlProp30.xml"/><Relationship Id="rId20" Type="http://schemas.openxmlformats.org/officeDocument/2006/relationships/ctrlProp" Target="../ctrlProps/ctrlProp34.xml"/><Relationship Id="rId1" Type="http://schemas.openxmlformats.org/officeDocument/2006/relationships/hyperlink" Target="http://www.airfi.fi/" TargetMode="External"/><Relationship Id="rId6" Type="http://schemas.openxmlformats.org/officeDocument/2006/relationships/vmlDrawing" Target="../drawings/vmlDrawing3.vml"/><Relationship Id="rId11" Type="http://schemas.openxmlformats.org/officeDocument/2006/relationships/ctrlProp" Target="../ctrlProps/ctrlProp25.xml"/><Relationship Id="rId24" Type="http://schemas.openxmlformats.org/officeDocument/2006/relationships/ctrlProp" Target="../ctrlProps/ctrlProp38.xml"/><Relationship Id="rId5" Type="http://schemas.openxmlformats.org/officeDocument/2006/relationships/drawing" Target="../drawings/drawing4.xml"/><Relationship Id="rId15" Type="http://schemas.openxmlformats.org/officeDocument/2006/relationships/ctrlProp" Target="../ctrlProps/ctrlProp29.xml"/><Relationship Id="rId23" Type="http://schemas.openxmlformats.org/officeDocument/2006/relationships/ctrlProp" Target="../ctrlProps/ctrlProp37.xml"/><Relationship Id="rId10" Type="http://schemas.openxmlformats.org/officeDocument/2006/relationships/ctrlProp" Target="../ctrlProps/ctrlProp24.xml"/><Relationship Id="rId19" Type="http://schemas.openxmlformats.org/officeDocument/2006/relationships/ctrlProp" Target="../ctrlProps/ctrlProp33.xml"/><Relationship Id="rId4" Type="http://schemas.openxmlformats.org/officeDocument/2006/relationships/printerSettings" Target="../printerSettings/printerSettings3.bin"/><Relationship Id="rId9" Type="http://schemas.openxmlformats.org/officeDocument/2006/relationships/ctrlProp" Target="../ctrlProps/ctrlProp23.xml"/><Relationship Id="rId14" Type="http://schemas.openxmlformats.org/officeDocument/2006/relationships/ctrlProp" Target="../ctrlProps/ctrlProp28.xml"/><Relationship Id="rId22" Type="http://schemas.openxmlformats.org/officeDocument/2006/relationships/ctrlProp" Target="../ctrlProps/ctrlProp36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3.xml"/><Relationship Id="rId13" Type="http://schemas.openxmlformats.org/officeDocument/2006/relationships/ctrlProp" Target="../ctrlProps/ctrlProp48.xml"/><Relationship Id="rId18" Type="http://schemas.openxmlformats.org/officeDocument/2006/relationships/ctrlProp" Target="../ctrlProps/ctrlProp53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56.xml"/><Relationship Id="rId7" Type="http://schemas.openxmlformats.org/officeDocument/2006/relationships/ctrlProp" Target="../ctrlProps/ctrlProp42.xml"/><Relationship Id="rId12" Type="http://schemas.openxmlformats.org/officeDocument/2006/relationships/ctrlProp" Target="../ctrlProps/ctrlProp47.xml"/><Relationship Id="rId17" Type="http://schemas.openxmlformats.org/officeDocument/2006/relationships/ctrlProp" Target="../ctrlProps/ctrlProp52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51.xml"/><Relationship Id="rId20" Type="http://schemas.openxmlformats.org/officeDocument/2006/relationships/ctrlProp" Target="../ctrlProps/ctrlProp55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41.xml"/><Relationship Id="rId11" Type="http://schemas.openxmlformats.org/officeDocument/2006/relationships/ctrlProp" Target="../ctrlProps/ctrlProp46.xml"/><Relationship Id="rId24" Type="http://schemas.openxmlformats.org/officeDocument/2006/relationships/ctrlProp" Target="../ctrlProps/ctrlProp59.xml"/><Relationship Id="rId5" Type="http://schemas.openxmlformats.org/officeDocument/2006/relationships/ctrlProp" Target="../ctrlProps/ctrlProp40.xml"/><Relationship Id="rId15" Type="http://schemas.openxmlformats.org/officeDocument/2006/relationships/ctrlProp" Target="../ctrlProps/ctrlProp50.xml"/><Relationship Id="rId23" Type="http://schemas.openxmlformats.org/officeDocument/2006/relationships/ctrlProp" Target="../ctrlProps/ctrlProp58.xml"/><Relationship Id="rId10" Type="http://schemas.openxmlformats.org/officeDocument/2006/relationships/ctrlProp" Target="../ctrlProps/ctrlProp45.xml"/><Relationship Id="rId19" Type="http://schemas.openxmlformats.org/officeDocument/2006/relationships/ctrlProp" Target="../ctrlProps/ctrlProp54.xml"/><Relationship Id="rId4" Type="http://schemas.openxmlformats.org/officeDocument/2006/relationships/ctrlProp" Target="../ctrlProps/ctrlProp39.xml"/><Relationship Id="rId9" Type="http://schemas.openxmlformats.org/officeDocument/2006/relationships/ctrlProp" Target="../ctrlProps/ctrlProp44.xml"/><Relationship Id="rId14" Type="http://schemas.openxmlformats.org/officeDocument/2006/relationships/ctrlProp" Target="../ctrlProps/ctrlProp49.xml"/><Relationship Id="rId22" Type="http://schemas.openxmlformats.org/officeDocument/2006/relationships/ctrlProp" Target="../ctrlProps/ctrlProp57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3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7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45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4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5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6.bin"/><Relationship Id="rId5" Type="http://schemas.openxmlformats.org/officeDocument/2006/relationships/ctrlProp" Target="../ctrlProps/ctrlProp79.xml"/><Relationship Id="rId4" Type="http://schemas.openxmlformats.org/officeDocument/2006/relationships/ctrlProp" Target="../ctrlProps/ctrlProp78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1.xml"/><Relationship Id="rId3" Type="http://schemas.openxmlformats.org/officeDocument/2006/relationships/hyperlink" Target="http://www.airfi.fi/en" TargetMode="External"/><Relationship Id="rId7" Type="http://schemas.openxmlformats.org/officeDocument/2006/relationships/ctrlProp" Target="../ctrlProps/ctrlProp60.xml"/><Relationship Id="rId2" Type="http://schemas.openxmlformats.org/officeDocument/2006/relationships/hyperlink" Target="http://www.airfi.fi/" TargetMode="External"/><Relationship Id="rId1" Type="http://schemas.openxmlformats.org/officeDocument/2006/relationships/hyperlink" Target="http://www.airfi.fi/en" TargetMode="External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7.xml"/><Relationship Id="rId10" Type="http://schemas.openxmlformats.org/officeDocument/2006/relationships/ctrlProp" Target="../ctrlProps/ctrlProp63.xml"/><Relationship Id="rId4" Type="http://schemas.openxmlformats.org/officeDocument/2006/relationships/printerSettings" Target="../printerSettings/printerSettings5.bin"/><Relationship Id="rId9" Type="http://schemas.openxmlformats.org/officeDocument/2006/relationships/ctrlProp" Target="../ctrlProps/ctrlProp62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9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0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2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4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5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6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66.xml"/><Relationship Id="rId5" Type="http://schemas.openxmlformats.org/officeDocument/2006/relationships/ctrlProp" Target="../ctrlProps/ctrlProp65.xml"/><Relationship Id="rId4" Type="http://schemas.openxmlformats.org/officeDocument/2006/relationships/ctrlProp" Target="../ctrlProps/ctrlProp64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2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3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5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0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74.xm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1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75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8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9.bin"/><Relationship Id="rId5" Type="http://schemas.openxmlformats.org/officeDocument/2006/relationships/ctrlProp" Target="../ctrlProps/ctrlProp83.xml"/><Relationship Id="rId4" Type="http://schemas.openxmlformats.org/officeDocument/2006/relationships/ctrlProp" Target="../ctrlProps/ctrlProp82.x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60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6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62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84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84.xml"/><Relationship Id="rId5" Type="http://schemas.openxmlformats.org/officeDocument/2006/relationships/ctrlProp" Target="../ctrlProps/ctrlProp86.xml"/><Relationship Id="rId4" Type="http://schemas.openxmlformats.org/officeDocument/2006/relationships/ctrlProp" Target="../ctrlProps/ctrlProp8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B9D93-42FD-479C-A30C-1DD3D762C0DF}">
  <sheetPr codeName="Taul1">
    <pageSetUpPr fitToPage="1"/>
  </sheetPr>
  <dimension ref="B2:AD102"/>
  <sheetViews>
    <sheetView showGridLines="0" tabSelected="1" zoomScaleNormal="100" zoomScaleSheetLayoutView="55" workbookViewId="0">
      <selection activeCell="A3" sqref="A3"/>
    </sheetView>
  </sheetViews>
  <sheetFormatPr baseColWidth="10" defaultColWidth="9.1640625" defaultRowHeight="13" x14ac:dyDescent="0.15"/>
  <cols>
    <col min="1" max="1" width="9.1640625" style="88"/>
    <col min="2" max="2" width="2.33203125" style="88" customWidth="1"/>
    <col min="3" max="3" width="29.6640625" style="88" customWidth="1"/>
    <col min="4" max="4" width="11.6640625" style="88" customWidth="1"/>
    <col min="5" max="5" width="11.5" style="88" customWidth="1"/>
    <col min="6" max="6" width="11.33203125" style="88" customWidth="1"/>
    <col min="7" max="7" width="12.1640625" style="88" customWidth="1"/>
    <col min="8" max="8" width="11.5" style="88" customWidth="1"/>
    <col min="9" max="9" width="1.1640625" style="88" customWidth="1"/>
    <col min="10" max="11" width="13.6640625" style="88" customWidth="1"/>
    <col min="12" max="13" width="13.83203125" style="88" customWidth="1"/>
    <col min="14" max="14" width="12.5" style="88" customWidth="1"/>
    <col min="15" max="15" width="2.5" style="88" customWidth="1"/>
    <col min="16" max="16" width="6.6640625" style="88" customWidth="1"/>
    <col min="17" max="17" width="2.33203125" style="88" customWidth="1"/>
    <col min="18" max="18" width="63.5" style="88" customWidth="1"/>
    <col min="19" max="19" width="8.33203125" style="88" customWidth="1"/>
    <col min="20" max="20" width="10.1640625" style="88" customWidth="1"/>
    <col min="21" max="21" width="8.5" style="88" customWidth="1"/>
    <col min="22" max="22" width="2.1640625" style="88" customWidth="1"/>
    <col min="23" max="23" width="11.5" style="88" customWidth="1"/>
    <col min="24" max="26" width="10.5" style="88" customWidth="1"/>
    <col min="27" max="29" width="8.5" style="88" customWidth="1"/>
    <col min="30" max="30" width="1.6640625" style="88" customWidth="1"/>
    <col min="31" max="16384" width="9.1640625" style="88"/>
  </cols>
  <sheetData>
    <row r="2" spans="2:30" x14ac:dyDescent="0.15">
      <c r="B2" s="10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62" t="str" cm="1">
        <f t="array" ref="O2">INDEX(Kirjasto!D4:K125,1,Kirjasto!B4)</f>
        <v>Wersja 8.0</v>
      </c>
      <c r="Q2" s="10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63"/>
      <c r="AD2" s="262" t="str">
        <f>O2</f>
        <v>Wersja 8.0</v>
      </c>
    </row>
    <row r="3" spans="2:30" ht="31.5" customHeight="1" x14ac:dyDescent="0.15">
      <c r="B3" s="12"/>
      <c r="C3" s="836" t="str" cm="1">
        <f t="array" ref="C3">INDEX(Kirjasto!D4:K125,2,Kirjasto!B4)</f>
        <v>Airfi: program doborowy urządzeń wentylacyjnych</v>
      </c>
      <c r="D3"/>
      <c r="E3"/>
      <c r="F3"/>
      <c r="G3"/>
      <c r="H3"/>
      <c r="I3"/>
      <c r="J3"/>
      <c r="K3"/>
      <c r="L3"/>
      <c r="M3"/>
      <c r="N3" s="90"/>
      <c r="O3" s="24"/>
      <c r="Q3" s="12"/>
      <c r="R3" s="1729" t="str" cm="1">
        <f t="array" ref="R3">INDEX(Kirjasto!D4:K125,72,Kirjasto!B4)</f>
        <v>Obliczanie rocznej sprawności odzysku ciepła z powietrza wywiewanego z wentylacji</v>
      </c>
      <c r="S3" s="1729"/>
      <c r="T3" s="1729"/>
      <c r="U3" s="1729"/>
      <c r="V3" s="1729"/>
      <c r="W3" s="1729"/>
      <c r="X3" s="1729"/>
      <c r="Y3" s="1729"/>
      <c r="Z3" s="1729"/>
      <c r="AA3" s="1729"/>
      <c r="AB3" s="1729"/>
      <c r="AC3" s="143"/>
      <c r="AD3" s="24"/>
    </row>
    <row r="4" spans="2:30" ht="18" customHeight="1" x14ac:dyDescent="0.15">
      <c r="B4" s="12"/>
      <c r="C4" s="78" t="str" cm="1">
        <f t="array" ref="C4">INDEX(Kirjasto!D4:K125,3,Kirjasto!B4)</f>
        <v>Obiekt:</v>
      </c>
      <c r="D4" s="1766"/>
      <c r="E4" s="1767"/>
      <c r="F4" s="1767"/>
      <c r="G4" s="1767"/>
      <c r="H4" s="1767"/>
      <c r="I4" s="1768"/>
      <c r="J4"/>
      <c r="K4"/>
      <c r="L4"/>
      <c r="M4"/>
      <c r="N4"/>
      <c r="O4" s="24"/>
      <c r="Q4" s="12"/>
      <c r="R4" s="267" t="str" cm="1">
        <f t="array" ref="R4">INDEX(Kirjasto!D4:K200,140,Kirjasto!B4)</f>
        <v>Obliczenia zgodnie z Publikacją Ministerstwa Środowiska YM 122</v>
      </c>
      <c r="S4" s="266"/>
      <c r="T4" s="266"/>
      <c r="U4" s="266"/>
      <c r="V4" s="266"/>
      <c r="W4" s="266"/>
      <c r="X4" s="143"/>
      <c r="Y4" s="143"/>
      <c r="Z4" s="143"/>
      <c r="AA4" s="143"/>
      <c r="AB4" s="143"/>
      <c r="AC4" s="143"/>
      <c r="AD4" s="24"/>
    </row>
    <row r="5" spans="2:30" ht="18.75" customHeight="1" x14ac:dyDescent="0.15">
      <c r="B5" s="12"/>
      <c r="C5" s="269" t="str" cm="1">
        <f t="array" ref="C5">INDEX(Kirjasto!D4:K125,4,Kirjasto!B4)</f>
        <v>Projektant:</v>
      </c>
      <c r="D5" s="1766"/>
      <c r="E5" s="1767"/>
      <c r="F5" s="1767"/>
      <c r="G5" s="1767"/>
      <c r="H5" s="1767"/>
      <c r="I5" s="1768"/>
      <c r="J5"/>
      <c r="K5"/>
      <c r="L5"/>
      <c r="M5" s="264">
        <v>1</v>
      </c>
      <c r="N5"/>
      <c r="O5" s="24"/>
      <c r="Q5" s="12"/>
      <c r="R5" s="258"/>
      <c r="S5" s="258"/>
      <c r="T5" s="258"/>
      <c r="U5" s="258"/>
      <c r="V5" s="143"/>
      <c r="W5" s="143"/>
      <c r="X5" s="143"/>
      <c r="Y5" s="143"/>
      <c r="Z5" s="143"/>
      <c r="AA5" s="143"/>
      <c r="AB5" s="143"/>
      <c r="AC5" s="143"/>
      <c r="AD5" s="24"/>
    </row>
    <row r="6" spans="2:30" ht="18.75" customHeight="1" x14ac:dyDescent="0.15">
      <c r="B6" s="12"/>
      <c r="C6"/>
      <c r="D6"/>
      <c r="E6"/>
      <c r="F6" s="393" t="str" cm="1">
        <f t="array" ref="F6">IF(Tulokset!BD2,IF(Tulokset!BD3=FALSE,INDEX(Kirjasto!D4:K136,128,Kirjasto!B4),""),"")</f>
        <v/>
      </c>
      <c r="G6"/>
      <c r="H6"/>
      <c r="I6"/>
      <c r="J6"/>
      <c r="K6"/>
      <c r="L6"/>
      <c r="M6"/>
      <c r="N6"/>
      <c r="O6" s="24"/>
      <c r="Q6" s="12"/>
      <c r="R6" s="1731" t="str">
        <f>CONCATENATE(C4,"  ",D4)</f>
        <v xml:space="preserve">Obiekt:  </v>
      </c>
      <c r="S6" s="1731"/>
      <c r="T6" s="1731"/>
      <c r="U6" s="1731"/>
      <c r="V6" s="143"/>
      <c r="W6" s="143"/>
      <c r="X6" s="143"/>
      <c r="Y6" s="143"/>
      <c r="Z6" s="143"/>
      <c r="AA6" s="143"/>
      <c r="AB6" s="143"/>
      <c r="AC6" s="143"/>
      <c r="AD6" s="24"/>
    </row>
    <row r="7" spans="2:30" ht="18.75" customHeight="1" x14ac:dyDescent="0.15">
      <c r="B7" s="12"/>
      <c r="C7" s="2" t="str" cm="1">
        <f t="array" ref="C7">INDEX(Kirjasto!D4:K125,5,Kirjasto!B4)</f>
        <v>Wybierz model:</v>
      </c>
      <c r="D7"/>
      <c r="E7"/>
      <c r="F7"/>
      <c r="G7"/>
      <c r="H7"/>
      <c r="I7"/>
      <c r="J7"/>
      <c r="K7"/>
      <c r="L7"/>
      <c r="M7"/>
      <c r="N7"/>
      <c r="O7" s="24"/>
      <c r="Q7" s="12"/>
      <c r="R7" s="1731" t="str">
        <f>CONCATENATE(C5,"  ",D5)</f>
        <v xml:space="preserve">Projektant:  </v>
      </c>
      <c r="S7" s="1731"/>
      <c r="T7" s="1731"/>
      <c r="U7" s="1731"/>
      <c r="V7" s="143"/>
      <c r="W7" s="268"/>
      <c r="X7" s="145" t="str" cm="1">
        <f t="array" ref="X7">INDEX(Kirjasto!D4:K125,74,Kirjasto!B4)</f>
        <v>= wprowadzana komórka</v>
      </c>
      <c r="Y7" s="143"/>
      <c r="Z7" s="143"/>
      <c r="AA7" s="143"/>
      <c r="AB7" s="143"/>
      <c r="AC7" s="143"/>
      <c r="AD7" s="24"/>
    </row>
    <row r="8" spans="2:30" ht="15.5" customHeight="1" x14ac:dyDescent="0.15">
      <c r="B8" s="12"/>
      <c r="C8" s="314"/>
      <c r="D8"/>
      <c r="E8"/>
      <c r="F8"/>
      <c r="G8"/>
      <c r="H8"/>
      <c r="I8"/>
      <c r="J8" s="394" t="str" cm="1">
        <f t="array" ref="J8">IF(AND('Laskenta tulopuoli 350'!AU14,OR(Tulokset!$C$6&lt;4,Tulokset!$C$6=6,Tulokset!$C$6=7)),INDEX(Kirjasto!D4:K125,8,Kirjasto!B4),"")</f>
        <v/>
      </c>
      <c r="K8"/>
      <c r="L8"/>
      <c r="M8"/>
      <c r="N8"/>
      <c r="O8" s="24"/>
      <c r="Q8" s="12"/>
      <c r="R8" s="25"/>
      <c r="S8" s="144"/>
      <c r="T8" s="144"/>
      <c r="U8" s="144"/>
      <c r="V8" s="143"/>
      <c r="W8" s="143"/>
      <c r="X8" s="143"/>
      <c r="Y8" s="143"/>
      <c r="Z8" s="143"/>
      <c r="AA8" s="143"/>
      <c r="AB8" s="143"/>
      <c r="AC8" s="143"/>
      <c r="AD8" s="24"/>
    </row>
    <row r="9" spans="2:30" ht="38.25" customHeight="1" x14ac:dyDescent="0.2">
      <c r="B9" s="12"/>
      <c r="C9" s="453" t="str">
        <f>Tulokset!CL38</f>
        <v>Airfi-Model 60 Electric</v>
      </c>
      <c r="D9"/>
      <c r="E9"/>
      <c r="F9"/>
      <c r="G9"/>
      <c r="H9"/>
      <c r="I9"/>
      <c r="J9"/>
      <c r="K9"/>
      <c r="L9"/>
      <c r="M9"/>
      <c r="N9"/>
      <c r="O9" s="24"/>
      <c r="Q9" s="12"/>
      <c r="R9" s="146" t="str" cm="1">
        <f t="array" ref="R9">INDEX(Kirjasto!D4:K125,75,Kirjasto!B4)</f>
        <v>Wartości wyjściowe dla obliczeń:</v>
      </c>
      <c r="S9" s="147" t="str" cm="1">
        <f t="array" ref="S9">IF(OR(T10&gt;'Kojeet ja kennon hyötysuhde'!F6,T10&lt;'Kojeet ja kennon hyötysuhde'!F5,T11&gt;'Kojeet ja kennon hyötysuhde'!F6,T11&lt;'Kojeet ja kennon hyötysuhde'!F5),INDEX(Kirjasto!D4:K125,23,Kirjasto!B4),"")</f>
        <v>Nie w obszarze użytkowania</v>
      </c>
      <c r="T9" s="148"/>
      <c r="U9" s="149"/>
      <c r="V9" s="143"/>
      <c r="W9" s="550" t="str" cm="1">
        <f t="array" ref="W9">INDEX(Kirjasto!D4:K125,96,Kirjasto!B4)</f>
        <v>Temperatura powietrza zewnętrznego [°C]</v>
      </c>
      <c r="X9" s="551" t="str" cm="1">
        <f t="array" ref="X9">INDEX(Kirjasto!D4:K125,97,Kirjasto!B4)</f>
        <v>Czas w roku</v>
      </c>
      <c r="Y9" s="552" t="str" cm="1">
        <f t="array" ref="Y9">INDEX(Kirjasto!D4:K125,98,Kirjasto!B4)</f>
        <v>Temperatura zużytego powietrza</v>
      </c>
      <c r="Z9" s="551" t="str" cm="1">
        <f t="array" ref="Z9">INDEX(Kirjasto!D4:K125,99,Kirjasto!B4)</f>
        <v>Temperatura powietrza nawiewanego</v>
      </c>
      <c r="AA9" s="553" t="s">
        <v>975</v>
      </c>
      <c r="AB9" s="554" t="s">
        <v>976</v>
      </c>
      <c r="AC9" s="555" t="s">
        <v>977</v>
      </c>
      <c r="AD9" s="153"/>
    </row>
    <row r="10" spans="2:30" ht="17" x14ac:dyDescent="0.15">
      <c r="B10" s="12"/>
      <c r="C10" s="452" t="str">
        <f>Tulokset!CM38</f>
        <v>Zasilanie elektryczne: Wtyczka 230 V, 50 Hz, 10 A, maks. 1165 W</v>
      </c>
      <c r="D10"/>
      <c r="E10"/>
      <c r="F10"/>
      <c r="G10"/>
      <c r="H10"/>
      <c r="I10"/>
      <c r="J10"/>
      <c r="K10"/>
      <c r="L10"/>
      <c r="M10"/>
      <c r="N10"/>
      <c r="O10" s="24"/>
      <c r="Q10" s="12"/>
      <c r="R10" s="546" t="str" cm="1">
        <f t="array" ref="R10">INDEX(Kirjasto!D4:K125,76,Kirjasto!B4)</f>
        <v>Przepływ powietrza nawiewanego przez wymiennik odzysku ciepła</v>
      </c>
      <c r="S10" s="252" t="s">
        <v>215</v>
      </c>
      <c r="T10" s="256">
        <f>E33</f>
        <v>9.7222222222222214</v>
      </c>
      <c r="U10" s="154" t="s">
        <v>72</v>
      </c>
      <c r="V10" s="155"/>
      <c r="W10" s="156">
        <f>Laskenta_vuosihyötysuhde!F6</f>
        <v>-32</v>
      </c>
      <c r="X10" s="157">
        <f>Laskenta_vuosihyötysuhde!G6</f>
        <v>0</v>
      </c>
      <c r="Y10" s="158">
        <f>Laskenta_vuosihyötysuhde!I6</f>
        <v>-6.5</v>
      </c>
      <c r="Z10" s="159">
        <f>Laskenta_vuosihyötysuhde!N6</f>
        <v>-4.5</v>
      </c>
      <c r="AA10" s="160">
        <f>Laskenta_vuosihyötysuhde!U6</f>
        <v>0</v>
      </c>
      <c r="AB10" s="161">
        <f>Laskenta_vuosihyötysuhde!V6</f>
        <v>0</v>
      </c>
      <c r="AC10" s="162">
        <f>Laskenta_vuosihyötysuhde!W6</f>
        <v>0</v>
      </c>
      <c r="AD10" s="24"/>
    </row>
    <row r="11" spans="2:30" ht="15.75" customHeight="1" x14ac:dyDescent="0.15">
      <c r="B11" s="12"/>
      <c r="C11"/>
      <c r="D11"/>
      <c r="E11"/>
      <c r="F11"/>
      <c r="G11"/>
      <c r="H11"/>
      <c r="I11"/>
      <c r="J11"/>
      <c r="K11"/>
      <c r="L11"/>
      <c r="M11"/>
      <c r="N11"/>
      <c r="O11" s="24"/>
      <c r="Q11" s="12"/>
      <c r="R11" s="547" t="str" cm="1">
        <f t="array" ref="R11">INDEX(Kirjasto!D4:K125,77,Kirjasto!B4)</f>
        <v>Przepływ powietrza wywiewanego przez wymiennik odzysku ciepła</v>
      </c>
      <c r="S11" s="255" t="s">
        <v>217</v>
      </c>
      <c r="T11" s="256">
        <f>G33</f>
        <v>9.7222222222222214</v>
      </c>
      <c r="U11" s="154" t="s">
        <v>72</v>
      </c>
      <c r="V11" s="155"/>
      <c r="W11" s="163">
        <f>Laskenta_vuosihyötysuhde!F7</f>
        <v>-31</v>
      </c>
      <c r="X11" s="164">
        <f>Laskenta_vuosihyötysuhde!G7</f>
        <v>0</v>
      </c>
      <c r="Y11" s="165">
        <f>Laskenta_vuosihyötysuhde!I7</f>
        <v>-6.5</v>
      </c>
      <c r="Z11" s="166">
        <f>Laskenta_vuosihyötysuhde!N7</f>
        <v>-3.5</v>
      </c>
      <c r="AA11" s="167">
        <f>Laskenta_vuosihyötysuhde!U7</f>
        <v>0</v>
      </c>
      <c r="AB11" s="168">
        <f>Laskenta_vuosihyötysuhde!V7</f>
        <v>0</v>
      </c>
      <c r="AC11" s="169">
        <f>Laskenta_vuosihyötysuhde!W7</f>
        <v>0</v>
      </c>
      <c r="AD11" s="24"/>
    </row>
    <row r="12" spans="2:30" ht="15.75" customHeight="1" x14ac:dyDescent="0.15">
      <c r="B12" s="12"/>
      <c r="C12"/>
      <c r="D12"/>
      <c r="E12"/>
      <c r="F12"/>
      <c r="G12"/>
      <c r="H12"/>
      <c r="I12"/>
      <c r="J12"/>
      <c r="K12"/>
      <c r="L12"/>
      <c r="M12"/>
      <c r="N12"/>
      <c r="O12" s="24"/>
      <c r="Q12" s="12"/>
      <c r="R12" s="1720" t="str" cm="1">
        <f t="array" ref="R12">INDEX(Kirjasto!D4:K125,78,Kirjasto!B4)</f>
        <v>Stosunek przepływu powietrza nawiewanego i wywiewanego przez wymiennik odzysku ciepła</v>
      </c>
      <c r="S12" s="143"/>
      <c r="T12" s="182"/>
      <c r="U12" s="154"/>
      <c r="V12" s="155"/>
      <c r="W12" s="163">
        <f>Laskenta_vuosihyötysuhde!F8</f>
        <v>-30</v>
      </c>
      <c r="X12" s="164">
        <f>Laskenta_vuosihyötysuhde!G8</f>
        <v>0</v>
      </c>
      <c r="Y12" s="165">
        <f>Laskenta_vuosihyötysuhde!I8</f>
        <v>-6.5</v>
      </c>
      <c r="Z12" s="166">
        <f>Laskenta_vuosihyötysuhde!N8</f>
        <v>-2.5</v>
      </c>
      <c r="AA12" s="167">
        <f>Laskenta_vuosihyötysuhde!U8</f>
        <v>0</v>
      </c>
      <c r="AB12" s="168">
        <f>Laskenta_vuosihyötysuhde!V8</f>
        <v>0</v>
      </c>
      <c r="AC12" s="169">
        <f>Laskenta_vuosihyötysuhde!W8</f>
        <v>0</v>
      </c>
      <c r="AD12" s="24"/>
    </row>
    <row r="13" spans="2:30" ht="15.75" customHeight="1" x14ac:dyDescent="0.15">
      <c r="B13" s="12"/>
      <c r="C13"/>
      <c r="D13"/>
      <c r="E13"/>
      <c r="F13"/>
      <c r="G13"/>
      <c r="H13"/>
      <c r="I13"/>
      <c r="J13"/>
      <c r="K13"/>
      <c r="L13"/>
      <c r="M13"/>
      <c r="N13"/>
      <c r="O13" s="24"/>
      <c r="Q13" s="12"/>
      <c r="R13" s="1721"/>
      <c r="S13" s="252" t="s">
        <v>256</v>
      </c>
      <c r="T13" s="265">
        <f>T10/T11</f>
        <v>1</v>
      </c>
      <c r="U13" s="170"/>
      <c r="V13" s="155"/>
      <c r="W13" s="163">
        <f>Laskenta_vuosihyötysuhde!F9</f>
        <v>-29</v>
      </c>
      <c r="X13" s="164">
        <f>Laskenta_vuosihyötysuhde!G9</f>
        <v>0</v>
      </c>
      <c r="Y13" s="165">
        <f>Laskenta_vuosihyötysuhde!I9</f>
        <v>-6.5</v>
      </c>
      <c r="Z13" s="166">
        <f>Laskenta_vuosihyötysuhde!N9</f>
        <v>-1.4999999999999964</v>
      </c>
      <c r="AA13" s="167">
        <f>Laskenta_vuosihyötysuhde!U9</f>
        <v>0</v>
      </c>
      <c r="AB13" s="168">
        <f>Laskenta_vuosihyötysuhde!V9</f>
        <v>0</v>
      </c>
      <c r="AC13" s="169">
        <f>Laskenta_vuosihyötysuhde!W9</f>
        <v>0</v>
      </c>
      <c r="AD13" s="24"/>
    </row>
    <row r="14" spans="2:30" x14ac:dyDescent="0.15">
      <c r="B14" s="12"/>
      <c r="C14"/>
      <c r="D14"/>
      <c r="E14"/>
      <c r="F14"/>
      <c r="G14"/>
      <c r="H14"/>
      <c r="I14"/>
      <c r="J14"/>
      <c r="K14"/>
      <c r="L14"/>
      <c r="M14"/>
      <c r="N14"/>
      <c r="O14" s="24"/>
      <c r="Q14" s="12"/>
      <c r="R14" s="512"/>
      <c r="S14" s="143"/>
      <c r="T14" s="182"/>
      <c r="U14" s="154"/>
      <c r="V14" s="143"/>
      <c r="W14" s="163">
        <f>Laskenta_vuosihyötysuhde!F10</f>
        <v>-28</v>
      </c>
      <c r="X14" s="164">
        <f>Laskenta_vuosihyötysuhde!G10</f>
        <v>0</v>
      </c>
      <c r="Y14" s="165">
        <f>Laskenta_vuosihyötysuhde!I10</f>
        <v>-6.4999999999999964</v>
      </c>
      <c r="Z14" s="166">
        <f>Laskenta_vuosihyötysuhde!N10</f>
        <v>-0.50000000000000355</v>
      </c>
      <c r="AA14" s="167">
        <f>Laskenta_vuosihyötysuhde!U10</f>
        <v>0</v>
      </c>
      <c r="AB14" s="168">
        <f>Laskenta_vuosihyötysuhde!V10</f>
        <v>0</v>
      </c>
      <c r="AC14" s="169">
        <f>Laskenta_vuosihyötysuhde!W10</f>
        <v>0</v>
      </c>
      <c r="AD14" s="24"/>
    </row>
    <row r="15" spans="2:30" x14ac:dyDescent="0.15">
      <c r="B15" s="12"/>
      <c r="C15"/>
      <c r="D15"/>
      <c r="E15"/>
      <c r="F15"/>
      <c r="G15"/>
      <c r="H15"/>
      <c r="I15"/>
      <c r="J15"/>
      <c r="K15"/>
      <c r="L15"/>
      <c r="M15"/>
      <c r="N15"/>
      <c r="O15" s="24"/>
      <c r="Q15" s="12"/>
      <c r="R15" s="1720" t="str" cm="1">
        <f t="array" ref="R15">INDEX(Kirjasto!D4:K125,79,Kirjasto!B4)</f>
        <v>Dodatkowy przepływ powietrza wywiewanego trafiający na wymiennik odzysku ciepła</v>
      </c>
      <c r="S15" s="143"/>
      <c r="T15" s="182"/>
      <c r="U15" s="154"/>
      <c r="V15" s="143"/>
      <c r="W15" s="163">
        <f>Laskenta_vuosihyötysuhde!F11</f>
        <v>-27</v>
      </c>
      <c r="X15" s="164">
        <f>Laskenta_vuosihyötysuhde!G11</f>
        <v>0</v>
      </c>
      <c r="Y15" s="165">
        <f>Laskenta_vuosihyötysuhde!I11</f>
        <v>-6.5</v>
      </c>
      <c r="Z15" s="166">
        <f>Laskenta_vuosihyötysuhde!N11</f>
        <v>0.5</v>
      </c>
      <c r="AA15" s="167">
        <f>Laskenta_vuosihyötysuhde!U11</f>
        <v>0</v>
      </c>
      <c r="AB15" s="168">
        <f>Laskenta_vuosihyötysuhde!V11</f>
        <v>0</v>
      </c>
      <c r="AC15" s="169">
        <f>Laskenta_vuosihyötysuhde!W11</f>
        <v>0</v>
      </c>
      <c r="AD15" s="24"/>
    </row>
    <row r="16" spans="2:30" ht="17" x14ac:dyDescent="0.15">
      <c r="B16" s="12"/>
      <c r="C16"/>
      <c r="D16"/>
      <c r="E16"/>
      <c r="F16"/>
      <c r="G16"/>
      <c r="H16"/>
      <c r="I16"/>
      <c r="J16"/>
      <c r="K16"/>
      <c r="L16"/>
      <c r="M16"/>
      <c r="N16"/>
      <c r="O16" s="24"/>
      <c r="Q16" s="12"/>
      <c r="R16" s="1721"/>
      <c r="S16" s="252" t="s">
        <v>221</v>
      </c>
      <c r="T16" s="648">
        <v>0</v>
      </c>
      <c r="U16" s="154" t="s">
        <v>72</v>
      </c>
      <c r="V16" s="155"/>
      <c r="W16" s="163">
        <f>Laskenta_vuosihyötysuhde!F12</f>
        <v>-26</v>
      </c>
      <c r="X16" s="164">
        <f>Laskenta_vuosihyötysuhde!G12</f>
        <v>0</v>
      </c>
      <c r="Y16" s="165">
        <f>Laskenta_vuosihyötysuhde!I12</f>
        <v>-6.5</v>
      </c>
      <c r="Z16" s="166">
        <f>Laskenta_vuosihyötysuhde!N12</f>
        <v>1.5</v>
      </c>
      <c r="AA16" s="167">
        <f>Laskenta_vuosihyötysuhde!U12</f>
        <v>0</v>
      </c>
      <c r="AB16" s="168">
        <f>Laskenta_vuosihyötysuhde!V12</f>
        <v>0</v>
      </c>
      <c r="AC16" s="169">
        <f>Laskenta_vuosihyötysuhde!W12</f>
        <v>0</v>
      </c>
      <c r="AD16" s="24"/>
    </row>
    <row r="17" spans="2:30" ht="15.75" customHeight="1" x14ac:dyDescent="0.15">
      <c r="B17" s="12"/>
      <c r="C17"/>
      <c r="D17"/>
      <c r="E17"/>
      <c r="F17"/>
      <c r="G17"/>
      <c r="H17"/>
      <c r="I17"/>
      <c r="J17"/>
      <c r="K17"/>
      <c r="L17"/>
      <c r="M17"/>
      <c r="N17"/>
      <c r="O17" s="24"/>
      <c r="Q17" s="12"/>
      <c r="R17" s="546" t="str" cm="1">
        <f t="array" ref="R17">INDEX(Kirjasto!D4:K125,80,Kirjasto!B4)</f>
        <v>Czas korzystania z powyższego oddzielnego wyciągu powietrza</v>
      </c>
      <c r="S17" s="252" t="s">
        <v>223</v>
      </c>
      <c r="T17" s="648">
        <v>0</v>
      </c>
      <c r="U17" s="154" t="str" cm="1">
        <f t="array" ref="U17">INDEX(Kirjasto!D4:K500,153,Kirjasto!B4)</f>
        <v>h / d</v>
      </c>
      <c r="V17" s="155"/>
      <c r="W17" s="163">
        <f>Laskenta_vuosihyötysuhde!F13</f>
        <v>-25</v>
      </c>
      <c r="X17" s="164">
        <f>Laskenta_vuosihyötysuhde!G13</f>
        <v>0</v>
      </c>
      <c r="Y17" s="165">
        <f>Laskenta_vuosihyötysuhde!I13</f>
        <v>-6.5</v>
      </c>
      <c r="Z17" s="166">
        <f>Laskenta_vuosihyötysuhde!N13</f>
        <v>2.5</v>
      </c>
      <c r="AA17" s="167">
        <f>Laskenta_vuosihyötysuhde!U13</f>
        <v>0</v>
      </c>
      <c r="AB17" s="168">
        <f>Laskenta_vuosihyötysuhde!V13</f>
        <v>0</v>
      </c>
      <c r="AC17" s="169">
        <f>Laskenta_vuosihyötysuhde!W13</f>
        <v>0</v>
      </c>
      <c r="AD17" s="24"/>
    </row>
    <row r="18" spans="2:30" ht="15.75" customHeight="1" x14ac:dyDescent="0.15">
      <c r="B18" s="12"/>
      <c r="C18"/>
      <c r="D18"/>
      <c r="E18"/>
      <c r="F18"/>
      <c r="G18"/>
      <c r="H18"/>
      <c r="I18"/>
      <c r="J18"/>
      <c r="K18"/>
      <c r="L18"/>
      <c r="M18"/>
      <c r="N18"/>
      <c r="O18" s="24"/>
      <c r="Q18" s="12"/>
      <c r="R18" s="1720" t="str" cm="1">
        <f t="array" ref="R18">INDEX(Kirjasto!D4:K125,81,Kirjasto!B4)</f>
        <v>Stosunek przepływów powietrza nawiewanego i wywiewanego dla całego systemu wentylacyjnego</v>
      </c>
      <c r="S18"/>
      <c r="T18" s="742" t="str">
        <f>IF(OR(T17&lt;0,T17&gt;24),"Virheellinen lukema","")</f>
        <v/>
      </c>
      <c r="U18" s="154"/>
      <c r="V18" s="155"/>
      <c r="W18" s="163">
        <f>Laskenta_vuosihyötysuhde!F14</f>
        <v>-24</v>
      </c>
      <c r="X18" s="164">
        <f>Laskenta_vuosihyötysuhde!G14</f>
        <v>0</v>
      </c>
      <c r="Y18" s="165">
        <f>Laskenta_vuosihyötysuhde!I14</f>
        <v>-6.5</v>
      </c>
      <c r="Z18" s="166">
        <f>Laskenta_vuosihyötysuhde!N14</f>
        <v>3.5000000000000036</v>
      </c>
      <c r="AA18" s="167">
        <f>Laskenta_vuosihyötysuhde!U14</f>
        <v>0</v>
      </c>
      <c r="AB18" s="168">
        <f>Laskenta_vuosihyötysuhde!V14</f>
        <v>0</v>
      </c>
      <c r="AC18" s="169">
        <f>Laskenta_vuosihyötysuhde!W14</f>
        <v>0</v>
      </c>
      <c r="AD18" s="24"/>
    </row>
    <row r="19" spans="2:30" ht="15.75" customHeight="1" x14ac:dyDescent="0.25">
      <c r="B19" s="12"/>
      <c r="C19"/>
      <c r="D19"/>
      <c r="E19"/>
      <c r="F19"/>
      <c r="G19"/>
      <c r="H19"/>
      <c r="I19"/>
      <c r="J19"/>
      <c r="K19"/>
      <c r="L19"/>
      <c r="M19"/>
      <c r="N19"/>
      <c r="O19" s="24"/>
      <c r="Q19" s="12"/>
      <c r="R19" s="1721"/>
      <c r="S19" s="76" t="s">
        <v>297</v>
      </c>
      <c r="T19" s="265">
        <f>T10/(T11+(T17/24*T16))</f>
        <v>1</v>
      </c>
      <c r="U19" s="170"/>
      <c r="V19" s="155"/>
      <c r="W19" s="163">
        <f>Laskenta_vuosihyötysuhde!F15</f>
        <v>-23</v>
      </c>
      <c r="X19" s="164">
        <f>Laskenta_vuosihyötysuhde!G15</f>
        <v>0</v>
      </c>
      <c r="Y19" s="165">
        <f>Laskenta_vuosihyötysuhde!I15</f>
        <v>-6.5</v>
      </c>
      <c r="Z19" s="166">
        <f>Laskenta_vuosihyötysuhde!N15</f>
        <v>4.5</v>
      </c>
      <c r="AA19" s="167">
        <f>Laskenta_vuosihyötysuhde!U15</f>
        <v>0</v>
      </c>
      <c r="AB19" s="168">
        <f>Laskenta_vuosihyötysuhde!V15</f>
        <v>0</v>
      </c>
      <c r="AC19" s="169">
        <f>Laskenta_vuosihyötysuhde!W15</f>
        <v>0</v>
      </c>
      <c r="AD19" s="24"/>
    </row>
    <row r="20" spans="2:30" x14ac:dyDescent="0.15">
      <c r="B20" s="12"/>
      <c r="C20"/>
      <c r="D20"/>
      <c r="E20"/>
      <c r="F20"/>
      <c r="G20"/>
      <c r="H20"/>
      <c r="I20"/>
      <c r="J20"/>
      <c r="K20"/>
      <c r="L20"/>
      <c r="M20"/>
      <c r="N20"/>
      <c r="O20" s="24"/>
      <c r="Q20" s="12"/>
      <c r="R20" s="512"/>
      <c r="S20" s="143"/>
      <c r="T20" s="182"/>
      <c r="U20" s="154"/>
      <c r="V20" s="143"/>
      <c r="W20" s="163">
        <f>Laskenta_vuosihyötysuhde!F16</f>
        <v>-22</v>
      </c>
      <c r="X20" s="164">
        <f>Laskenta_vuosihyötysuhde!G16</f>
        <v>0</v>
      </c>
      <c r="Y20" s="165">
        <f>Laskenta_vuosihyötysuhde!I16</f>
        <v>-6.5</v>
      </c>
      <c r="Z20" s="166">
        <f>Laskenta_vuosihyötysuhde!N16</f>
        <v>5.5</v>
      </c>
      <c r="AA20" s="167">
        <f>Laskenta_vuosihyötysuhde!U16</f>
        <v>0</v>
      </c>
      <c r="AB20" s="168">
        <f>Laskenta_vuosihyötysuhde!V16</f>
        <v>0</v>
      </c>
      <c r="AC20" s="169">
        <f>Laskenta_vuosihyötysuhde!W16</f>
        <v>0</v>
      </c>
      <c r="AD20" s="24"/>
    </row>
    <row r="21" spans="2:30" ht="13.5" customHeight="1" x14ac:dyDescent="0.15">
      <c r="B21" s="12"/>
      <c r="C21"/>
      <c r="D21"/>
      <c r="E21"/>
      <c r="F21"/>
      <c r="G21"/>
      <c r="H21"/>
      <c r="I21"/>
      <c r="J21"/>
      <c r="K21"/>
      <c r="L21"/>
      <c r="M21"/>
      <c r="N21"/>
      <c r="O21" s="24"/>
      <c r="Q21" s="12"/>
      <c r="R21" s="548" t="str" cm="1">
        <f t="array" ref="R21">INDEX(Kirjasto!D4:K200,144,Kirjasto!B4)</f>
        <v>Sprawność wymiennika odzysku ciepła (EN 308)</v>
      </c>
      <c r="S21" s="252" t="s">
        <v>1268</v>
      </c>
      <c r="T21" s="745">
        <f>Tulokset!DL38</f>
        <v>0.8175</v>
      </c>
      <c r="U21" s="154"/>
      <c r="V21" s="143"/>
      <c r="W21" s="163">
        <f>Laskenta_vuosihyötysuhde!F17</f>
        <v>-21</v>
      </c>
      <c r="X21" s="164">
        <f>Laskenta_vuosihyötysuhde!G17</f>
        <v>0</v>
      </c>
      <c r="Y21" s="165">
        <f>Laskenta_vuosihyötysuhde!I17</f>
        <v>-6.5</v>
      </c>
      <c r="Z21" s="166">
        <f>Laskenta_vuosihyötysuhde!N17</f>
        <v>6.5</v>
      </c>
      <c r="AA21" s="167">
        <f>Laskenta_vuosihyötysuhde!U17</f>
        <v>0</v>
      </c>
      <c r="AB21" s="168">
        <f>Laskenta_vuosihyötysuhde!V17</f>
        <v>0</v>
      </c>
      <c r="AC21" s="169">
        <f>Laskenta_vuosihyötysuhde!W17</f>
        <v>0</v>
      </c>
      <c r="AD21" s="24"/>
    </row>
    <row r="22" spans="2:30" ht="13.5" customHeight="1" x14ac:dyDescent="0.15">
      <c r="B22" s="12"/>
      <c r="C22"/>
      <c r="D22"/>
      <c r="E22"/>
      <c r="F22"/>
      <c r="G22"/>
      <c r="H22"/>
      <c r="I22"/>
      <c r="J22"/>
      <c r="K22"/>
      <c r="L22"/>
      <c r="M22"/>
      <c r="N22"/>
      <c r="O22" s="24"/>
      <c r="Q22" s="12"/>
      <c r="R22" s="548" t="str" cm="1">
        <f t="array" ref="R22">INDEX(Kirjasto!D4:K125,82,Kirjasto!B4)</f>
        <v>Wydajność temperaturowa powietrza nawiewanego przy równych przepływach powietrza (EN 13141-7)</v>
      </c>
      <c r="S22" s="252" t="s">
        <v>298</v>
      </c>
      <c r="T22" s="745">
        <f>Tulokset!DK38</f>
        <v>0.79799999999999993</v>
      </c>
      <c r="U22" s="154"/>
      <c r="V22" s="143"/>
      <c r="W22" s="163">
        <f>Laskenta_vuosihyötysuhde!F18</f>
        <v>-20</v>
      </c>
      <c r="X22" s="164">
        <f>Laskenta_vuosihyötysuhde!G18</f>
        <v>0</v>
      </c>
      <c r="Y22" s="165">
        <f>Laskenta_vuosihyötysuhde!I18</f>
        <v>-6.5</v>
      </c>
      <c r="Z22" s="166">
        <f>Laskenta_vuosihyötysuhde!N18</f>
        <v>7.5</v>
      </c>
      <c r="AA22" s="167">
        <f>Laskenta_vuosihyötysuhde!U18</f>
        <v>0</v>
      </c>
      <c r="AB22" s="168">
        <f>Laskenta_vuosihyötysuhde!V18</f>
        <v>0</v>
      </c>
      <c r="AC22" s="169">
        <f>Laskenta_vuosihyötysuhde!W18</f>
        <v>0</v>
      </c>
      <c r="AD22" s="24"/>
    </row>
    <row r="23" spans="2:30" ht="17" x14ac:dyDescent="0.15">
      <c r="B23" s="12"/>
      <c r="C23"/>
      <c r="D23"/>
      <c r="E23"/>
      <c r="F23"/>
      <c r="G23"/>
      <c r="H23"/>
      <c r="I23"/>
      <c r="J23"/>
      <c r="K23"/>
      <c r="L23"/>
      <c r="M23"/>
      <c r="N23"/>
      <c r="O23" s="24"/>
      <c r="Q23" s="12"/>
      <c r="R23" s="548" t="str" cm="1">
        <f t="array" ref="R23">INDEX(Kirjasto!D4:K125,83,Kirjasto!B4)</f>
        <v>Wydajność temperaturowa powietrza nawiewanego</v>
      </c>
      <c r="S23" s="252" t="s">
        <v>299</v>
      </c>
      <c r="T23" s="745">
        <f>MIN(2/(1+T13)*T22,0.9)</f>
        <v>0.79799999999999993</v>
      </c>
      <c r="U23" s="154"/>
      <c r="V23" s="143"/>
      <c r="W23" s="163">
        <f>Laskenta_vuosihyötysuhde!F19</f>
        <v>-19</v>
      </c>
      <c r="X23" s="164">
        <f>Laskenta_vuosihyötysuhde!G19</f>
        <v>0</v>
      </c>
      <c r="Y23" s="165">
        <f>Laskenta_vuosihyötysuhde!I19</f>
        <v>-6.5</v>
      </c>
      <c r="Z23" s="166">
        <f>Laskenta_vuosihyötysuhde!N19</f>
        <v>8.5</v>
      </c>
      <c r="AA23" s="167">
        <f>Laskenta_vuosihyötysuhde!U19</f>
        <v>0</v>
      </c>
      <c r="AB23" s="168">
        <f>Laskenta_vuosihyötysuhde!V19</f>
        <v>0</v>
      </c>
      <c r="AC23" s="169">
        <f>Laskenta_vuosihyötysuhde!W19</f>
        <v>0</v>
      </c>
      <c r="AD23" s="24"/>
    </row>
    <row r="24" spans="2:30" ht="16.5" customHeight="1" x14ac:dyDescent="0.15">
      <c r="B24" s="12"/>
      <c r="C24"/>
      <c r="D24"/>
      <c r="E24"/>
      <c r="F24"/>
      <c r="G24"/>
      <c r="H24"/>
      <c r="I24"/>
      <c r="J24"/>
      <c r="K24"/>
      <c r="L24"/>
      <c r="M24"/>
      <c r="N24"/>
      <c r="O24" s="24"/>
      <c r="Q24" s="12"/>
      <c r="R24" s="512"/>
      <c r="S24" s="143"/>
      <c r="T24" s="182"/>
      <c r="U24" s="154"/>
      <c r="V24" s="143"/>
      <c r="W24" s="163">
        <f>Laskenta_vuosihyötysuhde!F20</f>
        <v>-18</v>
      </c>
      <c r="X24" s="164">
        <f>Laskenta_vuosihyötysuhde!G20</f>
        <v>0</v>
      </c>
      <c r="Y24" s="165">
        <f>Laskenta_vuosihyötysuhde!I20</f>
        <v>-6.5</v>
      </c>
      <c r="Z24" s="166">
        <f>Laskenta_vuosihyötysuhde!N20</f>
        <v>9.5000000000000036</v>
      </c>
      <c r="AA24" s="167">
        <f>Laskenta_vuosihyötysuhde!U20</f>
        <v>0</v>
      </c>
      <c r="AB24" s="168">
        <f>Laskenta_vuosihyötysuhde!V20</f>
        <v>0</v>
      </c>
      <c r="AC24" s="169">
        <f>Laskenta_vuosihyötysuhde!W20</f>
        <v>0</v>
      </c>
      <c r="AD24" s="24"/>
    </row>
    <row r="25" spans="2:30" x14ac:dyDescent="0.15">
      <c r="B25" s="12"/>
      <c r="C25"/>
      <c r="D25"/>
      <c r="E25"/>
      <c r="F25"/>
      <c r="G25"/>
      <c r="H25"/>
      <c r="I25"/>
      <c r="J25"/>
      <c r="K25"/>
      <c r="L25"/>
      <c r="M25"/>
      <c r="N25"/>
      <c r="O25" s="24"/>
      <c r="Q25" s="12"/>
      <c r="R25" s="546" t="str" cm="1">
        <f t="array" ref="R25">INDEX(Kirjasto!D4:K200,142,Kirjasto!B4)</f>
        <v>Wybierz strefę klimatyczną (miasto)</v>
      </c>
      <c r="S25" s="252"/>
      <c r="T25" s="254"/>
      <c r="U25" s="154"/>
      <c r="V25" s="143"/>
      <c r="W25" s="163">
        <f>Laskenta_vuosihyötysuhde!F21</f>
        <v>-17</v>
      </c>
      <c r="X25" s="164">
        <f>Laskenta_vuosihyötysuhde!G21</f>
        <v>0</v>
      </c>
      <c r="Y25" s="165">
        <f>Laskenta_vuosihyötysuhde!I21</f>
        <v>-6.5</v>
      </c>
      <c r="Z25" s="166">
        <f>Laskenta_vuosihyötysuhde!N21</f>
        <v>10.5</v>
      </c>
      <c r="AA25" s="167">
        <f>Laskenta_vuosihyötysuhde!U21</f>
        <v>0</v>
      </c>
      <c r="AB25" s="168">
        <f>Laskenta_vuosihyötysuhde!V21</f>
        <v>0</v>
      </c>
      <c r="AC25" s="169">
        <f>Laskenta_vuosihyötysuhde!W21</f>
        <v>0</v>
      </c>
      <c r="AD25" s="24"/>
    </row>
    <row r="26" spans="2:30" ht="17" x14ac:dyDescent="0.15">
      <c r="B26" s="12"/>
      <c r="C26"/>
      <c r="D26"/>
      <c r="E26"/>
      <c r="F26"/>
      <c r="G26"/>
      <c r="H26"/>
      <c r="I26"/>
      <c r="J26"/>
      <c r="K26"/>
      <c r="L26"/>
      <c r="M26"/>
      <c r="N26"/>
      <c r="O26" s="24"/>
      <c r="Q26" s="12"/>
      <c r="R26" s="546" t="str" cm="1">
        <f t="array" ref="R26">INDEX(Kirjasto!D4:K125,85,Kirjasto!B4)</f>
        <v>Temperatura wewnętrzna</v>
      </c>
      <c r="S26" s="252" t="s">
        <v>229</v>
      </c>
      <c r="T26" s="743">
        <v>21</v>
      </c>
      <c r="U26" s="154" t="s">
        <v>230</v>
      </c>
      <c r="V26" s="143"/>
      <c r="W26" s="163">
        <f>Laskenta_vuosihyötysuhde!F22</f>
        <v>-16</v>
      </c>
      <c r="X26" s="164">
        <f>Laskenta_vuosihyötysuhde!G22</f>
        <v>0</v>
      </c>
      <c r="Y26" s="165">
        <f>Laskenta_vuosihyötysuhde!I22</f>
        <v>-6.5</v>
      </c>
      <c r="Z26" s="166">
        <f>Laskenta_vuosihyötysuhde!N22</f>
        <v>11.5</v>
      </c>
      <c r="AA26" s="167">
        <f>Laskenta_vuosihyötysuhde!U22</f>
        <v>0</v>
      </c>
      <c r="AB26" s="168">
        <f>Laskenta_vuosihyötysuhde!V22</f>
        <v>0</v>
      </c>
      <c r="AC26" s="169">
        <f>Laskenta_vuosihyötysuhde!W22</f>
        <v>0</v>
      </c>
      <c r="AD26" s="24"/>
    </row>
    <row r="27" spans="2:30" ht="17" x14ac:dyDescent="0.15">
      <c r="B27" s="12"/>
      <c r="C27"/>
      <c r="D27"/>
      <c r="E27"/>
      <c r="F27"/>
      <c r="G27"/>
      <c r="H27"/>
      <c r="I27"/>
      <c r="J27"/>
      <c r="K27"/>
      <c r="L27"/>
      <c r="M27"/>
      <c r="N27"/>
      <c r="O27" s="24"/>
      <c r="Q27" s="12"/>
      <c r="R27" s="546" t="str" cm="1">
        <f t="array" ref="R27">INDEX(Kirjasto!D4:K125,86,Kirjasto!B4)</f>
        <v>Minimalna temperatura powietrza wyrzucanego</v>
      </c>
      <c r="S27" s="252" t="s">
        <v>300</v>
      </c>
      <c r="T27" s="251">
        <v>-6.5</v>
      </c>
      <c r="U27" s="154" t="s">
        <v>230</v>
      </c>
      <c r="V27" s="155"/>
      <c r="W27" s="163">
        <f>Laskenta_vuosihyötysuhde!F23</f>
        <v>-15</v>
      </c>
      <c r="X27" s="164">
        <f>Laskenta_vuosihyötysuhde!G23</f>
        <v>0</v>
      </c>
      <c r="Y27" s="165">
        <f>Laskenta_vuosihyötysuhde!I23</f>
        <v>-6.5</v>
      </c>
      <c r="Z27" s="166">
        <f>Laskenta_vuosihyötysuhde!N23</f>
        <v>12.5</v>
      </c>
      <c r="AA27" s="167">
        <f>Laskenta_vuosihyötysuhde!U23</f>
        <v>0</v>
      </c>
      <c r="AB27" s="168">
        <f>Laskenta_vuosihyötysuhde!V23</f>
        <v>0</v>
      </c>
      <c r="AC27" s="169">
        <f>Laskenta_vuosihyötysuhde!W23</f>
        <v>0</v>
      </c>
      <c r="AD27" s="24"/>
    </row>
    <row r="28" spans="2:30" x14ac:dyDescent="0.15">
      <c r="B28" s="12"/>
      <c r="C28"/>
      <c r="D28"/>
      <c r="E28"/>
      <c r="F28"/>
      <c r="G28"/>
      <c r="H28"/>
      <c r="I28"/>
      <c r="J28"/>
      <c r="K28"/>
      <c r="L28"/>
      <c r="M28"/>
      <c r="N28"/>
      <c r="O28" s="24"/>
      <c r="Q28" s="12"/>
      <c r="R28" s="546" t="str" cm="1">
        <f t="array" ref="R28">INDEX(Kirjasto!D4:K200,146,Kirjasto!B4)</f>
        <v>Ograniczenie temperatury powietrza nawiewanego</v>
      </c>
      <c r="S28" s="252"/>
      <c r="T28" s="182"/>
      <c r="U28" s="154"/>
      <c r="V28" s="155"/>
      <c r="W28" s="163">
        <f>Laskenta_vuosihyötysuhde!F24</f>
        <v>-14</v>
      </c>
      <c r="X28" s="164">
        <f>Laskenta_vuosihyötysuhde!G24</f>
        <v>0</v>
      </c>
      <c r="Y28" s="165">
        <f>Laskenta_vuosihyötysuhde!I24</f>
        <v>-6.5</v>
      </c>
      <c r="Z28" s="166">
        <f>Laskenta_vuosihyötysuhde!N24</f>
        <v>13.5</v>
      </c>
      <c r="AA28" s="167">
        <f>Laskenta_vuosihyötysuhde!U24</f>
        <v>0</v>
      </c>
      <c r="AB28" s="168">
        <f>Laskenta_vuosihyötysuhde!V24</f>
        <v>0</v>
      </c>
      <c r="AC28" s="169">
        <f>Laskenta_vuosihyötysuhde!W24</f>
        <v>0</v>
      </c>
      <c r="AD28" s="24"/>
    </row>
    <row r="29" spans="2:30" ht="15" customHeight="1" x14ac:dyDescent="0.15">
      <c r="B29" s="12"/>
      <c r="C29"/>
      <c r="D29"/>
      <c r="E29"/>
      <c r="F29"/>
      <c r="G29"/>
      <c r="H29"/>
      <c r="I29"/>
      <c r="J29"/>
      <c r="K29"/>
      <c r="L29"/>
      <c r="M29"/>
      <c r="N29"/>
      <c r="O29" s="24"/>
      <c r="Q29" s="12"/>
      <c r="R29" s="549" t="str" cm="1">
        <f t="array" ref="R29">INDEX(Kirjasto!D4:K125,87,Kirjasto!B4)</f>
        <v>Maksymalna temperatura powietrza nawiewanego w ograniczonej sytuacji</v>
      </c>
      <c r="S29" s="144" t="s">
        <v>233</v>
      </c>
      <c r="T29" s="744">
        <v>20</v>
      </c>
      <c r="U29" s="171" t="s">
        <v>230</v>
      </c>
      <c r="V29" s="143"/>
      <c r="W29" s="163">
        <f>Laskenta_vuosihyötysuhde!F25</f>
        <v>-13</v>
      </c>
      <c r="X29" s="164">
        <f>Laskenta_vuosihyötysuhde!G25</f>
        <v>0</v>
      </c>
      <c r="Y29" s="165">
        <f>Laskenta_vuosihyötysuhde!I25</f>
        <v>-6.1319999999999979</v>
      </c>
      <c r="Z29" s="166">
        <f>Laskenta_vuosihyötysuhde!N25</f>
        <v>14.131999999999998</v>
      </c>
      <c r="AA29" s="167">
        <f>Laskenta_vuosihyötysuhde!U25</f>
        <v>0</v>
      </c>
      <c r="AB29" s="168">
        <f>Laskenta_vuosihyötysuhde!V25</f>
        <v>0</v>
      </c>
      <c r="AC29" s="169">
        <f>Laskenta_vuosihyötysuhde!W25</f>
        <v>0</v>
      </c>
      <c r="AD29" s="24"/>
    </row>
    <row r="30" spans="2:30" x14ac:dyDescent="0.15">
      <c r="B30" s="12"/>
      <c r="C30"/>
      <c r="D30"/>
      <c r="E30"/>
      <c r="F30"/>
      <c r="G30"/>
      <c r="H30"/>
      <c r="I30"/>
      <c r="J30"/>
      <c r="K30"/>
      <c r="L30"/>
      <c r="M30"/>
      <c r="N30"/>
      <c r="O30" s="24"/>
      <c r="Q30" s="12"/>
      <c r="R30"/>
      <c r="S30" s="143"/>
      <c r="T30" s="143"/>
      <c r="U30" s="143"/>
      <c r="V30" s="143"/>
      <c r="W30" s="163">
        <f>Laskenta_vuosihyötysuhde!F26</f>
        <v>-12</v>
      </c>
      <c r="X30" s="164">
        <f>Laskenta_vuosihyötysuhde!G26</f>
        <v>3.4246575342465754E-4</v>
      </c>
      <c r="Y30" s="165">
        <f>Laskenta_vuosihyötysuhde!I26</f>
        <v>-5.3339999999999961</v>
      </c>
      <c r="Z30" s="166">
        <f>Laskenta_vuosihyötysuhde!N26</f>
        <v>14.333999999999996</v>
      </c>
      <c r="AA30" s="167">
        <f>Laskenta_vuosihyötysuhde!U26</f>
        <v>4.125</v>
      </c>
      <c r="AB30" s="168">
        <f>Laskenta_vuosihyötysuhde!V26</f>
        <v>3.2917499999999995</v>
      </c>
      <c r="AC30" s="169">
        <f>Laskenta_vuosihyötysuhde!W26</f>
        <v>3.2917499999999995</v>
      </c>
      <c r="AD30" s="24"/>
    </row>
    <row r="31" spans="2:30" ht="18" customHeight="1" x14ac:dyDescent="0.15">
      <c r="B31" s="12"/>
      <c r="C31"/>
      <c r="D31"/>
      <c r="E31"/>
      <c r="F31"/>
      <c r="G31"/>
      <c r="H31"/>
      <c r="I31"/>
      <c r="J31"/>
      <c r="K31"/>
      <c r="L31"/>
      <c r="M31"/>
      <c r="N31"/>
      <c r="O31" s="24"/>
      <c r="Q31" s="12"/>
      <c r="R31" s="260" t="str" cm="1">
        <f t="array" ref="R31">INDEX(Kirjasto!D4:K125,88,Kirjasto!B4)</f>
        <v>Roczny współczynnik efektywności energetycznej</v>
      </c>
      <c r="S31" s="261" t="s">
        <v>235</v>
      </c>
      <c r="T31" s="736">
        <f>Laskenta_vuosihyötysuhde!D24</f>
        <v>0.79799999999999982</v>
      </c>
      <c r="U31" s="149"/>
      <c r="V31" s="143"/>
      <c r="W31" s="163">
        <f>Laskenta_vuosihyötysuhde!F27</f>
        <v>-11</v>
      </c>
      <c r="X31" s="164">
        <f>Laskenta_vuosihyötysuhde!G27</f>
        <v>1.3698630136986301E-3</v>
      </c>
      <c r="Y31" s="165">
        <f>Laskenta_vuosihyötysuhde!I27</f>
        <v>-4.5359999999999978</v>
      </c>
      <c r="Z31" s="166">
        <f>Laskenta_vuosihyötysuhde!N27</f>
        <v>14.535999999999998</v>
      </c>
      <c r="AA31" s="167">
        <f>Laskenta_vuosihyötysuhde!U27</f>
        <v>12.000000000000002</v>
      </c>
      <c r="AB31" s="168">
        <f>Laskenta_vuosihyötysuhde!V27</f>
        <v>9.5760000000000005</v>
      </c>
      <c r="AC31" s="169">
        <f>Laskenta_vuosihyötysuhde!W27</f>
        <v>9.5760000000000005</v>
      </c>
      <c r="AD31" s="24"/>
    </row>
    <row r="32" spans="2:30" ht="15" customHeight="1" x14ac:dyDescent="0.2">
      <c r="B32" s="12"/>
      <c r="C32"/>
      <c r="D32"/>
      <c r="E32"/>
      <c r="F32"/>
      <c r="G32"/>
      <c r="H32"/>
      <c r="I32"/>
      <c r="J32"/>
      <c r="K32"/>
      <c r="L32"/>
      <c r="M32"/>
      <c r="N32"/>
      <c r="O32" s="24"/>
      <c r="Q32" s="12"/>
      <c r="R32" s="270"/>
      <c r="S32" s="737"/>
      <c r="T32" s="738"/>
      <c r="U32" s="154"/>
      <c r="V32" s="143"/>
      <c r="W32" s="163">
        <f>Laskenta_vuosihyötysuhde!F28</f>
        <v>-10</v>
      </c>
      <c r="X32" s="164">
        <f>Laskenta_vuosihyötysuhde!G28</f>
        <v>4.9086757990867581E-3</v>
      </c>
      <c r="Y32" s="165">
        <f>Laskenta_vuosihyötysuhde!I28</f>
        <v>-3.7379999999999995</v>
      </c>
      <c r="Z32" s="166">
        <f>Laskenta_vuosihyötysuhde!N28</f>
        <v>14.738</v>
      </c>
      <c r="AA32" s="167">
        <f>Laskenta_vuosihyötysuhde!U28</f>
        <v>40.041666666666664</v>
      </c>
      <c r="AB32" s="168">
        <f>Laskenta_vuosihyötysuhde!V28</f>
        <v>31.953249999999997</v>
      </c>
      <c r="AC32" s="169">
        <f>Laskenta_vuosihyötysuhde!W28</f>
        <v>31.953249999999997</v>
      </c>
      <c r="AD32" s="24"/>
    </row>
    <row r="33" spans="2:30" ht="15" customHeight="1" x14ac:dyDescent="0.15">
      <c r="B33" s="12"/>
      <c r="C33"/>
      <c r="D33"/>
      <c r="E33" s="663">
        <f>IF(Tulokset!$AC$7,'R-series ALU'!E37,'R-series ALU'!E38)</f>
        <v>9.7222222222222214</v>
      </c>
      <c r="F33" s="601"/>
      <c r="G33" s="663">
        <f>IF(Tulokset!$AC$7,'R-series ALU'!G37,'R-series ALU'!G38)</f>
        <v>9.7222222222222214</v>
      </c>
      <c r="H33"/>
      <c r="I33"/>
      <c r="J33"/>
      <c r="K33"/>
      <c r="L33"/>
      <c r="M33"/>
      <c r="N33"/>
      <c r="O33" s="24"/>
      <c r="Q33" s="12"/>
      <c r="R33" s="253" t="str" cm="1">
        <f t="array" ref="R33">INDEX(Kirjasto!D4:K125,89,Kirjasto!B4)</f>
        <v>Całkowite zapotrzebowanie na energię dla wentylacji</v>
      </c>
      <c r="S33" s="252"/>
      <c r="T33" s="256">
        <f>Laskenta_vuosihyötysuhde!Y51</f>
        <v>1242.4200599999995</v>
      </c>
      <c r="U33" s="154" t="s">
        <v>1285</v>
      </c>
      <c r="V33" s="143"/>
      <c r="W33" s="163">
        <f>Laskenta_vuosihyötysuhde!F29</f>
        <v>-9</v>
      </c>
      <c r="X33" s="164">
        <f>Laskenta_vuosihyötysuhde!G29</f>
        <v>6.735159817351598E-3</v>
      </c>
      <c r="Y33" s="165">
        <f>Laskenta_vuosihyötysuhde!I29</f>
        <v>-2.9399999999999977</v>
      </c>
      <c r="Z33" s="166">
        <f>Laskenta_vuosihyötysuhde!N29</f>
        <v>14.939999999999998</v>
      </c>
      <c r="AA33" s="167">
        <f>Laskenta_vuosihyötysuhde!U29</f>
        <v>19.999999999999996</v>
      </c>
      <c r="AB33" s="168">
        <f>Laskenta_vuosihyötysuhde!V29</f>
        <v>15.959999999999996</v>
      </c>
      <c r="AC33" s="169">
        <f>Laskenta_vuosihyötysuhde!W29</f>
        <v>15.959999999999996</v>
      </c>
      <c r="AD33" s="24"/>
    </row>
    <row r="34" spans="2:30" ht="15" customHeight="1" x14ac:dyDescent="0.15">
      <c r="B34" s="12"/>
      <c r="C34"/>
      <c r="D34"/>
      <c r="E34"/>
      <c r="F34"/>
      <c r="G34"/>
      <c r="H34"/>
      <c r="I34"/>
      <c r="J34"/>
      <c r="K34"/>
      <c r="L34"/>
      <c r="M34"/>
      <c r="N34"/>
      <c r="O34" s="24"/>
      <c r="Q34" s="12"/>
      <c r="R34" s="253" t="str" cm="1">
        <f t="array" ref="R34">INDEX(Kirjasto!D4:K125,90,Kirjasto!B4)</f>
        <v>Odzyskana energia grzewcza</v>
      </c>
      <c r="S34" s="252"/>
      <c r="T34" s="256">
        <f>Laskenta_vuosihyötysuhde!Z51</f>
        <v>991.45120787999986</v>
      </c>
      <c r="U34" s="154" t="s">
        <v>1285</v>
      </c>
      <c r="V34" s="143"/>
      <c r="W34" s="163">
        <f>Laskenta_vuosihyötysuhde!F30</f>
        <v>-8</v>
      </c>
      <c r="X34" s="164">
        <f>Laskenta_vuosihyötysuhde!G30</f>
        <v>9.1324200913242004E-3</v>
      </c>
      <c r="Y34" s="165">
        <f>Laskenta_vuosihyötysuhde!I30</f>
        <v>-2.1419999999999995</v>
      </c>
      <c r="Z34" s="166">
        <f>Laskenta_vuosihyötysuhde!N30</f>
        <v>15.141999999999999</v>
      </c>
      <c r="AA34" s="167">
        <f>Laskenta_vuosihyötysuhde!U30</f>
        <v>25.374999999999996</v>
      </c>
      <c r="AB34" s="168">
        <f>Laskenta_vuosihyötysuhde!V30</f>
        <v>20.249249999999996</v>
      </c>
      <c r="AC34" s="169">
        <f>Laskenta_vuosihyötysuhde!W30</f>
        <v>20.249249999999996</v>
      </c>
      <c r="AD34" s="24"/>
    </row>
    <row r="35" spans="2:30" x14ac:dyDescent="0.15">
      <c r="B35" s="12"/>
      <c r="C35" s="2" t="str" cm="1">
        <f t="array" ref="C35">INDEX(Kirjasto!D4:K150,133,Kirjasto!B4)</f>
        <v>Punkt wymiarowania (wprowadź przepływ objętościowy i różnicę ciśnień)</v>
      </c>
      <c r="D35"/>
      <c r="E35"/>
      <c r="F35"/>
      <c r="G35"/>
      <c r="H35"/>
      <c r="I35"/>
      <c r="J35" s="2" t="str" cm="1">
        <f t="array" ref="J35">INDEX(Kirjasto!D4:K150,134,Kirjasto!B4)</f>
        <v>Obliczenie zapasu wydajności jednostki:</v>
      </c>
      <c r="K35"/>
      <c r="L35"/>
      <c r="M35"/>
      <c r="N35"/>
      <c r="O35" s="24"/>
      <c r="Q35" s="12"/>
      <c r="R35" s="14" t="str" cm="1">
        <f t="array" ref="R35">INDEX(Kirjasto!D4:K200,145,Kirjasto!B4)</f>
        <v>Zużycie energii elektrycznej przez wentylatory i elektronikę</v>
      </c>
      <c r="S35" s="144"/>
      <c r="T35" s="739" t="str">
        <f>Laskenta_vuosihyötysuhde!AG8</f>
        <v>-</v>
      </c>
      <c r="U35" s="171" t="s">
        <v>1285</v>
      </c>
      <c r="V35" s="143"/>
      <c r="W35" s="163">
        <f>Laskenta_vuosihyötysuhde!F31</f>
        <v>-7</v>
      </c>
      <c r="X35" s="164">
        <f>Laskenta_vuosihyötysuhde!G31</f>
        <v>1.1301369863013699E-2</v>
      </c>
      <c r="Y35" s="165">
        <f>Laskenta_vuosihyötysuhde!I31</f>
        <v>-1.3439999999999976</v>
      </c>
      <c r="Z35" s="166">
        <f>Laskenta_vuosihyötysuhde!N31</f>
        <v>15.343999999999998</v>
      </c>
      <c r="AA35" s="167">
        <f>Laskenta_vuosihyötysuhde!U31</f>
        <v>22.166666666666675</v>
      </c>
      <c r="AB35" s="168">
        <f>Laskenta_vuosihyötysuhde!V31</f>
        <v>17.689000000000007</v>
      </c>
      <c r="AC35" s="169">
        <f>Laskenta_vuosihyötysuhde!W31</f>
        <v>17.689000000000007</v>
      </c>
      <c r="AD35" s="24"/>
    </row>
    <row r="36" spans="2:30" ht="15.75" customHeight="1" x14ac:dyDescent="0.15">
      <c r="B36" s="12"/>
      <c r="C36" s="23"/>
      <c r="D36" s="22"/>
      <c r="E36" s="614" t="str">
        <f>Kirjasto!M17</f>
        <v>Powietrze nawiewane</v>
      </c>
      <c r="F36" s="22"/>
      <c r="G36" s="614" t="str">
        <f>Kirjasto!M18</f>
        <v>Powietrze wywiewane</v>
      </c>
      <c r="H36" s="21"/>
      <c r="I36"/>
      <c r="J36" s="1722" t="str" cm="1">
        <f t="array" ref="J36">INDEX(Kirjasto!D4:K150,135,Kirjasto!B4)</f>
        <v>Maksymalny zapas wydajności:</v>
      </c>
      <c r="K36" s="1723"/>
      <c r="L36" s="832" t="str">
        <f>Kirjasto!M17</f>
        <v>Powietrze nawiewane</v>
      </c>
      <c r="M36" s="832" t="str">
        <f>Kirjasto!M18</f>
        <v>Powietrze wywiewane</v>
      </c>
      <c r="N36" s="21"/>
      <c r="O36" s="24"/>
      <c r="Q36" s="12"/>
      <c r="R36"/>
      <c r="S36" s="143"/>
      <c r="T36" s="143"/>
      <c r="U36" s="143"/>
      <c r="V36" s="143"/>
      <c r="W36" s="163">
        <f>Laskenta_vuosihyötysuhde!F32</f>
        <v>-6</v>
      </c>
      <c r="X36" s="164">
        <f>Laskenta_vuosihyötysuhde!G32</f>
        <v>2.3858447488584476E-2</v>
      </c>
      <c r="Y36" s="165">
        <f>Laskenta_vuosihyötysuhde!I32</f>
        <v>-0.54599999999999937</v>
      </c>
      <c r="Z36" s="166">
        <f>Laskenta_vuosihyötysuhde!N32</f>
        <v>15.545999999999999</v>
      </c>
      <c r="AA36" s="167">
        <f>Laskenta_vuosihyötysuhde!U32</f>
        <v>123.75000000000001</v>
      </c>
      <c r="AB36" s="168">
        <f>Laskenta_vuosihyötysuhde!V32</f>
        <v>98.752500000000012</v>
      </c>
      <c r="AC36" s="169">
        <f>Laskenta_vuosihyötysuhde!W32</f>
        <v>98.752500000000012</v>
      </c>
      <c r="AD36" s="24"/>
    </row>
    <row r="37" spans="2:30" ht="14.25" customHeight="1" x14ac:dyDescent="0.15">
      <c r="B37" s="12"/>
      <c r="C37" s="600" t="str" cm="1">
        <f t="array" ref="C37">INDEX(Kirjasto!D4:K150,21,Kirjasto!B4)</f>
        <v>Natężenie przepływu powietrza</v>
      </c>
      <c r="D37" s="76"/>
      <c r="E37" s="648">
        <v>35</v>
      </c>
      <c r="F37" s="601" t="str">
        <f>Tulokset!$AC$10</f>
        <v>m³/h</v>
      </c>
      <c r="G37" s="648">
        <v>35</v>
      </c>
      <c r="H37" s="602" t="str">
        <f>Tulokset!$AC$10</f>
        <v>m³/h</v>
      </c>
      <c r="I37" s="601"/>
      <c r="J37" s="1721"/>
      <c r="K37" s="1724"/>
      <c r="L37" s="647" t="str">
        <f>Tulokset!CV38</f>
        <v>-</v>
      </c>
      <c r="M37" s="647" t="str">
        <f>Tulokset!CW38</f>
        <v>-</v>
      </c>
      <c r="N37" s="24"/>
      <c r="O37" s="24"/>
      <c r="Q37" s="12"/>
      <c r="R37"/>
      <c r="S37" s="143"/>
      <c r="T37" s="143"/>
      <c r="U37" s="143"/>
      <c r="V37" s="143"/>
      <c r="W37" s="163">
        <f>Laskenta_vuosihyötysuhde!F33</f>
        <v>-5</v>
      </c>
      <c r="X37" s="164">
        <f>Laskenta_vuosihyötysuhde!G33</f>
        <v>4.2922374429223746E-2</v>
      </c>
      <c r="Y37" s="165">
        <f>Laskenta_vuosihyötysuhde!I33</f>
        <v>0.25200000000000244</v>
      </c>
      <c r="Z37" s="166">
        <f>Laskenta_vuosihyötysuhde!N33</f>
        <v>15.747999999999998</v>
      </c>
      <c r="AA37" s="167">
        <f>Laskenta_vuosihyötysuhde!U33</f>
        <v>180.91666666666666</v>
      </c>
      <c r="AB37" s="168">
        <f>Laskenta_vuosihyötysuhde!V33</f>
        <v>144.3715</v>
      </c>
      <c r="AC37" s="169">
        <f>Laskenta_vuosihyötysuhde!W33</f>
        <v>144.3715</v>
      </c>
      <c r="AD37" s="24"/>
    </row>
    <row r="38" spans="2:30" ht="14" thickBot="1" x14ac:dyDescent="0.2">
      <c r="B38" s="12"/>
      <c r="C38" s="603"/>
      <c r="D38" s="590"/>
      <c r="E38" s="629">
        <f>Tulokset!AC15</f>
        <v>9.7222222222222214</v>
      </c>
      <c r="F38" s="601" t="str">
        <f>Tulokset!$AC$11</f>
        <v>dm³/s</v>
      </c>
      <c r="G38" s="629">
        <f>Tulokset!AD15</f>
        <v>9.7222222222222214</v>
      </c>
      <c r="H38" s="602" t="str">
        <f>Tulokset!$AC$11</f>
        <v>dm³/s</v>
      </c>
      <c r="I38" s="601"/>
      <c r="J38" s="598"/>
      <c r="K38"/>
      <c r="L38"/>
      <c r="M38"/>
      <c r="N38" s="24"/>
      <c r="O38" s="24"/>
      <c r="Q38" s="12"/>
      <c r="R38"/>
      <c r="S38" s="143"/>
      <c r="T38" s="143"/>
      <c r="U38" s="143"/>
      <c r="V38" s="143"/>
      <c r="W38" s="163">
        <f>Laskenta_vuosihyötysuhde!F34</f>
        <v>-4</v>
      </c>
      <c r="X38" s="164">
        <f>Laskenta_vuosihyötysuhde!G34</f>
        <v>5.6849315068493153E-2</v>
      </c>
      <c r="Y38" s="165">
        <f>Laskenta_vuosihyötysuhde!I34</f>
        <v>1.0500000000000007</v>
      </c>
      <c r="Z38" s="166">
        <f>Laskenta_vuosihyötysuhde!N34</f>
        <v>15.95</v>
      </c>
      <c r="AA38" s="167">
        <f>Laskenta_vuosihyötysuhde!U34</f>
        <v>127.08333333333334</v>
      </c>
      <c r="AB38" s="168">
        <f>Laskenta_vuosihyötysuhde!V34</f>
        <v>101.41249999999999</v>
      </c>
      <c r="AC38" s="169">
        <f>Laskenta_vuosihyötysuhde!W34</f>
        <v>101.41249999999999</v>
      </c>
      <c r="AD38" s="24"/>
    </row>
    <row r="39" spans="2:30" ht="14" thickTop="1" x14ac:dyDescent="0.15">
      <c r="B39" s="12"/>
      <c r="C39" s="600" t="str" cm="1">
        <f t="array" ref="C39">INDEX(Kirjasto!D4:K150,22,Kirjasto!B4)</f>
        <v>Różnica ciśnień:</v>
      </c>
      <c r="D39" s="76"/>
      <c r="E39" s="632">
        <v>80</v>
      </c>
      <c r="F39" s="601" t="s">
        <v>14</v>
      </c>
      <c r="G39" s="632">
        <v>100</v>
      </c>
      <c r="H39" s="602" t="s">
        <v>14</v>
      </c>
      <c r="I39" s="601"/>
      <c r="J39" s="625" t="str" cm="1">
        <f t="array" ref="J39">INDEX(Kirjasto!D4:K150,136,Kirjasto!B4)</f>
        <v>Wprowadź żądaną wartość zapasu wydajności:</v>
      </c>
      <c r="K39"/>
      <c r="L39"/>
      <c r="M39"/>
      <c r="N39" s="24"/>
      <c r="O39" s="24"/>
      <c r="Q39" s="12"/>
      <c r="R39"/>
      <c r="S39" s="143"/>
      <c r="T39" s="143"/>
      <c r="U39" s="143"/>
      <c r="V39" s="143"/>
      <c r="W39" s="163">
        <f>Laskenta_vuosihyötysuhde!F35</f>
        <v>-3</v>
      </c>
      <c r="X39" s="164">
        <f>Laskenta_vuosihyötysuhde!G35</f>
        <v>8.0936073059360736E-2</v>
      </c>
      <c r="Y39" s="165">
        <f>Laskenta_vuosihyötysuhde!I35</f>
        <v>1.8480000000000025</v>
      </c>
      <c r="Z39" s="166">
        <f>Laskenta_vuosihyötysuhde!N35</f>
        <v>16.151999999999997</v>
      </c>
      <c r="AA39" s="167">
        <f>Laskenta_vuosihyötysuhde!U35</f>
        <v>211.00000000000003</v>
      </c>
      <c r="AB39" s="168">
        <f>Laskenta_vuosihyötysuhde!V35</f>
        <v>168.37799999999999</v>
      </c>
      <c r="AC39" s="169">
        <f>Laskenta_vuosihyötysuhde!W35</f>
        <v>168.37799999999999</v>
      </c>
      <c r="AD39" s="24"/>
    </row>
    <row r="40" spans="2:30" x14ac:dyDescent="0.15">
      <c r="B40" s="12"/>
      <c r="C40" s="12"/>
      <c r="D40"/>
      <c r="E40" s="649" t="str">
        <f>Tulokset!D38</f>
        <v>Nie w obszarze użytkowania</v>
      </c>
      <c r="F40" s="650"/>
      <c r="G40" s="649" t="str">
        <f>Tulokset!G38</f>
        <v>Nie w obszarze użytkowania</v>
      </c>
      <c r="H40" s="24"/>
      <c r="I40"/>
      <c r="J40" s="831" t="str" cm="1">
        <f t="array" ref="J40">INDEX(Kirjasto!D4:K150,137,Kirjasto!B4)</f>
        <v>Wartość zapasu wydajności [%]:</v>
      </c>
      <c r="K40" s="76"/>
      <c r="L40" s="76"/>
      <c r="M40" s="833">
        <v>0.2</v>
      </c>
      <c r="N40" s="24"/>
      <c r="O40" s="24"/>
      <c r="P40" s="89"/>
      <c r="Q40" s="12"/>
      <c r="R40"/>
      <c r="S40" s="143"/>
      <c r="T40" s="143"/>
      <c r="U40" s="143"/>
      <c r="V40" s="143"/>
      <c r="W40" s="163">
        <f>Laskenta_vuosihyötysuhde!F36</f>
        <v>-2</v>
      </c>
      <c r="X40" s="164">
        <f>Laskenta_vuosihyötysuhde!G36</f>
        <v>0.1110730593607306</v>
      </c>
      <c r="Y40" s="165">
        <f>Laskenta_vuosihyötysuhde!I36</f>
        <v>2.6460000000000008</v>
      </c>
      <c r="Z40" s="166">
        <f>Laskenta_vuosihyötysuhde!N36</f>
        <v>16.353999999999999</v>
      </c>
      <c r="AA40" s="167">
        <f>Laskenta_vuosihyötysuhde!U36</f>
        <v>253.00000000000003</v>
      </c>
      <c r="AB40" s="168">
        <f>Laskenta_vuosihyötysuhde!V36</f>
        <v>201.89400000000001</v>
      </c>
      <c r="AC40" s="169">
        <f>Laskenta_vuosihyötysuhde!W36</f>
        <v>201.89400000000001</v>
      </c>
      <c r="AD40" s="24"/>
    </row>
    <row r="41" spans="2:30" ht="26.25" customHeight="1" x14ac:dyDescent="0.15">
      <c r="B41" s="12"/>
      <c r="C41" s="599"/>
      <c r="D41"/>
      <c r="E41" s="830" t="str" cm="1">
        <f t="array" ref="E41">INDEX(Kirjasto!D4:K125,25,Kirjasto!B4)</f>
        <v>Wentylator nawiewny:</v>
      </c>
      <c r="F41"/>
      <c r="G41" s="830" t="str" cm="1">
        <f t="array" ref="G41">INDEX(Kirjasto!D4:K125,28,Kirjasto!B4)</f>
        <v>Wentylator wyciągowy:</v>
      </c>
      <c r="H41" s="24"/>
      <c r="I41"/>
      <c r="J41" s="598"/>
      <c r="K41"/>
      <c r="L41" s="644" t="str">
        <f>Tulokset!CX38</f>
        <v/>
      </c>
      <c r="M41"/>
      <c r="N41" s="24"/>
      <c r="O41" s="24"/>
      <c r="Q41" s="12"/>
      <c r="R41"/>
      <c r="S41" s="143"/>
      <c r="T41" s="143"/>
      <c r="U41" s="143"/>
      <c r="V41" s="143"/>
      <c r="W41" s="163">
        <f>Laskenta_vuosihyötysuhde!F37</f>
        <v>-1</v>
      </c>
      <c r="X41" s="164">
        <f>Laskenta_vuosihyötysuhde!G37</f>
        <v>0.15719178082191781</v>
      </c>
      <c r="Y41" s="165">
        <f>Laskenta_vuosihyötysuhde!I37</f>
        <v>3.4440000000000026</v>
      </c>
      <c r="Z41" s="166">
        <f>Laskenta_vuosihyötysuhde!N37</f>
        <v>16.555999999999997</v>
      </c>
      <c r="AA41" s="167">
        <f>Laskenta_vuosihyötysuhde!U37</f>
        <v>370.33333333333337</v>
      </c>
      <c r="AB41" s="168">
        <f>Laskenta_vuosihyötysuhde!V37</f>
        <v>295.52599999999995</v>
      </c>
      <c r="AC41" s="169">
        <f>Laskenta_vuosihyötysuhde!W37</f>
        <v>295.52599999999995</v>
      </c>
      <c r="AD41" s="24"/>
    </row>
    <row r="42" spans="2:30" x14ac:dyDescent="0.15">
      <c r="B42" s="12"/>
      <c r="C42" s="600" t="str" cm="1">
        <f t="array" ref="C42">INDEX(Kirjasto!D4:K125,26,Kirjasto!B4)</f>
        <v>Napięcie sterowania:</v>
      </c>
      <c r="D42" s="76"/>
      <c r="E42" s="630" t="str">
        <f>Tulokset!E38</f>
        <v>-</v>
      </c>
      <c r="F42" t="s">
        <v>25</v>
      </c>
      <c r="G42" s="630" t="str">
        <f>Tulokset!H38</f>
        <v>-</v>
      </c>
      <c r="H42" s="24" t="s">
        <v>25</v>
      </c>
      <c r="I42"/>
      <c r="J42" s="625" t="str" cm="1">
        <f t="array" ref="J42">INDEX(Kirjasto!D4:K150,138,Kirjasto!B4)</f>
        <v>Punkt pracy w przypadku użycia programu TURBO:</v>
      </c>
      <c r="K42"/>
      <c r="L42"/>
      <c r="M42"/>
      <c r="N42" s="24"/>
      <c r="O42" s="24"/>
      <c r="Q42" s="12"/>
      <c r="R42"/>
      <c r="S42" s="143"/>
      <c r="T42" s="143"/>
      <c r="U42" s="143"/>
      <c r="V42" s="143"/>
      <c r="W42" s="163">
        <f>Laskenta_vuosihyötysuhde!F38</f>
        <v>0</v>
      </c>
      <c r="X42" s="164">
        <f>Laskenta_vuosihyötysuhde!G38</f>
        <v>0.21255707762557077</v>
      </c>
      <c r="Y42" s="165">
        <f>Laskenta_vuosihyötysuhde!I38</f>
        <v>4.2420000000000009</v>
      </c>
      <c r="Z42" s="166">
        <f>Laskenta_vuosihyötysuhde!N38</f>
        <v>16.757999999999999</v>
      </c>
      <c r="AA42" s="167">
        <f>Laskenta_vuosihyötysuhde!U38</f>
        <v>424.37499999999994</v>
      </c>
      <c r="AB42" s="168">
        <f>Laskenta_vuosihyötysuhde!V38</f>
        <v>338.65124999999989</v>
      </c>
      <c r="AC42" s="169">
        <f>Laskenta_vuosihyötysuhde!W38</f>
        <v>338.65124999999989</v>
      </c>
      <c r="AD42" s="24"/>
    </row>
    <row r="43" spans="2:30" x14ac:dyDescent="0.15">
      <c r="B43" s="12"/>
      <c r="C43" s="600" t="str" cm="1">
        <f t="array" ref="C43">INDEX(Kirjasto!D4:K125,27,Kirjasto!B4)</f>
        <v>Moc wentylatora:</v>
      </c>
      <c r="D43" s="76"/>
      <c r="E43" s="630" t="str">
        <f>Tulokset!F38</f>
        <v>-</v>
      </c>
      <c r="F43" t="s">
        <v>49</v>
      </c>
      <c r="G43" s="630" t="str">
        <f>Tulokset!I38</f>
        <v>-</v>
      </c>
      <c r="H43" s="24" t="s">
        <v>49</v>
      </c>
      <c r="I43"/>
      <c r="J43" s="12"/>
      <c r="K43"/>
      <c r="L43" s="842" t="str">
        <f>Kirjasto!M17</f>
        <v>Powietrze nawiewane</v>
      </c>
      <c r="M43" s="842" t="str">
        <f>Kirjasto!M18</f>
        <v>Powietrze wywiewane</v>
      </c>
      <c r="N43" s="24"/>
      <c r="O43" s="24"/>
      <c r="Q43" s="12"/>
      <c r="R43"/>
      <c r="S43" s="143"/>
      <c r="T43" s="143"/>
      <c r="U43" s="143"/>
      <c r="V43" s="143"/>
      <c r="W43" s="163">
        <f>Laskenta_vuosihyötysuhde!F39</f>
        <v>1</v>
      </c>
      <c r="X43" s="164">
        <f>Laskenta_vuosihyötysuhde!G39</f>
        <v>0.24155251141552511</v>
      </c>
      <c r="Y43" s="165">
        <f>Laskenta_vuosihyötysuhde!I39</f>
        <v>5.0400000000000009</v>
      </c>
      <c r="Z43" s="166">
        <f>Laskenta_vuosihyötysuhde!N39</f>
        <v>16.96</v>
      </c>
      <c r="AA43" s="167">
        <f>Laskenta_vuosihyötysuhde!U39</f>
        <v>211.66666666666669</v>
      </c>
      <c r="AB43" s="168">
        <f>Laskenta_vuosihyötysuhde!V39</f>
        <v>168.91000000000003</v>
      </c>
      <c r="AC43" s="169">
        <f>Laskenta_vuosihyötysuhde!W39</f>
        <v>168.91</v>
      </c>
      <c r="AD43" s="24"/>
    </row>
    <row r="44" spans="2:30" ht="15" customHeight="1" x14ac:dyDescent="0.15">
      <c r="B44" s="12"/>
      <c r="C44" s="12"/>
      <c r="D44"/>
      <c r="E44"/>
      <c r="F44"/>
      <c r="G44"/>
      <c r="H44" s="24"/>
      <c r="I44"/>
      <c r="J44" s="831" t="str" cm="1">
        <f t="array" ref="J44">INDEX(Kirjasto!D4:K150,21,Kirjasto!B4)</f>
        <v>Natężenie przepływu powietrza</v>
      </c>
      <c r="K44" s="76"/>
      <c r="L44" s="631" t="str">
        <f>Tulokset!CR38</f>
        <v>-</v>
      </c>
      <c r="M44" s="631" t="str">
        <f>Tulokset!CS38</f>
        <v>-</v>
      </c>
      <c r="N44" s="24" t="str">
        <f>Tulokset!$AC$10</f>
        <v>m³/h</v>
      </c>
      <c r="O44" s="24"/>
      <c r="Q44" s="12"/>
      <c r="R44"/>
      <c r="S44" s="143"/>
      <c r="T44" s="143"/>
      <c r="U44" s="143"/>
      <c r="V44" s="143"/>
      <c r="W44" s="163">
        <f>Laskenta_vuosihyötysuhde!F40</f>
        <v>2</v>
      </c>
      <c r="X44" s="164">
        <f>Laskenta_vuosihyötysuhde!G40</f>
        <v>0.30034246575342466</v>
      </c>
      <c r="Y44" s="165">
        <f>Laskenta_vuosihyötysuhde!I40</f>
        <v>5.838000000000001</v>
      </c>
      <c r="Z44" s="166">
        <f>Laskenta_vuosihyötysuhde!N40</f>
        <v>17.161999999999999</v>
      </c>
      <c r="AA44" s="167">
        <f>Laskenta_vuosihyötysuhde!U40</f>
        <v>407.70833333333337</v>
      </c>
      <c r="AB44" s="168">
        <f>Laskenta_vuosihyötysuhde!V40</f>
        <v>325.35124999999999</v>
      </c>
      <c r="AC44" s="169">
        <f>Laskenta_vuosihyötysuhde!W40</f>
        <v>325.35124999999999</v>
      </c>
      <c r="AD44" s="24"/>
    </row>
    <row r="45" spans="2:30" ht="14.25" customHeight="1" x14ac:dyDescent="0.15">
      <c r="B45" s="12"/>
      <c r="C45" s="604" t="str" cm="1">
        <f t="array" ref="C45">INDEX(Kirjasto!D4:K200,29,Kirjasto!B4)</f>
        <v>Całkowita moc:</v>
      </c>
      <c r="D45" s="123" t="str">
        <f>Tulokset!K38</f>
        <v>-</v>
      </c>
      <c r="E45" s="2" t="s">
        <v>49</v>
      </c>
      <c r="F45"/>
      <c r="G45"/>
      <c r="H45" s="24"/>
      <c r="I45"/>
      <c r="J45" s="841"/>
      <c r="K45"/>
      <c r="L45" s="631" t="str">
        <f>Tulokset!CR39</f>
        <v>-</v>
      </c>
      <c r="M45" s="631" t="str">
        <f>Tulokset!CS39</f>
        <v>-</v>
      </c>
      <c r="N45" s="24" t="str">
        <f>Tulokset!$AC$11</f>
        <v>dm³/s</v>
      </c>
      <c r="O45" s="24"/>
      <c r="Q45" s="12"/>
      <c r="R45"/>
      <c r="S45" s="143"/>
      <c r="T45" s="143"/>
      <c r="U45" s="143"/>
      <c r="V45" s="143"/>
      <c r="W45" s="163">
        <f>Laskenta_vuosihyötysuhde!F41</f>
        <v>3</v>
      </c>
      <c r="X45" s="164">
        <f>Laskenta_vuosihyötysuhde!G41</f>
        <v>0.3485159817351598</v>
      </c>
      <c r="Y45" s="165">
        <f>Laskenta_vuosihyötysuhde!I41</f>
        <v>6.636000000000001</v>
      </c>
      <c r="Z45" s="166">
        <f>Laskenta_vuosihyötysuhde!N41</f>
        <v>17.363999999999997</v>
      </c>
      <c r="AA45" s="167">
        <f>Laskenta_vuosihyötysuhde!U41</f>
        <v>316.49999999999983</v>
      </c>
      <c r="AB45" s="168">
        <f>Laskenta_vuosihyötysuhde!V41</f>
        <v>252.56699999999984</v>
      </c>
      <c r="AC45" s="169">
        <f>Laskenta_vuosihyötysuhde!W41</f>
        <v>252.56699999999987</v>
      </c>
      <c r="AD45" s="24"/>
    </row>
    <row r="46" spans="2:30" ht="15" customHeight="1" x14ac:dyDescent="0.25">
      <c r="B46" s="12"/>
      <c r="C46" s="604" t="str" cm="1">
        <f t="array" ref="C46">INDEX(Kirjasto!D4:K200,30,Kirjasto!B4)</f>
        <v>SFP:</v>
      </c>
      <c r="D46" s="477" t="str">
        <f>Tulokset!L38</f>
        <v>-</v>
      </c>
      <c r="E46" s="2" t="s">
        <v>1106</v>
      </c>
      <c r="F46" s="424" t="s">
        <v>550</v>
      </c>
      <c r="G46" s="444" t="str">
        <f>Tulokset!CI38</f>
        <v>-</v>
      </c>
      <c r="H46" s="608" t="s">
        <v>1105</v>
      </c>
      <c r="I46"/>
      <c r="J46" s="831" t="str" cm="1">
        <f t="array" ref="J46">INDEX(Kirjasto!D4:K150,22,Kirjasto!B4)</f>
        <v>Różnica ciśnień:</v>
      </c>
      <c r="K46" s="76"/>
      <c r="L46" s="631" t="str">
        <f>Tulokset!CT38</f>
        <v>-</v>
      </c>
      <c r="M46" s="631" t="str">
        <f>Tulokset!CU38</f>
        <v>-</v>
      </c>
      <c r="N46" s="24" t="s">
        <v>14</v>
      </c>
      <c r="O46" s="24"/>
      <c r="Q46" s="12"/>
      <c r="R46"/>
      <c r="S46" s="143"/>
      <c r="T46" s="143"/>
      <c r="U46" s="143"/>
      <c r="V46" s="143"/>
      <c r="W46" s="163">
        <f>Laskenta_vuosihyötysuhde!F42</f>
        <v>4</v>
      </c>
      <c r="X46" s="164">
        <f>Laskenta_vuosihyötysuhde!G42</f>
        <v>0.40251141552511416</v>
      </c>
      <c r="Y46" s="165">
        <f>Laskenta_vuosihyötysuhde!I42</f>
        <v>7.4340000000000011</v>
      </c>
      <c r="Z46" s="166">
        <f>Laskenta_vuosihyötysuhde!N42</f>
        <v>17.565999999999999</v>
      </c>
      <c r="AA46" s="167">
        <f>Laskenta_vuosihyötysuhde!U42</f>
        <v>335.04166666666686</v>
      </c>
      <c r="AB46" s="168">
        <f>Laskenta_vuosihyötysuhde!V42</f>
        <v>267.36325000000011</v>
      </c>
      <c r="AC46" s="169">
        <f>Laskenta_vuosihyötysuhde!W42</f>
        <v>267.36325000000011</v>
      </c>
      <c r="AD46" s="24"/>
    </row>
    <row r="47" spans="2:30" ht="17" x14ac:dyDescent="0.25">
      <c r="B47" s="12"/>
      <c r="C47" s="604" t="s">
        <v>1103</v>
      </c>
      <c r="D47" s="477" t="str">
        <f>Tulokset!T42</f>
        <v>-</v>
      </c>
      <c r="E47" s="2" t="s">
        <v>1104</v>
      </c>
      <c r="F47" s="424" t="s">
        <v>575</v>
      </c>
      <c r="G47" s="444" t="str">
        <f>Tulokset!CJ38</f>
        <v>-</v>
      </c>
      <c r="H47" s="608" t="s">
        <v>1105</v>
      </c>
      <c r="I47"/>
      <c r="J47" s="831" t="str" cm="1">
        <f t="array" ref="J47">INDEX(Kirjasto!D4:K150,26,Kirjasto!B4)</f>
        <v>Napięcie sterowania:</v>
      </c>
      <c r="K47" s="76"/>
      <c r="L47" s="630" t="str">
        <f>Tulokset!CZ38</f>
        <v>-</v>
      </c>
      <c r="M47" s="630" t="str">
        <f>Tulokset!DA38</f>
        <v>-</v>
      </c>
      <c r="N47" s="24" t="s">
        <v>25</v>
      </c>
      <c r="O47" s="24"/>
      <c r="Q47" s="12"/>
      <c r="R47"/>
      <c r="S47" s="143"/>
      <c r="T47" s="143"/>
      <c r="U47" s="143"/>
      <c r="V47" s="143"/>
      <c r="W47" s="163">
        <f>Laskenta_vuosihyötysuhde!F43</f>
        <v>5</v>
      </c>
      <c r="X47" s="164">
        <f>Laskenta_vuosihyötysuhde!G43</f>
        <v>0.44121004566210048</v>
      </c>
      <c r="Y47" s="165">
        <f>Laskenta_vuosihyötysuhde!I43</f>
        <v>8.2320000000000011</v>
      </c>
      <c r="Z47" s="166">
        <f>Laskenta_vuosihyötysuhde!N43</f>
        <v>17.768000000000001</v>
      </c>
      <c r="AA47" s="167">
        <f>Laskenta_vuosihyötysuhde!U43</f>
        <v>226.00000000000011</v>
      </c>
      <c r="AB47" s="168">
        <f>Laskenta_vuosihyötysuhde!V43</f>
        <v>180.3480000000001</v>
      </c>
      <c r="AC47" s="169">
        <f>Laskenta_vuosihyötysuhde!W43</f>
        <v>180.3480000000001</v>
      </c>
      <c r="AD47" s="24"/>
    </row>
    <row r="48" spans="2:30" ht="17.25" customHeight="1" x14ac:dyDescent="0.15">
      <c r="B48" s="12"/>
      <c r="C48" s="664" t="str" cm="1">
        <f t="array" ref="C48">INDEX(Kirjasto!D4:K200,143,Kirjasto!B4)</f>
        <v>Uwaga: Powyższe wartości obejmują również zużycie energii przez elektronikę urządzenia.</v>
      </c>
      <c r="D48" s="25"/>
      <c r="E48" s="25"/>
      <c r="F48" s="25"/>
      <c r="G48" s="25"/>
      <c r="H48" s="26"/>
      <c r="I48"/>
      <c r="J48" s="610"/>
      <c r="K48" s="611"/>
      <c r="L48" s="611"/>
      <c r="M48" s="612"/>
      <c r="N48" s="613"/>
      <c r="O48" s="24"/>
      <c r="Q48" s="12"/>
      <c r="R48"/>
      <c r="S48" s="143"/>
      <c r="T48" s="143"/>
      <c r="U48" s="143"/>
      <c r="V48" s="143"/>
      <c r="W48" s="163">
        <f>Laskenta_vuosihyötysuhde!F44</f>
        <v>6</v>
      </c>
      <c r="X48" s="164">
        <f>Laskenta_vuosihyötysuhde!G44</f>
        <v>0.46187214611872146</v>
      </c>
      <c r="Y48" s="165">
        <f>Laskenta_vuosihyötysuhde!I44</f>
        <v>9.0300000000000011</v>
      </c>
      <c r="Z48" s="166">
        <f>Laskenta_vuosihyötysuhde!N44</f>
        <v>17.97</v>
      </c>
      <c r="AA48" s="167">
        <f>Laskenta_vuosihyötysuhde!U44</f>
        <v>113.12499999999986</v>
      </c>
      <c r="AB48" s="168">
        <f>Laskenta_vuosihyötysuhde!V44</f>
        <v>90.273749999999879</v>
      </c>
      <c r="AC48" s="169">
        <f>Laskenta_vuosihyötysuhde!W44</f>
        <v>90.273749999999879</v>
      </c>
      <c r="AD48" s="24"/>
    </row>
    <row r="49" spans="2:30" ht="14.25" customHeight="1" x14ac:dyDescent="0.15">
      <c r="B49" s="12"/>
      <c r="C49"/>
      <c r="D49"/>
      <c r="E49"/>
      <c r="F49"/>
      <c r="G49"/>
      <c r="H49"/>
      <c r="I49"/>
      <c r="J49" s="425"/>
      <c r="K49" s="596"/>
      <c r="L49" s="596"/>
      <c r="M49" s="597"/>
      <c r="N49" s="425"/>
      <c r="O49" s="24"/>
      <c r="Q49" s="12"/>
      <c r="R49"/>
      <c r="S49" s="143"/>
      <c r="T49" s="143"/>
      <c r="U49" s="143"/>
      <c r="V49" s="143"/>
      <c r="W49" s="163">
        <f>Laskenta_vuosihyötysuhde!F45</f>
        <v>7</v>
      </c>
      <c r="X49" s="164">
        <f>Laskenta_vuosihyötysuhde!G45</f>
        <v>0.5044520547945206</v>
      </c>
      <c r="Y49" s="165">
        <f>Laskenta_vuosihyötysuhde!I45</f>
        <v>9.8280000000000012</v>
      </c>
      <c r="Z49" s="166">
        <f>Laskenta_vuosihyötysuhde!N45</f>
        <v>18.171999999999997</v>
      </c>
      <c r="AA49" s="167">
        <f>Laskenta_vuosihyötysuhde!U45</f>
        <v>217.5833333333336</v>
      </c>
      <c r="AB49" s="168">
        <f>Laskenta_vuosihyötysuhde!V45</f>
        <v>173.63150000000016</v>
      </c>
      <c r="AC49" s="169">
        <f>Laskenta_vuosihyötysuhde!W45</f>
        <v>173.63150000000019</v>
      </c>
      <c r="AD49" s="24"/>
    </row>
    <row r="50" spans="2:30" ht="14.25" customHeight="1" x14ac:dyDescent="0.15">
      <c r="B50" s="12"/>
      <c r="C50" s="2" t="str" cm="1">
        <f t="array" ref="C50">INDEX(Kirjasto!D4:K125,31,Kirjasto!B4)</f>
        <v>Poziomy mocy akustycznej w kanałach przyłączeniowych</v>
      </c>
      <c r="D50"/>
      <c r="E50"/>
      <c r="F50"/>
      <c r="G50"/>
      <c r="H50"/>
      <c r="I50"/>
      <c r="J50"/>
      <c r="K50"/>
      <c r="L50"/>
      <c r="M50"/>
      <c r="N50"/>
      <c r="O50" s="24"/>
      <c r="Q50" s="12"/>
      <c r="R50"/>
      <c r="S50" s="143"/>
      <c r="T50" s="143"/>
      <c r="U50" s="143"/>
      <c r="V50" s="143"/>
      <c r="W50" s="163">
        <f>Laskenta_vuosihyötysuhde!F46</f>
        <v>8</v>
      </c>
      <c r="X50" s="164">
        <f>Laskenta_vuosihyötysuhde!G46</f>
        <v>0.54589041095890412</v>
      </c>
      <c r="Y50" s="165">
        <f>Laskenta_vuosihyötysuhde!I46</f>
        <v>10.626000000000001</v>
      </c>
      <c r="Z50" s="166">
        <f>Laskenta_vuosihyötysuhde!N46</f>
        <v>18.373999999999999</v>
      </c>
      <c r="AA50" s="167">
        <f>Laskenta_vuosihyötysuhde!U46</f>
        <v>196.62499999999977</v>
      </c>
      <c r="AB50" s="168">
        <f>Laskenta_vuosihyötysuhde!V46</f>
        <v>156.90674999999982</v>
      </c>
      <c r="AC50" s="169">
        <f>Laskenta_vuosihyötysuhde!W46</f>
        <v>156.90674999999982</v>
      </c>
      <c r="AD50" s="24"/>
    </row>
    <row r="51" spans="2:30" ht="14.25" customHeight="1" x14ac:dyDescent="0.15">
      <c r="B51" s="12"/>
      <c r="C51" s="1735" t="str" cm="1">
        <f t="array" ref="C51">INDEX(Kirjasto!D4:K125,32,Kirjasto!B4)</f>
        <v>Kanał przyłączeniowy</v>
      </c>
      <c r="D51" s="1713" t="str" cm="1">
        <f t="array" ref="D51">INDEX(Kirjasto!D4:K125,38,Kirjasto!B4)</f>
        <v>Poziomy mocy akustycznej w paśmie oktawowym LW,oct [dB]</v>
      </c>
      <c r="E51" s="1713"/>
      <c r="F51" s="1713"/>
      <c r="G51" s="1713"/>
      <c r="H51" s="1713"/>
      <c r="I51" s="1713"/>
      <c r="J51" s="1713"/>
      <c r="K51" s="1713"/>
      <c r="L51" s="1713"/>
      <c r="M51" s="1712" t="s">
        <v>60</v>
      </c>
      <c r="N51" s="1714" t="s">
        <v>69</v>
      </c>
      <c r="O51" s="24"/>
      <c r="Q51" s="12"/>
      <c r="R51"/>
      <c r="S51" s="143"/>
      <c r="T51" s="143"/>
      <c r="U51" s="143"/>
      <c r="V51" s="143"/>
      <c r="W51" s="163">
        <f>Laskenta_vuosihyötysuhde!F47</f>
        <v>9</v>
      </c>
      <c r="X51" s="164">
        <f>Laskenta_vuosihyötysuhde!G47</f>
        <v>0.58036529680365301</v>
      </c>
      <c r="Y51" s="165">
        <f>Laskenta_vuosihyötysuhde!I47</f>
        <v>11.424000000000001</v>
      </c>
      <c r="Z51" s="166">
        <f>Laskenta_vuosihyötysuhde!N47</f>
        <v>18.576000000000001</v>
      </c>
      <c r="AA51" s="167">
        <f>Laskenta_vuosihyötysuhde!U47</f>
        <v>151.00000000000014</v>
      </c>
      <c r="AB51" s="168">
        <f>Laskenta_vuosihyötysuhde!V47</f>
        <v>120.49800000000013</v>
      </c>
      <c r="AC51" s="169">
        <f>Laskenta_vuosihyötysuhde!W47</f>
        <v>120.4980000000001</v>
      </c>
      <c r="AD51" s="24"/>
    </row>
    <row r="52" spans="2:30" ht="14.25" customHeight="1" x14ac:dyDescent="0.15">
      <c r="B52" s="12"/>
      <c r="C52" s="1735"/>
      <c r="D52" s="92" t="s">
        <v>61</v>
      </c>
      <c r="E52" s="93" t="s">
        <v>62</v>
      </c>
      <c r="F52" s="93" t="s">
        <v>63</v>
      </c>
      <c r="G52" s="93" t="s">
        <v>64</v>
      </c>
      <c r="H52" s="93" t="s">
        <v>65</v>
      </c>
      <c r="I52" s="1716" t="s">
        <v>66</v>
      </c>
      <c r="J52" s="1717"/>
      <c r="K52" s="93" t="s">
        <v>67</v>
      </c>
      <c r="L52" s="94" t="s">
        <v>68</v>
      </c>
      <c r="M52" s="1713"/>
      <c r="N52" s="1715"/>
      <c r="O52" s="24"/>
      <c r="Q52" s="12"/>
      <c r="R52"/>
      <c r="S52" s="143"/>
      <c r="T52" s="143"/>
      <c r="U52" s="143"/>
      <c r="V52" s="143"/>
      <c r="W52" s="163">
        <f>Laskenta_vuosihyötysuhde!F48</f>
        <v>10</v>
      </c>
      <c r="X52" s="164">
        <f>Laskenta_vuosihyötysuhde!G48</f>
        <v>0.62180365296803652</v>
      </c>
      <c r="Y52" s="165">
        <f>Laskenta_vuosihyötysuhde!I48</f>
        <v>12.222000000000001</v>
      </c>
      <c r="Z52" s="166">
        <f>Laskenta_vuosihyötysuhde!N48</f>
        <v>18.777999999999999</v>
      </c>
      <c r="AA52" s="167">
        <f>Laskenta_vuosihyötysuhde!U48</f>
        <v>166.37499999999983</v>
      </c>
      <c r="AB52" s="168">
        <f>Laskenta_vuosihyötysuhde!V48</f>
        <v>132.76724999999985</v>
      </c>
      <c r="AC52" s="169">
        <f>Laskenta_vuosihyötysuhde!W48</f>
        <v>132.76724999999985</v>
      </c>
      <c r="AD52" s="24"/>
    </row>
    <row r="53" spans="2:30" s="282" customFormat="1" ht="15" customHeight="1" x14ac:dyDescent="0.15">
      <c r="B53" s="795"/>
      <c r="C53" s="796" t="str" cm="1">
        <f t="array" ref="C53">INDEX(Kirjasto!D4:K125,33,Kirjasto!B4)</f>
        <v>Nawiew</v>
      </c>
      <c r="D53" s="797" t="str">
        <f>Tulokset!P38</f>
        <v>-</v>
      </c>
      <c r="E53" s="798" t="str">
        <f>Tulokset!Q38</f>
        <v>-</v>
      </c>
      <c r="F53" s="798" t="str">
        <f>Tulokset!R38</f>
        <v>-</v>
      </c>
      <c r="G53" s="798" t="str">
        <f>Tulokset!S38</f>
        <v>-</v>
      </c>
      <c r="H53" s="798" t="str">
        <f>Tulokset!T38</f>
        <v>-</v>
      </c>
      <c r="I53" s="1725" t="str">
        <f>Tulokset!U38</f>
        <v>-</v>
      </c>
      <c r="J53" s="1726"/>
      <c r="K53" s="798" t="str">
        <f>Tulokset!V38</f>
        <v>-</v>
      </c>
      <c r="L53" s="799" t="str">
        <f>Tulokset!W38</f>
        <v>-</v>
      </c>
      <c r="M53" s="800" t="str">
        <f>Tulokset!X38</f>
        <v>-</v>
      </c>
      <c r="N53" s="801" t="str">
        <f>Tulokset!Y38</f>
        <v>-</v>
      </c>
      <c r="O53" s="154"/>
      <c r="Q53" s="795"/>
      <c r="R53" s="143"/>
      <c r="S53" s="143"/>
      <c r="T53" s="143"/>
      <c r="U53" s="143"/>
      <c r="V53" s="143"/>
      <c r="W53" s="163">
        <f>Laskenta_vuosihyötysuhde!F49</f>
        <v>11</v>
      </c>
      <c r="X53" s="164">
        <f>Laskenta_vuosihyötysuhde!G49</f>
        <v>0.64634703196347032</v>
      </c>
      <c r="Y53" s="165">
        <f>Laskenta_vuosihyötysuhde!I49</f>
        <v>13.02</v>
      </c>
      <c r="Z53" s="166">
        <f>Laskenta_vuosihyötysuhde!N49</f>
        <v>18.98</v>
      </c>
      <c r="AA53" s="167">
        <f>Laskenta_vuosihyötysuhde!U49</f>
        <v>89.583333333333357</v>
      </c>
      <c r="AB53" s="168">
        <f>Laskenta_vuosihyötysuhde!V49</f>
        <v>71.487500000000026</v>
      </c>
      <c r="AC53" s="169">
        <f>Laskenta_vuosihyötysuhde!W49</f>
        <v>71.487500000000026</v>
      </c>
      <c r="AD53" s="154"/>
    </row>
    <row r="54" spans="2:30" s="282" customFormat="1" ht="15" customHeight="1" x14ac:dyDescent="0.15">
      <c r="B54" s="795"/>
      <c r="C54" s="802" t="str" cm="1">
        <f t="array" ref="C54">INDEX(Kirjasto!D4:K125,34,Kirjasto!B4)</f>
        <v>Czerpnia</v>
      </c>
      <c r="D54" s="803" t="str">
        <f>Tulokset!Z38</f>
        <v>-</v>
      </c>
      <c r="E54" s="804" t="str">
        <f>Tulokset!AA38</f>
        <v>-</v>
      </c>
      <c r="F54" s="804" t="str">
        <f>Tulokset!AB38</f>
        <v>-</v>
      </c>
      <c r="G54" s="804" t="str">
        <f>Tulokset!AC38</f>
        <v>-</v>
      </c>
      <c r="H54" s="804" t="str">
        <f>Tulokset!AD38</f>
        <v>-</v>
      </c>
      <c r="I54" s="1736" t="str">
        <f>Tulokset!AE38</f>
        <v>-</v>
      </c>
      <c r="J54" s="1737"/>
      <c r="K54" s="804" t="str">
        <f>Tulokset!AF38</f>
        <v>-</v>
      </c>
      <c r="L54" s="805" t="str">
        <f>Tulokset!AG38</f>
        <v>-</v>
      </c>
      <c r="M54" s="806" t="str">
        <f>Tulokset!AH38</f>
        <v>-</v>
      </c>
      <c r="N54" s="807" t="str">
        <f>Tulokset!AI38</f>
        <v>-</v>
      </c>
      <c r="O54" s="154"/>
      <c r="Q54" s="795"/>
      <c r="R54" s="143"/>
      <c r="S54" s="143"/>
      <c r="T54" s="143"/>
      <c r="U54" s="143"/>
      <c r="V54" s="143"/>
      <c r="W54" s="172">
        <f>Laskenta_vuosihyötysuhde!F50</f>
        <v>12</v>
      </c>
      <c r="X54" s="173">
        <f>Laskenta_vuosihyötysuhde!G50</f>
        <v>0.69668949771689492</v>
      </c>
      <c r="Y54" s="174">
        <f>Laskenta_vuosihyötysuhde!I50</f>
        <v>13.818000000000001</v>
      </c>
      <c r="Z54" s="175">
        <f>Laskenta_vuosihyötysuhde!N50</f>
        <v>19.181999999999999</v>
      </c>
      <c r="AA54" s="176">
        <f>Laskenta_vuosihyötysuhde!U50</f>
        <v>165.37499999999983</v>
      </c>
      <c r="AB54" s="177">
        <f>Laskenta_vuosihyötysuhde!V50</f>
        <v>131.96924999999982</v>
      </c>
      <c r="AC54" s="178">
        <f>Laskenta_vuosihyötysuhde!W50</f>
        <v>131.96924999999982</v>
      </c>
      <c r="AD54" s="154"/>
    </row>
    <row r="55" spans="2:30" s="282" customFormat="1" ht="15" customHeight="1" x14ac:dyDescent="0.15">
      <c r="B55" s="795"/>
      <c r="C55" s="808" t="str" cm="1">
        <f t="array" ref="C55">INDEX(Kirjasto!D4:K125,35,Kirjasto!B4)</f>
        <v>Wywiew</v>
      </c>
      <c r="D55" s="809" t="str">
        <f>Tulokset!AJ38</f>
        <v>-</v>
      </c>
      <c r="E55" s="810" t="str">
        <f>Tulokset!AK38</f>
        <v>-</v>
      </c>
      <c r="F55" s="810" t="str">
        <f>Tulokset!AL38</f>
        <v>-</v>
      </c>
      <c r="G55" s="810" t="str">
        <f>Tulokset!AM38</f>
        <v>-</v>
      </c>
      <c r="H55" s="810" t="str">
        <f>Tulokset!AN38</f>
        <v>-</v>
      </c>
      <c r="I55" s="1725" t="str">
        <f>Tulokset!AO38</f>
        <v>-</v>
      </c>
      <c r="J55" s="1726"/>
      <c r="K55" s="810" t="str">
        <f>Tulokset!AP38</f>
        <v>-</v>
      </c>
      <c r="L55" s="811" t="str">
        <f>Tulokset!AQ38</f>
        <v>-</v>
      </c>
      <c r="M55" s="812" t="str">
        <f>Tulokset!AR38</f>
        <v>-</v>
      </c>
      <c r="N55" s="813" t="str">
        <f>Tulokset!AS38</f>
        <v>-</v>
      </c>
      <c r="O55" s="154"/>
      <c r="Q55" s="795"/>
      <c r="R55" s="143"/>
      <c r="S55" s="143"/>
      <c r="T55" s="143"/>
      <c r="U55" s="143"/>
      <c r="V55" s="143"/>
      <c r="W55" s="179"/>
      <c r="X55" s="180"/>
      <c r="Y55" s="180"/>
      <c r="Z55" s="247" t="str" cm="1">
        <f t="array" ref="Z55">INDEX(Kirjasto!D4:K125,100,Kirjasto!B4)</f>
        <v>Razem</v>
      </c>
      <c r="AA55" s="181">
        <f>SUM(AA10:AA54)</f>
        <v>4410.75</v>
      </c>
      <c r="AB55" s="246">
        <f>SUM(AB10:AB54)</f>
        <v>3519.778499999999</v>
      </c>
      <c r="AC55" s="246">
        <f>SUM(AC10:AC54)</f>
        <v>3519.778499999999</v>
      </c>
      <c r="AD55" s="154"/>
    </row>
    <row r="56" spans="2:30" s="282" customFormat="1" ht="15" customHeight="1" x14ac:dyDescent="0.15">
      <c r="B56" s="795"/>
      <c r="C56" s="802" t="str" cm="1">
        <f t="array" ref="C56">INDEX(Kirjasto!D4:K125,36,Kirjasto!B4)</f>
        <v>Wyrzutnia</v>
      </c>
      <c r="D56" s="803" t="str">
        <f>Tulokset!AT38</f>
        <v>-</v>
      </c>
      <c r="E56" s="804" t="str">
        <f>Tulokset!AU38</f>
        <v>-</v>
      </c>
      <c r="F56" s="804" t="str">
        <f>Tulokset!AV38</f>
        <v>-</v>
      </c>
      <c r="G56" s="804" t="str">
        <f>Tulokset!AW38</f>
        <v>-</v>
      </c>
      <c r="H56" s="804" t="str">
        <f>Tulokset!AX38</f>
        <v>-</v>
      </c>
      <c r="I56" s="1736" t="str">
        <f>Tulokset!AY38</f>
        <v>-</v>
      </c>
      <c r="J56" s="1737"/>
      <c r="K56" s="804" t="str">
        <f>Tulokset!AZ38</f>
        <v>-</v>
      </c>
      <c r="L56" s="805" t="str">
        <f>Tulokset!BA38</f>
        <v>-</v>
      </c>
      <c r="M56" s="806" t="str">
        <f>Tulokset!BB38</f>
        <v>-</v>
      </c>
      <c r="N56" s="807" t="str">
        <f>Tulokset!BC38</f>
        <v>-</v>
      </c>
      <c r="O56" s="154"/>
      <c r="Q56" s="795"/>
      <c r="R56" s="143"/>
      <c r="S56" s="143"/>
      <c r="T56" s="143"/>
      <c r="U56" s="143"/>
      <c r="V56" s="143"/>
      <c r="W56" s="182"/>
      <c r="X56" s="182"/>
      <c r="Y56" s="182"/>
      <c r="Z56" s="143"/>
      <c r="AA56" s="143"/>
      <c r="AB56" s="143"/>
      <c r="AC56" s="143"/>
      <c r="AD56" s="154"/>
    </row>
    <row r="57" spans="2:30" s="282" customFormat="1" ht="15" customHeight="1" x14ac:dyDescent="0.15">
      <c r="B57" s="795"/>
      <c r="C57" s="814" t="str">
        <f>Tulokset!BW17</f>
        <v>Bypass okapu kuchennego</v>
      </c>
      <c r="D57" s="815" t="str">
        <f>Tulokset!BT38</f>
        <v>-</v>
      </c>
      <c r="E57" s="816" t="str">
        <f>Tulokset!BU38</f>
        <v>-</v>
      </c>
      <c r="F57" s="816" t="str">
        <f>Tulokset!BV38</f>
        <v>-</v>
      </c>
      <c r="G57" s="816" t="str">
        <f>Tulokset!BW38</f>
        <v>-</v>
      </c>
      <c r="H57" s="816" t="str">
        <f>Tulokset!BX38</f>
        <v>-</v>
      </c>
      <c r="I57" s="1742" t="str">
        <f>Tulokset!BY38</f>
        <v>-</v>
      </c>
      <c r="J57" s="1743"/>
      <c r="K57" s="816" t="str">
        <f>Tulokset!BZ38</f>
        <v>-</v>
      </c>
      <c r="L57" s="817" t="str">
        <f>Tulokset!CA38</f>
        <v>-</v>
      </c>
      <c r="M57" s="818" t="str">
        <f>Tulokset!CB38</f>
        <v>-</v>
      </c>
      <c r="N57" s="819" t="str">
        <f>Tulokset!CC38</f>
        <v>-</v>
      </c>
      <c r="O57" s="154"/>
      <c r="Q57" s="795"/>
      <c r="R57" s="143"/>
      <c r="S57" s="143"/>
      <c r="T57" s="143"/>
      <c r="U57" s="143"/>
      <c r="V57" s="143"/>
      <c r="W57" s="1719" t="str" cm="1">
        <f t="array" ref="W57">INDEX(Kirjasto!D4:K125,101,Kirjasto!B4)</f>
        <v>SS,Kd = współczynnik rozszerzalności cieplnej między temperaturą powietrza wewnętrznego i zewnętrznego, Kd</v>
      </c>
      <c r="X57" s="1719"/>
      <c r="Y57" s="1719"/>
      <c r="Z57" s="1719"/>
      <c r="AA57" s="1719"/>
      <c r="AB57" s="1719"/>
      <c r="AC57" s="1719"/>
      <c r="AD57" s="154"/>
    </row>
    <row r="58" spans="2:30" ht="15.75" customHeight="1" x14ac:dyDescent="0.15">
      <c r="B58" s="12"/>
      <c r="C58" s="280" t="str">
        <f>Tulokset!BY17</f>
        <v/>
      </c>
      <c r="D58" s="80"/>
      <c r="E58"/>
      <c r="F58"/>
      <c r="G58"/>
      <c r="H58"/>
      <c r="I58"/>
      <c r="J58"/>
      <c r="K58"/>
      <c r="L58"/>
      <c r="M58"/>
      <c r="N58"/>
      <c r="O58" s="24"/>
      <c r="Q58" s="12"/>
      <c r="R58"/>
      <c r="S58" s="143"/>
      <c r="T58" s="143"/>
      <c r="U58" s="143"/>
      <c r="V58" s="143"/>
      <c r="W58" s="1719"/>
      <c r="X58" s="1719"/>
      <c r="Y58" s="1719"/>
      <c r="Z58" s="1719"/>
      <c r="AA58" s="1719"/>
      <c r="AB58" s="1719"/>
      <c r="AC58" s="1719"/>
      <c r="AD58" s="24"/>
    </row>
    <row r="59" spans="2:30" ht="15.75" customHeight="1" x14ac:dyDescent="0.15">
      <c r="B59" s="12"/>
      <c r="C59" s="2" t="str" cm="1">
        <f t="array" ref="C59">IF(Tulokset!BD2,CONCATENATE(INDEX(Kirjasto!D4:K125,41,Kirjasto!B4),":"),INDEX(Kirjasto!D4:K125,41,Kirjasto!B4))</f>
        <v>Poziom mocy akustycznej generowany do otoczenia</v>
      </c>
      <c r="D59"/>
      <c r="E59"/>
      <c r="F59" s="140" t="str" cm="1">
        <f t="array" ref="F59">IF(Tulokset!BD4,INDEX(Kirjasto!D4:K129,125,Kirjasto!B4),"")</f>
        <v/>
      </c>
      <c r="G59"/>
      <c r="H59"/>
      <c r="I59"/>
      <c r="J59"/>
      <c r="K59"/>
      <c r="L59"/>
      <c r="M59"/>
      <c r="N59"/>
      <c r="O59" s="24"/>
      <c r="Q59" s="12"/>
      <c r="R59"/>
      <c r="S59" s="143"/>
      <c r="T59" s="143"/>
      <c r="U59" s="143"/>
      <c r="V59" s="143"/>
      <c r="W59" s="1719" t="str" cm="1">
        <f t="array" ref="W59">INDEX(Kirjasto!D4:K125,102,Kirjasto!B4)</f>
        <v>ST,Kd = współczynnik rozszerzalności cieplnej między temperaturą powietrza nawiewanego i zewnętrznego, Kd</v>
      </c>
      <c r="X59" s="1719"/>
      <c r="Y59" s="1719"/>
      <c r="Z59" s="1719"/>
      <c r="AA59" s="1719"/>
      <c r="AB59" s="1719"/>
      <c r="AC59" s="1719"/>
      <c r="AD59" s="24"/>
    </row>
    <row r="60" spans="2:30" ht="15.75" customHeight="1" x14ac:dyDescent="0.15">
      <c r="B60" s="12"/>
      <c r="C60" s="1735"/>
      <c r="D60" s="1713" t="str" cm="1">
        <f t="array" ref="D60">INDEX(Kirjasto!D4:K125,38,Kirjasto!B4)</f>
        <v>Poziomy mocy akustycznej w paśmie oktawowym LW,oct [dB]</v>
      </c>
      <c r="E60" s="1713"/>
      <c r="F60" s="1713"/>
      <c r="G60" s="1713"/>
      <c r="H60" s="1713"/>
      <c r="I60" s="1713"/>
      <c r="J60" s="1713"/>
      <c r="K60" s="1713"/>
      <c r="L60" s="1713"/>
      <c r="M60" s="1712" t="s">
        <v>60</v>
      </c>
      <c r="N60" s="1712" t="s">
        <v>69</v>
      </c>
      <c r="O60" s="24"/>
      <c r="Q60" s="12"/>
      <c r="R60"/>
      <c r="S60" s="143"/>
      <c r="T60" s="143"/>
      <c r="U60" s="143"/>
      <c r="V60" s="143"/>
      <c r="W60" s="1719"/>
      <c r="X60" s="1719"/>
      <c r="Y60" s="1719"/>
      <c r="Z60" s="1719"/>
      <c r="AA60" s="1719"/>
      <c r="AB60" s="1719"/>
      <c r="AC60" s="1719"/>
      <c r="AD60" s="24"/>
    </row>
    <row r="61" spans="2:30" ht="13.5" customHeight="1" x14ac:dyDescent="0.15">
      <c r="B61" s="12"/>
      <c r="C61" s="1735"/>
      <c r="D61" s="92" t="s">
        <v>61</v>
      </c>
      <c r="E61" s="93" t="s">
        <v>62</v>
      </c>
      <c r="F61" s="93" t="s">
        <v>63</v>
      </c>
      <c r="G61" s="93" t="s">
        <v>64</v>
      </c>
      <c r="H61" s="93" t="s">
        <v>65</v>
      </c>
      <c r="I61" s="1716" t="s">
        <v>66</v>
      </c>
      <c r="J61" s="1717"/>
      <c r="K61" s="93" t="s">
        <v>67</v>
      </c>
      <c r="L61" s="94" t="s">
        <v>68</v>
      </c>
      <c r="M61" s="1713"/>
      <c r="N61" s="1713"/>
      <c r="O61" s="24"/>
      <c r="Q61" s="12"/>
      <c r="R61"/>
      <c r="S61" s="143"/>
      <c r="T61" s="143"/>
      <c r="U61" s="143"/>
      <c r="V61" s="143"/>
      <c r="W61" s="1719" t="str" cm="1">
        <f t="array" ref="W61">INDEX(Kirjasto!D4:K125,103,Kirjasto!B4)</f>
        <v>SJ,Kd = współczynnik przenikania ciepła między powietrzem a temperaturą powietrza zewnętrznego, Kd</v>
      </c>
      <c r="X61" s="1719"/>
      <c r="Y61" s="1719"/>
      <c r="Z61" s="1719"/>
      <c r="AA61" s="1719"/>
      <c r="AB61" s="1719"/>
      <c r="AC61" s="1719"/>
      <c r="AD61" s="24"/>
    </row>
    <row r="62" spans="2:30" s="282" customFormat="1" ht="17" customHeight="1" thickBot="1" x14ac:dyDescent="0.2">
      <c r="B62" s="795"/>
      <c r="C62" s="820" t="str" cm="1">
        <f t="array" ref="C62">INDEX(Kirjasto!D4:K125,42,Kirjasto!B4)</f>
        <v>Przez obudowę</v>
      </c>
      <c r="D62" s="821" t="str">
        <f>Tulokset!BD38</f>
        <v>-</v>
      </c>
      <c r="E62" s="822" t="str">
        <f>Tulokset!BE38</f>
        <v>-</v>
      </c>
      <c r="F62" s="822" t="str">
        <f>Tulokset!BF38</f>
        <v>-</v>
      </c>
      <c r="G62" s="822" t="str">
        <f>Tulokset!BG38</f>
        <v>-</v>
      </c>
      <c r="H62" s="822" t="str">
        <f>Tulokset!BH38</f>
        <v>-</v>
      </c>
      <c r="I62" s="1740" t="str">
        <f>Tulokset!BI38</f>
        <v>-</v>
      </c>
      <c r="J62" s="1741"/>
      <c r="K62" s="822" t="str">
        <f>Tulokset!BJ38</f>
        <v>-</v>
      </c>
      <c r="L62" s="823" t="str">
        <f>Tulokset!BK38</f>
        <v>-</v>
      </c>
      <c r="M62" s="824" t="str">
        <f>Tulokset!BL38</f>
        <v>-</v>
      </c>
      <c r="N62" s="825" t="str">
        <f>Tulokset!BM38</f>
        <v>-</v>
      </c>
      <c r="O62" s="154"/>
      <c r="Q62" s="795"/>
      <c r="R62" s="143"/>
      <c r="S62" s="143"/>
      <c r="T62" s="143"/>
      <c r="U62" s="143"/>
      <c r="V62" s="143"/>
      <c r="W62" s="1719"/>
      <c r="X62" s="1719"/>
      <c r="Y62" s="1719"/>
      <c r="Z62" s="1719"/>
      <c r="AA62" s="1719"/>
      <c r="AB62" s="1719"/>
      <c r="AC62" s="1719"/>
      <c r="AD62" s="154"/>
    </row>
    <row r="63" spans="2:30" s="282" customFormat="1" ht="16.25" customHeight="1" thickTop="1" x14ac:dyDescent="0.15">
      <c r="B63" s="795"/>
      <c r="C63" s="835" t="str" cm="1">
        <f t="array" ref="C63">INDEX(Kirjasto!D4:K125,43,Kirjasto!B4)</f>
        <v>Poziom ciśnienia akustycznego w pomieszczeniu o powierzchni pochłaniania dźwięku wynoszącej 10 m²:</v>
      </c>
      <c r="D63" s="826"/>
      <c r="E63" s="826"/>
      <c r="F63" s="826"/>
      <c r="G63" s="826"/>
      <c r="H63" s="826"/>
      <c r="I63" s="826"/>
      <c r="J63" s="826"/>
      <c r="K63" s="826"/>
      <c r="L63" s="826"/>
      <c r="M63" s="827" t="s">
        <v>99</v>
      </c>
      <c r="N63" s="812" t="str">
        <f>Tulokset!BN38</f>
        <v>-</v>
      </c>
      <c r="O63" s="154"/>
      <c r="Q63" s="795"/>
      <c r="R63" s="143"/>
      <c r="S63" s="143"/>
      <c r="T63" s="143"/>
      <c r="U63" s="143"/>
      <c r="V63" s="143"/>
      <c r="W63" s="1739" t="str">
        <f>Laskenta_vuosihyötysuhde!B52</f>
        <v/>
      </c>
      <c r="X63" s="1739"/>
      <c r="Y63" s="1739"/>
      <c r="Z63" s="1739"/>
      <c r="AA63" s="1739"/>
      <c r="AB63" s="1739"/>
      <c r="AC63" s="1739"/>
      <c r="AD63" s="154"/>
    </row>
    <row r="64" spans="2:30" s="282" customFormat="1" ht="16.25" customHeight="1" x14ac:dyDescent="0.15">
      <c r="B64" s="795"/>
      <c r="C64" s="834" t="str" cm="1">
        <f t="array" ref="C64">INDEX(Kirjasto!D4:K125,44,Kirjasto!B4)</f>
        <v>Poziom ciśnienia akustycznego w typowej łazience lub pomieszczeniu technicznym (V &lt; 10 m³) o powierzchni pochłaniania dźwięku &lt; 2-3 m²:</v>
      </c>
      <c r="D64" s="828"/>
      <c r="E64" s="828"/>
      <c r="F64" s="828"/>
      <c r="G64" s="828"/>
      <c r="H64" s="828"/>
      <c r="I64" s="828"/>
      <c r="J64" s="828"/>
      <c r="K64" s="828"/>
      <c r="L64" s="828"/>
      <c r="M64" s="829" t="s">
        <v>100</v>
      </c>
      <c r="N64" s="806" t="str">
        <f>Tulokset!BO38</f>
        <v>-</v>
      </c>
      <c r="O64" s="154"/>
      <c r="Q64" s="795"/>
      <c r="R64" s="143"/>
      <c r="S64" s="143"/>
      <c r="T64" s="143"/>
      <c r="U64" s="143"/>
      <c r="V64" s="143"/>
      <c r="W64" s="1739"/>
      <c r="X64" s="1739"/>
      <c r="Y64" s="1739"/>
      <c r="Z64" s="1739"/>
      <c r="AA64" s="1739"/>
      <c r="AB64" s="1739"/>
      <c r="AC64" s="1739"/>
      <c r="AD64" s="154"/>
    </row>
    <row r="65" spans="2:30" ht="14.25" customHeight="1" x14ac:dyDescent="0.15">
      <c r="B65" s="12"/>
      <c r="C65"/>
      <c r="D65"/>
      <c r="E65"/>
      <c r="F65"/>
      <c r="G65"/>
      <c r="H65"/>
      <c r="I65"/>
      <c r="J65"/>
      <c r="K65"/>
      <c r="L65"/>
      <c r="M65"/>
      <c r="N65"/>
      <c r="O65" s="24"/>
      <c r="Q65" s="12"/>
      <c r="R65"/>
      <c r="S65" s="143"/>
      <c r="T65" s="143"/>
      <c r="U65" s="143"/>
      <c r="V65" s="143"/>
      <c r="W65" s="1739"/>
      <c r="X65" s="1739"/>
      <c r="Y65" s="1739"/>
      <c r="Z65" s="1739"/>
      <c r="AA65" s="1739"/>
      <c r="AB65" s="1739"/>
      <c r="AC65" s="1739"/>
      <c r="AD65" s="24"/>
    </row>
    <row r="66" spans="2:30" ht="15.75" customHeight="1" x14ac:dyDescent="0.15">
      <c r="B66" s="12"/>
      <c r="C66" s="1770" t="str" cm="1">
        <f t="array" ref="C66">INDEX(Kirjasto!D4:K125,45,Kirjasto!B4)</f>
        <v>Jednostkowe zużycie energii (SEC) i klasyfikacja</v>
      </c>
      <c r="D66" s="1771"/>
      <c r="E66" s="1771"/>
      <c r="F66" s="1771"/>
      <c r="G66" s="1771"/>
      <c r="H66" s="1771"/>
      <c r="I66" s="588"/>
      <c r="J66" s="503"/>
      <c r="K66" s="132"/>
      <c r="L66" s="130" t="str" cm="1">
        <f t="array" ref="L66">INDEX(Kirjasto!D4:K125,58,Kirjasto!B4)</f>
        <v>Klasa</v>
      </c>
      <c r="M66" s="1769" t="str" cm="1">
        <f t="array" ref="M66">INDEX(Kirjasto!D4:K125,57,Kirjasto!B4)</f>
        <v>Numer SEC</v>
      </c>
      <c r="N66" s="1769"/>
      <c r="O66" s="24"/>
      <c r="Q66" s="12"/>
      <c r="R66"/>
      <c r="S66" s="143"/>
      <c r="T66" s="143"/>
      <c r="U66" s="143"/>
      <c r="V66" s="143"/>
      <c r="W66" s="1739"/>
      <c r="X66" s="1739"/>
      <c r="Y66" s="1739"/>
      <c r="Z66" s="1739"/>
      <c r="AA66" s="1739"/>
      <c r="AB66" s="1739"/>
      <c r="AC66" s="1739"/>
      <c r="AD66" s="24"/>
    </row>
    <row r="67" spans="2:30" ht="15.75" customHeight="1" x14ac:dyDescent="0.15">
      <c r="B67" s="12"/>
      <c r="C67" s="1772" t="str" cm="1">
        <f t="array" ref="C67">INDEX(Kirjasto!D4:K125,46,Kirjasto!B4)</f>
        <v>Zgodnie z rozporządzeniami Komisji (UE) nr 1253/2014 i nr 1254/2014</v>
      </c>
      <c r="D67" s="1773"/>
      <c r="E67" s="1773"/>
      <c r="F67" s="1773"/>
      <c r="G67" s="1773"/>
      <c r="H67" s="1773"/>
      <c r="I67" s="589"/>
      <c r="J67" s="504"/>
      <c r="K67" s="133" t="str">
        <f t="shared" ref="K67:K74" si="0">IF(L67=$I$73,"►","")</f>
        <v/>
      </c>
      <c r="L67" s="131" t="s">
        <v>177</v>
      </c>
      <c r="M67" s="1765" t="s">
        <v>190</v>
      </c>
      <c r="N67" s="1765"/>
      <c r="O67" s="24"/>
      <c r="Q67" s="12"/>
      <c r="R67"/>
      <c r="S67" s="143"/>
      <c r="T67" s="143"/>
      <c r="U67" s="143"/>
      <c r="V67" s="143"/>
      <c r="W67" s="1739"/>
      <c r="X67" s="1739"/>
      <c r="Y67" s="1739"/>
      <c r="Z67" s="1739"/>
      <c r="AA67" s="1739"/>
      <c r="AB67" s="1739"/>
      <c r="AC67" s="1739"/>
      <c r="AD67" s="24"/>
    </row>
    <row r="68" spans="2:30" ht="15.75" customHeight="1" x14ac:dyDescent="0.15">
      <c r="B68" s="12"/>
      <c r="C68" s="456" t="str" cm="1">
        <f t="array" ref="C68">INDEX(Kirjasto!D4:K125,47,Kirjasto!B4)</f>
        <v>UWAGA! Obliczenia SEC są stosowane tylko w przypadku urządzeń wentylacyjnych przeznaczonych do budynków mieszkalnych.</v>
      </c>
      <c r="D68"/>
      <c r="E68" s="142"/>
      <c r="F68" s="142"/>
      <c r="G68" s="135"/>
      <c r="H68" s="135"/>
      <c r="I68" s="135"/>
      <c r="J68" s="135"/>
      <c r="K68" s="133" t="str">
        <f t="shared" si="0"/>
        <v>►</v>
      </c>
      <c r="L68" s="131" t="s">
        <v>4</v>
      </c>
      <c r="M68" s="1774" t="s">
        <v>191</v>
      </c>
      <c r="N68" s="1774"/>
      <c r="O68" s="24"/>
      <c r="Q68" s="12"/>
      <c r="R68"/>
      <c r="S68" s="143"/>
      <c r="T68" s="143"/>
      <c r="U68" s="143"/>
      <c r="V68" s="143"/>
      <c r="W68" s="1739"/>
      <c r="X68" s="1739"/>
      <c r="Y68" s="1739"/>
      <c r="Z68" s="1739"/>
      <c r="AA68" s="1739"/>
      <c r="AB68" s="1739"/>
      <c r="AC68" s="1739"/>
      <c r="AD68" s="24"/>
    </row>
    <row r="69" spans="2:30" ht="16.5" customHeight="1" x14ac:dyDescent="0.15">
      <c r="B69" s="12"/>
      <c r="C69" s="505" t="str" cm="1">
        <f t="array" ref="C69">INDEX(Kirjasto!D4:K125,48,Kirjasto!B4)</f>
        <v>Referencyjny przepływ powietrza:</v>
      </c>
      <c r="D69" s="455">
        <f>Tulokset!M38*3.6</f>
        <v>226.79999999999998</v>
      </c>
      <c r="E69" s="142"/>
      <c r="F69" s="454"/>
      <c r="G69" s="126"/>
      <c r="H69" s="126"/>
      <c r="I69" s="126"/>
      <c r="J69" s="126"/>
      <c r="K69" s="133" t="str">
        <f t="shared" si="0"/>
        <v/>
      </c>
      <c r="L69" s="131" t="s">
        <v>5</v>
      </c>
      <c r="M69" s="1764" t="s">
        <v>192</v>
      </c>
      <c r="N69" s="1764"/>
      <c r="O69" s="24"/>
      <c r="Q69" s="12"/>
      <c r="R69"/>
      <c r="S69" s="143"/>
      <c r="T69" s="143"/>
      <c r="U69" s="143"/>
      <c r="V69" s="143"/>
      <c r="W69" s="182"/>
      <c r="X69" s="182"/>
      <c r="Y69" s="182"/>
      <c r="Z69" s="143"/>
      <c r="AA69" s="143"/>
      <c r="AB69" s="143"/>
      <c r="AC69" s="143"/>
      <c r="AD69" s="24"/>
    </row>
    <row r="70" spans="2:30" ht="16.5" customHeight="1" x14ac:dyDescent="0.15">
      <c r="B70" s="12"/>
      <c r="C70" s="139" t="str" cm="1">
        <f t="array" ref="C70">INDEX(Kirjasto!D4:K125,49,Kirjasto!B4)</f>
        <v>Wartości wyjściowe dla obliczeń:</v>
      </c>
      <c r="D70" s="126"/>
      <c r="E70" s="126"/>
      <c r="F70" s="126"/>
      <c r="G70" s="126"/>
      <c r="H70" s="126"/>
      <c r="I70" s="126"/>
      <c r="J70" s="126"/>
      <c r="K70" s="133" t="str">
        <f t="shared" si="0"/>
        <v/>
      </c>
      <c r="L70" s="131" t="s">
        <v>6</v>
      </c>
      <c r="M70" s="1746" t="s">
        <v>193</v>
      </c>
      <c r="N70" s="1746"/>
      <c r="O70" s="24"/>
      <c r="Q70" s="12"/>
      <c r="R70" s="524" t="str" cm="1">
        <f t="array" ref="R70">INDEX(Kirjasto!D4:K125,54,Kirjasto!B4)</f>
        <v>Wszelkie prawa zastrzeżone.</v>
      </c>
      <c r="S70" s="526" t="s">
        <v>199</v>
      </c>
      <c r="T70" s="525" t="s">
        <v>1174</v>
      </c>
      <c r="U70" s="141"/>
      <c r="V70"/>
      <c r="W70"/>
      <c r="X70"/>
      <c r="Y70"/>
      <c r="Z70"/>
      <c r="AA70"/>
      <c r="AB70"/>
      <c r="AC70" s="143"/>
      <c r="AD70" s="24"/>
    </row>
    <row r="71" spans="2:30" ht="17.25" customHeight="1" x14ac:dyDescent="0.15">
      <c r="B71" s="12"/>
      <c r="C71" s="137" t="str" cm="1">
        <f t="array" ref="C71">INDEX(Kirjasto!D4:K125,50,Kirjasto!B4)</f>
        <v>Klasyfikacja ogólna</v>
      </c>
      <c r="D71" s="126"/>
      <c r="E71" s="126"/>
      <c r="F71" s="126"/>
      <c r="G71" s="1762" t="str" cm="1">
        <f t="array" ref="G71">INDEX(Kirjasto!D4:K125,57,Kirjasto!B4)</f>
        <v>Numer SEC</v>
      </c>
      <c r="H71" s="1763"/>
      <c r="I71" s="1754">
        <f>Tulokset!BQ38</f>
        <v>-39.949203661680336</v>
      </c>
      <c r="J71" s="1755"/>
      <c r="K71" s="133" t="str">
        <f t="shared" si="0"/>
        <v/>
      </c>
      <c r="L71" s="131" t="s">
        <v>178</v>
      </c>
      <c r="M71" s="1747" t="s">
        <v>194</v>
      </c>
      <c r="N71" s="1747"/>
      <c r="O71" s="24"/>
      <c r="Q71" s="12"/>
      <c r="R71" s="1738" t="str" cm="1">
        <f t="array" ref="R71">INDEX(Kirjasto!D4:K200,141,Kirjasto!B4)</f>
        <v>Obowiązujące dokumenty i normy: SFS-EN 13141-7, LVI 30-10529, Rozporządzenie Ministerstwa Środowiska YMa1009/2017, Przewodnik bilansowania 2018, Publikacja Ministerstwa Środowiska YM 122 oraz rozporządzenia Komisji (UE) nr 1253/2014 i nr 1254/2014. Nie ponosimy odpowiedzialności za jakiekolwiek błędy w programie ani za jakiekolwiek bezpośrednie lub pośrednie błędy przez nie spowodowane.</v>
      </c>
      <c r="S71" s="1738"/>
      <c r="T71" s="1738"/>
      <c r="U71" s="1738"/>
      <c r="V71" s="1738"/>
      <c r="W71" s="1738"/>
      <c r="X71" s="1738"/>
      <c r="Y71" s="1738"/>
      <c r="Z71" s="1738"/>
      <c r="AA71" s="1738"/>
      <c r="AB71" s="1738"/>
      <c r="AC71" s="1738"/>
      <c r="AD71" s="24"/>
    </row>
    <row r="72" spans="2:30" ht="21.75" customHeight="1" x14ac:dyDescent="0.15">
      <c r="B72" s="12"/>
      <c r="C72" s="137" t="str" cm="1">
        <f t="array" ref="C72">INDEX(Kirjasto!D4:K125,51,Kirjasto!B4)</f>
        <v>Sterowanie wymianą powietrza</v>
      </c>
      <c r="D72" s="126"/>
      <c r="E72" s="126"/>
      <c r="F72" s="126"/>
      <c r="G72" s="1744" t="s">
        <v>721</v>
      </c>
      <c r="H72" s="1745"/>
      <c r="I72" s="1756"/>
      <c r="J72" s="1757"/>
      <c r="K72" s="133" t="str">
        <f t="shared" si="0"/>
        <v/>
      </c>
      <c r="L72" s="131" t="s">
        <v>179</v>
      </c>
      <c r="M72" s="1748" t="s">
        <v>195</v>
      </c>
      <c r="N72" s="1748"/>
      <c r="O72" s="24"/>
      <c r="Q72" s="12"/>
      <c r="R72" s="1738"/>
      <c r="S72" s="1738"/>
      <c r="T72" s="1738"/>
      <c r="U72" s="1738"/>
      <c r="V72" s="1738"/>
      <c r="W72" s="1738"/>
      <c r="X72" s="1738"/>
      <c r="Y72" s="1738"/>
      <c r="Z72" s="1738"/>
      <c r="AA72" s="1738"/>
      <c r="AB72" s="1738"/>
      <c r="AC72" s="1738"/>
      <c r="AD72" s="24"/>
    </row>
    <row r="73" spans="2:30" ht="20.25" customHeight="1" x14ac:dyDescent="0.15">
      <c r="B73" s="12"/>
      <c r="C73" s="137" t="str" cm="1">
        <f t="array" ref="C73">INDEX(Kirjasto!D4:K125,52,Kirjasto!B4)</f>
        <v>Silnik i układ sterowania</v>
      </c>
      <c r="D73" s="126"/>
      <c r="E73" s="126"/>
      <c r="F73" s="126"/>
      <c r="G73" s="1750" t="str" cm="1">
        <f t="array" ref="G73">INDEX(Kirjasto!D4:K125,58,Kirjasto!B4)</f>
        <v>Klasa</v>
      </c>
      <c r="H73" s="1751"/>
      <c r="I73" s="1758" t="str">
        <f>Tulokset!BR38</f>
        <v>A</v>
      </c>
      <c r="J73" s="1759"/>
      <c r="K73" s="133" t="str">
        <f t="shared" si="0"/>
        <v/>
      </c>
      <c r="L73" s="131" t="s">
        <v>180</v>
      </c>
      <c r="M73" s="1749" t="s">
        <v>196</v>
      </c>
      <c r="N73" s="1749"/>
      <c r="O73" s="24"/>
      <c r="Q73" s="14"/>
      <c r="R73" s="523" t="str" cm="1">
        <f t="array" ref="R73">INDEX(Kirjasto!D4:K125,56,Kirjasto!B4)</f>
        <v>Program obliczeniowy został przygotowany przez W. Zenner Oy. Program obliczeniowy oparty jest na pomiarach laboratoryjnych zgodnie z normą SFS-EN 13141-7.</v>
      </c>
      <c r="S73" s="281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6"/>
    </row>
    <row r="74" spans="2:30" ht="18" customHeight="1" x14ac:dyDescent="0.15">
      <c r="B74" s="12"/>
      <c r="C74" s="138" t="str" cm="1">
        <f t="array" ref="C74">INDEX(Kirjasto!D4:K125,53,Kirjasto!B4)</f>
        <v>Klimat</v>
      </c>
      <c r="D74" s="136"/>
      <c r="E74" s="127"/>
      <c r="F74" s="127"/>
      <c r="G74" s="1752"/>
      <c r="H74" s="1753"/>
      <c r="I74" s="1760"/>
      <c r="J74" s="1761"/>
      <c r="K74" s="134" t="str">
        <f t="shared" si="0"/>
        <v/>
      </c>
      <c r="L74" s="131" t="s">
        <v>181</v>
      </c>
      <c r="M74" s="1749" t="s">
        <v>197</v>
      </c>
      <c r="N74" s="1749"/>
      <c r="O74" s="24"/>
    </row>
    <row r="75" spans="2:30" s="282" customFormat="1" ht="20.25" customHeight="1" x14ac:dyDescent="0.15">
      <c r="B75" s="12"/>
      <c r="C75" s="524" t="str" cm="1">
        <f t="array" ref="C75">INDEX(Kirjasto!D4:K125,54,Kirjasto!B4)</f>
        <v>Wszelkie prawa zastrzeżone.</v>
      </c>
      <c r="D75" s="126"/>
      <c r="E75" s="525" t="s">
        <v>199</v>
      </c>
      <c r="F75" s="525" t="s">
        <v>1174</v>
      </c>
      <c r="G75"/>
      <c r="H75"/>
      <c r="I75"/>
      <c r="J75"/>
      <c r="K75"/>
      <c r="L75"/>
      <c r="M75"/>
      <c r="N75"/>
      <c r="O75" s="24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</row>
    <row r="76" spans="2:30" x14ac:dyDescent="0.15">
      <c r="B76" s="12"/>
      <c r="C76" s="1738" t="str" cm="1">
        <f t="array" ref="C76">INDEX(Kirjasto!D4:K200,141,Kirjasto!B4)</f>
        <v>Obowiązujące dokumenty i normy: SFS-EN 13141-7, LVI 30-10529, Rozporządzenie Ministerstwa Środowiska YMa1009/2017, Przewodnik bilansowania 2018, Publikacja Ministerstwa Środowiska YM 122 oraz rozporządzenia Komisji (UE) nr 1253/2014 i nr 1254/2014. Nie ponosimy odpowiedzialności za jakiekolwiek błędy w programie ani za jakiekolwiek bezpośrednie lub pośrednie błędy przez nie spowodowane.</v>
      </c>
      <c r="D76" s="1738"/>
      <c r="E76" s="1738"/>
      <c r="F76" s="1738"/>
      <c r="G76" s="1738"/>
      <c r="H76" s="1738"/>
      <c r="I76" s="1738"/>
      <c r="J76" s="1738"/>
      <c r="K76" s="1738"/>
      <c r="L76" s="1738"/>
      <c r="M76" s="1738"/>
      <c r="N76" s="1738"/>
      <c r="O76" s="24"/>
    </row>
    <row r="77" spans="2:30" x14ac:dyDescent="0.15">
      <c r="B77" s="12"/>
      <c r="C77" s="1738"/>
      <c r="D77" s="1738"/>
      <c r="E77" s="1738"/>
      <c r="F77" s="1738"/>
      <c r="G77" s="1738"/>
      <c r="H77" s="1738"/>
      <c r="I77" s="1738"/>
      <c r="J77" s="1738"/>
      <c r="K77" s="1738"/>
      <c r="L77" s="1738"/>
      <c r="M77" s="1738"/>
      <c r="N77" s="1738"/>
      <c r="O77" s="24"/>
    </row>
    <row r="78" spans="2:30" x14ac:dyDescent="0.15">
      <c r="B78" s="283"/>
      <c r="C78" s="523" t="str" cm="1">
        <f t="array" ref="C78">INDEX(Kirjasto!D4:K125,56,Kirjasto!B4)</f>
        <v>Program obliczeniowy został przygotowany przez W. Zenner Oy. Program obliczeniowy oparty jest na pomiarach laboratoryjnych zgodnie z normą SFS-EN 13141-7.</v>
      </c>
      <c r="D78" s="281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5"/>
    </row>
    <row r="81" spans="2:15" x14ac:dyDescent="0.15">
      <c r="B81" s="382"/>
      <c r="C81" s="383"/>
      <c r="D81" s="383"/>
      <c r="E81" s="383"/>
      <c r="F81" s="383"/>
      <c r="G81" s="383"/>
      <c r="H81" s="383"/>
      <c r="I81" s="383"/>
      <c r="J81" s="383"/>
      <c r="K81" s="383"/>
      <c r="L81" s="383"/>
      <c r="M81" s="383"/>
      <c r="N81" s="383"/>
      <c r="O81" s="384"/>
    </row>
    <row r="82" spans="2:15" ht="27" customHeight="1" x14ac:dyDescent="0.15">
      <c r="B82" s="385"/>
      <c r="C82" s="388" t="str" cm="1">
        <f t="array" ref="C82">INDEX(Kirjasto!D4:K125,104,Kirjasto!B4)</f>
        <v>Dobór nagrzewnicy wodnej</v>
      </c>
      <c r="D82" s="126"/>
      <c r="E82" s="126"/>
      <c r="F82" s="126"/>
      <c r="G82" s="392" t="str">
        <f>Tulokset!M63</f>
        <v>Niedostępne w tym modelu</v>
      </c>
      <c r="H82" s="126"/>
      <c r="I82" s="126"/>
      <c r="J82" s="126"/>
      <c r="K82" s="126"/>
      <c r="L82" s="126"/>
      <c r="M82" s="126"/>
      <c r="N82" s="126"/>
      <c r="O82" s="386"/>
    </row>
    <row r="83" spans="2:15" ht="14" x14ac:dyDescent="0.15">
      <c r="B83" s="385"/>
      <c r="C83" s="388"/>
      <c r="D83" s="126"/>
      <c r="E83" s="126"/>
      <c r="F83" s="126"/>
      <c r="G83" s="392"/>
      <c r="H83" s="126"/>
      <c r="I83" s="126"/>
      <c r="J83" s="126"/>
      <c r="K83" s="126"/>
      <c r="L83" s="126"/>
      <c r="M83" s="126"/>
      <c r="N83" s="126"/>
      <c r="O83" s="386"/>
    </row>
    <row r="84" spans="2:15" x14ac:dyDescent="0.15">
      <c r="B84" s="385"/>
      <c r="C84" s="528" t="str" cm="1">
        <f t="array" ref="C84">INDEX(Kirjasto!D4:K125,106,Kirjasto!B4)</f>
        <v>Wprowadź rozmiar i wartości docelowe:</v>
      </c>
      <c r="D84" s="529"/>
      <c r="E84" s="529"/>
      <c r="F84" s="529"/>
      <c r="G84" s="529"/>
      <c r="H84" s="529"/>
      <c r="I84" s="529"/>
      <c r="J84" s="529"/>
      <c r="K84" s="529"/>
      <c r="L84" s="529"/>
      <c r="M84" s="529"/>
      <c r="N84" s="529"/>
      <c r="O84" s="386"/>
    </row>
    <row r="85" spans="2:15" x14ac:dyDescent="0.15">
      <c r="B85" s="385"/>
      <c r="C85" s="530" t="str" cm="1">
        <f t="array" ref="C85">INDEX(Kirjasto!D4:K125,107,Kirjasto!B4)</f>
        <v>Rozpocznij od wprowadzenia temperatury wody zasilającej lub powrotnej</v>
      </c>
      <c r="D85" s="529"/>
      <c r="E85" s="529"/>
      <c r="F85" s="529"/>
      <c r="G85" s="529"/>
      <c r="H85" s="529"/>
      <c r="I85" s="529"/>
      <c r="J85" s="529"/>
      <c r="K85" s="529"/>
      <c r="L85" s="529"/>
      <c r="M85" s="529"/>
      <c r="N85" s="529"/>
      <c r="O85" s="386"/>
    </row>
    <row r="86" spans="2:15" x14ac:dyDescent="0.15">
      <c r="B86" s="385"/>
      <c r="C86" s="529" t="str" cm="1">
        <f t="array" ref="C86">INDEX(Kirjasto!D4:K125,108,Kirjasto!B4)</f>
        <v>Temperatura powietrza na wejściu</v>
      </c>
      <c r="D86" s="529"/>
      <c r="E86" s="529"/>
      <c r="F86" s="531">
        <v>1</v>
      </c>
      <c r="G86" s="529" t="s">
        <v>509</v>
      </c>
      <c r="H86" s="532" t="str" cm="1">
        <f t="array" ref="H86">INDEX(Kirjasto!D4:K125,115,Kirjasto!B4)</f>
        <v xml:space="preserve">Dobór nagrzewnicy w zależności od temperatury wody zasilającej </v>
      </c>
      <c r="I86" s="605"/>
      <c r="J86" s="533"/>
      <c r="K86" s="533"/>
      <c r="L86" s="533"/>
      <c r="M86" s="533"/>
      <c r="N86" s="534"/>
      <c r="O86" s="386"/>
    </row>
    <row r="87" spans="2:15" x14ac:dyDescent="0.15">
      <c r="B87" s="385"/>
      <c r="C87" s="529" t="str" cm="1">
        <f t="array" ref="C87">INDEX(Kirjasto!D4:K125,109,Kirjasto!B4)</f>
        <v>Temperatura powietrza na wyjściu</v>
      </c>
      <c r="D87" s="529"/>
      <c r="E87" s="529"/>
      <c r="F87" s="531">
        <v>20</v>
      </c>
      <c r="G87" s="529" t="s">
        <v>509</v>
      </c>
      <c r="H87" s="137" t="str" cm="1">
        <f t="array" ref="H87">INDEX(Kirjasto!D4:K125,117,Kirjasto!B4)</f>
        <v>Temperatura wody zasilającej</v>
      </c>
      <c r="I87" s="606"/>
      <c r="J87" s="529"/>
      <c r="K87" s="529"/>
      <c r="L87" s="529"/>
      <c r="M87" s="535" t="str">
        <f>Tulokset!P42</f>
        <v>-</v>
      </c>
      <c r="N87" s="536" t="s">
        <v>509</v>
      </c>
      <c r="O87" s="386"/>
    </row>
    <row r="88" spans="2:15" x14ac:dyDescent="0.15">
      <c r="B88" s="385"/>
      <c r="C88" s="529" t="str" cm="1">
        <f t="array" ref="C88">INDEX(Kirjasto!D4:K125,110,Kirjasto!B4)</f>
        <v>Temperatura wody zasilającej</v>
      </c>
      <c r="D88" s="529"/>
      <c r="E88" s="529"/>
      <c r="F88" s="531">
        <v>50</v>
      </c>
      <c r="G88" s="529" t="s">
        <v>509</v>
      </c>
      <c r="H88" s="137" t="str" cm="1">
        <f t="array" ref="H88">INDEX(Kirjasto!D4:K125,118,Kirjasto!B4)</f>
        <v>Temperatura wody powrotnej</v>
      </c>
      <c r="I88" s="606"/>
      <c r="J88" s="529"/>
      <c r="K88" s="529"/>
      <c r="L88" s="529"/>
      <c r="M88" s="535" t="str">
        <f>Tulokset!P43</f>
        <v>-</v>
      </c>
      <c r="N88" s="536" t="s">
        <v>509</v>
      </c>
      <c r="O88" s="386"/>
    </row>
    <row r="89" spans="2:15" x14ac:dyDescent="0.15">
      <c r="B89" s="385"/>
      <c r="C89" s="529" t="str" cm="1">
        <f t="array" ref="C89">INDEX(Kirjasto!D4:K125,111,Kirjasto!B4)</f>
        <v>Temperatura wody powrotnej</v>
      </c>
      <c r="D89" s="529"/>
      <c r="E89" s="529"/>
      <c r="F89" s="531">
        <v>30</v>
      </c>
      <c r="G89" s="529" t="s">
        <v>509</v>
      </c>
      <c r="H89" s="137" t="str" cm="1">
        <f t="array" ref="H89">INDEX(Kirjasto!D4:K125,119,Kirjasto!B4)</f>
        <v>Natężenie przepływu</v>
      </c>
      <c r="I89" s="606"/>
      <c r="J89" s="529"/>
      <c r="K89" s="529"/>
      <c r="L89" s="529"/>
      <c r="M89" s="537" t="str">
        <f>Tulokset!P44</f>
        <v>-</v>
      </c>
      <c r="N89" s="536" t="s">
        <v>974</v>
      </c>
      <c r="O89" s="386"/>
    </row>
    <row r="90" spans="2:15" x14ac:dyDescent="0.15">
      <c r="B90" s="385"/>
      <c r="C90" s="529"/>
      <c r="D90" s="529"/>
      <c r="E90" s="529"/>
      <c r="F90" s="529"/>
      <c r="G90" s="529"/>
      <c r="H90" s="137" t="str" cm="1">
        <f t="array" ref="H90">INDEX(Kirjasto!D4:K125,120,Kirjasto!B4)</f>
        <v>Spadek ciśnienia po stronie cieczy w nagrzewnicy</v>
      </c>
      <c r="I90" s="606"/>
      <c r="J90" s="529"/>
      <c r="K90" s="529"/>
      <c r="L90" s="529"/>
      <c r="M90" s="535" t="str">
        <f>Tulokset!P45</f>
        <v>-</v>
      </c>
      <c r="N90" s="536" t="s">
        <v>500</v>
      </c>
      <c r="O90" s="386"/>
    </row>
    <row r="91" spans="2:15" x14ac:dyDescent="0.15">
      <c r="B91" s="385"/>
      <c r="C91" s="529" t="str" cm="1">
        <f t="array" ref="C91">INDEX(Kirjasto!D4:K125,112,Kirjasto!B4)</f>
        <v>Przepływ objętościowy powietrza nawiewanego</v>
      </c>
      <c r="D91" s="529"/>
      <c r="E91" s="529"/>
      <c r="F91" s="751">
        <f>E33</f>
        <v>9.7222222222222214</v>
      </c>
      <c r="G91" s="529" t="s">
        <v>974</v>
      </c>
      <c r="H91" s="137" t="str" cm="1">
        <f t="array" ref="H91">INDEX(Kirjasto!D4:K125,121,Kirjasto!B4)</f>
        <v>Spadek ciśnienia na zaworze sterującym*</v>
      </c>
      <c r="I91" s="606"/>
      <c r="J91" s="529"/>
      <c r="K91" s="529"/>
      <c r="L91" s="529"/>
      <c r="M91" s="535" t="str">
        <f>Tulokset!P46</f>
        <v>-</v>
      </c>
      <c r="N91" s="536" t="s">
        <v>500</v>
      </c>
      <c r="O91" s="386"/>
    </row>
    <row r="92" spans="2:15" ht="14.25" customHeight="1" x14ac:dyDescent="0.15">
      <c r="B92" s="385"/>
      <c r="C92" s="538" t="str" cm="1">
        <f t="array" ref="C92">INDEX(Kirjasto!D4:K125,113,Kirjasto!B4)</f>
        <v>Wymagana moc grzewcza:</v>
      </c>
      <c r="D92" s="539"/>
      <c r="E92" s="540"/>
      <c r="F92" s="840" t="str">
        <f>Tulokset!D58</f>
        <v>-</v>
      </c>
      <c r="G92" s="528" t="s">
        <v>49</v>
      </c>
      <c r="H92" s="541" t="str" cm="1">
        <f t="array" ref="H92">INDEX(Kirjasto!D4:K125,122,Kirjasto!B4)</f>
        <v>Prędkość przepływu</v>
      </c>
      <c r="I92" s="607"/>
      <c r="J92" s="542"/>
      <c r="K92" s="542"/>
      <c r="L92" s="542"/>
      <c r="M92" s="543" t="str">
        <f>Tulokset!P47</f>
        <v>-</v>
      </c>
      <c r="N92" s="544" t="s">
        <v>502</v>
      </c>
      <c r="O92" s="386"/>
    </row>
    <row r="93" spans="2:15" x14ac:dyDescent="0.15">
      <c r="B93" s="385"/>
      <c r="C93" s="529"/>
      <c r="D93" s="529"/>
      <c r="E93" s="529"/>
      <c r="F93" s="529"/>
      <c r="G93" s="529"/>
      <c r="H93" s="527" t="str">
        <f>Tulokset!M64</f>
        <v/>
      </c>
      <c r="I93" s="527"/>
      <c r="J93" s="529"/>
      <c r="K93" s="529"/>
      <c r="L93" s="529"/>
      <c r="M93" s="529"/>
      <c r="N93" s="529"/>
      <c r="O93" s="386"/>
    </row>
    <row r="94" spans="2:15" x14ac:dyDescent="0.15">
      <c r="B94" s="385"/>
      <c r="C94" s="529"/>
      <c r="D94" s="529"/>
      <c r="E94" s="529"/>
      <c r="F94" s="529"/>
      <c r="G94" s="529"/>
      <c r="H94" s="532" t="str" cm="1">
        <f t="array" ref="H94">INDEX(Kirjasto!D4:K125,116,Kirjasto!B4)</f>
        <v xml:space="preserve">Dobór nagrzewnicy w zależności od temperatury wody powrotnej </v>
      </c>
      <c r="I94" s="605"/>
      <c r="J94" s="533"/>
      <c r="K94" s="533"/>
      <c r="L94" s="533"/>
      <c r="M94" s="533"/>
      <c r="N94" s="545"/>
      <c r="O94" s="386"/>
    </row>
    <row r="95" spans="2:15" x14ac:dyDescent="0.15">
      <c r="B95" s="385"/>
      <c r="C95" s="529"/>
      <c r="D95" s="529"/>
      <c r="E95" s="529"/>
      <c r="F95" s="529"/>
      <c r="G95" s="529"/>
      <c r="H95" s="137" t="str" cm="1">
        <f t="array" ref="H95">INDEX(Kirjasto!D4:K125,117,Kirjasto!B4)</f>
        <v>Temperatura wody zasilającej</v>
      </c>
      <c r="I95" s="606"/>
      <c r="J95" s="529"/>
      <c r="K95" s="529"/>
      <c r="L95" s="529"/>
      <c r="M95" s="535" t="str">
        <f>Tulokset!P49</f>
        <v>-</v>
      </c>
      <c r="N95" s="536" t="s">
        <v>509</v>
      </c>
      <c r="O95" s="386"/>
    </row>
    <row r="96" spans="2:15" x14ac:dyDescent="0.15">
      <c r="B96" s="385"/>
      <c r="C96" s="529"/>
      <c r="D96" s="529"/>
      <c r="E96" s="529"/>
      <c r="F96" s="529"/>
      <c r="G96" s="529"/>
      <c r="H96" s="137" t="str" cm="1">
        <f t="array" ref="H96">INDEX(Kirjasto!D4:K125,118,Kirjasto!B4)</f>
        <v>Temperatura wody powrotnej</v>
      </c>
      <c r="I96" s="606"/>
      <c r="J96" s="529"/>
      <c r="K96" s="529"/>
      <c r="L96" s="529"/>
      <c r="M96" s="535" t="str">
        <f>Tulokset!P50</f>
        <v>-</v>
      </c>
      <c r="N96" s="536" t="s">
        <v>509</v>
      </c>
      <c r="O96" s="386"/>
    </row>
    <row r="97" spans="2:15" x14ac:dyDescent="0.15">
      <c r="B97" s="385"/>
      <c r="C97" s="529"/>
      <c r="D97" s="529"/>
      <c r="E97" s="529"/>
      <c r="F97" s="529"/>
      <c r="G97" s="529"/>
      <c r="H97" s="137" t="str" cm="1">
        <f t="array" ref="H97">INDEX(Kirjasto!D4:K125,119,Kirjasto!B4)</f>
        <v>Natężenie przepływu</v>
      </c>
      <c r="I97" s="606"/>
      <c r="J97" s="529"/>
      <c r="K97" s="529"/>
      <c r="L97" s="529"/>
      <c r="M97" s="537" t="str">
        <f>Tulokset!P51</f>
        <v>-</v>
      </c>
      <c r="N97" s="536" t="s">
        <v>974</v>
      </c>
      <c r="O97" s="386"/>
    </row>
    <row r="98" spans="2:15" x14ac:dyDescent="0.15">
      <c r="B98" s="385"/>
      <c r="C98" s="529"/>
      <c r="D98" s="529"/>
      <c r="E98" s="529"/>
      <c r="F98" s="529"/>
      <c r="G98" s="529"/>
      <c r="H98" s="137" t="str" cm="1">
        <f t="array" ref="H98">INDEX(Kirjasto!D4:K125,120,Kirjasto!B4)</f>
        <v>Spadek ciśnienia po stronie cieczy w nagrzewnicy</v>
      </c>
      <c r="I98" s="606"/>
      <c r="J98" s="529"/>
      <c r="K98" s="529"/>
      <c r="L98" s="529"/>
      <c r="M98" s="535" t="str">
        <f>Tulokset!P52</f>
        <v>-</v>
      </c>
      <c r="N98" s="536" t="s">
        <v>500</v>
      </c>
      <c r="O98" s="386"/>
    </row>
    <row r="99" spans="2:15" x14ac:dyDescent="0.15">
      <c r="B99" s="385"/>
      <c r="C99" s="1728" t="str" cm="1">
        <f t="array" ref="C99">INDEX(Kirjasto!D4:K125,114,Kirjasto!B4)</f>
        <v>* W przypadku korzystania z korpusu o dużej pojemności Oras DN15S + zaworu grzejnikowego Stabila (całkowicie otwarty, KV = 1,00)</v>
      </c>
      <c r="D99" s="1728"/>
      <c r="E99" s="1728"/>
      <c r="F99" s="1728"/>
      <c r="G99" s="529"/>
      <c r="H99" s="137" t="str" cm="1">
        <f t="array" ref="H99">INDEX(Kirjasto!D4:K125,121,Kirjasto!B4)</f>
        <v>Spadek ciśnienia na zaworze sterującym*</v>
      </c>
      <c r="I99" s="606"/>
      <c r="J99" s="529"/>
      <c r="K99" s="529"/>
      <c r="L99" s="529"/>
      <c r="M99" s="535" t="str">
        <f>Tulokset!P53</f>
        <v>-</v>
      </c>
      <c r="N99" s="536" t="s">
        <v>500</v>
      </c>
      <c r="O99" s="386"/>
    </row>
    <row r="100" spans="2:15" x14ac:dyDescent="0.15">
      <c r="B100" s="385"/>
      <c r="C100" s="1728"/>
      <c r="D100" s="1728"/>
      <c r="E100" s="1728"/>
      <c r="F100" s="1728"/>
      <c r="G100" s="529"/>
      <c r="H100" s="541" t="str" cm="1">
        <f t="array" ref="H100">INDEX(Kirjasto!D4:K125,122,Kirjasto!B4)</f>
        <v>Prędkość przepływu</v>
      </c>
      <c r="I100" s="607"/>
      <c r="J100" s="542"/>
      <c r="K100" s="542"/>
      <c r="L100" s="542"/>
      <c r="M100" s="543" t="str">
        <f>Tulokset!P54</f>
        <v>-</v>
      </c>
      <c r="N100" s="544" t="s">
        <v>502</v>
      </c>
      <c r="O100" s="386"/>
    </row>
    <row r="101" spans="2:15" x14ac:dyDescent="0.15">
      <c r="B101" s="385"/>
      <c r="C101" s="445"/>
      <c r="D101" s="445"/>
      <c r="E101" s="445"/>
      <c r="F101" s="445"/>
      <c r="G101" s="126"/>
      <c r="H101" s="557" t="str">
        <f>Tulokset!M65</f>
        <v/>
      </c>
      <c r="I101" s="557"/>
      <c r="J101" s="383"/>
      <c r="K101" s="383"/>
      <c r="L101" s="383"/>
      <c r="M101" s="448"/>
      <c r="N101" s="383"/>
      <c r="O101" s="386"/>
    </row>
    <row r="102" spans="2:15" x14ac:dyDescent="0.15">
      <c r="B102" s="387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447" t="str">
        <f>O2</f>
        <v>Wersja 8.0</v>
      </c>
    </row>
  </sheetData>
  <sheetProtection algorithmName="SHA-512" hashValue="lbT/uT/pF8qPwhVTWBgz6t9hwguOBszkEcEXaXIJ8jqCtIQ38gjx4lYviOyuOmjwCCEMdhd4JyWtU2NwSFOrew==" saltValue="KG944YwfdwqI4i+kAefEdw==" spinCount="100000" sheet="1" objects="1" scenarios="1"/>
  <mergeCells count="48">
    <mergeCell ref="C60:C61"/>
    <mergeCell ref="W59:AC60"/>
    <mergeCell ref="W57:AC58"/>
    <mergeCell ref="W61:AC62"/>
    <mergeCell ref="M68:N68"/>
    <mergeCell ref="I61:J61"/>
    <mergeCell ref="I62:J62"/>
    <mergeCell ref="M69:N69"/>
    <mergeCell ref="M67:N67"/>
    <mergeCell ref="R3:AB3"/>
    <mergeCell ref="D4:I4"/>
    <mergeCell ref="D5:I5"/>
    <mergeCell ref="J36:K37"/>
    <mergeCell ref="M66:N66"/>
    <mergeCell ref="R6:U6"/>
    <mergeCell ref="R15:R16"/>
    <mergeCell ref="R12:R13"/>
    <mergeCell ref="R18:R19"/>
    <mergeCell ref="C66:H66"/>
    <mergeCell ref="W63:AC68"/>
    <mergeCell ref="C67:H67"/>
    <mergeCell ref="C51:C52"/>
    <mergeCell ref="R7:U7"/>
    <mergeCell ref="C99:F100"/>
    <mergeCell ref="G72:H72"/>
    <mergeCell ref="R71:AC72"/>
    <mergeCell ref="M70:N70"/>
    <mergeCell ref="C76:N77"/>
    <mergeCell ref="M71:N71"/>
    <mergeCell ref="M72:N72"/>
    <mergeCell ref="M73:N73"/>
    <mergeCell ref="M74:N74"/>
    <mergeCell ref="G73:H74"/>
    <mergeCell ref="I71:J72"/>
    <mergeCell ref="I73:J74"/>
    <mergeCell ref="G71:H71"/>
    <mergeCell ref="N51:N52"/>
    <mergeCell ref="N60:N61"/>
    <mergeCell ref="M51:M52"/>
    <mergeCell ref="D60:L60"/>
    <mergeCell ref="I52:J52"/>
    <mergeCell ref="M60:M61"/>
    <mergeCell ref="D51:L51"/>
    <mergeCell ref="I53:J53"/>
    <mergeCell ref="I54:J54"/>
    <mergeCell ref="I55:J55"/>
    <mergeCell ref="I56:J56"/>
    <mergeCell ref="I57:J57"/>
  </mergeCells>
  <conditionalFormatting sqref="F46:H47">
    <cfRule type="expression" dxfId="129" priority="28">
      <formula>$G$46="-"</formula>
    </cfRule>
  </conditionalFormatting>
  <conditionalFormatting sqref="I73">
    <cfRule type="expression" dxfId="128" priority="29">
      <formula>$I$71&gt;0</formula>
    </cfRule>
    <cfRule type="expression" dxfId="127" priority="30">
      <formula>$I$71&lt;-42</formula>
    </cfRule>
    <cfRule type="expression" dxfId="126" priority="31">
      <formula>$I$71&lt;-34</formula>
    </cfRule>
    <cfRule type="expression" dxfId="125" priority="32">
      <formula>$I$71&lt;-26</formula>
    </cfRule>
    <cfRule type="expression" dxfId="124" priority="33">
      <formula>$I$71&lt;-23</formula>
    </cfRule>
    <cfRule type="expression" dxfId="123" priority="34">
      <formula>$I$71&lt;-20</formula>
    </cfRule>
    <cfRule type="expression" dxfId="122" priority="35">
      <formula>$I$71&lt;-10</formula>
    </cfRule>
    <cfRule type="expression" dxfId="121" priority="36">
      <formula>$I$71&lt;0</formula>
    </cfRule>
  </conditionalFormatting>
  <conditionalFormatting sqref="W10:AC54">
    <cfRule type="expression" dxfId="114" priority="10">
      <formula>$AC10=0</formula>
    </cfRule>
  </conditionalFormatting>
  <dataValidations disablePrompts="1" count="1">
    <dataValidation type="decimal" allowBlank="1" showInputMessage="1" showErrorMessage="1" errorTitle="Incorrect input value" error="Value must be between 15 °C to 40 °C." sqref="T26" xr:uid="{851BD5D9-A2F2-4339-9B99-A4E053CCD84C}">
      <formula1>15</formula1>
      <formula2>40</formula2>
    </dataValidation>
  </dataValidations>
  <hyperlinks>
    <hyperlink ref="E75" r:id="rId1" xr:uid="{CB801612-7E9C-4FC3-BAB8-DB8F7FCE26DB}"/>
    <hyperlink ref="F75" r:id="rId2" xr:uid="{4BAEB775-25D1-4460-943A-14223D3A9242}"/>
    <hyperlink ref="T70" r:id="rId3" xr:uid="{1611D7FE-D3DB-4BB8-AC9E-7314B07F607F}"/>
  </hyperlinks>
  <pageMargins left="0.70866141732283472" right="0.70866141732283472" top="0.74803149606299213" bottom="0.74803149606299213" header="0.31496062992125984" footer="0.31496062992125984"/>
  <pageSetup paperSize="9" scale="53" orientation="portrait" r:id="rId4"/>
  <headerFooter>
    <oddFooter>&amp;C&amp;P/(&amp;N)</oddFooter>
  </headerFooter>
  <ignoredErrors>
    <ignoredError sqref="T11" unlockedFormula="1"/>
    <ignoredError sqref="G38" formula="1"/>
  </ignoredError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7" name="Drop Down 1">
              <controlPr defaultSize="0" autoLine="0" autoPict="0">
                <anchor moveWithCells="1">
                  <from>
                    <xdr:col>2</xdr:col>
                    <xdr:colOff>1168400</xdr:colOff>
                    <xdr:row>6</xdr:row>
                    <xdr:rowOff>25400</xdr:rowOff>
                  </from>
                  <to>
                    <xdr:col>3</xdr:col>
                    <xdr:colOff>482600</xdr:colOff>
                    <xdr:row>6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8" name="Drop Down 2">
              <controlPr defaultSize="0" autoLine="0" autoPict="0">
                <anchor moveWithCells="1">
                  <from>
                    <xdr:col>3</xdr:col>
                    <xdr:colOff>63500</xdr:colOff>
                    <xdr:row>70</xdr:row>
                    <xdr:rowOff>0</xdr:rowOff>
                  </from>
                  <to>
                    <xdr:col>5</xdr:col>
                    <xdr:colOff>698500</xdr:colOff>
                    <xdr:row>70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9" name="Drop Down 4">
              <controlPr defaultSize="0" autoLine="0" autoPict="0">
                <anchor moveWithCells="1">
                  <from>
                    <xdr:col>3</xdr:col>
                    <xdr:colOff>63500</xdr:colOff>
                    <xdr:row>71</xdr:row>
                    <xdr:rowOff>38100</xdr:rowOff>
                  </from>
                  <to>
                    <xdr:col>5</xdr:col>
                    <xdr:colOff>685800</xdr:colOff>
                    <xdr:row>71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0" name="Drop Down 5">
              <controlPr defaultSize="0" autoLine="0" autoPict="0">
                <anchor moveWithCells="1">
                  <from>
                    <xdr:col>3</xdr:col>
                    <xdr:colOff>63500</xdr:colOff>
                    <xdr:row>71</xdr:row>
                    <xdr:rowOff>266700</xdr:rowOff>
                  </from>
                  <to>
                    <xdr:col>5</xdr:col>
                    <xdr:colOff>673100</xdr:colOff>
                    <xdr:row>72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1" name="Drop Down 6">
              <controlPr defaultSize="0" autoLine="0" autoPict="0">
                <anchor moveWithCells="1">
                  <from>
                    <xdr:col>3</xdr:col>
                    <xdr:colOff>63500</xdr:colOff>
                    <xdr:row>72</xdr:row>
                    <xdr:rowOff>254000</xdr:rowOff>
                  </from>
                  <to>
                    <xdr:col>5</xdr:col>
                    <xdr:colOff>673100</xdr:colOff>
                    <xdr:row>73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2" name="Check Box 7">
              <controlPr defaultSize="0" autoFill="0" autoLine="0" autoPict="0" altText="Sound insulated casing: dB-package">
                <anchor moveWithCells="1">
                  <from>
                    <xdr:col>4</xdr:col>
                    <xdr:colOff>609600</xdr:colOff>
                    <xdr:row>5</xdr:row>
                    <xdr:rowOff>215900</xdr:rowOff>
                  </from>
                  <to>
                    <xdr:col>9</xdr:col>
                    <xdr:colOff>647700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 altText="">
                <anchor moveWithCells="1">
                  <from>
                    <xdr:col>2</xdr:col>
                    <xdr:colOff>1778000</xdr:colOff>
                    <xdr:row>56</xdr:row>
                    <xdr:rowOff>0</xdr:rowOff>
                  </from>
                  <to>
                    <xdr:col>3</xdr:col>
                    <xdr:colOff>38100</xdr:colOff>
                    <xdr:row>56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 altText="Sound insulated casing: dB-package">
                <anchor moveWithCells="1">
                  <from>
                    <xdr:col>4</xdr:col>
                    <xdr:colOff>596900</xdr:colOff>
                    <xdr:row>6</xdr:row>
                    <xdr:rowOff>215900</xdr:rowOff>
                  </from>
                  <to>
                    <xdr:col>7</xdr:col>
                    <xdr:colOff>101600</xdr:colOff>
                    <xdr:row>8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Option Button 16">
              <controlPr defaultSize="0" autoFill="0" autoLine="0" autoPict="0" altText="Suomi">
                <anchor moveWithCells="1">
                  <from>
                    <xdr:col>9</xdr:col>
                    <xdr:colOff>711200</xdr:colOff>
                    <xdr:row>1</xdr:row>
                    <xdr:rowOff>127000</xdr:rowOff>
                  </from>
                  <to>
                    <xdr:col>10</xdr:col>
                    <xdr:colOff>711200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6" name="Option Button 17">
              <controlPr defaultSize="0" autoFill="0" autoLine="0" autoPict="0">
                <anchor moveWithCells="1">
                  <from>
                    <xdr:col>10</xdr:col>
                    <xdr:colOff>482600</xdr:colOff>
                    <xdr:row>1</xdr:row>
                    <xdr:rowOff>114300</xdr:rowOff>
                  </from>
                  <to>
                    <xdr:col>11</xdr:col>
                    <xdr:colOff>457200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7" name="Option Button 18">
              <controlPr defaultSize="0" autoFill="0" autoLine="0" autoPict="0">
                <anchor moveWithCells="1">
                  <from>
                    <xdr:col>11</xdr:col>
                    <xdr:colOff>368300</xdr:colOff>
                    <xdr:row>1</xdr:row>
                    <xdr:rowOff>114300</xdr:rowOff>
                  </from>
                  <to>
                    <xdr:col>12</xdr:col>
                    <xdr:colOff>330200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Option Button 19">
              <controlPr defaultSize="0" autoFill="0" autoLine="0" autoPict="0">
                <anchor moveWithCells="1">
                  <from>
                    <xdr:col>12</xdr:col>
                    <xdr:colOff>266700</xdr:colOff>
                    <xdr:row>1</xdr:row>
                    <xdr:rowOff>114300</xdr:rowOff>
                  </from>
                  <to>
                    <xdr:col>13</xdr:col>
                    <xdr:colOff>254000</xdr:colOff>
                    <xdr:row>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9" name="Drop Down 28">
              <controlPr defaultSize="0" autoLine="0" autoPict="0">
                <anchor moveWithCells="1">
                  <from>
                    <xdr:col>18</xdr:col>
                    <xdr:colOff>25400</xdr:colOff>
                    <xdr:row>23</xdr:row>
                    <xdr:rowOff>190500</xdr:rowOff>
                  </from>
                  <to>
                    <xdr:col>20</xdr:col>
                    <xdr:colOff>12700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0" name="Drop Down 29">
              <controlPr defaultSize="0" autoLine="0" autoPict="0">
                <anchor moveWithCells="1">
                  <from>
                    <xdr:col>18</xdr:col>
                    <xdr:colOff>25400</xdr:colOff>
                    <xdr:row>27</xdr:row>
                    <xdr:rowOff>25400</xdr:rowOff>
                  </from>
                  <to>
                    <xdr:col>20</xdr:col>
                    <xdr:colOff>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1" name="Option Button 30">
              <controlPr defaultSize="0" autoFill="0" autoLine="0" autoPict="0" altText="EST">
                <anchor moveWithCells="1">
                  <from>
                    <xdr:col>9</xdr:col>
                    <xdr:colOff>711200</xdr:colOff>
                    <xdr:row>2</xdr:row>
                    <xdr:rowOff>266700</xdr:rowOff>
                  </from>
                  <to>
                    <xdr:col>10</xdr:col>
                    <xdr:colOff>711200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2" name="Option Button 31">
              <controlPr defaultSize="0" autoFill="0" autoLine="0" autoPict="0" altText="EST">
                <anchor moveWithCells="1">
                  <from>
                    <xdr:col>10</xdr:col>
                    <xdr:colOff>482600</xdr:colOff>
                    <xdr:row>2</xdr:row>
                    <xdr:rowOff>254000</xdr:rowOff>
                  </from>
                  <to>
                    <xdr:col>11</xdr:col>
                    <xdr:colOff>444500</xdr:colOff>
                    <xdr:row>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3" name="Option Button 32">
              <controlPr defaultSize="0" autoFill="0" autoLine="0" autoPict="0" altText="EST">
                <anchor moveWithCells="1">
                  <from>
                    <xdr:col>11</xdr:col>
                    <xdr:colOff>368300</xdr:colOff>
                    <xdr:row>2</xdr:row>
                    <xdr:rowOff>254000</xdr:rowOff>
                  </from>
                  <to>
                    <xdr:col>12</xdr:col>
                    <xdr:colOff>330200</xdr:colOff>
                    <xdr:row>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4" name="Option Button 33">
              <controlPr defaultSize="0" autoFill="0" autoLine="0" autoPict="0" altText="EST">
                <anchor moveWithCells="1">
                  <from>
                    <xdr:col>12</xdr:col>
                    <xdr:colOff>279400</xdr:colOff>
                    <xdr:row>2</xdr:row>
                    <xdr:rowOff>254000</xdr:rowOff>
                  </from>
                  <to>
                    <xdr:col>13</xdr:col>
                    <xdr:colOff>215900</xdr:colOff>
                    <xdr:row>3</xdr:row>
                    <xdr:rowOff>63500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15822089-5F4D-4FA1-AEE1-E33B6C54B26E}">
            <xm:f>Tulokset!$BD$4</xm:f>
            <x14:dxf>
              <font>
                <color rgb="FFC00000"/>
              </font>
            </x14:dxf>
          </x14:cfRule>
          <xm:sqref>D62:I62 K62:M62 N63:N64</xm:sqref>
        </x14:conditionalFormatting>
        <x14:conditionalFormatting xmlns:xm="http://schemas.microsoft.com/office/excel/2006/main">
          <x14:cfRule type="beginsWith" priority="5" operator="beginsWith" id="{838BEB81-6100-440C-BD52-C81651FF74D9}">
            <xm:f>LEFT(D42,LEN("-"))="-"</xm:f>
            <xm:f>"-"</xm:f>
            <x14:dxf>
              <font>
                <color rgb="FFFF0000"/>
              </font>
            </x14:dxf>
          </x14:cfRule>
          <xm:sqref>E42:E43 G42:G43 D45:D47</xm:sqref>
        </x14:conditionalFormatting>
        <x14:conditionalFormatting xmlns:xm="http://schemas.microsoft.com/office/excel/2006/main">
          <x14:cfRule type="beginsWith" priority="4" operator="beginsWith" id="{66384623-6EDF-41DF-8FD0-892733BB31CF}">
            <xm:f>LEFT(L37,LEN("-"))="-"</xm:f>
            <xm:f>"-"</xm:f>
            <x14:dxf>
              <font>
                <color rgb="FFFF0000"/>
              </font>
            </x14:dxf>
          </x14:cfRule>
          <xm:sqref>L37:M37</xm:sqref>
        </x14:conditionalFormatting>
        <x14:conditionalFormatting xmlns:xm="http://schemas.microsoft.com/office/excel/2006/main">
          <x14:cfRule type="beginsWith" priority="6" operator="beginsWith" id="{33F67715-E6F3-4D57-9AFB-C5845B15646E}">
            <xm:f>LEFT(L44,LEN("-"))="-"</xm:f>
            <xm:f>"-"</xm:f>
            <x14:dxf>
              <font>
                <color rgb="FFFF0000"/>
              </font>
            </x14:dxf>
          </x14:cfRule>
          <xm:sqref>L44:M47</xm:sqref>
        </x14:conditionalFormatting>
        <x14:conditionalFormatting xmlns:xm="http://schemas.microsoft.com/office/excel/2006/main">
          <x14:cfRule type="expression" priority="24" id="{65B80636-7500-4EAC-AFF6-1E874419FB91}">
            <xm:f>Tulokset!$BD$4</xm:f>
            <x14:dxf>
              <font>
                <b/>
                <i val="0"/>
                <color rgb="FFC00000"/>
              </font>
            </x14:dxf>
          </x14:cfRule>
          <xm:sqref>N62</xm:sqref>
        </x14:conditionalFormatting>
        <x14:conditionalFormatting xmlns:xm="http://schemas.microsoft.com/office/excel/2006/main">
          <x14:cfRule type="expression" priority="2" id="{02283E41-4255-4B32-8C51-C0F939287223}">
            <xm:f>Laskenta_vuosihyötysuhde!$C$38</xm:f>
            <x14:dxf>
              <font>
                <color theme="0"/>
              </font>
            </x14:dxf>
          </x14:cfRule>
          <xm:sqref>R29:S29 U29</xm:sqref>
        </x14:conditionalFormatting>
        <x14:conditionalFormatting xmlns:xm="http://schemas.microsoft.com/office/excel/2006/main">
          <x14:cfRule type="expression" priority="1" id="{5D1877FF-3366-4862-8B3F-35086DF58F08}">
            <xm:f>Kirjasto!$V$6</xm:f>
            <x14:dxf>
              <font>
                <color theme="0"/>
              </font>
              <border>
                <bottom/>
                <vertical/>
                <horizontal/>
              </border>
            </x14:dxf>
          </x14:cfRule>
          <xm:sqref>R22:T23</xm:sqref>
        </x14:conditionalFormatting>
        <x14:conditionalFormatting xmlns:xm="http://schemas.microsoft.com/office/excel/2006/main">
          <x14:cfRule type="expression" priority="3" id="{0EC8C386-ADA1-48B5-9010-96823F571242}">
            <xm:f>Laskenta_vuosihyötysuhde!$C$38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  <border>
                <left/>
                <right/>
                <top/>
                <bottom style="thin">
                  <color auto="1"/>
                </bottom>
              </border>
            </x14:dxf>
          </x14:cfRule>
          <xm:sqref>T29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1F70-2568-4E76-A4A6-AEA38D95163D}">
  <dimension ref="B1:AO21"/>
  <sheetViews>
    <sheetView zoomScale="85" zoomScaleNormal="85" workbookViewId="0">
      <selection activeCell="B126" sqref="B126"/>
    </sheetView>
  </sheetViews>
  <sheetFormatPr baseColWidth="10" defaultColWidth="8.83203125" defaultRowHeight="13" x14ac:dyDescent="0.15"/>
  <cols>
    <col min="3" max="21" width="24.1640625" customWidth="1"/>
  </cols>
  <sheetData>
    <row r="1" spans="2:41" x14ac:dyDescent="0.15">
      <c r="B1" t="s">
        <v>2487</v>
      </c>
      <c r="C1">
        <f>KirjastoC!B4</f>
        <v>1</v>
      </c>
    </row>
    <row r="3" spans="2:41" x14ac:dyDescent="0.15">
      <c r="C3" s="2" t="s">
        <v>2485</v>
      </c>
      <c r="W3" s="2" t="s">
        <v>139</v>
      </c>
    </row>
    <row r="4" spans="2:41" ht="127.5" customHeight="1" x14ac:dyDescent="0.2">
      <c r="C4" s="1360" t="s">
        <v>2215</v>
      </c>
      <c r="D4" s="1361" t="s">
        <v>1961</v>
      </c>
      <c r="E4" s="1360" t="s">
        <v>1963</v>
      </c>
      <c r="F4" s="1360" t="s">
        <v>2491</v>
      </c>
      <c r="G4" s="1360" t="s">
        <v>1965</v>
      </c>
      <c r="H4" s="1360" t="s">
        <v>1968</v>
      </c>
      <c r="I4" s="1360" t="s">
        <v>2500</v>
      </c>
      <c r="J4" s="1360" t="s">
        <v>1971</v>
      </c>
      <c r="K4" s="1360" t="s">
        <v>1972</v>
      </c>
      <c r="L4" s="1360" t="s">
        <v>1974</v>
      </c>
      <c r="M4" s="1360" t="s">
        <v>1975</v>
      </c>
      <c r="N4" s="1360" t="s">
        <v>1979</v>
      </c>
      <c r="O4" s="1362" t="s">
        <v>1981</v>
      </c>
      <c r="P4" s="1360" t="s">
        <v>2538</v>
      </c>
      <c r="Q4" s="1360" t="s">
        <v>1988</v>
      </c>
      <c r="R4" s="1360" t="s">
        <v>2553</v>
      </c>
      <c r="S4" s="1360" t="s">
        <v>2558</v>
      </c>
      <c r="T4" s="1360" t="s">
        <v>2216</v>
      </c>
      <c r="U4" s="1360" t="s">
        <v>2562</v>
      </c>
      <c r="W4" s="1366" t="str">
        <f>IF(ISBLANK(C4),"",IF($C$1=1,C4,C14))</f>
        <v>2 = C = Commercial AHU, LTO-Vastavirtasiirrin</v>
      </c>
      <c r="X4" s="1366" t="str">
        <f t="shared" ref="X4:AO4" si="0">IF(ISBLANK(D4),"",IF($C$1=1,D4,D14))</f>
        <v>005, 500dm³/s…1800m³/h   (Kone: Airfi Model C5 Electric, 230VAC 50Hz 16A, max ottoteho 2 kW  /  Airfi Model C5 Water, 230VAC 50Hz 16A, max ottoteho 2 kW )</v>
      </c>
      <c r="Y4" s="1366" t="str">
        <f t="shared" si="0"/>
        <v>1 = R = oikea (jäteilma oikeassa reunassa huoltosuunnasta katsoen), Vakiotoimitus, jos ei muuta pyydetty</v>
      </c>
      <c r="Z4" s="1366" t="str">
        <f t="shared" si="0"/>
        <v>1 = Airfi automatiikka, valmiina mm. ModBus RTU/TCP . Monipuoliset kytkentä mahdollisuudet jne… Vakiotoimitus jos ei muuta pyydetty.</v>
      </c>
      <c r="AA4" s="1366" t="str">
        <f t="shared" si="0"/>
        <v>5 = ISO ePM10 50% (M5 taso)</v>
      </c>
      <c r="AB4" s="1366" t="str">
        <f t="shared" si="0"/>
        <v>5 = ISO ePM10 50%,  (Vakiotoimitus C-koneissa, jos ei valittu muuta) (aiempi luokitus M5-taso)</v>
      </c>
      <c r="AC4" s="1366" t="str">
        <f t="shared" si="0"/>
        <v>11 = Electric, Jälkilämmityspaketti 1: Sulakekoko 400VAC 3x16A, max ottoteho 7,2 kW - Oma jälkilämmityksen syöttö (malleihin C5)</v>
      </c>
      <c r="AD4" s="1366" t="str">
        <f t="shared" si="0"/>
        <v>1 = Electric, Vakiona valitun teholuokan mukaiset varusteet (Huom! Electric malleissa jälkilämmityksen oma sähkönsyöttö)</v>
      </c>
      <c r="AE4" s="1366" t="str">
        <f t="shared" si="0"/>
        <v xml:space="preserve">0 = ei sisäistä jäähdytystä. Vakiotoimitus jos ei muuta pyydetty. </v>
      </c>
      <c r="AF4" s="1366" t="str">
        <f t="shared" si="0"/>
        <v>0 = Ei jäähdytyksen toimilaitteita tai venttiileitä. Vakiotoimitus jos ei muuta pyydetty.</v>
      </c>
      <c r="AG4" s="1366" t="str">
        <f t="shared" si="0"/>
        <v>0 = Ei suodatinvahteja.  Vakiotoimitus jos ei muuta pyydetty.</v>
      </c>
      <c r="AH4" s="1366" t="str">
        <f t="shared" si="0"/>
        <v>0 = Ei vakiopainesäätöä. Vakiotoimitus jos ei muuta pyydetty.</v>
      </c>
      <c r="AI4" s="1366" t="str">
        <f t="shared" si="0"/>
        <v xml:space="preserve">0 = Ei ilmamäärämittausta. Vakiotoimitus jos ei muuta pyydetty. </v>
      </c>
      <c r="AJ4" s="1366" t="str">
        <f t="shared" si="0"/>
        <v>0 = Ei  sulkupeltejä eikä toimilaitteita jäte- ja ulkoilmalle. Vakiotoimitus jos ei muuta pyydetty.</v>
      </c>
      <c r="AK4" s="1366" t="str">
        <f t="shared" si="0"/>
        <v xml:space="preserve">0 = Ei sensoreita. Vakiotoimitus jos ei muuta pyydetty. </v>
      </c>
      <c r="AL4" s="1366" t="str">
        <f t="shared" si="0"/>
        <v>0 = Ei energiamittareita. Vakiotoimitus jos ei muuta pyydetty.</v>
      </c>
      <c r="AM4" s="1366" t="str">
        <f t="shared" si="0"/>
        <v>0 = Ei ohjainta,  Vakiotoimitus riviliitinkoneessa, ei voi valita muuta</v>
      </c>
      <c r="AN4" s="1366" t="str">
        <f t="shared" si="0"/>
        <v>00 = Oletus (ei valittu),  Vakiotoimitus jos ei muuta pyydetty)</v>
      </c>
      <c r="AO4" s="1366" t="str">
        <f t="shared" si="0"/>
        <v>1 = Erikseen selvitetty toiminto, dokumentaatio vaaditaan liitteeksi.</v>
      </c>
    </row>
    <row r="5" spans="2:41" ht="127.5" customHeight="1" x14ac:dyDescent="0.2">
      <c r="C5" s="1360"/>
      <c r="D5" s="1361" t="s">
        <v>1962</v>
      </c>
      <c r="E5" s="1360" t="s">
        <v>1964</v>
      </c>
      <c r="F5" s="1360" t="s">
        <v>1992</v>
      </c>
      <c r="G5" s="1360" t="s">
        <v>1966</v>
      </c>
      <c r="H5" s="1363" t="s">
        <v>1969</v>
      </c>
      <c r="I5" s="1360" t="s">
        <v>2499</v>
      </c>
      <c r="J5" s="1360" t="s">
        <v>2507</v>
      </c>
      <c r="K5" s="1360" t="s">
        <v>2063</v>
      </c>
      <c r="L5" s="1360" t="s">
        <v>2519</v>
      </c>
      <c r="M5" s="1360" t="s">
        <v>1976</v>
      </c>
      <c r="N5" s="1360" t="s">
        <v>1980</v>
      </c>
      <c r="O5" s="1364" t="s">
        <v>2536</v>
      </c>
      <c r="P5" s="1360" t="s">
        <v>2540</v>
      </c>
      <c r="Q5" s="1360" t="s">
        <v>1989</v>
      </c>
      <c r="R5" s="1360" t="s">
        <v>1994</v>
      </c>
      <c r="S5" s="1360" t="s">
        <v>2217</v>
      </c>
      <c r="T5" s="1360" t="s">
        <v>1997</v>
      </c>
      <c r="U5" s="1360" t="s">
        <v>2218</v>
      </c>
      <c r="W5" s="1366" t="str">
        <f t="shared" ref="W5:W11" si="1">IF(ISBLANK(C5),"",IF($C$1=1,C5,C15))</f>
        <v/>
      </c>
      <c r="X5" s="1366" t="str">
        <f t="shared" ref="X5:X11" si="2">IF(ISBLANK(D5),"",IF($C$1=1,D5,D15))</f>
        <v>0xx, xxxdm³/s…xxxxm³/h (Future version)</v>
      </c>
      <c r="Y5" s="1366" t="str">
        <f t="shared" ref="Y5:Y11" si="3">IF(ISBLANK(E5),"",IF($C$1=1,E5,E15))</f>
        <v>2 = L  = vasen (jäteilma vasemmassa reunassa huoltosuunnasta katsoen)</v>
      </c>
      <c r="Z5" s="1366" t="str">
        <f t="shared" ref="Z5:Z11" si="4">IF(ISBLANK(F5),"",IF($C$1=1,F5,F15))</f>
        <v>2 = Rivilitinversio, toimilaitteet johdotettu riviliittimelle. Sisältää mm. 5 kpl lämpötila-anturi NTC, ja vesimallissa lisäksi 1 kpl jäätymissuoja-anturi NTC. Sekä koodiavaimen valintojen mukaisesti lähettimet. Toimitus ei sisällä ohjaussäätimiä.</v>
      </c>
      <c r="AA5" s="1366" t="str">
        <f t="shared" ref="AA5:AA11" si="5">IF(ISBLANK(G5),"",IF($C$1=1,G5,G15))</f>
        <v>6 = ISO ePM1 65%,  (Vakiotoimitus C-koneissa, jos ei valittu muuta) (aiempi luokitus F7 taso)</v>
      </c>
      <c r="AB5" s="1366" t="str">
        <f t="shared" ref="AB5:AB11" si="6">IF(ISBLANK(H5),"",IF($C$1=1,H5,H15))</f>
        <v>6 = ISO ePM1 65% (F7-taso)</v>
      </c>
      <c r="AC5" s="1366" t="str">
        <f t="shared" ref="AC5:AC11" si="7">IF(ISBLANK(I5),"",IF($C$1=1,I5,I15))</f>
        <v>12 = Electric, Jälkilämmityspaketti 2: Sulakekoko 400VAC 3x25A, max ottoteho 14,4 kW - Oma jälkilämmityksen syöttö (malleihin C5, Cxx),  Vakiotoimitus konekoossa C5 Electric jos ei muuta pyydetty</v>
      </c>
      <c r="AD5" s="1366" t="str">
        <f t="shared" ref="AD5:AD11" si="8">IF(ISBLANK(J5),"",IF($C$1=1,J5,J15))</f>
        <v>3 = Water ,  Toimituksessa ei mukana vesipatterin toimilaitteita tai venttiileitä -  Vakiotoimitus C-sarjan Water -koneissa jos ei muuta pyydetty.</v>
      </c>
      <c r="AE5" s="1366" t="str">
        <f t="shared" ref="AE5:AE11" si="9">IF(ISBLANK(K5),"",IF($C$1=1,K5,K15))</f>
        <v>1 = Jäähdytys neste, patteriteho 1 ,esim. 7/12 - 10/15 (mitoita ohjelmassa). Vakiotoimitus C-sarjassa jos valittu jäähdytyspatteri ja ei muuta pyydetty</v>
      </c>
      <c r="AF5" s="1366" t="str">
        <f t="shared" ref="AF5:AF11" si="10">IF(ISBLANK(L5),"",IF($C$1=1,L5,L15))</f>
        <v xml:space="preserve">1 = Toim. alk. Q3/2025, Jäähdytyksen 3- tieventtiili ja toimilaite - patterin 7/12 - 10/15 mukaan (toimitus irrallaan, kytkentä ja asennus PU). Sähköisesti Plug&amp;Play valmis. </v>
      </c>
      <c r="AG5" s="1366" t="str">
        <f t="shared" ref="AG5:AG11" si="11">IF(ISBLANK(M5),"",IF($C$1=1,M5,M15))</f>
        <v xml:space="preserve">1 = Suodatinvahti tulo </v>
      </c>
      <c r="AH5" s="1366" t="str">
        <f t="shared" ref="AH5:AH11" si="12">IF(ISBLANK(N5),"",IF($C$1=1,N5,N15))</f>
        <v>1 = Vakiopainesäätö tulo ja poisto (vakiopainesäädön mittauspisteet letkutetaan työmaalla)</v>
      </c>
      <c r="AI5" s="1366" t="str">
        <f t="shared" ref="AI5:AI11" si="13">IF(ISBLANK(O5),"",IF($C$1=1,O5,O15))</f>
        <v>1 = Toim. alk. Q2/2025 - Ilmavirtamittaus tulo- ja poistoilmavirralle</v>
      </c>
      <c r="AJ5" s="1366" t="str">
        <f t="shared" ref="AJ5:AJ11" si="14">IF(ISBLANK(P5),"",IF($C$1=1,P5,P15))</f>
        <v>1 = Sulkupellit sekä jousipalautteiset toimilaitteet (1kpl ulkoilma + 1 kpl jäteilma), valmiiksi tehtaalla sähköisesti kytketty . CAT4 luokka.</v>
      </c>
      <c r="AK5" s="1366" t="str">
        <f t="shared" ref="AK5:AK11" si="15">IF(ISBLANK(Q5),"",IF($C$1=1,Q5,Q15))</f>
        <v>1 = RH - lähetin</v>
      </c>
      <c r="AL5" s="1366" t="str">
        <f t="shared" ref="AL5:AL11" si="16">IF(ISBLANK(R5),"",IF($C$1=1,R5,R15))</f>
        <v>1 = Energiamittari käyttösähkö (puhallinenergia ja automaatio)</v>
      </c>
      <c r="AM5" s="1366" t="str">
        <f t="shared" ref="AM5:AM11" si="17">IF(ISBLANK(S5),"",IF($C$1=1,S5,S15))</f>
        <v>8 = Mille Wire (vakiona toimituksessa C-sarjan koneissa 1 kpl)</v>
      </c>
      <c r="AN5" s="1366" t="str">
        <f t="shared" ref="AN5:AN11" si="18">IF(ISBLANK(T5),"",IF($C$1=1,T5,T15))</f>
        <v>01 =Uno White</v>
      </c>
      <c r="AO5" s="1366" t="str">
        <f t="shared" ref="AO5:AO11" si="19">IF(ISBLANK(U5),"",IF($C$1=1,U5,U15))</f>
        <v>2 = Lisäaikapainike  (asennus ja johdotus SU)</v>
      </c>
    </row>
    <row r="6" spans="2:41" ht="127.5" customHeight="1" x14ac:dyDescent="0.2">
      <c r="C6" s="1360"/>
      <c r="D6" s="1361" t="s">
        <v>1962</v>
      </c>
      <c r="E6" s="1360"/>
      <c r="F6" s="1360"/>
      <c r="G6" s="1360" t="s">
        <v>1967</v>
      </c>
      <c r="H6" s="1363" t="s">
        <v>1967</v>
      </c>
      <c r="I6" s="1360" t="s">
        <v>1970</v>
      </c>
      <c r="J6" s="1360" t="s">
        <v>2062</v>
      </c>
      <c r="K6" s="1360" t="s">
        <v>2512</v>
      </c>
      <c r="L6" s="1360" t="s">
        <v>2522</v>
      </c>
      <c r="M6" s="1360" t="s">
        <v>1977</v>
      </c>
      <c r="N6" s="1360"/>
      <c r="O6" s="1360"/>
      <c r="P6" s="1360" t="s">
        <v>1982</v>
      </c>
      <c r="Q6" s="1360" t="s">
        <v>1990</v>
      </c>
      <c r="R6" s="1360" t="s">
        <v>2556</v>
      </c>
      <c r="S6" s="1360"/>
      <c r="T6" s="1360" t="s">
        <v>1998</v>
      </c>
      <c r="U6" s="1360" t="s">
        <v>2219</v>
      </c>
      <c r="W6" s="1366" t="str">
        <f t="shared" si="1"/>
        <v/>
      </c>
      <c r="X6" s="1366" t="str">
        <f t="shared" si="2"/>
        <v>0xx, xxxdm³/s…xxxxm³/h (Future version)</v>
      </c>
      <c r="Y6" s="1366" t="str">
        <f t="shared" si="3"/>
        <v/>
      </c>
      <c r="Z6" s="1366" t="str">
        <f t="shared" si="4"/>
        <v/>
      </c>
      <c r="AA6" s="1366" t="str">
        <f t="shared" si="5"/>
        <v>7 = ISO ePM1 85% (F8/F9 taso)</v>
      </c>
      <c r="AB6" s="1366" t="str">
        <f t="shared" si="6"/>
        <v>7 = ISO ePM1 85% (F8/F9 taso)</v>
      </c>
      <c r="AC6" s="1366" t="str">
        <f t="shared" si="7"/>
        <v>61 = Water-  soveltuu esim. 50/30 vedelle (mitoita ohjelmassa), Vakiotoimitus mallissa C5 Water jos ei muuta pyydetty</v>
      </c>
      <c r="AD6" s="1366" t="str">
        <f t="shared" si="8"/>
        <v xml:space="preserve">5 = Toim.alk.Q2/2025, Water , Jälkilämmityksen 2-tieventtiili ja toimilaite - patterin 50/30 mukaan (toimitus irrallaan, kytkentä ja asennus PU). Sähköisesti Plug&amp;Play valmis. </v>
      </c>
      <c r="AE6" s="1366" t="str">
        <f t="shared" si="9"/>
        <v>2 = Jäähdytys neste , patteriteho 2. esim. 10/18 -kaukokylmä/maajärjestelmä  (mitoita ohjelmassa)</v>
      </c>
      <c r="AF6" s="1366" t="str">
        <f t="shared" si="10"/>
        <v xml:space="preserve">2 = Toim. alk. Q3/2025, Jäähdytyksen 3- tieventtiili ja toimilaite - patterin 10/18 mukaan (toimitus irrallaan, kytkentä ja asennus PU). Sähköisesti Plug&amp;Play valmis. </v>
      </c>
      <c r="AG6" s="1366" t="str">
        <f t="shared" si="11"/>
        <v>2 = Suodatinvahti poisto</v>
      </c>
      <c r="AH6" s="1366" t="str">
        <f t="shared" si="12"/>
        <v/>
      </c>
      <c r="AI6" s="1366" t="str">
        <f t="shared" si="13"/>
        <v/>
      </c>
      <c r="AJ6" s="1366" t="str">
        <f t="shared" si="14"/>
        <v>2 = Sulkupellit sekä jousipalautteiset toimilaitteet (1kpl Ulkoilma + 1 kpl jäteilma), valmiiksi tehtaalla sähköisesti kytketty . Eristetyt säleet , CAT 4 luokka.</v>
      </c>
      <c r="AK6" s="1366" t="str">
        <f t="shared" si="15"/>
        <v>2 = CO2 - lähetin</v>
      </c>
      <c r="AL6" s="1366" t="str">
        <f t="shared" si="16"/>
        <v>2 = Energiamittari käyttösähkö  (puhallinenergia ja automaatio) ja lisäksi sähkökoneessa erillinen jälkilämmityksen energian kulutusmittaus.</v>
      </c>
      <c r="AM6" s="1366" t="str">
        <f t="shared" si="17"/>
        <v/>
      </c>
      <c r="AN6" s="1366" t="str">
        <f t="shared" si="18"/>
        <v>03 =Sento White</v>
      </c>
      <c r="AO6" s="1366" t="str">
        <f t="shared" si="19"/>
        <v>9 = Toimitus listauksen mukaisesti</v>
      </c>
    </row>
    <row r="7" spans="2:41" ht="127.5" customHeight="1" x14ac:dyDescent="0.15">
      <c r="C7" s="1360"/>
      <c r="D7" s="1360"/>
      <c r="E7" s="1365"/>
      <c r="F7" s="1360"/>
      <c r="G7" s="1360"/>
      <c r="H7" s="1360"/>
      <c r="I7" s="1360" t="s">
        <v>2061</v>
      </c>
      <c r="J7" s="1360" t="s">
        <v>2516</v>
      </c>
      <c r="K7" s="1360" t="s">
        <v>1973</v>
      </c>
      <c r="L7" s="1360" t="s">
        <v>2520</v>
      </c>
      <c r="M7" s="1360" t="s">
        <v>1978</v>
      </c>
      <c r="N7" s="1360"/>
      <c r="O7" s="1360"/>
      <c r="P7" s="1360" t="s">
        <v>1983</v>
      </c>
      <c r="Q7" s="1360" t="s">
        <v>1991</v>
      </c>
      <c r="R7" s="1360"/>
      <c r="S7" s="1360"/>
      <c r="T7" s="1365" t="s">
        <v>1999</v>
      </c>
      <c r="U7" s="1360"/>
      <c r="W7" s="1366" t="str">
        <f t="shared" si="1"/>
        <v/>
      </c>
      <c r="X7" s="1366" t="str">
        <f t="shared" si="2"/>
        <v/>
      </c>
      <c r="Y7" s="1366" t="str">
        <f t="shared" si="3"/>
        <v/>
      </c>
      <c r="Z7" s="1366" t="str">
        <f t="shared" si="4"/>
        <v/>
      </c>
      <c r="AA7" s="1366" t="str">
        <f t="shared" si="5"/>
        <v/>
      </c>
      <c r="AB7" s="1366" t="str">
        <f t="shared" si="6"/>
        <v/>
      </c>
      <c r="AC7" s="1366" t="str">
        <f t="shared" si="7"/>
        <v>62 = Water- matalille lämpötiloille, esim. 35/25 - 35/30 (mitoita ohjelmassa)</v>
      </c>
      <c r="AD7" s="1366" t="str">
        <f t="shared" si="8"/>
        <v xml:space="preserve">6 = Toim. alk. Q2/2025, Water , Jälkilämmityksen 2-tieventtiili ja toimilaite - patterin 35/25 - 35/30 mukaan (toimitus irrallaan, kytkentä ja asennus PU). Sähköisesti Plug&amp;Play valmis. </v>
      </c>
      <c r="AE7" s="1366" t="str">
        <f t="shared" si="9"/>
        <v>7 = Jäähdytys suorahöyrystyspatteri DX-1,   (mitoita ohjelmassa), toimitus sisältää patterin, ei toimilaitteita</v>
      </c>
      <c r="AF7" s="1366" t="str">
        <f t="shared" si="10"/>
        <v xml:space="preserve">6 = Toim. alk. Q3/2025, Jäähdytyksen pumppuryhmä 7/12 - 10/15 kasattuna ja eristettynä (toimitus erillispakettina, kytkentä ja asennus PU). Sähköisesti Plug&amp;Play valmis. </v>
      </c>
      <c r="AG7" s="1366" t="str">
        <f t="shared" si="11"/>
        <v>3 = Suodatinvahti tulo ja poisto</v>
      </c>
      <c r="AH7" s="1366" t="str">
        <f t="shared" si="12"/>
        <v/>
      </c>
      <c r="AI7" s="1366" t="str">
        <f t="shared" si="13"/>
        <v/>
      </c>
      <c r="AJ7" s="1366" t="str">
        <f t="shared" si="14"/>
        <v>3 = Sulkupelti sekä jousipalautteinen toimilaite Ulkoilma (1kpl) , valmiiksi tehtaalla sähköisesti kytketty . Eristetyt säleet , CAT 4 luokka.</v>
      </c>
      <c r="AK7" s="1366" t="str">
        <f t="shared" si="15"/>
        <v>3 = RH + CO2 - lähetin</v>
      </c>
      <c r="AL7" s="1366" t="str">
        <f t="shared" si="16"/>
        <v/>
      </c>
      <c r="AM7" s="1366" t="str">
        <f t="shared" si="17"/>
        <v/>
      </c>
      <c r="AN7" s="1366" t="str">
        <f t="shared" si="18"/>
        <v>04 = Sento Black</v>
      </c>
      <c r="AO7" s="1366" t="str">
        <f t="shared" si="19"/>
        <v/>
      </c>
    </row>
    <row r="8" spans="2:41" ht="127.5" customHeight="1" x14ac:dyDescent="0.15">
      <c r="C8" s="1360"/>
      <c r="D8" s="1360"/>
      <c r="E8" s="1360"/>
      <c r="F8" s="1360"/>
      <c r="G8" s="1360"/>
      <c r="H8" s="1360"/>
      <c r="I8" s="1360"/>
      <c r="J8" s="1360" t="s">
        <v>2518</v>
      </c>
      <c r="K8" s="1360"/>
      <c r="L8" s="1360" t="s">
        <v>2524</v>
      </c>
      <c r="M8" s="1360"/>
      <c r="N8" s="1360"/>
      <c r="O8" s="1360"/>
      <c r="P8" s="1360" t="s">
        <v>1984</v>
      </c>
      <c r="Q8" s="1360" t="s">
        <v>2551</v>
      </c>
      <c r="R8" s="1360"/>
      <c r="S8" s="1360"/>
      <c r="T8" s="1360" t="s">
        <v>2000</v>
      </c>
      <c r="U8" s="1360"/>
      <c r="W8" s="1366" t="str">
        <f t="shared" si="1"/>
        <v/>
      </c>
      <c r="X8" s="1366" t="str">
        <f t="shared" si="2"/>
        <v/>
      </c>
      <c r="Y8" s="1366" t="str">
        <f t="shared" si="3"/>
        <v/>
      </c>
      <c r="Z8" s="1366" t="str">
        <f t="shared" si="4"/>
        <v/>
      </c>
      <c r="AA8" s="1366" t="str">
        <f t="shared" si="5"/>
        <v/>
      </c>
      <c r="AB8" s="1366" t="str">
        <f t="shared" si="6"/>
        <v/>
      </c>
      <c r="AC8" s="1366" t="str">
        <f t="shared" si="7"/>
        <v/>
      </c>
      <c r="AD8" s="1366" t="str">
        <f t="shared" si="8"/>
        <v>7 = Toim. alk. Q3/2025, Water ,  Jälkilämmityksen pumppuryhmä 50/30 kasattuna ja eristettynä (toimitus erillispakettina, kytkentä ja asennus PU). Sähköisesti Plug&amp;Play valmis</v>
      </c>
      <c r="AE8" s="1366" t="str">
        <f t="shared" si="9"/>
        <v/>
      </c>
      <c r="AF8" s="1366" t="str">
        <f t="shared" si="10"/>
        <v xml:space="preserve">7 = Toim. alk. Q3/2025, Jäähdytyksen pumppuryhmä 10/18 kasattuna ja eristettynä (toimitus erillispakettina, kytkentä ja asennus PU). Sähköisesti Plug&amp;Play valmis. </v>
      </c>
      <c r="AG8" s="1366" t="str">
        <f t="shared" si="11"/>
        <v/>
      </c>
      <c r="AH8" s="1366" t="str">
        <f t="shared" si="12"/>
        <v/>
      </c>
      <c r="AI8" s="1366" t="str">
        <f t="shared" si="13"/>
        <v/>
      </c>
      <c r="AJ8" s="1366" t="str">
        <f t="shared" si="14"/>
        <v>4 = Sulkupelti sekä jousipalautteinen toimilaite Jäteilma (1kpl), valmiiksi tehtaalla sähköisesti kytketty . Eristetyt säleet , CAT 4 luokka.</v>
      </c>
      <c r="AK8" s="1366" t="str">
        <f t="shared" si="15"/>
        <v>5 = Toim. alk. 3/2025 , Airfi Multisensor (vain Airfi automatiikassa) ,  säätimeltä valitaan mitä suuretta käytetään.</v>
      </c>
      <c r="AL8" s="1366" t="str">
        <f t="shared" si="16"/>
        <v/>
      </c>
      <c r="AM8" s="1366" t="str">
        <f t="shared" si="17"/>
        <v/>
      </c>
      <c r="AN8" s="1366" t="str">
        <f t="shared" si="18"/>
        <v xml:space="preserve">07 =Mille Wifi </v>
      </c>
      <c r="AO8" s="1366" t="str">
        <f t="shared" si="19"/>
        <v/>
      </c>
    </row>
    <row r="9" spans="2:41" ht="127.5" customHeight="1" x14ac:dyDescent="0.15">
      <c r="C9" s="1360"/>
      <c r="D9" s="1360"/>
      <c r="E9" s="1360"/>
      <c r="F9" s="1360"/>
      <c r="G9" s="1360"/>
      <c r="H9" s="1360"/>
      <c r="I9" s="1360"/>
      <c r="J9" s="1360" t="s">
        <v>2517</v>
      </c>
      <c r="K9" s="1360"/>
      <c r="L9" s="1360"/>
      <c r="M9" s="1360"/>
      <c r="N9" s="1360"/>
      <c r="O9" s="1360"/>
      <c r="P9" s="1360" t="s">
        <v>1985</v>
      </c>
      <c r="Q9" s="1360"/>
      <c r="R9" s="1360"/>
      <c r="S9" s="1360"/>
      <c r="T9" s="1360"/>
      <c r="U9" s="1360"/>
      <c r="W9" s="1366" t="str">
        <f t="shared" si="1"/>
        <v/>
      </c>
      <c r="X9" s="1366" t="str">
        <f t="shared" si="2"/>
        <v/>
      </c>
      <c r="Y9" s="1366" t="str">
        <f t="shared" si="3"/>
        <v/>
      </c>
      <c r="Z9" s="1366" t="str">
        <f t="shared" si="4"/>
        <v/>
      </c>
      <c r="AA9" s="1366" t="str">
        <f t="shared" si="5"/>
        <v/>
      </c>
      <c r="AB9" s="1366" t="str">
        <f t="shared" si="6"/>
        <v/>
      </c>
      <c r="AC9" s="1366" t="str">
        <f t="shared" si="7"/>
        <v/>
      </c>
      <c r="AD9" s="1366" t="str">
        <f t="shared" si="8"/>
        <v>8 = Toim. alk. Q3/2025, Water ,  Jälkilämmityksen pumppuryhmä 35/25 - 35/30 kasattuna ja eristettynä (toimitus erillispakettina, kytkentä ja asennus PU). Sähköisesti Plug&amp;Play valmis</v>
      </c>
      <c r="AE9" s="1366" t="str">
        <f t="shared" si="9"/>
        <v/>
      </c>
      <c r="AF9" s="1366" t="str">
        <f t="shared" si="10"/>
        <v/>
      </c>
      <c r="AG9" s="1366" t="str">
        <f t="shared" si="11"/>
        <v/>
      </c>
      <c r="AH9" s="1366" t="str">
        <f t="shared" si="12"/>
        <v/>
      </c>
      <c r="AI9" s="1366" t="str">
        <f t="shared" si="13"/>
        <v/>
      </c>
      <c r="AJ9" s="1366" t="str">
        <f t="shared" si="14"/>
        <v>5 = Sulkupellit (1kpl Ulkoilma + 1 kpl jäteilma), EI TOIMILAITTEITA.  CAT 4 luokka.</v>
      </c>
      <c r="AK9" s="1366" t="str">
        <f t="shared" si="15"/>
        <v/>
      </c>
      <c r="AL9" s="1366" t="str">
        <f t="shared" si="16"/>
        <v/>
      </c>
      <c r="AM9" s="1366" t="str">
        <f t="shared" si="17"/>
        <v/>
      </c>
      <c r="AN9" s="1366" t="str">
        <f t="shared" si="18"/>
        <v/>
      </c>
      <c r="AO9" s="1366" t="str">
        <f t="shared" si="19"/>
        <v/>
      </c>
    </row>
    <row r="10" spans="2:41" ht="127.5" customHeight="1" x14ac:dyDescent="0.15">
      <c r="C10" s="1360"/>
      <c r="D10" s="1360"/>
      <c r="E10" s="1360"/>
      <c r="F10" s="1360"/>
      <c r="G10" s="1360"/>
      <c r="H10" s="1360"/>
      <c r="I10" s="1360"/>
      <c r="J10" s="1360"/>
      <c r="K10" s="1360"/>
      <c r="L10" s="1360"/>
      <c r="M10" s="1360"/>
      <c r="N10" s="1360"/>
      <c r="O10" s="1360"/>
      <c r="P10" s="1360" t="s">
        <v>1986</v>
      </c>
      <c r="Q10" s="1360"/>
      <c r="R10" s="1360"/>
      <c r="S10" s="1360"/>
      <c r="T10" s="1360"/>
      <c r="U10" s="1360"/>
      <c r="W10" s="1366" t="str">
        <f t="shared" si="1"/>
        <v/>
      </c>
      <c r="X10" s="1366" t="str">
        <f t="shared" si="2"/>
        <v/>
      </c>
      <c r="Y10" s="1366" t="str">
        <f t="shared" si="3"/>
        <v/>
      </c>
      <c r="Z10" s="1366" t="str">
        <f t="shared" si="4"/>
        <v/>
      </c>
      <c r="AA10" s="1366" t="str">
        <f t="shared" si="5"/>
        <v/>
      </c>
      <c r="AB10" s="1366" t="str">
        <f t="shared" si="6"/>
        <v/>
      </c>
      <c r="AC10" s="1366" t="str">
        <f t="shared" si="7"/>
        <v/>
      </c>
      <c r="AD10" s="1366" t="str">
        <f t="shared" si="8"/>
        <v/>
      </c>
      <c r="AE10" s="1366" t="str">
        <f t="shared" si="9"/>
        <v/>
      </c>
      <c r="AF10" s="1366" t="str">
        <f t="shared" si="10"/>
        <v/>
      </c>
      <c r="AG10" s="1366" t="str">
        <f t="shared" si="11"/>
        <v/>
      </c>
      <c r="AH10" s="1366" t="str">
        <f t="shared" si="12"/>
        <v/>
      </c>
      <c r="AI10" s="1366" t="str">
        <f t="shared" si="13"/>
        <v/>
      </c>
      <c r="AJ10" s="1366" t="str">
        <f t="shared" si="14"/>
        <v>6 = Sulkupelti Ulkoilma (1kpl), EI TOIMILAITETTA.  CAT 4 luokka.</v>
      </c>
      <c r="AK10" s="1366" t="str">
        <f t="shared" si="15"/>
        <v/>
      </c>
      <c r="AL10" s="1366" t="str">
        <f t="shared" si="16"/>
        <v/>
      </c>
      <c r="AM10" s="1366" t="str">
        <f t="shared" si="17"/>
        <v/>
      </c>
      <c r="AN10" s="1366" t="str">
        <f t="shared" si="18"/>
        <v/>
      </c>
      <c r="AO10" s="1366" t="str">
        <f t="shared" si="19"/>
        <v/>
      </c>
    </row>
    <row r="11" spans="2:41" ht="127.5" customHeight="1" x14ac:dyDescent="0.15">
      <c r="C11" s="1363"/>
      <c r="D11" s="1363"/>
      <c r="E11" s="1363"/>
      <c r="F11" s="1363"/>
      <c r="G11" s="1363"/>
      <c r="H11" s="1363"/>
      <c r="I11" s="1363"/>
      <c r="J11" s="1363"/>
      <c r="K11" s="1363"/>
      <c r="L11" s="1363"/>
      <c r="M11" s="1363"/>
      <c r="N11" s="1363"/>
      <c r="O11" s="1363"/>
      <c r="P11" s="1360" t="s">
        <v>1987</v>
      </c>
      <c r="Q11" s="1363"/>
      <c r="R11" s="1363"/>
      <c r="S11" s="1363"/>
      <c r="T11" s="1363"/>
      <c r="U11" s="1363"/>
      <c r="W11" s="1366" t="str">
        <f t="shared" si="1"/>
        <v/>
      </c>
      <c r="X11" s="1366" t="str">
        <f t="shared" si="2"/>
        <v/>
      </c>
      <c r="Y11" s="1366" t="str">
        <f t="shared" si="3"/>
        <v/>
      </c>
      <c r="Z11" s="1366" t="str">
        <f t="shared" si="4"/>
        <v/>
      </c>
      <c r="AA11" s="1366" t="str">
        <f t="shared" si="5"/>
        <v/>
      </c>
      <c r="AB11" s="1366" t="str">
        <f t="shared" si="6"/>
        <v/>
      </c>
      <c r="AC11" s="1366" t="str">
        <f t="shared" si="7"/>
        <v/>
      </c>
      <c r="AD11" s="1366" t="str">
        <f t="shared" si="8"/>
        <v/>
      </c>
      <c r="AE11" s="1366" t="str">
        <f t="shared" si="9"/>
        <v/>
      </c>
      <c r="AF11" s="1366" t="str">
        <f t="shared" si="10"/>
        <v/>
      </c>
      <c r="AG11" s="1366" t="str">
        <f t="shared" si="11"/>
        <v/>
      </c>
      <c r="AH11" s="1366" t="str">
        <f t="shared" si="12"/>
        <v/>
      </c>
      <c r="AI11" s="1366" t="str">
        <f t="shared" si="13"/>
        <v/>
      </c>
      <c r="AJ11" s="1366" t="str">
        <f t="shared" si="14"/>
        <v>7 = Sulkupelti Jäteilma (1kpl), EI TOIMILAITETTA. CAT 4 luokka.</v>
      </c>
      <c r="AK11" s="1366" t="str">
        <f t="shared" si="15"/>
        <v/>
      </c>
      <c r="AL11" s="1366" t="str">
        <f t="shared" si="16"/>
        <v/>
      </c>
      <c r="AM11" s="1366" t="str">
        <f t="shared" si="17"/>
        <v/>
      </c>
      <c r="AN11" s="1366" t="str">
        <f t="shared" si="18"/>
        <v/>
      </c>
      <c r="AO11" s="1366" t="str">
        <f t="shared" si="19"/>
        <v/>
      </c>
    </row>
    <row r="13" spans="2:41" x14ac:dyDescent="0.15">
      <c r="C13" s="2" t="s">
        <v>2486</v>
      </c>
    </row>
    <row r="14" spans="2:41" ht="127.5" customHeight="1" x14ac:dyDescent="0.2">
      <c r="C14" s="1392" t="s">
        <v>2488</v>
      </c>
      <c r="D14" s="1393" t="s">
        <v>2489</v>
      </c>
      <c r="E14" s="1392" t="s">
        <v>2666</v>
      </c>
      <c r="F14" s="1392" t="s">
        <v>2492</v>
      </c>
      <c r="G14" s="1392" t="s">
        <v>2494</v>
      </c>
      <c r="H14" s="1392" t="s">
        <v>2497</v>
      </c>
      <c r="I14" s="1392" t="s">
        <v>2501</v>
      </c>
      <c r="J14" s="1392" t="s">
        <v>2505</v>
      </c>
      <c r="K14" s="1392" t="s">
        <v>2531</v>
      </c>
      <c r="L14" s="1392" t="s">
        <v>2515</v>
      </c>
      <c r="M14" s="1392" t="s">
        <v>2530</v>
      </c>
      <c r="N14" s="1392" t="s">
        <v>2667</v>
      </c>
      <c r="O14" s="1394" t="s">
        <v>2534</v>
      </c>
      <c r="P14" s="1392" t="s">
        <v>2537</v>
      </c>
      <c r="Q14" s="1392" t="s">
        <v>2547</v>
      </c>
      <c r="R14" s="1392" t="s">
        <v>2554</v>
      </c>
      <c r="S14" s="1392" t="s">
        <v>2559</v>
      </c>
      <c r="T14" s="1392" t="s">
        <v>2561</v>
      </c>
      <c r="U14" s="1392" t="s">
        <v>2563</v>
      </c>
    </row>
    <row r="15" spans="2:41" ht="127.5" customHeight="1" x14ac:dyDescent="0.2">
      <c r="C15" s="1392"/>
      <c r="D15" s="1393" t="s">
        <v>1962</v>
      </c>
      <c r="E15" s="1392" t="s">
        <v>2490</v>
      </c>
      <c r="F15" s="1392" t="s">
        <v>2493</v>
      </c>
      <c r="G15" s="1392" t="s">
        <v>2498</v>
      </c>
      <c r="H15" s="1395" t="s">
        <v>2496</v>
      </c>
      <c r="I15" s="1392" t="s">
        <v>2502</v>
      </c>
      <c r="J15" s="1392" t="s">
        <v>2506</v>
      </c>
      <c r="K15" s="1392" t="s">
        <v>2532</v>
      </c>
      <c r="L15" s="1392" t="s">
        <v>2521</v>
      </c>
      <c r="M15" s="1392" t="s">
        <v>2527</v>
      </c>
      <c r="N15" s="1392" t="s">
        <v>2533</v>
      </c>
      <c r="O15" s="1394" t="s">
        <v>2535</v>
      </c>
      <c r="P15" s="1392" t="s">
        <v>2539</v>
      </c>
      <c r="Q15" s="1392" t="s">
        <v>2548</v>
      </c>
      <c r="R15" s="1392" t="s">
        <v>2555</v>
      </c>
      <c r="S15" s="1392" t="s">
        <v>2560</v>
      </c>
      <c r="T15" s="1392" t="s">
        <v>1997</v>
      </c>
      <c r="U15" s="1392" t="s">
        <v>2564</v>
      </c>
    </row>
    <row r="16" spans="2:41" ht="127.5" customHeight="1" x14ac:dyDescent="0.15">
      <c r="C16" s="1392"/>
      <c r="D16" s="1393" t="s">
        <v>1962</v>
      </c>
      <c r="E16" s="1392"/>
      <c r="F16" s="1392"/>
      <c r="G16" s="1392" t="s">
        <v>2495</v>
      </c>
      <c r="H16" s="1395" t="s">
        <v>2495</v>
      </c>
      <c r="I16" s="1392" t="s">
        <v>2503</v>
      </c>
      <c r="J16" s="1392" t="s">
        <v>2508</v>
      </c>
      <c r="K16" s="1392" t="s">
        <v>2513</v>
      </c>
      <c r="L16" s="1392" t="s">
        <v>2523</v>
      </c>
      <c r="M16" s="1392" t="s">
        <v>2528</v>
      </c>
      <c r="N16" s="1392"/>
      <c r="O16" s="1392"/>
      <c r="P16" s="1392" t="s">
        <v>2541</v>
      </c>
      <c r="Q16" s="1392" t="s">
        <v>2549</v>
      </c>
      <c r="R16" s="1392" t="s">
        <v>2557</v>
      </c>
      <c r="S16" s="1392"/>
      <c r="T16" s="1392" t="s">
        <v>1998</v>
      </c>
      <c r="U16" s="1392" t="s">
        <v>2565</v>
      </c>
    </row>
    <row r="17" spans="3:21" ht="127.5" customHeight="1" x14ac:dyDescent="0.15">
      <c r="C17" s="1392"/>
      <c r="D17" s="1392"/>
      <c r="E17" s="1396"/>
      <c r="F17" s="1392"/>
      <c r="G17" s="1392"/>
      <c r="H17" s="1392"/>
      <c r="I17" s="1392" t="s">
        <v>2504</v>
      </c>
      <c r="J17" s="1392" t="s">
        <v>2509</v>
      </c>
      <c r="K17" s="1392" t="s">
        <v>2514</v>
      </c>
      <c r="L17" s="1392" t="s">
        <v>2525</v>
      </c>
      <c r="M17" s="1392" t="s">
        <v>2529</v>
      </c>
      <c r="N17" s="1392"/>
      <c r="O17" s="1392"/>
      <c r="P17" s="1392" t="s">
        <v>2542</v>
      </c>
      <c r="Q17" s="1392" t="s">
        <v>2550</v>
      </c>
      <c r="R17" s="1392"/>
      <c r="S17" s="1392"/>
      <c r="T17" s="1396" t="s">
        <v>1999</v>
      </c>
      <c r="U17" s="1392"/>
    </row>
    <row r="18" spans="3:21" ht="127.5" customHeight="1" x14ac:dyDescent="0.15">
      <c r="C18" s="1392"/>
      <c r="D18" s="1392"/>
      <c r="E18" s="1392"/>
      <c r="F18" s="1392"/>
      <c r="G18" s="1392"/>
      <c r="H18" s="1392"/>
      <c r="I18" s="1392"/>
      <c r="J18" s="1392" t="s">
        <v>2510</v>
      </c>
      <c r="K18" s="1392"/>
      <c r="L18" s="1392" t="s">
        <v>2526</v>
      </c>
      <c r="M18" s="1392"/>
      <c r="N18" s="1392"/>
      <c r="O18" s="1392"/>
      <c r="P18" s="1392" t="s">
        <v>2543</v>
      </c>
      <c r="Q18" s="1392" t="s">
        <v>2552</v>
      </c>
      <c r="R18" s="1392"/>
      <c r="S18" s="1392"/>
      <c r="T18" s="1392" t="s">
        <v>2000</v>
      </c>
      <c r="U18" s="1392"/>
    </row>
    <row r="19" spans="3:21" ht="127.5" customHeight="1" x14ac:dyDescent="0.15">
      <c r="C19" s="1392"/>
      <c r="D19" s="1392"/>
      <c r="E19" s="1392"/>
      <c r="F19" s="1392"/>
      <c r="G19" s="1392"/>
      <c r="H19" s="1392"/>
      <c r="I19" s="1392"/>
      <c r="J19" s="1392" t="s">
        <v>2511</v>
      </c>
      <c r="K19" s="1392"/>
      <c r="L19" s="1392"/>
      <c r="M19" s="1392"/>
      <c r="N19" s="1392"/>
      <c r="O19" s="1392"/>
      <c r="P19" s="1392" t="s">
        <v>2544</v>
      </c>
      <c r="Q19" s="1392"/>
      <c r="R19" s="1392"/>
      <c r="S19" s="1392"/>
      <c r="T19" s="1392"/>
      <c r="U19" s="1392"/>
    </row>
    <row r="20" spans="3:21" ht="127.5" customHeight="1" x14ac:dyDescent="0.15">
      <c r="C20" s="1392"/>
      <c r="D20" s="1392"/>
      <c r="E20" s="1392"/>
      <c r="F20" s="1392"/>
      <c r="G20" s="1392"/>
      <c r="H20" s="1392"/>
      <c r="I20" s="1392"/>
      <c r="J20" s="1392"/>
      <c r="K20" s="1392"/>
      <c r="L20" s="1392"/>
      <c r="M20" s="1392"/>
      <c r="N20" s="1392"/>
      <c r="O20" s="1392"/>
      <c r="P20" s="1392" t="s">
        <v>2545</v>
      </c>
      <c r="Q20" s="1392"/>
      <c r="R20" s="1392"/>
      <c r="S20" s="1392"/>
      <c r="T20" s="1392"/>
      <c r="U20" s="1392"/>
    </row>
    <row r="21" spans="3:21" ht="127.5" customHeight="1" x14ac:dyDescent="0.15">
      <c r="C21" s="1395"/>
      <c r="D21" s="1395"/>
      <c r="E21" s="1395"/>
      <c r="F21" s="1395"/>
      <c r="G21" s="1395"/>
      <c r="H21" s="1395"/>
      <c r="I21" s="1395"/>
      <c r="J21" s="1395"/>
      <c r="K21" s="1395"/>
      <c r="L21" s="1395"/>
      <c r="M21" s="1395"/>
      <c r="N21" s="1395"/>
      <c r="O21" s="1395"/>
      <c r="P21" s="1392" t="s">
        <v>2546</v>
      </c>
      <c r="Q21" s="1395"/>
      <c r="R21" s="1395"/>
      <c r="S21" s="1395"/>
      <c r="T21" s="1395"/>
      <c r="U21" s="1395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9255B-92F5-4B0B-B458-AD17CC8AD5C2}">
  <dimension ref="C2:AG97"/>
  <sheetViews>
    <sheetView zoomScaleNormal="100" workbookViewId="0">
      <selection activeCell="BL19" sqref="BL19"/>
    </sheetView>
  </sheetViews>
  <sheetFormatPr baseColWidth="10" defaultColWidth="8.83203125" defaultRowHeight="13" x14ac:dyDescent="0.15"/>
  <cols>
    <col min="3" max="3" width="14" customWidth="1"/>
    <col min="4" max="4" width="20.5" customWidth="1"/>
    <col min="8" max="8" width="11.6640625" customWidth="1"/>
    <col min="9" max="9" width="20.5" customWidth="1"/>
  </cols>
  <sheetData>
    <row r="2" spans="3:24" ht="16" x14ac:dyDescent="0.2">
      <c r="C2" s="453" t="s">
        <v>2706</v>
      </c>
    </row>
    <row r="4" spans="3:24" x14ac:dyDescent="0.15">
      <c r="C4" t="s">
        <v>2418</v>
      </c>
    </row>
    <row r="5" spans="3:24" x14ac:dyDescent="0.15">
      <c r="C5" t="s">
        <v>2336</v>
      </c>
      <c r="D5" t="s">
        <v>2453</v>
      </c>
      <c r="N5" s="39" t="s">
        <v>2365</v>
      </c>
      <c r="R5" t="s">
        <v>2445</v>
      </c>
      <c r="T5" s="4" t="s">
        <v>2448</v>
      </c>
      <c r="U5" s="4" t="s">
        <v>2446</v>
      </c>
      <c r="V5" s="4" t="s">
        <v>2447</v>
      </c>
    </row>
    <row r="6" spans="3:24" ht="12.5" customHeight="1" x14ac:dyDescent="0.15">
      <c r="C6" t="s">
        <v>2405</v>
      </c>
      <c r="D6" t="s">
        <v>2212</v>
      </c>
      <c r="N6" s="39" t="s">
        <v>2407</v>
      </c>
      <c r="R6" t="s">
        <v>2350</v>
      </c>
      <c r="T6">
        <f>IF($E$9="JÄ-1",7,10)</f>
        <v>10</v>
      </c>
      <c r="U6">
        <f>IF($E$9="JÄ-1",5,8)</f>
        <v>8</v>
      </c>
      <c r="V6">
        <f>IF($E$9="JÄ-1",11,12)</f>
        <v>12</v>
      </c>
      <c r="X6" t="str" cm="1">
        <f t="array" ref="X6">IF($E$9="JÄ-1",INDEX(KirjastoC!$D$4:$K$500,198,KirjastoC!$B$4),IF($E$9=$C$6,INDEX(KirjastoC!$D$4:$K$500,198,KirjastoC!$B$4),""))</f>
        <v/>
      </c>
    </row>
    <row r="7" spans="3:24" ht="11.5" customHeight="1" x14ac:dyDescent="0.15">
      <c r="R7" t="s">
        <v>2351</v>
      </c>
      <c r="T7" s="129">
        <f>IF($E$9="JÄ-1",12,18)</f>
        <v>18</v>
      </c>
      <c r="U7">
        <f>IF($E$9="JÄ-1",10,15)</f>
        <v>15</v>
      </c>
      <c r="V7">
        <f>IF($E$9="JÄ-1",16,20)</f>
        <v>20</v>
      </c>
    </row>
    <row r="8" spans="3:24" x14ac:dyDescent="0.15">
      <c r="C8" s="2" t="s">
        <v>2422</v>
      </c>
      <c r="E8">
        <v>1</v>
      </c>
      <c r="N8">
        <f>'C koodit'!I12</f>
        <v>1</v>
      </c>
      <c r="R8" s="95" t="str" cm="1">
        <f t="array" ref="R8">IF(OR(N8&lt;2,N8&gt;3),INDEX(KirjastoC!$D$4:$K$500,197,KirjastoC!$B$4),"")</f>
        <v>Valitussa mallissa ei vesikiertoista jäähdytyspatteria</v>
      </c>
    </row>
    <row r="9" spans="3:24" x14ac:dyDescent="0.15">
      <c r="C9" s="2" t="s">
        <v>2423</v>
      </c>
      <c r="E9" t="str">
        <f>IF($N$8=2,C5,IF($N$8=3,C6,"Ei vesipatteria"))</f>
        <v>Ei vesipatteria</v>
      </c>
      <c r="F9" t="str">
        <f>IF($N$8=2,N5,IF($N$8=3,N6,"Ei vesipatteria"))</f>
        <v>Ei vesipatteria</v>
      </c>
    </row>
    <row r="10" spans="3:24" ht="15" x14ac:dyDescent="0.2">
      <c r="C10" s="1096" t="s">
        <v>2439</v>
      </c>
      <c r="D10" s="233" t="str">
        <f>IF($E$9="JÄ-1","Belimo R3015-4P (kvs = 4.0)","Belimo R3015-2P5 (kvs = 2.5)")</f>
        <v>Belimo R3015-2P5 (kvs = 2.5)</v>
      </c>
      <c r="M10" s="2" t="s">
        <v>2438</v>
      </c>
    </row>
    <row r="11" spans="3:24" ht="15" x14ac:dyDescent="0.2">
      <c r="C11" s="1096" t="s">
        <v>2440</v>
      </c>
      <c r="D11" s="129" t="str">
        <f>M92</f>
        <v>-</v>
      </c>
      <c r="M11" t="s">
        <v>2442</v>
      </c>
      <c r="O11" t="str">
        <f>V11</f>
        <v/>
      </c>
      <c r="U11" s="95" t="str" cm="1">
        <f t="array" ref="U11">CONCATENATE(INDEX(KirjastoC!$D$4:$K$500,200,KirjastoC!$B$4),F9)</f>
        <v>Valittu patterimalli soveltuu jäähdytysvesille ~Ei vesipatteria</v>
      </c>
      <c r="V11" s="95" t="str">
        <f>IF(E58,U11,"")</f>
        <v/>
      </c>
    </row>
    <row r="12" spans="3:24" x14ac:dyDescent="0.15">
      <c r="M12" t="s">
        <v>2456</v>
      </c>
      <c r="O12" t="str">
        <f>V12</f>
        <v>-</v>
      </c>
      <c r="P12" t="s">
        <v>2259</v>
      </c>
      <c r="U12" s="1347">
        <f>E28</f>
        <v>4.3630574996645164</v>
      </c>
      <c r="V12" s="95" t="str">
        <f>IF($E$58,U12,"-")</f>
        <v>-</v>
      </c>
    </row>
    <row r="13" spans="3:24" ht="17" x14ac:dyDescent="0.25">
      <c r="C13" s="1096" t="s">
        <v>485</v>
      </c>
      <c r="D13" s="1097"/>
      <c r="E13" s="1110">
        <f>'C-series'!F117</f>
        <v>450</v>
      </c>
      <c r="F13" s="1097" t="s">
        <v>13</v>
      </c>
      <c r="G13" s="1097" t="s">
        <v>2234</v>
      </c>
      <c r="H13" s="1096"/>
      <c r="I13" s="1096" t="s">
        <v>2235</v>
      </c>
      <c r="J13" s="1096"/>
      <c r="K13" s="1096"/>
      <c r="M13" t="s">
        <v>2348</v>
      </c>
      <c r="O13" s="314" t="str">
        <f>V13</f>
        <v>-</v>
      </c>
      <c r="P13" t="s">
        <v>2259</v>
      </c>
      <c r="U13" s="1347">
        <f>E29</f>
        <v>3.4545405269909422</v>
      </c>
      <c r="V13" s="95" t="str">
        <f>IF($E$58,U13,"-")</f>
        <v>-</v>
      </c>
    </row>
    <row r="14" spans="3:24" ht="17" x14ac:dyDescent="0.25">
      <c r="C14" s="1096" t="s">
        <v>2237</v>
      </c>
      <c r="D14" s="1097"/>
      <c r="E14" s="1110">
        <f>'C-series'!F111</f>
        <v>25</v>
      </c>
      <c r="F14" s="1097" t="s">
        <v>230</v>
      </c>
      <c r="G14" s="1097">
        <f>1.293*273.15/(E14+273.15)</f>
        <v>1.1845814187489518</v>
      </c>
      <c r="H14" s="1096" t="s">
        <v>2238</v>
      </c>
      <c r="I14" s="1096">
        <f>1005+0.2*E14</f>
        <v>1010</v>
      </c>
      <c r="J14" s="1096" t="s">
        <v>2239</v>
      </c>
      <c r="K14" s="1096"/>
      <c r="M14" t="s">
        <v>2352</v>
      </c>
      <c r="O14" s="314" t="str">
        <f>V14</f>
        <v>-</v>
      </c>
      <c r="P14" t="s">
        <v>2259</v>
      </c>
      <c r="U14" s="1347">
        <f>E30</f>
        <v>7.8175980266554586</v>
      </c>
      <c r="V14" s="95" t="str">
        <f>IF($E$58,U14,"-")</f>
        <v>-</v>
      </c>
    </row>
    <row r="15" spans="3:24" ht="15" x14ac:dyDescent="0.2">
      <c r="C15" s="1096" t="s">
        <v>2387</v>
      </c>
      <c r="D15" s="1097"/>
      <c r="E15" s="1110">
        <f>'C-series'!F112</f>
        <v>65</v>
      </c>
      <c r="F15" s="1097" t="s">
        <v>481</v>
      </c>
      <c r="G15" s="1340">
        <f>'C5 JÄ-1'!AG85</f>
        <v>1.2900585465042545E-2</v>
      </c>
      <c r="H15" s="1096" t="s">
        <v>2390</v>
      </c>
      <c r="I15" s="1096"/>
      <c r="J15" s="1096"/>
      <c r="K15" s="1096"/>
      <c r="M15" t="s">
        <v>2350</v>
      </c>
      <c r="O15" t="str">
        <f>IF(E60,"",X6)</f>
        <v/>
      </c>
      <c r="U15" s="314"/>
    </row>
    <row r="16" spans="3:24" ht="17" x14ac:dyDescent="0.25">
      <c r="C16" s="1096" t="s">
        <v>2241</v>
      </c>
      <c r="D16" s="1097"/>
      <c r="E16" s="1110">
        <f>'C-series'!F113</f>
        <v>17</v>
      </c>
      <c r="F16" s="1097" t="s">
        <v>230</v>
      </c>
      <c r="G16" s="1097">
        <f>1.293*273.15/(E16+273.15)</f>
        <v>1.2172426331207995</v>
      </c>
      <c r="H16" s="1096" t="s">
        <v>2238</v>
      </c>
      <c r="I16" s="1096">
        <f>1005+0.2*E16</f>
        <v>1008.4</v>
      </c>
      <c r="J16" s="1096" t="s">
        <v>2239</v>
      </c>
      <c r="K16" s="1096"/>
      <c r="M16" t="s">
        <v>2351</v>
      </c>
      <c r="O16" t="str">
        <f>IF(J60,"",X6)</f>
        <v/>
      </c>
      <c r="U16" s="314"/>
    </row>
    <row r="17" spans="3:22" ht="15" x14ac:dyDescent="0.2">
      <c r="C17" s="1096" t="s">
        <v>2387</v>
      </c>
      <c r="E17" s="1115">
        <f>'C5 JÄ-1'!Z86</f>
        <v>93.910777333634414</v>
      </c>
      <c r="F17" s="1097" t="s">
        <v>481</v>
      </c>
      <c r="G17" s="1340">
        <f>'C5 JÄ-1'!AG86</f>
        <v>1.1366710238402121E-2</v>
      </c>
      <c r="H17" s="1096" t="s">
        <v>2390</v>
      </c>
      <c r="I17" s="1096"/>
      <c r="J17" s="1096"/>
      <c r="K17" s="1096"/>
      <c r="U17" s="314"/>
    </row>
    <row r="18" spans="3:22" ht="15" x14ac:dyDescent="0.2">
      <c r="C18" s="1097"/>
      <c r="D18" s="1097"/>
      <c r="E18" s="1097"/>
      <c r="F18" s="1097"/>
      <c r="G18" s="1097"/>
      <c r="H18" s="1096"/>
      <c r="I18" s="1096"/>
      <c r="J18" s="1096"/>
      <c r="K18" s="1096"/>
    </row>
    <row r="19" spans="3:22" ht="15" x14ac:dyDescent="0.2">
      <c r="C19" s="1096" t="s">
        <v>2454</v>
      </c>
      <c r="D19" s="1097"/>
      <c r="E19" s="1097"/>
      <c r="F19" s="1097"/>
      <c r="G19" s="1097"/>
      <c r="H19" s="1096"/>
      <c r="I19" s="1096"/>
      <c r="J19" s="1096"/>
      <c r="K19" s="1096"/>
      <c r="M19" s="532" t="s">
        <v>497</v>
      </c>
      <c r="N19" s="605"/>
      <c r="O19" s="533"/>
      <c r="P19" s="533"/>
      <c r="Q19" s="533"/>
      <c r="R19" s="533"/>
      <c r="S19" s="534"/>
    </row>
    <row r="20" spans="3:22" ht="15" x14ac:dyDescent="0.2">
      <c r="C20" s="1096" t="str">
        <f>IF(E9=C5,"Valitulla patterilla jäähdytysvedet n.7/12","Valitulla patterilla jäähdytysvedet n. 10/18")</f>
        <v>Valitulla patterilla jäähdytysvedet n. 10/18</v>
      </c>
      <c r="D20" s="1097"/>
      <c r="E20" s="1097"/>
      <c r="F20" s="1097"/>
      <c r="G20" s="1097"/>
      <c r="H20" s="1096"/>
      <c r="I20" s="1096"/>
      <c r="J20" s="1096"/>
      <c r="K20" s="1096"/>
      <c r="M20" s="137" t="s">
        <v>491</v>
      </c>
      <c r="N20" s="606"/>
      <c r="O20" s="529"/>
      <c r="P20" s="529"/>
      <c r="Q20" s="529"/>
      <c r="R20" s="535" t="str">
        <f>V20</f>
        <v>-</v>
      </c>
      <c r="S20" s="536" t="s">
        <v>509</v>
      </c>
      <c r="U20" s="95">
        <f>E21</f>
        <v>7</v>
      </c>
      <c r="V20" s="95" t="str">
        <f t="shared" ref="V20:V25" si="0">IF($E$64,U20,"-")</f>
        <v>-</v>
      </c>
    </row>
    <row r="21" spans="3:22" ht="17" x14ac:dyDescent="0.25">
      <c r="C21" s="1097" t="s">
        <v>2247</v>
      </c>
      <c r="D21" s="1097"/>
      <c r="E21" s="1110">
        <f>'C-series'!F114</f>
        <v>7</v>
      </c>
      <c r="F21" s="1097" t="s">
        <v>230</v>
      </c>
      <c r="G21" s="1097"/>
      <c r="H21" s="1096" t="s">
        <v>2253</v>
      </c>
      <c r="I21" s="1096">
        <f>(E21+E22)/2-(E16+E14)/2</f>
        <v>-11.5</v>
      </c>
      <c r="J21" s="1096"/>
      <c r="K21" s="1096"/>
      <c r="M21" s="137" t="s">
        <v>492</v>
      </c>
      <c r="N21" s="606"/>
      <c r="O21" s="529"/>
      <c r="P21" s="529"/>
      <c r="Q21" s="529"/>
      <c r="R21" s="535" t="str">
        <f t="shared" ref="R21:R25" si="1">V21</f>
        <v>-</v>
      </c>
      <c r="S21" s="536" t="s">
        <v>509</v>
      </c>
      <c r="U21" s="1356">
        <f>E34</f>
        <v>17.379592460602982</v>
      </c>
      <c r="V21" s="95" t="str">
        <f t="shared" si="0"/>
        <v>-</v>
      </c>
    </row>
    <row r="22" spans="3:22" ht="17" x14ac:dyDescent="0.25">
      <c r="C22" s="1097" t="s">
        <v>2251</v>
      </c>
      <c r="D22" s="1097"/>
      <c r="E22" s="1110">
        <f>'C-series'!F115</f>
        <v>12</v>
      </c>
      <c r="F22" s="1097" t="s">
        <v>230</v>
      </c>
      <c r="G22" s="1097"/>
      <c r="H22" s="1096" t="s">
        <v>2424</v>
      </c>
      <c r="I22" s="1096">
        <f>AVERAGE(E21:E22)-AVERAGE(E14:E16)</f>
        <v>-26.166666666666664</v>
      </c>
      <c r="J22" s="1096"/>
      <c r="K22" s="1096"/>
      <c r="M22" s="137" t="s">
        <v>498</v>
      </c>
      <c r="N22" s="606"/>
      <c r="O22" s="529"/>
      <c r="P22" s="529"/>
      <c r="Q22" s="529"/>
      <c r="R22" s="543" t="str">
        <f t="shared" si="1"/>
        <v>-</v>
      </c>
      <c r="S22" s="536" t="s">
        <v>974</v>
      </c>
      <c r="U22" s="935">
        <f>E35</f>
        <v>0.17992595220875163</v>
      </c>
      <c r="V22" s="95" t="str">
        <f t="shared" si="0"/>
        <v>-</v>
      </c>
    </row>
    <row r="23" spans="3:22" ht="15" x14ac:dyDescent="0.2">
      <c r="C23" s="1097"/>
      <c r="D23" s="1097"/>
      <c r="E23" s="1097"/>
      <c r="F23" s="1097"/>
      <c r="G23" s="1097"/>
      <c r="J23" s="1096"/>
      <c r="K23" s="1096"/>
      <c r="M23" s="137" t="s">
        <v>514</v>
      </c>
      <c r="N23" s="606"/>
      <c r="O23" s="529"/>
      <c r="P23" s="529"/>
      <c r="Q23" s="529"/>
      <c r="R23" s="535" t="str">
        <f t="shared" si="1"/>
        <v>-</v>
      </c>
      <c r="S23" s="536" t="s">
        <v>500</v>
      </c>
      <c r="U23" s="1347">
        <f>E36</f>
        <v>12.517307365032289</v>
      </c>
      <c r="V23" s="95" t="str">
        <f t="shared" si="0"/>
        <v>-</v>
      </c>
    </row>
    <row r="24" spans="3:22" ht="15" x14ac:dyDescent="0.2">
      <c r="C24" s="1096" t="s">
        <v>2382</v>
      </c>
      <c r="D24" s="1097"/>
      <c r="E24" s="1097">
        <f>'C5 JÄ-1'!X93</f>
        <v>17.952310732769277</v>
      </c>
      <c r="F24" s="1097" t="s">
        <v>230</v>
      </c>
      <c r="G24" s="1097"/>
      <c r="J24" s="1096"/>
      <c r="K24" s="1096"/>
      <c r="M24" s="137" t="s">
        <v>556</v>
      </c>
      <c r="N24" s="606"/>
      <c r="O24" s="529"/>
      <c r="P24" s="529"/>
      <c r="Q24" s="529"/>
      <c r="R24" s="535" t="str">
        <f t="shared" si="1"/>
        <v>-</v>
      </c>
      <c r="S24" s="536" t="s">
        <v>500</v>
      </c>
      <c r="U24" s="1347" t="str">
        <f>E37</f>
        <v>-</v>
      </c>
      <c r="V24" s="95" t="str">
        <f t="shared" si="0"/>
        <v>-</v>
      </c>
    </row>
    <row r="25" spans="3:22" ht="15" x14ac:dyDescent="0.2">
      <c r="C25" s="1096" t="s">
        <v>2397</v>
      </c>
      <c r="D25" s="1097"/>
      <c r="E25" s="1341">
        <f>IF($E$9=$C$5,'C5 JÄ-1'!AE93,IF($E$9=$C$6,'C5 JÄ-2'!AE93,0))</f>
        <v>0</v>
      </c>
      <c r="F25" s="1097" t="s">
        <v>91</v>
      </c>
      <c r="G25" s="1341">
        <f>IF($E$9=$C$5,'C5 JÄ-1'!AD92,IF($E$9=$C$6,'C5 JÄ-2'!AD92,0))</f>
        <v>0</v>
      </c>
      <c r="J25" s="1096"/>
      <c r="K25" s="1096"/>
      <c r="M25" s="541" t="s">
        <v>501</v>
      </c>
      <c r="N25" s="607"/>
      <c r="O25" s="542"/>
      <c r="P25" s="542"/>
      <c r="Q25" s="542"/>
      <c r="R25" s="543" t="str">
        <f t="shared" si="1"/>
        <v>-</v>
      </c>
      <c r="S25" s="544" t="s">
        <v>502</v>
      </c>
      <c r="U25" s="95">
        <f>E43</f>
        <v>0.59165505546568087</v>
      </c>
      <c r="V25" s="95" t="str">
        <f t="shared" si="0"/>
        <v>-</v>
      </c>
    </row>
    <row r="26" spans="3:22" ht="15" x14ac:dyDescent="0.2">
      <c r="C26" s="1096" t="s">
        <v>2455</v>
      </c>
      <c r="D26" s="1097"/>
      <c r="E26" s="1341">
        <f>IF($E$9=$C$5,'C5 JÄ-1'!AG93,IF($E$9=$C$6,'C5 JÄ-2'!AG93,0))</f>
        <v>0</v>
      </c>
      <c r="F26" s="1097"/>
      <c r="G26" s="1097"/>
      <c r="J26" s="1096"/>
      <c r="K26" s="1096"/>
      <c r="M26" s="1354" t="str">
        <f>V26</f>
        <v/>
      </c>
      <c r="N26" s="527"/>
      <c r="O26" s="529"/>
      <c r="P26" s="529"/>
      <c r="Q26" s="529"/>
      <c r="R26" s="529"/>
      <c r="S26" s="529"/>
      <c r="U26" s="95" t="str" cm="1">
        <f t="array" ref="U26">IF(E64,"",INDEX(KirjastoC!$D$4:$K$500,127,KirjastoC!$B$4))</f>
        <v>Ei käyttöalueella. Tarkista mitoitusarvot.</v>
      </c>
      <c r="V26" s="95" t="str">
        <f>IF(E58,U26,"")</f>
        <v/>
      </c>
    </row>
    <row r="27" spans="3:22" ht="15" x14ac:dyDescent="0.2">
      <c r="C27" s="1097"/>
      <c r="D27" s="1097"/>
      <c r="E27" s="1097"/>
      <c r="F27" s="1097"/>
      <c r="G27" s="1097"/>
      <c r="J27" s="1096"/>
      <c r="K27" s="1096"/>
      <c r="M27" s="532" t="s">
        <v>503</v>
      </c>
      <c r="N27" s="605"/>
      <c r="O27" s="533"/>
      <c r="P27" s="533"/>
      <c r="Q27" s="533"/>
      <c r="R27" s="533"/>
      <c r="S27" s="545"/>
    </row>
    <row r="28" spans="3:22" ht="15" x14ac:dyDescent="0.2">
      <c r="C28" s="1096" t="s">
        <v>2400</v>
      </c>
      <c r="D28" s="1097"/>
      <c r="E28" s="1111">
        <f>E13/1000*AVERAGE(G14,G16)*AVERAGE(I14,I16)*(E14-E16)/1000</f>
        <v>4.3630574996645164</v>
      </c>
      <c r="F28" s="1097" t="s">
        <v>2259</v>
      </c>
      <c r="G28" s="1097"/>
      <c r="J28" s="1096"/>
      <c r="K28" s="1096"/>
      <c r="M28" s="137" t="s">
        <v>491</v>
      </c>
      <c r="N28" s="606"/>
      <c r="O28" s="529"/>
      <c r="P28" s="529"/>
      <c r="Q28" s="529"/>
      <c r="R28" s="535" t="str">
        <f>V28</f>
        <v>-</v>
      </c>
      <c r="S28" s="536" t="s">
        <v>509</v>
      </c>
      <c r="U28" s="1356">
        <f>J34</f>
        <v>12.379592460602982</v>
      </c>
      <c r="V28" s="95" t="str">
        <f t="shared" ref="V28:V33" si="2">IF($J$64,U28,"-")</f>
        <v>-</v>
      </c>
    </row>
    <row r="29" spans="3:22" ht="15" x14ac:dyDescent="0.2">
      <c r="C29" s="1096" t="s">
        <v>2348</v>
      </c>
      <c r="D29" s="1097"/>
      <c r="E29" s="1111">
        <f>IF($E$9=C5,'C5 JÄ-1'!AB97,'C5 JÄ-2'!AB97)</f>
        <v>3.4545405269909422</v>
      </c>
      <c r="F29" s="1097" t="s">
        <v>2259</v>
      </c>
      <c r="G29" s="1097"/>
      <c r="J29" s="1096"/>
      <c r="K29" s="1096"/>
      <c r="M29" s="137" t="s">
        <v>492</v>
      </c>
      <c r="N29" s="606"/>
      <c r="O29" s="529"/>
      <c r="P29" s="529"/>
      <c r="Q29" s="529"/>
      <c r="R29" s="535" t="str">
        <f t="shared" ref="R29:R33" si="3">V29</f>
        <v>-</v>
      </c>
      <c r="S29" s="536" t="s">
        <v>509</v>
      </c>
      <c r="U29" s="95">
        <f>E22</f>
        <v>12</v>
      </c>
      <c r="V29" s="95" t="str">
        <f t="shared" si="2"/>
        <v>-</v>
      </c>
    </row>
    <row r="30" spans="3:22" ht="15" x14ac:dyDescent="0.2">
      <c r="C30" s="1096" t="s">
        <v>2401</v>
      </c>
      <c r="D30" s="1097"/>
      <c r="E30" s="1342">
        <f>E28+E29</f>
        <v>7.8175980266554586</v>
      </c>
      <c r="F30" s="1097" t="s">
        <v>2259</v>
      </c>
      <c r="G30" s="1097"/>
      <c r="H30" s="1096"/>
      <c r="I30" s="1096"/>
      <c r="J30" s="1096"/>
      <c r="K30" s="1096"/>
      <c r="M30" s="137" t="s">
        <v>498</v>
      </c>
      <c r="N30" s="606"/>
      <c r="O30" s="529"/>
      <c r="P30" s="529"/>
      <c r="Q30" s="529"/>
      <c r="R30" s="543" t="str">
        <f t="shared" si="3"/>
        <v>-</v>
      </c>
      <c r="S30" s="536" t="s">
        <v>974</v>
      </c>
      <c r="U30" s="935">
        <f>J35</f>
        <v>-4.9199029244315264</v>
      </c>
      <c r="V30" s="95" t="str">
        <f t="shared" si="2"/>
        <v>-</v>
      </c>
    </row>
    <row r="31" spans="3:22" ht="15" x14ac:dyDescent="0.2">
      <c r="C31" s="1096" t="s">
        <v>2260</v>
      </c>
      <c r="D31" s="1097"/>
      <c r="E31" s="1111">
        <f>IF($E$9=$C$5,'C5 JÄ-1'!X97,'C5 JÄ-2'!X97)</f>
        <v>8.8102037696985089</v>
      </c>
      <c r="F31" s="1097" t="s">
        <v>496</v>
      </c>
      <c r="G31" s="1097"/>
      <c r="H31" s="1096"/>
      <c r="I31" s="1096"/>
      <c r="J31" s="1096"/>
      <c r="K31" s="1096"/>
      <c r="M31" s="137" t="s">
        <v>514</v>
      </c>
      <c r="N31" s="606"/>
      <c r="O31" s="529"/>
      <c r="P31" s="529"/>
      <c r="Q31" s="529"/>
      <c r="R31" s="535" t="str">
        <f t="shared" si="3"/>
        <v>-</v>
      </c>
      <c r="S31" s="536" t="s">
        <v>500</v>
      </c>
      <c r="U31" s="1347" t="e">
        <f>J36</f>
        <v>#NUM!</v>
      </c>
      <c r="V31" s="95" t="str">
        <f t="shared" si="2"/>
        <v>-</v>
      </c>
    </row>
    <row r="32" spans="3:22" ht="15" x14ac:dyDescent="0.2">
      <c r="C32" s="1097"/>
      <c r="D32" s="1097"/>
      <c r="E32" s="1097"/>
      <c r="F32" s="1097"/>
      <c r="G32" s="1097"/>
      <c r="H32" s="1096"/>
      <c r="I32" s="1096"/>
      <c r="J32" s="1096"/>
      <c r="K32" s="1096"/>
      <c r="M32" s="137" t="s">
        <v>556</v>
      </c>
      <c r="N32" s="606"/>
      <c r="O32" s="529"/>
      <c r="P32" s="529"/>
      <c r="Q32" s="529"/>
      <c r="R32" s="535" t="str">
        <f t="shared" si="3"/>
        <v>-</v>
      </c>
      <c r="S32" s="536" t="s">
        <v>500</v>
      </c>
      <c r="U32" s="1347" t="str">
        <f>J37</f>
        <v>-</v>
      </c>
      <c r="V32" s="95" t="str">
        <f t="shared" si="2"/>
        <v>-</v>
      </c>
    </row>
    <row r="33" spans="3:22" ht="15" x14ac:dyDescent="0.2">
      <c r="C33" s="1103" t="s">
        <v>2435</v>
      </c>
      <c r="D33" s="1097"/>
      <c r="E33" s="1097"/>
      <c r="F33" s="1097"/>
      <c r="G33" s="1097"/>
      <c r="H33" s="1103" t="s">
        <v>2436</v>
      </c>
      <c r="I33" s="1097"/>
      <c r="J33" s="1097"/>
      <c r="K33" s="1097"/>
      <c r="M33" s="541" t="s">
        <v>501</v>
      </c>
      <c r="N33" s="607"/>
      <c r="O33" s="542"/>
      <c r="P33" s="542"/>
      <c r="Q33" s="542"/>
      <c r="R33" s="543" t="str">
        <f t="shared" si="3"/>
        <v>-</v>
      </c>
      <c r="S33" s="544" t="s">
        <v>502</v>
      </c>
      <c r="U33" s="95">
        <f>J43</f>
        <v>-16.178241114784075</v>
      </c>
      <c r="V33" s="95" t="str">
        <f t="shared" si="2"/>
        <v>-</v>
      </c>
    </row>
    <row r="34" spans="3:22" ht="17" x14ac:dyDescent="0.25">
      <c r="C34" s="1096" t="s">
        <v>2251</v>
      </c>
      <c r="D34" s="1097"/>
      <c r="E34" s="1116">
        <f>IF($E$9=$C$5,'C5 JÄ-1'!X102,'C5 JÄ-2'!X102)</f>
        <v>17.379592460602982</v>
      </c>
      <c r="F34" s="1097" t="s">
        <v>230</v>
      </c>
      <c r="G34" s="1097"/>
      <c r="H34" s="1096" t="s">
        <v>2247</v>
      </c>
      <c r="I34" s="1097"/>
      <c r="J34" s="1116">
        <f>IF($E$9=$C$5,'C5 JÄ-1'!AC101,'C5 JÄ-2'!AC101)</f>
        <v>12.379592460602982</v>
      </c>
      <c r="K34" s="1097" t="s">
        <v>230</v>
      </c>
      <c r="M34" s="1354" t="str">
        <f>V34</f>
        <v/>
      </c>
      <c r="U34" s="95" t="str" cm="1">
        <f t="array" ref="U34">IF(J64,"",INDEX(KirjastoC!$D$4:$K$500,127,KirjastoC!$B$4))</f>
        <v>Ei käyttöalueella. Tarkista mitoitusarvot.</v>
      </c>
      <c r="V34" s="95" t="str">
        <f>IF(J58,U34,"")</f>
        <v/>
      </c>
    </row>
    <row r="35" spans="3:22" ht="15" x14ac:dyDescent="0.2">
      <c r="C35" s="1096" t="s">
        <v>498</v>
      </c>
      <c r="D35" s="1097"/>
      <c r="E35" s="1116">
        <f>IF($E$9=$C$5,'C5 JÄ-1'!X103,'C5 JÄ-2'!X103)</f>
        <v>0.17992595220875163</v>
      </c>
      <c r="F35" s="1097" t="s">
        <v>13</v>
      </c>
      <c r="G35" s="1097"/>
      <c r="H35" s="1096" t="s">
        <v>498</v>
      </c>
      <c r="I35" s="1097"/>
      <c r="J35" s="1116">
        <f>IF($E$9=$C$5,'C5 JÄ-1'!AC103,'C5 JÄ-2'!AC103)</f>
        <v>-4.9199029244315264</v>
      </c>
      <c r="K35" s="1097" t="s">
        <v>13</v>
      </c>
      <c r="M35" s="1355" t="str">
        <f>V35</f>
        <v/>
      </c>
      <c r="U35" s="95" t="str">
        <f>N92</f>
        <v>-</v>
      </c>
      <c r="V35" s="95" t="str">
        <f>IF(E58,U35,"")</f>
        <v/>
      </c>
    </row>
    <row r="36" spans="3:22" ht="15" x14ac:dyDescent="0.2">
      <c r="C36" s="1096" t="s">
        <v>514</v>
      </c>
      <c r="D36" s="1097"/>
      <c r="E36" s="1116">
        <f>IF($E$9=$C$5,'C5 JÄ-1'!X104,'C5 JÄ-2'!X104)</f>
        <v>12.517307365032289</v>
      </c>
      <c r="F36" s="1097" t="s">
        <v>500</v>
      </c>
      <c r="G36" s="1097"/>
      <c r="H36" s="1096" t="s">
        <v>514</v>
      </c>
      <c r="I36" s="1097"/>
      <c r="J36" s="1116" t="e">
        <f>IF($E$9=$C$5,'C5 JÄ-1'!AC104,'C5 JÄ-2'!AC104)</f>
        <v>#NUM!</v>
      </c>
      <c r="K36" s="1097" t="s">
        <v>500</v>
      </c>
    </row>
    <row r="37" spans="3:22" ht="15" x14ac:dyDescent="0.2">
      <c r="C37" s="1096" t="s">
        <v>2441</v>
      </c>
      <c r="D37" s="1097"/>
      <c r="E37" s="1120" t="str">
        <f>IF(ISNUMBER(D11),(E35*3.6/D11)^2*100,"-")</f>
        <v>-</v>
      </c>
      <c r="F37" s="1097" t="s">
        <v>500</v>
      </c>
      <c r="G37" s="1097"/>
      <c r="H37" s="1096" t="s">
        <v>2441</v>
      </c>
      <c r="I37" s="1097"/>
      <c r="J37" s="1120" t="str">
        <f>IF(ISNUMBER(D11),(J35*3.6/D11)^2*100,"-")</f>
        <v>-</v>
      </c>
      <c r="K37" s="1097"/>
    </row>
    <row r="38" spans="3:22" ht="15" x14ac:dyDescent="0.2">
      <c r="C38" s="1097"/>
      <c r="D38" s="1097"/>
      <c r="E38" s="1097"/>
      <c r="F38" s="1097"/>
      <c r="G38" s="1097"/>
      <c r="H38" s="1096"/>
      <c r="I38" s="1096"/>
      <c r="J38" s="1096"/>
      <c r="K38" s="1096"/>
      <c r="M38" t="s">
        <v>2437</v>
      </c>
      <c r="Q38" s="3">
        <f>IF($E$9=$C$5,'C5 JÄ-1'!AM85,IF('C5 Jäähdytys'!$E$9='C5 Jäähdytys'!$C$6,'C5 JÄ-2'!AM85,0))</f>
        <v>0</v>
      </c>
      <c r="R38" t="s">
        <v>14</v>
      </c>
    </row>
    <row r="39" spans="3:22" ht="15" x14ac:dyDescent="0.2">
      <c r="C39" s="1103" t="s">
        <v>2434</v>
      </c>
      <c r="H39" s="1103" t="s">
        <v>2434</v>
      </c>
      <c r="M39" t="s">
        <v>2461</v>
      </c>
      <c r="Q39" s="3">
        <f>Q38</f>
        <v>0</v>
      </c>
      <c r="R39" t="s">
        <v>14</v>
      </c>
      <c r="S39" t="s">
        <v>2462</v>
      </c>
    </row>
    <row r="40" spans="3:22" ht="15" x14ac:dyDescent="0.2">
      <c r="C40" s="1096" t="s">
        <v>2271</v>
      </c>
      <c r="D40" s="1096"/>
      <c r="E40" s="1337">
        <f>IF($E$9=$C$5,'C5 JÄ-1'!X110,'C5 JÄ-2'!X110)</f>
        <v>5</v>
      </c>
      <c r="F40" s="1096" t="s">
        <v>2272</v>
      </c>
      <c r="G40" s="1096"/>
      <c r="H40" s="1096" t="s">
        <v>2271</v>
      </c>
      <c r="I40" s="1096"/>
      <c r="J40" s="1337">
        <f>E40</f>
        <v>5</v>
      </c>
      <c r="K40" s="1096" t="s">
        <v>2272</v>
      </c>
    </row>
    <row r="41" spans="3:22" ht="15" x14ac:dyDescent="0.2">
      <c r="C41" s="1096" t="s">
        <v>2275</v>
      </c>
      <c r="D41" s="1096"/>
      <c r="E41" s="1097">
        <f>E35/E40</f>
        <v>3.5985190441750324E-2</v>
      </c>
      <c r="F41" s="1096" t="s">
        <v>13</v>
      </c>
      <c r="G41" s="1096"/>
      <c r="H41" s="1096" t="s">
        <v>2275</v>
      </c>
      <c r="I41" s="1096"/>
      <c r="J41" s="1097">
        <f>J35/J40</f>
        <v>-0.98398058488630524</v>
      </c>
      <c r="K41" s="1096" t="s">
        <v>13</v>
      </c>
    </row>
    <row r="42" spans="3:22" ht="15" x14ac:dyDescent="0.2">
      <c r="C42" s="1096" t="s">
        <v>2278</v>
      </c>
      <c r="D42" s="1096"/>
      <c r="E42" s="1125">
        <f>9.52-2*0.36</f>
        <v>8.7999999999999989</v>
      </c>
      <c r="F42" s="1096" t="s">
        <v>2279</v>
      </c>
      <c r="G42" s="1096"/>
      <c r="H42" s="1096" t="s">
        <v>2278</v>
      </c>
      <c r="I42" s="1096"/>
      <c r="J42" s="1125">
        <f>9.52-2*0.36</f>
        <v>8.7999999999999989</v>
      </c>
      <c r="K42" s="1096" t="s">
        <v>2279</v>
      </c>
    </row>
    <row r="43" spans="3:22" ht="15" x14ac:dyDescent="0.2">
      <c r="C43" s="1096" t="s">
        <v>501</v>
      </c>
      <c r="D43" s="1096"/>
      <c r="E43" s="1097">
        <f>E41/1000/(PI()*(E42/1000/2)^2)</f>
        <v>0.59165505546568087</v>
      </c>
      <c r="F43" s="1096" t="s">
        <v>502</v>
      </c>
      <c r="G43" s="1096"/>
      <c r="H43" s="1096" t="s">
        <v>501</v>
      </c>
      <c r="I43" s="1096"/>
      <c r="J43" s="1097">
        <f>J41/1000/(PI()*(J42/1000/2)^2)</f>
        <v>-16.178241114784075</v>
      </c>
      <c r="K43" s="1096" t="s">
        <v>502</v>
      </c>
    </row>
    <row r="44" spans="3:22" ht="15" x14ac:dyDescent="0.2">
      <c r="C44" s="1096" t="s">
        <v>2283</v>
      </c>
      <c r="D44" s="1096"/>
      <c r="E44" s="1129">
        <f>1000*E43*(E42/1000)/0.0012</f>
        <v>4338.8037400816602</v>
      </c>
      <c r="F44" s="1096"/>
      <c r="G44" s="1096"/>
      <c r="H44" s="1096" t="s">
        <v>2283</v>
      </c>
      <c r="I44" s="1096"/>
      <c r="J44" s="1129">
        <f>1000*J43*J42/1000/0.0012</f>
        <v>-118640.43484174988</v>
      </c>
      <c r="K44" s="1096"/>
    </row>
    <row r="46" spans="3:22" ht="15" x14ac:dyDescent="0.2">
      <c r="C46" s="1096" t="s">
        <v>2427</v>
      </c>
    </row>
    <row r="47" spans="3:22" ht="15" x14ac:dyDescent="0.2">
      <c r="C47" s="1096" t="s">
        <v>2428</v>
      </c>
      <c r="E47" s="1338">
        <v>2</v>
      </c>
      <c r="F47" t="s">
        <v>13</v>
      </c>
    </row>
    <row r="48" spans="3:22" ht="15" x14ac:dyDescent="0.2">
      <c r="C48" s="1096" t="s">
        <v>2429</v>
      </c>
      <c r="E48" s="1338">
        <v>60</v>
      </c>
      <c r="F48" t="s">
        <v>500</v>
      </c>
    </row>
    <row r="49" spans="3:11" ht="15" x14ac:dyDescent="0.2">
      <c r="C49" s="1096" t="s">
        <v>2431</v>
      </c>
      <c r="E49" s="1338">
        <v>1500</v>
      </c>
    </row>
    <row r="57" spans="3:11" ht="15" x14ac:dyDescent="0.2">
      <c r="C57" s="1103" t="s">
        <v>2425</v>
      </c>
      <c r="H57" s="1103" t="s">
        <v>2425</v>
      </c>
    </row>
    <row r="58" spans="3:11" ht="15" x14ac:dyDescent="0.2">
      <c r="C58" s="1103" t="s">
        <v>2444</v>
      </c>
      <c r="E58" s="95" t="b">
        <f>IF(AND($N$8&gt;1,$N$8&lt;4),TRUE,FALSE)</f>
        <v>0</v>
      </c>
      <c r="H58" s="1103" t="s">
        <v>2444</v>
      </c>
      <c r="J58" s="95" t="b">
        <f>E58</f>
        <v>0</v>
      </c>
    </row>
    <row r="59" spans="3:11" ht="15" x14ac:dyDescent="0.2">
      <c r="C59" s="1096" t="s">
        <v>2426</v>
      </c>
      <c r="E59" s="95" t="b">
        <f>IF(E35&lt;=E47,TRUE,FALSE)</f>
        <v>1</v>
      </c>
      <c r="H59" s="1096" t="s">
        <v>2426</v>
      </c>
      <c r="J59" s="95" t="b">
        <f>IF(J35&lt;=E47,TRUE,FALSE)</f>
        <v>1</v>
      </c>
    </row>
    <row r="60" spans="3:11" ht="15" x14ac:dyDescent="0.2">
      <c r="C60" s="1096" t="s">
        <v>2450</v>
      </c>
      <c r="E60" s="95" t="b">
        <f>IF(AND(E21&gt;=U6,E21&lt;=V6),TRUE,FALSE)</f>
        <v>0</v>
      </c>
      <c r="H60" s="1096" t="s">
        <v>2451</v>
      </c>
      <c r="J60" s="95" t="b">
        <f>IF(AND(E22&gt;=U7,E22&lt;=V7),TRUE,FALSE)</f>
        <v>0</v>
      </c>
    </row>
    <row r="61" spans="3:11" ht="15" x14ac:dyDescent="0.2">
      <c r="C61" s="1096" t="s">
        <v>2430</v>
      </c>
      <c r="E61" s="95" t="b">
        <f>IF(ISERROR(E36),FALSE,IF(E36&lt;=E48,TRUE,FALSE))</f>
        <v>1</v>
      </c>
      <c r="H61" s="1096" t="s">
        <v>2430</v>
      </c>
      <c r="J61" s="95" t="b">
        <f>IF(ISERROR(J36),FALSE,IF(J36&lt;=E48,TRUE,FALSE))</f>
        <v>0</v>
      </c>
    </row>
    <row r="62" spans="3:11" ht="15" x14ac:dyDescent="0.2">
      <c r="C62" s="1096" t="s">
        <v>2432</v>
      </c>
      <c r="E62" s="95" t="b">
        <f>IF(E44&gt;=E49,TRUE,FALSE)</f>
        <v>1</v>
      </c>
      <c r="H62" s="1096" t="s">
        <v>2432</v>
      </c>
      <c r="J62" s="95" t="b">
        <f>IF(J44&gt;=E49,TRUE,FALSE)</f>
        <v>0</v>
      </c>
    </row>
    <row r="63" spans="3:11" ht="15" x14ac:dyDescent="0.2">
      <c r="C63" s="1096" t="s">
        <v>2459</v>
      </c>
      <c r="E63" s="95" t="b">
        <f>IF(E34&gt;0,TRUE,FALSE)</f>
        <v>1</v>
      </c>
      <c r="H63" s="1096" t="s">
        <v>2460</v>
      </c>
      <c r="J63" s="95" t="b">
        <f>IF(J34&gt;5,TRUE,FALSE)</f>
        <v>1</v>
      </c>
      <c r="K63" t="s">
        <v>2668</v>
      </c>
    </row>
    <row r="64" spans="3:11" ht="15" x14ac:dyDescent="0.2">
      <c r="C64" s="1096" t="s">
        <v>2107</v>
      </c>
      <c r="E64" s="278" t="b">
        <f>IF(AND(E58,E59,E60,E61,E62,E63),TRUE,FALSE)</f>
        <v>0</v>
      </c>
      <c r="H64" s="1096" t="s">
        <v>2107</v>
      </c>
      <c r="J64" s="278" t="b">
        <f>IF(AND(J58,J59,J60,J61,J62,J63),TRUE,FALSE)</f>
        <v>0</v>
      </c>
    </row>
    <row r="67" spans="13:33" ht="14" thickBot="1" x14ac:dyDescent="0.2">
      <c r="M67" s="2" t="s">
        <v>2641</v>
      </c>
    </row>
    <row r="68" spans="13:33" x14ac:dyDescent="0.15">
      <c r="M68" s="228" t="s">
        <v>2633</v>
      </c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1"/>
    </row>
    <row r="69" spans="13:33" x14ac:dyDescent="0.15">
      <c r="M69" s="232"/>
      <c r="AG69" s="364"/>
    </row>
    <row r="70" spans="13:33" x14ac:dyDescent="0.15">
      <c r="M70" s="232" t="str" cm="1">
        <f t="array" ref="M70">INDEX(KirjastoC!$D$4:$K$500,207,KirjastoC!$B$4)</f>
        <v>* Ei valittuna säätöventtiiliä ja toimilaitetta / jäähdytysryhmää</v>
      </c>
      <c r="AG70" s="364"/>
    </row>
    <row r="71" spans="13:33" x14ac:dyDescent="0.15">
      <c r="M71" s="232" t="str" cm="1">
        <f t="array" ref="M71">INDEX(KirjastoC!$D$4:$K$500,208,KirjastoC!$B$4)</f>
        <v>* Toimituksessa: Jäähdytyksen 3-tieventtiili ja toimilaite - patterin 7/12 - 10/15 mukaan  (kvs = 4).</v>
      </c>
      <c r="AG71" s="364"/>
    </row>
    <row r="72" spans="13:33" x14ac:dyDescent="0.15">
      <c r="M72" s="232" t="str" cm="1">
        <f t="array" ref="M72">INDEX(KirjastoC!$D$4:$K$500,209,KirjastoC!$B$4)</f>
        <v>* Toimituksessa: Jäähdytyksen pumppuryhmä 7/12 - 10/15 kasattuna ja eristettynä  (kvs = 4).</v>
      </c>
      <c r="AG72" s="364"/>
    </row>
    <row r="73" spans="13:33" x14ac:dyDescent="0.15">
      <c r="M73" s="232" t="str" cm="1">
        <f t="array" ref="M73">INDEX(KirjastoC!$D$4:$K$500,210,KirjastoC!$B$4)</f>
        <v>* Toimituksessa: Jäähdytyksen 3-tieventtiili ja toimilaite - patterin 10/18 mukaan (kvs = 2,5).</v>
      </c>
      <c r="AG73" s="364"/>
    </row>
    <row r="74" spans="13:33" x14ac:dyDescent="0.15">
      <c r="M74" s="232" t="str" cm="1">
        <f t="array" ref="M74">INDEX(KirjastoC!$D$4:$K$500,211,KirjastoC!$B$4)</f>
        <v>* Toimituksessa: Jäähdytyksen pumppuryhmä 10/18 kasattuna ja eristettynä (kvs = 2,5).</v>
      </c>
      <c r="AG74" s="364"/>
    </row>
    <row r="75" spans="13:33" x14ac:dyDescent="0.15">
      <c r="M75" s="232"/>
      <c r="AG75" s="364"/>
    </row>
    <row r="76" spans="13:33" x14ac:dyDescent="0.15">
      <c r="M76" s="232" t="s">
        <v>2634</v>
      </c>
      <c r="AG76" s="364"/>
    </row>
    <row r="77" spans="13:33" x14ac:dyDescent="0.15">
      <c r="M77" s="232">
        <f>'C koodit'!I12</f>
        <v>1</v>
      </c>
      <c r="N77" t="str">
        <f>'C-selection'!AL14</f>
        <v xml:space="preserve">0 = ei sisäistä jäähdytystä. Vakiotoimitus jos ei muuta pyydetty. </v>
      </c>
      <c r="AG77" s="364"/>
    </row>
    <row r="78" spans="13:33" x14ac:dyDescent="0.15">
      <c r="M78" s="232">
        <f>'C koodit'!J12</f>
        <v>1</v>
      </c>
      <c r="N78" t="str">
        <f>'C-selection'!AL15</f>
        <v>0 = Ei jäähdytyksen toimilaitteita tai venttiileitä. Vakiotoimitus jos ei muuta pyydetty.</v>
      </c>
      <c r="AG78" s="364"/>
    </row>
    <row r="79" spans="13:33" x14ac:dyDescent="0.15">
      <c r="M79" s="232"/>
      <c r="AG79" s="364"/>
    </row>
    <row r="80" spans="13:33" x14ac:dyDescent="0.15">
      <c r="M80" s="1379" t="s">
        <v>2635</v>
      </c>
      <c r="O80" s="2">
        <v>2</v>
      </c>
      <c r="AG80" s="364"/>
    </row>
    <row r="81" spans="13:33" x14ac:dyDescent="0.15">
      <c r="M81" s="232" t="s">
        <v>393</v>
      </c>
      <c r="N81" t="str">
        <f>M70</f>
        <v>* Ei valittuna säätöventtiiliä ja toimilaitetta / jäähdytysryhmää</v>
      </c>
      <c r="AG81" s="364"/>
    </row>
    <row r="82" spans="13:33" x14ac:dyDescent="0.15">
      <c r="M82" s="232">
        <v>4</v>
      </c>
      <c r="N82" t="str">
        <f>M71</f>
        <v>* Toimituksessa: Jäähdytyksen 3-tieventtiili ja toimilaite - patterin 7/12 - 10/15 mukaan  (kvs = 4).</v>
      </c>
      <c r="AG82" s="364"/>
    </row>
    <row r="83" spans="13:33" x14ac:dyDescent="0.15">
      <c r="M83" s="232">
        <v>4</v>
      </c>
      <c r="N83" t="str">
        <f>M72</f>
        <v>* Toimituksessa: Jäähdytyksen pumppuryhmä 7/12 - 10/15 kasattuna ja eristettynä  (kvs = 4).</v>
      </c>
      <c r="AG83" s="364"/>
    </row>
    <row r="84" spans="13:33" x14ac:dyDescent="0.15">
      <c r="M84" s="232"/>
      <c r="AG84" s="364"/>
    </row>
    <row r="85" spans="13:33" x14ac:dyDescent="0.15">
      <c r="M85" s="1379" t="s">
        <v>2635</v>
      </c>
      <c r="O85" s="2">
        <v>3</v>
      </c>
      <c r="AG85" s="364"/>
    </row>
    <row r="86" spans="13:33" x14ac:dyDescent="0.15">
      <c r="M86" s="232" t="s">
        <v>393</v>
      </c>
      <c r="N86" t="str">
        <f>M70</f>
        <v>* Ei valittuna säätöventtiiliä ja toimilaitetta / jäähdytysryhmää</v>
      </c>
      <c r="AG86" s="364"/>
    </row>
    <row r="87" spans="13:33" x14ac:dyDescent="0.15">
      <c r="M87" s="232">
        <v>2.5</v>
      </c>
      <c r="N87" t="str">
        <f>M73</f>
        <v>* Toimituksessa: Jäähdytyksen 3-tieventtiili ja toimilaite - patterin 10/18 mukaan (kvs = 2,5).</v>
      </c>
      <c r="AG87" s="364"/>
    </row>
    <row r="88" spans="13:33" x14ac:dyDescent="0.15">
      <c r="M88" s="232">
        <v>2.5</v>
      </c>
      <c r="N88" t="str">
        <f>M74</f>
        <v>* Toimituksessa: Jäähdytyksen pumppuryhmä 10/18 kasattuna ja eristettynä (kvs = 2,5).</v>
      </c>
      <c r="AG88" s="364"/>
    </row>
    <row r="89" spans="13:33" x14ac:dyDescent="0.15">
      <c r="M89" s="232"/>
      <c r="AG89" s="364"/>
    </row>
    <row r="90" spans="13:33" x14ac:dyDescent="0.15">
      <c r="M90" s="1379" t="s">
        <v>2636</v>
      </c>
      <c r="AG90" s="364"/>
    </row>
    <row r="91" spans="13:33" x14ac:dyDescent="0.15">
      <c r="M91" s="1379" t="s">
        <v>2637</v>
      </c>
      <c r="N91" s="2" t="s">
        <v>2638</v>
      </c>
      <c r="AG91" s="364"/>
    </row>
    <row r="92" spans="13:33" x14ac:dyDescent="0.15">
      <c r="M92" s="232" t="str" cm="1">
        <f t="array" ref="M92">IF($M$77=$O$80,INDEX(M81:M83,$M$78),IF($M$77=$O$85,INDEX(M86:M88,$M$78),"-"))</f>
        <v>-</v>
      </c>
      <c r="N92" t="str" cm="1">
        <f t="array" ref="N92">IF($M$77=$O$80,INDEX(N81:N83,$M$78),IF($M$77=$O$85,INDEX(N86:N88,$M$78),"-"))</f>
        <v>-</v>
      </c>
      <c r="AG92" s="364"/>
    </row>
    <row r="93" spans="13:33" x14ac:dyDescent="0.15">
      <c r="M93" s="232"/>
      <c r="AG93" s="364"/>
    </row>
    <row r="94" spans="13:33" x14ac:dyDescent="0.15">
      <c r="M94" s="232"/>
      <c r="AG94" s="364"/>
    </row>
    <row r="95" spans="13:33" x14ac:dyDescent="0.15">
      <c r="M95" s="232"/>
      <c r="AG95" s="364"/>
    </row>
    <row r="96" spans="13:33" x14ac:dyDescent="0.15">
      <c r="M96" s="232"/>
      <c r="AG96" s="364"/>
    </row>
    <row r="97" spans="13:33" ht="14" thickBot="1" x14ac:dyDescent="0.2">
      <c r="M97" s="236"/>
      <c r="N97" s="238"/>
      <c r="O97" s="238"/>
      <c r="P97" s="238"/>
      <c r="Q97" s="238"/>
      <c r="R97" s="238"/>
      <c r="S97" s="238"/>
      <c r="T97" s="238"/>
      <c r="U97" s="238"/>
      <c r="V97" s="238"/>
      <c r="W97" s="238"/>
      <c r="X97" s="238"/>
      <c r="Y97" s="238"/>
      <c r="Z97" s="238"/>
      <c r="AA97" s="238"/>
      <c r="AB97" s="238"/>
      <c r="AC97" s="238"/>
      <c r="AD97" s="238"/>
      <c r="AE97" s="238"/>
      <c r="AF97" s="238"/>
      <c r="AG97" s="239"/>
    </row>
  </sheetData>
  <conditionalFormatting sqref="E44">
    <cfRule type="cellIs" dxfId="52" priority="20" operator="between">
      <formula>2500</formula>
      <formula>4000</formula>
    </cfRule>
    <cfRule type="cellIs" dxfId="51" priority="21" operator="lessThan">
      <formula>2500</formula>
    </cfRule>
    <cfRule type="cellIs" dxfId="50" priority="22" operator="greaterThan">
      <formula>4000</formula>
    </cfRule>
  </conditionalFormatting>
  <conditionalFormatting sqref="E58:E64">
    <cfRule type="containsText" dxfId="49" priority="15" operator="containsText" text="EPÄTOSI">
      <formula>NOT(ISERROR(SEARCH("EPÄTOSI",E58)))</formula>
    </cfRule>
    <cfRule type="containsText" dxfId="48" priority="16" operator="containsText" text="TOSI">
      <formula>NOT(ISERROR(SEARCH("TOSI",E58)))</formula>
    </cfRule>
  </conditionalFormatting>
  <conditionalFormatting sqref="J44">
    <cfRule type="cellIs" dxfId="47" priority="17" operator="between">
      <formula>2500</formula>
      <formula>4000</formula>
    </cfRule>
    <cfRule type="cellIs" dxfId="46" priority="18" operator="lessThan">
      <formula>2500</formula>
    </cfRule>
    <cfRule type="cellIs" dxfId="45" priority="19" operator="greaterThan">
      <formula>4000</formula>
    </cfRule>
  </conditionalFormatting>
  <conditionalFormatting sqref="J58:J64">
    <cfRule type="containsText" dxfId="44" priority="1" operator="containsText" text="EPÄTOSI">
      <formula>NOT(ISERROR(SEARCH("EPÄTOSI",J58)))</formula>
    </cfRule>
    <cfRule type="containsText" dxfId="43" priority="2" operator="containsText" text="TOSI">
      <formula>NOT(ISERROR(SEARCH("TOSI",J58)))</formula>
    </cfRule>
  </conditionalFormatting>
  <pageMargins left="0.7" right="0.7" top="0.75" bottom="0.75" header="0.3" footer="0.3"/>
  <ignoredErrors>
    <ignoredError sqref="N6" twoDigitTextYear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9250" r:id="rId3" name="Drop Down 2">
              <controlPr defaultSize="0" autoLine="0" autoPict="0">
                <anchor moveWithCells="1">
                  <from>
                    <xdr:col>4</xdr:col>
                    <xdr:colOff>50800</xdr:colOff>
                    <xdr:row>6</xdr:row>
                    <xdr:rowOff>101600</xdr:rowOff>
                  </from>
                  <to>
                    <xdr:col>10</xdr:col>
                    <xdr:colOff>368300</xdr:colOff>
                    <xdr:row>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51" r:id="rId4" name="Drop Down 3">
              <controlPr defaultSize="0" autoLine="0" autoPict="0">
                <anchor moveWithCells="1">
                  <from>
                    <xdr:col>12</xdr:col>
                    <xdr:colOff>63500</xdr:colOff>
                    <xdr:row>93</xdr:row>
                    <xdr:rowOff>139700</xdr:rowOff>
                  </from>
                  <to>
                    <xdr:col>20</xdr:col>
                    <xdr:colOff>101600</xdr:colOff>
                    <xdr:row>94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52" r:id="rId5" name="Drop Down 4">
              <controlPr defaultSize="0" autoLine="0" autoPict="0">
                <anchor moveWithCells="1">
                  <from>
                    <xdr:col>12</xdr:col>
                    <xdr:colOff>76200</xdr:colOff>
                    <xdr:row>95</xdr:row>
                    <xdr:rowOff>38100</xdr:rowOff>
                  </from>
                  <to>
                    <xdr:col>20</xdr:col>
                    <xdr:colOff>114300</xdr:colOff>
                    <xdr:row>96</xdr:row>
                    <xdr:rowOff>63500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57555-390D-481D-9F7B-9B7212A67ED6}">
  <dimension ref="A1:AE81"/>
  <sheetViews>
    <sheetView topLeftCell="K1" zoomScaleNormal="100" workbookViewId="0">
      <selection activeCell="B126" sqref="B126"/>
    </sheetView>
  </sheetViews>
  <sheetFormatPr baseColWidth="10" defaultColWidth="9.1640625" defaultRowHeight="15" x14ac:dyDescent="0.2"/>
  <cols>
    <col min="1" max="1" width="28" style="1096" customWidth="1"/>
    <col min="2" max="2" width="9.1640625" style="1096" customWidth="1"/>
    <col min="3" max="3" width="1.6640625" style="1096" customWidth="1"/>
    <col min="4" max="17" width="8.83203125" style="1097" customWidth="1"/>
    <col min="18" max="18" width="12.5" style="1097" customWidth="1"/>
    <col min="19" max="22" width="8.83203125" style="1097" customWidth="1"/>
    <col min="23" max="25" width="8.83203125" style="1096" customWidth="1"/>
    <col min="26" max="28" width="9.1640625" style="1096"/>
    <col min="29" max="29" width="8.5" style="1096" customWidth="1"/>
    <col min="30" max="16384" width="9.1640625" style="1096"/>
  </cols>
  <sheetData>
    <row r="1" spans="1:30" ht="20" thickBot="1" x14ac:dyDescent="0.25">
      <c r="A1" s="1095" t="s">
        <v>2229</v>
      </c>
    </row>
    <row r="2" spans="1:30" ht="12.75" customHeight="1" x14ac:dyDescent="0.2">
      <c r="A2" s="1098" t="s">
        <v>2230</v>
      </c>
      <c r="B2" s="1099"/>
      <c r="C2" s="1099"/>
      <c r="D2" s="1100">
        <v>1</v>
      </c>
      <c r="E2" s="1101">
        <v>2</v>
      </c>
      <c r="F2" s="1101">
        <v>3</v>
      </c>
      <c r="G2" s="1101">
        <v>4</v>
      </c>
      <c r="H2" s="1102">
        <v>5</v>
      </c>
      <c r="I2" s="1100">
        <v>6</v>
      </c>
      <c r="J2" s="1101">
        <v>7</v>
      </c>
      <c r="K2" s="1102">
        <v>8</v>
      </c>
      <c r="L2" s="1100">
        <v>9</v>
      </c>
      <c r="M2" s="1101">
        <v>10</v>
      </c>
      <c r="N2" s="1102">
        <v>11</v>
      </c>
      <c r="R2" s="1103" t="s">
        <v>2231</v>
      </c>
    </row>
    <row r="3" spans="1:30" ht="12.75" customHeight="1" x14ac:dyDescent="0.2">
      <c r="A3" s="1098" t="s">
        <v>2232</v>
      </c>
      <c r="B3" s="1099"/>
      <c r="C3" s="1099"/>
      <c r="D3" s="1104">
        <v>1</v>
      </c>
      <c r="E3" s="1105">
        <v>1</v>
      </c>
      <c r="F3" s="1105">
        <v>1</v>
      </c>
      <c r="G3" s="1105">
        <v>1</v>
      </c>
      <c r="H3" s="1106">
        <v>1</v>
      </c>
      <c r="I3" s="1104">
        <v>1</v>
      </c>
      <c r="J3" s="1105">
        <v>1</v>
      </c>
      <c r="K3" s="1106">
        <v>1</v>
      </c>
      <c r="L3" s="1104">
        <v>1</v>
      </c>
      <c r="M3" s="1105">
        <v>1</v>
      </c>
      <c r="N3" s="1106">
        <v>1</v>
      </c>
    </row>
    <row r="4" spans="1:30" ht="12.75" customHeight="1" x14ac:dyDescent="0.25">
      <c r="A4" s="1098" t="s">
        <v>2233</v>
      </c>
      <c r="B4" s="1099"/>
      <c r="C4" s="1099"/>
      <c r="D4" s="1107"/>
      <c r="E4" s="1108"/>
      <c r="F4" s="1108"/>
      <c r="G4" s="1108"/>
      <c r="H4" s="1109"/>
      <c r="I4" s="1107"/>
      <c r="J4" s="1108"/>
      <c r="K4" s="1109"/>
      <c r="L4" s="1107"/>
      <c r="M4" s="1108"/>
      <c r="N4" s="1109"/>
      <c r="R4" s="1096" t="s">
        <v>485</v>
      </c>
      <c r="T4" s="1110">
        <f>'C5 Lämmitys'!E13</f>
        <v>450</v>
      </c>
      <c r="U4" s="1097" t="s">
        <v>13</v>
      </c>
      <c r="V4" s="1097" t="s">
        <v>2234</v>
      </c>
      <c r="X4" s="1096" t="s">
        <v>2235</v>
      </c>
      <c r="Z4" s="1096" t="s">
        <v>2437</v>
      </c>
      <c r="AC4" s="1117">
        <f>S64*(T4/1000)^Q64</f>
        <v>14.181196633978168</v>
      </c>
      <c r="AD4" s="1096" t="s">
        <v>14</v>
      </c>
    </row>
    <row r="5" spans="1:30" ht="12.75" customHeight="1" x14ac:dyDescent="0.25">
      <c r="A5" s="1098" t="s">
        <v>2236</v>
      </c>
      <c r="B5" s="1099"/>
      <c r="C5" s="1099"/>
      <c r="D5" s="1107"/>
      <c r="E5" s="1108"/>
      <c r="F5" s="1108"/>
      <c r="G5" s="1108"/>
      <c r="H5" s="1109"/>
      <c r="I5" s="1107"/>
      <c r="J5" s="1108"/>
      <c r="K5" s="1109"/>
      <c r="L5" s="1107"/>
      <c r="M5" s="1108"/>
      <c r="N5" s="1109"/>
      <c r="R5" s="1096" t="s">
        <v>2237</v>
      </c>
      <c r="T5" s="1110">
        <f>'C5 Lämmitys'!E14</f>
        <v>-5</v>
      </c>
      <c r="U5" s="1097" t="s">
        <v>230</v>
      </c>
      <c r="V5" s="1097">
        <f>1.293*273.15/(T5+273.15)</f>
        <v>1.3171096401267945</v>
      </c>
      <c r="W5" s="1096" t="s">
        <v>2238</v>
      </c>
      <c r="X5" s="1096">
        <f>1005+0.2*T5</f>
        <v>1004</v>
      </c>
      <c r="Y5" s="1096" t="s">
        <v>2239</v>
      </c>
    </row>
    <row r="6" spans="1:30" ht="12.75" customHeight="1" x14ac:dyDescent="0.25">
      <c r="A6" s="1098" t="s">
        <v>2240</v>
      </c>
      <c r="B6" s="1099"/>
      <c r="C6" s="1099"/>
      <c r="D6" s="1107"/>
      <c r="E6" s="1108"/>
      <c r="F6" s="1108"/>
      <c r="G6" s="1108"/>
      <c r="H6" s="1109"/>
      <c r="I6" s="1107"/>
      <c r="J6" s="1108"/>
      <c r="K6" s="1109"/>
      <c r="L6" s="1107"/>
      <c r="M6" s="1108"/>
      <c r="N6" s="1109"/>
      <c r="R6" s="1096" t="s">
        <v>2241</v>
      </c>
      <c r="T6" s="1110">
        <f>'C5 Lämmitys'!E15</f>
        <v>20</v>
      </c>
      <c r="U6" s="1097" t="s">
        <v>230</v>
      </c>
      <c r="V6" s="1097">
        <f>1.293*273.15/(T6+273.15)</f>
        <v>1.2047857752004092</v>
      </c>
      <c r="W6" s="1096" t="s">
        <v>2238</v>
      </c>
      <c r="X6" s="1096">
        <f>1005+0.2*T6</f>
        <v>1009</v>
      </c>
      <c r="Y6" s="1096" t="s">
        <v>2239</v>
      </c>
    </row>
    <row r="7" spans="1:30" ht="12.75" customHeight="1" x14ac:dyDescent="0.2">
      <c r="A7" s="1098" t="s">
        <v>2242</v>
      </c>
      <c r="B7" s="1099"/>
      <c r="C7" s="1099"/>
      <c r="D7" s="1104" t="s">
        <v>2243</v>
      </c>
      <c r="E7" s="1105" t="s">
        <v>2243</v>
      </c>
      <c r="F7" s="1105" t="s">
        <v>2243</v>
      </c>
      <c r="G7" s="1105" t="s">
        <v>2243</v>
      </c>
      <c r="H7" s="1106" t="s">
        <v>2243</v>
      </c>
      <c r="I7" s="1104" t="s">
        <v>2243</v>
      </c>
      <c r="J7" s="1105" t="s">
        <v>2243</v>
      </c>
      <c r="K7" s="1106" t="s">
        <v>2243</v>
      </c>
      <c r="L7" s="1104" t="s">
        <v>2243</v>
      </c>
      <c r="M7" s="1105" t="s">
        <v>2243</v>
      </c>
      <c r="N7" s="1106" t="s">
        <v>2243</v>
      </c>
    </row>
    <row r="8" spans="1:30" ht="12.75" customHeight="1" x14ac:dyDescent="0.2">
      <c r="A8" s="1098" t="s">
        <v>2244</v>
      </c>
      <c r="B8" s="1099"/>
      <c r="C8" s="1099"/>
      <c r="D8" s="1107"/>
      <c r="E8" s="1108"/>
      <c r="F8" s="1108"/>
      <c r="G8" s="1108"/>
      <c r="H8" s="1109"/>
      <c r="I8" s="1107"/>
      <c r="J8" s="1108"/>
      <c r="K8" s="1109"/>
      <c r="L8" s="1107"/>
      <c r="M8" s="1108"/>
      <c r="N8" s="1109"/>
      <c r="R8" s="1096" t="s">
        <v>2245</v>
      </c>
    </row>
    <row r="9" spans="1:30" ht="12.75" customHeight="1" x14ac:dyDescent="0.25">
      <c r="A9" s="1098" t="s">
        <v>2246</v>
      </c>
      <c r="B9" s="1099"/>
      <c r="C9" s="1099"/>
      <c r="D9" s="1107"/>
      <c r="E9" s="1108"/>
      <c r="F9" s="1108"/>
      <c r="G9" s="1108"/>
      <c r="H9" s="1109"/>
      <c r="I9" s="1107"/>
      <c r="J9" s="1108"/>
      <c r="K9" s="1109"/>
      <c r="L9" s="1107"/>
      <c r="M9" s="1108"/>
      <c r="N9" s="1109"/>
      <c r="R9" s="1097" t="s">
        <v>2247</v>
      </c>
      <c r="T9" s="1110">
        <f>'C5 Lämmitys'!E19</f>
        <v>50</v>
      </c>
      <c r="U9" s="1097" t="s">
        <v>230</v>
      </c>
    </row>
    <row r="10" spans="1:30" ht="12.75" customHeight="1" x14ac:dyDescent="0.25">
      <c r="A10" s="1098" t="s">
        <v>2248</v>
      </c>
      <c r="B10" s="1099"/>
      <c r="C10" s="1099"/>
      <c r="D10" s="1104" t="s">
        <v>2249</v>
      </c>
      <c r="E10" s="1105" t="s">
        <v>2249</v>
      </c>
      <c r="F10" s="1105" t="s">
        <v>2249</v>
      </c>
      <c r="G10" s="1105" t="s">
        <v>2249</v>
      </c>
      <c r="H10" s="1106" t="s">
        <v>2249</v>
      </c>
      <c r="I10" s="1104" t="s">
        <v>2250</v>
      </c>
      <c r="J10" s="1105" t="s">
        <v>2249</v>
      </c>
      <c r="K10" s="1106" t="s">
        <v>2249</v>
      </c>
      <c r="L10" s="1104" t="s">
        <v>2250</v>
      </c>
      <c r="M10" s="1105" t="s">
        <v>2249</v>
      </c>
      <c r="N10" s="1106" t="s">
        <v>2249</v>
      </c>
      <c r="R10" s="1097" t="s">
        <v>2251</v>
      </c>
      <c r="T10" s="1110">
        <f>'C5 Lämmitys'!E20</f>
        <v>30</v>
      </c>
      <c r="U10" s="1097" t="s">
        <v>230</v>
      </c>
    </row>
    <row r="11" spans="1:30" ht="12.75" customHeight="1" x14ac:dyDescent="0.2">
      <c r="A11" s="1098" t="s">
        <v>2252</v>
      </c>
      <c r="B11" s="1099"/>
      <c r="C11" s="1099"/>
      <c r="D11" s="1104" t="s">
        <v>2249</v>
      </c>
      <c r="E11" s="1105" t="s">
        <v>2249</v>
      </c>
      <c r="F11" s="1105" t="s">
        <v>2249</v>
      </c>
      <c r="G11" s="1105" t="s">
        <v>2249</v>
      </c>
      <c r="H11" s="1106" t="s">
        <v>2249</v>
      </c>
      <c r="I11" s="1104" t="s">
        <v>2249</v>
      </c>
      <c r="J11" s="1105" t="s">
        <v>2249</v>
      </c>
      <c r="K11" s="1106" t="s">
        <v>2249</v>
      </c>
      <c r="L11" s="1104" t="s">
        <v>2249</v>
      </c>
      <c r="M11" s="1105" t="s">
        <v>2249</v>
      </c>
      <c r="N11" s="1106" t="s">
        <v>2249</v>
      </c>
      <c r="W11" s="1096" t="s">
        <v>2253</v>
      </c>
      <c r="X11" s="1096">
        <f>(T9+T10)/2-(T6+T5)/2</f>
        <v>32.5</v>
      </c>
    </row>
    <row r="12" spans="1:30" ht="12.75" customHeight="1" x14ac:dyDescent="0.2">
      <c r="A12" s="1098" t="s">
        <v>2254</v>
      </c>
      <c r="B12" s="1099"/>
      <c r="C12" s="1099"/>
      <c r="D12" s="1104" t="s">
        <v>2255</v>
      </c>
      <c r="E12" s="1105" t="s">
        <v>2255</v>
      </c>
      <c r="F12" s="1105" t="s">
        <v>2255</v>
      </c>
      <c r="G12" s="1105" t="s">
        <v>2255</v>
      </c>
      <c r="H12" s="1106" t="s">
        <v>2255</v>
      </c>
      <c r="I12" s="1104" t="s">
        <v>2255</v>
      </c>
      <c r="J12" s="1105" t="s">
        <v>2255</v>
      </c>
      <c r="K12" s="1106" t="s">
        <v>2255</v>
      </c>
      <c r="L12" s="1104" t="s">
        <v>2255</v>
      </c>
      <c r="M12" s="1105" t="s">
        <v>2255</v>
      </c>
      <c r="N12" s="1106" t="s">
        <v>2255</v>
      </c>
      <c r="X12" s="1096">
        <f>AVERAGE(T9:T10)-AVERAGE(T5:T6)</f>
        <v>32.5</v>
      </c>
    </row>
    <row r="13" spans="1:30" ht="12.75" customHeight="1" x14ac:dyDescent="0.2">
      <c r="A13" s="1098" t="s">
        <v>2256</v>
      </c>
      <c r="B13" s="1098" t="s">
        <v>2257</v>
      </c>
      <c r="C13" s="1099"/>
      <c r="D13" s="1107"/>
      <c r="E13" s="1108"/>
      <c r="F13" s="1108"/>
      <c r="G13" s="1108"/>
      <c r="H13" s="1109"/>
      <c r="I13" s="1107"/>
      <c r="J13" s="1108"/>
      <c r="K13" s="1109"/>
      <c r="L13" s="1107"/>
      <c r="M13" s="1108"/>
      <c r="N13" s="1109"/>
      <c r="R13" s="1096" t="s">
        <v>2258</v>
      </c>
      <c r="T13" s="1111">
        <f>T4/1000*AVERAGE(V5:V6)*AVERAGE(X5:X6)*(T6-T5)/1000</f>
        <v>14.27786851233842</v>
      </c>
      <c r="U13" s="1097" t="s">
        <v>2259</v>
      </c>
    </row>
    <row r="14" spans="1:30" ht="12.75" customHeight="1" x14ac:dyDescent="0.2">
      <c r="A14" s="1099"/>
      <c r="B14" s="1099"/>
      <c r="C14" s="1099"/>
      <c r="D14" s="1112"/>
      <c r="E14" s="1113"/>
      <c r="F14" s="1113"/>
      <c r="G14" s="1113"/>
      <c r="H14" s="1114"/>
      <c r="I14" s="1112"/>
      <c r="J14" s="1113"/>
      <c r="K14" s="1114"/>
      <c r="L14" s="1112"/>
      <c r="M14" s="1113"/>
      <c r="N14" s="1114"/>
      <c r="R14" s="1096" t="s">
        <v>2260</v>
      </c>
      <c r="T14" s="1115">
        <f>(T13/$Y$44)^(1/$W$44)</f>
        <v>32.981846782572575</v>
      </c>
      <c r="U14" s="1097" t="s">
        <v>496</v>
      </c>
    </row>
    <row r="15" spans="1:30" ht="12.75" customHeight="1" x14ac:dyDescent="0.2">
      <c r="A15" s="1098" t="s">
        <v>2261</v>
      </c>
      <c r="B15" s="1098" t="s">
        <v>2262</v>
      </c>
      <c r="C15" s="1099"/>
      <c r="D15" s="1104">
        <v>650</v>
      </c>
      <c r="E15" s="1105">
        <v>650</v>
      </c>
      <c r="F15" s="1105">
        <v>650</v>
      </c>
      <c r="G15" s="1105">
        <v>650</v>
      </c>
      <c r="H15" s="1106">
        <v>650</v>
      </c>
      <c r="I15" s="1104">
        <v>650</v>
      </c>
      <c r="J15" s="1105">
        <v>650</v>
      </c>
      <c r="K15" s="1106">
        <v>650</v>
      </c>
      <c r="L15" s="1104">
        <v>650</v>
      </c>
      <c r="M15" s="1105">
        <v>650</v>
      </c>
      <c r="N15" s="1106">
        <v>650</v>
      </c>
    </row>
    <row r="16" spans="1:30" ht="12.75" customHeight="1" x14ac:dyDescent="0.2">
      <c r="A16" s="1098" t="s">
        <v>2263</v>
      </c>
      <c r="B16" s="1098" t="s">
        <v>2262</v>
      </c>
      <c r="C16" s="1099"/>
      <c r="D16" s="1104">
        <v>450</v>
      </c>
      <c r="E16" s="1105">
        <v>450</v>
      </c>
      <c r="F16" s="1105">
        <v>450</v>
      </c>
      <c r="G16" s="1105">
        <v>450</v>
      </c>
      <c r="H16" s="1106">
        <v>450</v>
      </c>
      <c r="I16" s="1104">
        <v>450</v>
      </c>
      <c r="J16" s="1105">
        <v>450</v>
      </c>
      <c r="K16" s="1106">
        <v>450</v>
      </c>
      <c r="L16" s="1104">
        <v>450</v>
      </c>
      <c r="M16" s="1105">
        <v>450</v>
      </c>
      <c r="N16" s="1106">
        <v>450</v>
      </c>
      <c r="R16" s="1096" t="s">
        <v>2264</v>
      </c>
      <c r="W16" s="1096" t="s">
        <v>2265</v>
      </c>
      <c r="X16" s="1097"/>
      <c r="Y16" s="1097"/>
      <c r="Z16" s="1097"/>
    </row>
    <row r="17" spans="1:31" ht="12.75" customHeight="1" x14ac:dyDescent="0.25">
      <c r="A17" s="1098" t="s">
        <v>2266</v>
      </c>
      <c r="B17" s="1098" t="s">
        <v>2262</v>
      </c>
      <c r="C17" s="1099"/>
      <c r="D17" s="1104">
        <v>710</v>
      </c>
      <c r="E17" s="1105">
        <v>710</v>
      </c>
      <c r="F17" s="1105">
        <v>710</v>
      </c>
      <c r="G17" s="1105">
        <v>710</v>
      </c>
      <c r="H17" s="1106">
        <v>710</v>
      </c>
      <c r="I17" s="1104">
        <v>710</v>
      </c>
      <c r="J17" s="1105">
        <v>710</v>
      </c>
      <c r="K17" s="1106">
        <v>710</v>
      </c>
      <c r="L17" s="1104">
        <v>710</v>
      </c>
      <c r="M17" s="1105">
        <v>710</v>
      </c>
      <c r="N17" s="1106">
        <v>710</v>
      </c>
      <c r="R17" s="1097" t="s">
        <v>2251</v>
      </c>
      <c r="T17" s="1116">
        <f>2*T14-T9+T6+T5</f>
        <v>30.963693565145149</v>
      </c>
      <c r="U17" s="1097" t="s">
        <v>230</v>
      </c>
      <c r="W17" s="1097" t="s">
        <v>2247</v>
      </c>
      <c r="X17" s="1097"/>
      <c r="Y17" s="1117">
        <f>2*T14-T10+T6+T5</f>
        <v>50.963693565145149</v>
      </c>
      <c r="Z17" s="1097" t="s">
        <v>230</v>
      </c>
    </row>
    <row r="18" spans="1:31" ht="12.75" customHeight="1" x14ac:dyDescent="0.2">
      <c r="A18" s="1098" t="s">
        <v>2267</v>
      </c>
      <c r="B18" s="1098" t="s">
        <v>2262</v>
      </c>
      <c r="C18" s="1099"/>
      <c r="D18" s="1104">
        <v>450</v>
      </c>
      <c r="E18" s="1105">
        <v>450</v>
      </c>
      <c r="F18" s="1105">
        <v>450</v>
      </c>
      <c r="G18" s="1105">
        <v>450</v>
      </c>
      <c r="H18" s="1106">
        <v>450</v>
      </c>
      <c r="I18" s="1104">
        <v>450</v>
      </c>
      <c r="J18" s="1105">
        <v>450</v>
      </c>
      <c r="K18" s="1106">
        <v>450</v>
      </c>
      <c r="L18" s="1104">
        <v>450</v>
      </c>
      <c r="M18" s="1105">
        <v>450</v>
      </c>
      <c r="N18" s="1106">
        <v>450</v>
      </c>
      <c r="R18" s="1097" t="s">
        <v>498</v>
      </c>
      <c r="T18" s="1118">
        <f>T13/(T9-T17)/4.186</f>
        <v>0.17917667246815</v>
      </c>
      <c r="U18" s="1097" t="s">
        <v>13</v>
      </c>
      <c r="W18" s="1097" t="s">
        <v>498</v>
      </c>
      <c r="X18" s="1097"/>
      <c r="Y18" s="1119">
        <f>T13/(Y17-T10)/4.186</f>
        <v>0.16270329617641055</v>
      </c>
      <c r="Z18" s="1097" t="s">
        <v>13</v>
      </c>
    </row>
    <row r="19" spans="1:31" ht="12.75" customHeight="1" x14ac:dyDescent="0.2">
      <c r="A19" s="1098" t="s">
        <v>2268</v>
      </c>
      <c r="B19" s="1098" t="s">
        <v>2262</v>
      </c>
      <c r="C19" s="1099"/>
      <c r="D19" s="1104">
        <v>120</v>
      </c>
      <c r="E19" s="1105">
        <v>120</v>
      </c>
      <c r="F19" s="1105">
        <v>120</v>
      </c>
      <c r="G19" s="1105">
        <v>120</v>
      </c>
      <c r="H19" s="1106">
        <v>120</v>
      </c>
      <c r="I19" s="1104">
        <v>120</v>
      </c>
      <c r="J19" s="1105">
        <v>120</v>
      </c>
      <c r="K19" s="1106">
        <v>120</v>
      </c>
      <c r="L19" s="1104">
        <v>120</v>
      </c>
      <c r="M19" s="1105">
        <v>120</v>
      </c>
      <c r="N19" s="1106">
        <v>120</v>
      </c>
      <c r="R19" s="1097" t="s">
        <v>499</v>
      </c>
      <c r="T19" s="1120">
        <f>$U$81*T18^$S$81</f>
        <v>5.7148976708263968</v>
      </c>
      <c r="U19" s="1097" t="s">
        <v>500</v>
      </c>
      <c r="W19" s="1097" t="s">
        <v>499</v>
      </c>
      <c r="X19" s="1097"/>
      <c r="Y19" s="1121">
        <f>$U$81*Y18^$S$81</f>
        <v>4.7231967426714512</v>
      </c>
      <c r="Z19" s="1097" t="s">
        <v>500</v>
      </c>
    </row>
    <row r="20" spans="1:31" ht="12.75" customHeight="1" x14ac:dyDescent="0.2">
      <c r="A20" s="1099"/>
      <c r="B20" s="1099"/>
      <c r="C20" s="1099"/>
      <c r="D20" s="1112"/>
      <c r="E20" s="1113"/>
      <c r="F20" s="1113"/>
      <c r="G20" s="1113"/>
      <c r="H20" s="1114"/>
      <c r="I20" s="1112"/>
      <c r="J20" s="1113"/>
      <c r="K20" s="1114"/>
      <c r="L20" s="1112"/>
      <c r="M20" s="1113"/>
      <c r="N20" s="1114"/>
    </row>
    <row r="21" spans="1:31" ht="12.75" customHeight="1" x14ac:dyDescent="0.2">
      <c r="A21" s="1098" t="s">
        <v>2269</v>
      </c>
      <c r="B21" s="1098" t="s">
        <v>2270</v>
      </c>
      <c r="C21" s="1099"/>
      <c r="D21" s="1104">
        <v>6</v>
      </c>
      <c r="E21" s="1105">
        <v>9</v>
      </c>
      <c r="F21" s="1105">
        <v>12</v>
      </c>
      <c r="G21" s="1105">
        <v>15</v>
      </c>
      <c r="H21" s="1106">
        <v>18</v>
      </c>
      <c r="I21" s="1104">
        <v>7.2</v>
      </c>
      <c r="J21" s="1105">
        <v>9.6</v>
      </c>
      <c r="K21" s="1106">
        <v>12</v>
      </c>
      <c r="L21" s="1104">
        <v>5.4</v>
      </c>
      <c r="M21" s="1105">
        <v>7.2</v>
      </c>
      <c r="N21" s="1106">
        <v>9</v>
      </c>
      <c r="R21" s="1096" t="s">
        <v>2271</v>
      </c>
      <c r="S21" s="1096"/>
      <c r="T21" s="1097">
        <v>5</v>
      </c>
      <c r="U21" s="1096" t="s">
        <v>2272</v>
      </c>
      <c r="V21" s="1096"/>
      <c r="W21" s="1096" t="s">
        <v>2271</v>
      </c>
      <c r="Y21" s="1097">
        <v>5</v>
      </c>
      <c r="Z21" s="1096" t="s">
        <v>2272</v>
      </c>
    </row>
    <row r="22" spans="1:31" ht="12.75" customHeight="1" x14ac:dyDescent="0.2">
      <c r="A22" s="1098" t="s">
        <v>2273</v>
      </c>
      <c r="B22" s="1098" t="s">
        <v>2274</v>
      </c>
      <c r="C22" s="1099"/>
      <c r="D22" s="1122">
        <v>0.2</v>
      </c>
      <c r="E22" s="1123">
        <v>0.3</v>
      </c>
      <c r="F22" s="1123">
        <v>0.4</v>
      </c>
      <c r="G22" s="1123">
        <v>0.5</v>
      </c>
      <c r="H22" s="1124">
        <v>0.6</v>
      </c>
      <c r="I22" s="1122">
        <v>0.3</v>
      </c>
      <c r="J22" s="1123">
        <v>0.4</v>
      </c>
      <c r="K22" s="1124">
        <v>0.5</v>
      </c>
      <c r="L22" s="1122">
        <v>0.3</v>
      </c>
      <c r="M22" s="1123">
        <v>0.4</v>
      </c>
      <c r="N22" s="1124">
        <v>0.5</v>
      </c>
      <c r="R22" s="1096" t="s">
        <v>2275</v>
      </c>
      <c r="S22" s="1096"/>
      <c r="T22" s="1097">
        <f>T18/T21</f>
        <v>3.5835334493630001E-2</v>
      </c>
      <c r="U22" s="1096" t="s">
        <v>13</v>
      </c>
      <c r="V22" s="1096"/>
      <c r="W22" s="1096" t="s">
        <v>2275</v>
      </c>
      <c r="Y22" s="1097">
        <f>Y18/Y21</f>
        <v>3.2540659235282113E-2</v>
      </c>
      <c r="Z22" s="1096" t="s">
        <v>13</v>
      </c>
    </row>
    <row r="23" spans="1:31" ht="12.75" customHeight="1" x14ac:dyDescent="0.2">
      <c r="A23" s="1098" t="s">
        <v>2276</v>
      </c>
      <c r="B23" s="1098" t="s">
        <v>2277</v>
      </c>
      <c r="C23" s="1099"/>
      <c r="D23" s="1104">
        <v>0.24</v>
      </c>
      <c r="E23" s="1105">
        <v>0.36</v>
      </c>
      <c r="F23" s="1105">
        <v>0.48</v>
      </c>
      <c r="G23" s="1105">
        <v>0.6</v>
      </c>
      <c r="H23" s="1106">
        <v>0.72</v>
      </c>
      <c r="I23" s="1104">
        <v>0.36</v>
      </c>
      <c r="J23" s="1105">
        <v>0.48</v>
      </c>
      <c r="K23" s="1106">
        <v>0.6</v>
      </c>
      <c r="L23" s="1104">
        <v>0.36</v>
      </c>
      <c r="M23" s="1105">
        <v>0.48</v>
      </c>
      <c r="N23" s="1106">
        <v>0.6</v>
      </c>
      <c r="R23" s="1096" t="s">
        <v>2278</v>
      </c>
      <c r="S23" s="1096"/>
      <c r="T23" s="1125">
        <f>9.52-2*0.36</f>
        <v>8.7999999999999989</v>
      </c>
      <c r="U23" s="1096" t="s">
        <v>2279</v>
      </c>
      <c r="V23" s="1096"/>
      <c r="W23" s="1096" t="s">
        <v>2278</v>
      </c>
      <c r="Y23" s="1125">
        <f>9.52-2*0.36</f>
        <v>8.7999999999999989</v>
      </c>
      <c r="Z23" s="1096" t="s">
        <v>2279</v>
      </c>
    </row>
    <row r="24" spans="1:31" ht="12.75" customHeight="1" x14ac:dyDescent="0.2">
      <c r="A24" s="1098" t="s">
        <v>2280</v>
      </c>
      <c r="B24" s="1098" t="s">
        <v>2281</v>
      </c>
      <c r="C24" s="1099"/>
      <c r="D24" s="1104">
        <v>-5</v>
      </c>
      <c r="E24" s="1105">
        <v>-5</v>
      </c>
      <c r="F24" s="1105">
        <v>-5</v>
      </c>
      <c r="G24" s="1105">
        <v>-5</v>
      </c>
      <c r="H24" s="1106">
        <v>-5</v>
      </c>
      <c r="I24" s="1126">
        <v>1.0000000000000001E-5</v>
      </c>
      <c r="J24" s="1127">
        <v>1.0000000000000001E-5</v>
      </c>
      <c r="K24" s="1128">
        <v>1.0000000000000001E-5</v>
      </c>
      <c r="L24" s="1104">
        <v>5</v>
      </c>
      <c r="M24" s="1105">
        <v>5</v>
      </c>
      <c r="N24" s="1106">
        <v>5</v>
      </c>
      <c r="R24" s="1096" t="s">
        <v>501</v>
      </c>
      <c r="S24" s="1096"/>
      <c r="T24" s="1097">
        <f>T22/1000/(PI()*(T23/1000/2)^2)</f>
        <v>0.58919117995999171</v>
      </c>
      <c r="U24" s="1096" t="s">
        <v>502</v>
      </c>
      <c r="V24" s="1096"/>
      <c r="W24" s="1096" t="s">
        <v>501</v>
      </c>
      <c r="Y24" s="1097">
        <f>Y22/1000/(PI()*(Y23/1000/2)^2)</f>
        <v>0.53502136040951287</v>
      </c>
      <c r="Z24" s="1096" t="s">
        <v>502</v>
      </c>
    </row>
    <row r="25" spans="1:31" ht="12.75" customHeight="1" x14ac:dyDescent="0.2">
      <c r="A25" s="1098" t="s">
        <v>2282</v>
      </c>
      <c r="B25" s="1098" t="s">
        <v>2281</v>
      </c>
      <c r="C25" s="1099"/>
      <c r="D25" s="1104">
        <v>20</v>
      </c>
      <c r="E25" s="1105">
        <v>20</v>
      </c>
      <c r="F25" s="1105">
        <v>20</v>
      </c>
      <c r="G25" s="1105">
        <v>20</v>
      </c>
      <c r="H25" s="1106">
        <v>20</v>
      </c>
      <c r="I25" s="1104">
        <v>20</v>
      </c>
      <c r="J25" s="1105">
        <v>20</v>
      </c>
      <c r="K25" s="1106">
        <v>20</v>
      </c>
      <c r="L25" s="1104">
        <v>20</v>
      </c>
      <c r="M25" s="1105">
        <v>20</v>
      </c>
      <c r="N25" s="1106">
        <v>20</v>
      </c>
      <c r="R25" s="1096" t="s">
        <v>2283</v>
      </c>
      <c r="S25" s="1096"/>
      <c r="T25" s="1129">
        <f>1000*T24*T23/1000/0.0007</f>
        <v>7406.9748337827514</v>
      </c>
      <c r="U25" s="1096"/>
      <c r="V25" s="1096"/>
      <c r="W25" s="1096" t="s">
        <v>2283</v>
      </c>
      <c r="Y25" s="1129">
        <f>1000*Y24*Y23/1000/0.0007</f>
        <v>6725.9828165767321</v>
      </c>
      <c r="AE25" s="1130"/>
    </row>
    <row r="26" spans="1:31" ht="12.75" customHeight="1" x14ac:dyDescent="0.2">
      <c r="A26" s="1098" t="s">
        <v>2284</v>
      </c>
      <c r="B26" s="1098" t="s">
        <v>2285</v>
      </c>
      <c r="C26" s="1099"/>
      <c r="D26" s="1104">
        <v>0.68</v>
      </c>
      <c r="E26" s="1105">
        <v>1.03</v>
      </c>
      <c r="F26" s="1105">
        <v>1.37</v>
      </c>
      <c r="G26" s="1105">
        <v>1.71</v>
      </c>
      <c r="H26" s="1106">
        <v>2.0499999999999998</v>
      </c>
      <c r="I26" s="1104">
        <v>1.03</v>
      </c>
      <c r="J26" s="1105">
        <v>1.37</v>
      </c>
      <c r="K26" s="1106">
        <v>1.71</v>
      </c>
      <c r="L26" s="1104">
        <v>1.03</v>
      </c>
      <c r="M26" s="1105">
        <v>1.37</v>
      </c>
      <c r="N26" s="1106">
        <v>1.71</v>
      </c>
    </row>
    <row r="27" spans="1:31" ht="12.75" customHeight="1" x14ac:dyDescent="0.2">
      <c r="A27" s="1098" t="s">
        <v>2286</v>
      </c>
      <c r="B27" s="1098" t="s">
        <v>2287</v>
      </c>
      <c r="C27" s="1099"/>
      <c r="D27" s="1104">
        <v>3.6</v>
      </c>
      <c r="E27" s="1105">
        <v>7.1</v>
      </c>
      <c r="F27" s="1105">
        <v>11.6</v>
      </c>
      <c r="G27" s="1105">
        <v>17</v>
      </c>
      <c r="H27" s="1106">
        <v>23.1</v>
      </c>
      <c r="I27" s="1104">
        <v>7.1</v>
      </c>
      <c r="J27" s="1105">
        <v>11.6</v>
      </c>
      <c r="K27" s="1106">
        <v>17</v>
      </c>
      <c r="L27" s="1104">
        <v>7.1</v>
      </c>
      <c r="M27" s="1105">
        <v>11.6</v>
      </c>
      <c r="N27" s="1106">
        <v>17</v>
      </c>
      <c r="R27" s="1131" t="s">
        <v>289</v>
      </c>
      <c r="S27" s="1131" t="s">
        <v>2253</v>
      </c>
      <c r="T27" s="1131" t="s">
        <v>47</v>
      </c>
      <c r="U27" s="1131" t="s">
        <v>2288</v>
      </c>
      <c r="AA27" s="1132" t="s">
        <v>2253</v>
      </c>
      <c r="AB27" s="1133" t="s">
        <v>289</v>
      </c>
      <c r="AC27" s="1134" t="s">
        <v>47</v>
      </c>
    </row>
    <row r="28" spans="1:31" ht="12.75" customHeight="1" x14ac:dyDescent="0.2">
      <c r="A28" s="1099"/>
      <c r="B28" s="1099"/>
      <c r="C28" s="1099"/>
      <c r="D28" s="1112"/>
      <c r="E28" s="1113"/>
      <c r="F28" s="1113"/>
      <c r="G28" s="1113"/>
      <c r="H28" s="1114"/>
      <c r="I28" s="1112"/>
      <c r="J28" s="1113"/>
      <c r="K28" s="1114"/>
      <c r="L28" s="1112"/>
      <c r="M28" s="1113"/>
      <c r="N28" s="1114"/>
      <c r="R28" s="1135">
        <v>0.5</v>
      </c>
      <c r="S28" s="1136">
        <f>G62</f>
        <v>32.435795973154399</v>
      </c>
      <c r="T28" s="1135">
        <f>G21</f>
        <v>15</v>
      </c>
      <c r="U28" s="1135">
        <f>G31</f>
        <v>0.18</v>
      </c>
      <c r="W28" s="1096">
        <f t="array" ref="W28:X28">LINEST(LN(T28:T30),LN(S28:S30))</f>
        <v>3.0475003915400629</v>
      </c>
      <c r="X28" s="1096">
        <v>-7.8898600813984583</v>
      </c>
      <c r="Y28" s="1096">
        <f>EXP(X28)</f>
        <v>3.7452197391103689E-4</v>
      </c>
      <c r="AA28" s="1137">
        <f>S28</f>
        <v>32.435795973154399</v>
      </c>
      <c r="AB28" s="1138">
        <f>R28</f>
        <v>0.5</v>
      </c>
      <c r="AC28" s="1115">
        <f>T28</f>
        <v>15</v>
      </c>
    </row>
    <row r="29" spans="1:31" ht="12.75" customHeight="1" x14ac:dyDescent="0.2">
      <c r="A29" s="1098" t="s">
        <v>2289</v>
      </c>
      <c r="B29" s="1098" t="s">
        <v>2281</v>
      </c>
      <c r="C29" s="1099"/>
      <c r="D29" s="1104">
        <v>50</v>
      </c>
      <c r="E29" s="1105">
        <v>50</v>
      </c>
      <c r="F29" s="1105">
        <v>50</v>
      </c>
      <c r="G29" s="1105">
        <v>50</v>
      </c>
      <c r="H29" s="1106">
        <v>50</v>
      </c>
      <c r="I29" s="1104">
        <v>50</v>
      </c>
      <c r="J29" s="1105">
        <v>50</v>
      </c>
      <c r="K29" s="1106">
        <v>50</v>
      </c>
      <c r="L29" s="1104">
        <v>50</v>
      </c>
      <c r="M29" s="1105">
        <v>50</v>
      </c>
      <c r="N29" s="1106">
        <v>50</v>
      </c>
      <c r="R29" s="1135">
        <v>0.5</v>
      </c>
      <c r="S29" s="1136">
        <f>K62</f>
        <v>29.999995002666761</v>
      </c>
      <c r="T29" s="1135">
        <f>K21</f>
        <v>12</v>
      </c>
      <c r="U29" s="1135">
        <f>K31</f>
        <v>0.14000000000000001</v>
      </c>
      <c r="AA29" s="1139">
        <f>S33</f>
        <v>32.435795973154399</v>
      </c>
      <c r="AB29" s="1097">
        <f>R33</f>
        <v>0.4</v>
      </c>
      <c r="AC29" s="1115">
        <f>T33</f>
        <v>12</v>
      </c>
    </row>
    <row r="30" spans="1:31" ht="12.75" customHeight="1" x14ac:dyDescent="0.2">
      <c r="A30" s="1098" t="s">
        <v>2290</v>
      </c>
      <c r="B30" s="1098" t="s">
        <v>2281</v>
      </c>
      <c r="C30" s="1099"/>
      <c r="D30" s="1104">
        <v>30</v>
      </c>
      <c r="E30" s="1105">
        <v>30</v>
      </c>
      <c r="F30" s="1105">
        <v>30</v>
      </c>
      <c r="G30" s="1105">
        <v>30</v>
      </c>
      <c r="H30" s="1106">
        <v>33</v>
      </c>
      <c r="I30" s="1104">
        <v>30</v>
      </c>
      <c r="J30" s="1105">
        <v>30</v>
      </c>
      <c r="K30" s="1106">
        <v>30</v>
      </c>
      <c r="L30" s="1104">
        <v>30</v>
      </c>
      <c r="M30" s="1105">
        <v>30</v>
      </c>
      <c r="N30" s="1106">
        <v>30</v>
      </c>
      <c r="R30" s="1135">
        <v>0.5</v>
      </c>
      <c r="S30" s="1136">
        <f>N62</f>
        <v>27.424074738735392</v>
      </c>
      <c r="T30" s="1135">
        <f>N21</f>
        <v>9</v>
      </c>
      <c r="U30" s="1135">
        <f>N31</f>
        <v>0.11</v>
      </c>
      <c r="AA30" s="1140">
        <f>S38</f>
        <v>32.435795973154399</v>
      </c>
      <c r="AB30" s="1141">
        <f>R38</f>
        <v>0.3</v>
      </c>
      <c r="AC30" s="1115">
        <f>T38</f>
        <v>9</v>
      </c>
    </row>
    <row r="31" spans="1:31" ht="12.75" customHeight="1" x14ac:dyDescent="0.2">
      <c r="A31" s="1098" t="s">
        <v>2291</v>
      </c>
      <c r="B31" s="1098" t="s">
        <v>2292</v>
      </c>
      <c r="C31" s="1099"/>
      <c r="D31" s="1104">
        <v>7.0000000000000007E-2</v>
      </c>
      <c r="E31" s="1105">
        <v>0.11</v>
      </c>
      <c r="F31" s="1105">
        <v>0.14000000000000001</v>
      </c>
      <c r="G31" s="1105">
        <v>0.18</v>
      </c>
      <c r="H31" s="1106">
        <v>0.26</v>
      </c>
      <c r="I31" s="1104">
        <v>0.09</v>
      </c>
      <c r="J31" s="1105">
        <v>0.12</v>
      </c>
      <c r="K31" s="1106">
        <v>0.14000000000000001</v>
      </c>
      <c r="L31" s="1104">
        <v>7.0000000000000007E-2</v>
      </c>
      <c r="M31" s="1105">
        <v>0.09</v>
      </c>
      <c r="N31" s="1106">
        <v>0.11</v>
      </c>
      <c r="P31" s="1097">
        <f>N31*4.186*(N29-N30)</f>
        <v>9.2091999999999992</v>
      </c>
    </row>
    <row r="32" spans="1:31" ht="12.75" customHeight="1" x14ac:dyDescent="0.2">
      <c r="A32" s="1098" t="s">
        <v>2293</v>
      </c>
      <c r="B32" s="1098" t="s">
        <v>2285</v>
      </c>
      <c r="C32" s="1099"/>
      <c r="D32" s="1104">
        <v>0.21</v>
      </c>
      <c r="E32" s="1105">
        <v>0.31</v>
      </c>
      <c r="F32" s="1105">
        <v>0.42</v>
      </c>
      <c r="G32" s="1105">
        <v>0.52</v>
      </c>
      <c r="H32" s="1106">
        <v>0.74</v>
      </c>
      <c r="I32" s="1104">
        <v>0.25</v>
      </c>
      <c r="J32" s="1105">
        <v>0.33</v>
      </c>
      <c r="K32" s="1106">
        <v>0.42</v>
      </c>
      <c r="L32" s="1104">
        <v>0.19</v>
      </c>
      <c r="M32" s="1105">
        <v>0.25</v>
      </c>
      <c r="N32" s="1106">
        <v>0.31</v>
      </c>
      <c r="R32" s="1131" t="s">
        <v>289</v>
      </c>
      <c r="S32" s="1131" t="s">
        <v>2253</v>
      </c>
      <c r="T32" s="1131" t="s">
        <v>47</v>
      </c>
      <c r="U32" s="1131" t="s">
        <v>2288</v>
      </c>
      <c r="AA32" s="1132" t="s">
        <v>2253</v>
      </c>
      <c r="AB32" s="1133" t="s">
        <v>289</v>
      </c>
      <c r="AC32" s="1134" t="s">
        <v>47</v>
      </c>
    </row>
    <row r="33" spans="1:29" ht="12.75" customHeight="1" x14ac:dyDescent="0.2">
      <c r="A33" s="1098" t="s">
        <v>2294</v>
      </c>
      <c r="B33" s="1098" t="s">
        <v>2295</v>
      </c>
      <c r="C33" s="1099"/>
      <c r="D33" s="1104">
        <v>1</v>
      </c>
      <c r="E33" s="1105">
        <v>2.2000000000000002</v>
      </c>
      <c r="F33" s="1105">
        <v>3.8</v>
      </c>
      <c r="G33" s="1105">
        <v>5.8</v>
      </c>
      <c r="H33" s="1106">
        <v>11.2</v>
      </c>
      <c r="I33" s="1104">
        <v>1.4</v>
      </c>
      <c r="J33" s="1105">
        <v>2.5</v>
      </c>
      <c r="K33" s="1106">
        <v>3.8</v>
      </c>
      <c r="L33" s="1104">
        <v>0.8</v>
      </c>
      <c r="M33" s="1105">
        <v>1.4</v>
      </c>
      <c r="N33" s="1106">
        <v>2.2000000000000002</v>
      </c>
      <c r="R33" s="1135">
        <v>0.4</v>
      </c>
      <c r="S33" s="1136">
        <f>F62</f>
        <v>32.435795973154399</v>
      </c>
      <c r="T33" s="1135">
        <f>F21</f>
        <v>12</v>
      </c>
      <c r="U33" s="1135">
        <f>F31</f>
        <v>0.14000000000000001</v>
      </c>
      <c r="W33" s="1096">
        <f t="array" ref="W33:X33">LINEST(LN(T33:T35),LN(S33:S35))</f>
        <v>3.0475003915400638</v>
      </c>
      <c r="X33" s="1096">
        <v>-8.1130036327126724</v>
      </c>
      <c r="Y33" s="1096">
        <f>EXP(X33)</f>
        <v>2.9961757912882819E-4</v>
      </c>
      <c r="AA33" s="1137">
        <f>S29</f>
        <v>29.999995002666761</v>
      </c>
      <c r="AB33" s="1142">
        <f>R29</f>
        <v>0.5</v>
      </c>
      <c r="AC33" s="1115">
        <f>T29</f>
        <v>12</v>
      </c>
    </row>
    <row r="34" spans="1:29" ht="12.75" customHeight="1" x14ac:dyDescent="0.2">
      <c r="A34" s="1098" t="s">
        <v>2296</v>
      </c>
      <c r="B34" s="1098" t="s">
        <v>2297</v>
      </c>
      <c r="C34" s="1099"/>
      <c r="D34" s="1104" t="s">
        <v>2298</v>
      </c>
      <c r="E34" s="1105" t="s">
        <v>2298</v>
      </c>
      <c r="F34" s="1105" t="s">
        <v>2298</v>
      </c>
      <c r="G34" s="1105" t="s">
        <v>2298</v>
      </c>
      <c r="H34" s="1106" t="s">
        <v>2298</v>
      </c>
      <c r="I34" s="1104" t="s">
        <v>2298</v>
      </c>
      <c r="J34" s="1105" t="s">
        <v>2298</v>
      </c>
      <c r="K34" s="1106" t="s">
        <v>2298</v>
      </c>
      <c r="L34" s="1104" t="s">
        <v>2298</v>
      </c>
      <c r="M34" s="1105" t="s">
        <v>2298</v>
      </c>
      <c r="N34" s="1106" t="s">
        <v>2298</v>
      </c>
      <c r="R34" s="1135">
        <v>0.4</v>
      </c>
      <c r="S34" s="1136">
        <f>J62</f>
        <v>29.999995002666761</v>
      </c>
      <c r="T34" s="1135">
        <f>J21</f>
        <v>9.6</v>
      </c>
      <c r="U34" s="1135">
        <f>J31</f>
        <v>0.12</v>
      </c>
      <c r="AA34" s="1139">
        <f>S34</f>
        <v>29.999995002666761</v>
      </c>
      <c r="AB34" s="1143">
        <f>R34</f>
        <v>0.4</v>
      </c>
      <c r="AC34" s="1115">
        <f>T34</f>
        <v>9.6</v>
      </c>
    </row>
    <row r="35" spans="1:29" ht="12.75" customHeight="1" x14ac:dyDescent="0.2">
      <c r="A35" s="1098" t="s">
        <v>2299</v>
      </c>
      <c r="B35" s="1098" t="s">
        <v>2257</v>
      </c>
      <c r="C35" s="1099"/>
      <c r="D35" s="1107">
        <f>AVERAGE(D29:D30)-AVERAGE(D24:D25)</f>
        <v>32.5</v>
      </c>
      <c r="E35" s="1108">
        <f t="shared" ref="E35:N35" si="0">AVERAGE(E29:E30)-AVERAGE(E24:E25)</f>
        <v>32.5</v>
      </c>
      <c r="F35" s="1108">
        <f t="shared" si="0"/>
        <v>32.5</v>
      </c>
      <c r="G35" s="1108">
        <f t="shared" si="0"/>
        <v>32.5</v>
      </c>
      <c r="H35" s="1109">
        <f t="shared" si="0"/>
        <v>34</v>
      </c>
      <c r="I35" s="1107">
        <f t="shared" si="0"/>
        <v>29.999994999999998</v>
      </c>
      <c r="J35" s="1108">
        <f t="shared" si="0"/>
        <v>29.999994999999998</v>
      </c>
      <c r="K35" s="1109">
        <f t="shared" si="0"/>
        <v>29.999994999999998</v>
      </c>
      <c r="L35" s="1107">
        <f t="shared" si="0"/>
        <v>27.5</v>
      </c>
      <c r="M35" s="1108">
        <f t="shared" si="0"/>
        <v>27.5</v>
      </c>
      <c r="N35" s="1109">
        <f t="shared" si="0"/>
        <v>27.5</v>
      </c>
      <c r="R35" s="1135">
        <v>0.4</v>
      </c>
      <c r="S35" s="1136">
        <f>M62</f>
        <v>27.424074738735392</v>
      </c>
      <c r="T35" s="1135">
        <f>M21</f>
        <v>7.2</v>
      </c>
      <c r="U35" s="1135">
        <f>M31</f>
        <v>0.09</v>
      </c>
      <c r="AA35" s="1140">
        <f>S39</f>
        <v>29.999995002666761</v>
      </c>
      <c r="AB35" s="1144">
        <f>R39</f>
        <v>0.3</v>
      </c>
      <c r="AC35" s="1115">
        <f>T39</f>
        <v>7.2</v>
      </c>
    </row>
    <row r="36" spans="1:29" ht="12.75" customHeight="1" x14ac:dyDescent="0.2">
      <c r="A36" s="1099"/>
      <c r="B36" s="1099"/>
      <c r="C36" s="1099"/>
      <c r="D36" s="1112"/>
      <c r="E36" s="1113"/>
      <c r="F36" s="1113"/>
      <c r="G36" s="1113"/>
      <c r="H36" s="1114"/>
      <c r="I36" s="1112"/>
      <c r="J36" s="1113"/>
      <c r="K36" s="1114"/>
      <c r="L36" s="1112"/>
      <c r="M36" s="1113"/>
      <c r="N36" s="1114"/>
    </row>
    <row r="37" spans="1:29" ht="12.75" customHeight="1" x14ac:dyDescent="0.2">
      <c r="A37" s="1098" t="s">
        <v>2300</v>
      </c>
      <c r="B37" s="1099"/>
      <c r="C37" s="1099"/>
      <c r="D37" s="1104">
        <v>2</v>
      </c>
      <c r="E37" s="1105">
        <v>2</v>
      </c>
      <c r="F37" s="1105">
        <v>2</v>
      </c>
      <c r="G37" s="1105">
        <v>2</v>
      </c>
      <c r="H37" s="1106">
        <v>2</v>
      </c>
      <c r="I37" s="1104">
        <v>2</v>
      </c>
      <c r="J37" s="1105">
        <v>2</v>
      </c>
      <c r="K37" s="1106">
        <v>2</v>
      </c>
      <c r="L37" s="1104">
        <v>2</v>
      </c>
      <c r="M37" s="1105">
        <v>2</v>
      </c>
      <c r="N37" s="1106">
        <v>2</v>
      </c>
      <c r="R37" s="1131" t="s">
        <v>289</v>
      </c>
      <c r="S37" s="1131" t="s">
        <v>2253</v>
      </c>
      <c r="T37" s="1131" t="s">
        <v>47</v>
      </c>
      <c r="U37" s="1131" t="s">
        <v>2288</v>
      </c>
      <c r="AA37" s="1132" t="s">
        <v>2253</v>
      </c>
      <c r="AB37" s="1133" t="s">
        <v>289</v>
      </c>
      <c r="AC37" s="1134" t="s">
        <v>47</v>
      </c>
    </row>
    <row r="38" spans="1:29" ht="12.75" customHeight="1" x14ac:dyDescent="0.2">
      <c r="A38" s="1098" t="s">
        <v>2301</v>
      </c>
      <c r="B38" s="1098" t="s">
        <v>2262</v>
      </c>
      <c r="C38" s="1099"/>
      <c r="D38" s="1104">
        <v>2</v>
      </c>
      <c r="E38" s="1105">
        <v>2</v>
      </c>
      <c r="F38" s="1105">
        <v>2</v>
      </c>
      <c r="G38" s="1105">
        <v>2</v>
      </c>
      <c r="H38" s="1106">
        <v>2</v>
      </c>
      <c r="I38" s="1104">
        <v>2</v>
      </c>
      <c r="J38" s="1105">
        <v>2</v>
      </c>
      <c r="K38" s="1106">
        <v>2</v>
      </c>
      <c r="L38" s="1104">
        <v>2</v>
      </c>
      <c r="M38" s="1105">
        <v>2</v>
      </c>
      <c r="N38" s="1106">
        <v>2</v>
      </c>
      <c r="R38" s="1135">
        <v>0.3</v>
      </c>
      <c r="S38" s="1136">
        <f>E62</f>
        <v>32.435795973154399</v>
      </c>
      <c r="T38" s="1135">
        <f>E21</f>
        <v>9</v>
      </c>
      <c r="U38" s="1135">
        <f>E31</f>
        <v>0.11</v>
      </c>
      <c r="W38" s="1096">
        <f t="array" ref="W38:X38">LINEST(LN(T38:T40),LN(S38:S40))</f>
        <v>3.0475003915400642</v>
      </c>
      <c r="X38" s="1096">
        <v>-8.4006857051644541</v>
      </c>
      <c r="Y38" s="1096">
        <f>EXP(X38)</f>
        <v>2.2471318434662098E-4</v>
      </c>
      <c r="AA38" s="1137">
        <f>S30</f>
        <v>27.424074738735392</v>
      </c>
      <c r="AB38" s="1142">
        <f>R30</f>
        <v>0.5</v>
      </c>
      <c r="AC38" s="1115">
        <f>T30</f>
        <v>9</v>
      </c>
    </row>
    <row r="39" spans="1:29" ht="12.75" customHeight="1" x14ac:dyDescent="0.2">
      <c r="A39" s="1098" t="s">
        <v>2302</v>
      </c>
      <c r="B39" s="1098" t="s">
        <v>2303</v>
      </c>
      <c r="C39" s="1099"/>
      <c r="D39" s="1104">
        <v>2.2999999999999998</v>
      </c>
      <c r="E39" s="1105">
        <v>2.2999999999999998</v>
      </c>
      <c r="F39" s="1105">
        <v>2.2999999999999998</v>
      </c>
      <c r="G39" s="1105">
        <v>2.2999999999999998</v>
      </c>
      <c r="H39" s="1106" t="s">
        <v>2304</v>
      </c>
      <c r="I39" s="1104" t="s">
        <v>2304</v>
      </c>
      <c r="J39" s="1105" t="s">
        <v>2304</v>
      </c>
      <c r="K39" s="1106" t="s">
        <v>2304</v>
      </c>
      <c r="L39" s="1104" t="s">
        <v>2304</v>
      </c>
      <c r="M39" s="1105" t="s">
        <v>2304</v>
      </c>
      <c r="N39" s="1106" t="s">
        <v>2304</v>
      </c>
      <c r="R39" s="1135">
        <v>0.3</v>
      </c>
      <c r="S39" s="1136">
        <f>I62</f>
        <v>29.999995002666761</v>
      </c>
      <c r="T39" s="1135">
        <f>I21</f>
        <v>7.2</v>
      </c>
      <c r="U39" s="1135">
        <f>I31</f>
        <v>0.09</v>
      </c>
      <c r="AA39" s="1139">
        <f>S35</f>
        <v>27.424074738735392</v>
      </c>
      <c r="AB39" s="1143">
        <f>R35</f>
        <v>0.4</v>
      </c>
      <c r="AC39" s="1115">
        <f>T35</f>
        <v>7.2</v>
      </c>
    </row>
    <row r="40" spans="1:29" ht="12.75" customHeight="1" x14ac:dyDescent="0.2">
      <c r="A40" s="1098" t="s">
        <v>2305</v>
      </c>
      <c r="B40" s="1098" t="s">
        <v>2306</v>
      </c>
      <c r="C40" s="1099"/>
      <c r="D40" s="1104">
        <v>9</v>
      </c>
      <c r="E40" s="1105">
        <v>9</v>
      </c>
      <c r="F40" s="1105">
        <v>9</v>
      </c>
      <c r="G40" s="1105">
        <v>9</v>
      </c>
      <c r="H40" s="1106">
        <v>9</v>
      </c>
      <c r="I40" s="1104">
        <v>9</v>
      </c>
      <c r="J40" s="1105">
        <v>9</v>
      </c>
      <c r="K40" s="1106">
        <v>9</v>
      </c>
      <c r="L40" s="1104">
        <v>9</v>
      </c>
      <c r="M40" s="1105">
        <v>9</v>
      </c>
      <c r="N40" s="1106">
        <v>9</v>
      </c>
      <c r="R40" s="1135">
        <v>0.3</v>
      </c>
      <c r="S40" s="1136">
        <f>L62</f>
        <v>27.424074738735392</v>
      </c>
      <c r="T40" s="1135">
        <f>L21</f>
        <v>5.4</v>
      </c>
      <c r="U40" s="1135">
        <f>L31</f>
        <v>7.0000000000000007E-2</v>
      </c>
      <c r="AA40" s="1140">
        <f>S40</f>
        <v>27.424074738735392</v>
      </c>
      <c r="AB40" s="1144">
        <f>R40</f>
        <v>0.3</v>
      </c>
      <c r="AC40" s="1115">
        <f>T40</f>
        <v>5.4</v>
      </c>
    </row>
    <row r="41" spans="1:29" ht="12.75" customHeight="1" x14ac:dyDescent="0.2">
      <c r="A41" s="1099"/>
      <c r="B41" s="1099"/>
      <c r="C41" s="1099"/>
      <c r="D41" s="1112"/>
      <c r="E41" s="1113"/>
      <c r="F41" s="1113"/>
      <c r="G41" s="1113"/>
      <c r="H41" s="1114"/>
      <c r="I41" s="1112"/>
      <c r="J41" s="1113"/>
      <c r="K41" s="1114"/>
      <c r="L41" s="1112"/>
      <c r="M41" s="1113"/>
      <c r="N41" s="1114"/>
    </row>
    <row r="42" spans="1:29" ht="12.75" customHeight="1" x14ac:dyDescent="0.2">
      <c r="A42" s="1098" t="s">
        <v>2307</v>
      </c>
      <c r="B42" s="1099" t="s">
        <v>2308</v>
      </c>
      <c r="C42" s="1145"/>
      <c r="D42" s="1108">
        <v>8.8000000000000007</v>
      </c>
      <c r="E42" s="1108">
        <v>8.8000000000000007</v>
      </c>
      <c r="F42" s="1108">
        <v>8.8000000000000007</v>
      </c>
      <c r="G42" s="1108">
        <v>8.8000000000000007</v>
      </c>
      <c r="H42" s="1108">
        <v>8.8000000000000007</v>
      </c>
      <c r="I42" s="1108">
        <v>8.8000000000000007</v>
      </c>
      <c r="J42" s="1108">
        <v>8.8000000000000007</v>
      </c>
      <c r="K42" s="1108">
        <v>8.8000000000000007</v>
      </c>
      <c r="L42" s="1108">
        <v>8.8000000000000007</v>
      </c>
      <c r="M42" s="1108">
        <v>8.8000000000000007</v>
      </c>
      <c r="N42" s="1108">
        <v>8.8000000000000007</v>
      </c>
      <c r="R42" s="1103" t="s">
        <v>2309</v>
      </c>
    </row>
    <row r="43" spans="1:29" ht="12.75" customHeight="1" x14ac:dyDescent="0.2">
      <c r="A43" s="1098" t="s">
        <v>2310</v>
      </c>
      <c r="B43" s="1099" t="s">
        <v>2311</v>
      </c>
      <c r="C43" s="1145"/>
      <c r="D43" s="1108">
        <v>5</v>
      </c>
      <c r="E43" s="1108">
        <v>5</v>
      </c>
      <c r="F43" s="1108">
        <v>5</v>
      </c>
      <c r="G43" s="1108">
        <v>5</v>
      </c>
      <c r="H43" s="1108">
        <v>5</v>
      </c>
      <c r="I43" s="1108">
        <v>5</v>
      </c>
      <c r="J43" s="1108">
        <v>5</v>
      </c>
      <c r="K43" s="1108">
        <v>5</v>
      </c>
      <c r="L43" s="1108">
        <v>5</v>
      </c>
      <c r="M43" s="1108">
        <v>5</v>
      </c>
      <c r="N43" s="1108">
        <v>5</v>
      </c>
      <c r="R43" s="1135" t="s">
        <v>289</v>
      </c>
      <c r="S43" s="1135" t="s">
        <v>2253</v>
      </c>
      <c r="T43" s="1135" t="s">
        <v>47</v>
      </c>
    </row>
    <row r="44" spans="1:29" ht="12.75" customHeight="1" x14ac:dyDescent="0.2">
      <c r="A44" s="1098" t="s">
        <v>2312</v>
      </c>
      <c r="B44" s="1099" t="s">
        <v>2313</v>
      </c>
      <c r="C44" s="1145"/>
      <c r="D44" s="1108">
        <f>D31/D43</f>
        <v>1.4000000000000002E-2</v>
      </c>
      <c r="E44" s="1108">
        <f t="shared" ref="E44:N44" si="1">E31/E43</f>
        <v>2.1999999999999999E-2</v>
      </c>
      <c r="F44" s="1108">
        <f t="shared" si="1"/>
        <v>2.8000000000000004E-2</v>
      </c>
      <c r="G44" s="1108">
        <f t="shared" si="1"/>
        <v>3.5999999999999997E-2</v>
      </c>
      <c r="H44" s="1108">
        <f t="shared" si="1"/>
        <v>5.2000000000000005E-2</v>
      </c>
      <c r="I44" s="1108">
        <f t="shared" si="1"/>
        <v>1.7999999999999999E-2</v>
      </c>
      <c r="J44" s="1108">
        <f t="shared" si="1"/>
        <v>2.4E-2</v>
      </c>
      <c r="K44" s="1108">
        <f t="shared" si="1"/>
        <v>2.8000000000000004E-2</v>
      </c>
      <c r="L44" s="1108">
        <f t="shared" si="1"/>
        <v>1.4000000000000002E-2</v>
      </c>
      <c r="M44" s="1108">
        <f t="shared" si="1"/>
        <v>1.7999999999999999E-2</v>
      </c>
      <c r="N44" s="1108">
        <f t="shared" si="1"/>
        <v>2.1999999999999999E-2</v>
      </c>
      <c r="R44" s="1135">
        <f>T4/1000</f>
        <v>0.45</v>
      </c>
      <c r="S44" s="1136">
        <f>AVERAGE(AA28:AA30)</f>
        <v>32.435795973154399</v>
      </c>
      <c r="T44" s="1135">
        <f>_xlfn.FORECAST.LINEAR(R44,AC28:AC30,AB28:AB30)</f>
        <v>13.500000000000002</v>
      </c>
      <c r="W44" s="1103">
        <f t="array" ref="W44:X44">LINEST(LN(T44:T46),LN(S44:S46))</f>
        <v>3.0475003915400629</v>
      </c>
      <c r="X44" s="1096">
        <v>-7.9952205970562851</v>
      </c>
      <c r="Y44" s="1103">
        <f>EXP(X44)</f>
        <v>3.37069776519933E-4</v>
      </c>
    </row>
    <row r="45" spans="1:29" ht="12.75" customHeight="1" x14ac:dyDescent="0.2">
      <c r="A45" s="1098" t="s">
        <v>2314</v>
      </c>
      <c r="B45" s="1099" t="s">
        <v>2315</v>
      </c>
      <c r="C45" s="1145"/>
      <c r="D45" s="1108">
        <f>PI()*(D42/2/1000)^2</f>
        <v>6.0821233773498395E-5</v>
      </c>
      <c r="E45" s="1108">
        <f t="shared" ref="E45:N45" si="2">PI()*(E42/2/1000)^2</f>
        <v>6.0821233773498395E-5</v>
      </c>
      <c r="F45" s="1108">
        <f t="shared" si="2"/>
        <v>6.0821233773498395E-5</v>
      </c>
      <c r="G45" s="1108">
        <f t="shared" si="2"/>
        <v>6.0821233773498395E-5</v>
      </c>
      <c r="H45" s="1108">
        <f t="shared" si="2"/>
        <v>6.0821233773498395E-5</v>
      </c>
      <c r="I45" s="1108">
        <f t="shared" si="2"/>
        <v>6.0821233773498395E-5</v>
      </c>
      <c r="J45" s="1108">
        <f t="shared" si="2"/>
        <v>6.0821233773498395E-5</v>
      </c>
      <c r="K45" s="1108">
        <f t="shared" si="2"/>
        <v>6.0821233773498395E-5</v>
      </c>
      <c r="L45" s="1108">
        <f t="shared" si="2"/>
        <v>6.0821233773498395E-5</v>
      </c>
      <c r="M45" s="1108">
        <f t="shared" si="2"/>
        <v>6.0821233773498395E-5</v>
      </c>
      <c r="N45" s="1108">
        <f t="shared" si="2"/>
        <v>6.0821233773498395E-5</v>
      </c>
      <c r="R45" s="1135">
        <f>R44</f>
        <v>0.45</v>
      </c>
      <c r="S45" s="1136">
        <f>AVERAGE(AA33:AA35)</f>
        <v>29.999995002666761</v>
      </c>
      <c r="T45" s="1135">
        <f>_xlfn.FORECAST.LINEAR(R45,AC33:AC35,AB33:AB35)</f>
        <v>10.8</v>
      </c>
    </row>
    <row r="46" spans="1:29" ht="12.75" customHeight="1" x14ac:dyDescent="0.2">
      <c r="A46" s="1098" t="s">
        <v>2316</v>
      </c>
      <c r="B46" s="1099" t="s">
        <v>502</v>
      </c>
      <c r="C46" s="1145"/>
      <c r="D46" s="1146">
        <f>D44/1000/D45</f>
        <v>0.23018276893455941</v>
      </c>
      <c r="E46" s="1146">
        <f t="shared" ref="E46:N46" si="3">E44/1000/E45</f>
        <v>0.36171577975430758</v>
      </c>
      <c r="F46" s="1146">
        <f t="shared" si="3"/>
        <v>0.46036553786911882</v>
      </c>
      <c r="G46" s="1146">
        <f t="shared" si="3"/>
        <v>0.59189854868886682</v>
      </c>
      <c r="H46" s="1146">
        <f t="shared" si="3"/>
        <v>0.85496457032836348</v>
      </c>
      <c r="I46" s="1146">
        <f t="shared" si="3"/>
        <v>0.29594927434443341</v>
      </c>
      <c r="J46" s="1146">
        <f t="shared" si="3"/>
        <v>0.39459903245924466</v>
      </c>
      <c r="K46" s="1146">
        <f t="shared" si="3"/>
        <v>0.46036553786911882</v>
      </c>
      <c r="L46" s="1146">
        <f t="shared" si="3"/>
        <v>0.23018276893455941</v>
      </c>
      <c r="M46" s="1146">
        <f t="shared" si="3"/>
        <v>0.29594927434443341</v>
      </c>
      <c r="N46" s="1146">
        <f t="shared" si="3"/>
        <v>0.36171577975430758</v>
      </c>
      <c r="R46" s="1135">
        <f>R45</f>
        <v>0.45</v>
      </c>
      <c r="S46" s="1136">
        <f>AVERAGE(AA38:AA40)</f>
        <v>27.424074738735396</v>
      </c>
      <c r="T46" s="1135">
        <f>_xlfn.FORECAST.LINEAR(R46,AC38:AC40,AB38:AB40)</f>
        <v>8.1</v>
      </c>
    </row>
    <row r="47" spans="1:29" ht="12.75" customHeight="1" x14ac:dyDescent="0.2">
      <c r="A47" s="1098" t="s">
        <v>2317</v>
      </c>
      <c r="B47" s="1098" t="s">
        <v>487</v>
      </c>
      <c r="C47" s="1145"/>
      <c r="D47" s="1129">
        <f>1000*D46*(D42/1000)/0.0007</f>
        <v>2893.7262380344619</v>
      </c>
      <c r="E47" s="1129">
        <f t="shared" ref="E47:N47" si="4">1000*E46*(E42/1000)/0.0007</f>
        <v>4547.2840883398667</v>
      </c>
      <c r="F47" s="1129">
        <f t="shared" si="4"/>
        <v>5787.4524760689237</v>
      </c>
      <c r="G47" s="1129">
        <f t="shared" si="4"/>
        <v>7441.0103263743267</v>
      </c>
      <c r="H47" s="1129">
        <f t="shared" si="4"/>
        <v>10748.126026985141</v>
      </c>
      <c r="I47" s="1129">
        <f t="shared" si="4"/>
        <v>3720.5051631871634</v>
      </c>
      <c r="J47" s="1129">
        <f t="shared" si="4"/>
        <v>4960.673550916219</v>
      </c>
      <c r="K47" s="1129">
        <f t="shared" si="4"/>
        <v>5787.4524760689237</v>
      </c>
      <c r="L47" s="1129">
        <f t="shared" si="4"/>
        <v>2893.7262380344619</v>
      </c>
      <c r="M47" s="1129">
        <f t="shared" si="4"/>
        <v>3720.5051631871634</v>
      </c>
      <c r="N47" s="1129">
        <f t="shared" si="4"/>
        <v>4547.2840883398667</v>
      </c>
    </row>
    <row r="48" spans="1:29" ht="12.75" customHeight="1" x14ac:dyDescent="0.2">
      <c r="A48" s="1098" t="s">
        <v>2318</v>
      </c>
      <c r="B48" s="1098" t="s">
        <v>2319</v>
      </c>
      <c r="C48" s="1145"/>
      <c r="D48" s="1105"/>
      <c r="E48" s="1105"/>
      <c r="F48" s="1105"/>
      <c r="G48" s="1105"/>
      <c r="H48" s="1147"/>
      <c r="I48" s="1147"/>
      <c r="J48" s="1147"/>
      <c r="K48" s="1147"/>
      <c r="L48" s="1147"/>
      <c r="M48" s="1147"/>
      <c r="N48" s="1147"/>
    </row>
    <row r="49" spans="1:19" ht="6.5" customHeight="1" x14ac:dyDescent="0.2">
      <c r="A49" s="1099"/>
      <c r="B49" s="1099"/>
      <c r="C49" s="1099"/>
      <c r="D49" s="1148"/>
      <c r="E49" s="1148"/>
      <c r="F49" s="1148"/>
      <c r="G49" s="1148"/>
    </row>
    <row r="50" spans="1:19" ht="16.5" customHeight="1" x14ac:dyDescent="0.2">
      <c r="A50" s="1860" t="s">
        <v>2320</v>
      </c>
      <c r="B50" s="1860"/>
      <c r="C50" s="1860"/>
      <c r="D50" s="1860"/>
      <c r="E50" s="1148"/>
      <c r="F50" s="1148"/>
      <c r="G50" s="1148"/>
    </row>
    <row r="51" spans="1:19" ht="11.75" customHeight="1" x14ac:dyDescent="0.2">
      <c r="A51" s="1860" t="s">
        <v>2321</v>
      </c>
      <c r="B51" s="1860"/>
      <c r="C51" s="1099"/>
      <c r="D51" s="1148"/>
      <c r="E51" s="1148"/>
      <c r="F51" s="1148"/>
      <c r="G51" s="1148"/>
    </row>
    <row r="52" spans="1:19" ht="10.25" customHeight="1" x14ac:dyDescent="0.2">
      <c r="A52" s="1150" t="s">
        <v>2322</v>
      </c>
      <c r="B52" s="1099"/>
      <c r="C52" s="1099"/>
      <c r="D52" s="1148"/>
      <c r="E52" s="1148"/>
      <c r="F52" s="1148"/>
      <c r="G52" s="1148"/>
    </row>
    <row r="53" spans="1:19" ht="12.25" customHeight="1" x14ac:dyDescent="0.2">
      <c r="A53" s="1860" t="s">
        <v>2323</v>
      </c>
      <c r="B53" s="1860"/>
      <c r="C53" s="1099"/>
      <c r="D53" s="1148"/>
      <c r="E53" s="1148"/>
      <c r="F53" s="1148"/>
      <c r="G53" s="1148"/>
    </row>
    <row r="54" spans="1:19" ht="10.25" customHeight="1" x14ac:dyDescent="0.2">
      <c r="A54" s="1150" t="s">
        <v>2322</v>
      </c>
      <c r="B54" s="1099"/>
      <c r="C54" s="1099"/>
      <c r="D54" s="1148"/>
      <c r="E54" s="1148"/>
      <c r="F54" s="1148"/>
      <c r="G54" s="1148"/>
    </row>
    <row r="55" spans="1:19" ht="12.25" customHeight="1" x14ac:dyDescent="0.2">
      <c r="A55" s="1860" t="s">
        <v>2324</v>
      </c>
      <c r="B55" s="1860"/>
      <c r="C55" s="1099"/>
      <c r="D55" s="1148"/>
      <c r="E55" s="1148"/>
      <c r="F55" s="1148"/>
      <c r="G55" s="1148"/>
    </row>
    <row r="56" spans="1:19" ht="10.25" customHeight="1" x14ac:dyDescent="0.2">
      <c r="A56" s="1150" t="s">
        <v>2322</v>
      </c>
      <c r="B56" s="1099"/>
      <c r="C56" s="1099"/>
      <c r="D56" s="1148"/>
      <c r="E56" s="1148"/>
      <c r="F56" s="1148"/>
      <c r="G56" s="1148"/>
    </row>
    <row r="57" spans="1:19" ht="12.25" customHeight="1" x14ac:dyDescent="0.2">
      <c r="A57" s="1860" t="s">
        <v>2325</v>
      </c>
      <c r="B57" s="1860"/>
      <c r="C57" s="1099"/>
      <c r="D57" s="1148"/>
      <c r="E57" s="1148"/>
      <c r="F57" s="1148"/>
      <c r="G57" s="1148"/>
    </row>
    <row r="58" spans="1:19" ht="14" customHeight="1" x14ac:dyDescent="0.2">
      <c r="A58" s="1150" t="s">
        <v>2322</v>
      </c>
      <c r="B58" s="1099"/>
      <c r="C58" s="1099"/>
      <c r="D58" s="1148"/>
      <c r="E58" s="1148"/>
      <c r="F58" s="1148"/>
      <c r="G58" s="1148"/>
    </row>
    <row r="59" spans="1:19" x14ac:dyDescent="0.2">
      <c r="A59" s="1151"/>
      <c r="B59" s="1151"/>
      <c r="C59" s="1151"/>
      <c r="D59" s="1151"/>
      <c r="E59" s="1151"/>
      <c r="F59" s="1151"/>
      <c r="G59" s="1151"/>
      <c r="H59" s="1151"/>
      <c r="I59" s="1151"/>
      <c r="J59" s="1151"/>
      <c r="K59" s="1151"/>
    </row>
    <row r="60" spans="1:19" ht="16" x14ac:dyDescent="0.2">
      <c r="A60" s="1151" t="s">
        <v>2326</v>
      </c>
      <c r="B60" s="1151" t="s">
        <v>2238</v>
      </c>
      <c r="C60" s="1151"/>
      <c r="D60" s="1151">
        <f>1.293*273.15/(D24+273.15)</f>
        <v>1.3171096401267945</v>
      </c>
      <c r="E60" s="1151">
        <f t="shared" ref="E60:N61" si="5">1.293*273.15/(E24+273.15)</f>
        <v>1.3171096401267945</v>
      </c>
      <c r="F60" s="1151">
        <f t="shared" si="5"/>
        <v>1.3171096401267945</v>
      </c>
      <c r="G60" s="1151">
        <f t="shared" si="5"/>
        <v>1.3171096401267945</v>
      </c>
      <c r="H60" s="1151">
        <f t="shared" si="5"/>
        <v>1.3171096401267945</v>
      </c>
      <c r="I60" s="1151">
        <f t="shared" si="5"/>
        <v>1.2929999526633735</v>
      </c>
      <c r="J60" s="1151">
        <f t="shared" si="5"/>
        <v>1.2929999526633735</v>
      </c>
      <c r="K60" s="1151">
        <f t="shared" si="5"/>
        <v>1.2929999526633735</v>
      </c>
      <c r="L60" s="1151">
        <f t="shared" si="5"/>
        <v>1.2697571454251302</v>
      </c>
      <c r="M60" s="1151">
        <f t="shared" si="5"/>
        <v>1.2697571454251302</v>
      </c>
      <c r="N60" s="1151">
        <f t="shared" si="5"/>
        <v>1.2697571454251302</v>
      </c>
    </row>
    <row r="61" spans="1:19" ht="16" x14ac:dyDescent="0.2">
      <c r="A61" s="1151" t="s">
        <v>2327</v>
      </c>
      <c r="B61" s="1151" t="s">
        <v>2238</v>
      </c>
      <c r="C61" s="1151"/>
      <c r="D61" s="1151">
        <f>1.293*273.15/(D25+273.15)</f>
        <v>1.2047857752004092</v>
      </c>
      <c r="E61" s="1151">
        <f t="shared" si="5"/>
        <v>1.2047857752004092</v>
      </c>
      <c r="F61" s="1151">
        <f t="shared" si="5"/>
        <v>1.2047857752004092</v>
      </c>
      <c r="G61" s="1151">
        <f t="shared" si="5"/>
        <v>1.2047857752004092</v>
      </c>
      <c r="H61" s="1151">
        <f t="shared" si="5"/>
        <v>1.2047857752004092</v>
      </c>
      <c r="I61" s="1151">
        <f t="shared" si="5"/>
        <v>1.2047857752004092</v>
      </c>
      <c r="J61" s="1151">
        <f t="shared" si="5"/>
        <v>1.2047857752004092</v>
      </c>
      <c r="K61" s="1151">
        <f t="shared" si="5"/>
        <v>1.2047857752004092</v>
      </c>
      <c r="L61" s="1151">
        <f t="shared" si="5"/>
        <v>1.2047857752004092</v>
      </c>
      <c r="M61" s="1151">
        <f t="shared" si="5"/>
        <v>1.2047857752004092</v>
      </c>
      <c r="N61" s="1151">
        <f t="shared" si="5"/>
        <v>1.2047857752004092</v>
      </c>
    </row>
    <row r="62" spans="1:19" ht="16" x14ac:dyDescent="0.2">
      <c r="A62" s="1151" t="s">
        <v>2328</v>
      </c>
      <c r="B62" s="1151" t="s">
        <v>496</v>
      </c>
      <c r="C62" s="1151"/>
      <c r="D62" s="1152">
        <f>((D29-D25)-(D30-D24))/LN((D29-D25)/(D30-D24))</f>
        <v>32.435795973154399</v>
      </c>
      <c r="E62" s="1152">
        <f t="shared" ref="E62:N62" si="6">((E29-E25)-(E30-E24))/LN((E29-E25)/(E30-E24))</f>
        <v>32.435795973154399</v>
      </c>
      <c r="F62" s="1152">
        <f t="shared" si="6"/>
        <v>32.435795973154399</v>
      </c>
      <c r="G62" s="1152">
        <f t="shared" si="6"/>
        <v>32.435795973154399</v>
      </c>
      <c r="H62" s="1152">
        <f t="shared" si="6"/>
        <v>33.842554056547812</v>
      </c>
      <c r="I62" s="1152">
        <f t="shared" si="6"/>
        <v>29.999995002666761</v>
      </c>
      <c r="J62" s="1152">
        <f t="shared" si="6"/>
        <v>29.999995002666761</v>
      </c>
      <c r="K62" s="1152">
        <f t="shared" si="6"/>
        <v>29.999995002666761</v>
      </c>
      <c r="L62" s="1152">
        <f t="shared" si="6"/>
        <v>27.424074738735392</v>
      </c>
      <c r="M62" s="1152">
        <f t="shared" si="6"/>
        <v>27.424074738735392</v>
      </c>
      <c r="N62" s="1152">
        <f t="shared" si="6"/>
        <v>27.424074738735392</v>
      </c>
    </row>
    <row r="63" spans="1:19" ht="16" x14ac:dyDescent="0.2">
      <c r="A63" s="1151" t="s">
        <v>2329</v>
      </c>
      <c r="B63" s="1151" t="s">
        <v>496</v>
      </c>
      <c r="C63" s="1151"/>
      <c r="D63" s="1148">
        <f>AVERAGE(D29:D30)-AVERAGE(D24:D25)</f>
        <v>32.5</v>
      </c>
      <c r="E63" s="1148">
        <f t="shared" ref="E63:N63" si="7">AVERAGE(E29:E30)-AVERAGE(E24:E25)</f>
        <v>32.5</v>
      </c>
      <c r="F63" s="1148">
        <f t="shared" si="7"/>
        <v>32.5</v>
      </c>
      <c r="G63" s="1148">
        <f t="shared" si="7"/>
        <v>32.5</v>
      </c>
      <c r="H63" s="1148">
        <f t="shared" si="7"/>
        <v>34</v>
      </c>
      <c r="I63" s="1148">
        <f t="shared" si="7"/>
        <v>29.999994999999998</v>
      </c>
      <c r="J63" s="1148">
        <f t="shared" si="7"/>
        <v>29.999994999999998</v>
      </c>
      <c r="K63" s="1148">
        <f t="shared" si="7"/>
        <v>29.999994999999998</v>
      </c>
      <c r="L63" s="1148">
        <f t="shared" si="7"/>
        <v>27.5</v>
      </c>
      <c r="M63" s="1148">
        <f t="shared" si="7"/>
        <v>27.5</v>
      </c>
      <c r="N63" s="1148">
        <f t="shared" si="7"/>
        <v>27.5</v>
      </c>
    </row>
    <row r="64" spans="1:19" x14ac:dyDescent="0.2">
      <c r="A64" s="1151"/>
      <c r="B64" s="1151"/>
      <c r="C64" s="1151"/>
      <c r="D64" s="1151"/>
      <c r="E64" s="1151"/>
      <c r="F64" s="1151"/>
      <c r="G64" s="1151"/>
      <c r="H64" s="1151"/>
      <c r="I64" s="1151"/>
      <c r="J64" s="1151"/>
      <c r="K64" s="1151"/>
      <c r="Q64" s="1153">
        <f t="array" ref="Q64:R64">LINEST(LN(D27:N27),LN(D22:N22))</f>
        <v>1.6981040587097147</v>
      </c>
      <c r="R64" s="1097">
        <v>4.0078660662577903</v>
      </c>
      <c r="S64" s="1153">
        <f>EXP(R64)</f>
        <v>55.029316266739983</v>
      </c>
    </row>
    <row r="65" spans="1:14" x14ac:dyDescent="0.2">
      <c r="A65" s="1151"/>
      <c r="B65" s="1151"/>
      <c r="C65" s="1151"/>
      <c r="D65" s="1151"/>
      <c r="E65" s="1151"/>
      <c r="F65" s="1151"/>
      <c r="G65" s="1151"/>
      <c r="H65" s="1151"/>
      <c r="I65" s="1151"/>
      <c r="J65" s="1151"/>
      <c r="K65" s="1151"/>
    </row>
    <row r="66" spans="1:14" x14ac:dyDescent="0.2">
      <c r="A66" s="1151"/>
      <c r="B66" s="1151"/>
      <c r="C66" s="1151"/>
      <c r="D66" s="1151"/>
      <c r="E66" s="1151"/>
      <c r="F66" s="1151"/>
      <c r="G66" s="1151"/>
      <c r="H66" s="1151"/>
      <c r="I66" s="1151"/>
      <c r="J66" s="1151"/>
      <c r="K66" s="1151"/>
      <c r="L66" s="1151"/>
      <c r="M66" s="1151"/>
      <c r="N66" s="1151"/>
    </row>
    <row r="67" spans="1:14" x14ac:dyDescent="0.2">
      <c r="A67" s="1151"/>
      <c r="B67" s="1151"/>
      <c r="C67" s="1151"/>
      <c r="D67" s="1151"/>
      <c r="E67" s="1151"/>
      <c r="F67" s="1151"/>
      <c r="G67" s="1151"/>
      <c r="H67" s="1151"/>
      <c r="I67" s="1151"/>
      <c r="J67" s="1151"/>
      <c r="K67" s="1151"/>
    </row>
    <row r="68" spans="1:14" x14ac:dyDescent="0.2">
      <c r="A68" s="1151"/>
      <c r="B68" s="1151"/>
      <c r="C68" s="1151"/>
      <c r="D68" s="1151"/>
      <c r="E68" s="1151"/>
      <c r="F68" s="1151"/>
      <c r="G68" s="1151"/>
      <c r="H68" s="1151"/>
      <c r="I68" s="1151"/>
      <c r="J68" s="1151"/>
      <c r="K68" s="1151"/>
    </row>
    <row r="69" spans="1:14" x14ac:dyDescent="0.2">
      <c r="A69" s="1151"/>
      <c r="B69" s="1151"/>
      <c r="C69" s="1151"/>
      <c r="D69" s="1151"/>
      <c r="E69" s="1151"/>
      <c r="F69" s="1151"/>
      <c r="G69" s="1151"/>
      <c r="H69" s="1151"/>
      <c r="I69" s="1151"/>
      <c r="J69" s="1151"/>
      <c r="K69" s="1151"/>
    </row>
    <row r="70" spans="1:14" x14ac:dyDescent="0.2">
      <c r="A70" s="1151"/>
      <c r="B70" s="1151"/>
      <c r="C70" s="1151"/>
      <c r="D70" s="1151"/>
      <c r="E70" s="1151"/>
      <c r="F70" s="1151"/>
      <c r="G70" s="1151"/>
      <c r="H70" s="1151"/>
      <c r="I70" s="1151"/>
      <c r="J70" s="1151"/>
      <c r="K70" s="1151"/>
    </row>
    <row r="71" spans="1:14" x14ac:dyDescent="0.2">
      <c r="A71" s="1151"/>
      <c r="B71" s="1151"/>
      <c r="C71" s="1151"/>
      <c r="D71" s="1151"/>
      <c r="E71" s="1151"/>
      <c r="F71" s="1151"/>
      <c r="G71" s="1151"/>
      <c r="H71" s="1151"/>
      <c r="I71" s="1151"/>
      <c r="J71" s="1151"/>
      <c r="K71" s="1151"/>
    </row>
    <row r="72" spans="1:14" x14ac:dyDescent="0.2">
      <c r="A72" s="1151"/>
      <c r="B72" s="1151"/>
      <c r="C72" s="1151"/>
      <c r="D72" s="1151"/>
      <c r="E72" s="1151"/>
      <c r="F72" s="1151"/>
      <c r="G72" s="1151"/>
      <c r="H72" s="1151"/>
      <c r="I72" s="1151"/>
      <c r="J72" s="1151"/>
      <c r="K72" s="1151"/>
    </row>
    <row r="73" spans="1:14" x14ac:dyDescent="0.2">
      <c r="A73" s="1151"/>
      <c r="B73" s="1151"/>
      <c r="C73" s="1151"/>
      <c r="D73" s="1151"/>
      <c r="E73" s="1151"/>
      <c r="F73" s="1151"/>
      <c r="G73" s="1151"/>
      <c r="H73" s="1151"/>
      <c r="I73" s="1151"/>
      <c r="J73" s="1151"/>
      <c r="K73" s="1151"/>
    </row>
    <row r="74" spans="1:14" x14ac:dyDescent="0.2">
      <c r="A74" s="1151"/>
      <c r="B74" s="1151"/>
      <c r="C74" s="1151"/>
      <c r="D74" s="1151"/>
      <c r="E74" s="1151"/>
      <c r="F74" s="1151"/>
      <c r="G74" s="1151"/>
      <c r="H74" s="1151"/>
      <c r="I74" s="1151"/>
      <c r="J74" s="1151"/>
      <c r="K74" s="1151"/>
    </row>
    <row r="81" spans="19:21" x14ac:dyDescent="0.2">
      <c r="S81" s="1153">
        <f t="array" ref="S81:T81">LINEST(LN(D33:N33),LN(D31:N31))</f>
        <v>1.9761774779177685</v>
      </c>
      <c r="T81" s="1097">
        <v>5.1408822788662185</v>
      </c>
      <c r="U81" s="1153">
        <f>EXP(T81)</f>
        <v>170.86645369933061</v>
      </c>
    </row>
  </sheetData>
  <mergeCells count="5">
    <mergeCell ref="A50:D50"/>
    <mergeCell ref="A51:B51"/>
    <mergeCell ref="A53:B53"/>
    <mergeCell ref="A55:B55"/>
    <mergeCell ref="A57:B57"/>
  </mergeCells>
  <conditionalFormatting sqref="D47:N47">
    <cfRule type="cellIs" dxfId="42" priority="4" operator="between">
      <formula>2500</formula>
      <formula>4000</formula>
    </cfRule>
    <cfRule type="cellIs" dxfId="41" priority="5" operator="lessThan">
      <formula>2500</formula>
    </cfRule>
    <cfRule type="cellIs" dxfId="40" priority="6" operator="greaterThan">
      <formula>4000</formula>
    </cfRule>
  </conditionalFormatting>
  <conditionalFormatting sqref="T25">
    <cfRule type="cellIs" dxfId="39" priority="10" operator="between">
      <formula>2500</formula>
      <formula>4000</formula>
    </cfRule>
    <cfRule type="cellIs" dxfId="38" priority="11" operator="lessThan">
      <formula>2500</formula>
    </cfRule>
    <cfRule type="cellIs" dxfId="37" priority="12" operator="greaterThan">
      <formula>4000</formula>
    </cfRule>
  </conditionalFormatting>
  <conditionalFormatting sqref="Y25">
    <cfRule type="cellIs" dxfId="36" priority="1" operator="between">
      <formula>2500</formula>
      <formula>4000</formula>
    </cfRule>
    <cfRule type="cellIs" dxfId="35" priority="2" operator="lessThan">
      <formula>2500</formula>
    </cfRule>
    <cfRule type="cellIs" dxfId="34" priority="3" operator="greaterThan">
      <formula>4000</formula>
    </cfRule>
  </conditionalFormatting>
  <conditionalFormatting sqref="AE25">
    <cfRule type="cellIs" dxfId="33" priority="13" operator="greaterThan">
      <formula>4000</formula>
    </cfRule>
  </conditionalFormatting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8A960-3A5A-45A4-B825-2C235AAD46AD}">
  <dimension ref="A1:AD81"/>
  <sheetViews>
    <sheetView topLeftCell="J1" zoomScale="115" zoomScaleNormal="115" workbookViewId="0">
      <selection activeCell="B126" sqref="B126"/>
    </sheetView>
  </sheetViews>
  <sheetFormatPr baseColWidth="10" defaultColWidth="9.1640625" defaultRowHeight="15" x14ac:dyDescent="0.2"/>
  <cols>
    <col min="1" max="1" width="28" style="1096" customWidth="1"/>
    <col min="2" max="2" width="7.5" style="1096" customWidth="1"/>
    <col min="3" max="3" width="1.6640625" style="1096" customWidth="1"/>
    <col min="4" max="17" width="8.83203125" style="1097" customWidth="1"/>
    <col min="18" max="18" width="12.5" style="1097" customWidth="1"/>
    <col min="19" max="22" width="8.83203125" style="1097" customWidth="1"/>
    <col min="23" max="25" width="8.83203125" style="1096" customWidth="1"/>
    <col min="26" max="16384" width="9.1640625" style="1096"/>
  </cols>
  <sheetData>
    <row r="1" spans="1:30" ht="19" x14ac:dyDescent="0.2">
      <c r="A1" s="1095" t="s">
        <v>2330</v>
      </c>
    </row>
    <row r="2" spans="1:30" ht="12.75" customHeight="1" x14ac:dyDescent="0.2">
      <c r="A2" s="1098" t="s">
        <v>2230</v>
      </c>
      <c r="B2" s="1099"/>
      <c r="C2" s="1145"/>
      <c r="D2" s="1154">
        <v>1</v>
      </c>
      <c r="E2" s="1154">
        <v>2</v>
      </c>
      <c r="F2" s="1154">
        <v>3</v>
      </c>
      <c r="G2" s="1154">
        <v>4</v>
      </c>
      <c r="H2" s="1155">
        <v>5</v>
      </c>
      <c r="I2" s="1155">
        <v>6</v>
      </c>
      <c r="J2" s="1155">
        <v>7</v>
      </c>
      <c r="K2" s="1155">
        <v>8</v>
      </c>
      <c r="L2" s="1155">
        <v>9</v>
      </c>
      <c r="M2" s="1155">
        <v>10</v>
      </c>
      <c r="N2" s="1155">
        <v>11</v>
      </c>
      <c r="R2" s="1103" t="s">
        <v>2231</v>
      </c>
    </row>
    <row r="3" spans="1:30" ht="12.75" customHeight="1" x14ac:dyDescent="0.2">
      <c r="A3" s="1098" t="s">
        <v>2232</v>
      </c>
      <c r="B3" s="1099"/>
      <c r="C3" s="1145"/>
      <c r="D3" s="1105">
        <v>1</v>
      </c>
      <c r="E3" s="1105">
        <v>1</v>
      </c>
      <c r="F3" s="1105">
        <v>1</v>
      </c>
      <c r="G3" s="1105">
        <v>1</v>
      </c>
      <c r="H3" s="1147">
        <v>1</v>
      </c>
      <c r="I3" s="1147">
        <v>1</v>
      </c>
      <c r="J3" s="1147">
        <v>1</v>
      </c>
      <c r="K3" s="1147">
        <v>1</v>
      </c>
      <c r="L3" s="1147">
        <v>1</v>
      </c>
      <c r="M3" s="1147">
        <v>1</v>
      </c>
      <c r="N3" s="1147">
        <v>1</v>
      </c>
    </row>
    <row r="4" spans="1:30" ht="12.75" customHeight="1" x14ac:dyDescent="0.25">
      <c r="A4" s="1098" t="s">
        <v>2233</v>
      </c>
      <c r="B4" s="1099"/>
      <c r="C4" s="1145"/>
      <c r="D4" s="1108"/>
      <c r="E4" s="1108"/>
      <c r="F4" s="1108"/>
      <c r="G4" s="1108"/>
      <c r="H4" s="1156"/>
      <c r="I4" s="1156"/>
      <c r="J4" s="1156"/>
      <c r="K4" s="1156"/>
      <c r="L4" s="1156"/>
      <c r="M4" s="1156"/>
      <c r="N4" s="1156"/>
      <c r="R4" s="1096" t="s">
        <v>485</v>
      </c>
      <c r="T4" s="1110">
        <f>'C5 Lämmitys'!E13</f>
        <v>450</v>
      </c>
      <c r="U4" s="1097" t="s">
        <v>13</v>
      </c>
      <c r="V4" s="1097" t="s">
        <v>2234</v>
      </c>
      <c r="X4" s="1096" t="s">
        <v>2235</v>
      </c>
      <c r="Z4" s="1096" t="s">
        <v>2437</v>
      </c>
      <c r="AC4" s="1117">
        <f>S64*(T4/1000)^Q64</f>
        <v>22.103275636299184</v>
      </c>
      <c r="AD4" s="1096" t="s">
        <v>14</v>
      </c>
    </row>
    <row r="5" spans="1:30" ht="12.75" customHeight="1" x14ac:dyDescent="0.25">
      <c r="A5" s="1098" t="s">
        <v>2236</v>
      </c>
      <c r="B5" s="1099"/>
      <c r="C5" s="1145"/>
      <c r="D5" s="1108"/>
      <c r="E5" s="1108"/>
      <c r="F5" s="1108"/>
      <c r="G5" s="1108"/>
      <c r="H5" s="1156"/>
      <c r="I5" s="1156"/>
      <c r="J5" s="1156"/>
      <c r="K5" s="1156"/>
      <c r="L5" s="1156"/>
      <c r="M5" s="1156"/>
      <c r="N5" s="1156"/>
      <c r="R5" s="1096" t="s">
        <v>2237</v>
      </c>
      <c r="T5" s="1110">
        <f>'C5 Lämmitys'!E14</f>
        <v>-5</v>
      </c>
      <c r="U5" s="1097" t="s">
        <v>230</v>
      </c>
      <c r="V5" s="1097">
        <f>1.293*273.15/(T5+273.15)</f>
        <v>1.3171096401267945</v>
      </c>
      <c r="W5" s="1096" t="s">
        <v>2238</v>
      </c>
      <c r="X5" s="1096">
        <f>1005+0.2*T5</f>
        <v>1004</v>
      </c>
      <c r="Y5" s="1096" t="s">
        <v>2239</v>
      </c>
    </row>
    <row r="6" spans="1:30" ht="12.75" customHeight="1" x14ac:dyDescent="0.25">
      <c r="A6" s="1098" t="s">
        <v>2240</v>
      </c>
      <c r="B6" s="1099"/>
      <c r="C6" s="1145"/>
      <c r="D6" s="1108"/>
      <c r="E6" s="1108"/>
      <c r="F6" s="1108"/>
      <c r="G6" s="1108"/>
      <c r="H6" s="1156"/>
      <c r="I6" s="1156"/>
      <c r="J6" s="1156"/>
      <c r="K6" s="1156"/>
      <c r="L6" s="1156"/>
      <c r="M6" s="1156"/>
      <c r="N6" s="1156"/>
      <c r="R6" s="1096" t="s">
        <v>2241</v>
      </c>
      <c r="T6" s="1110">
        <f>'C5 Lämmitys'!E15</f>
        <v>20</v>
      </c>
      <c r="U6" s="1097" t="s">
        <v>230</v>
      </c>
      <c r="V6" s="1097">
        <f>1.293*273.15/(T6+273.15)</f>
        <v>1.2047857752004092</v>
      </c>
      <c r="W6" s="1096" t="s">
        <v>2238</v>
      </c>
      <c r="X6" s="1096">
        <f>1005+0.2*T6</f>
        <v>1009</v>
      </c>
      <c r="Y6" s="1096" t="s">
        <v>2239</v>
      </c>
    </row>
    <row r="7" spans="1:30" ht="12.75" customHeight="1" x14ac:dyDescent="0.2">
      <c r="A7" s="1098" t="s">
        <v>2242</v>
      </c>
      <c r="B7" s="1099"/>
      <c r="C7" s="1145"/>
      <c r="D7" s="1105" t="s">
        <v>2243</v>
      </c>
      <c r="E7" s="1105" t="s">
        <v>2243</v>
      </c>
      <c r="F7" s="1105" t="s">
        <v>2243</v>
      </c>
      <c r="G7" s="1105" t="s">
        <v>2243</v>
      </c>
      <c r="H7" s="1147" t="s">
        <v>2243</v>
      </c>
      <c r="I7" s="1147" t="s">
        <v>2243</v>
      </c>
      <c r="J7" s="1147" t="s">
        <v>2243</v>
      </c>
      <c r="K7" s="1147" t="s">
        <v>2243</v>
      </c>
      <c r="L7" s="1147" t="s">
        <v>2243</v>
      </c>
      <c r="M7" s="1147" t="s">
        <v>2243</v>
      </c>
      <c r="N7" s="1147" t="s">
        <v>2243</v>
      </c>
    </row>
    <row r="8" spans="1:30" ht="12.75" customHeight="1" x14ac:dyDescent="0.2">
      <c r="A8" s="1098" t="s">
        <v>2244</v>
      </c>
      <c r="B8" s="1099"/>
      <c r="C8" s="1145"/>
      <c r="D8" s="1108"/>
      <c r="E8" s="1108"/>
      <c r="F8" s="1108"/>
      <c r="G8" s="1108"/>
      <c r="H8" s="1156"/>
      <c r="I8" s="1156"/>
      <c r="J8" s="1156"/>
      <c r="K8" s="1156"/>
      <c r="L8" s="1156"/>
      <c r="M8" s="1156"/>
      <c r="N8" s="1156"/>
      <c r="R8" s="1096" t="s">
        <v>2245</v>
      </c>
    </row>
    <row r="9" spans="1:30" ht="12.75" customHeight="1" x14ac:dyDescent="0.25">
      <c r="A9" s="1098" t="s">
        <v>2246</v>
      </c>
      <c r="B9" s="1099"/>
      <c r="C9" s="1145"/>
      <c r="D9" s="1108"/>
      <c r="E9" s="1108"/>
      <c r="F9" s="1108"/>
      <c r="G9" s="1108"/>
      <c r="H9" s="1156"/>
      <c r="I9" s="1156"/>
      <c r="J9" s="1156"/>
      <c r="K9" s="1156"/>
      <c r="L9" s="1156"/>
      <c r="M9" s="1156"/>
      <c r="N9" s="1156"/>
      <c r="R9" s="1097" t="s">
        <v>2247</v>
      </c>
      <c r="T9" s="1110">
        <f>'C5 LÄM-1'!T9</f>
        <v>50</v>
      </c>
      <c r="U9" s="1097" t="s">
        <v>230</v>
      </c>
    </row>
    <row r="10" spans="1:30" ht="12.75" customHeight="1" x14ac:dyDescent="0.25">
      <c r="A10" s="1098" t="s">
        <v>2248</v>
      </c>
      <c r="B10" s="1099"/>
      <c r="C10" s="1145"/>
      <c r="D10" s="1105" t="s">
        <v>2249</v>
      </c>
      <c r="E10" s="1105" t="s">
        <v>2249</v>
      </c>
      <c r="F10" s="1105" t="s">
        <v>2249</v>
      </c>
      <c r="G10" s="1105" t="s">
        <v>2249</v>
      </c>
      <c r="H10" s="1147" t="s">
        <v>2249</v>
      </c>
      <c r="I10" s="1147" t="s">
        <v>2250</v>
      </c>
      <c r="J10" s="1147" t="s">
        <v>2249</v>
      </c>
      <c r="K10" s="1147" t="s">
        <v>2249</v>
      </c>
      <c r="L10" s="1147" t="s">
        <v>2249</v>
      </c>
      <c r="M10" s="1147" t="s">
        <v>2249</v>
      </c>
      <c r="N10" s="1147" t="s">
        <v>2249</v>
      </c>
      <c r="R10" s="1097" t="s">
        <v>2251</v>
      </c>
      <c r="T10" s="1110">
        <f>'C5 LÄM-1'!T10</f>
        <v>30</v>
      </c>
      <c r="U10" s="1097" t="s">
        <v>230</v>
      </c>
    </row>
    <row r="11" spans="1:30" ht="12.75" customHeight="1" x14ac:dyDescent="0.2">
      <c r="A11" s="1098" t="s">
        <v>2252</v>
      </c>
      <c r="B11" s="1099"/>
      <c r="C11" s="1145"/>
      <c r="D11" s="1105" t="s">
        <v>2249</v>
      </c>
      <c r="E11" s="1105" t="s">
        <v>2249</v>
      </c>
      <c r="F11" s="1105" t="s">
        <v>2249</v>
      </c>
      <c r="G11" s="1105" t="s">
        <v>2249</v>
      </c>
      <c r="H11" s="1147" t="s">
        <v>2249</v>
      </c>
      <c r="I11" s="1147" t="s">
        <v>2249</v>
      </c>
      <c r="J11" s="1147" t="s">
        <v>2249</v>
      </c>
      <c r="K11" s="1147" t="s">
        <v>2249</v>
      </c>
      <c r="L11" s="1147" t="s">
        <v>2249</v>
      </c>
      <c r="M11" s="1147" t="s">
        <v>2249</v>
      </c>
      <c r="N11" s="1147" t="s">
        <v>2249</v>
      </c>
      <c r="W11" s="1096" t="s">
        <v>2253</v>
      </c>
      <c r="X11" s="1125">
        <f>(T9+T10)/2-(T6+T5)/2</f>
        <v>32.5</v>
      </c>
    </row>
    <row r="12" spans="1:30" ht="12.75" customHeight="1" x14ac:dyDescent="0.2">
      <c r="A12" s="1098" t="s">
        <v>2254</v>
      </c>
      <c r="B12" s="1099"/>
      <c r="C12" s="1145"/>
      <c r="D12" s="1105" t="s">
        <v>2255</v>
      </c>
      <c r="E12" s="1105" t="s">
        <v>2255</v>
      </c>
      <c r="F12" s="1105" t="s">
        <v>2255</v>
      </c>
      <c r="G12" s="1105" t="s">
        <v>2255</v>
      </c>
      <c r="H12" s="1147" t="s">
        <v>2255</v>
      </c>
      <c r="I12" s="1147" t="s">
        <v>2255</v>
      </c>
      <c r="J12" s="1147" t="s">
        <v>2255</v>
      </c>
      <c r="K12" s="1147" t="s">
        <v>2255</v>
      </c>
      <c r="L12" s="1147" t="s">
        <v>2255</v>
      </c>
      <c r="M12" s="1147" t="s">
        <v>2255</v>
      </c>
      <c r="N12" s="1147" t="s">
        <v>2255</v>
      </c>
      <c r="X12" s="1125">
        <f>(T9+T17)/2-(T6+T5)/2</f>
        <v>24.72673594451588</v>
      </c>
    </row>
    <row r="13" spans="1:30" ht="12.75" customHeight="1" x14ac:dyDescent="0.2">
      <c r="A13" s="1098" t="s">
        <v>2256</v>
      </c>
      <c r="B13" s="1098" t="s">
        <v>2257</v>
      </c>
      <c r="C13" s="1145"/>
      <c r="D13" s="1108"/>
      <c r="E13" s="1108"/>
      <c r="F13" s="1108"/>
      <c r="G13" s="1108"/>
      <c r="H13" s="1156"/>
      <c r="I13" s="1156"/>
      <c r="J13" s="1156"/>
      <c r="K13" s="1156"/>
      <c r="L13" s="1156"/>
      <c r="M13" s="1156"/>
      <c r="N13" s="1156"/>
      <c r="R13" s="1096" t="s">
        <v>2258</v>
      </c>
      <c r="T13" s="1111">
        <f>T4/1000*AVERAGE(V5:V6)*AVERAGE(X5:X6)*(T6-T5)/1000</f>
        <v>14.27786851233842</v>
      </c>
      <c r="U13" s="1097" t="s">
        <v>2259</v>
      </c>
      <c r="X13" s="1125">
        <f>(Y17+T10)/2-(T6+T5)/2</f>
        <v>24.72673594451588</v>
      </c>
    </row>
    <row r="14" spans="1:30" ht="12.75" customHeight="1" x14ac:dyDescent="0.2">
      <c r="A14" s="1099"/>
      <c r="B14" s="1099"/>
      <c r="C14" s="1099"/>
      <c r="D14" s="1113"/>
      <c r="E14" s="1113"/>
      <c r="F14" s="1113"/>
      <c r="G14" s="1113"/>
      <c r="H14" s="1157"/>
      <c r="I14" s="1157"/>
      <c r="J14" s="1157"/>
      <c r="K14" s="1157"/>
      <c r="L14" s="1157"/>
      <c r="M14" s="1157"/>
      <c r="N14" s="1157"/>
      <c r="R14" s="1096" t="s">
        <v>2260</v>
      </c>
      <c r="T14" s="1115">
        <f>(T13/$Y$45)^(1/$W$45)</f>
        <v>24.726735944515884</v>
      </c>
      <c r="U14" s="1097" t="s">
        <v>496</v>
      </c>
    </row>
    <row r="15" spans="1:30" ht="12.75" customHeight="1" x14ac:dyDescent="0.2">
      <c r="A15" s="1098" t="s">
        <v>2261</v>
      </c>
      <c r="B15" s="1098" t="s">
        <v>2262</v>
      </c>
      <c r="C15" s="1145"/>
      <c r="D15" s="1129">
        <v>650</v>
      </c>
      <c r="E15" s="1129">
        <v>650</v>
      </c>
      <c r="F15" s="1129">
        <v>650</v>
      </c>
      <c r="G15" s="1129">
        <v>650</v>
      </c>
      <c r="H15" s="1147">
        <v>650</v>
      </c>
      <c r="I15" s="1147">
        <v>650</v>
      </c>
      <c r="J15" s="1147">
        <v>650</v>
      </c>
      <c r="K15" s="1147">
        <v>650</v>
      </c>
      <c r="L15" s="1147">
        <v>650</v>
      </c>
      <c r="M15" s="1147">
        <v>650</v>
      </c>
      <c r="N15" s="1147">
        <v>650</v>
      </c>
    </row>
    <row r="16" spans="1:30" ht="12.75" customHeight="1" x14ac:dyDescent="0.2">
      <c r="A16" s="1098" t="s">
        <v>2263</v>
      </c>
      <c r="B16" s="1098" t="s">
        <v>2262</v>
      </c>
      <c r="C16" s="1145"/>
      <c r="D16" s="1129">
        <v>450</v>
      </c>
      <c r="E16" s="1129">
        <v>450</v>
      </c>
      <c r="F16" s="1129">
        <v>450</v>
      </c>
      <c r="G16" s="1129">
        <v>450</v>
      </c>
      <c r="H16" s="1147">
        <v>450</v>
      </c>
      <c r="I16" s="1147">
        <v>450</v>
      </c>
      <c r="J16" s="1147">
        <v>450</v>
      </c>
      <c r="K16" s="1147">
        <v>450</v>
      </c>
      <c r="L16" s="1147">
        <v>450</v>
      </c>
      <c r="M16" s="1147">
        <v>450</v>
      </c>
      <c r="N16" s="1147">
        <v>450</v>
      </c>
      <c r="R16" s="1096" t="s">
        <v>2264</v>
      </c>
      <c r="W16" s="1096" t="s">
        <v>2265</v>
      </c>
      <c r="X16" s="1097"/>
      <c r="Y16" s="1097"/>
      <c r="Z16" s="1097"/>
    </row>
    <row r="17" spans="1:29" ht="12.75" customHeight="1" x14ac:dyDescent="0.25">
      <c r="A17" s="1098" t="s">
        <v>2266</v>
      </c>
      <c r="B17" s="1098" t="s">
        <v>2262</v>
      </c>
      <c r="C17" s="1145"/>
      <c r="D17" s="1129">
        <v>710</v>
      </c>
      <c r="E17" s="1129">
        <v>710</v>
      </c>
      <c r="F17" s="1129">
        <v>710</v>
      </c>
      <c r="G17" s="1129">
        <v>710</v>
      </c>
      <c r="H17" s="1147">
        <v>710</v>
      </c>
      <c r="I17" s="1147">
        <v>710</v>
      </c>
      <c r="J17" s="1147">
        <v>710</v>
      </c>
      <c r="K17" s="1147">
        <v>710</v>
      </c>
      <c r="L17" s="1147">
        <v>710</v>
      </c>
      <c r="M17" s="1147">
        <v>710</v>
      </c>
      <c r="N17" s="1147">
        <v>710</v>
      </c>
      <c r="R17" s="1097" t="s">
        <v>2251</v>
      </c>
      <c r="T17" s="1116">
        <f>2*T14-T9+T6+T5</f>
        <v>14.453471889031768</v>
      </c>
      <c r="U17" s="1097" t="s">
        <v>230</v>
      </c>
      <c r="W17" s="1097" t="s">
        <v>2247</v>
      </c>
      <c r="X17" s="1097"/>
      <c r="Y17" s="1117">
        <f>2*T14-T10+T6+T5</f>
        <v>34.453471889031768</v>
      </c>
      <c r="Z17" s="1097" t="s">
        <v>230</v>
      </c>
    </row>
    <row r="18" spans="1:29" ht="12.75" customHeight="1" x14ac:dyDescent="0.2">
      <c r="A18" s="1098" t="s">
        <v>2267</v>
      </c>
      <c r="B18" s="1098" t="s">
        <v>2262</v>
      </c>
      <c r="C18" s="1145"/>
      <c r="D18" s="1129">
        <v>450</v>
      </c>
      <c r="E18" s="1129">
        <v>450</v>
      </c>
      <c r="F18" s="1129">
        <v>450</v>
      </c>
      <c r="G18" s="1129">
        <v>450</v>
      </c>
      <c r="H18" s="1147">
        <v>450</v>
      </c>
      <c r="I18" s="1147">
        <v>450</v>
      </c>
      <c r="J18" s="1147">
        <v>450</v>
      </c>
      <c r="K18" s="1147">
        <v>450</v>
      </c>
      <c r="L18" s="1147">
        <v>450</v>
      </c>
      <c r="M18" s="1147">
        <v>450</v>
      </c>
      <c r="N18" s="1147">
        <v>450</v>
      </c>
      <c r="R18" s="1097" t="s">
        <v>498</v>
      </c>
      <c r="T18" s="1118">
        <f>T13/(T9-T17)/4.186</f>
        <v>9.5954857600533669E-2</v>
      </c>
      <c r="U18" s="1097" t="s">
        <v>13</v>
      </c>
      <c r="W18" s="1097" t="s">
        <v>498</v>
      </c>
      <c r="X18" s="1097"/>
      <c r="Y18" s="1119">
        <f>T13/(Y17-T10)/4.186</f>
        <v>0.76588830648774597</v>
      </c>
      <c r="Z18" s="1097" t="s">
        <v>13</v>
      </c>
    </row>
    <row r="19" spans="1:29" ht="12.75" customHeight="1" x14ac:dyDescent="0.2">
      <c r="A19" s="1098" t="s">
        <v>2268</v>
      </c>
      <c r="B19" s="1098" t="s">
        <v>2262</v>
      </c>
      <c r="C19" s="1145"/>
      <c r="D19" s="1129">
        <v>120</v>
      </c>
      <c r="E19" s="1129">
        <v>120</v>
      </c>
      <c r="F19" s="1129">
        <v>120</v>
      </c>
      <c r="G19" s="1129">
        <v>120</v>
      </c>
      <c r="H19" s="1147">
        <v>120</v>
      </c>
      <c r="I19" s="1147">
        <v>120</v>
      </c>
      <c r="J19" s="1147">
        <v>120</v>
      </c>
      <c r="K19" s="1147">
        <v>120</v>
      </c>
      <c r="L19" s="1147">
        <v>120</v>
      </c>
      <c r="M19" s="1147">
        <v>120</v>
      </c>
      <c r="N19" s="1147">
        <v>120</v>
      </c>
      <c r="R19" s="1097" t="s">
        <v>499</v>
      </c>
      <c r="T19" s="1120">
        <f>$U$81*T18^$S$81</f>
        <v>0.16883839512999582</v>
      </c>
      <c r="U19" s="1097" t="s">
        <v>500</v>
      </c>
      <c r="W19" s="1097" t="s">
        <v>499</v>
      </c>
      <c r="X19" s="1097"/>
      <c r="Y19" s="1121">
        <f>$U$81*Y18^$S$81</f>
        <v>8.5140917411143064</v>
      </c>
      <c r="Z19" s="1097" t="s">
        <v>500</v>
      </c>
    </row>
    <row r="20" spans="1:29" ht="12.75" customHeight="1" x14ac:dyDescent="0.2">
      <c r="A20" s="1099"/>
      <c r="B20" s="1099"/>
      <c r="C20" s="1099"/>
      <c r="D20" s="1158"/>
      <c r="E20" s="1158"/>
      <c r="F20" s="1158"/>
      <c r="G20" s="1158"/>
      <c r="H20" s="1157"/>
      <c r="I20" s="1157"/>
      <c r="J20" s="1157"/>
      <c r="K20" s="1157"/>
      <c r="L20" s="1157"/>
      <c r="M20" s="1157"/>
      <c r="N20" s="1157"/>
      <c r="R20" s="1096"/>
      <c r="S20" s="1096" t="s">
        <v>2253</v>
      </c>
      <c r="T20" s="1143">
        <f>AVERAGE(T17,T9)-AVERAGE(T5:T6)</f>
        <v>24.72673594451588</v>
      </c>
      <c r="X20" s="1096" t="s">
        <v>2253</v>
      </c>
      <c r="Y20" s="1143">
        <f>AVERAGE(Y17,T10)-AVERAGE(T5:T6)</f>
        <v>24.72673594451588</v>
      </c>
    </row>
    <row r="21" spans="1:29" ht="12.75" customHeight="1" x14ac:dyDescent="0.2">
      <c r="A21" s="1098" t="s">
        <v>2269</v>
      </c>
      <c r="B21" s="1098" t="s">
        <v>2270</v>
      </c>
      <c r="C21" s="1145"/>
      <c r="D21" s="1129">
        <v>6</v>
      </c>
      <c r="E21" s="1129">
        <v>9</v>
      </c>
      <c r="F21" s="1129">
        <v>12</v>
      </c>
      <c r="G21" s="1129">
        <v>15</v>
      </c>
      <c r="H21" s="1147">
        <v>18</v>
      </c>
      <c r="I21" s="1147">
        <v>9</v>
      </c>
      <c r="J21" s="1147">
        <v>12</v>
      </c>
      <c r="K21" s="1147">
        <v>15</v>
      </c>
      <c r="L21" s="1147">
        <v>5.4</v>
      </c>
      <c r="M21" s="1147">
        <v>7.2</v>
      </c>
      <c r="N21" s="1147">
        <v>9</v>
      </c>
    </row>
    <row r="22" spans="1:29" ht="12.75" customHeight="1" x14ac:dyDescent="0.2">
      <c r="A22" s="1098" t="s">
        <v>2273</v>
      </c>
      <c r="B22" s="1098" t="s">
        <v>2274</v>
      </c>
      <c r="C22" s="1145"/>
      <c r="D22" s="1105">
        <v>0.2</v>
      </c>
      <c r="E22" s="1105">
        <v>0.3</v>
      </c>
      <c r="F22" s="1105">
        <v>0.4</v>
      </c>
      <c r="G22" s="1105">
        <v>0.5</v>
      </c>
      <c r="H22" s="1147">
        <v>0.6</v>
      </c>
      <c r="I22" s="1147">
        <v>0.3</v>
      </c>
      <c r="J22" s="1147">
        <v>0.4</v>
      </c>
      <c r="K22" s="1147">
        <v>0.5</v>
      </c>
      <c r="L22" s="1147">
        <v>0.3</v>
      </c>
      <c r="M22" s="1147">
        <v>0.4</v>
      </c>
      <c r="N22" s="1147">
        <v>0.5</v>
      </c>
      <c r="R22" s="1096" t="s">
        <v>2271</v>
      </c>
      <c r="S22" s="1096"/>
      <c r="T22" s="1125">
        <v>13</v>
      </c>
      <c r="U22" s="1096" t="s">
        <v>2272</v>
      </c>
      <c r="V22" s="1096"/>
      <c r="W22" s="1096" t="s">
        <v>2271</v>
      </c>
      <c r="Y22" s="1125">
        <v>13</v>
      </c>
      <c r="Z22" s="1096" t="s">
        <v>2272</v>
      </c>
    </row>
    <row r="23" spans="1:29" ht="12.75" customHeight="1" x14ac:dyDescent="0.2">
      <c r="A23" s="1098" t="s">
        <v>2276</v>
      </c>
      <c r="B23" s="1098" t="s">
        <v>2277</v>
      </c>
      <c r="C23" s="1145"/>
      <c r="D23" s="1105">
        <v>0.24</v>
      </c>
      <c r="E23" s="1105">
        <v>0.36</v>
      </c>
      <c r="F23" s="1105">
        <v>0.48</v>
      </c>
      <c r="G23" s="1105">
        <v>0.6</v>
      </c>
      <c r="H23" s="1147">
        <v>0.72</v>
      </c>
      <c r="I23" s="1147">
        <v>0.36</v>
      </c>
      <c r="J23" s="1147">
        <v>0.48</v>
      </c>
      <c r="K23" s="1147">
        <v>0.6</v>
      </c>
      <c r="L23" s="1147">
        <v>0.36</v>
      </c>
      <c r="M23" s="1147">
        <v>0.48</v>
      </c>
      <c r="N23" s="1147">
        <v>0.6</v>
      </c>
      <c r="R23" s="1096" t="s">
        <v>2275</v>
      </c>
      <c r="S23" s="1096"/>
      <c r="T23" s="1125">
        <f>T18/T22</f>
        <v>7.3811428923487438E-3</v>
      </c>
      <c r="U23" s="1096" t="s">
        <v>502</v>
      </c>
      <c r="V23" s="1096"/>
      <c r="W23" s="1096" t="s">
        <v>2275</v>
      </c>
      <c r="Y23" s="1125">
        <f>Y18/Y22</f>
        <v>5.8914485114442E-2</v>
      </c>
      <c r="Z23" s="1096" t="s">
        <v>502</v>
      </c>
    </row>
    <row r="24" spans="1:29" ht="12.75" customHeight="1" x14ac:dyDescent="0.2">
      <c r="A24" s="1098" t="s">
        <v>2280</v>
      </c>
      <c r="B24" s="1098" t="s">
        <v>2281</v>
      </c>
      <c r="C24" s="1145"/>
      <c r="D24" s="1129">
        <v>-5</v>
      </c>
      <c r="E24" s="1129">
        <v>-5</v>
      </c>
      <c r="F24" s="1129">
        <v>-5</v>
      </c>
      <c r="G24" s="1129">
        <v>-5</v>
      </c>
      <c r="H24" s="1147">
        <v>-5</v>
      </c>
      <c r="I24" s="1147">
        <v>-5</v>
      </c>
      <c r="J24" s="1147">
        <v>-5</v>
      </c>
      <c r="K24" s="1147">
        <v>-5</v>
      </c>
      <c r="L24" s="1147">
        <v>5</v>
      </c>
      <c r="M24" s="1147">
        <v>5</v>
      </c>
      <c r="N24" s="1147">
        <v>5</v>
      </c>
      <c r="R24" s="1096" t="s">
        <v>2278</v>
      </c>
      <c r="S24" s="1096"/>
      <c r="T24" s="1125">
        <f>9.52-2*0.36</f>
        <v>8.7999999999999989</v>
      </c>
      <c r="U24" s="1096" t="s">
        <v>2279</v>
      </c>
      <c r="V24" s="1096"/>
      <c r="W24" s="1096" t="s">
        <v>2278</v>
      </c>
      <c r="Y24" s="1125">
        <f>9.52-2*0.36</f>
        <v>8.7999999999999989</v>
      </c>
      <c r="Z24" s="1096" t="s">
        <v>2279</v>
      </c>
    </row>
    <row r="25" spans="1:29" ht="12.75" customHeight="1" x14ac:dyDescent="0.2">
      <c r="A25" s="1098" t="s">
        <v>2282</v>
      </c>
      <c r="B25" s="1098" t="s">
        <v>2281</v>
      </c>
      <c r="C25" s="1145"/>
      <c r="D25" s="1129">
        <v>20</v>
      </c>
      <c r="E25" s="1129">
        <v>20</v>
      </c>
      <c r="F25" s="1129">
        <v>20</v>
      </c>
      <c r="G25" s="1129">
        <v>20</v>
      </c>
      <c r="H25" s="1147">
        <v>20</v>
      </c>
      <c r="I25" s="1147">
        <v>20</v>
      </c>
      <c r="J25" s="1147">
        <v>20</v>
      </c>
      <c r="K25" s="1147">
        <v>20</v>
      </c>
      <c r="L25" s="1147">
        <v>20</v>
      </c>
      <c r="M25" s="1147">
        <v>20</v>
      </c>
      <c r="N25" s="1147">
        <v>20</v>
      </c>
      <c r="R25" s="1096" t="s">
        <v>501</v>
      </c>
      <c r="S25" s="1096"/>
      <c r="T25" s="1125">
        <f>T23/1000/(PI()*(T24/1000/2)^2)</f>
        <v>0.12135799349017691</v>
      </c>
      <c r="U25" s="1096" t="s">
        <v>502</v>
      </c>
      <c r="V25" s="1096"/>
      <c r="W25" s="1096" t="s">
        <v>501</v>
      </c>
      <c r="Y25" s="1125">
        <f>Y23/1000/(PI()*(Y24/1000/2)^2)</f>
        <v>0.96864995099972462</v>
      </c>
      <c r="Z25" s="1096" t="s">
        <v>502</v>
      </c>
    </row>
    <row r="26" spans="1:29" ht="12.75" customHeight="1" x14ac:dyDescent="0.2">
      <c r="A26" s="1098" t="s">
        <v>2284</v>
      </c>
      <c r="B26" s="1098" t="s">
        <v>2285</v>
      </c>
      <c r="C26" s="1145"/>
      <c r="D26" s="1105">
        <v>0.68</v>
      </c>
      <c r="E26" s="1105">
        <v>1.03</v>
      </c>
      <c r="F26" s="1105">
        <v>1.37</v>
      </c>
      <c r="G26" s="1105">
        <v>1.71</v>
      </c>
      <c r="H26" s="1147">
        <v>2.0499999999999998</v>
      </c>
      <c r="I26" s="1147">
        <v>1.03</v>
      </c>
      <c r="J26" s="1147">
        <v>1.37</v>
      </c>
      <c r="K26" s="1147">
        <v>1.71</v>
      </c>
      <c r="L26" s="1147">
        <v>1.03</v>
      </c>
      <c r="M26" s="1147">
        <v>1.37</v>
      </c>
      <c r="N26" s="1147">
        <v>1.71</v>
      </c>
      <c r="R26" s="1096" t="s">
        <v>2283</v>
      </c>
      <c r="S26" s="1096"/>
      <c r="T26" s="1129">
        <f>1000*T25*T24/1000/0.0007</f>
        <v>1525.6433467336524</v>
      </c>
      <c r="U26" s="1096"/>
      <c r="V26" s="1096"/>
      <c r="W26" s="1096" t="s">
        <v>2283</v>
      </c>
      <c r="Y26" s="1129">
        <f>1000*Y25*Y24/1000/0.0007</f>
        <v>12177.313669710824</v>
      </c>
    </row>
    <row r="27" spans="1:29" ht="12.75" customHeight="1" x14ac:dyDescent="0.2">
      <c r="A27" s="1098" t="s">
        <v>2286</v>
      </c>
      <c r="B27" s="1098" t="s">
        <v>2287</v>
      </c>
      <c r="C27" s="1145"/>
      <c r="D27" s="1105">
        <v>5.7</v>
      </c>
      <c r="E27" s="1105">
        <v>11.2</v>
      </c>
      <c r="F27" s="1105">
        <v>18.2</v>
      </c>
      <c r="G27" s="1105">
        <v>26.6</v>
      </c>
      <c r="H27" s="1147">
        <v>36.1</v>
      </c>
      <c r="I27" s="1147">
        <v>11.2</v>
      </c>
      <c r="J27" s="1147">
        <v>18.2</v>
      </c>
      <c r="K27" s="1147">
        <v>26.6</v>
      </c>
      <c r="L27" s="1147">
        <v>11.2</v>
      </c>
      <c r="M27" s="1147">
        <v>18.2</v>
      </c>
      <c r="N27" s="1147">
        <v>25.5</v>
      </c>
    </row>
    <row r="28" spans="1:29" ht="12.75" customHeight="1" x14ac:dyDescent="0.2">
      <c r="A28" s="1099"/>
      <c r="B28" s="1099"/>
      <c r="C28" s="1099"/>
      <c r="D28" s="1158"/>
      <c r="E28" s="1158"/>
      <c r="F28" s="1158"/>
      <c r="G28" s="1158"/>
      <c r="H28" s="1157"/>
      <c r="I28" s="1157"/>
      <c r="J28" s="1157"/>
      <c r="K28" s="1157"/>
      <c r="L28" s="1157"/>
      <c r="M28" s="1157"/>
      <c r="N28" s="1157"/>
      <c r="R28" s="1097" t="s">
        <v>289</v>
      </c>
      <c r="S28" s="1097" t="s">
        <v>2253</v>
      </c>
      <c r="T28" s="1097" t="s">
        <v>47</v>
      </c>
      <c r="U28" s="1097" t="s">
        <v>2288</v>
      </c>
      <c r="AA28" s="1132" t="s">
        <v>2253</v>
      </c>
      <c r="AB28" s="1133" t="s">
        <v>289</v>
      </c>
      <c r="AC28" s="1134" t="s">
        <v>47</v>
      </c>
    </row>
    <row r="29" spans="1:29" ht="12.75" customHeight="1" x14ac:dyDescent="0.2">
      <c r="A29" s="1098" t="s">
        <v>2289</v>
      </c>
      <c r="B29" s="1098" t="s">
        <v>2281</v>
      </c>
      <c r="C29" s="1145"/>
      <c r="D29" s="1129">
        <v>35</v>
      </c>
      <c r="E29" s="1129">
        <v>35</v>
      </c>
      <c r="F29" s="1129">
        <v>35</v>
      </c>
      <c r="G29" s="1129">
        <v>35</v>
      </c>
      <c r="H29" s="1147">
        <v>35</v>
      </c>
      <c r="I29" s="1147">
        <v>35</v>
      </c>
      <c r="J29" s="1147">
        <v>35</v>
      </c>
      <c r="K29" s="1147">
        <v>35</v>
      </c>
      <c r="L29" s="1147">
        <v>35</v>
      </c>
      <c r="M29" s="1147">
        <v>35</v>
      </c>
      <c r="N29" s="1147">
        <v>35</v>
      </c>
      <c r="R29" s="1159">
        <v>0.5</v>
      </c>
      <c r="S29" s="1142">
        <f>K63</f>
        <v>25</v>
      </c>
      <c r="T29" s="1138">
        <f>K21</f>
        <v>15</v>
      </c>
      <c r="U29" s="1160">
        <f>K31</f>
        <v>0.72</v>
      </c>
      <c r="W29" s="1096">
        <f t="array" ref="W29:X29">LINEST(LN(T29:T31),LN(S29:S31))</f>
        <v>1.6036571223511569</v>
      </c>
      <c r="X29" s="1096">
        <v>-2.3847984277909631</v>
      </c>
      <c r="Y29" s="1096">
        <f>EXP(X29)</f>
        <v>9.210754402929866E-2</v>
      </c>
      <c r="AA29" s="1137">
        <v>25</v>
      </c>
      <c r="AB29" s="1138">
        <f>R29</f>
        <v>0.5</v>
      </c>
      <c r="AC29" s="1115">
        <f>$Y$29*AA29^$W$29</f>
        <v>16.073544387839885</v>
      </c>
    </row>
    <row r="30" spans="1:29" ht="12.75" customHeight="1" x14ac:dyDescent="0.2">
      <c r="A30" s="1098" t="s">
        <v>2290</v>
      </c>
      <c r="B30" s="1098" t="s">
        <v>2281</v>
      </c>
      <c r="C30" s="1145"/>
      <c r="D30" s="1129">
        <v>25</v>
      </c>
      <c r="E30" s="1129">
        <v>25</v>
      </c>
      <c r="F30" s="1129">
        <v>25</v>
      </c>
      <c r="G30" s="1129">
        <v>25</v>
      </c>
      <c r="H30" s="1147">
        <v>26.5</v>
      </c>
      <c r="I30" s="1147">
        <v>27</v>
      </c>
      <c r="J30" s="1147">
        <v>30</v>
      </c>
      <c r="K30" s="1147">
        <v>30</v>
      </c>
      <c r="L30" s="1147">
        <v>25.5</v>
      </c>
      <c r="M30" s="1147">
        <v>25</v>
      </c>
      <c r="N30" s="1147">
        <v>25.5</v>
      </c>
      <c r="R30" s="1161">
        <v>0.5</v>
      </c>
      <c r="S30" s="1143">
        <f>G63</f>
        <v>22.5</v>
      </c>
      <c r="T30" s="1130">
        <f>G21</f>
        <v>15</v>
      </c>
      <c r="U30" s="1162">
        <f>G31</f>
        <v>0.36</v>
      </c>
      <c r="AA30" s="1139">
        <v>25</v>
      </c>
      <c r="AB30" s="1097">
        <f>R34</f>
        <v>0.4</v>
      </c>
      <c r="AC30" s="1115">
        <f>$Y$34*AA30^$W$34</f>
        <v>12.833266122834702</v>
      </c>
    </row>
    <row r="31" spans="1:29" ht="12.75" customHeight="1" x14ac:dyDescent="0.2">
      <c r="A31" s="1098" t="s">
        <v>2291</v>
      </c>
      <c r="B31" s="1098" t="s">
        <v>2292</v>
      </c>
      <c r="C31" s="1145"/>
      <c r="D31" s="1163">
        <v>0.14000000000000001</v>
      </c>
      <c r="E31" s="1163">
        <v>0.22</v>
      </c>
      <c r="F31" s="1163">
        <v>0.28999999999999998</v>
      </c>
      <c r="G31" s="1163">
        <v>0.36</v>
      </c>
      <c r="H31" s="1164">
        <v>0.51</v>
      </c>
      <c r="I31" s="1164">
        <v>0.27</v>
      </c>
      <c r="J31" s="1164">
        <v>0.57999999999999996</v>
      </c>
      <c r="K31" s="1164">
        <v>0.72</v>
      </c>
      <c r="L31" s="1164">
        <v>0.14000000000000001</v>
      </c>
      <c r="M31" s="1164">
        <v>0.17</v>
      </c>
      <c r="N31" s="1164">
        <v>0.23</v>
      </c>
      <c r="P31" s="1097">
        <f>N31*4.186*(N29-N30)</f>
        <v>9.1464100000000013</v>
      </c>
      <c r="R31" s="1165">
        <v>0.5</v>
      </c>
      <c r="S31" s="1144">
        <f>N63</f>
        <v>17.75</v>
      </c>
      <c r="T31" s="1141">
        <f>N21</f>
        <v>9</v>
      </c>
      <c r="U31" s="1166">
        <f>N31</f>
        <v>0.23</v>
      </c>
      <c r="AA31" s="1140">
        <v>25</v>
      </c>
      <c r="AB31" s="1141">
        <f>R39</f>
        <v>0.3</v>
      </c>
      <c r="AC31" s="1115">
        <f>$Y$39*AA31^$W$39</f>
        <v>10.541051188910068</v>
      </c>
    </row>
    <row r="32" spans="1:29" ht="12.75" customHeight="1" x14ac:dyDescent="0.2">
      <c r="A32" s="1098" t="s">
        <v>2293</v>
      </c>
      <c r="B32" s="1098" t="s">
        <v>2285</v>
      </c>
      <c r="C32" s="1145"/>
      <c r="D32" s="1105">
        <v>0.16</v>
      </c>
      <c r="E32" s="1105">
        <v>0.24</v>
      </c>
      <c r="F32" s="1105">
        <v>0.32</v>
      </c>
      <c r="G32" s="1105">
        <v>0.4</v>
      </c>
      <c r="H32" s="1147">
        <v>0.56000000000000005</v>
      </c>
      <c r="I32" s="1147">
        <v>0.3</v>
      </c>
      <c r="J32" s="1147">
        <v>0.64</v>
      </c>
      <c r="K32" s="1147">
        <v>0.8</v>
      </c>
      <c r="L32" s="1147">
        <v>0.15</v>
      </c>
      <c r="M32" s="1147">
        <v>0.19</v>
      </c>
      <c r="N32" s="1147">
        <v>0.25</v>
      </c>
    </row>
    <row r="33" spans="1:29" ht="12.75" customHeight="1" x14ac:dyDescent="0.2">
      <c r="A33" s="1098" t="s">
        <v>2294</v>
      </c>
      <c r="B33" s="1098" t="s">
        <v>2295</v>
      </c>
      <c r="C33" s="1145"/>
      <c r="D33" s="1105">
        <v>0.3</v>
      </c>
      <c r="E33" s="1105">
        <v>0.8</v>
      </c>
      <c r="F33" s="1105">
        <v>1.3</v>
      </c>
      <c r="G33" s="1167">
        <v>2</v>
      </c>
      <c r="H33" s="1147">
        <v>3.9</v>
      </c>
      <c r="I33" s="1147">
        <v>1.2</v>
      </c>
      <c r="J33" s="1147">
        <v>5</v>
      </c>
      <c r="K33" s="1147">
        <v>7.6</v>
      </c>
      <c r="L33" s="1147">
        <v>0.3</v>
      </c>
      <c r="M33" s="1147">
        <v>0.7</v>
      </c>
      <c r="N33" s="1147">
        <v>0.9</v>
      </c>
      <c r="R33" s="1097" t="s">
        <v>289</v>
      </c>
      <c r="S33" s="1097" t="s">
        <v>2253</v>
      </c>
      <c r="T33" s="1097" t="s">
        <v>47</v>
      </c>
      <c r="U33" s="1097" t="s">
        <v>2288</v>
      </c>
      <c r="AA33" s="1132" t="s">
        <v>2253</v>
      </c>
      <c r="AB33" s="1133" t="s">
        <v>289</v>
      </c>
      <c r="AC33" s="1134" t="s">
        <v>47</v>
      </c>
    </row>
    <row r="34" spans="1:29" ht="12.75" customHeight="1" x14ac:dyDescent="0.2">
      <c r="A34" s="1098" t="s">
        <v>2296</v>
      </c>
      <c r="B34" s="1098" t="s">
        <v>2297</v>
      </c>
      <c r="C34" s="1145"/>
      <c r="D34" s="1105" t="s">
        <v>2298</v>
      </c>
      <c r="E34" s="1105" t="s">
        <v>2298</v>
      </c>
      <c r="F34" s="1105" t="s">
        <v>2298</v>
      </c>
      <c r="G34" s="1105" t="s">
        <v>2298</v>
      </c>
      <c r="H34" s="1147" t="s">
        <v>2298</v>
      </c>
      <c r="I34" s="1147" t="s">
        <v>2298</v>
      </c>
      <c r="J34" s="1147" t="s">
        <v>2298</v>
      </c>
      <c r="K34" s="1147" t="s">
        <v>2298</v>
      </c>
      <c r="L34" s="1147" t="s">
        <v>2298</v>
      </c>
      <c r="M34" s="1147" t="s">
        <v>2298</v>
      </c>
      <c r="N34" s="1147" t="s">
        <v>2298</v>
      </c>
      <c r="R34" s="1159">
        <v>0.4</v>
      </c>
      <c r="S34" s="1142">
        <f>F63</f>
        <v>22.5</v>
      </c>
      <c r="T34" s="1138">
        <f>F21</f>
        <v>12</v>
      </c>
      <c r="U34" s="1160">
        <f>F31</f>
        <v>0.28999999999999998</v>
      </c>
      <c r="W34" s="1096">
        <f t="array" ref="W34:X34">LINEST(LN(T34:T36),LN(S34:S36))</f>
        <v>1.5415003456975063</v>
      </c>
      <c r="X34" s="1096">
        <v>-2.4098574813614735</v>
      </c>
      <c r="Y34" s="1096">
        <f>EXP(X34)</f>
        <v>8.9828095837936744E-2</v>
      </c>
      <c r="AA34" s="1137">
        <v>22.5</v>
      </c>
      <c r="AB34" s="1142">
        <f>R30</f>
        <v>0.5</v>
      </c>
      <c r="AC34" s="1115">
        <f>$Y$29*AA34^$W$29</f>
        <v>13.574765257070025</v>
      </c>
    </row>
    <row r="35" spans="1:29" ht="12.75" customHeight="1" x14ac:dyDescent="0.2">
      <c r="A35" s="1098" t="s">
        <v>2299</v>
      </c>
      <c r="B35" s="1098" t="s">
        <v>2257</v>
      </c>
      <c r="C35" s="1145"/>
      <c r="D35" s="1108"/>
      <c r="E35" s="1108"/>
      <c r="F35" s="1108"/>
      <c r="G35" s="1108"/>
      <c r="H35" s="1156"/>
      <c r="I35" s="1156"/>
      <c r="J35" s="1156"/>
      <c r="K35" s="1156"/>
      <c r="L35" s="1156"/>
      <c r="M35" s="1156"/>
      <c r="N35" s="1156"/>
      <c r="R35" s="1161">
        <v>0.4</v>
      </c>
      <c r="S35" s="1143">
        <f>J63</f>
        <v>25</v>
      </c>
      <c r="T35" s="1097">
        <f>J21</f>
        <v>12</v>
      </c>
      <c r="U35" s="1162">
        <f>J31</f>
        <v>0.57999999999999996</v>
      </c>
      <c r="AA35" s="1139">
        <v>22.5</v>
      </c>
      <c r="AB35" s="1143">
        <f>R35</f>
        <v>0.4</v>
      </c>
      <c r="AC35" s="1115">
        <f>$Y$34*AA35^$W$34</f>
        <v>10.909428814001723</v>
      </c>
    </row>
    <row r="36" spans="1:29" ht="12.75" customHeight="1" x14ac:dyDescent="0.2">
      <c r="A36" s="1099"/>
      <c r="B36" s="1099"/>
      <c r="C36" s="1099"/>
      <c r="D36" s="1113"/>
      <c r="E36" s="1113"/>
      <c r="F36" s="1113"/>
      <c r="G36" s="1113"/>
      <c r="H36" s="1157"/>
      <c r="I36" s="1157"/>
      <c r="J36" s="1157"/>
      <c r="K36" s="1157"/>
      <c r="L36" s="1157"/>
      <c r="M36" s="1157"/>
      <c r="N36" s="1157"/>
      <c r="R36" s="1165">
        <v>0.4</v>
      </c>
      <c r="S36" s="1144">
        <f>M63</f>
        <v>17.5</v>
      </c>
      <c r="T36" s="1141">
        <f>M21</f>
        <v>7.2</v>
      </c>
      <c r="U36" s="1166">
        <f>M31</f>
        <v>0.17</v>
      </c>
      <c r="AA36" s="1140">
        <v>22.5</v>
      </c>
      <c r="AB36" s="1144">
        <f>R40</f>
        <v>0.3</v>
      </c>
      <c r="AC36" s="1115">
        <f>$Y$39*AA36^$W$39</f>
        <v>8.5993011464321931</v>
      </c>
    </row>
    <row r="37" spans="1:29" ht="12.75" customHeight="1" x14ac:dyDescent="0.2">
      <c r="A37" s="1098" t="s">
        <v>2300</v>
      </c>
      <c r="B37" s="1099"/>
      <c r="C37" s="1145"/>
      <c r="D37" s="1129">
        <v>3</v>
      </c>
      <c r="E37" s="1129">
        <v>3</v>
      </c>
      <c r="F37" s="1129">
        <v>3</v>
      </c>
      <c r="G37" s="1129">
        <v>3</v>
      </c>
      <c r="H37" s="1147">
        <v>3</v>
      </c>
      <c r="I37" s="1147">
        <v>3</v>
      </c>
      <c r="J37" s="1147">
        <v>3</v>
      </c>
      <c r="K37" s="1147">
        <v>3</v>
      </c>
      <c r="L37" s="1147">
        <v>3</v>
      </c>
      <c r="M37" s="1147">
        <v>3</v>
      </c>
      <c r="N37" s="1147">
        <v>3</v>
      </c>
    </row>
    <row r="38" spans="1:29" ht="12.75" customHeight="1" x14ac:dyDescent="0.2">
      <c r="A38" s="1098" t="s">
        <v>2301</v>
      </c>
      <c r="B38" s="1098" t="s">
        <v>2262</v>
      </c>
      <c r="C38" s="1145"/>
      <c r="D38" s="1105">
        <v>1.6</v>
      </c>
      <c r="E38" s="1105">
        <v>1.6</v>
      </c>
      <c r="F38" s="1105">
        <v>1.6</v>
      </c>
      <c r="G38" s="1105">
        <v>1.6</v>
      </c>
      <c r="H38" s="1147">
        <v>1.6</v>
      </c>
      <c r="I38" s="1147">
        <v>1.6</v>
      </c>
      <c r="J38" s="1147">
        <v>1.6</v>
      </c>
      <c r="K38" s="1147">
        <v>1.6</v>
      </c>
      <c r="L38" s="1147">
        <v>1.6</v>
      </c>
      <c r="M38" s="1147">
        <v>1.6</v>
      </c>
      <c r="N38" s="1147">
        <v>2</v>
      </c>
      <c r="R38" s="1097" t="s">
        <v>289</v>
      </c>
      <c r="S38" s="1097" t="s">
        <v>2253</v>
      </c>
      <c r="T38" s="1097" t="s">
        <v>47</v>
      </c>
      <c r="U38" s="1097" t="s">
        <v>2288</v>
      </c>
      <c r="AA38" s="1132" t="s">
        <v>2253</v>
      </c>
      <c r="AB38" s="1133" t="s">
        <v>289</v>
      </c>
      <c r="AC38" s="1134" t="s">
        <v>47</v>
      </c>
    </row>
    <row r="39" spans="1:29" ht="12.75" customHeight="1" x14ac:dyDescent="0.2">
      <c r="A39" s="1098" t="s">
        <v>2302</v>
      </c>
      <c r="B39" s="1098" t="s">
        <v>2303</v>
      </c>
      <c r="C39" s="1145"/>
      <c r="D39" s="1105">
        <v>3.1</v>
      </c>
      <c r="E39" s="1105">
        <v>3.1</v>
      </c>
      <c r="F39" s="1105">
        <v>3.1</v>
      </c>
      <c r="G39" s="1105">
        <v>3.1</v>
      </c>
      <c r="H39" s="1147">
        <v>3.1</v>
      </c>
      <c r="I39" s="1147">
        <v>3.1</v>
      </c>
      <c r="J39" s="1147">
        <v>3.1</v>
      </c>
      <c r="K39" s="1147">
        <v>3.1</v>
      </c>
      <c r="L39" s="1147">
        <v>3.1</v>
      </c>
      <c r="M39" s="1147">
        <v>3.1</v>
      </c>
      <c r="N39" s="1147">
        <v>3.1</v>
      </c>
      <c r="R39" s="1159">
        <v>0.3</v>
      </c>
      <c r="S39" s="1142">
        <f>E63</f>
        <v>22.5</v>
      </c>
      <c r="T39" s="1138">
        <f>E21</f>
        <v>9</v>
      </c>
      <c r="U39" s="1160">
        <f>E31</f>
        <v>0.22</v>
      </c>
      <c r="W39" s="1096">
        <f t="array" ref="W39:X39">LINEST(LN(T39:T41),LN(S39:S41))</f>
        <v>1.9323779145103168</v>
      </c>
      <c r="X39" s="1096">
        <v>-3.8648072820931323</v>
      </c>
      <c r="Y39" s="1096">
        <f>EXP(X39)</f>
        <v>2.0966962756894088E-2</v>
      </c>
      <c r="AA39" s="1137">
        <v>17.5</v>
      </c>
      <c r="AB39" s="1142">
        <f>R31</f>
        <v>0.5</v>
      </c>
      <c r="AC39" s="1115">
        <f>$Y$29*AA39^$W$29</f>
        <v>9.0719787128122888</v>
      </c>
    </row>
    <row r="40" spans="1:29" ht="12.75" customHeight="1" x14ac:dyDescent="0.2">
      <c r="A40" s="1098" t="s">
        <v>2305</v>
      </c>
      <c r="B40" s="1098" t="s">
        <v>2306</v>
      </c>
      <c r="C40" s="1145"/>
      <c r="D40" s="1129">
        <v>13</v>
      </c>
      <c r="E40" s="1129">
        <v>13</v>
      </c>
      <c r="F40" s="1129">
        <v>13</v>
      </c>
      <c r="G40" s="1129">
        <v>13</v>
      </c>
      <c r="H40" s="1147">
        <v>13</v>
      </c>
      <c r="I40" s="1147">
        <v>13</v>
      </c>
      <c r="J40" s="1147">
        <v>13</v>
      </c>
      <c r="K40" s="1147">
        <v>13</v>
      </c>
      <c r="L40" s="1147">
        <v>13</v>
      </c>
      <c r="M40" s="1147">
        <v>13</v>
      </c>
      <c r="N40" s="1147">
        <v>13</v>
      </c>
      <c r="R40" s="1161">
        <v>0.3</v>
      </c>
      <c r="S40" s="1143">
        <f>I63</f>
        <v>23.5</v>
      </c>
      <c r="T40" s="1097">
        <f>I21</f>
        <v>9</v>
      </c>
      <c r="U40" s="1162">
        <f>I31</f>
        <v>0.27</v>
      </c>
      <c r="AA40" s="1139">
        <v>17.5</v>
      </c>
      <c r="AB40" s="1143">
        <f>R36</f>
        <v>0.4</v>
      </c>
      <c r="AC40" s="1115">
        <f>$Y$34*AA40^$W$34</f>
        <v>7.405523687730204</v>
      </c>
    </row>
    <row r="41" spans="1:29" ht="12.75" customHeight="1" x14ac:dyDescent="0.2">
      <c r="A41" s="1099"/>
      <c r="B41" s="1099"/>
      <c r="C41" s="1099"/>
      <c r="D41" s="1113"/>
      <c r="E41" s="1113"/>
      <c r="F41" s="1113"/>
      <c r="G41" s="1113"/>
      <c r="H41" s="1157"/>
      <c r="I41" s="1157"/>
      <c r="J41" s="1157"/>
      <c r="K41" s="1157"/>
      <c r="L41" s="1157"/>
      <c r="M41" s="1157"/>
      <c r="N41" s="1157"/>
      <c r="R41" s="1165">
        <v>0.3</v>
      </c>
      <c r="S41" s="1144">
        <f>L63</f>
        <v>17.75</v>
      </c>
      <c r="T41" s="1141">
        <f>L21</f>
        <v>5.4</v>
      </c>
      <c r="U41" s="1166">
        <f>L31</f>
        <v>0.14000000000000001</v>
      </c>
      <c r="AA41" s="1140">
        <v>17.5</v>
      </c>
      <c r="AB41" s="1144">
        <f>R41</f>
        <v>0.3</v>
      </c>
      <c r="AC41" s="1115">
        <f>$Y$39*AA41^$W$39</f>
        <v>5.2912075339416216</v>
      </c>
    </row>
    <row r="42" spans="1:29" ht="12.75" customHeight="1" x14ac:dyDescent="0.2">
      <c r="A42" s="1098" t="s">
        <v>2307</v>
      </c>
      <c r="B42" s="1168" t="s">
        <v>2308</v>
      </c>
      <c r="C42" s="1145"/>
      <c r="D42" s="1108">
        <v>8.8000000000000007</v>
      </c>
      <c r="E42" s="1108">
        <v>8.8000000000000007</v>
      </c>
      <c r="F42" s="1108">
        <v>8.8000000000000007</v>
      </c>
      <c r="G42" s="1108">
        <v>8.8000000000000007</v>
      </c>
      <c r="H42" s="1108">
        <v>8.8000000000000007</v>
      </c>
      <c r="I42" s="1108">
        <v>8.8000000000000007</v>
      </c>
      <c r="J42" s="1108">
        <v>8.8000000000000007</v>
      </c>
      <c r="K42" s="1108">
        <v>8.8000000000000007</v>
      </c>
      <c r="L42" s="1108">
        <v>8.8000000000000007</v>
      </c>
      <c r="M42" s="1108">
        <v>8.8000000000000007</v>
      </c>
      <c r="N42" s="1108">
        <v>8.8000000000000007</v>
      </c>
    </row>
    <row r="43" spans="1:29" ht="12.75" customHeight="1" x14ac:dyDescent="0.2">
      <c r="A43" s="1098" t="s">
        <v>2310</v>
      </c>
      <c r="B43" s="1168" t="s">
        <v>2311</v>
      </c>
      <c r="C43" s="1145"/>
      <c r="D43" s="1108">
        <v>13</v>
      </c>
      <c r="E43" s="1108">
        <v>13</v>
      </c>
      <c r="F43" s="1108">
        <v>13</v>
      </c>
      <c r="G43" s="1108">
        <v>13</v>
      </c>
      <c r="H43" s="1108">
        <v>13</v>
      </c>
      <c r="I43" s="1108">
        <v>13</v>
      </c>
      <c r="J43" s="1108">
        <v>13</v>
      </c>
      <c r="K43" s="1108">
        <v>13</v>
      </c>
      <c r="L43" s="1108">
        <v>13</v>
      </c>
      <c r="M43" s="1108">
        <v>13</v>
      </c>
      <c r="N43" s="1108">
        <v>13</v>
      </c>
      <c r="R43" s="1103" t="s">
        <v>2309</v>
      </c>
    </row>
    <row r="44" spans="1:29" ht="12.75" customHeight="1" x14ac:dyDescent="0.2">
      <c r="A44" s="1098" t="s">
        <v>2312</v>
      </c>
      <c r="B44" s="1168" t="s">
        <v>2313</v>
      </c>
      <c r="C44" s="1145"/>
      <c r="D44" s="1108">
        <f>D31/D43</f>
        <v>1.0769230769230771E-2</v>
      </c>
      <c r="E44" s="1108">
        <f t="shared" ref="E44:N44" si="0">E31/E43</f>
        <v>1.6923076923076923E-2</v>
      </c>
      <c r="F44" s="1108">
        <f t="shared" si="0"/>
        <v>2.2307692307692306E-2</v>
      </c>
      <c r="G44" s="1108">
        <f t="shared" si="0"/>
        <v>2.769230769230769E-2</v>
      </c>
      <c r="H44" s="1108">
        <f t="shared" si="0"/>
        <v>3.9230769230769229E-2</v>
      </c>
      <c r="I44" s="1108">
        <f t="shared" si="0"/>
        <v>2.0769230769230769E-2</v>
      </c>
      <c r="J44" s="1108">
        <f t="shared" si="0"/>
        <v>4.4615384615384612E-2</v>
      </c>
      <c r="K44" s="1108">
        <f t="shared" si="0"/>
        <v>5.5384615384615379E-2</v>
      </c>
      <c r="L44" s="1108">
        <f t="shared" si="0"/>
        <v>1.0769230769230771E-2</v>
      </c>
      <c r="M44" s="1108">
        <f t="shared" si="0"/>
        <v>1.3076923076923078E-2</v>
      </c>
      <c r="N44" s="1108">
        <f t="shared" si="0"/>
        <v>1.7692307692307695E-2</v>
      </c>
      <c r="R44" s="1097" t="s">
        <v>289</v>
      </c>
      <c r="S44" s="1097" t="s">
        <v>2253</v>
      </c>
      <c r="T44" s="1097" t="s">
        <v>47</v>
      </c>
    </row>
    <row r="45" spans="1:29" ht="12.75" customHeight="1" x14ac:dyDescent="0.2">
      <c r="A45" s="1098" t="s">
        <v>2314</v>
      </c>
      <c r="B45" s="1168" t="s">
        <v>2315</v>
      </c>
      <c r="C45" s="1145"/>
      <c r="D45" s="1108">
        <f>PI()*(D42/2/1000)^2</f>
        <v>6.0821233773498395E-5</v>
      </c>
      <c r="E45" s="1108">
        <f t="shared" ref="E45:N45" si="1">PI()*(E42/2/1000)^2</f>
        <v>6.0821233773498395E-5</v>
      </c>
      <c r="F45" s="1108">
        <f t="shared" si="1"/>
        <v>6.0821233773498395E-5</v>
      </c>
      <c r="G45" s="1108">
        <f t="shared" si="1"/>
        <v>6.0821233773498395E-5</v>
      </c>
      <c r="H45" s="1108">
        <f t="shared" si="1"/>
        <v>6.0821233773498395E-5</v>
      </c>
      <c r="I45" s="1108">
        <f t="shared" si="1"/>
        <v>6.0821233773498395E-5</v>
      </c>
      <c r="J45" s="1108">
        <f t="shared" si="1"/>
        <v>6.0821233773498395E-5</v>
      </c>
      <c r="K45" s="1108">
        <f t="shared" si="1"/>
        <v>6.0821233773498395E-5</v>
      </c>
      <c r="L45" s="1108">
        <f t="shared" si="1"/>
        <v>6.0821233773498395E-5</v>
      </c>
      <c r="M45" s="1108">
        <f t="shared" si="1"/>
        <v>6.0821233773498395E-5</v>
      </c>
      <c r="N45" s="1108">
        <f t="shared" si="1"/>
        <v>6.0821233773498395E-5</v>
      </c>
      <c r="R45" s="1097">
        <f>T4/1000</f>
        <v>0.45</v>
      </c>
      <c r="S45" s="1143">
        <f>AVERAGE(AA29:AA31)</f>
        <v>25</v>
      </c>
      <c r="T45" s="1143">
        <f>_xlfn.FORECAST.LINEAR(R45,AC29:AC31,AB29:AB31)</f>
        <v>14.53241053292734</v>
      </c>
      <c r="W45" s="1103">
        <f t="array" ref="W45:X45">LINEST(LN(T45:T47),LN(S45:S47))</f>
        <v>1.6038349113429546</v>
      </c>
      <c r="X45" s="1096">
        <v>-2.4862074091885371</v>
      </c>
      <c r="Y45" s="1103">
        <f>EXP(X45)</f>
        <v>8.322500718502357E-2</v>
      </c>
    </row>
    <row r="46" spans="1:29" ht="12.75" customHeight="1" x14ac:dyDescent="0.2">
      <c r="A46" s="1098" t="s">
        <v>2316</v>
      </c>
      <c r="B46" s="1168" t="s">
        <v>502</v>
      </c>
      <c r="C46" s="1145"/>
      <c r="D46" s="1108">
        <f>(D44/1000)/D45</f>
        <v>0.17706366841119955</v>
      </c>
      <c r="E46" s="1108">
        <f t="shared" ref="E46:N46" si="2">(E44/1000)/E45</f>
        <v>0.27824290750331354</v>
      </c>
      <c r="F46" s="1108">
        <f t="shared" si="2"/>
        <v>0.36677474170891328</v>
      </c>
      <c r="G46" s="1108">
        <f t="shared" si="2"/>
        <v>0.45530657591451301</v>
      </c>
      <c r="H46" s="1108">
        <f t="shared" si="2"/>
        <v>0.64501764921222671</v>
      </c>
      <c r="I46" s="1108">
        <f t="shared" si="2"/>
        <v>0.34147993193588477</v>
      </c>
      <c r="J46" s="1108">
        <f t="shared" si="2"/>
        <v>0.73354948341782655</v>
      </c>
      <c r="K46" s="1108">
        <f t="shared" si="2"/>
        <v>0.91061315182902602</v>
      </c>
      <c r="L46" s="1108">
        <f t="shared" si="2"/>
        <v>0.17706366841119955</v>
      </c>
      <c r="M46" s="1108">
        <f t="shared" si="2"/>
        <v>0.21500588307074231</v>
      </c>
      <c r="N46" s="1108">
        <f t="shared" si="2"/>
        <v>0.29089031238982782</v>
      </c>
      <c r="R46" s="1097">
        <f>R45</f>
        <v>0.45</v>
      </c>
      <c r="S46" s="1143">
        <f>AVERAGE(AA34:AA36)</f>
        <v>22.5</v>
      </c>
      <c r="T46" s="1143">
        <f>_xlfn.FORECAST.LINEAR(R46,AC34:AC36,AB34:AB36)</f>
        <v>12.271697766827439</v>
      </c>
    </row>
    <row r="47" spans="1:29" ht="12.75" customHeight="1" x14ac:dyDescent="0.2">
      <c r="A47" s="1098" t="s">
        <v>2317</v>
      </c>
      <c r="B47" s="1149" t="s">
        <v>487</v>
      </c>
      <c r="C47" s="1145"/>
      <c r="D47" s="1129">
        <f>1000*D46*(D42/1000)/0.0007</f>
        <v>2225.9432600265091</v>
      </c>
      <c r="E47" s="1129">
        <f t="shared" ref="E47:N47" si="3">1000*E46*(E42/1000)/0.0007</f>
        <v>3497.9108371845127</v>
      </c>
      <c r="F47" s="1129">
        <f t="shared" si="3"/>
        <v>4610.8824671977673</v>
      </c>
      <c r="G47" s="1129">
        <f t="shared" si="3"/>
        <v>5723.8540972110204</v>
      </c>
      <c r="H47" s="1129">
        <f t="shared" si="3"/>
        <v>8108.7933043822795</v>
      </c>
      <c r="I47" s="1129">
        <f t="shared" si="3"/>
        <v>4292.8905729082662</v>
      </c>
      <c r="J47" s="1129">
        <f t="shared" si="3"/>
        <v>9221.7649343955345</v>
      </c>
      <c r="K47" s="1129">
        <f t="shared" si="3"/>
        <v>11447.708194422041</v>
      </c>
      <c r="L47" s="1129">
        <f t="shared" si="3"/>
        <v>2225.9432600265091</v>
      </c>
      <c r="M47" s="1129">
        <f t="shared" si="3"/>
        <v>2702.9311014607606</v>
      </c>
      <c r="N47" s="1129">
        <f t="shared" si="3"/>
        <v>3656.9067843292646</v>
      </c>
      <c r="R47" s="1097">
        <f>R46</f>
        <v>0.45</v>
      </c>
      <c r="S47" s="1143">
        <f>AVERAGE(AA39:AA41)</f>
        <v>17.5</v>
      </c>
      <c r="T47" s="1143">
        <f>_xlfn.FORECAST.LINEAR(R47,AC39:AC41,AB39:AB41)</f>
        <v>8.2014294395457057</v>
      </c>
    </row>
    <row r="48" spans="1:29" ht="12.75" customHeight="1" x14ac:dyDescent="0.2">
      <c r="A48" s="1098" t="s">
        <v>2318</v>
      </c>
      <c r="B48" s="1098" t="s">
        <v>2319</v>
      </c>
      <c r="C48" s="1145"/>
      <c r="D48" s="1105"/>
      <c r="E48" s="1105"/>
      <c r="F48" s="1105"/>
      <c r="G48" s="1105"/>
      <c r="H48" s="1147"/>
      <c r="I48" s="1147"/>
      <c r="J48" s="1147"/>
      <c r="K48" s="1147"/>
      <c r="L48" s="1147"/>
      <c r="M48" s="1147"/>
      <c r="N48" s="1147"/>
    </row>
    <row r="49" spans="1:19" ht="6.5" customHeight="1" x14ac:dyDescent="0.2">
      <c r="A49" s="1099"/>
      <c r="B49" s="1099"/>
      <c r="C49" s="1099"/>
      <c r="D49" s="1148"/>
      <c r="E49" s="1148"/>
      <c r="F49" s="1148"/>
      <c r="G49" s="1148"/>
    </row>
    <row r="50" spans="1:19" ht="16.5" customHeight="1" x14ac:dyDescent="0.2">
      <c r="A50" s="1860" t="s">
        <v>2320</v>
      </c>
      <c r="B50" s="1860"/>
      <c r="C50" s="1860"/>
      <c r="D50" s="1860"/>
      <c r="E50" s="1148"/>
      <c r="F50" s="1148"/>
      <c r="G50" s="1148"/>
    </row>
    <row r="51" spans="1:19" ht="11.75" customHeight="1" x14ac:dyDescent="0.2">
      <c r="A51" s="1860" t="s">
        <v>2331</v>
      </c>
      <c r="B51" s="1860"/>
      <c r="C51" s="1860"/>
      <c r="D51" s="1148"/>
      <c r="E51" s="1148"/>
      <c r="F51" s="1148"/>
      <c r="G51" s="1148"/>
    </row>
    <row r="52" spans="1:19" ht="10.25" customHeight="1" x14ac:dyDescent="0.2">
      <c r="A52" s="1150" t="s">
        <v>2322</v>
      </c>
      <c r="B52" s="1099"/>
      <c r="C52" s="1099"/>
      <c r="D52" s="1148"/>
      <c r="E52" s="1148"/>
      <c r="F52" s="1148"/>
      <c r="G52" s="1148"/>
    </row>
    <row r="53" spans="1:19" ht="12.25" customHeight="1" x14ac:dyDescent="0.2">
      <c r="A53" s="1860" t="s">
        <v>2332</v>
      </c>
      <c r="B53" s="1860"/>
      <c r="C53" s="1860"/>
      <c r="D53" s="1148"/>
      <c r="E53" s="1148"/>
      <c r="F53" s="1148"/>
      <c r="G53" s="1148"/>
    </row>
    <row r="54" spans="1:19" ht="10.25" customHeight="1" x14ac:dyDescent="0.2">
      <c r="A54" s="1150" t="s">
        <v>2322</v>
      </c>
      <c r="B54" s="1099"/>
      <c r="C54" s="1099"/>
      <c r="D54" s="1148"/>
      <c r="E54" s="1148"/>
      <c r="F54" s="1148"/>
      <c r="G54" s="1148"/>
    </row>
    <row r="55" spans="1:19" ht="12.25" customHeight="1" x14ac:dyDescent="0.2">
      <c r="A55" s="1860" t="s">
        <v>2333</v>
      </c>
      <c r="B55" s="1860"/>
      <c r="C55" s="1860"/>
      <c r="D55" s="1148"/>
      <c r="E55" s="1148"/>
      <c r="F55" s="1148"/>
      <c r="G55" s="1148"/>
    </row>
    <row r="56" spans="1:19" ht="10.25" customHeight="1" x14ac:dyDescent="0.2">
      <c r="A56" s="1150" t="s">
        <v>2322</v>
      </c>
      <c r="B56" s="1099"/>
      <c r="C56" s="1099"/>
      <c r="D56" s="1148"/>
      <c r="E56" s="1148"/>
      <c r="F56" s="1148"/>
      <c r="G56" s="1148"/>
    </row>
    <row r="57" spans="1:19" ht="12.25" customHeight="1" x14ac:dyDescent="0.2">
      <c r="A57" s="1860" t="s">
        <v>2334</v>
      </c>
      <c r="B57" s="1860"/>
      <c r="C57" s="1860"/>
      <c r="D57" s="1148"/>
      <c r="E57" s="1148"/>
      <c r="F57" s="1148"/>
      <c r="G57" s="1148"/>
    </row>
    <row r="58" spans="1:19" ht="14" customHeight="1" x14ac:dyDescent="0.2">
      <c r="A58" s="1150" t="s">
        <v>2322</v>
      </c>
      <c r="B58" s="1099"/>
      <c r="C58" s="1099"/>
      <c r="D58" s="1148"/>
      <c r="E58" s="1148"/>
      <c r="F58" s="1148"/>
      <c r="G58" s="1148"/>
    </row>
    <row r="59" spans="1:19" x14ac:dyDescent="0.2">
      <c r="A59" s="1151"/>
      <c r="B59" s="1151"/>
      <c r="C59" s="1151"/>
      <c r="D59" s="1151"/>
      <c r="E59" s="1151"/>
      <c r="F59" s="1151"/>
      <c r="G59" s="1151"/>
      <c r="H59" s="1151"/>
      <c r="I59" s="1151"/>
      <c r="J59" s="1151"/>
      <c r="K59" s="1151"/>
    </row>
    <row r="60" spans="1:19" ht="16" x14ac:dyDescent="0.2">
      <c r="A60" s="1151" t="s">
        <v>2326</v>
      </c>
      <c r="B60" s="1151" t="s">
        <v>2238</v>
      </c>
      <c r="C60" s="1151"/>
      <c r="D60" s="1169">
        <f>1.293*273.15/(D24+273.15)</f>
        <v>1.3171096401267945</v>
      </c>
      <c r="E60" s="1170">
        <f t="shared" ref="E60:N61" si="4">1.293*273.15/(E24+273.15)</f>
        <v>1.3171096401267945</v>
      </c>
      <c r="F60" s="1170">
        <f t="shared" si="4"/>
        <v>1.3171096401267945</v>
      </c>
      <c r="G60" s="1170">
        <f t="shared" si="4"/>
        <v>1.3171096401267945</v>
      </c>
      <c r="H60" s="1171">
        <f t="shared" si="4"/>
        <v>1.3171096401267945</v>
      </c>
      <c r="I60" s="1169">
        <f t="shared" si="4"/>
        <v>1.3171096401267945</v>
      </c>
      <c r="J60" s="1170">
        <f t="shared" si="4"/>
        <v>1.3171096401267945</v>
      </c>
      <c r="K60" s="1171">
        <f t="shared" si="4"/>
        <v>1.3171096401267945</v>
      </c>
      <c r="L60" s="1169">
        <f t="shared" si="4"/>
        <v>1.2697571454251302</v>
      </c>
      <c r="M60" s="1170">
        <f t="shared" si="4"/>
        <v>1.2697571454251302</v>
      </c>
      <c r="N60" s="1171">
        <f t="shared" si="4"/>
        <v>1.2697571454251302</v>
      </c>
    </row>
    <row r="61" spans="1:19" ht="16" x14ac:dyDescent="0.2">
      <c r="A61" s="1151" t="s">
        <v>2327</v>
      </c>
      <c r="B61" s="1151" t="s">
        <v>2238</v>
      </c>
      <c r="C61" s="1151"/>
      <c r="D61" s="1172">
        <f>1.293*273.15/(D25+273.15)</f>
        <v>1.2047857752004092</v>
      </c>
      <c r="E61" s="1151">
        <f t="shared" si="4"/>
        <v>1.2047857752004092</v>
      </c>
      <c r="F61" s="1151">
        <f t="shared" si="4"/>
        <v>1.2047857752004092</v>
      </c>
      <c r="G61" s="1151">
        <f t="shared" si="4"/>
        <v>1.2047857752004092</v>
      </c>
      <c r="H61" s="1173">
        <f t="shared" si="4"/>
        <v>1.2047857752004092</v>
      </c>
      <c r="I61" s="1172">
        <f t="shared" si="4"/>
        <v>1.2047857752004092</v>
      </c>
      <c r="J61" s="1151">
        <f t="shared" si="4"/>
        <v>1.2047857752004092</v>
      </c>
      <c r="K61" s="1173">
        <f t="shared" si="4"/>
        <v>1.2047857752004092</v>
      </c>
      <c r="L61" s="1172">
        <f t="shared" si="4"/>
        <v>1.2047857752004092</v>
      </c>
      <c r="M61" s="1151">
        <f t="shared" si="4"/>
        <v>1.2047857752004092</v>
      </c>
      <c r="N61" s="1173">
        <f t="shared" si="4"/>
        <v>1.2047857752004092</v>
      </c>
    </row>
    <row r="62" spans="1:19" ht="16" x14ac:dyDescent="0.2">
      <c r="A62" s="1151" t="s">
        <v>2328</v>
      </c>
      <c r="B62" s="1151" t="s">
        <v>496</v>
      </c>
      <c r="C62" s="1151"/>
      <c r="D62" s="1174">
        <f>((D29-D25)-(D30-D24))/LN((D29-D25)/(D30-D24))</f>
        <v>21.64042561333445</v>
      </c>
      <c r="E62" s="1152">
        <f t="shared" ref="E62:N62" si="5">((E29-E25)-(E30-E24))/LN((E29-E25)/(E30-E24))</f>
        <v>21.64042561333445</v>
      </c>
      <c r="F62" s="1152">
        <f t="shared" si="5"/>
        <v>21.64042561333445</v>
      </c>
      <c r="G62" s="1152">
        <f t="shared" si="5"/>
        <v>21.64042561333445</v>
      </c>
      <c r="H62" s="1175">
        <f t="shared" si="5"/>
        <v>22.239074656659042</v>
      </c>
      <c r="I62" s="1174">
        <f t="shared" si="5"/>
        <v>22.436743839712506</v>
      </c>
      <c r="J62" s="1152">
        <f t="shared" si="5"/>
        <v>23.604450022876573</v>
      </c>
      <c r="K62" s="1175">
        <f t="shared" si="5"/>
        <v>23.604450022876573</v>
      </c>
      <c r="L62" s="1174">
        <f t="shared" si="5"/>
        <v>17.607060569769985</v>
      </c>
      <c r="M62" s="1152">
        <f t="shared" si="5"/>
        <v>17.380297483911036</v>
      </c>
      <c r="N62" s="1175">
        <f t="shared" si="5"/>
        <v>17.607060569769985</v>
      </c>
    </row>
    <row r="63" spans="1:19" ht="16" x14ac:dyDescent="0.2">
      <c r="A63" s="1151" t="s">
        <v>2329</v>
      </c>
      <c r="B63" s="1151" t="s">
        <v>496</v>
      </c>
      <c r="C63" s="1151"/>
      <c r="D63" s="1176">
        <f>AVERAGE(D29:D30)-AVERAGE(D24:D25)</f>
        <v>22.5</v>
      </c>
      <c r="E63" s="1177">
        <f t="shared" ref="E63:N63" si="6">AVERAGE(E29:E30)-AVERAGE(E24:E25)</f>
        <v>22.5</v>
      </c>
      <c r="F63" s="1177">
        <f t="shared" si="6"/>
        <v>22.5</v>
      </c>
      <c r="G63" s="1177">
        <f t="shared" si="6"/>
        <v>22.5</v>
      </c>
      <c r="H63" s="1178">
        <f t="shared" si="6"/>
        <v>23.25</v>
      </c>
      <c r="I63" s="1176">
        <f t="shared" si="6"/>
        <v>23.5</v>
      </c>
      <c r="J63" s="1177">
        <f t="shared" si="6"/>
        <v>25</v>
      </c>
      <c r="K63" s="1178">
        <f t="shared" si="6"/>
        <v>25</v>
      </c>
      <c r="L63" s="1176">
        <f t="shared" si="6"/>
        <v>17.75</v>
      </c>
      <c r="M63" s="1177">
        <f t="shared" si="6"/>
        <v>17.5</v>
      </c>
      <c r="N63" s="1178">
        <f t="shared" si="6"/>
        <v>17.75</v>
      </c>
    </row>
    <row r="64" spans="1:19" x14ac:dyDescent="0.2">
      <c r="A64" s="1151"/>
      <c r="B64" s="1151"/>
      <c r="C64" s="1151"/>
      <c r="D64" s="1151"/>
      <c r="E64" s="1151"/>
      <c r="F64" s="1151"/>
      <c r="G64" s="1151"/>
      <c r="H64" s="1151"/>
      <c r="I64" s="1151"/>
      <c r="J64" s="1151"/>
      <c r="K64" s="1151"/>
      <c r="Q64" s="1153">
        <f t="array" ref="Q64:R64">LINEST(LN(D27:N27),LN(D22:N22))</f>
        <v>1.6735322658708449</v>
      </c>
      <c r="R64" s="1097">
        <v>4.4320542105440834</v>
      </c>
      <c r="S64" s="1153">
        <f>EXP(R64)</f>
        <v>84.104006919282924</v>
      </c>
    </row>
    <row r="65" spans="1:11" x14ac:dyDescent="0.2">
      <c r="A65" s="1151"/>
      <c r="B65" s="1151"/>
      <c r="C65" s="1151"/>
      <c r="D65" s="1151"/>
      <c r="E65" s="1151"/>
      <c r="F65" s="1151"/>
      <c r="G65" s="1151"/>
      <c r="H65" s="1151"/>
      <c r="I65" s="1151"/>
      <c r="J65" s="1151"/>
      <c r="K65" s="1151"/>
    </row>
    <row r="66" spans="1:11" x14ac:dyDescent="0.2">
      <c r="A66" s="1151"/>
      <c r="B66" s="1151"/>
      <c r="C66" s="1151"/>
      <c r="D66" s="1151"/>
      <c r="E66" s="1151"/>
      <c r="F66" s="1151"/>
      <c r="G66" s="1151"/>
      <c r="H66" s="1151"/>
      <c r="I66" s="1151"/>
      <c r="J66" s="1151"/>
      <c r="K66" s="1151"/>
    </row>
    <row r="67" spans="1:11" x14ac:dyDescent="0.2">
      <c r="A67" s="1151"/>
      <c r="B67" s="1151"/>
      <c r="C67" s="1151"/>
      <c r="D67" s="1151"/>
      <c r="E67" s="1151"/>
      <c r="F67" s="1151"/>
      <c r="G67" s="1151"/>
      <c r="H67" s="1151"/>
      <c r="I67" s="1151"/>
      <c r="J67" s="1151"/>
      <c r="K67" s="1151"/>
    </row>
    <row r="68" spans="1:11" x14ac:dyDescent="0.2">
      <c r="A68" s="1151"/>
      <c r="B68" s="1151"/>
      <c r="C68" s="1151"/>
      <c r="D68" s="1151"/>
      <c r="E68" s="1151"/>
      <c r="F68" s="1151"/>
      <c r="G68" s="1151"/>
      <c r="H68" s="1151"/>
      <c r="I68" s="1151"/>
      <c r="J68" s="1151"/>
      <c r="K68" s="1151"/>
    </row>
    <row r="69" spans="1:11" x14ac:dyDescent="0.2">
      <c r="A69" s="1151"/>
      <c r="B69" s="1151"/>
      <c r="C69" s="1151"/>
      <c r="D69" s="1151"/>
      <c r="E69" s="1151"/>
      <c r="F69" s="1151"/>
      <c r="G69" s="1151"/>
      <c r="H69" s="1151"/>
      <c r="I69" s="1151"/>
      <c r="J69" s="1151"/>
      <c r="K69" s="1151"/>
    </row>
    <row r="70" spans="1:11" x14ac:dyDescent="0.2">
      <c r="A70" s="1151"/>
      <c r="B70" s="1151"/>
      <c r="C70" s="1151"/>
      <c r="D70" s="1151"/>
      <c r="E70" s="1151"/>
      <c r="F70" s="1151"/>
      <c r="G70" s="1151"/>
      <c r="H70" s="1151"/>
      <c r="I70" s="1151"/>
      <c r="J70" s="1151"/>
      <c r="K70" s="1151"/>
    </row>
    <row r="71" spans="1:11" x14ac:dyDescent="0.2">
      <c r="A71" s="1151"/>
      <c r="B71" s="1151"/>
      <c r="C71" s="1151"/>
      <c r="D71" s="1151"/>
      <c r="E71" s="1151"/>
      <c r="F71" s="1151"/>
      <c r="G71" s="1151"/>
      <c r="H71" s="1151"/>
      <c r="I71" s="1151"/>
      <c r="J71" s="1151"/>
      <c r="K71" s="1151"/>
    </row>
    <row r="72" spans="1:11" x14ac:dyDescent="0.2">
      <c r="A72" s="1151"/>
      <c r="B72" s="1151"/>
      <c r="C72" s="1151"/>
      <c r="D72" s="1151"/>
      <c r="E72" s="1151"/>
      <c r="F72" s="1151"/>
      <c r="G72" s="1151"/>
      <c r="H72" s="1151"/>
      <c r="I72" s="1151"/>
      <c r="J72" s="1151"/>
      <c r="K72" s="1151"/>
    </row>
    <row r="73" spans="1:11" x14ac:dyDescent="0.2">
      <c r="A73" s="1151"/>
      <c r="B73" s="1151"/>
      <c r="C73" s="1151"/>
      <c r="D73" s="1151"/>
      <c r="E73" s="1151"/>
      <c r="F73" s="1151"/>
      <c r="G73" s="1151"/>
      <c r="H73" s="1151"/>
      <c r="I73" s="1151"/>
      <c r="J73" s="1151"/>
      <c r="K73" s="1151"/>
    </row>
    <row r="74" spans="1:11" x14ac:dyDescent="0.2">
      <c r="A74" s="1151"/>
      <c r="B74" s="1151"/>
      <c r="C74" s="1151"/>
      <c r="D74" s="1151"/>
      <c r="E74" s="1151"/>
      <c r="F74" s="1151"/>
      <c r="G74" s="1151"/>
      <c r="H74" s="1151"/>
      <c r="I74" s="1151"/>
      <c r="J74" s="1151"/>
      <c r="K74" s="1151"/>
    </row>
    <row r="81" spans="19:21" x14ac:dyDescent="0.2">
      <c r="S81" s="1153">
        <f t="array" ref="S81:T81">LINEST(LN(D33:N33),LN(D31:N31))</f>
        <v>1.8874514923284211</v>
      </c>
      <c r="T81" s="1097">
        <v>2.6451416924153093</v>
      </c>
      <c r="U81" s="1153">
        <f>EXP(T81)</f>
        <v>14.08544074185563</v>
      </c>
    </row>
  </sheetData>
  <mergeCells count="5">
    <mergeCell ref="A50:D50"/>
    <mergeCell ref="A51:C51"/>
    <mergeCell ref="A53:C53"/>
    <mergeCell ref="A55:C55"/>
    <mergeCell ref="A57:C57"/>
  </mergeCells>
  <conditionalFormatting sqref="D47:N47">
    <cfRule type="cellIs" dxfId="32" priority="7" operator="between">
      <formula>2500</formula>
      <formula>4000</formula>
    </cfRule>
    <cfRule type="cellIs" dxfId="31" priority="8" operator="lessThan">
      <formula>2500</formula>
    </cfRule>
    <cfRule type="cellIs" dxfId="30" priority="9" operator="greaterThan">
      <formula>4000</formula>
    </cfRule>
  </conditionalFormatting>
  <conditionalFormatting sqref="T26">
    <cfRule type="cellIs" dxfId="29" priority="4" operator="between">
      <formula>2500</formula>
      <formula>4000</formula>
    </cfRule>
    <cfRule type="cellIs" dxfId="28" priority="5" operator="lessThan">
      <formula>2500</formula>
    </cfRule>
    <cfRule type="cellIs" dxfId="27" priority="6" operator="greaterThan">
      <formula>4000</formula>
    </cfRule>
  </conditionalFormatting>
  <conditionalFormatting sqref="Y26">
    <cfRule type="cellIs" dxfId="26" priority="1" operator="between">
      <formula>2500</formula>
      <formula>4000</formula>
    </cfRule>
    <cfRule type="cellIs" dxfId="25" priority="2" operator="lessThan">
      <formula>2500</formula>
    </cfRule>
    <cfRule type="cellIs" dxfId="24" priority="3" operator="greaterThan">
      <formula>4000</formula>
    </cfRule>
  </conditionalFormatting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90132-9CF0-4F90-A834-F05A6ADD47B0}">
  <dimension ref="A1:BG119"/>
  <sheetViews>
    <sheetView topLeftCell="P92" zoomScale="115" zoomScaleNormal="115" workbookViewId="0">
      <selection activeCell="BL19" sqref="BL19"/>
    </sheetView>
  </sheetViews>
  <sheetFormatPr baseColWidth="10" defaultColWidth="9.1640625" defaultRowHeight="15" x14ac:dyDescent="0.2"/>
  <cols>
    <col min="1" max="1" width="33" style="1096" customWidth="1"/>
    <col min="2" max="2" width="7.5" style="1096" customWidth="1"/>
    <col min="3" max="3" width="1.6640625" style="1096" customWidth="1"/>
    <col min="4" max="21" width="8.83203125" style="1096" customWidth="1"/>
    <col min="22" max="22" width="13.33203125" style="1096" customWidth="1"/>
    <col min="23" max="25" width="8.83203125" style="1096" customWidth="1"/>
    <col min="26" max="28" width="9.1640625" style="1096"/>
    <col min="29" max="29" width="8.5" style="1096" customWidth="1"/>
    <col min="30" max="16384" width="9.1640625" style="1096"/>
  </cols>
  <sheetData>
    <row r="1" spans="1:56" ht="19" x14ac:dyDescent="0.2">
      <c r="A1" s="1095" t="s">
        <v>2335</v>
      </c>
      <c r="D1" s="1097"/>
      <c r="E1" s="1097"/>
      <c r="F1" s="1097"/>
      <c r="G1" s="1097"/>
      <c r="H1" s="1097"/>
      <c r="I1" s="1097"/>
      <c r="J1" s="1097"/>
      <c r="K1" s="1097"/>
      <c r="L1" s="1097"/>
      <c r="M1" s="1097"/>
      <c r="N1" s="1097"/>
      <c r="O1" s="1097"/>
      <c r="P1" s="1097"/>
      <c r="Q1" s="1097"/>
      <c r="R1" s="1097"/>
      <c r="S1" s="1097"/>
      <c r="T1" s="1097"/>
      <c r="U1" s="1097"/>
      <c r="V1" s="1097"/>
      <c r="AQ1" s="1179"/>
      <c r="AR1" s="1179"/>
      <c r="AS1" s="1179"/>
      <c r="AT1" s="1179"/>
      <c r="AU1" s="1179"/>
      <c r="AV1" s="1179"/>
      <c r="AW1" s="1179"/>
      <c r="AX1" s="1179"/>
      <c r="AY1" s="1179"/>
      <c r="AZ1" s="1179"/>
      <c r="BA1" s="1179"/>
      <c r="BB1" s="1179"/>
      <c r="BC1" s="1179"/>
      <c r="BD1" s="1179"/>
    </row>
    <row r="2" spans="1:56" ht="11.25" customHeight="1" x14ac:dyDescent="0.2">
      <c r="A2" s="1098" t="s">
        <v>2230</v>
      </c>
      <c r="B2" s="1099"/>
      <c r="C2" s="1099"/>
      <c r="D2" s="1180">
        <v>1</v>
      </c>
      <c r="E2" s="1181">
        <v>2</v>
      </c>
      <c r="F2" s="1181">
        <v>3</v>
      </c>
      <c r="G2" s="1181">
        <v>4</v>
      </c>
      <c r="H2" s="1182">
        <v>5</v>
      </c>
      <c r="I2" s="1183">
        <v>6</v>
      </c>
      <c r="J2" s="1184">
        <v>7</v>
      </c>
      <c r="K2" s="1182">
        <v>8</v>
      </c>
      <c r="L2" s="1183">
        <v>9</v>
      </c>
      <c r="M2" s="1184">
        <v>10</v>
      </c>
      <c r="N2" s="1182">
        <v>11</v>
      </c>
      <c r="O2" s="1183">
        <v>12</v>
      </c>
      <c r="P2" s="1184">
        <v>13</v>
      </c>
      <c r="Q2" s="1182">
        <v>14</v>
      </c>
      <c r="R2" s="1183">
        <v>15</v>
      </c>
      <c r="S2" s="1184">
        <v>16</v>
      </c>
      <c r="T2" s="1184">
        <v>17</v>
      </c>
      <c r="U2" s="1184">
        <v>18</v>
      </c>
      <c r="V2" s="1182">
        <v>19</v>
      </c>
      <c r="AC2" s="1861" t="s">
        <v>2336</v>
      </c>
      <c r="AD2" s="1862"/>
      <c r="AE2" s="1862"/>
      <c r="AF2" s="1862"/>
      <c r="AG2" s="1862"/>
      <c r="AH2" s="1862"/>
      <c r="AI2" s="1862"/>
      <c r="AJ2" s="1862"/>
      <c r="AK2" s="1862"/>
      <c r="AL2" s="1862"/>
      <c r="AM2" s="1862"/>
      <c r="AN2" s="1862"/>
      <c r="AO2" s="1862"/>
      <c r="AP2" s="1863"/>
      <c r="AQ2" s="1179"/>
      <c r="AR2" s="1179"/>
      <c r="AS2" s="1179"/>
      <c r="AT2" s="1179"/>
      <c r="AU2" s="1179"/>
      <c r="AV2" s="1179"/>
      <c r="AW2" s="1179"/>
      <c r="AX2" s="1179"/>
      <c r="AY2" s="1179"/>
      <c r="AZ2" s="1179"/>
      <c r="BA2" s="1179"/>
      <c r="BB2" s="1179"/>
      <c r="BC2" s="1179"/>
      <c r="BD2" s="1179"/>
    </row>
    <row r="3" spans="1:56" ht="11.25" customHeight="1" x14ac:dyDescent="0.2">
      <c r="A3" s="1098" t="s">
        <v>2232</v>
      </c>
      <c r="B3" s="1099"/>
      <c r="C3" s="1099"/>
      <c r="D3" s="1185">
        <v>1</v>
      </c>
      <c r="E3" s="1105">
        <v>1</v>
      </c>
      <c r="F3" s="1105">
        <v>1</v>
      </c>
      <c r="G3" s="1105">
        <v>1</v>
      </c>
      <c r="H3" s="1186">
        <v>1</v>
      </c>
      <c r="I3" s="1187">
        <v>1</v>
      </c>
      <c r="J3" s="1147">
        <v>1</v>
      </c>
      <c r="K3" s="1186">
        <v>1</v>
      </c>
      <c r="L3" s="1187">
        <v>1</v>
      </c>
      <c r="M3" s="1147">
        <v>1</v>
      </c>
      <c r="N3" s="1186">
        <v>1</v>
      </c>
      <c r="O3" s="1187">
        <v>1</v>
      </c>
      <c r="P3" s="1147">
        <v>1</v>
      </c>
      <c r="Q3" s="1186">
        <v>1</v>
      </c>
      <c r="R3" s="1187">
        <v>1</v>
      </c>
      <c r="S3" s="1147">
        <v>1</v>
      </c>
      <c r="T3" s="1147">
        <v>1</v>
      </c>
      <c r="U3" s="1147">
        <v>1</v>
      </c>
      <c r="V3" s="1186">
        <v>1</v>
      </c>
      <c r="AB3" s="1188" t="s">
        <v>485</v>
      </c>
      <c r="AC3" s="1189">
        <f>D22</f>
        <v>0.2</v>
      </c>
      <c r="AD3" s="1189">
        <f t="shared" ref="AD3:AJ6" si="0">E22</f>
        <v>0.3</v>
      </c>
      <c r="AE3" s="1189">
        <f t="shared" si="0"/>
        <v>0.4</v>
      </c>
      <c r="AF3" s="1189">
        <f t="shared" si="0"/>
        <v>0.5</v>
      </c>
      <c r="AG3" s="1189">
        <f t="shared" si="0"/>
        <v>0.6</v>
      </c>
      <c r="AH3" s="1189">
        <f t="shared" si="0"/>
        <v>0.3</v>
      </c>
      <c r="AI3" s="1189">
        <f t="shared" si="0"/>
        <v>0.4</v>
      </c>
      <c r="AJ3" s="1189">
        <f t="shared" si="0"/>
        <v>0.5</v>
      </c>
      <c r="AK3" s="1189">
        <f>O22</f>
        <v>0.3</v>
      </c>
      <c r="AL3" s="1189">
        <f t="shared" ref="AL3:AM6" si="1">P22</f>
        <v>0.4</v>
      </c>
      <c r="AM3" s="1189">
        <f t="shared" si="1"/>
        <v>0.5</v>
      </c>
      <c r="AN3" s="1189">
        <f>L22</f>
        <v>0.3</v>
      </c>
      <c r="AO3" s="1189">
        <f t="shared" ref="AO3:AP6" si="2">M22</f>
        <v>0.4</v>
      </c>
      <c r="AP3" s="1189">
        <f t="shared" si="2"/>
        <v>0.5</v>
      </c>
      <c r="AQ3" s="1179"/>
      <c r="AR3" s="1179"/>
      <c r="AS3" s="1179"/>
      <c r="AT3" s="1179"/>
      <c r="AU3" s="1179"/>
      <c r="AV3" s="1179"/>
      <c r="AW3" s="1179"/>
      <c r="AX3" s="1179"/>
      <c r="AY3" s="1179"/>
      <c r="AZ3" s="1179"/>
      <c r="BA3" s="1179"/>
      <c r="BB3" s="1179"/>
      <c r="BC3" s="1179"/>
      <c r="BD3" s="1179"/>
    </row>
    <row r="4" spans="1:56" ht="11.25" customHeight="1" x14ac:dyDescent="0.2">
      <c r="A4" s="1098" t="s">
        <v>2233</v>
      </c>
      <c r="B4" s="1099"/>
      <c r="C4" s="1099"/>
      <c r="D4" s="1190"/>
      <c r="E4" s="1108"/>
      <c r="F4" s="1108"/>
      <c r="G4" s="1108"/>
      <c r="H4" s="1191"/>
      <c r="I4" s="1192"/>
      <c r="J4" s="1156"/>
      <c r="K4" s="1191"/>
      <c r="L4" s="1192"/>
      <c r="M4" s="1156"/>
      <c r="N4" s="1191"/>
      <c r="O4" s="1192"/>
      <c r="P4" s="1156"/>
      <c r="Q4" s="1191"/>
      <c r="R4" s="1192"/>
      <c r="S4" s="1156"/>
      <c r="T4" s="1156"/>
      <c r="U4" s="1156"/>
      <c r="V4" s="1191"/>
      <c r="AB4" s="1193" t="s">
        <v>2337</v>
      </c>
      <c r="AC4" s="1189">
        <f>D23</f>
        <v>0.24</v>
      </c>
      <c r="AD4" s="1189">
        <f t="shared" si="0"/>
        <v>0.36</v>
      </c>
      <c r="AE4" s="1189">
        <f t="shared" si="0"/>
        <v>0.48</v>
      </c>
      <c r="AF4" s="1189">
        <f t="shared" si="0"/>
        <v>0.6</v>
      </c>
      <c r="AG4" s="1189">
        <f t="shared" si="0"/>
        <v>0.72</v>
      </c>
      <c r="AH4" s="1189">
        <f t="shared" si="0"/>
        <v>0.36</v>
      </c>
      <c r="AI4" s="1189">
        <f t="shared" si="0"/>
        <v>0.48</v>
      </c>
      <c r="AJ4" s="1189">
        <f t="shared" si="0"/>
        <v>0.6</v>
      </c>
      <c r="AK4" s="1189">
        <f>O23</f>
        <v>0.36</v>
      </c>
      <c r="AL4" s="1189">
        <f t="shared" si="1"/>
        <v>0.48</v>
      </c>
      <c r="AM4" s="1189">
        <f t="shared" si="1"/>
        <v>0.6</v>
      </c>
      <c r="AN4" s="1189">
        <f>L23</f>
        <v>0.36</v>
      </c>
      <c r="AO4" s="1189">
        <f t="shared" si="2"/>
        <v>0.48</v>
      </c>
      <c r="AP4" s="1189">
        <f t="shared" si="2"/>
        <v>0.6</v>
      </c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</row>
    <row r="5" spans="1:56" ht="11.25" customHeight="1" x14ac:dyDescent="0.2">
      <c r="A5" s="1098" t="s">
        <v>2236</v>
      </c>
      <c r="B5" s="1099"/>
      <c r="C5" s="1099"/>
      <c r="D5" s="1190"/>
      <c r="E5" s="1108"/>
      <c r="F5" s="1108"/>
      <c r="G5" s="1108"/>
      <c r="H5" s="1191"/>
      <c r="I5" s="1192"/>
      <c r="J5" s="1156"/>
      <c r="K5" s="1191"/>
      <c r="L5" s="1192"/>
      <c r="M5" s="1156"/>
      <c r="N5" s="1191"/>
      <c r="O5" s="1192"/>
      <c r="P5" s="1156"/>
      <c r="Q5" s="1191"/>
      <c r="R5" s="1192"/>
      <c r="S5" s="1156"/>
      <c r="T5" s="1156"/>
      <c r="U5" s="1156"/>
      <c r="V5" s="1191"/>
      <c r="AB5" s="1188" t="s">
        <v>2338</v>
      </c>
      <c r="AC5" s="1189">
        <f t="shared" ref="AC5:AJ9" si="3">D24</f>
        <v>25</v>
      </c>
      <c r="AD5" s="1189">
        <f t="shared" si="0"/>
        <v>25</v>
      </c>
      <c r="AE5" s="1189">
        <f t="shared" si="0"/>
        <v>25</v>
      </c>
      <c r="AF5" s="1189">
        <f t="shared" si="0"/>
        <v>25</v>
      </c>
      <c r="AG5" s="1189">
        <f t="shared" si="0"/>
        <v>25</v>
      </c>
      <c r="AH5" s="1189">
        <f t="shared" si="0"/>
        <v>30</v>
      </c>
      <c r="AI5" s="1189">
        <f t="shared" si="0"/>
        <v>30</v>
      </c>
      <c r="AJ5" s="1189">
        <f t="shared" si="0"/>
        <v>30</v>
      </c>
      <c r="AK5" s="1189">
        <f>O24</f>
        <v>25</v>
      </c>
      <c r="AL5" s="1189">
        <f t="shared" si="1"/>
        <v>25</v>
      </c>
      <c r="AM5" s="1189">
        <f t="shared" si="1"/>
        <v>25</v>
      </c>
      <c r="AN5" s="1189">
        <f>L24</f>
        <v>25</v>
      </c>
      <c r="AO5" s="1189">
        <f t="shared" si="2"/>
        <v>25</v>
      </c>
      <c r="AP5" s="1189">
        <f t="shared" si="2"/>
        <v>25</v>
      </c>
      <c r="AQ5" s="1179"/>
      <c r="AR5" s="1179"/>
      <c r="AS5" s="1179"/>
      <c r="AT5" s="1179"/>
      <c r="AU5" s="1179"/>
      <c r="AV5" s="1179"/>
      <c r="AW5" s="1179"/>
      <c r="AX5" s="1179"/>
      <c r="AY5" s="1179"/>
      <c r="AZ5" s="1179"/>
      <c r="BA5" s="1179"/>
      <c r="BB5" s="1179"/>
      <c r="BC5" s="1179"/>
      <c r="BD5" s="1179"/>
    </row>
    <row r="6" spans="1:56" ht="11.25" customHeight="1" x14ac:dyDescent="0.2">
      <c r="A6" s="1098" t="s">
        <v>2240</v>
      </c>
      <c r="B6" s="1099"/>
      <c r="C6" s="1099"/>
      <c r="D6" s="1190"/>
      <c r="E6" s="1108"/>
      <c r="F6" s="1108"/>
      <c r="G6" s="1108"/>
      <c r="H6" s="1191"/>
      <c r="I6" s="1192"/>
      <c r="J6" s="1156"/>
      <c r="K6" s="1191"/>
      <c r="L6" s="1192"/>
      <c r="M6" s="1156"/>
      <c r="N6" s="1191"/>
      <c r="O6" s="1192"/>
      <c r="P6" s="1156"/>
      <c r="Q6" s="1191"/>
      <c r="R6" s="1192"/>
      <c r="S6" s="1156"/>
      <c r="T6" s="1156"/>
      <c r="U6" s="1156"/>
      <c r="V6" s="1191"/>
      <c r="AB6" s="1188" t="s">
        <v>2339</v>
      </c>
      <c r="AC6" s="1189">
        <f t="shared" si="3"/>
        <v>65</v>
      </c>
      <c r="AD6" s="1189">
        <f t="shared" si="0"/>
        <v>65</v>
      </c>
      <c r="AE6" s="1189">
        <f t="shared" si="0"/>
        <v>65</v>
      </c>
      <c r="AF6" s="1189">
        <f t="shared" si="0"/>
        <v>65</v>
      </c>
      <c r="AG6" s="1189">
        <f t="shared" si="0"/>
        <v>65</v>
      </c>
      <c r="AH6" s="1189">
        <f t="shared" si="0"/>
        <v>45</v>
      </c>
      <c r="AI6" s="1189">
        <f t="shared" si="0"/>
        <v>45</v>
      </c>
      <c r="AJ6" s="1189">
        <f t="shared" si="0"/>
        <v>45</v>
      </c>
      <c r="AK6" s="1189">
        <f>O25</f>
        <v>65</v>
      </c>
      <c r="AL6" s="1189">
        <f t="shared" si="1"/>
        <v>65</v>
      </c>
      <c r="AM6" s="1189">
        <f t="shared" si="1"/>
        <v>65</v>
      </c>
      <c r="AN6" s="1189">
        <f>L25</f>
        <v>50</v>
      </c>
      <c r="AO6" s="1189">
        <f t="shared" si="2"/>
        <v>50</v>
      </c>
      <c r="AP6" s="1189">
        <f t="shared" si="2"/>
        <v>50</v>
      </c>
      <c r="AQ6" s="1179"/>
      <c r="AR6" s="1179"/>
      <c r="AS6" s="1179"/>
      <c r="AT6" s="1179"/>
      <c r="AU6" s="1179"/>
      <c r="AV6" s="1179"/>
      <c r="AW6" s="1179"/>
      <c r="AX6" s="1179"/>
      <c r="AY6" s="1179"/>
      <c r="AZ6" s="1179"/>
      <c r="BA6" s="1179"/>
      <c r="BB6" s="1179"/>
      <c r="BC6" s="1179"/>
      <c r="BD6" s="1179"/>
    </row>
    <row r="7" spans="1:56" ht="15.75" customHeight="1" x14ac:dyDescent="0.2">
      <c r="A7" s="1098" t="s">
        <v>2242</v>
      </c>
      <c r="B7" s="1099"/>
      <c r="C7" s="1099"/>
      <c r="D7" s="1185" t="s">
        <v>2340</v>
      </c>
      <c r="E7" s="1105" t="s">
        <v>2340</v>
      </c>
      <c r="F7" s="1105" t="s">
        <v>2340</v>
      </c>
      <c r="G7" s="1105" t="s">
        <v>2340</v>
      </c>
      <c r="H7" s="1186" t="s">
        <v>2340</v>
      </c>
      <c r="I7" s="1187" t="s">
        <v>2340</v>
      </c>
      <c r="J7" s="1147" t="s">
        <v>2340</v>
      </c>
      <c r="K7" s="1186" t="s">
        <v>2340</v>
      </c>
      <c r="L7" s="1187" t="s">
        <v>2340</v>
      </c>
      <c r="M7" s="1147" t="s">
        <v>2340</v>
      </c>
      <c r="N7" s="1186" t="s">
        <v>2340</v>
      </c>
      <c r="O7" s="1187" t="s">
        <v>2340</v>
      </c>
      <c r="P7" s="1147" t="s">
        <v>2340</v>
      </c>
      <c r="Q7" s="1186" t="s">
        <v>2340</v>
      </c>
      <c r="R7" s="1187" t="s">
        <v>2341</v>
      </c>
      <c r="S7" s="1147" t="s">
        <v>2341</v>
      </c>
      <c r="T7" s="1147" t="s">
        <v>2341</v>
      </c>
      <c r="U7" s="1147" t="s">
        <v>2341</v>
      </c>
      <c r="V7" s="1186" t="s">
        <v>2341</v>
      </c>
      <c r="Y7" s="1096" t="s">
        <v>2342</v>
      </c>
      <c r="AB7" s="1188" t="s">
        <v>2343</v>
      </c>
      <c r="AC7" s="1194">
        <f>0.622*(AC6/100*6.112*EXP((17.67*AC5)/(AC5+243.5)))/(1013.25-(AC6/100*6.112*EXP((17.67*AC5)/(AC5+243.5))))</f>
        <v>1.2900585465042545E-2</v>
      </c>
      <c r="AD7" s="1194">
        <f t="shared" ref="AD7:AP7" si="4">0.622*(AD6/100*6.112*EXP((17.67*AD5)/(AD5+243.5)))/(1013.25-(AD6/100*6.112*EXP((17.67*AD5)/(AD5+243.5))))</f>
        <v>1.2900585465042545E-2</v>
      </c>
      <c r="AE7" s="1194">
        <f t="shared" si="4"/>
        <v>1.2900585465042545E-2</v>
      </c>
      <c r="AF7" s="1194">
        <f t="shared" si="4"/>
        <v>1.2900585465042545E-2</v>
      </c>
      <c r="AG7" s="1194">
        <f t="shared" si="4"/>
        <v>1.2900585465042545E-2</v>
      </c>
      <c r="AH7" s="1194">
        <f t="shared" si="4"/>
        <v>1.1953353619756312E-2</v>
      </c>
      <c r="AI7" s="1194">
        <f t="shared" si="4"/>
        <v>1.1953353619756312E-2</v>
      </c>
      <c r="AJ7" s="1194">
        <f t="shared" si="4"/>
        <v>1.1953353619756312E-2</v>
      </c>
      <c r="AK7" s="1194">
        <f t="shared" si="4"/>
        <v>1.2900585465042545E-2</v>
      </c>
      <c r="AL7" s="1194">
        <f t="shared" si="4"/>
        <v>1.2900585465042545E-2</v>
      </c>
      <c r="AM7" s="1194">
        <f t="shared" si="4"/>
        <v>1.2900585465042545E-2</v>
      </c>
      <c r="AN7" s="1194">
        <f t="shared" si="4"/>
        <v>9.8762568766791597E-3</v>
      </c>
      <c r="AO7" s="1194">
        <f t="shared" si="4"/>
        <v>9.8762568766791597E-3</v>
      </c>
      <c r="AP7" s="1194">
        <f t="shared" si="4"/>
        <v>9.8762568766791597E-3</v>
      </c>
      <c r="AQ7" s="1179"/>
      <c r="AR7" s="1179"/>
      <c r="AS7" s="1179"/>
      <c r="AT7" s="1179"/>
      <c r="AU7" s="1179"/>
      <c r="AV7" s="1179"/>
      <c r="AW7" s="1179"/>
      <c r="AX7" s="1179"/>
      <c r="AY7" s="1179"/>
      <c r="AZ7" s="1179"/>
      <c r="BA7" s="1179"/>
      <c r="BB7" s="1179"/>
      <c r="BC7" s="1179"/>
      <c r="BD7" s="1179"/>
    </row>
    <row r="8" spans="1:56" ht="13.5" customHeight="1" x14ac:dyDescent="0.2">
      <c r="A8" s="1098" t="s">
        <v>2244</v>
      </c>
      <c r="B8" s="1099"/>
      <c r="C8" s="1099"/>
      <c r="D8" s="1190"/>
      <c r="E8" s="1108"/>
      <c r="F8" s="1108"/>
      <c r="G8" s="1108"/>
      <c r="H8" s="1191"/>
      <c r="I8" s="1192"/>
      <c r="J8" s="1156"/>
      <c r="K8" s="1191"/>
      <c r="L8" s="1192"/>
      <c r="M8" s="1156"/>
      <c r="N8" s="1191"/>
      <c r="O8" s="1192"/>
      <c r="P8" s="1156"/>
      <c r="Q8" s="1191"/>
      <c r="R8" s="1192"/>
      <c r="S8" s="1156"/>
      <c r="T8" s="1156"/>
      <c r="U8" s="1156"/>
      <c r="V8" s="1191"/>
      <c r="AB8" s="1188" t="s">
        <v>2344</v>
      </c>
      <c r="AC8" s="1189">
        <f t="shared" si="3"/>
        <v>15</v>
      </c>
      <c r="AD8" s="1189">
        <f t="shared" si="3"/>
        <v>15.6</v>
      </c>
      <c r="AE8" s="1189">
        <f t="shared" si="3"/>
        <v>16.2</v>
      </c>
      <c r="AF8" s="1189">
        <f t="shared" si="3"/>
        <v>16.600000000000001</v>
      </c>
      <c r="AG8" s="1189">
        <f t="shared" si="3"/>
        <v>16.899999999999999</v>
      </c>
      <c r="AH8" s="1189">
        <f t="shared" si="3"/>
        <v>15.5</v>
      </c>
      <c r="AI8" s="1189">
        <f t="shared" si="3"/>
        <v>16.100000000000001</v>
      </c>
      <c r="AJ8" s="1189">
        <f t="shared" si="3"/>
        <v>16.7</v>
      </c>
      <c r="AK8" s="1189">
        <f>O27</f>
        <v>17</v>
      </c>
      <c r="AL8" s="1189">
        <f t="shared" ref="AL8:AM9" si="5">P27</f>
        <v>17.5</v>
      </c>
      <c r="AM8" s="1189">
        <f t="shared" si="5"/>
        <v>17.7</v>
      </c>
      <c r="AN8" s="1189">
        <f>L27</f>
        <v>16.2</v>
      </c>
      <c r="AO8" s="1189">
        <f t="shared" ref="AO8:AP9" si="6">M27</f>
        <v>16.7</v>
      </c>
      <c r="AP8" s="1189">
        <f t="shared" si="6"/>
        <v>17.100000000000001</v>
      </c>
      <c r="AQ8" s="1179"/>
      <c r="AR8" s="1179"/>
      <c r="AS8" s="1179"/>
      <c r="AT8" s="1179"/>
      <c r="AU8" s="1179"/>
      <c r="AV8" s="1179"/>
      <c r="AW8" s="1179"/>
      <c r="AX8" s="1179"/>
      <c r="AY8" s="1179"/>
      <c r="AZ8" s="1179"/>
      <c r="BA8" s="1179"/>
      <c r="BB8" s="1179"/>
      <c r="BC8" s="1179"/>
      <c r="BD8" s="1179"/>
    </row>
    <row r="9" spans="1:56" ht="11.25" customHeight="1" x14ac:dyDescent="0.2">
      <c r="A9" s="1098" t="s">
        <v>2246</v>
      </c>
      <c r="B9" s="1099"/>
      <c r="C9" s="1099"/>
      <c r="D9" s="1185" t="s">
        <v>2345</v>
      </c>
      <c r="E9" s="1105" t="s">
        <v>2345</v>
      </c>
      <c r="F9" s="1105" t="s">
        <v>2345</v>
      </c>
      <c r="G9" s="1105" t="s">
        <v>2345</v>
      </c>
      <c r="H9" s="1186" t="s">
        <v>2345</v>
      </c>
      <c r="I9" s="1187" t="s">
        <v>2345</v>
      </c>
      <c r="J9" s="1147" t="s">
        <v>2345</v>
      </c>
      <c r="K9" s="1186" t="s">
        <v>2345</v>
      </c>
      <c r="L9" s="1187" t="s">
        <v>2345</v>
      </c>
      <c r="M9" s="1147" t="s">
        <v>2345</v>
      </c>
      <c r="N9" s="1186" t="s">
        <v>2345</v>
      </c>
      <c r="O9" s="1187" t="s">
        <v>2345</v>
      </c>
      <c r="P9" s="1147" t="s">
        <v>2345</v>
      </c>
      <c r="Q9" s="1186" t="s">
        <v>2345</v>
      </c>
      <c r="R9" s="1187" t="s">
        <v>2345</v>
      </c>
      <c r="S9" s="1147" t="s">
        <v>2345</v>
      </c>
      <c r="T9" s="1147" t="s">
        <v>2345</v>
      </c>
      <c r="U9" s="1147" t="s">
        <v>2345</v>
      </c>
      <c r="V9" s="1186" t="s">
        <v>2345</v>
      </c>
      <c r="AB9" s="1188" t="s">
        <v>2346</v>
      </c>
      <c r="AC9" s="1189">
        <f t="shared" si="3"/>
        <v>100</v>
      </c>
      <c r="AD9" s="1189">
        <f t="shared" si="3"/>
        <v>100</v>
      </c>
      <c r="AE9" s="1189">
        <f t="shared" si="3"/>
        <v>99</v>
      </c>
      <c r="AF9" s="1189">
        <f t="shared" si="3"/>
        <v>99</v>
      </c>
      <c r="AG9" s="1189">
        <f t="shared" si="3"/>
        <v>98</v>
      </c>
      <c r="AH9" s="1189">
        <f t="shared" si="3"/>
        <v>99</v>
      </c>
      <c r="AI9" s="1189">
        <f t="shared" si="3"/>
        <v>98</v>
      </c>
      <c r="AJ9" s="1189">
        <f t="shared" si="3"/>
        <v>97</v>
      </c>
      <c r="AK9" s="1189">
        <f>O28</f>
        <v>99</v>
      </c>
      <c r="AL9" s="1189">
        <f t="shared" si="5"/>
        <v>98</v>
      </c>
      <c r="AM9" s="1189">
        <f t="shared" si="5"/>
        <v>98</v>
      </c>
      <c r="AN9" s="1189">
        <f>L28</f>
        <v>86</v>
      </c>
      <c r="AO9" s="1189">
        <f t="shared" si="6"/>
        <v>83</v>
      </c>
      <c r="AP9" s="1189">
        <f t="shared" si="6"/>
        <v>81</v>
      </c>
      <c r="AQ9" s="1179"/>
      <c r="AR9" s="1179"/>
      <c r="AS9" s="1179"/>
      <c r="AT9" s="1179"/>
      <c r="AU9" s="1179"/>
      <c r="AV9" s="1179"/>
      <c r="AW9" s="1179"/>
      <c r="AX9" s="1179"/>
      <c r="AY9" s="1179"/>
      <c r="AZ9" s="1179"/>
      <c r="BA9" s="1179"/>
      <c r="BB9" s="1179"/>
      <c r="BC9" s="1179"/>
      <c r="BD9" s="1179"/>
    </row>
    <row r="10" spans="1:56" ht="11.25" customHeight="1" x14ac:dyDescent="0.2">
      <c r="A10" s="1098" t="s">
        <v>2248</v>
      </c>
      <c r="B10" s="1099"/>
      <c r="C10" s="1099"/>
      <c r="D10" s="1185" t="s">
        <v>2249</v>
      </c>
      <c r="E10" s="1105" t="s">
        <v>2249</v>
      </c>
      <c r="F10" s="1105" t="s">
        <v>2249</v>
      </c>
      <c r="G10" s="1105" t="s">
        <v>2249</v>
      </c>
      <c r="H10" s="1186" t="s">
        <v>2249</v>
      </c>
      <c r="I10" s="1187" t="s">
        <v>2249</v>
      </c>
      <c r="J10" s="1147" t="s">
        <v>2249</v>
      </c>
      <c r="K10" s="1186" t="s">
        <v>2249</v>
      </c>
      <c r="L10" s="1187" t="s">
        <v>2249</v>
      </c>
      <c r="M10" s="1147" t="s">
        <v>2249</v>
      </c>
      <c r="N10" s="1186" t="s">
        <v>2249</v>
      </c>
      <c r="O10" s="1187" t="s">
        <v>2249</v>
      </c>
      <c r="P10" s="1147" t="s">
        <v>2249</v>
      </c>
      <c r="Q10" s="1186" t="s">
        <v>2249</v>
      </c>
      <c r="R10" s="1187" t="s">
        <v>2249</v>
      </c>
      <c r="S10" s="1147" t="s">
        <v>2249</v>
      </c>
      <c r="T10" s="1147" t="s">
        <v>2249</v>
      </c>
      <c r="U10" s="1147" t="s">
        <v>2249</v>
      </c>
      <c r="V10" s="1186" t="s">
        <v>2249</v>
      </c>
      <c r="AB10" s="1188" t="s">
        <v>2347</v>
      </c>
      <c r="AC10" s="1194">
        <f>0.622*(AC9/100*6.112*EXP((17.67*AC8)/(AC8+243.5)))/(1013.25-(AC9/100*6.112*EXP((17.67*AC8)/(AC8+243.5))))</f>
        <v>1.0639516632285564E-2</v>
      </c>
      <c r="AD10" s="1194">
        <f t="shared" ref="AD10:AM10" si="7">0.622*(AD9/100*6.112*EXP((17.67*AD8)/(AD8+243.5)))/(1013.25-(AD9/100*6.112*EXP((17.67*AD8)/(AD8+243.5))))</f>
        <v>1.1065051648412899E-2</v>
      </c>
      <c r="AE10" s="1194">
        <f t="shared" si="7"/>
        <v>1.1388663550416778E-2</v>
      </c>
      <c r="AF10" s="1194">
        <f t="shared" si="7"/>
        <v>1.1688086840286467E-2</v>
      </c>
      <c r="AG10" s="1194">
        <f t="shared" si="7"/>
        <v>1.1794623085849562E-2</v>
      </c>
      <c r="AH10" s="1194">
        <f t="shared" si="7"/>
        <v>1.0881229786013307E-2</v>
      </c>
      <c r="AI10" s="1194">
        <f t="shared" si="7"/>
        <v>1.1198544635997532E-2</v>
      </c>
      <c r="AJ10" s="1194">
        <f t="shared" si="7"/>
        <v>1.1521980911248519E-2</v>
      </c>
      <c r="AK10" s="1194">
        <f t="shared" si="7"/>
        <v>1.199457478891734E-2</v>
      </c>
      <c r="AL10" s="1194">
        <f t="shared" si="7"/>
        <v>1.226025289209506E-2</v>
      </c>
      <c r="AM10" s="1194">
        <f t="shared" si="7"/>
        <v>1.2419100613494343E-2</v>
      </c>
      <c r="AN10" s="1194">
        <f>0.622*(AN9/100*6.112*EXP((17.67*AN8)/(AN8+243.5)))/(1013.25-(AN9/100*6.112*EXP((17.67*AN8)/(AN8+243.5))))</f>
        <v>9.8694532489957826E-3</v>
      </c>
      <c r="AO10" s="1194">
        <f t="shared" ref="AO10:AP10" si="8">0.622*(AO9/100*6.112*EXP((17.67*AO8)/(AO8+243.5)))/(1013.25-(AO9/100*6.112*EXP((17.67*AO8)/(AO8+243.5))))</f>
        <v>9.8327260215261402E-3</v>
      </c>
      <c r="AP10" s="1194">
        <f t="shared" si="8"/>
        <v>9.8426177894219702E-3</v>
      </c>
      <c r="AQ10" s="1179"/>
      <c r="AR10" s="1179"/>
      <c r="AS10" s="1179"/>
      <c r="AT10" s="1179"/>
      <c r="AU10" s="1179"/>
      <c r="AV10" s="1179"/>
      <c r="AW10" s="1179"/>
      <c r="AX10" s="1179"/>
      <c r="AY10" s="1179"/>
      <c r="AZ10" s="1179"/>
      <c r="BA10" s="1179"/>
      <c r="BB10" s="1179"/>
      <c r="BC10" s="1179"/>
      <c r="BD10" s="1179"/>
    </row>
    <row r="11" spans="1:56" ht="11.25" customHeight="1" x14ac:dyDescent="0.2">
      <c r="A11" s="1098" t="s">
        <v>2252</v>
      </c>
      <c r="B11" s="1099"/>
      <c r="C11" s="1099"/>
      <c r="D11" s="1185" t="s">
        <v>2249</v>
      </c>
      <c r="E11" s="1105" t="s">
        <v>2249</v>
      </c>
      <c r="F11" s="1105" t="s">
        <v>2249</v>
      </c>
      <c r="G11" s="1105" t="s">
        <v>2249</v>
      </c>
      <c r="H11" s="1186" t="s">
        <v>2249</v>
      </c>
      <c r="I11" s="1187" t="s">
        <v>2249</v>
      </c>
      <c r="J11" s="1147" t="s">
        <v>2249</v>
      </c>
      <c r="K11" s="1186" t="s">
        <v>2249</v>
      </c>
      <c r="L11" s="1187" t="s">
        <v>2249</v>
      </c>
      <c r="M11" s="1147" t="s">
        <v>2249</v>
      </c>
      <c r="N11" s="1186" t="s">
        <v>2249</v>
      </c>
      <c r="O11" s="1187" t="s">
        <v>2249</v>
      </c>
      <c r="P11" s="1147" t="s">
        <v>2249</v>
      </c>
      <c r="Q11" s="1186" t="s">
        <v>2249</v>
      </c>
      <c r="R11" s="1187" t="s">
        <v>2249</v>
      </c>
      <c r="S11" s="1147" t="s">
        <v>2249</v>
      </c>
      <c r="T11" s="1147" t="s">
        <v>2249</v>
      </c>
      <c r="U11" s="1147" t="s">
        <v>2249</v>
      </c>
      <c r="V11" s="1186" t="s">
        <v>2249</v>
      </c>
      <c r="Y11" s="1096" t="s">
        <v>2342</v>
      </c>
      <c r="AB11" s="1188" t="s">
        <v>2348</v>
      </c>
      <c r="AC11" s="1195">
        <f>AC4*(AC7-AC10)*2500</f>
        <v>1.3566412996541888</v>
      </c>
      <c r="AD11" s="1195">
        <f t="shared" ref="AD11:AP11" si="9">AD4*(AD7-AD10)*2500</f>
        <v>1.6519804349666816</v>
      </c>
      <c r="AE11" s="1195">
        <f t="shared" si="9"/>
        <v>1.8143062975509201</v>
      </c>
      <c r="AF11" s="1195">
        <f t="shared" si="9"/>
        <v>1.8187479371341166</v>
      </c>
      <c r="AG11" s="1195">
        <f t="shared" si="9"/>
        <v>1.9907322825473692</v>
      </c>
      <c r="AH11" s="1195">
        <f t="shared" si="9"/>
        <v>0.96491145036870418</v>
      </c>
      <c r="AI11" s="1195">
        <f t="shared" si="9"/>
        <v>0.90577078051053628</v>
      </c>
      <c r="AJ11" s="1195">
        <f t="shared" si="9"/>
        <v>0.64705906276169001</v>
      </c>
      <c r="AK11" s="1195">
        <f t="shared" si="9"/>
        <v>0.8154096085126844</v>
      </c>
      <c r="AL11" s="1195">
        <f t="shared" si="9"/>
        <v>0.76839908753698205</v>
      </c>
      <c r="AM11" s="1195">
        <f t="shared" si="9"/>
        <v>0.72222727732230385</v>
      </c>
      <c r="AN11" s="1196">
        <f t="shared" si="9"/>
        <v>6.1232649150394503E-3</v>
      </c>
      <c r="AO11" s="1196">
        <f t="shared" si="9"/>
        <v>5.2237026183623442E-2</v>
      </c>
      <c r="AP11" s="1196">
        <f t="shared" si="9"/>
        <v>5.0458630885784339E-2</v>
      </c>
      <c r="AQ11" s="1179"/>
      <c r="AR11" s="1179"/>
      <c r="AS11" s="1179"/>
      <c r="AT11" s="1179"/>
      <c r="AU11" s="1179"/>
      <c r="AV11" s="1179"/>
      <c r="AW11" s="1179"/>
      <c r="AX11" s="1179"/>
      <c r="AY11" s="1179"/>
      <c r="AZ11" s="1179"/>
      <c r="BA11" s="1179"/>
      <c r="BB11" s="1179"/>
      <c r="BC11" s="1179"/>
      <c r="BD11" s="1179"/>
    </row>
    <row r="12" spans="1:56" ht="11.25" customHeight="1" thickBot="1" x14ac:dyDescent="0.25">
      <c r="A12" s="1098" t="s">
        <v>2254</v>
      </c>
      <c r="B12" s="1099"/>
      <c r="C12" s="1099"/>
      <c r="D12" s="1185" t="s">
        <v>2255</v>
      </c>
      <c r="E12" s="1105" t="s">
        <v>2255</v>
      </c>
      <c r="F12" s="1105" t="s">
        <v>2255</v>
      </c>
      <c r="G12" s="1105" t="s">
        <v>2255</v>
      </c>
      <c r="H12" s="1186" t="s">
        <v>2255</v>
      </c>
      <c r="I12" s="1187" t="s">
        <v>2255</v>
      </c>
      <c r="J12" s="1147" t="s">
        <v>2255</v>
      </c>
      <c r="K12" s="1186" t="s">
        <v>2255</v>
      </c>
      <c r="L12" s="1187" t="s">
        <v>2255</v>
      </c>
      <c r="M12" s="1147" t="s">
        <v>2255</v>
      </c>
      <c r="N12" s="1186" t="s">
        <v>2255</v>
      </c>
      <c r="O12" s="1187" t="s">
        <v>2255</v>
      </c>
      <c r="P12" s="1147" t="s">
        <v>2255</v>
      </c>
      <c r="Q12" s="1186" t="s">
        <v>2255</v>
      </c>
      <c r="R12" s="1197" t="s">
        <v>2349</v>
      </c>
      <c r="S12" s="1164" t="s">
        <v>2349</v>
      </c>
      <c r="T12" s="1164" t="s">
        <v>2349</v>
      </c>
      <c r="U12" s="1164" t="s">
        <v>2349</v>
      </c>
      <c r="V12" s="1198" t="s">
        <v>2349</v>
      </c>
      <c r="AC12" s="1199">
        <f t="shared" ref="AC12:AM12" si="10">1-AC10/AC7</f>
        <v>0.17526869915198262</v>
      </c>
      <c r="AD12" s="1199">
        <f t="shared" si="10"/>
        <v>0.14228298565235642</v>
      </c>
      <c r="AE12" s="1199">
        <f t="shared" si="10"/>
        <v>0.1171979301809758</v>
      </c>
      <c r="AF12" s="1199">
        <f t="shared" si="10"/>
        <v>9.3987875824834033E-2</v>
      </c>
      <c r="AG12" s="1199">
        <f t="shared" si="10"/>
        <v>8.5729626937465109E-2</v>
      </c>
      <c r="AH12" s="1199">
        <f t="shared" si="10"/>
        <v>8.9692304590656136E-2</v>
      </c>
      <c r="AI12" s="1199">
        <f t="shared" si="10"/>
        <v>6.3146210492028287E-2</v>
      </c>
      <c r="AJ12" s="1199">
        <f t="shared" si="10"/>
        <v>3.6088006950185769E-2</v>
      </c>
      <c r="AK12" s="1199">
        <f t="shared" si="10"/>
        <v>7.0230198356522222E-2</v>
      </c>
      <c r="AL12" s="1199">
        <f t="shared" si="10"/>
        <v>4.9635931228286578E-2</v>
      </c>
      <c r="AM12" s="1199">
        <f t="shared" si="10"/>
        <v>3.7322713209637648E-2</v>
      </c>
      <c r="AN12" s="1199">
        <f>1-AN10/AN7</f>
        <v>6.8888727463567445E-4</v>
      </c>
      <c r="AO12" s="1199">
        <f t="shared" ref="AO12:AP12" si="11">1-AO10/AO7</f>
        <v>4.407626866794967E-3</v>
      </c>
      <c r="AP12" s="1199">
        <f t="shared" si="11"/>
        <v>3.4060563305741143E-3</v>
      </c>
      <c r="AQ12" s="1179"/>
      <c r="AR12" s="1179"/>
      <c r="AS12" s="1179"/>
      <c r="AT12" s="1179"/>
      <c r="AU12" s="1179"/>
      <c r="AV12" s="1179"/>
      <c r="AW12" s="1179"/>
      <c r="AX12" s="1179"/>
      <c r="AY12" s="1179"/>
      <c r="AZ12" s="1179"/>
      <c r="BA12" s="1179"/>
      <c r="BB12" s="1179"/>
      <c r="BC12" s="1179"/>
      <c r="BD12" s="1179"/>
    </row>
    <row r="13" spans="1:56" ht="11.25" customHeight="1" x14ac:dyDescent="0.2">
      <c r="A13" s="1098" t="s">
        <v>2256</v>
      </c>
      <c r="B13" s="1098" t="s">
        <v>2257</v>
      </c>
      <c r="C13" s="1099"/>
      <c r="D13" s="1190"/>
      <c r="E13" s="1108"/>
      <c r="F13" s="1108"/>
      <c r="G13" s="1108"/>
      <c r="H13" s="1191"/>
      <c r="I13" s="1192"/>
      <c r="J13" s="1156"/>
      <c r="K13" s="1191"/>
      <c r="L13" s="1192"/>
      <c r="M13" s="1156"/>
      <c r="N13" s="1191"/>
      <c r="O13" s="1192"/>
      <c r="P13" s="1156"/>
      <c r="Q13" s="1191"/>
      <c r="R13" s="1187">
        <v>35</v>
      </c>
      <c r="S13" s="1147">
        <v>35</v>
      </c>
      <c r="T13" s="1147">
        <v>35</v>
      </c>
      <c r="U13" s="1147">
        <v>35</v>
      </c>
      <c r="V13" s="1186">
        <v>35</v>
      </c>
      <c r="AB13" s="1188" t="s">
        <v>2350</v>
      </c>
      <c r="AC13" s="1200">
        <v>7</v>
      </c>
      <c r="AD13" s="1201">
        <v>7</v>
      </c>
      <c r="AE13" s="1201">
        <v>7</v>
      </c>
      <c r="AF13" s="1201">
        <v>7</v>
      </c>
      <c r="AG13" s="1201">
        <v>7</v>
      </c>
      <c r="AH13" s="1201">
        <v>7</v>
      </c>
      <c r="AI13" s="1201">
        <v>7</v>
      </c>
      <c r="AJ13" s="1202">
        <v>7</v>
      </c>
      <c r="AK13" s="1203">
        <v>10</v>
      </c>
      <c r="AL13" s="1203">
        <v>10</v>
      </c>
      <c r="AM13" s="1204">
        <v>10</v>
      </c>
      <c r="AN13" s="1200">
        <v>10</v>
      </c>
      <c r="AO13" s="1203">
        <v>10</v>
      </c>
      <c r="AP13" s="1204">
        <v>10</v>
      </c>
      <c r="AQ13" s="1179"/>
      <c r="AR13" s="1179"/>
      <c r="AS13" s="1179"/>
      <c r="AT13" s="1179"/>
      <c r="AU13" s="1179"/>
      <c r="AV13" s="1179"/>
      <c r="AW13" s="1179"/>
      <c r="AX13" s="1179"/>
      <c r="AY13" s="1179"/>
      <c r="AZ13" s="1179"/>
      <c r="BA13" s="1179"/>
      <c r="BB13" s="1179"/>
      <c r="BC13" s="1179"/>
      <c r="BD13" s="1179"/>
    </row>
    <row r="14" spans="1:56" ht="11.25" customHeight="1" x14ac:dyDescent="0.2">
      <c r="A14" s="1099"/>
      <c r="B14" s="1099"/>
      <c r="C14" s="1099"/>
      <c r="D14" s="1205"/>
      <c r="E14" s="1205"/>
      <c r="F14" s="1205"/>
      <c r="G14" s="1205"/>
      <c r="H14" s="1205"/>
      <c r="I14" s="1205"/>
      <c r="J14" s="1205"/>
      <c r="K14" s="1205"/>
      <c r="L14" s="1205"/>
      <c r="M14" s="1205"/>
      <c r="N14" s="1205"/>
      <c r="O14" s="1205"/>
      <c r="P14" s="1205"/>
      <c r="Q14" s="1205"/>
      <c r="R14" s="1205"/>
      <c r="S14" s="1205"/>
      <c r="T14" s="1205"/>
      <c r="U14" s="1205"/>
      <c r="V14" s="1205"/>
      <c r="AB14" s="1188" t="s">
        <v>2351</v>
      </c>
      <c r="AC14" s="1206">
        <v>12</v>
      </c>
      <c r="AD14" s="1189">
        <v>12</v>
      </c>
      <c r="AE14" s="1189">
        <v>12</v>
      </c>
      <c r="AF14" s="1189">
        <v>12</v>
      </c>
      <c r="AG14" s="1189">
        <v>12</v>
      </c>
      <c r="AH14" s="1189">
        <v>12</v>
      </c>
      <c r="AI14" s="1189">
        <v>12</v>
      </c>
      <c r="AJ14" s="1207">
        <v>12</v>
      </c>
      <c r="AK14" s="1208">
        <v>15</v>
      </c>
      <c r="AL14" s="1208">
        <v>15</v>
      </c>
      <c r="AM14" s="1209">
        <v>15</v>
      </c>
      <c r="AN14" s="1206">
        <v>15</v>
      </c>
      <c r="AO14" s="1208">
        <v>15</v>
      </c>
      <c r="AP14" s="1209">
        <v>15</v>
      </c>
      <c r="AQ14" s="1179"/>
      <c r="AR14" s="1179"/>
      <c r="AS14" s="1179"/>
      <c r="AT14" s="1179"/>
      <c r="AU14" s="1179"/>
      <c r="AV14" s="1179"/>
      <c r="AW14" s="1179"/>
      <c r="AX14" s="1179"/>
      <c r="AY14" s="1179"/>
      <c r="AZ14" s="1179"/>
      <c r="BA14" s="1179"/>
      <c r="BB14" s="1179"/>
      <c r="BC14" s="1179"/>
      <c r="BD14" s="1179"/>
    </row>
    <row r="15" spans="1:56" ht="11.25" customHeight="1" x14ac:dyDescent="0.2">
      <c r="A15" s="1098" t="s">
        <v>2261</v>
      </c>
      <c r="B15" s="1098" t="s">
        <v>2262</v>
      </c>
      <c r="C15" s="1099"/>
      <c r="D15" s="1185">
        <v>650</v>
      </c>
      <c r="E15" s="1105">
        <v>650</v>
      </c>
      <c r="F15" s="1105">
        <v>650</v>
      </c>
      <c r="G15" s="1105">
        <v>650</v>
      </c>
      <c r="H15" s="1186">
        <v>650</v>
      </c>
      <c r="I15" s="1187">
        <v>650</v>
      </c>
      <c r="J15" s="1147">
        <v>650</v>
      </c>
      <c r="K15" s="1186">
        <v>650</v>
      </c>
      <c r="L15" s="1187">
        <v>650</v>
      </c>
      <c r="M15" s="1147">
        <v>650</v>
      </c>
      <c r="N15" s="1186">
        <v>650</v>
      </c>
      <c r="O15" s="1187">
        <v>650</v>
      </c>
      <c r="P15" s="1147">
        <v>650</v>
      </c>
      <c r="Q15" s="1186">
        <v>650</v>
      </c>
      <c r="R15" s="1187">
        <v>650</v>
      </c>
      <c r="S15" s="1147">
        <v>650</v>
      </c>
      <c r="T15" s="1147">
        <v>650</v>
      </c>
      <c r="U15" s="1147">
        <v>650</v>
      </c>
      <c r="V15" s="1186">
        <v>650</v>
      </c>
      <c r="AB15" s="1188" t="s">
        <v>334</v>
      </c>
      <c r="AC15" s="1206">
        <f>AVERAGE(AC13:AC14)</f>
        <v>9.5</v>
      </c>
      <c r="AD15" s="1189">
        <f t="shared" ref="AD15:AM15" si="12">AVERAGE(AD13:AD14)</f>
        <v>9.5</v>
      </c>
      <c r="AE15" s="1189">
        <f t="shared" si="12"/>
        <v>9.5</v>
      </c>
      <c r="AF15" s="1189">
        <f t="shared" si="12"/>
        <v>9.5</v>
      </c>
      <c r="AG15" s="1189">
        <f t="shared" si="12"/>
        <v>9.5</v>
      </c>
      <c r="AH15" s="1189">
        <f t="shared" si="12"/>
        <v>9.5</v>
      </c>
      <c r="AI15" s="1189">
        <f t="shared" si="12"/>
        <v>9.5</v>
      </c>
      <c r="AJ15" s="1207">
        <f t="shared" si="12"/>
        <v>9.5</v>
      </c>
      <c r="AK15" s="1208">
        <f t="shared" si="12"/>
        <v>12.5</v>
      </c>
      <c r="AL15" s="1208">
        <f t="shared" si="12"/>
        <v>12.5</v>
      </c>
      <c r="AM15" s="1209">
        <f t="shared" si="12"/>
        <v>12.5</v>
      </c>
      <c r="AN15" s="1206">
        <f>AVERAGE(AN13:AN14)</f>
        <v>12.5</v>
      </c>
      <c r="AO15" s="1208">
        <f t="shared" ref="AO15:AP15" si="13">AVERAGE(AO13:AO14)</f>
        <v>12.5</v>
      </c>
      <c r="AP15" s="1209">
        <f t="shared" si="13"/>
        <v>12.5</v>
      </c>
      <c r="AQ15" s="1179"/>
      <c r="AR15" s="1179"/>
      <c r="AS15" s="1179"/>
      <c r="AT15" s="1179"/>
      <c r="AU15" s="1179"/>
      <c r="AV15" s="1179"/>
      <c r="AW15" s="1179"/>
      <c r="AX15" s="1179"/>
      <c r="AY15" s="1179"/>
      <c r="AZ15" s="1179"/>
      <c r="BA15" s="1179"/>
      <c r="BB15" s="1179"/>
      <c r="BC15" s="1179"/>
      <c r="BD15" s="1179"/>
    </row>
    <row r="16" spans="1:56" ht="11.25" customHeight="1" x14ac:dyDescent="0.2">
      <c r="A16" s="1098" t="s">
        <v>2263</v>
      </c>
      <c r="B16" s="1098" t="s">
        <v>2262</v>
      </c>
      <c r="C16" s="1099"/>
      <c r="D16" s="1185">
        <v>450</v>
      </c>
      <c r="E16" s="1105">
        <v>450</v>
      </c>
      <c r="F16" s="1105">
        <v>450</v>
      </c>
      <c r="G16" s="1105">
        <v>450</v>
      </c>
      <c r="H16" s="1186">
        <v>450</v>
      </c>
      <c r="I16" s="1187">
        <v>450</v>
      </c>
      <c r="J16" s="1147">
        <v>450</v>
      </c>
      <c r="K16" s="1186">
        <v>450</v>
      </c>
      <c r="L16" s="1187">
        <v>450</v>
      </c>
      <c r="M16" s="1147">
        <v>450</v>
      </c>
      <c r="N16" s="1186">
        <v>450</v>
      </c>
      <c r="O16" s="1187">
        <v>450</v>
      </c>
      <c r="P16" s="1147">
        <v>450</v>
      </c>
      <c r="Q16" s="1186">
        <v>450</v>
      </c>
      <c r="R16" s="1187">
        <v>450</v>
      </c>
      <c r="S16" s="1147">
        <v>450</v>
      </c>
      <c r="T16" s="1147">
        <v>450</v>
      </c>
      <c r="U16" s="1147">
        <v>450</v>
      </c>
      <c r="V16" s="1186">
        <v>450</v>
      </c>
      <c r="AB16" s="1188"/>
      <c r="AC16" s="1210"/>
      <c r="AJ16" s="1211"/>
      <c r="AK16" s="1212"/>
      <c r="AL16" s="1212"/>
      <c r="AM16" s="1213"/>
      <c r="AN16" s="1210"/>
      <c r="AO16" s="1212"/>
      <c r="AP16" s="1213"/>
      <c r="AQ16" s="1179"/>
      <c r="AR16" s="1179"/>
      <c r="AS16" s="1179"/>
      <c r="AT16" s="1179"/>
      <c r="AU16" s="1179"/>
      <c r="AV16" s="1179"/>
      <c r="AW16" s="1179"/>
      <c r="AX16" s="1179"/>
      <c r="AY16" s="1179"/>
      <c r="AZ16" s="1179"/>
      <c r="BA16" s="1179"/>
      <c r="BB16" s="1179"/>
      <c r="BC16" s="1179"/>
      <c r="BD16" s="1179"/>
    </row>
    <row r="17" spans="1:56" ht="11.25" customHeight="1" x14ac:dyDescent="0.2">
      <c r="A17" s="1098" t="s">
        <v>2266</v>
      </c>
      <c r="B17" s="1098" t="s">
        <v>2262</v>
      </c>
      <c r="C17" s="1099"/>
      <c r="D17" s="1185">
        <v>710</v>
      </c>
      <c r="E17" s="1105">
        <v>710</v>
      </c>
      <c r="F17" s="1105">
        <v>710</v>
      </c>
      <c r="G17" s="1105">
        <v>710</v>
      </c>
      <c r="H17" s="1186">
        <v>710</v>
      </c>
      <c r="I17" s="1187">
        <v>710</v>
      </c>
      <c r="J17" s="1147">
        <v>710</v>
      </c>
      <c r="K17" s="1186">
        <v>710</v>
      </c>
      <c r="L17" s="1187">
        <v>710</v>
      </c>
      <c r="M17" s="1147">
        <v>710</v>
      </c>
      <c r="N17" s="1186">
        <v>710</v>
      </c>
      <c r="O17" s="1187">
        <v>710</v>
      </c>
      <c r="P17" s="1147">
        <v>710</v>
      </c>
      <c r="Q17" s="1186">
        <v>710</v>
      </c>
      <c r="R17" s="1187">
        <v>710</v>
      </c>
      <c r="S17" s="1147">
        <v>710</v>
      </c>
      <c r="T17" s="1147">
        <v>710</v>
      </c>
      <c r="U17" s="1147">
        <v>710</v>
      </c>
      <c r="V17" s="1186">
        <v>710</v>
      </c>
      <c r="AB17" s="1188" t="s">
        <v>2352</v>
      </c>
      <c r="AC17" s="1214">
        <f t="shared" ref="AC17:AJ19" si="14">D55</f>
        <v>3.7919999999999994</v>
      </c>
      <c r="AD17" s="1196">
        <f t="shared" si="14"/>
        <v>5.1839999999999993</v>
      </c>
      <c r="AE17" s="1196">
        <f t="shared" si="14"/>
        <v>6</v>
      </c>
      <c r="AF17" s="1196">
        <f t="shared" si="14"/>
        <v>7.0200000000000014</v>
      </c>
      <c r="AG17" s="1196">
        <f t="shared" si="14"/>
        <v>7.847999999999999</v>
      </c>
      <c r="AH17" s="1196">
        <f t="shared" si="14"/>
        <v>6.3360000000000003</v>
      </c>
      <c r="AI17" s="1196">
        <f t="shared" si="14"/>
        <v>7.68</v>
      </c>
      <c r="AJ17" s="1215">
        <f t="shared" si="14"/>
        <v>8.76</v>
      </c>
      <c r="AK17" s="1216">
        <f>O55</f>
        <v>3.672000000000001</v>
      </c>
      <c r="AL17" s="1216">
        <f t="shared" ref="AL17:AM19" si="15">P55</f>
        <v>4.4160000000000013</v>
      </c>
      <c r="AM17" s="1217">
        <f t="shared" si="15"/>
        <v>5.160000000000001</v>
      </c>
      <c r="AN17" s="1214">
        <f>L55</f>
        <v>3.2399999999999998</v>
      </c>
      <c r="AO17" s="1216">
        <f t="shared" ref="AO17:AP19" si="16">M55</f>
        <v>4.08</v>
      </c>
      <c r="AP17" s="1217">
        <f t="shared" si="16"/>
        <v>4.8599999999999968</v>
      </c>
      <c r="AQ17" s="1179"/>
      <c r="AR17" s="1179"/>
      <c r="AS17" s="1179"/>
      <c r="AT17" s="1179"/>
      <c r="AU17" s="1179"/>
      <c r="AV17" s="1179"/>
      <c r="AW17" s="1179"/>
      <c r="AX17" s="1179"/>
      <c r="AY17" s="1179"/>
      <c r="AZ17" s="1179"/>
      <c r="BA17" s="1179"/>
      <c r="BB17" s="1179"/>
      <c r="BC17" s="1179"/>
      <c r="BD17" s="1179"/>
    </row>
    <row r="18" spans="1:56" ht="11.25" customHeight="1" x14ac:dyDescent="0.2">
      <c r="A18" s="1098" t="s">
        <v>2267</v>
      </c>
      <c r="B18" s="1098" t="s">
        <v>2262</v>
      </c>
      <c r="C18" s="1099"/>
      <c r="D18" s="1185">
        <v>450</v>
      </c>
      <c r="E18" s="1105">
        <v>450</v>
      </c>
      <c r="F18" s="1105">
        <v>450</v>
      </c>
      <c r="G18" s="1105">
        <v>450</v>
      </c>
      <c r="H18" s="1186">
        <v>450</v>
      </c>
      <c r="I18" s="1187">
        <v>450</v>
      </c>
      <c r="J18" s="1147">
        <v>450</v>
      </c>
      <c r="K18" s="1186">
        <v>450</v>
      </c>
      <c r="L18" s="1187">
        <v>450</v>
      </c>
      <c r="M18" s="1147">
        <v>450</v>
      </c>
      <c r="N18" s="1186">
        <v>450</v>
      </c>
      <c r="O18" s="1187">
        <v>450</v>
      </c>
      <c r="P18" s="1147">
        <v>450</v>
      </c>
      <c r="Q18" s="1186">
        <v>450</v>
      </c>
      <c r="R18" s="1187">
        <v>450</v>
      </c>
      <c r="S18" s="1147">
        <v>450</v>
      </c>
      <c r="T18" s="1147">
        <v>450</v>
      </c>
      <c r="U18" s="1147">
        <v>450</v>
      </c>
      <c r="V18" s="1186">
        <v>450</v>
      </c>
      <c r="AB18" s="1188" t="s">
        <v>2353</v>
      </c>
      <c r="AC18" s="1214">
        <f t="shared" si="14"/>
        <v>2.4119999999999999</v>
      </c>
      <c r="AD18" s="1216">
        <f t="shared" si="14"/>
        <v>3.4009199999999997</v>
      </c>
      <c r="AE18" s="1216">
        <f t="shared" si="14"/>
        <v>4.24512</v>
      </c>
      <c r="AF18" s="1216">
        <f t="shared" si="14"/>
        <v>5.0651999999999981</v>
      </c>
      <c r="AG18" s="1216">
        <f t="shared" si="14"/>
        <v>5.8611599999999999</v>
      </c>
      <c r="AH18" s="1216">
        <f t="shared" si="14"/>
        <v>5.2460999999999993</v>
      </c>
      <c r="AI18" s="1216">
        <f t="shared" si="14"/>
        <v>6.7053599999999989</v>
      </c>
      <c r="AJ18" s="1216">
        <f t="shared" si="14"/>
        <v>8.019899999999998</v>
      </c>
      <c r="AK18" s="1216">
        <f>O56</f>
        <v>2.8943999999999996</v>
      </c>
      <c r="AL18" s="1216">
        <f t="shared" si="15"/>
        <v>3.6179999999999994</v>
      </c>
      <c r="AM18" s="1217">
        <f t="shared" si="15"/>
        <v>4.4018999999999995</v>
      </c>
      <c r="AN18" s="1214">
        <f>L56</f>
        <v>3.18384</v>
      </c>
      <c r="AO18" s="1216">
        <f t="shared" si="16"/>
        <v>4.0039199999999999</v>
      </c>
      <c r="AP18" s="1217">
        <f t="shared" si="16"/>
        <v>4.7636999999999983</v>
      </c>
      <c r="AQ18" s="1179"/>
      <c r="AR18" s="1179"/>
      <c r="AS18" s="1179"/>
      <c r="AT18" s="1179"/>
      <c r="AU18" s="1179"/>
      <c r="AV18" s="1179"/>
      <c r="AW18" s="1179"/>
      <c r="AX18" s="1179"/>
      <c r="AY18" s="1179"/>
      <c r="AZ18" s="1179"/>
      <c r="BA18" s="1179"/>
      <c r="BB18" s="1179"/>
      <c r="BC18" s="1179"/>
      <c r="BD18" s="1179"/>
    </row>
    <row r="19" spans="1:56" ht="11.25" customHeight="1" x14ac:dyDescent="0.2">
      <c r="A19" s="1098" t="s">
        <v>2268</v>
      </c>
      <c r="B19" s="1098" t="s">
        <v>2262</v>
      </c>
      <c r="C19" s="1099"/>
      <c r="D19" s="1185">
        <v>120</v>
      </c>
      <c r="E19" s="1105">
        <v>120</v>
      </c>
      <c r="F19" s="1105">
        <v>120</v>
      </c>
      <c r="G19" s="1105">
        <v>120</v>
      </c>
      <c r="H19" s="1186">
        <v>120</v>
      </c>
      <c r="I19" s="1187">
        <v>120</v>
      </c>
      <c r="J19" s="1147">
        <v>120</v>
      </c>
      <c r="K19" s="1186">
        <v>120</v>
      </c>
      <c r="L19" s="1187">
        <v>120</v>
      </c>
      <c r="M19" s="1147">
        <v>120</v>
      </c>
      <c r="N19" s="1186">
        <v>120</v>
      </c>
      <c r="O19" s="1187">
        <v>120</v>
      </c>
      <c r="P19" s="1147">
        <v>120</v>
      </c>
      <c r="Q19" s="1186">
        <v>120</v>
      </c>
      <c r="R19" s="1187">
        <v>120</v>
      </c>
      <c r="S19" s="1147">
        <v>120</v>
      </c>
      <c r="T19" s="1147">
        <v>120</v>
      </c>
      <c r="U19" s="1147">
        <v>120</v>
      </c>
      <c r="V19" s="1186">
        <v>120</v>
      </c>
      <c r="AA19" s="1218"/>
      <c r="AB19" s="1188" t="s">
        <v>2354</v>
      </c>
      <c r="AC19" s="1214">
        <f t="shared" si="14"/>
        <v>1.3799999999999994</v>
      </c>
      <c r="AD19" s="1196">
        <f t="shared" si="14"/>
        <v>1.7830799999999996</v>
      </c>
      <c r="AE19" s="1196">
        <f t="shared" si="14"/>
        <v>1.75488</v>
      </c>
      <c r="AF19" s="1196">
        <f t="shared" si="14"/>
        <v>1.9548000000000032</v>
      </c>
      <c r="AG19" s="1196">
        <f t="shared" si="14"/>
        <v>1.9868399999999991</v>
      </c>
      <c r="AH19" s="1196">
        <f t="shared" si="14"/>
        <v>1.089900000000001</v>
      </c>
      <c r="AI19" s="1196">
        <f t="shared" si="14"/>
        <v>0.97464000000000084</v>
      </c>
      <c r="AJ19" s="1215">
        <f t="shared" si="14"/>
        <v>0.74010000000000176</v>
      </c>
      <c r="AK19" s="1216">
        <f>O57</f>
        <v>0.7776000000000014</v>
      </c>
      <c r="AL19" s="1216">
        <f t="shared" si="15"/>
        <v>0.79800000000000182</v>
      </c>
      <c r="AM19" s="1217">
        <f t="shared" si="15"/>
        <v>0.75810000000000155</v>
      </c>
      <c r="AN19" s="1214">
        <f>L57</f>
        <v>5.6159999999999766E-2</v>
      </c>
      <c r="AO19" s="1216">
        <f t="shared" si="16"/>
        <v>7.6080000000000148E-2</v>
      </c>
      <c r="AP19" s="1217">
        <f t="shared" si="16"/>
        <v>9.6299999999998498E-2</v>
      </c>
      <c r="AQ19" s="1179"/>
      <c r="AR19" s="1179"/>
      <c r="AS19" s="1179"/>
      <c r="AT19" s="1179"/>
      <c r="AU19" s="1179"/>
      <c r="AV19" s="1179"/>
      <c r="AW19" s="1179"/>
      <c r="AX19" s="1179"/>
      <c r="AY19" s="1179"/>
      <c r="AZ19" s="1179"/>
      <c r="BA19" s="1179"/>
      <c r="BB19" s="1179"/>
      <c r="BC19" s="1179"/>
      <c r="BD19" s="1179"/>
    </row>
    <row r="20" spans="1:56" ht="11.25" customHeight="1" x14ac:dyDescent="0.2">
      <c r="A20" s="1099"/>
      <c r="B20" s="1099"/>
      <c r="C20" s="1099"/>
      <c r="D20" s="1219"/>
      <c r="E20" s="1113"/>
      <c r="F20" s="1113"/>
      <c r="G20" s="1113"/>
      <c r="H20" s="1220"/>
      <c r="I20" s="1221"/>
      <c r="J20" s="1157"/>
      <c r="K20" s="1220"/>
      <c r="L20" s="1221"/>
      <c r="M20" s="1157"/>
      <c r="N20" s="1220"/>
      <c r="O20" s="1221"/>
      <c r="P20" s="1157"/>
      <c r="Q20" s="1220"/>
      <c r="R20" s="1221"/>
      <c r="S20" s="1157"/>
      <c r="T20" s="1157"/>
      <c r="U20" s="1157"/>
      <c r="V20" s="1220"/>
      <c r="AA20" s="1218"/>
      <c r="AB20" s="1188" t="s">
        <v>2355</v>
      </c>
      <c r="AC20" s="1222">
        <f>AC18/AC17</f>
        <v>0.63607594936708867</v>
      </c>
      <c r="AD20" s="1223">
        <f t="shared" ref="AD20:AP20" si="17">AD18/AD17</f>
        <v>0.65604166666666675</v>
      </c>
      <c r="AE20" s="1223">
        <f t="shared" si="17"/>
        <v>0.70752000000000004</v>
      </c>
      <c r="AF20" s="1223">
        <f t="shared" si="17"/>
        <v>0.72153846153846113</v>
      </c>
      <c r="AG20" s="1223">
        <f t="shared" si="17"/>
        <v>0.74683486238532115</v>
      </c>
      <c r="AH20" s="1223">
        <f t="shared" si="17"/>
        <v>0.82798295454545445</v>
      </c>
      <c r="AI20" s="1223">
        <f t="shared" si="17"/>
        <v>0.87309374999999989</v>
      </c>
      <c r="AJ20" s="1223">
        <f t="shared" si="17"/>
        <v>0.91551369863013676</v>
      </c>
      <c r="AK20" s="1223">
        <f>AK18/AK17</f>
        <v>0.7882352941176467</v>
      </c>
      <c r="AL20" s="1223">
        <f t="shared" ref="AL20:AM20" si="18">AL18/AL17</f>
        <v>0.81929347826086918</v>
      </c>
      <c r="AM20" s="1224">
        <f t="shared" si="18"/>
        <v>0.85308139534883698</v>
      </c>
      <c r="AN20" s="1222">
        <f t="shared" si="17"/>
        <v>0.98266666666666669</v>
      </c>
      <c r="AO20" s="1223">
        <f t="shared" si="17"/>
        <v>0.98135294117647054</v>
      </c>
      <c r="AP20" s="1224">
        <f t="shared" si="17"/>
        <v>0.98018518518518549</v>
      </c>
      <c r="AQ20" s="1179"/>
      <c r="AR20" s="1179"/>
      <c r="AS20" s="1179"/>
      <c r="AT20" s="1179"/>
      <c r="AU20" s="1179"/>
      <c r="AV20" s="1179"/>
      <c r="AW20" s="1179"/>
      <c r="AX20" s="1179"/>
      <c r="AY20" s="1179"/>
      <c r="AZ20" s="1179"/>
      <c r="BA20" s="1179"/>
      <c r="BB20" s="1179"/>
      <c r="BC20" s="1179"/>
      <c r="BD20" s="1179"/>
    </row>
    <row r="21" spans="1:56" ht="11.25" customHeight="1" x14ac:dyDescent="0.2">
      <c r="A21" s="1098" t="s">
        <v>2269</v>
      </c>
      <c r="B21" s="1098" t="s">
        <v>2270</v>
      </c>
      <c r="C21" s="1099"/>
      <c r="D21" s="1185">
        <v>3.8</v>
      </c>
      <c r="E21" s="1105">
        <v>5.2</v>
      </c>
      <c r="F21" s="1105">
        <v>6</v>
      </c>
      <c r="G21" s="1105">
        <v>7</v>
      </c>
      <c r="H21" s="1186">
        <v>7.8</v>
      </c>
      <c r="I21" s="1187">
        <v>6.3</v>
      </c>
      <c r="J21" s="1147">
        <v>7.7</v>
      </c>
      <c r="K21" s="1186">
        <v>8.8000000000000007</v>
      </c>
      <c r="L21" s="1187">
        <v>3.2</v>
      </c>
      <c r="M21" s="1147">
        <v>4.0999999999999996</v>
      </c>
      <c r="N21" s="1186">
        <v>4.9000000000000004</v>
      </c>
      <c r="O21" s="1187">
        <v>3.7</v>
      </c>
      <c r="P21" s="1147">
        <v>4.4000000000000004</v>
      </c>
      <c r="Q21" s="1186">
        <v>5.2</v>
      </c>
      <c r="R21" s="1187">
        <v>2.2999999999999998</v>
      </c>
      <c r="S21" s="1147">
        <v>2.7</v>
      </c>
      <c r="T21" s="1147">
        <v>3</v>
      </c>
      <c r="U21" s="1147">
        <v>3.2</v>
      </c>
      <c r="V21" s="1186">
        <v>3.4</v>
      </c>
      <c r="AB21" s="1188"/>
      <c r="AC21" s="1210"/>
      <c r="AJ21" s="1211"/>
      <c r="AK21" s="1212"/>
      <c r="AL21" s="1212"/>
      <c r="AM21" s="1213"/>
      <c r="AN21" s="1210"/>
      <c r="AO21" s="1212"/>
      <c r="AP21" s="1213"/>
      <c r="AQ21" s="1179"/>
      <c r="AR21" s="1179"/>
      <c r="AS21" s="1179"/>
      <c r="AT21" s="1179"/>
      <c r="AU21" s="1179"/>
      <c r="AV21" s="1179"/>
      <c r="AW21" s="1179"/>
      <c r="AX21" s="1179"/>
      <c r="AY21" s="1179"/>
      <c r="AZ21" s="1179"/>
      <c r="BA21" s="1179"/>
      <c r="BB21" s="1179"/>
      <c r="BC21" s="1179"/>
      <c r="BD21" s="1179"/>
    </row>
    <row r="22" spans="1:56" ht="11.25" customHeight="1" x14ac:dyDescent="0.2">
      <c r="A22" s="1098" t="s">
        <v>2273</v>
      </c>
      <c r="B22" s="1098" t="s">
        <v>2274</v>
      </c>
      <c r="C22" s="1099"/>
      <c r="D22" s="1225">
        <v>0.2</v>
      </c>
      <c r="E22" s="1154">
        <v>0.3</v>
      </c>
      <c r="F22" s="1154">
        <v>0.4</v>
      </c>
      <c r="G22" s="1154">
        <v>0.5</v>
      </c>
      <c r="H22" s="1226">
        <v>0.6</v>
      </c>
      <c r="I22" s="1227">
        <v>0.3</v>
      </c>
      <c r="J22" s="1155">
        <v>0.4</v>
      </c>
      <c r="K22" s="1226">
        <v>0.5</v>
      </c>
      <c r="L22" s="1227">
        <v>0.3</v>
      </c>
      <c r="M22" s="1155">
        <v>0.4</v>
      </c>
      <c r="N22" s="1226">
        <v>0.5</v>
      </c>
      <c r="O22" s="1227">
        <v>0.3</v>
      </c>
      <c r="P22" s="1155">
        <v>0.4</v>
      </c>
      <c r="Q22" s="1226">
        <v>0.5</v>
      </c>
      <c r="R22" s="1227">
        <v>0.2</v>
      </c>
      <c r="S22" s="1155">
        <v>0.3</v>
      </c>
      <c r="T22" s="1155">
        <v>0.4</v>
      </c>
      <c r="U22" s="1155">
        <v>0.5</v>
      </c>
      <c r="V22" s="1226">
        <v>0.6</v>
      </c>
      <c r="AB22" s="1188" t="s">
        <v>2356</v>
      </c>
      <c r="AC22" s="1214">
        <f t="shared" ref="AC22:AJ22" si="19">D72</f>
        <v>17.952310732769277</v>
      </c>
      <c r="AD22" s="1196">
        <f t="shared" si="19"/>
        <v>17.952310732769277</v>
      </c>
      <c r="AE22" s="1196">
        <f t="shared" si="19"/>
        <v>17.952310732769277</v>
      </c>
      <c r="AF22" s="1196">
        <f t="shared" si="19"/>
        <v>17.952310732769277</v>
      </c>
      <c r="AG22" s="1196">
        <f t="shared" si="19"/>
        <v>17.952310732769277</v>
      </c>
      <c r="AH22" s="1196">
        <f t="shared" si="19"/>
        <v>16.750216472477977</v>
      </c>
      <c r="AI22" s="1196">
        <f t="shared" si="19"/>
        <v>16.750216472477977</v>
      </c>
      <c r="AJ22" s="1215">
        <f t="shared" si="19"/>
        <v>16.750216472477977</v>
      </c>
      <c r="AK22" s="1216">
        <f>O72</f>
        <v>17.952310732769277</v>
      </c>
      <c r="AL22" s="1216">
        <f t="shared" ref="AL22:AM22" si="20">P72</f>
        <v>17.952310732769277</v>
      </c>
      <c r="AM22" s="1217">
        <f t="shared" si="20"/>
        <v>17.952310732769277</v>
      </c>
      <c r="AN22" s="1214">
        <f>L72</f>
        <v>13.842291097036892</v>
      </c>
      <c r="AO22" s="1216">
        <f t="shared" ref="AO22:AP22" si="21">M72</f>
        <v>13.842291097036892</v>
      </c>
      <c r="AP22" s="1217">
        <f t="shared" si="21"/>
        <v>13.842291097036892</v>
      </c>
      <c r="AQ22" s="1179"/>
      <c r="AR22" s="1179"/>
      <c r="AS22" s="1179"/>
      <c r="AT22" s="1179"/>
      <c r="AU22" s="1179"/>
      <c r="AV22" s="1179"/>
      <c r="AW22" s="1179"/>
      <c r="AX22" s="1179"/>
      <c r="AY22" s="1179"/>
      <c r="AZ22" s="1179"/>
      <c r="BA22" s="1179"/>
      <c r="BB22" s="1179"/>
      <c r="BC22" s="1179"/>
      <c r="BD22" s="1179"/>
    </row>
    <row r="23" spans="1:56" ht="11.25" customHeight="1" x14ac:dyDescent="0.2">
      <c r="A23" s="1098" t="s">
        <v>2276</v>
      </c>
      <c r="B23" s="1098" t="s">
        <v>2277</v>
      </c>
      <c r="C23" s="1099"/>
      <c r="D23" s="1185">
        <v>0.24</v>
      </c>
      <c r="E23" s="1105">
        <v>0.36</v>
      </c>
      <c r="F23" s="1105">
        <v>0.48</v>
      </c>
      <c r="G23" s="1105">
        <v>0.6</v>
      </c>
      <c r="H23" s="1186">
        <v>0.72</v>
      </c>
      <c r="I23" s="1187">
        <v>0.36</v>
      </c>
      <c r="J23" s="1147">
        <v>0.48</v>
      </c>
      <c r="K23" s="1186">
        <v>0.6</v>
      </c>
      <c r="L23" s="1187">
        <v>0.36</v>
      </c>
      <c r="M23" s="1147">
        <v>0.48</v>
      </c>
      <c r="N23" s="1186">
        <v>0.6</v>
      </c>
      <c r="O23" s="1187">
        <v>0.36</v>
      </c>
      <c r="P23" s="1147">
        <v>0.48</v>
      </c>
      <c r="Q23" s="1186">
        <v>0.6</v>
      </c>
      <c r="R23" s="1187">
        <v>0.24</v>
      </c>
      <c r="S23" s="1147">
        <v>0.36</v>
      </c>
      <c r="T23" s="1147">
        <v>0.48</v>
      </c>
      <c r="U23" s="1147">
        <v>0.6</v>
      </c>
      <c r="V23" s="1186">
        <v>0.72</v>
      </c>
      <c r="AB23" s="1188" t="s">
        <v>2357</v>
      </c>
      <c r="AC23" s="1222">
        <f t="shared" ref="AC23:AM23" si="22">(AC22-AC13)/(AC14-AC13)</f>
        <v>2.1904621465538554</v>
      </c>
      <c r="AD23" s="1228">
        <f t="shared" si="22"/>
        <v>2.1904621465538554</v>
      </c>
      <c r="AE23" s="1228">
        <f t="shared" si="22"/>
        <v>2.1904621465538554</v>
      </c>
      <c r="AF23" s="1228">
        <f t="shared" si="22"/>
        <v>2.1904621465538554</v>
      </c>
      <c r="AG23" s="1228">
        <f t="shared" si="22"/>
        <v>2.1904621465538554</v>
      </c>
      <c r="AH23" s="1228">
        <f t="shared" si="22"/>
        <v>1.9500432944955954</v>
      </c>
      <c r="AI23" s="1228">
        <f t="shared" si="22"/>
        <v>1.9500432944955954</v>
      </c>
      <c r="AJ23" s="1229">
        <f t="shared" si="22"/>
        <v>1.9500432944955954</v>
      </c>
      <c r="AK23" s="1223">
        <f t="shared" si="22"/>
        <v>1.5904621465538553</v>
      </c>
      <c r="AL23" s="1223">
        <f t="shared" si="22"/>
        <v>1.5904621465538553</v>
      </c>
      <c r="AM23" s="1224">
        <f t="shared" si="22"/>
        <v>1.5904621465538553</v>
      </c>
      <c r="AN23" s="1222">
        <f>(AN22-AN13)/(AN14-AN13)</f>
        <v>0.76845821940737835</v>
      </c>
      <c r="AO23" s="1223">
        <f t="shared" ref="AO23:AP23" si="23">(AO22-AO13)/(AO14-AO13)</f>
        <v>0.76845821940737835</v>
      </c>
      <c r="AP23" s="1224">
        <f t="shared" si="23"/>
        <v>0.76845821940737835</v>
      </c>
      <c r="AQ23" s="1179"/>
      <c r="AR23" s="1179"/>
      <c r="AS23" s="1179"/>
      <c r="AT23" s="1179"/>
      <c r="AU23" s="1179"/>
      <c r="AV23" s="1179"/>
      <c r="AW23" s="1179"/>
      <c r="AX23" s="1179"/>
      <c r="AY23" s="1179"/>
      <c r="AZ23" s="1179"/>
      <c r="BA23" s="1179"/>
      <c r="BB23" s="1179"/>
      <c r="BC23" s="1179"/>
      <c r="BD23" s="1179"/>
    </row>
    <row r="24" spans="1:56" ht="11.25" customHeight="1" x14ac:dyDescent="0.2">
      <c r="A24" s="1098" t="s">
        <v>2280</v>
      </c>
      <c r="B24" s="1098" t="s">
        <v>2281</v>
      </c>
      <c r="C24" s="1099"/>
      <c r="D24" s="1185">
        <v>25</v>
      </c>
      <c r="E24" s="1105">
        <v>25</v>
      </c>
      <c r="F24" s="1105">
        <v>25</v>
      </c>
      <c r="G24" s="1105">
        <v>25</v>
      </c>
      <c r="H24" s="1186">
        <v>25</v>
      </c>
      <c r="I24" s="1187">
        <v>30</v>
      </c>
      <c r="J24" s="1147">
        <v>30</v>
      </c>
      <c r="K24" s="1186">
        <v>30</v>
      </c>
      <c r="L24" s="1187">
        <v>25</v>
      </c>
      <c r="M24" s="1147">
        <v>25</v>
      </c>
      <c r="N24" s="1186">
        <v>25</v>
      </c>
      <c r="O24" s="1187">
        <v>25</v>
      </c>
      <c r="P24" s="1147">
        <v>25</v>
      </c>
      <c r="Q24" s="1186">
        <v>25</v>
      </c>
      <c r="R24" s="1187">
        <v>25</v>
      </c>
      <c r="S24" s="1147">
        <v>25</v>
      </c>
      <c r="T24" s="1147">
        <v>25</v>
      </c>
      <c r="U24" s="1147">
        <v>25</v>
      </c>
      <c r="V24" s="1186">
        <v>25</v>
      </c>
      <c r="AC24" s="1210"/>
      <c r="AJ24" s="1211"/>
      <c r="AK24" s="1212"/>
      <c r="AL24" s="1212"/>
      <c r="AM24" s="1213"/>
      <c r="AN24" s="1210"/>
      <c r="AO24" s="1212"/>
      <c r="AP24" s="1213"/>
      <c r="AQ24" s="1179"/>
      <c r="AR24" s="1179"/>
      <c r="AS24" s="1179"/>
      <c r="AT24" s="1179"/>
      <c r="AU24" s="1179"/>
      <c r="AV24" s="1179"/>
      <c r="AW24" s="1179"/>
      <c r="AX24" s="1179"/>
      <c r="AY24" s="1179"/>
      <c r="AZ24" s="1179"/>
      <c r="BA24" s="1179"/>
      <c r="BB24" s="1179"/>
      <c r="BC24" s="1179"/>
      <c r="BD24" s="1179"/>
    </row>
    <row r="25" spans="1:56" ht="11.25" customHeight="1" x14ac:dyDescent="0.2">
      <c r="A25" s="1098" t="s">
        <v>2358</v>
      </c>
      <c r="B25" s="1098" t="s">
        <v>2257</v>
      </c>
      <c r="C25" s="1099"/>
      <c r="D25" s="1185">
        <v>65</v>
      </c>
      <c r="E25" s="1105">
        <v>65</v>
      </c>
      <c r="F25" s="1105">
        <v>65</v>
      </c>
      <c r="G25" s="1105">
        <v>65</v>
      </c>
      <c r="H25" s="1186">
        <v>65</v>
      </c>
      <c r="I25" s="1187">
        <v>45</v>
      </c>
      <c r="J25" s="1147">
        <v>45</v>
      </c>
      <c r="K25" s="1186">
        <v>45</v>
      </c>
      <c r="L25" s="1187">
        <v>50</v>
      </c>
      <c r="M25" s="1147">
        <v>50</v>
      </c>
      <c r="N25" s="1186">
        <v>50</v>
      </c>
      <c r="O25" s="1187">
        <v>65</v>
      </c>
      <c r="P25" s="1147">
        <v>65</v>
      </c>
      <c r="Q25" s="1186">
        <v>65</v>
      </c>
      <c r="R25" s="1187">
        <v>65</v>
      </c>
      <c r="S25" s="1147">
        <v>65</v>
      </c>
      <c r="T25" s="1147">
        <v>65</v>
      </c>
      <c r="U25" s="1147">
        <v>65</v>
      </c>
      <c r="V25" s="1186">
        <v>65</v>
      </c>
      <c r="AC25" s="1230">
        <f t="shared" ref="AC25:AJ25" si="24">D58</f>
        <v>0.63607594936708867</v>
      </c>
      <c r="AD25" s="1231">
        <f t="shared" si="24"/>
        <v>0.65604166666666675</v>
      </c>
      <c r="AE25" s="1231">
        <f t="shared" si="24"/>
        <v>0.70752000000000004</v>
      </c>
      <c r="AF25" s="1231">
        <f t="shared" si="24"/>
        <v>0.72153846153846113</v>
      </c>
      <c r="AG25" s="1231">
        <f t="shared" si="24"/>
        <v>0.74683486238532115</v>
      </c>
      <c r="AH25" s="1231">
        <f t="shared" si="24"/>
        <v>0.82798295454545445</v>
      </c>
      <c r="AI25" s="1231">
        <f t="shared" si="24"/>
        <v>0.87309374999999989</v>
      </c>
      <c r="AJ25" s="1232">
        <f t="shared" si="24"/>
        <v>0.91551369863013676</v>
      </c>
      <c r="AK25" s="1233">
        <f>O58</f>
        <v>0.7882352941176467</v>
      </c>
      <c r="AL25" s="1233">
        <f t="shared" ref="AL25:AM25" si="25">P58</f>
        <v>0.81929347826086918</v>
      </c>
      <c r="AM25" s="1234">
        <f t="shared" si="25"/>
        <v>0.85308139534883698</v>
      </c>
      <c r="AN25" s="1230">
        <f>L58</f>
        <v>0.98266666666666669</v>
      </c>
      <c r="AO25" s="1233">
        <f t="shared" ref="AO25:AP25" si="26">M58</f>
        <v>0.98135294117647054</v>
      </c>
      <c r="AP25" s="1234">
        <f t="shared" si="26"/>
        <v>0.98018518518518549</v>
      </c>
      <c r="AQ25" s="1179"/>
      <c r="AR25" s="1179"/>
      <c r="AS25" s="1179"/>
      <c r="AT25" s="1179"/>
      <c r="AU25" s="1179"/>
      <c r="AV25" s="1179"/>
      <c r="AW25" s="1179"/>
      <c r="AX25" s="1179"/>
      <c r="AY25" s="1179"/>
      <c r="AZ25" s="1179"/>
      <c r="BA25" s="1179"/>
      <c r="BB25" s="1179"/>
      <c r="BC25" s="1179"/>
      <c r="BD25" s="1179"/>
    </row>
    <row r="26" spans="1:56" ht="11.25" customHeight="1" x14ac:dyDescent="0.2">
      <c r="A26" s="1098" t="s">
        <v>2359</v>
      </c>
      <c r="B26" s="1098" t="s">
        <v>2360</v>
      </c>
      <c r="C26" s="1099"/>
      <c r="D26" s="1185">
        <v>58</v>
      </c>
      <c r="E26" s="1105">
        <v>58</v>
      </c>
      <c r="F26" s="1105">
        <v>58</v>
      </c>
      <c r="G26" s="1105">
        <v>58</v>
      </c>
      <c r="H26" s="1186">
        <v>58</v>
      </c>
      <c r="I26" s="1187">
        <v>60.7</v>
      </c>
      <c r="J26" s="1147">
        <v>60.7</v>
      </c>
      <c r="K26" s="1186">
        <v>60.7</v>
      </c>
      <c r="L26" s="1187">
        <v>50.3</v>
      </c>
      <c r="M26" s="1147">
        <v>50.3</v>
      </c>
      <c r="N26" s="1186">
        <v>50.3</v>
      </c>
      <c r="O26" s="1187">
        <v>58</v>
      </c>
      <c r="P26" s="1147">
        <v>58</v>
      </c>
      <c r="Q26" s="1186">
        <v>58</v>
      </c>
      <c r="R26" s="1187">
        <v>58</v>
      </c>
      <c r="S26" s="1147">
        <v>58</v>
      </c>
      <c r="T26" s="1147">
        <v>58</v>
      </c>
      <c r="U26" s="1147">
        <v>58</v>
      </c>
      <c r="V26" s="1186">
        <v>58</v>
      </c>
      <c r="AC26" s="1206">
        <f t="shared" ref="AC26:AJ26" si="27">D60</f>
        <v>0.18</v>
      </c>
      <c r="AD26" s="1189">
        <f t="shared" si="27"/>
        <v>0.25</v>
      </c>
      <c r="AE26" s="1189">
        <f t="shared" si="27"/>
        <v>0.28999999999999998</v>
      </c>
      <c r="AF26" s="1189">
        <f t="shared" si="27"/>
        <v>0.34</v>
      </c>
      <c r="AG26" s="1189">
        <f t="shared" si="27"/>
        <v>0.37</v>
      </c>
      <c r="AH26" s="1189">
        <f t="shared" si="27"/>
        <v>0.3</v>
      </c>
      <c r="AI26" s="1189">
        <f t="shared" si="27"/>
        <v>0.37</v>
      </c>
      <c r="AJ26" s="1207">
        <f t="shared" si="27"/>
        <v>0.42</v>
      </c>
      <c r="AK26" s="1208">
        <f>O60</f>
        <v>0.18</v>
      </c>
      <c r="AL26" s="1208">
        <f t="shared" ref="AL26:AM26" si="28">P60</f>
        <v>0.21</v>
      </c>
      <c r="AM26" s="1209">
        <f t="shared" si="28"/>
        <v>0.25</v>
      </c>
      <c r="AN26" s="1206">
        <f>L60</f>
        <v>0.15</v>
      </c>
      <c r="AO26" s="1208">
        <f t="shared" ref="AO26:AP26" si="29">M60</f>
        <v>0.19</v>
      </c>
      <c r="AP26" s="1209">
        <f t="shared" si="29"/>
        <v>0.23</v>
      </c>
      <c r="AQ26" s="1179"/>
      <c r="AR26" s="1179"/>
      <c r="AS26" s="1179"/>
      <c r="AT26" s="1179"/>
      <c r="AU26" s="1179"/>
      <c r="AV26" s="1179"/>
      <c r="AW26" s="1179"/>
      <c r="AX26" s="1179"/>
      <c r="AY26" s="1179"/>
      <c r="AZ26" s="1179"/>
      <c r="BA26" s="1179"/>
      <c r="BB26" s="1179"/>
      <c r="BC26" s="1179"/>
      <c r="BD26" s="1179"/>
    </row>
    <row r="27" spans="1:56" ht="11.25" customHeight="1" x14ac:dyDescent="0.2">
      <c r="A27" s="1098" t="s">
        <v>2282</v>
      </c>
      <c r="B27" s="1098" t="s">
        <v>2281</v>
      </c>
      <c r="C27" s="1099"/>
      <c r="D27" s="1185">
        <v>15</v>
      </c>
      <c r="E27" s="1105">
        <v>15.6</v>
      </c>
      <c r="F27" s="1105">
        <v>16.2</v>
      </c>
      <c r="G27" s="1105">
        <v>16.600000000000001</v>
      </c>
      <c r="H27" s="1186">
        <v>16.899999999999999</v>
      </c>
      <c r="I27" s="1187">
        <v>15.5</v>
      </c>
      <c r="J27" s="1147">
        <v>16.100000000000001</v>
      </c>
      <c r="K27" s="1186">
        <v>16.7</v>
      </c>
      <c r="L27" s="1187">
        <v>16.2</v>
      </c>
      <c r="M27" s="1147">
        <v>16.7</v>
      </c>
      <c r="N27" s="1186">
        <v>17.100000000000001</v>
      </c>
      <c r="O27" s="1187">
        <v>17</v>
      </c>
      <c r="P27" s="1147">
        <v>17.5</v>
      </c>
      <c r="Q27" s="1186">
        <v>17.7</v>
      </c>
      <c r="R27" s="1187">
        <v>17.399999999999999</v>
      </c>
      <c r="S27" s="1147">
        <v>18.399999999999999</v>
      </c>
      <c r="T27" s="1147">
        <v>19.100000000000001</v>
      </c>
      <c r="U27" s="1147">
        <v>19.8</v>
      </c>
      <c r="V27" s="1186">
        <v>20.399999999999999</v>
      </c>
      <c r="AQ27" s="1179"/>
      <c r="AR27" s="1179"/>
      <c r="AS27" s="1179"/>
      <c r="AT27" s="1179"/>
      <c r="AU27" s="1179"/>
      <c r="AV27" s="1179"/>
      <c r="AW27" s="1179"/>
      <c r="AX27" s="1179"/>
      <c r="AY27" s="1179"/>
      <c r="AZ27" s="1179"/>
      <c r="BA27" s="1179"/>
      <c r="BB27" s="1179"/>
      <c r="BC27" s="1179"/>
      <c r="BD27" s="1179"/>
    </row>
    <row r="28" spans="1:56" ht="11.25" customHeight="1" x14ac:dyDescent="0.2">
      <c r="A28" s="1098" t="s">
        <v>2361</v>
      </c>
      <c r="B28" s="1098" t="s">
        <v>2257</v>
      </c>
      <c r="C28" s="1099"/>
      <c r="D28" s="1185">
        <v>100</v>
      </c>
      <c r="E28" s="1105">
        <v>100</v>
      </c>
      <c r="F28" s="1105">
        <v>99</v>
      </c>
      <c r="G28" s="1105">
        <v>99</v>
      </c>
      <c r="H28" s="1186">
        <v>98</v>
      </c>
      <c r="I28" s="1187">
        <v>99</v>
      </c>
      <c r="J28" s="1147">
        <v>98</v>
      </c>
      <c r="K28" s="1186">
        <v>97</v>
      </c>
      <c r="L28" s="1187">
        <v>86</v>
      </c>
      <c r="M28" s="1147">
        <v>83</v>
      </c>
      <c r="N28" s="1186">
        <v>81</v>
      </c>
      <c r="O28" s="1187">
        <v>99</v>
      </c>
      <c r="P28" s="1147">
        <v>98</v>
      </c>
      <c r="Q28" s="1186">
        <v>98</v>
      </c>
      <c r="R28" s="1187">
        <v>98</v>
      </c>
      <c r="S28" s="1147">
        <v>95</v>
      </c>
      <c r="T28" s="1147">
        <v>93</v>
      </c>
      <c r="U28" s="1147">
        <v>89</v>
      </c>
      <c r="V28" s="1186">
        <v>86</v>
      </c>
      <c r="AC28" s="1210"/>
      <c r="AJ28" s="1211"/>
      <c r="AK28" s="1212"/>
      <c r="AL28" s="1212"/>
      <c r="AM28" s="1213"/>
      <c r="AN28" s="1210"/>
      <c r="AO28" s="1212"/>
      <c r="AP28" s="1213"/>
      <c r="AQ28" s="1179"/>
      <c r="AR28" s="1179"/>
      <c r="AS28" s="1179"/>
      <c r="AT28" s="1179"/>
      <c r="AU28" s="1179"/>
      <c r="AV28" s="1179"/>
      <c r="AW28" s="1179"/>
      <c r="AX28" s="1179"/>
      <c r="AY28" s="1179"/>
      <c r="AZ28" s="1179"/>
      <c r="BA28" s="1179"/>
      <c r="BB28" s="1179"/>
      <c r="BC28" s="1179"/>
      <c r="BD28" s="1179"/>
    </row>
    <row r="29" spans="1:56" ht="11.25" customHeight="1" thickBot="1" x14ac:dyDescent="0.25">
      <c r="A29" s="1098" t="s">
        <v>2362</v>
      </c>
      <c r="B29" s="1098" t="s">
        <v>2360</v>
      </c>
      <c r="C29" s="1099"/>
      <c r="D29" s="1185">
        <v>42.2</v>
      </c>
      <c r="E29" s="1105">
        <v>43.6</v>
      </c>
      <c r="F29" s="1105">
        <v>45.5</v>
      </c>
      <c r="G29" s="1105">
        <v>46.3</v>
      </c>
      <c r="H29" s="1186">
        <v>47.1</v>
      </c>
      <c r="I29" s="1187">
        <v>43.1</v>
      </c>
      <c r="J29" s="1147">
        <v>44.7</v>
      </c>
      <c r="K29" s="1186">
        <v>46.1</v>
      </c>
      <c r="L29" s="1187">
        <v>41.3</v>
      </c>
      <c r="M29" s="1147">
        <v>41.8</v>
      </c>
      <c r="N29" s="1186">
        <v>42.2</v>
      </c>
      <c r="O29" s="1187">
        <v>47.8</v>
      </c>
      <c r="P29" s="1147">
        <v>48.8</v>
      </c>
      <c r="Q29" s="1186">
        <v>49.4</v>
      </c>
      <c r="R29" s="1187">
        <v>48.2</v>
      </c>
      <c r="S29" s="1147">
        <v>50.5</v>
      </c>
      <c r="T29" s="1147">
        <v>51.7</v>
      </c>
      <c r="U29" s="1147">
        <v>52.6</v>
      </c>
      <c r="V29" s="1186">
        <v>53.3</v>
      </c>
      <c r="AC29" s="1235">
        <f>AC20*(AC23)</f>
        <v>1.3933002894219144</v>
      </c>
      <c r="AD29" s="1236">
        <f t="shared" ref="AD29:AP29" si="30">AD20*(AD23)</f>
        <v>1.4370344373954358</v>
      </c>
      <c r="AE29" s="1236">
        <f t="shared" si="30"/>
        <v>1.549795777929784</v>
      </c>
      <c r="AF29" s="1236">
        <f t="shared" si="30"/>
        <v>1.5805026872827039</v>
      </c>
      <c r="AG29" s="1236">
        <f t="shared" si="30"/>
        <v>1.6359134957818038</v>
      </c>
      <c r="AH29" s="1236">
        <f t="shared" si="30"/>
        <v>1.614602608468015</v>
      </c>
      <c r="AI29" s="1236">
        <f t="shared" si="30"/>
        <v>1.7025706126535136</v>
      </c>
      <c r="AJ29" s="1236">
        <f t="shared" si="30"/>
        <v>1.7852913490325595</v>
      </c>
      <c r="AK29" s="1236">
        <f t="shared" si="30"/>
        <v>1.2536583978718618</v>
      </c>
      <c r="AL29" s="1236">
        <f t="shared" si="30"/>
        <v>1.3030552640923563</v>
      </c>
      <c r="AM29" s="1237">
        <f t="shared" si="30"/>
        <v>1.3567936672316694</v>
      </c>
      <c r="AN29" s="1235">
        <f t="shared" si="30"/>
        <v>0.75513827693765045</v>
      </c>
      <c r="AO29" s="1236">
        <f t="shared" si="30"/>
        <v>0.75412873378666423</v>
      </c>
      <c r="AP29" s="1237">
        <f t="shared" si="30"/>
        <v>0.753231362096899</v>
      </c>
      <c r="AQ29" s="1179"/>
      <c r="AR29" s="1179"/>
      <c r="AS29" s="1179"/>
      <c r="AT29" s="1179"/>
      <c r="AU29" s="1179"/>
      <c r="AV29" s="1179"/>
      <c r="AW29" s="1179"/>
      <c r="AX29" s="1179"/>
      <c r="AY29" s="1179"/>
      <c r="AZ29" s="1179"/>
      <c r="BA29" s="1179"/>
      <c r="BB29" s="1179"/>
      <c r="BC29" s="1179"/>
      <c r="BD29" s="1179"/>
    </row>
    <row r="30" spans="1:56" ht="11.25" customHeight="1" x14ac:dyDescent="0.2">
      <c r="A30" s="1098" t="s">
        <v>2284</v>
      </c>
      <c r="B30" s="1098" t="s">
        <v>2285</v>
      </c>
      <c r="C30" s="1099"/>
      <c r="D30" s="1185">
        <v>0.68</v>
      </c>
      <c r="E30" s="1105">
        <v>1.03</v>
      </c>
      <c r="F30" s="1105">
        <v>1.37</v>
      </c>
      <c r="G30" s="1105">
        <v>1.71</v>
      </c>
      <c r="H30" s="1186">
        <v>2.0499999999999998</v>
      </c>
      <c r="I30" s="1187">
        <v>1.03</v>
      </c>
      <c r="J30" s="1147">
        <v>1.37</v>
      </c>
      <c r="K30" s="1186">
        <v>1.71</v>
      </c>
      <c r="L30" s="1187">
        <v>1.03</v>
      </c>
      <c r="M30" s="1147">
        <v>1.37</v>
      </c>
      <c r="N30" s="1186">
        <v>1.71</v>
      </c>
      <c r="O30" s="1187">
        <v>1.03</v>
      </c>
      <c r="P30" s="1147">
        <v>1.37</v>
      </c>
      <c r="Q30" s="1186">
        <v>1.71</v>
      </c>
      <c r="R30" s="1187">
        <v>0.68</v>
      </c>
      <c r="S30" s="1147">
        <v>1.03</v>
      </c>
      <c r="T30" s="1147">
        <v>1.37</v>
      </c>
      <c r="U30" s="1147">
        <v>1.71</v>
      </c>
      <c r="V30" s="1186">
        <v>2.0499999999999998</v>
      </c>
      <c r="AC30" s="1096" t="s">
        <v>2363</v>
      </c>
      <c r="AD30" s="1096" t="s">
        <v>2363</v>
      </c>
      <c r="AE30" s="1096" t="s">
        <v>2363</v>
      </c>
      <c r="AF30" s="1096" t="s">
        <v>2363</v>
      </c>
      <c r="AG30" s="1096" t="s">
        <v>2363</v>
      </c>
      <c r="AH30" s="1096" t="s">
        <v>2363</v>
      </c>
      <c r="AI30" s="1096" t="s">
        <v>2363</v>
      </c>
      <c r="AJ30" s="1096" t="s">
        <v>2363</v>
      </c>
      <c r="AK30" s="1096" t="s">
        <v>2363</v>
      </c>
      <c r="AL30" s="1096" t="s">
        <v>2363</v>
      </c>
      <c r="AM30" s="1096" t="s">
        <v>2363</v>
      </c>
      <c r="AN30" s="1096" t="s">
        <v>2364</v>
      </c>
      <c r="AO30" s="1096" t="s">
        <v>2364</v>
      </c>
      <c r="AP30" s="1096" t="s">
        <v>2364</v>
      </c>
      <c r="AQ30" s="1179"/>
      <c r="AR30" s="1179"/>
      <c r="AS30" s="1179"/>
      <c r="AT30" s="1179"/>
      <c r="AU30" s="1179"/>
      <c r="AV30" s="1179"/>
      <c r="AW30" s="1179"/>
      <c r="AX30" s="1179"/>
      <c r="AY30" s="1179"/>
      <c r="AZ30" s="1179"/>
      <c r="BA30" s="1179"/>
      <c r="BB30" s="1179"/>
      <c r="BC30" s="1179"/>
      <c r="BD30" s="1179"/>
    </row>
    <row r="31" spans="1:56" ht="11.25" customHeight="1" x14ac:dyDescent="0.2">
      <c r="A31" s="1098" t="s">
        <v>2286</v>
      </c>
      <c r="B31" s="1098" t="s">
        <v>2287</v>
      </c>
      <c r="C31" s="1099"/>
      <c r="D31" s="1238">
        <v>5</v>
      </c>
      <c r="E31" s="1239">
        <v>10</v>
      </c>
      <c r="F31" s="1239">
        <v>16.399999999999999</v>
      </c>
      <c r="G31" s="1239">
        <v>24.1</v>
      </c>
      <c r="H31" s="1240">
        <v>32.9</v>
      </c>
      <c r="I31" s="1241">
        <v>10</v>
      </c>
      <c r="J31" s="1242">
        <v>16.399999999999999</v>
      </c>
      <c r="K31" s="1240">
        <v>24.1</v>
      </c>
      <c r="L31" s="1241">
        <v>10</v>
      </c>
      <c r="M31" s="1242">
        <v>16.399999999999999</v>
      </c>
      <c r="N31" s="1240">
        <v>24.1</v>
      </c>
      <c r="O31" s="1241">
        <v>10</v>
      </c>
      <c r="P31" s="1242">
        <v>16.399999999999999</v>
      </c>
      <c r="Q31" s="1240">
        <v>24.1</v>
      </c>
      <c r="R31" s="1241">
        <v>5</v>
      </c>
      <c r="S31" s="1242">
        <v>10</v>
      </c>
      <c r="T31" s="1242">
        <v>16.399999999999999</v>
      </c>
      <c r="U31" s="1242">
        <v>24.1</v>
      </c>
      <c r="V31" s="1240">
        <v>32.9</v>
      </c>
      <c r="AC31" s="1243"/>
      <c r="AD31" s="1243"/>
      <c r="AE31" s="1243"/>
      <c r="AF31" s="1243"/>
      <c r="AG31" s="1243"/>
      <c r="AH31" s="1243"/>
      <c r="AI31" s="1243"/>
      <c r="AJ31" s="1243"/>
      <c r="AQ31" s="1179"/>
      <c r="AR31" s="1179"/>
      <c r="AS31" s="1179"/>
      <c r="AT31" s="1179"/>
      <c r="AU31" s="1179"/>
      <c r="AV31" s="1179"/>
      <c r="AW31" s="1179"/>
      <c r="AX31" s="1179"/>
      <c r="AY31" s="1179"/>
      <c r="AZ31" s="1179"/>
      <c r="BA31" s="1179"/>
      <c r="BB31" s="1179"/>
      <c r="BC31" s="1179"/>
      <c r="BD31" s="1179"/>
    </row>
    <row r="32" spans="1:56" ht="15.75" customHeight="1" x14ac:dyDescent="0.2">
      <c r="A32" s="1099"/>
      <c r="B32" s="1099"/>
      <c r="C32" s="1099"/>
      <c r="D32" s="1864" t="s">
        <v>2365</v>
      </c>
      <c r="E32" s="1865"/>
      <c r="F32" s="1865"/>
      <c r="G32" s="1865"/>
      <c r="H32" s="1865"/>
      <c r="I32" s="1865"/>
      <c r="J32" s="1865"/>
      <c r="K32" s="1866"/>
      <c r="L32" s="1867" t="s">
        <v>2366</v>
      </c>
      <c r="M32" s="1868"/>
      <c r="N32" s="1868"/>
      <c r="O32" s="1868"/>
      <c r="P32" s="1868"/>
      <c r="Q32" s="1869"/>
      <c r="R32" s="1870" t="s">
        <v>2367</v>
      </c>
      <c r="S32" s="1868"/>
      <c r="T32" s="1868"/>
      <c r="U32" s="1868"/>
      <c r="V32" s="1869"/>
      <c r="AQ32" s="1179"/>
      <c r="AR32" s="1179"/>
      <c r="AS32" s="1179"/>
      <c r="AT32" s="1179"/>
      <c r="AU32" s="1179"/>
      <c r="AV32" s="1179"/>
      <c r="AW32" s="1179"/>
      <c r="AX32" s="1179"/>
      <c r="AY32" s="1179"/>
      <c r="AZ32" s="1179"/>
      <c r="BA32" s="1179"/>
      <c r="BB32" s="1179"/>
      <c r="BC32" s="1179"/>
      <c r="BD32" s="1179"/>
    </row>
    <row r="33" spans="1:56" ht="11.25" customHeight="1" x14ac:dyDescent="0.2">
      <c r="A33" s="1098" t="s">
        <v>2289</v>
      </c>
      <c r="B33" s="1098" t="s">
        <v>2281</v>
      </c>
      <c r="C33" s="1099"/>
      <c r="D33" s="1244">
        <v>7</v>
      </c>
      <c r="E33" s="1245">
        <v>7</v>
      </c>
      <c r="F33" s="1245">
        <v>7</v>
      </c>
      <c r="G33" s="1245">
        <v>7</v>
      </c>
      <c r="H33" s="1246">
        <v>7</v>
      </c>
      <c r="I33" s="1247">
        <v>7</v>
      </c>
      <c r="J33" s="1248">
        <v>7</v>
      </c>
      <c r="K33" s="1246">
        <v>7</v>
      </c>
      <c r="L33" s="1247">
        <v>10</v>
      </c>
      <c r="M33" s="1248">
        <v>10</v>
      </c>
      <c r="N33" s="1246">
        <v>10</v>
      </c>
      <c r="O33" s="1247">
        <v>10</v>
      </c>
      <c r="P33" s="1248">
        <v>10</v>
      </c>
      <c r="Q33" s="1246">
        <v>10</v>
      </c>
      <c r="R33" s="1247">
        <v>7</v>
      </c>
      <c r="S33" s="1248">
        <v>7</v>
      </c>
      <c r="T33" s="1248">
        <v>7</v>
      </c>
      <c r="U33" s="1248">
        <v>7</v>
      </c>
      <c r="V33" s="1246">
        <v>7</v>
      </c>
      <c r="AQ33" s="1179"/>
      <c r="AR33" s="1179"/>
      <c r="AS33" s="1179"/>
      <c r="AT33" s="1179"/>
      <c r="AU33" s="1179"/>
      <c r="AV33" s="1179"/>
      <c r="AW33" s="1179"/>
      <c r="AX33" s="1179"/>
      <c r="AY33" s="1179"/>
      <c r="AZ33" s="1179"/>
      <c r="BA33" s="1179"/>
      <c r="BB33" s="1179"/>
      <c r="BC33" s="1179"/>
      <c r="BD33" s="1179"/>
    </row>
    <row r="34" spans="1:56" ht="11.25" customHeight="1" x14ac:dyDescent="0.2">
      <c r="A34" s="1098" t="s">
        <v>2290</v>
      </c>
      <c r="B34" s="1098" t="s">
        <v>2281</v>
      </c>
      <c r="C34" s="1099"/>
      <c r="D34" s="1249">
        <v>12</v>
      </c>
      <c r="E34" s="1250">
        <v>12</v>
      </c>
      <c r="F34" s="1250">
        <v>12</v>
      </c>
      <c r="G34" s="1250">
        <v>12</v>
      </c>
      <c r="H34" s="1251">
        <v>12</v>
      </c>
      <c r="I34" s="1252">
        <v>12</v>
      </c>
      <c r="J34" s="1253">
        <v>12</v>
      </c>
      <c r="K34" s="1251">
        <v>12</v>
      </c>
      <c r="L34" s="1252">
        <v>15</v>
      </c>
      <c r="M34" s="1253">
        <v>15</v>
      </c>
      <c r="N34" s="1251">
        <v>15</v>
      </c>
      <c r="O34" s="1252">
        <v>15</v>
      </c>
      <c r="P34" s="1253">
        <v>15</v>
      </c>
      <c r="Q34" s="1251">
        <v>15</v>
      </c>
      <c r="R34" s="1252">
        <v>12</v>
      </c>
      <c r="S34" s="1253">
        <v>12</v>
      </c>
      <c r="T34" s="1253">
        <v>12</v>
      </c>
      <c r="U34" s="1253">
        <v>12</v>
      </c>
      <c r="V34" s="1251">
        <v>12</v>
      </c>
    </row>
    <row r="35" spans="1:56" ht="11.25" customHeight="1" x14ac:dyDescent="0.2">
      <c r="A35" s="1098" t="s">
        <v>2291</v>
      </c>
      <c r="B35" s="1098" t="s">
        <v>2292</v>
      </c>
      <c r="C35" s="1099"/>
      <c r="D35" s="1254">
        <v>0.18</v>
      </c>
      <c r="E35" s="1255">
        <v>0.25</v>
      </c>
      <c r="F35" s="1255">
        <v>0.28999999999999998</v>
      </c>
      <c r="G35" s="1255">
        <v>0.34</v>
      </c>
      <c r="H35" s="1256">
        <v>0.37</v>
      </c>
      <c r="I35" s="1257">
        <v>0.3</v>
      </c>
      <c r="J35" s="1258">
        <v>0.37</v>
      </c>
      <c r="K35" s="1256">
        <v>0.42</v>
      </c>
      <c r="L35" s="1257">
        <v>0.15</v>
      </c>
      <c r="M35" s="1258">
        <v>0.19</v>
      </c>
      <c r="N35" s="1256">
        <v>0.23</v>
      </c>
      <c r="O35" s="1257">
        <v>0.18</v>
      </c>
      <c r="P35" s="1258">
        <v>0.21</v>
      </c>
      <c r="Q35" s="1256">
        <v>0.25</v>
      </c>
      <c r="R35" s="1257">
        <v>0.12</v>
      </c>
      <c r="S35" s="1258">
        <v>0.14000000000000001</v>
      </c>
      <c r="T35" s="1258">
        <v>0.16</v>
      </c>
      <c r="U35" s="1258">
        <v>0.17</v>
      </c>
      <c r="V35" s="1256">
        <v>0.18</v>
      </c>
    </row>
    <row r="36" spans="1:56" ht="11.25" customHeight="1" x14ac:dyDescent="0.2">
      <c r="A36" s="1098" t="s">
        <v>2293</v>
      </c>
      <c r="B36" s="1098" t="s">
        <v>2285</v>
      </c>
      <c r="C36" s="1099"/>
      <c r="D36" s="1185">
        <v>0.37</v>
      </c>
      <c r="E36" s="1105">
        <v>0.51</v>
      </c>
      <c r="F36" s="1105">
        <v>0.59</v>
      </c>
      <c r="G36" s="1105">
        <v>0.69</v>
      </c>
      <c r="H36" s="1186">
        <v>0.77</v>
      </c>
      <c r="I36" s="1187">
        <v>0.62</v>
      </c>
      <c r="J36" s="1147">
        <v>0.75</v>
      </c>
      <c r="K36" s="1186">
        <v>0.86</v>
      </c>
      <c r="L36" s="1187">
        <v>0.32</v>
      </c>
      <c r="M36" s="1147">
        <v>0.4</v>
      </c>
      <c r="N36" s="1186">
        <v>0.48</v>
      </c>
      <c r="O36" s="1187">
        <v>0.36</v>
      </c>
      <c r="P36" s="1147">
        <v>0.43</v>
      </c>
      <c r="Q36" s="1186">
        <v>0.51</v>
      </c>
      <c r="R36" s="1187">
        <v>0.25</v>
      </c>
      <c r="S36" s="1147">
        <v>0.28999999999999998</v>
      </c>
      <c r="T36" s="1147">
        <v>0.33</v>
      </c>
      <c r="U36" s="1147">
        <v>0.35</v>
      </c>
      <c r="V36" s="1186">
        <v>0.37</v>
      </c>
    </row>
    <row r="37" spans="1:56" ht="11.25" customHeight="1" x14ac:dyDescent="0.2">
      <c r="A37" s="1098" t="s">
        <v>2294</v>
      </c>
      <c r="B37" s="1098" t="s">
        <v>2295</v>
      </c>
      <c r="C37" s="1099"/>
      <c r="D37" s="1185">
        <v>3.6</v>
      </c>
      <c r="E37" s="1105">
        <v>6.4</v>
      </c>
      <c r="F37" s="1105">
        <v>8.5</v>
      </c>
      <c r="G37" s="1105">
        <v>11.4</v>
      </c>
      <c r="H37" s="1186">
        <v>14</v>
      </c>
      <c r="I37" s="1187">
        <v>9.4</v>
      </c>
      <c r="J37" s="1147">
        <v>13.5</v>
      </c>
      <c r="K37" s="1186">
        <v>17.399999999999999</v>
      </c>
      <c r="L37" s="1187">
        <v>2.6</v>
      </c>
      <c r="M37" s="1147">
        <v>4</v>
      </c>
      <c r="N37" s="1186">
        <v>5.6</v>
      </c>
      <c r="O37" s="1187">
        <v>3.3</v>
      </c>
      <c r="P37" s="1147">
        <v>4.7</v>
      </c>
      <c r="Q37" s="1186">
        <v>6.3</v>
      </c>
      <c r="R37" s="1187">
        <v>3.4</v>
      </c>
      <c r="S37" s="1147">
        <v>3.9</v>
      </c>
      <c r="T37" s="1147">
        <v>4.4000000000000004</v>
      </c>
      <c r="U37" s="1147">
        <v>4.5999999999999996</v>
      </c>
      <c r="V37" s="1186">
        <v>4.9000000000000004</v>
      </c>
    </row>
    <row r="38" spans="1:56" ht="11.25" customHeight="1" x14ac:dyDescent="0.2">
      <c r="A38" s="1098" t="s">
        <v>2296</v>
      </c>
      <c r="B38" s="1098" t="s">
        <v>2297</v>
      </c>
      <c r="C38" s="1099"/>
      <c r="D38" s="1185" t="s">
        <v>2298</v>
      </c>
      <c r="E38" s="1105" t="s">
        <v>2298</v>
      </c>
      <c r="F38" s="1105" t="s">
        <v>2298</v>
      </c>
      <c r="G38" s="1105" t="s">
        <v>2298</v>
      </c>
      <c r="H38" s="1186" t="s">
        <v>2298</v>
      </c>
      <c r="I38" s="1187" t="s">
        <v>2298</v>
      </c>
      <c r="J38" s="1147" t="s">
        <v>2298</v>
      </c>
      <c r="K38" s="1186" t="s">
        <v>2298</v>
      </c>
      <c r="L38" s="1187" t="s">
        <v>2298</v>
      </c>
      <c r="M38" s="1147" t="s">
        <v>2298</v>
      </c>
      <c r="N38" s="1186" t="s">
        <v>2298</v>
      </c>
      <c r="O38" s="1187" t="s">
        <v>2298</v>
      </c>
      <c r="P38" s="1147" t="s">
        <v>2298</v>
      </c>
      <c r="Q38" s="1186" t="s">
        <v>2298</v>
      </c>
      <c r="R38" s="1187" t="s">
        <v>2298</v>
      </c>
      <c r="S38" s="1147" t="s">
        <v>2298</v>
      </c>
      <c r="T38" s="1147" t="s">
        <v>2298</v>
      </c>
      <c r="U38" s="1147" t="s">
        <v>2298</v>
      </c>
      <c r="V38" s="1186" t="s">
        <v>2298</v>
      </c>
    </row>
    <row r="39" spans="1:56" ht="11.25" customHeight="1" x14ac:dyDescent="0.2">
      <c r="A39" s="1098" t="s">
        <v>2299</v>
      </c>
      <c r="B39" s="1098" t="s">
        <v>2257</v>
      </c>
      <c r="C39" s="1099"/>
      <c r="D39" s="1190"/>
      <c r="E39" s="1108"/>
      <c r="F39" s="1108"/>
      <c r="G39" s="1108"/>
      <c r="H39" s="1191"/>
      <c r="I39" s="1192"/>
      <c r="J39" s="1156"/>
      <c r="K39" s="1191"/>
      <c r="L39" s="1192"/>
      <c r="M39" s="1156"/>
      <c r="N39" s="1191"/>
      <c r="O39" s="1192"/>
      <c r="P39" s="1156"/>
      <c r="Q39" s="1191"/>
      <c r="R39" s="1192"/>
      <c r="S39" s="1156"/>
      <c r="T39" s="1156"/>
      <c r="U39" s="1156"/>
      <c r="V39" s="1191"/>
    </row>
    <row r="40" spans="1:56" ht="11.25" customHeight="1" x14ac:dyDescent="0.2">
      <c r="A40" s="1099"/>
      <c r="B40" s="1099"/>
      <c r="C40" s="1099"/>
      <c r="D40" s="1219"/>
      <c r="E40" s="1113"/>
      <c r="F40" s="1113"/>
      <c r="G40" s="1113"/>
      <c r="H40" s="1220"/>
      <c r="I40" s="1221"/>
      <c r="J40" s="1157"/>
      <c r="K40" s="1220"/>
      <c r="L40" s="1221"/>
      <c r="M40" s="1157"/>
      <c r="N40" s="1220"/>
      <c r="O40" s="1221"/>
      <c r="P40" s="1157"/>
      <c r="Q40" s="1220"/>
      <c r="R40" s="1221"/>
      <c r="S40" s="1157"/>
      <c r="T40" s="1157"/>
      <c r="U40" s="1157"/>
      <c r="V40" s="1220"/>
    </row>
    <row r="41" spans="1:56" ht="11.25" customHeight="1" x14ac:dyDescent="0.2">
      <c r="A41" s="1098" t="s">
        <v>2300</v>
      </c>
      <c r="B41" s="1099"/>
      <c r="C41" s="1099"/>
      <c r="D41" s="1185">
        <v>3</v>
      </c>
      <c r="E41" s="1105">
        <v>3</v>
      </c>
      <c r="F41" s="1105">
        <v>3</v>
      </c>
      <c r="G41" s="1105">
        <v>3</v>
      </c>
      <c r="H41" s="1186">
        <v>3</v>
      </c>
      <c r="I41" s="1187">
        <v>3</v>
      </c>
      <c r="J41" s="1147">
        <v>3</v>
      </c>
      <c r="K41" s="1186">
        <v>3</v>
      </c>
      <c r="L41" s="1187">
        <v>3</v>
      </c>
      <c r="M41" s="1147">
        <v>3</v>
      </c>
      <c r="N41" s="1186">
        <v>3</v>
      </c>
      <c r="O41" s="1187">
        <v>3</v>
      </c>
      <c r="P41" s="1147">
        <v>3</v>
      </c>
      <c r="Q41" s="1186">
        <v>3</v>
      </c>
      <c r="R41" s="1187">
        <v>3</v>
      </c>
      <c r="S41" s="1147">
        <v>3</v>
      </c>
      <c r="T41" s="1147">
        <v>3</v>
      </c>
      <c r="U41" s="1147">
        <v>3</v>
      </c>
      <c r="V41" s="1186">
        <v>3</v>
      </c>
    </row>
    <row r="42" spans="1:56" ht="11.25" customHeight="1" x14ac:dyDescent="0.2">
      <c r="A42" s="1098" t="s">
        <v>2301</v>
      </c>
      <c r="B42" s="1098" t="s">
        <v>2262</v>
      </c>
      <c r="C42" s="1099"/>
      <c r="D42" s="1185">
        <v>2.5</v>
      </c>
      <c r="E42" s="1105">
        <v>2.5</v>
      </c>
      <c r="F42" s="1105">
        <v>2.5</v>
      </c>
      <c r="G42" s="1105">
        <v>2.5</v>
      </c>
      <c r="H42" s="1186">
        <v>2.5</v>
      </c>
      <c r="I42" s="1187">
        <v>2.5</v>
      </c>
      <c r="J42" s="1147">
        <v>2.5</v>
      </c>
      <c r="K42" s="1186">
        <v>2.5</v>
      </c>
      <c r="L42" s="1187">
        <v>2.5</v>
      </c>
      <c r="M42" s="1147">
        <v>2.5</v>
      </c>
      <c r="N42" s="1186">
        <v>2.5</v>
      </c>
      <c r="O42" s="1187">
        <v>2.5</v>
      </c>
      <c r="P42" s="1147">
        <v>2.5</v>
      </c>
      <c r="Q42" s="1186">
        <v>2.5</v>
      </c>
      <c r="R42" s="1187">
        <v>2.5</v>
      </c>
      <c r="S42" s="1147">
        <v>2.5</v>
      </c>
      <c r="T42" s="1147">
        <v>2.5</v>
      </c>
      <c r="U42" s="1147">
        <v>2.5</v>
      </c>
      <c r="V42" s="1186">
        <v>2.5</v>
      </c>
    </row>
    <row r="43" spans="1:56" ht="11.25" customHeight="1" x14ac:dyDescent="0.2">
      <c r="A43" s="1098" t="s">
        <v>2302</v>
      </c>
      <c r="B43" s="1098" t="s">
        <v>2303</v>
      </c>
      <c r="C43" s="1099"/>
      <c r="D43" s="1185">
        <v>3.1</v>
      </c>
      <c r="E43" s="1105">
        <v>3.1</v>
      </c>
      <c r="F43" s="1105">
        <v>3.1</v>
      </c>
      <c r="G43" s="1105">
        <v>3.1</v>
      </c>
      <c r="H43" s="1186">
        <v>3.1</v>
      </c>
      <c r="I43" s="1187">
        <v>3.1</v>
      </c>
      <c r="J43" s="1147">
        <v>3.1</v>
      </c>
      <c r="K43" s="1186">
        <v>3.1</v>
      </c>
      <c r="L43" s="1187">
        <v>3.1</v>
      </c>
      <c r="M43" s="1147">
        <v>3.1</v>
      </c>
      <c r="N43" s="1186">
        <v>3.1</v>
      </c>
      <c r="O43" s="1187">
        <v>3.1</v>
      </c>
      <c r="P43" s="1147">
        <v>3.1</v>
      </c>
      <c r="Q43" s="1186">
        <v>3.1</v>
      </c>
      <c r="R43" s="1187">
        <v>3.1</v>
      </c>
      <c r="S43" s="1147">
        <v>3.1</v>
      </c>
      <c r="T43" s="1147">
        <v>3.1</v>
      </c>
      <c r="U43" s="1147">
        <v>3.1</v>
      </c>
      <c r="V43" s="1186">
        <v>3.1</v>
      </c>
    </row>
    <row r="44" spans="1:56" ht="11.25" customHeight="1" x14ac:dyDescent="0.2">
      <c r="A44" s="1098" t="s">
        <v>2305</v>
      </c>
      <c r="B44" s="1098" t="s">
        <v>2306</v>
      </c>
      <c r="C44" s="1099"/>
      <c r="D44" s="1185">
        <v>13</v>
      </c>
      <c r="E44" s="1105">
        <v>13</v>
      </c>
      <c r="F44" s="1105">
        <v>13</v>
      </c>
      <c r="G44" s="1105">
        <v>13</v>
      </c>
      <c r="H44" s="1186">
        <v>13</v>
      </c>
      <c r="I44" s="1187">
        <v>13</v>
      </c>
      <c r="J44" s="1147">
        <v>13</v>
      </c>
      <c r="K44" s="1186">
        <v>13</v>
      </c>
      <c r="L44" s="1187">
        <v>13</v>
      </c>
      <c r="M44" s="1147">
        <v>13</v>
      </c>
      <c r="N44" s="1186">
        <v>13</v>
      </c>
      <c r="O44" s="1187">
        <v>13</v>
      </c>
      <c r="P44" s="1147">
        <v>13</v>
      </c>
      <c r="Q44" s="1186">
        <v>13</v>
      </c>
      <c r="R44" s="1187">
        <v>13</v>
      </c>
      <c r="S44" s="1147">
        <v>13</v>
      </c>
      <c r="T44" s="1147">
        <v>13</v>
      </c>
      <c r="U44" s="1147">
        <v>13</v>
      </c>
      <c r="V44" s="1186">
        <v>13</v>
      </c>
    </row>
    <row r="45" spans="1:56" ht="11.25" customHeight="1" x14ac:dyDescent="0.2">
      <c r="A45" s="1099"/>
      <c r="B45" s="1099"/>
      <c r="C45" s="1099"/>
      <c r="D45" s="1219"/>
      <c r="E45" s="1113"/>
      <c r="F45" s="1113"/>
      <c r="G45" s="1113"/>
      <c r="H45" s="1220"/>
      <c r="I45" s="1221"/>
      <c r="J45" s="1157"/>
      <c r="K45" s="1220"/>
      <c r="L45" s="1221"/>
      <c r="M45" s="1157"/>
      <c r="N45" s="1220"/>
      <c r="O45" s="1221"/>
      <c r="P45" s="1157"/>
      <c r="Q45" s="1220"/>
      <c r="R45" s="1221"/>
      <c r="S45" s="1157"/>
      <c r="T45" s="1157"/>
      <c r="U45" s="1157"/>
      <c r="V45" s="1220"/>
    </row>
    <row r="46" spans="1:56" ht="11.25" customHeight="1" x14ac:dyDescent="0.2">
      <c r="A46" s="1098" t="s">
        <v>2307</v>
      </c>
      <c r="B46" s="1099" t="s">
        <v>2308</v>
      </c>
      <c r="C46" s="1145"/>
      <c r="D46" s="1108">
        <v>8.8000000000000007</v>
      </c>
      <c r="E46" s="1108">
        <v>8.8000000000000007</v>
      </c>
      <c r="F46" s="1108">
        <v>8.8000000000000007</v>
      </c>
      <c r="G46" s="1108">
        <v>8.8000000000000007</v>
      </c>
      <c r="H46" s="1108">
        <v>8.8000000000000007</v>
      </c>
      <c r="I46" s="1108">
        <v>8.8000000000000007</v>
      </c>
      <c r="J46" s="1108">
        <v>8.8000000000000007</v>
      </c>
      <c r="K46" s="1108">
        <v>8.8000000000000007</v>
      </c>
      <c r="L46" s="1108">
        <v>8.8000000000000007</v>
      </c>
      <c r="M46" s="1108">
        <v>8.8000000000000007</v>
      </c>
      <c r="N46" s="1108">
        <v>8.8000000000000007</v>
      </c>
      <c r="O46" s="1108">
        <v>8.8000000000000007</v>
      </c>
      <c r="P46" s="1108">
        <v>8.8000000000000007</v>
      </c>
      <c r="Q46" s="1108">
        <v>8.8000000000000007</v>
      </c>
      <c r="R46" s="1108"/>
      <c r="S46" s="1108"/>
      <c r="T46" s="1108"/>
      <c r="U46" s="1108"/>
      <c r="V46" s="1108"/>
    </row>
    <row r="47" spans="1:56" ht="11.25" customHeight="1" x14ac:dyDescent="0.2">
      <c r="A47" s="1098" t="s">
        <v>2310</v>
      </c>
      <c r="B47" s="1099" t="s">
        <v>2311</v>
      </c>
      <c r="C47" s="1145"/>
      <c r="D47" s="1108">
        <v>7</v>
      </c>
      <c r="E47" s="1108">
        <v>7</v>
      </c>
      <c r="F47" s="1108">
        <v>7</v>
      </c>
      <c r="G47" s="1108">
        <v>7</v>
      </c>
      <c r="H47" s="1108">
        <v>7</v>
      </c>
      <c r="I47" s="1108">
        <v>7</v>
      </c>
      <c r="J47" s="1108">
        <v>7</v>
      </c>
      <c r="K47" s="1108">
        <v>7</v>
      </c>
      <c r="L47" s="1108">
        <v>7</v>
      </c>
      <c r="M47" s="1108">
        <v>7</v>
      </c>
      <c r="N47" s="1108">
        <v>7</v>
      </c>
      <c r="O47" s="1108">
        <v>7</v>
      </c>
      <c r="P47" s="1108">
        <v>7</v>
      </c>
      <c r="Q47" s="1108">
        <v>7</v>
      </c>
      <c r="R47" s="1108"/>
      <c r="S47" s="1108"/>
      <c r="T47" s="1108"/>
      <c r="U47" s="1108"/>
      <c r="V47" s="1108"/>
    </row>
    <row r="48" spans="1:56" ht="11.25" customHeight="1" x14ac:dyDescent="0.2">
      <c r="A48" s="1098" t="s">
        <v>2312</v>
      </c>
      <c r="B48" s="1099" t="s">
        <v>2313</v>
      </c>
      <c r="C48" s="1145"/>
      <c r="D48" s="1108">
        <f>D35/D47</f>
        <v>2.5714285714285714E-2</v>
      </c>
      <c r="E48" s="1108">
        <f t="shared" ref="E48:Q48" si="31">E35/E47</f>
        <v>3.5714285714285712E-2</v>
      </c>
      <c r="F48" s="1108">
        <f t="shared" si="31"/>
        <v>4.1428571428571426E-2</v>
      </c>
      <c r="G48" s="1108">
        <f t="shared" si="31"/>
        <v>4.8571428571428578E-2</v>
      </c>
      <c r="H48" s="1108">
        <f t="shared" si="31"/>
        <v>5.2857142857142859E-2</v>
      </c>
      <c r="I48" s="1108">
        <f t="shared" si="31"/>
        <v>4.2857142857142858E-2</v>
      </c>
      <c r="J48" s="1108">
        <f t="shared" si="31"/>
        <v>5.2857142857142859E-2</v>
      </c>
      <c r="K48" s="1108">
        <f t="shared" si="31"/>
        <v>0.06</v>
      </c>
      <c r="L48" s="1108">
        <f t="shared" si="31"/>
        <v>2.1428571428571429E-2</v>
      </c>
      <c r="M48" s="1108">
        <f t="shared" si="31"/>
        <v>2.7142857142857142E-2</v>
      </c>
      <c r="N48" s="1108">
        <f t="shared" si="31"/>
        <v>3.2857142857142856E-2</v>
      </c>
      <c r="O48" s="1108">
        <f t="shared" si="31"/>
        <v>2.5714285714285714E-2</v>
      </c>
      <c r="P48" s="1108">
        <f t="shared" si="31"/>
        <v>0.03</v>
      </c>
      <c r="Q48" s="1108">
        <f t="shared" si="31"/>
        <v>3.5714285714285712E-2</v>
      </c>
      <c r="R48" s="1108"/>
      <c r="S48" s="1108"/>
      <c r="T48" s="1108"/>
      <c r="U48" s="1108"/>
      <c r="V48" s="1108"/>
    </row>
    <row r="49" spans="1:59" ht="11.25" customHeight="1" x14ac:dyDescent="0.2">
      <c r="A49" s="1098" t="s">
        <v>2314</v>
      </c>
      <c r="B49" s="1099" t="s">
        <v>2315</v>
      </c>
      <c r="C49" s="1145"/>
      <c r="D49" s="1108">
        <f>PI()*(D46/2/1000)^2</f>
        <v>6.0821233773498395E-5</v>
      </c>
      <c r="E49" s="1108">
        <f t="shared" ref="E49:Q49" si="32">PI()*(E46/2/1000)^2</f>
        <v>6.0821233773498395E-5</v>
      </c>
      <c r="F49" s="1108">
        <f t="shared" si="32"/>
        <v>6.0821233773498395E-5</v>
      </c>
      <c r="G49" s="1108">
        <f t="shared" si="32"/>
        <v>6.0821233773498395E-5</v>
      </c>
      <c r="H49" s="1108">
        <f t="shared" si="32"/>
        <v>6.0821233773498395E-5</v>
      </c>
      <c r="I49" s="1108">
        <f t="shared" si="32"/>
        <v>6.0821233773498395E-5</v>
      </c>
      <c r="J49" s="1108">
        <f t="shared" si="32"/>
        <v>6.0821233773498395E-5</v>
      </c>
      <c r="K49" s="1108">
        <f t="shared" si="32"/>
        <v>6.0821233773498395E-5</v>
      </c>
      <c r="L49" s="1108">
        <f t="shared" si="32"/>
        <v>6.0821233773498395E-5</v>
      </c>
      <c r="M49" s="1108">
        <f t="shared" si="32"/>
        <v>6.0821233773498395E-5</v>
      </c>
      <c r="N49" s="1108">
        <f t="shared" si="32"/>
        <v>6.0821233773498395E-5</v>
      </c>
      <c r="O49" s="1108">
        <f t="shared" si="32"/>
        <v>6.0821233773498395E-5</v>
      </c>
      <c r="P49" s="1108">
        <f t="shared" si="32"/>
        <v>6.0821233773498395E-5</v>
      </c>
      <c r="Q49" s="1108">
        <f t="shared" si="32"/>
        <v>6.0821233773498395E-5</v>
      </c>
      <c r="R49" s="1108"/>
      <c r="S49" s="1108"/>
      <c r="T49" s="1108"/>
      <c r="U49" s="1108"/>
      <c r="V49" s="1108"/>
    </row>
    <row r="50" spans="1:59" ht="11.25" customHeight="1" x14ac:dyDescent="0.2">
      <c r="A50" s="1098" t="s">
        <v>2316</v>
      </c>
      <c r="B50" s="1099" t="s">
        <v>502</v>
      </c>
      <c r="C50" s="1145"/>
      <c r="D50" s="1108">
        <f>D48/1000/D49</f>
        <v>0.42278467763490496</v>
      </c>
      <c r="E50" s="1108">
        <f t="shared" ref="E50:Q50" si="33">E48/1000/E49</f>
        <v>0.58720094115959021</v>
      </c>
      <c r="F50" s="1108">
        <f t="shared" si="33"/>
        <v>0.68115309174512462</v>
      </c>
      <c r="G50" s="1108">
        <f t="shared" si="33"/>
        <v>0.79859327997704277</v>
      </c>
      <c r="H50" s="1108">
        <f t="shared" si="33"/>
        <v>0.86905739291619366</v>
      </c>
      <c r="I50" s="1108">
        <f t="shared" si="33"/>
        <v>0.70464112939150825</v>
      </c>
      <c r="J50" s="1108">
        <f t="shared" si="33"/>
        <v>0.86905739291619366</v>
      </c>
      <c r="K50" s="1108">
        <f t="shared" si="33"/>
        <v>0.98649758114811148</v>
      </c>
      <c r="L50" s="1108">
        <f t="shared" si="33"/>
        <v>0.35232056469575412</v>
      </c>
      <c r="M50" s="1108">
        <f t="shared" si="33"/>
        <v>0.44627271528128853</v>
      </c>
      <c r="N50" s="1108">
        <f t="shared" si="33"/>
        <v>0.54022486586682306</v>
      </c>
      <c r="O50" s="1108">
        <f t="shared" si="33"/>
        <v>0.42278467763490496</v>
      </c>
      <c r="P50" s="1108">
        <f t="shared" si="33"/>
        <v>0.49324879057405574</v>
      </c>
      <c r="Q50" s="1108">
        <f t="shared" si="33"/>
        <v>0.58720094115959021</v>
      </c>
      <c r="R50" s="1108"/>
      <c r="S50" s="1108"/>
      <c r="T50" s="1108"/>
      <c r="U50" s="1108"/>
      <c r="V50" s="1108"/>
    </row>
    <row r="51" spans="1:59" ht="11.25" customHeight="1" x14ac:dyDescent="0.2">
      <c r="A51" s="1098" t="s">
        <v>2317</v>
      </c>
      <c r="B51" s="1098" t="s">
        <v>487</v>
      </c>
      <c r="C51" s="1145"/>
      <c r="D51" s="1129">
        <f>1000*D50*(D46/1000)/0.0012</f>
        <v>3100.4209693226367</v>
      </c>
      <c r="E51" s="1129">
        <f t="shared" ref="E51:Q51" si="34">1000*E50*(E46/1000)/0.0012</f>
        <v>4306.1402351703291</v>
      </c>
      <c r="F51" s="1129">
        <f t="shared" si="34"/>
        <v>4995.1226727975809</v>
      </c>
      <c r="G51" s="1129">
        <f t="shared" si="34"/>
        <v>5856.3507198316483</v>
      </c>
      <c r="H51" s="1129">
        <f t="shared" si="34"/>
        <v>6373.0875480520872</v>
      </c>
      <c r="I51" s="1129">
        <f t="shared" si="34"/>
        <v>5167.3682822043947</v>
      </c>
      <c r="J51" s="1129">
        <f t="shared" si="34"/>
        <v>6373.0875480520872</v>
      </c>
      <c r="K51" s="1129">
        <f t="shared" si="34"/>
        <v>7234.3155950861519</v>
      </c>
      <c r="L51" s="1129">
        <f t="shared" si="34"/>
        <v>2583.6841411021974</v>
      </c>
      <c r="M51" s="1129">
        <f t="shared" si="34"/>
        <v>3272.6665787294496</v>
      </c>
      <c r="N51" s="1129">
        <f t="shared" si="34"/>
        <v>3961.6490163567028</v>
      </c>
      <c r="O51" s="1129">
        <f t="shared" si="34"/>
        <v>3100.4209693226367</v>
      </c>
      <c r="P51" s="1129">
        <f t="shared" si="34"/>
        <v>3617.157797543076</v>
      </c>
      <c r="Q51" s="1129">
        <f t="shared" si="34"/>
        <v>4306.1402351703291</v>
      </c>
      <c r="R51" s="1129"/>
      <c r="S51" s="1129"/>
      <c r="T51" s="1129"/>
      <c r="U51" s="1129"/>
      <c r="V51" s="1129"/>
    </row>
    <row r="52" spans="1:59" ht="11.25" customHeight="1" x14ac:dyDescent="0.2">
      <c r="A52" s="1871" t="s">
        <v>2318</v>
      </c>
      <c r="B52" s="1871" t="s">
        <v>2319</v>
      </c>
      <c r="C52" s="1872"/>
      <c r="D52" s="1259"/>
      <c r="E52" s="1260"/>
      <c r="F52" s="1260"/>
      <c r="G52" s="1260"/>
      <c r="H52" s="1261"/>
      <c r="I52" s="1262"/>
      <c r="J52" s="1263"/>
      <c r="K52" s="1261"/>
      <c r="L52" s="1262"/>
      <c r="M52" s="1263"/>
      <c r="N52" s="1261"/>
      <c r="O52" s="1262"/>
      <c r="P52" s="1263"/>
      <c r="Q52" s="1261"/>
      <c r="R52" s="1262"/>
      <c r="S52" s="1263"/>
      <c r="T52" s="1263"/>
      <c r="U52" s="1263"/>
      <c r="V52" s="1261"/>
    </row>
    <row r="53" spans="1:59" ht="6.5" customHeight="1" x14ac:dyDescent="0.2">
      <c r="A53" s="1871"/>
      <c r="B53" s="1871"/>
      <c r="C53" s="1872"/>
      <c r="D53" s="1148"/>
      <c r="E53" s="1148"/>
      <c r="F53" s="1148"/>
      <c r="G53" s="1148"/>
      <c r="H53" s="1097"/>
      <c r="I53" s="1097"/>
      <c r="J53" s="1097"/>
      <c r="K53" s="1097"/>
      <c r="L53" s="1097"/>
      <c r="M53" s="1097"/>
      <c r="N53" s="1097"/>
      <c r="O53" s="1097"/>
      <c r="P53" s="1097"/>
      <c r="Q53" s="1097"/>
      <c r="R53" s="1097"/>
      <c r="S53" s="1097"/>
      <c r="T53" s="1097"/>
      <c r="U53" s="1097"/>
      <c r="V53" s="1097"/>
    </row>
    <row r="54" spans="1:59" ht="16.5" customHeight="1" x14ac:dyDescent="0.2">
      <c r="A54" s="1860" t="s">
        <v>2320</v>
      </c>
      <c r="B54" s="1860"/>
      <c r="C54" s="1860"/>
      <c r="D54" s="1860"/>
      <c r="E54" s="1099"/>
      <c r="F54" s="1099"/>
      <c r="G54" s="1099"/>
    </row>
    <row r="55" spans="1:59" ht="12.75" customHeight="1" x14ac:dyDescent="0.2">
      <c r="A55" s="1860" t="s">
        <v>2368</v>
      </c>
      <c r="B55" s="1860"/>
      <c r="C55" s="1860"/>
      <c r="D55" s="1264">
        <f t="shared" ref="D55:Q55" si="35">D23*(D26-D29)</f>
        <v>3.7919999999999994</v>
      </c>
      <c r="E55" s="1264">
        <f t="shared" si="35"/>
        <v>5.1839999999999993</v>
      </c>
      <c r="F55" s="1264">
        <f t="shared" si="35"/>
        <v>6</v>
      </c>
      <c r="G55" s="1264">
        <f t="shared" si="35"/>
        <v>7.0200000000000014</v>
      </c>
      <c r="H55" s="1264">
        <f t="shared" si="35"/>
        <v>7.847999999999999</v>
      </c>
      <c r="I55" s="1264">
        <f t="shared" si="35"/>
        <v>6.3360000000000003</v>
      </c>
      <c r="J55" s="1264">
        <f t="shared" si="35"/>
        <v>7.68</v>
      </c>
      <c r="K55" s="1264">
        <f t="shared" si="35"/>
        <v>8.76</v>
      </c>
      <c r="L55" s="1264">
        <f t="shared" si="35"/>
        <v>3.2399999999999998</v>
      </c>
      <c r="M55" s="1264">
        <f t="shared" si="35"/>
        <v>4.08</v>
      </c>
      <c r="N55" s="1264">
        <f t="shared" si="35"/>
        <v>4.8599999999999968</v>
      </c>
      <c r="O55" s="1264">
        <f t="shared" si="35"/>
        <v>3.672000000000001</v>
      </c>
      <c r="P55" s="1264">
        <f t="shared" si="35"/>
        <v>4.4160000000000013</v>
      </c>
      <c r="Q55" s="1264">
        <f t="shared" si="35"/>
        <v>5.160000000000001</v>
      </c>
      <c r="R55" s="1096" t="s">
        <v>2352</v>
      </c>
      <c r="BE55" s="1243"/>
      <c r="BF55" s="1265"/>
    </row>
    <row r="56" spans="1:59" ht="12.75" customHeight="1" x14ac:dyDescent="0.2">
      <c r="A56" s="1876" t="s">
        <v>2369</v>
      </c>
      <c r="B56" s="1876"/>
      <c r="C56" s="1099"/>
      <c r="D56" s="1125">
        <f t="shared" ref="D56:Q56" si="36">D23*1.005*(D24-D27)</f>
        <v>2.4119999999999999</v>
      </c>
      <c r="E56" s="1125">
        <f t="shared" si="36"/>
        <v>3.4009199999999997</v>
      </c>
      <c r="F56" s="1125">
        <f t="shared" si="36"/>
        <v>4.24512</v>
      </c>
      <c r="G56" s="1125">
        <f t="shared" si="36"/>
        <v>5.0651999999999981</v>
      </c>
      <c r="H56" s="1125">
        <f t="shared" si="36"/>
        <v>5.8611599999999999</v>
      </c>
      <c r="I56" s="1125">
        <f t="shared" si="36"/>
        <v>5.2460999999999993</v>
      </c>
      <c r="J56" s="1125">
        <f t="shared" si="36"/>
        <v>6.7053599999999989</v>
      </c>
      <c r="K56" s="1125">
        <f t="shared" si="36"/>
        <v>8.019899999999998</v>
      </c>
      <c r="L56" s="1125">
        <f t="shared" si="36"/>
        <v>3.18384</v>
      </c>
      <c r="M56" s="1125">
        <f t="shared" si="36"/>
        <v>4.0039199999999999</v>
      </c>
      <c r="N56" s="1125">
        <f t="shared" si="36"/>
        <v>4.7636999999999983</v>
      </c>
      <c r="O56" s="1125">
        <f t="shared" si="36"/>
        <v>2.8943999999999996</v>
      </c>
      <c r="P56" s="1125">
        <f t="shared" si="36"/>
        <v>3.6179999999999994</v>
      </c>
      <c r="Q56" s="1125">
        <f t="shared" si="36"/>
        <v>4.4018999999999995</v>
      </c>
      <c r="R56" s="1096" t="s">
        <v>2370</v>
      </c>
      <c r="BE56" s="1243"/>
      <c r="BF56" s="1265"/>
    </row>
    <row r="57" spans="1:59" ht="12.75" customHeight="1" x14ac:dyDescent="0.2">
      <c r="A57" s="1860" t="s">
        <v>2371</v>
      </c>
      <c r="B57" s="1860"/>
      <c r="C57" s="1860"/>
      <c r="D57" s="1097">
        <f>D55-D56</f>
        <v>1.3799999999999994</v>
      </c>
      <c r="E57" s="1097">
        <f t="shared" ref="E57:Q57" si="37">E55-E56</f>
        <v>1.7830799999999996</v>
      </c>
      <c r="F57" s="1097">
        <f t="shared" si="37"/>
        <v>1.75488</v>
      </c>
      <c r="G57" s="1097">
        <f t="shared" si="37"/>
        <v>1.9548000000000032</v>
      </c>
      <c r="H57" s="1097">
        <f t="shared" si="37"/>
        <v>1.9868399999999991</v>
      </c>
      <c r="I57" s="1097">
        <f t="shared" si="37"/>
        <v>1.089900000000001</v>
      </c>
      <c r="J57" s="1097">
        <f t="shared" si="37"/>
        <v>0.97464000000000084</v>
      </c>
      <c r="K57" s="1097">
        <f t="shared" si="37"/>
        <v>0.74010000000000176</v>
      </c>
      <c r="L57" s="1097">
        <f t="shared" si="37"/>
        <v>5.6159999999999766E-2</v>
      </c>
      <c r="M57" s="1097">
        <f t="shared" si="37"/>
        <v>7.6080000000000148E-2</v>
      </c>
      <c r="N57" s="1097">
        <f t="shared" si="37"/>
        <v>9.6299999999998498E-2</v>
      </c>
      <c r="O57" s="1097">
        <f t="shared" si="37"/>
        <v>0.7776000000000014</v>
      </c>
      <c r="P57" s="1097">
        <f t="shared" si="37"/>
        <v>0.79800000000000182</v>
      </c>
      <c r="Q57" s="1097">
        <f t="shared" si="37"/>
        <v>0.75810000000000155</v>
      </c>
      <c r="R57" s="1096" t="s">
        <v>2354</v>
      </c>
      <c r="BE57" s="1243"/>
      <c r="BF57" s="1265"/>
    </row>
    <row r="58" spans="1:59" ht="12.75" customHeight="1" x14ac:dyDescent="0.2">
      <c r="A58" s="1876" t="s">
        <v>2372</v>
      </c>
      <c r="B58" s="1876"/>
      <c r="C58" s="1099"/>
      <c r="D58" s="1266">
        <f>D56/D55</f>
        <v>0.63607594936708867</v>
      </c>
      <c r="E58" s="1266">
        <f t="shared" ref="E58:Q58" si="38">E56/E55</f>
        <v>0.65604166666666675</v>
      </c>
      <c r="F58" s="1266">
        <f t="shared" si="38"/>
        <v>0.70752000000000004</v>
      </c>
      <c r="G58" s="1266">
        <f t="shared" si="38"/>
        <v>0.72153846153846113</v>
      </c>
      <c r="H58" s="1266">
        <f t="shared" si="38"/>
        <v>0.74683486238532115</v>
      </c>
      <c r="I58" s="1266">
        <f t="shared" si="38"/>
        <v>0.82798295454545445</v>
      </c>
      <c r="J58" s="1266">
        <f t="shared" si="38"/>
        <v>0.87309374999999989</v>
      </c>
      <c r="K58" s="1266">
        <f t="shared" si="38"/>
        <v>0.91551369863013676</v>
      </c>
      <c r="L58" s="1266">
        <f t="shared" si="38"/>
        <v>0.98266666666666669</v>
      </c>
      <c r="M58" s="1266">
        <f t="shared" si="38"/>
        <v>0.98135294117647054</v>
      </c>
      <c r="N58" s="1266">
        <f t="shared" si="38"/>
        <v>0.98018518518518549</v>
      </c>
      <c r="O58" s="1266">
        <f t="shared" si="38"/>
        <v>0.7882352941176467</v>
      </c>
      <c r="P58" s="1266">
        <f t="shared" si="38"/>
        <v>0.81929347826086918</v>
      </c>
      <c r="Q58" s="1266">
        <f t="shared" si="38"/>
        <v>0.85308139534883698</v>
      </c>
    </row>
    <row r="59" spans="1:59" ht="12.75" customHeight="1" x14ac:dyDescent="0.2">
      <c r="A59" s="1860" t="s">
        <v>2373</v>
      </c>
      <c r="B59" s="1860"/>
      <c r="C59" s="1860"/>
    </row>
    <row r="60" spans="1:59" ht="12.75" customHeight="1" x14ac:dyDescent="0.2">
      <c r="A60" s="1876" t="s">
        <v>2374</v>
      </c>
      <c r="B60" s="1876"/>
      <c r="C60" s="1099"/>
      <c r="D60" s="1097">
        <f>D35</f>
        <v>0.18</v>
      </c>
      <c r="E60" s="1097">
        <f t="shared" ref="E60:Q60" si="39">E35</f>
        <v>0.25</v>
      </c>
      <c r="F60" s="1097">
        <f t="shared" si="39"/>
        <v>0.28999999999999998</v>
      </c>
      <c r="G60" s="1097">
        <f t="shared" si="39"/>
        <v>0.34</v>
      </c>
      <c r="H60" s="1097">
        <f t="shared" si="39"/>
        <v>0.37</v>
      </c>
      <c r="I60" s="1097">
        <f t="shared" si="39"/>
        <v>0.3</v>
      </c>
      <c r="J60" s="1097">
        <f t="shared" si="39"/>
        <v>0.37</v>
      </c>
      <c r="K60" s="1097">
        <f t="shared" si="39"/>
        <v>0.42</v>
      </c>
      <c r="L60" s="1097">
        <f t="shared" si="39"/>
        <v>0.15</v>
      </c>
      <c r="M60" s="1097">
        <f t="shared" si="39"/>
        <v>0.19</v>
      </c>
      <c r="N60" s="1097">
        <f t="shared" si="39"/>
        <v>0.23</v>
      </c>
      <c r="O60" s="1097">
        <f t="shared" si="39"/>
        <v>0.18</v>
      </c>
      <c r="P60" s="1097">
        <f t="shared" si="39"/>
        <v>0.21</v>
      </c>
      <c r="Q60" s="1097">
        <f t="shared" si="39"/>
        <v>0.25</v>
      </c>
      <c r="R60" s="1096" t="s">
        <v>2375</v>
      </c>
      <c r="BE60" s="1103">
        <f t="array" ref="BE60:BF60">LINEST(LN(AC12:AP12),LN(AC23:AP23))</f>
        <v>3.7455860807695958</v>
      </c>
      <c r="BF60" s="1096">
        <v>-5.0664363774114847</v>
      </c>
      <c r="BG60" s="1103">
        <f>EXP(BF60)</f>
        <v>6.3048482540556229E-3</v>
      </c>
    </row>
    <row r="61" spans="1:59" ht="12.75" customHeight="1" x14ac:dyDescent="0.2">
      <c r="A61" s="1860" t="s">
        <v>2376</v>
      </c>
      <c r="B61" s="1860"/>
      <c r="C61" s="1860"/>
      <c r="D61" s="1148"/>
      <c r="E61" s="1099"/>
      <c r="F61" s="1099"/>
      <c r="G61" s="1099"/>
    </row>
    <row r="62" spans="1:59" ht="14" customHeight="1" x14ac:dyDescent="0.2">
      <c r="A62" s="1876" t="s">
        <v>2377</v>
      </c>
      <c r="B62" s="1876"/>
      <c r="C62" s="1099"/>
      <c r="D62" s="1267">
        <v>0.2</v>
      </c>
      <c r="E62" s="1268">
        <v>0.3</v>
      </c>
      <c r="F62" s="1268">
        <v>0.4</v>
      </c>
      <c r="G62" s="1268">
        <v>0.5</v>
      </c>
      <c r="H62" s="1269">
        <v>0.6</v>
      </c>
      <c r="I62" s="1270">
        <v>0.3</v>
      </c>
      <c r="J62" s="1271">
        <v>0.4</v>
      </c>
      <c r="K62" s="1269">
        <v>0.5</v>
      </c>
      <c r="L62" s="1270">
        <v>0.3</v>
      </c>
      <c r="M62" s="1271">
        <v>0.4</v>
      </c>
      <c r="N62" s="1269">
        <v>0.5</v>
      </c>
      <c r="O62" s="1270">
        <v>0.3</v>
      </c>
      <c r="P62" s="1271">
        <v>0.4</v>
      </c>
      <c r="Q62" s="1269">
        <v>0.5</v>
      </c>
    </row>
    <row r="63" spans="1:59" ht="13.5" customHeight="1" x14ac:dyDescent="0.2">
      <c r="A63" s="1151"/>
      <c r="B63" s="1151"/>
      <c r="C63" s="1151"/>
      <c r="D63" s="1272">
        <f t="shared" ref="D63:G63" si="40">D21</f>
        <v>3.8</v>
      </c>
      <c r="E63" s="1273">
        <f t="shared" si="40"/>
        <v>5.2</v>
      </c>
      <c r="F63" s="1273">
        <f t="shared" si="40"/>
        <v>6</v>
      </c>
      <c r="G63" s="1273">
        <f t="shared" si="40"/>
        <v>7</v>
      </c>
      <c r="H63" s="1274">
        <f>H21</f>
        <v>7.8</v>
      </c>
      <c r="I63" s="1272">
        <f>I21</f>
        <v>6.3</v>
      </c>
      <c r="J63" s="1273">
        <f t="shared" ref="J63:K63" si="41">J21</f>
        <v>7.7</v>
      </c>
      <c r="K63" s="1274">
        <f t="shared" si="41"/>
        <v>8.8000000000000007</v>
      </c>
      <c r="L63" s="1272">
        <f>L21</f>
        <v>3.2</v>
      </c>
      <c r="M63" s="1273">
        <f t="shared" ref="M63:Q63" si="42">M21</f>
        <v>4.0999999999999996</v>
      </c>
      <c r="N63" s="1274">
        <f t="shared" si="42"/>
        <v>4.9000000000000004</v>
      </c>
      <c r="O63" s="1272">
        <f t="shared" si="42"/>
        <v>3.7</v>
      </c>
      <c r="P63" s="1273">
        <f t="shared" si="42"/>
        <v>4.4000000000000004</v>
      </c>
      <c r="Q63" s="1274">
        <f t="shared" si="42"/>
        <v>5.2</v>
      </c>
      <c r="R63" s="1151"/>
      <c r="S63" s="1151"/>
      <c r="T63" s="1151"/>
      <c r="U63" s="1151"/>
      <c r="V63" s="1151"/>
    </row>
    <row r="64" spans="1:59" ht="13.5" customHeight="1" x14ac:dyDescent="0.2">
      <c r="A64" s="1151" t="s">
        <v>2326</v>
      </c>
      <c r="B64" s="1151" t="s">
        <v>2238</v>
      </c>
      <c r="C64" s="1151"/>
      <c r="D64" s="1169">
        <f>1.293*273.15/(D24+273.15)</f>
        <v>1.1845814187489518</v>
      </c>
      <c r="E64" s="1170">
        <f t="shared" ref="E64:Q65" si="43">1.293*273.15/(E28+273.15)</f>
        <v>0.94649055339675725</v>
      </c>
      <c r="F64" s="1170">
        <f t="shared" si="43"/>
        <v>0.94903385731559842</v>
      </c>
      <c r="G64" s="1170">
        <f t="shared" si="43"/>
        <v>0.94903385731559842</v>
      </c>
      <c r="H64" s="1171">
        <f t="shared" si="43"/>
        <v>0.95159086622659295</v>
      </c>
      <c r="I64" s="1169">
        <f t="shared" si="43"/>
        <v>0.94903385731559842</v>
      </c>
      <c r="J64" s="1170">
        <f t="shared" si="43"/>
        <v>0.95159086622659295</v>
      </c>
      <c r="K64" s="1171">
        <f t="shared" si="43"/>
        <v>0.9541616912062677</v>
      </c>
      <c r="L64" s="1169">
        <f t="shared" si="43"/>
        <v>0.98338563274397872</v>
      </c>
      <c r="M64" s="1170">
        <f t="shared" si="43"/>
        <v>0.99166910009827314</v>
      </c>
      <c r="N64" s="1171">
        <f t="shared" si="43"/>
        <v>0.99726937738246502</v>
      </c>
      <c r="O64" s="1169">
        <f t="shared" si="43"/>
        <v>0.94903385731559842</v>
      </c>
      <c r="P64" s="1170">
        <f t="shared" si="43"/>
        <v>0.95159086622659295</v>
      </c>
      <c r="Q64" s="1171">
        <f t="shared" si="43"/>
        <v>0.95159086622659295</v>
      </c>
      <c r="R64" s="1151"/>
      <c r="S64" s="1151"/>
      <c r="T64" s="1151"/>
      <c r="U64" s="1151"/>
      <c r="V64" s="1151"/>
    </row>
    <row r="65" spans="1:39" ht="13.5" customHeight="1" x14ac:dyDescent="0.2">
      <c r="A65" s="1151" t="s">
        <v>2327</v>
      </c>
      <c r="B65" s="1151" t="s">
        <v>2238</v>
      </c>
      <c r="C65" s="1151"/>
      <c r="D65" s="1172">
        <f>1.293*273.15/(D27+273.15)</f>
        <v>1.2256913066111399</v>
      </c>
      <c r="E65" s="1151">
        <f t="shared" si="43"/>
        <v>1.1150211523283344</v>
      </c>
      <c r="F65" s="1151">
        <f t="shared" si="43"/>
        <v>1.1083726659344106</v>
      </c>
      <c r="G65" s="1151">
        <f t="shared" si="43"/>
        <v>1.105596963531069</v>
      </c>
      <c r="H65" s="1173">
        <f t="shared" si="43"/>
        <v>1.1028351288056204</v>
      </c>
      <c r="I65" s="1172">
        <f t="shared" si="43"/>
        <v>1.1167840316205533</v>
      </c>
      <c r="J65" s="1151">
        <f t="shared" si="43"/>
        <v>1.1111623407267579</v>
      </c>
      <c r="K65" s="1173">
        <f t="shared" si="43"/>
        <v>1.1062895849647609</v>
      </c>
      <c r="L65" s="1172">
        <f t="shared" si="43"/>
        <v>1.1231768166640164</v>
      </c>
      <c r="M65" s="1151">
        <f t="shared" si="43"/>
        <v>1.1213937132878233</v>
      </c>
      <c r="N65" s="1173">
        <f t="shared" si="43"/>
        <v>1.1199713017282384</v>
      </c>
      <c r="O65" s="1172">
        <f t="shared" si="43"/>
        <v>1.100429817728618</v>
      </c>
      <c r="P65" s="1151">
        <f t="shared" si="43"/>
        <v>1.0970118030750116</v>
      </c>
      <c r="Q65" s="1173">
        <f t="shared" si="43"/>
        <v>1.0949711672608897</v>
      </c>
      <c r="R65" s="1151"/>
      <c r="S65" s="1151"/>
      <c r="T65" s="1151"/>
      <c r="U65" s="1151"/>
      <c r="V65" s="1151"/>
    </row>
    <row r="66" spans="1:39" ht="13.5" customHeight="1" x14ac:dyDescent="0.2">
      <c r="A66" s="1099" t="s">
        <v>2378</v>
      </c>
      <c r="B66" s="1096" t="s">
        <v>496</v>
      </c>
      <c r="C66" s="1151"/>
      <c r="D66" s="1275">
        <f>D24-D34</f>
        <v>13</v>
      </c>
      <c r="E66" s="1148">
        <f t="shared" ref="E66:Q66" si="44">E24-E34</f>
        <v>13</v>
      </c>
      <c r="F66" s="1148">
        <f t="shared" si="44"/>
        <v>13</v>
      </c>
      <c r="G66" s="1148">
        <f t="shared" si="44"/>
        <v>13</v>
      </c>
      <c r="H66" s="1148">
        <f t="shared" si="44"/>
        <v>13</v>
      </c>
      <c r="I66" s="1275">
        <f t="shared" si="44"/>
        <v>18</v>
      </c>
      <c r="J66" s="1148">
        <f t="shared" si="44"/>
        <v>18</v>
      </c>
      <c r="K66" s="1148">
        <f t="shared" si="44"/>
        <v>18</v>
      </c>
      <c r="L66" s="1275">
        <f t="shared" si="44"/>
        <v>10</v>
      </c>
      <c r="M66" s="1148">
        <f t="shared" si="44"/>
        <v>10</v>
      </c>
      <c r="N66" s="1276">
        <f t="shared" si="44"/>
        <v>10</v>
      </c>
      <c r="O66" s="1275">
        <f t="shared" si="44"/>
        <v>10</v>
      </c>
      <c r="P66" s="1148">
        <f t="shared" si="44"/>
        <v>10</v>
      </c>
      <c r="Q66" s="1276">
        <f t="shared" si="44"/>
        <v>10</v>
      </c>
      <c r="R66" s="1151"/>
      <c r="S66" s="1151"/>
      <c r="T66" s="1151"/>
      <c r="U66" s="1151"/>
      <c r="V66" s="1151"/>
    </row>
    <row r="67" spans="1:39" ht="13.5" customHeight="1" x14ac:dyDescent="0.2">
      <c r="A67" s="1099" t="s">
        <v>2379</v>
      </c>
      <c r="B67" s="1151" t="s">
        <v>496</v>
      </c>
      <c r="C67" s="1151"/>
      <c r="D67" s="1275">
        <f>D27-D33</f>
        <v>8</v>
      </c>
      <c r="E67" s="1148">
        <f t="shared" ref="E67:Q67" si="45">E27-E33</f>
        <v>8.6</v>
      </c>
      <c r="F67" s="1148">
        <f t="shared" si="45"/>
        <v>9.1999999999999993</v>
      </c>
      <c r="G67" s="1148">
        <f t="shared" si="45"/>
        <v>9.6000000000000014</v>
      </c>
      <c r="H67" s="1148">
        <f t="shared" si="45"/>
        <v>9.8999999999999986</v>
      </c>
      <c r="I67" s="1275">
        <f t="shared" si="45"/>
        <v>8.5</v>
      </c>
      <c r="J67" s="1148">
        <f t="shared" si="45"/>
        <v>9.1000000000000014</v>
      </c>
      <c r="K67" s="1148">
        <f t="shared" si="45"/>
        <v>9.6999999999999993</v>
      </c>
      <c r="L67" s="1275">
        <f t="shared" si="45"/>
        <v>6.1999999999999993</v>
      </c>
      <c r="M67" s="1148">
        <f t="shared" si="45"/>
        <v>6.6999999999999993</v>
      </c>
      <c r="N67" s="1276">
        <f t="shared" si="45"/>
        <v>7.1000000000000014</v>
      </c>
      <c r="O67" s="1275">
        <f t="shared" si="45"/>
        <v>7</v>
      </c>
      <c r="P67" s="1148">
        <f t="shared" si="45"/>
        <v>7.5</v>
      </c>
      <c r="Q67" s="1276">
        <f t="shared" si="45"/>
        <v>7.6999999999999993</v>
      </c>
      <c r="R67" s="1151"/>
      <c r="S67" s="1151"/>
      <c r="T67" s="1151"/>
      <c r="U67" s="1151"/>
      <c r="V67" s="1151"/>
    </row>
    <row r="68" spans="1:39" ht="13.5" customHeight="1" x14ac:dyDescent="0.2">
      <c r="A68" s="1151" t="s">
        <v>2380</v>
      </c>
      <c r="B68" s="1151" t="s">
        <v>496</v>
      </c>
      <c r="C68" s="1151"/>
      <c r="D68" s="1277">
        <f>(D66-D67)/LN(D66/D67)</f>
        <v>10.298495384568954</v>
      </c>
      <c r="E68" s="1277">
        <f t="shared" ref="E68:Q68" si="46">(E66-E67)/LN(E66/E67)</f>
        <v>10.64892738133897</v>
      </c>
      <c r="F68" s="1277">
        <f t="shared" si="46"/>
        <v>10.990731321127887</v>
      </c>
      <c r="G68" s="1277">
        <f t="shared" si="46"/>
        <v>11.214228545025904</v>
      </c>
      <c r="H68" s="1277">
        <f t="shared" si="46"/>
        <v>11.379713115035672</v>
      </c>
      <c r="I68" s="1277">
        <f t="shared" si="46"/>
        <v>12.661507618903265</v>
      </c>
      <c r="J68" s="1277">
        <f t="shared" si="46"/>
        <v>13.0479909845953</v>
      </c>
      <c r="K68" s="1277">
        <f t="shared" si="46"/>
        <v>13.425079520477267</v>
      </c>
      <c r="L68" s="1277">
        <f t="shared" si="46"/>
        <v>7.9491954211460945</v>
      </c>
      <c r="M68" s="1277">
        <f t="shared" si="46"/>
        <v>8.2401619347626358</v>
      </c>
      <c r="N68" s="1277">
        <f t="shared" si="46"/>
        <v>8.4673928699415235</v>
      </c>
      <c r="O68" s="1277">
        <f t="shared" si="46"/>
        <v>8.4110197561713864</v>
      </c>
      <c r="P68" s="1277">
        <f t="shared" si="46"/>
        <v>8.6901487419555199</v>
      </c>
      <c r="Q68" s="1278">
        <f t="shared" si="46"/>
        <v>8.7999620286123115</v>
      </c>
      <c r="R68" s="1151"/>
      <c r="S68" s="1151"/>
      <c r="T68" s="1151"/>
      <c r="U68" s="1151"/>
      <c r="V68" s="1151"/>
    </row>
    <row r="69" spans="1:39" ht="13.5" customHeight="1" x14ac:dyDescent="0.2">
      <c r="A69" s="1151" t="s">
        <v>2329</v>
      </c>
      <c r="B69" s="1151" t="s">
        <v>496</v>
      </c>
      <c r="C69" s="1151"/>
      <c r="D69" s="1279">
        <f>AVERAGE(D24,D27)-AVERAGE(D33:D34)</f>
        <v>10.5</v>
      </c>
      <c r="E69" s="1279">
        <f t="shared" ref="E69:Q69" si="47">AVERAGE(E24,E27)-AVERAGE(E33:E34)</f>
        <v>10.8</v>
      </c>
      <c r="F69" s="1279">
        <f t="shared" si="47"/>
        <v>11.100000000000001</v>
      </c>
      <c r="G69" s="1279">
        <f t="shared" si="47"/>
        <v>11.3</v>
      </c>
      <c r="H69" s="1279">
        <f t="shared" si="47"/>
        <v>11.45</v>
      </c>
      <c r="I69" s="1279">
        <f t="shared" si="47"/>
        <v>13.25</v>
      </c>
      <c r="J69" s="1279">
        <f t="shared" si="47"/>
        <v>13.55</v>
      </c>
      <c r="K69" s="1279">
        <f t="shared" si="47"/>
        <v>13.850000000000001</v>
      </c>
      <c r="L69" s="1279">
        <f t="shared" si="47"/>
        <v>8.1000000000000014</v>
      </c>
      <c r="M69" s="1279">
        <f t="shared" si="47"/>
        <v>8.3500000000000014</v>
      </c>
      <c r="N69" s="1280">
        <f t="shared" si="47"/>
        <v>8.5500000000000007</v>
      </c>
      <c r="O69" s="1279">
        <f t="shared" si="47"/>
        <v>8.5</v>
      </c>
      <c r="P69" s="1279">
        <f t="shared" si="47"/>
        <v>8.75</v>
      </c>
      <c r="Q69" s="1280">
        <f t="shared" si="47"/>
        <v>8.8500000000000014</v>
      </c>
      <c r="R69" s="1151"/>
      <c r="S69" s="1151"/>
      <c r="T69" s="1151"/>
      <c r="U69" s="1151"/>
      <c r="V69" s="1151"/>
    </row>
    <row r="70" spans="1:39" ht="13.5" customHeight="1" x14ac:dyDescent="0.2">
      <c r="A70" s="1151"/>
      <c r="B70" s="1151"/>
      <c r="C70" s="1151"/>
      <c r="D70" s="1151"/>
      <c r="E70" s="1151"/>
      <c r="F70" s="1151"/>
      <c r="G70" s="1151"/>
      <c r="H70" s="1151"/>
      <c r="I70" s="1151"/>
      <c r="J70" s="1151"/>
      <c r="K70" s="1151"/>
      <c r="L70" s="1151"/>
      <c r="M70" s="1151"/>
      <c r="N70" s="1151"/>
      <c r="O70" s="1151"/>
      <c r="P70" s="1151"/>
      <c r="Q70" s="1151"/>
      <c r="R70" s="1151"/>
      <c r="S70" s="1151"/>
      <c r="T70" s="1151"/>
      <c r="U70" s="1151"/>
      <c r="V70" s="1151"/>
    </row>
    <row r="71" spans="1:39" ht="13.5" customHeight="1" x14ac:dyDescent="0.2">
      <c r="A71" s="1151" t="s">
        <v>2381</v>
      </c>
      <c r="B71" s="1151"/>
      <c r="C71" s="1151"/>
      <c r="D71" s="1281">
        <f>AVERAGE(D33:D34)</f>
        <v>9.5</v>
      </c>
      <c r="E71" s="1282">
        <f t="shared" ref="E71:Q71" si="48">AVERAGE(E33:E34)</f>
        <v>9.5</v>
      </c>
      <c r="F71" s="1282">
        <f t="shared" si="48"/>
        <v>9.5</v>
      </c>
      <c r="G71" s="1282">
        <f t="shared" si="48"/>
        <v>9.5</v>
      </c>
      <c r="H71" s="1282">
        <f t="shared" si="48"/>
        <v>9.5</v>
      </c>
      <c r="I71" s="1282">
        <f t="shared" si="48"/>
        <v>9.5</v>
      </c>
      <c r="J71" s="1282">
        <f t="shared" si="48"/>
        <v>9.5</v>
      </c>
      <c r="K71" s="1283">
        <f t="shared" si="48"/>
        <v>9.5</v>
      </c>
      <c r="L71" s="1281">
        <f t="shared" si="48"/>
        <v>12.5</v>
      </c>
      <c r="M71" s="1282">
        <f t="shared" si="48"/>
        <v>12.5</v>
      </c>
      <c r="N71" s="1283">
        <f t="shared" si="48"/>
        <v>12.5</v>
      </c>
      <c r="O71" s="1281">
        <f t="shared" si="48"/>
        <v>12.5</v>
      </c>
      <c r="P71" s="1282">
        <f t="shared" si="48"/>
        <v>12.5</v>
      </c>
      <c r="Q71" s="1283">
        <f t="shared" si="48"/>
        <v>12.5</v>
      </c>
      <c r="R71" s="1151"/>
      <c r="S71" s="1151"/>
      <c r="T71" s="1151"/>
      <c r="U71" s="1151"/>
      <c r="V71" s="1151"/>
    </row>
    <row r="72" spans="1:39" ht="13.5" customHeight="1" x14ac:dyDescent="0.2">
      <c r="A72" s="1151" t="s">
        <v>2382</v>
      </c>
      <c r="B72" s="1151"/>
      <c r="C72" s="1151"/>
      <c r="D72" s="1279">
        <f>D77/D78</f>
        <v>17.952310732769277</v>
      </c>
      <c r="E72" s="1284">
        <f t="shared" ref="E72:Q72" si="49">E77/E78</f>
        <v>17.952310732769277</v>
      </c>
      <c r="F72" s="1284">
        <f t="shared" si="49"/>
        <v>17.952310732769277</v>
      </c>
      <c r="G72" s="1284">
        <f t="shared" si="49"/>
        <v>17.952310732769277</v>
      </c>
      <c r="H72" s="1284">
        <f t="shared" si="49"/>
        <v>17.952310732769277</v>
      </c>
      <c r="I72" s="1284">
        <f t="shared" si="49"/>
        <v>16.750216472477977</v>
      </c>
      <c r="J72" s="1284">
        <f t="shared" si="49"/>
        <v>16.750216472477977</v>
      </c>
      <c r="K72" s="1285">
        <f t="shared" si="49"/>
        <v>16.750216472477977</v>
      </c>
      <c r="L72" s="1279">
        <f t="shared" si="49"/>
        <v>13.842291097036892</v>
      </c>
      <c r="M72" s="1284">
        <f t="shared" si="49"/>
        <v>13.842291097036892</v>
      </c>
      <c r="N72" s="1285">
        <f t="shared" si="49"/>
        <v>13.842291097036892</v>
      </c>
      <c r="O72" s="1279">
        <f t="shared" si="49"/>
        <v>17.952310732769277</v>
      </c>
      <c r="P72" s="1284">
        <f t="shared" si="49"/>
        <v>17.952310732769277</v>
      </c>
      <c r="Q72" s="1285">
        <f t="shared" si="49"/>
        <v>17.952310732769277</v>
      </c>
      <c r="R72" s="1151"/>
      <c r="S72" s="1151"/>
      <c r="T72" s="1151"/>
      <c r="U72" s="1151"/>
      <c r="V72" s="1151"/>
    </row>
    <row r="73" spans="1:39" ht="13.5" customHeight="1" x14ac:dyDescent="0.2">
      <c r="A73" s="1151"/>
      <c r="D73" s="1877" t="s">
        <v>2383</v>
      </c>
      <c r="E73" s="1878"/>
      <c r="F73" s="1878"/>
      <c r="G73" s="1878"/>
      <c r="H73" s="1878"/>
      <c r="I73" s="1878"/>
      <c r="J73" s="1878"/>
      <c r="K73" s="1879"/>
      <c r="L73" s="1873" t="str">
        <f>CONCATENATE(ROUND((L72-L33)/(L34-L33)*100,0)," % kondensoiva")</f>
        <v>77 % kondensoiva</v>
      </c>
      <c r="M73" s="1874"/>
      <c r="N73" s="1875"/>
      <c r="O73" s="1873" t="s">
        <v>2383</v>
      </c>
      <c r="P73" s="1874"/>
      <c r="Q73" s="1875"/>
      <c r="R73" s="1151"/>
      <c r="S73" s="1151"/>
      <c r="T73" s="1151"/>
      <c r="U73" s="1151"/>
      <c r="V73" s="1151"/>
    </row>
    <row r="74" spans="1:39" ht="13.5" customHeight="1" x14ac:dyDescent="0.2">
      <c r="A74" s="1151"/>
      <c r="E74" s="1151"/>
      <c r="F74" s="1151"/>
      <c r="G74" s="1151"/>
      <c r="H74" s="1151"/>
      <c r="I74" s="1151"/>
      <c r="J74" s="1151"/>
      <c r="K74" s="1151"/>
      <c r="L74" s="1151"/>
      <c r="M74" s="1151"/>
      <c r="N74" s="1151"/>
      <c r="O74" s="1151"/>
      <c r="P74" s="1151"/>
      <c r="Q74" s="1151"/>
      <c r="R74" s="1151"/>
      <c r="S74" s="1151"/>
      <c r="T74" s="1151"/>
      <c r="U74" s="1151"/>
      <c r="V74" s="1151"/>
      <c r="AD74" s="1103">
        <f t="array" ref="AD74:AE74">LINEST(LN(D31:Q31),LN(D22:Q22))</f>
        <v>1.7179772051600481</v>
      </c>
      <c r="AE74" s="1096">
        <v>4.371949284871385</v>
      </c>
      <c r="AF74" s="1103">
        <f>EXP(AE74)</f>
        <v>79.197860524137553</v>
      </c>
      <c r="AK74" s="1103">
        <f t="array" ref="AK74:AL74">LINEST(LN(D37:Q37),LN(D35:Q35))</f>
        <v>1.8729096854656782</v>
      </c>
      <c r="AL74" s="1096">
        <v>4.471039087159018</v>
      </c>
      <c r="AM74" s="1103">
        <f>EXP(AL74)</f>
        <v>87.447541438536419</v>
      </c>
    </row>
    <row r="75" spans="1:39" ht="13.5" customHeight="1" x14ac:dyDescent="0.2">
      <c r="A75" s="1151"/>
      <c r="E75" s="1151"/>
      <c r="F75" s="1151"/>
      <c r="G75" s="1151"/>
      <c r="H75" s="1151"/>
      <c r="I75" s="1151"/>
      <c r="J75" s="1151"/>
      <c r="K75" s="1151"/>
      <c r="L75" s="1151"/>
      <c r="M75" s="1151"/>
      <c r="N75" s="1151"/>
      <c r="O75" s="1151"/>
      <c r="P75" s="1151"/>
      <c r="Q75" s="1151"/>
      <c r="R75" s="1151"/>
      <c r="S75" s="1151"/>
      <c r="T75" s="1151"/>
      <c r="U75" s="1151"/>
      <c r="V75" s="1151"/>
    </row>
    <row r="76" spans="1:39" ht="13.5" customHeight="1" x14ac:dyDescent="0.2">
      <c r="A76" s="1151"/>
      <c r="B76" s="1151"/>
      <c r="C76" s="1151" t="s">
        <v>2384</v>
      </c>
      <c r="D76" s="1151">
        <f>LN(D25/100)+(17.27*D24)/(237.7+D24)</f>
        <v>1.2127267907975345</v>
      </c>
      <c r="E76" s="1151">
        <f t="shared" ref="E76:Q76" si="50">LN(E25/100)+(17.27*E24)/(237.7+E24)</f>
        <v>1.2127267907975345</v>
      </c>
      <c r="F76" s="1151">
        <f t="shared" si="50"/>
        <v>1.2127267907975345</v>
      </c>
      <c r="G76" s="1151">
        <f t="shared" si="50"/>
        <v>1.2127267907975345</v>
      </c>
      <c r="H76" s="1151">
        <f t="shared" si="50"/>
        <v>1.2127267907975345</v>
      </c>
      <c r="I76" s="1151">
        <f t="shared" si="50"/>
        <v>1.136867724028773</v>
      </c>
      <c r="J76" s="1151">
        <f t="shared" si="50"/>
        <v>1.136867724028773</v>
      </c>
      <c r="K76" s="1151">
        <f t="shared" si="50"/>
        <v>1.136867724028773</v>
      </c>
      <c r="L76" s="1151">
        <f t="shared" si="50"/>
        <v>0.95036252633004337</v>
      </c>
      <c r="M76" s="1151">
        <f t="shared" si="50"/>
        <v>0.95036252633004337</v>
      </c>
      <c r="N76" s="1151">
        <f t="shared" si="50"/>
        <v>0.95036252633004337</v>
      </c>
      <c r="O76" s="1151">
        <f t="shared" si="50"/>
        <v>1.2127267907975345</v>
      </c>
      <c r="P76" s="1151">
        <f t="shared" si="50"/>
        <v>1.2127267907975345</v>
      </c>
      <c r="Q76" s="1151">
        <f t="shared" si="50"/>
        <v>1.2127267907975345</v>
      </c>
      <c r="R76" s="1151"/>
      <c r="S76" s="1151"/>
      <c r="T76" s="1151"/>
      <c r="U76" s="1151"/>
      <c r="V76" s="1151"/>
    </row>
    <row r="77" spans="1:39" ht="13.5" customHeight="1" x14ac:dyDescent="0.2">
      <c r="B77" s="1151"/>
      <c r="C77" s="1151"/>
      <c r="D77" s="1151">
        <f>237.7*D76</f>
        <v>288.26515817257393</v>
      </c>
      <c r="E77" s="1151">
        <f t="shared" ref="E77:Q77" si="51">237.7*E76</f>
        <v>288.26515817257393</v>
      </c>
      <c r="F77" s="1151">
        <f t="shared" si="51"/>
        <v>288.26515817257393</v>
      </c>
      <c r="G77" s="1151">
        <f t="shared" si="51"/>
        <v>288.26515817257393</v>
      </c>
      <c r="H77" s="1151">
        <f t="shared" si="51"/>
        <v>288.26515817257393</v>
      </c>
      <c r="I77" s="1151">
        <f t="shared" si="51"/>
        <v>270.23345800163935</v>
      </c>
      <c r="J77" s="1151">
        <f t="shared" si="51"/>
        <v>270.23345800163935</v>
      </c>
      <c r="K77" s="1151">
        <f t="shared" si="51"/>
        <v>270.23345800163935</v>
      </c>
      <c r="L77" s="1151">
        <f t="shared" si="51"/>
        <v>225.90117250865129</v>
      </c>
      <c r="M77" s="1151">
        <f t="shared" si="51"/>
        <v>225.90117250865129</v>
      </c>
      <c r="N77" s="1151">
        <f t="shared" si="51"/>
        <v>225.90117250865129</v>
      </c>
      <c r="O77" s="1151">
        <f t="shared" si="51"/>
        <v>288.26515817257393</v>
      </c>
      <c r="P77" s="1151">
        <f t="shared" si="51"/>
        <v>288.26515817257393</v>
      </c>
      <c r="Q77" s="1151">
        <f t="shared" si="51"/>
        <v>288.26515817257393</v>
      </c>
    </row>
    <row r="78" spans="1:39" ht="13.5" customHeight="1" x14ac:dyDescent="0.2">
      <c r="B78" s="1151"/>
      <c r="C78" s="1151"/>
      <c r="D78" s="1151">
        <f>17.27-D76</f>
        <v>16.057273209202464</v>
      </c>
      <c r="E78" s="1151">
        <f t="shared" ref="E78:Q78" si="52">17.27-E76</f>
        <v>16.057273209202464</v>
      </c>
      <c r="F78" s="1151">
        <f t="shared" si="52"/>
        <v>16.057273209202464</v>
      </c>
      <c r="G78" s="1151">
        <f t="shared" si="52"/>
        <v>16.057273209202464</v>
      </c>
      <c r="H78" s="1151">
        <f t="shared" si="52"/>
        <v>16.057273209202464</v>
      </c>
      <c r="I78" s="1151">
        <f t="shared" si="52"/>
        <v>16.133132275971228</v>
      </c>
      <c r="J78" s="1151">
        <f t="shared" si="52"/>
        <v>16.133132275971228</v>
      </c>
      <c r="K78" s="1151">
        <f t="shared" si="52"/>
        <v>16.133132275971228</v>
      </c>
      <c r="L78" s="1151">
        <f t="shared" si="52"/>
        <v>16.319637473669957</v>
      </c>
      <c r="M78" s="1151">
        <f t="shared" si="52"/>
        <v>16.319637473669957</v>
      </c>
      <c r="N78" s="1151">
        <f t="shared" si="52"/>
        <v>16.319637473669957</v>
      </c>
      <c r="O78" s="1151">
        <f t="shared" si="52"/>
        <v>16.057273209202464</v>
      </c>
      <c r="P78" s="1151">
        <f t="shared" si="52"/>
        <v>16.057273209202464</v>
      </c>
      <c r="Q78" s="1151">
        <f t="shared" si="52"/>
        <v>16.057273209202464</v>
      </c>
    </row>
    <row r="79" spans="1:39" ht="13.5" customHeight="1" x14ac:dyDescent="0.2"/>
    <row r="80" spans="1:39" ht="13.5" customHeight="1" x14ac:dyDescent="0.2"/>
    <row r="81" spans="2:40" ht="13.5" customHeight="1" x14ac:dyDescent="0.2">
      <c r="D81" s="1103" t="s">
        <v>2385</v>
      </c>
      <c r="Z81" s="1096">
        <f>0.325*AVERAGE(AA85:AA86)</f>
        <v>0.39029640842883462</v>
      </c>
    </row>
    <row r="82" spans="2:40" ht="13.5" customHeight="1" x14ac:dyDescent="0.2">
      <c r="D82" s="1097" t="s">
        <v>289</v>
      </c>
      <c r="E82" s="1097" t="s">
        <v>2253</v>
      </c>
      <c r="F82" s="1097" t="s">
        <v>2386</v>
      </c>
      <c r="G82" s="1097" t="s">
        <v>47</v>
      </c>
      <c r="H82" s="1097" t="s">
        <v>2288</v>
      </c>
      <c r="V82" s="1103" t="s">
        <v>2231</v>
      </c>
      <c r="W82" s="1097"/>
      <c r="X82" s="1097"/>
      <c r="Y82" s="1097"/>
      <c r="Z82" s="1097"/>
    </row>
    <row r="83" spans="2:40" ht="13.5" customHeight="1" x14ac:dyDescent="0.2">
      <c r="D83" s="1097">
        <f>$K$62</f>
        <v>0.5</v>
      </c>
      <c r="E83" s="1143">
        <f>$K$69</f>
        <v>13.850000000000001</v>
      </c>
      <c r="F83" s="1143">
        <f>$K$68</f>
        <v>13.425079520477267</v>
      </c>
      <c r="G83" s="1097">
        <f>$K$63</f>
        <v>8.8000000000000007</v>
      </c>
      <c r="H83" s="1097">
        <f>$K$35</f>
        <v>0.42</v>
      </c>
      <c r="J83" s="1103">
        <f t="array" ref="J83:K83">LINEST(LN(G83:G85),LN(E83:E85))</f>
        <v>1.1760419303578837</v>
      </c>
      <c r="K83" s="1096">
        <v>-0.91252839272430353</v>
      </c>
      <c r="L83" s="1103">
        <f>EXP(K83)</f>
        <v>0.40150777025290152</v>
      </c>
      <c r="V83" s="1097"/>
      <c r="W83" s="1097"/>
      <c r="X83" s="1097"/>
      <c r="Y83" s="1097"/>
      <c r="Z83" s="1097"/>
    </row>
    <row r="84" spans="2:40" ht="13.5" customHeight="1" x14ac:dyDescent="0.25">
      <c r="D84" s="1097">
        <f>$G$62</f>
        <v>0.5</v>
      </c>
      <c r="E84" s="1143">
        <f>$G$69</f>
        <v>11.3</v>
      </c>
      <c r="F84" s="1143">
        <f>$G$68</f>
        <v>11.214228545025904</v>
      </c>
      <c r="G84" s="1097">
        <f>$G$63</f>
        <v>7</v>
      </c>
      <c r="H84" s="1097">
        <f>$G$35</f>
        <v>0.34</v>
      </c>
      <c r="V84" s="1096" t="s">
        <v>485</v>
      </c>
      <c r="W84" s="1097"/>
      <c r="X84" s="1110">
        <f>'C5 Jäähdytys'!E13</f>
        <v>450</v>
      </c>
      <c r="Y84" s="1097" t="s">
        <v>13</v>
      </c>
      <c r="Z84" s="1096" t="s">
        <v>2387</v>
      </c>
      <c r="AA84" s="1097" t="s">
        <v>2234</v>
      </c>
      <c r="AC84" s="1096" t="s">
        <v>2235</v>
      </c>
      <c r="AE84" s="1096" t="s">
        <v>2388</v>
      </c>
      <c r="AG84" s="1096" t="s">
        <v>2389</v>
      </c>
      <c r="AM84" s="1096" t="s">
        <v>2437</v>
      </c>
    </row>
    <row r="85" spans="2:40" ht="13.5" customHeight="1" x14ac:dyDescent="0.25">
      <c r="D85" s="1097">
        <f>$Q$62</f>
        <v>0.5</v>
      </c>
      <c r="E85" s="1143">
        <f>$Q$69</f>
        <v>8.8500000000000014</v>
      </c>
      <c r="F85" s="1143">
        <f>$Q$68</f>
        <v>8.7999620286123115</v>
      </c>
      <c r="G85" s="1097">
        <f>$Q$63</f>
        <v>5.2</v>
      </c>
      <c r="H85" s="1097">
        <f>$Q$35</f>
        <v>0.25</v>
      </c>
      <c r="V85" s="1096" t="s">
        <v>2237</v>
      </c>
      <c r="W85" s="1097"/>
      <c r="X85" s="1110">
        <f>'C5 Jäähdytys'!E14</f>
        <v>25</v>
      </c>
      <c r="Y85" s="1097" t="s">
        <v>230</v>
      </c>
      <c r="Z85" s="1286">
        <f>'C5 Jäähdytys'!E15</f>
        <v>65</v>
      </c>
      <c r="AA85" s="1097">
        <f>1.293*273.15/(X85+273.15)</f>
        <v>1.1845814187489518</v>
      </c>
      <c r="AB85" s="1096" t="s">
        <v>2238</v>
      </c>
      <c r="AC85" s="1096">
        <f>1005+0.2*X85</f>
        <v>1010</v>
      </c>
      <c r="AD85" s="1096" t="s">
        <v>2239</v>
      </c>
      <c r="AE85" s="1096">
        <f>LN(Z85/100)+(17.27*X85)/(237.7+X85)</f>
        <v>1.2127267907975345</v>
      </c>
      <c r="AF85" s="1096" t="s">
        <v>2477</v>
      </c>
      <c r="AG85" s="1096">
        <f>0.622*(Z85/100*6.112*EXP((17.67*X85)/(X85+243.5)))/(1013.25-(Z85/100*6.112*EXP((17.67*X85)/(X85+243.5))))</f>
        <v>1.2900585465042545E-2</v>
      </c>
      <c r="AH85" s="1096" t="s">
        <v>2390</v>
      </c>
      <c r="AM85" s="1096">
        <f>$AF$74*(X84/1000)^($AD$74)</f>
        <v>20.088173616696047</v>
      </c>
      <c r="AN85" s="1096" t="s">
        <v>14</v>
      </c>
    </row>
    <row r="86" spans="2:40" ht="13.5" customHeight="1" x14ac:dyDescent="0.25">
      <c r="B86" s="1287" t="s">
        <v>2391</v>
      </c>
      <c r="C86" s="1288"/>
      <c r="D86" s="1289">
        <f>$N$62</f>
        <v>0.5</v>
      </c>
      <c r="E86" s="1290">
        <f>$N$69</f>
        <v>8.5500000000000007</v>
      </c>
      <c r="F86" s="1290">
        <f>$N$68</f>
        <v>8.4673928699415235</v>
      </c>
      <c r="G86" s="1289">
        <f>$N$63</f>
        <v>4.9000000000000004</v>
      </c>
      <c r="H86" s="1289">
        <f>$N$36</f>
        <v>0.48</v>
      </c>
      <c r="V86" s="1096" t="s">
        <v>2241</v>
      </c>
      <c r="W86" s="1097"/>
      <c r="X86" s="1110">
        <f>'C5 Jäähdytys'!E16</f>
        <v>17</v>
      </c>
      <c r="Y86" s="1097" t="s">
        <v>230</v>
      </c>
      <c r="Z86" s="1115">
        <f>AG89*100</f>
        <v>93.910777333634414</v>
      </c>
      <c r="AA86" s="1097">
        <f>1.293*273.15/(X86+273.15)</f>
        <v>1.2172426331207995</v>
      </c>
      <c r="AB86" s="1096" t="s">
        <v>2238</v>
      </c>
      <c r="AC86" s="1096">
        <f>1005+0.2*X86</f>
        <v>1008.4</v>
      </c>
      <c r="AD86" s="1096" t="s">
        <v>2239</v>
      </c>
      <c r="AF86" s="1096" t="s">
        <v>2478</v>
      </c>
      <c r="AG86" s="1096">
        <f>0.622*(Z86/100*6.112*EXP((17.67*X86)/(X86+243.5)))/(1013.25-(Z86/100*6.112*EXP((17.67*X86)/(X86+243.5))))</f>
        <v>1.1366710238402121E-2</v>
      </c>
      <c r="AH86" s="1096" t="s">
        <v>2390</v>
      </c>
      <c r="AI86" s="1096" t="s">
        <v>2392</v>
      </c>
    </row>
    <row r="87" spans="2:40" ht="13.5" customHeight="1" x14ac:dyDescent="0.2">
      <c r="Z87" s="1143">
        <v>98.6</v>
      </c>
      <c r="AG87" s="1096">
        <f>AG85*(1-AG93)</f>
        <v>1.136671023840212E-2</v>
      </c>
      <c r="AH87" s="1096" t="s">
        <v>2390</v>
      </c>
      <c r="AI87" s="1096" t="s">
        <v>2393</v>
      </c>
    </row>
    <row r="88" spans="2:40" ht="13.5" customHeight="1" x14ac:dyDescent="0.2">
      <c r="D88" s="1103" t="s">
        <v>2394</v>
      </c>
      <c r="V88" s="1096" t="s">
        <v>2245</v>
      </c>
      <c r="W88" s="1097"/>
      <c r="X88" s="1097"/>
      <c r="Y88" s="1097"/>
      <c r="Z88" s="1097"/>
      <c r="AG88" s="1096">
        <f>(AG87*1013.25/(AG87+0.622))/(6.112*EXP(17.67*X86/(X86+243.5)))</f>
        <v>0.9391077733363441</v>
      </c>
    </row>
    <row r="89" spans="2:40" ht="13.5" customHeight="1" x14ac:dyDescent="0.25">
      <c r="D89" s="1097" t="s">
        <v>289</v>
      </c>
      <c r="E89" s="1097" t="s">
        <v>2253</v>
      </c>
      <c r="F89" s="1097" t="s">
        <v>2386</v>
      </c>
      <c r="G89" s="1097" t="s">
        <v>47</v>
      </c>
      <c r="H89" s="1097" t="s">
        <v>2288</v>
      </c>
      <c r="V89" s="1097" t="s">
        <v>2247</v>
      </c>
      <c r="W89" s="1097"/>
      <c r="X89" s="1110">
        <f>'C5 Jäähdytys'!E21</f>
        <v>7</v>
      </c>
      <c r="Y89" s="1097" t="s">
        <v>230</v>
      </c>
      <c r="Z89" s="1097"/>
      <c r="AG89" s="1096">
        <f>IF(AG88&gt;0.986,0.986,AG88)</f>
        <v>0.9391077733363441</v>
      </c>
    </row>
    <row r="90" spans="2:40" ht="17" x14ac:dyDescent="0.25">
      <c r="D90" s="1097">
        <f>$J$62</f>
        <v>0.4</v>
      </c>
      <c r="E90" s="1143">
        <f>$J$69</f>
        <v>13.55</v>
      </c>
      <c r="F90" s="1143">
        <f>$J$68</f>
        <v>13.0479909845953</v>
      </c>
      <c r="G90" s="1097">
        <f>$J$63</f>
        <v>7.7</v>
      </c>
      <c r="H90" s="1097">
        <f>$J$35</f>
        <v>0.37</v>
      </c>
      <c r="J90" s="1103">
        <f t="array" ref="J90:K90">LINEST(LN(G90:G92),LN(E90:E92))</f>
        <v>1.2803788854647329</v>
      </c>
      <c r="K90" s="1096">
        <v>-1.2938634060329679</v>
      </c>
      <c r="L90" s="1103">
        <f>EXP(K90)</f>
        <v>0.27420935197558338</v>
      </c>
      <c r="V90" s="1097" t="s">
        <v>2251</v>
      </c>
      <c r="W90" s="1097"/>
      <c r="X90" s="1110">
        <f>'C5 Jäähdytys'!E22</f>
        <v>12</v>
      </c>
      <c r="Y90" s="1097" t="s">
        <v>230</v>
      </c>
      <c r="Z90" s="1097"/>
      <c r="AA90" s="1096" t="s">
        <v>2253</v>
      </c>
      <c r="AB90" s="1291">
        <f>AVERAGE(X85:X86)-AVERAGE(X89:X90)</f>
        <v>11.5</v>
      </c>
    </row>
    <row r="91" spans="2:40" x14ac:dyDescent="0.2">
      <c r="D91" s="1097">
        <f>$F$62</f>
        <v>0.4</v>
      </c>
      <c r="E91" s="1143">
        <f>$F$69</f>
        <v>11.100000000000001</v>
      </c>
      <c r="F91" s="1143">
        <f>$F$68</f>
        <v>10.990731321127887</v>
      </c>
      <c r="G91" s="1097">
        <f>$F$63</f>
        <v>6</v>
      </c>
      <c r="H91" s="1097">
        <f>$F$35</f>
        <v>0.28999999999999998</v>
      </c>
      <c r="V91" s="1097" t="s">
        <v>2395</v>
      </c>
      <c r="X91" s="1097">
        <f>X85-X90</f>
        <v>13</v>
      </c>
      <c r="AA91" s="1096" t="s">
        <v>2386</v>
      </c>
      <c r="AB91" s="1291">
        <f>IF(X91=X92,X91,(X91-X92)/LN(X91/X92))</f>
        <v>11.434484060125204</v>
      </c>
      <c r="AK91" s="1291"/>
    </row>
    <row r="92" spans="2:40" x14ac:dyDescent="0.2">
      <c r="D92" s="1097">
        <f>$P$62</f>
        <v>0.4</v>
      </c>
      <c r="E92" s="1143">
        <f>$P$69</f>
        <v>8.75</v>
      </c>
      <c r="F92" s="1143">
        <f>$P$68</f>
        <v>8.6901487419555199</v>
      </c>
      <c r="G92" s="1097">
        <f>$P$63</f>
        <v>4.4000000000000004</v>
      </c>
      <c r="H92" s="1097">
        <f>$P$35</f>
        <v>0.21</v>
      </c>
      <c r="V92" s="1097" t="s">
        <v>2396</v>
      </c>
      <c r="X92" s="1097">
        <f>X86-X89</f>
        <v>10</v>
      </c>
      <c r="AC92" s="1096" t="s">
        <v>91</v>
      </c>
      <c r="AD92" s="1243">
        <v>2.5</v>
      </c>
      <c r="AE92" s="1096" t="s">
        <v>117</v>
      </c>
      <c r="AF92" s="1096" t="s">
        <v>419</v>
      </c>
      <c r="AK92" s="1291"/>
    </row>
    <row r="93" spans="2:40" ht="17" x14ac:dyDescent="0.25">
      <c r="B93" s="1287" t="s">
        <v>2391</v>
      </c>
      <c r="D93" s="1289">
        <f>$M$62</f>
        <v>0.4</v>
      </c>
      <c r="E93" s="1290">
        <f>$M$69</f>
        <v>8.3500000000000014</v>
      </c>
      <c r="F93" s="1290">
        <f>$M$68</f>
        <v>8.2401619347626358</v>
      </c>
      <c r="G93" s="1289">
        <f>$M$63</f>
        <v>4.0999999999999996</v>
      </c>
      <c r="H93" s="1289">
        <f>$M$36</f>
        <v>0.4</v>
      </c>
      <c r="V93" s="1097" t="s">
        <v>2382</v>
      </c>
      <c r="W93" s="1097" t="s">
        <v>2237</v>
      </c>
      <c r="X93" s="1115">
        <f>(237.7*AE85)/(17.27-AE85)</f>
        <v>17.952310732769277</v>
      </c>
      <c r="Y93" s="1097" t="s">
        <v>230</v>
      </c>
      <c r="AA93" s="1096" t="s">
        <v>2397</v>
      </c>
      <c r="AD93" s="1292">
        <f>IF(X93&lt;X89,0,(X93-X89)/(X90-X89))</f>
        <v>2.1904621465538554</v>
      </c>
      <c r="AE93" s="1358">
        <f>IF(AD93&gt;AD92,AD92,AD93)</f>
        <v>2.1904621465538554</v>
      </c>
      <c r="AF93" s="1243"/>
      <c r="AG93" s="1293">
        <f>BG60*AE93^BE60</f>
        <v>0.11889966008107575</v>
      </c>
      <c r="AH93" s="1096" t="s">
        <v>2398</v>
      </c>
      <c r="AK93" s="1358"/>
    </row>
    <row r="94" spans="2:40" x14ac:dyDescent="0.2">
      <c r="AD94" s="1292"/>
      <c r="AE94" s="1358"/>
    </row>
    <row r="95" spans="2:40" x14ac:dyDescent="0.2">
      <c r="D95" s="1103" t="s">
        <v>2399</v>
      </c>
      <c r="V95" s="1096" t="s">
        <v>2400</v>
      </c>
      <c r="W95" s="1097"/>
      <c r="X95" s="1111">
        <f>X84/1000*AVERAGE(AA85:AA86)*AVERAGE(AC85:AC86)*(X85-X86)/1000</f>
        <v>4.3630574996645164</v>
      </c>
      <c r="Y95" s="1097" t="s">
        <v>2259</v>
      </c>
      <c r="Z95" s="1097"/>
      <c r="AA95" s="1096" t="s">
        <v>2354</v>
      </c>
      <c r="AB95" s="1111">
        <f>X84/1000*AVERAGE(AA85:AA86)*(AG85-AG86)*2500</f>
        <v>2.0723053567005767</v>
      </c>
      <c r="AC95" s="1096" t="s">
        <v>2259</v>
      </c>
      <c r="AD95" s="1096" t="s">
        <v>2479</v>
      </c>
      <c r="AI95"/>
    </row>
    <row r="96" spans="2:40" x14ac:dyDescent="0.2">
      <c r="D96" s="1097" t="s">
        <v>289</v>
      </c>
      <c r="E96" s="1097" t="s">
        <v>2253</v>
      </c>
      <c r="F96" s="1097" t="s">
        <v>2386</v>
      </c>
      <c r="G96" s="1097" t="s">
        <v>47</v>
      </c>
      <c r="H96" s="1097" t="s">
        <v>2288</v>
      </c>
      <c r="V96" s="1096" t="s">
        <v>2401</v>
      </c>
      <c r="X96" s="1121">
        <f>X95+AB97</f>
        <v>6.4353628563650931</v>
      </c>
      <c r="Y96" s="1096" t="s">
        <v>2259</v>
      </c>
      <c r="Z96" s="1097"/>
      <c r="AA96" s="1096" t="s">
        <v>2354</v>
      </c>
      <c r="AB96" s="1111">
        <f>X84/1000*AVERAGE(AA85:AA86)*(AG85-AG87)*2500</f>
        <v>2.0723053567005794</v>
      </c>
      <c r="AC96" s="1096" t="s">
        <v>2259</v>
      </c>
    </row>
    <row r="97" spans="2:36" x14ac:dyDescent="0.2">
      <c r="D97" s="1097">
        <f>$I$62</f>
        <v>0.3</v>
      </c>
      <c r="E97" s="1143">
        <f>$I$69</f>
        <v>13.25</v>
      </c>
      <c r="F97" s="1143">
        <f>$I$68</f>
        <v>12.661507618903265</v>
      </c>
      <c r="G97" s="1097">
        <f>$I$63</f>
        <v>6.3</v>
      </c>
      <c r="H97" s="1097">
        <f>$I$35</f>
        <v>0.3</v>
      </c>
      <c r="J97" s="1103">
        <f t="array" ref="J97:K97">LINEST(LN(G97:G99),LN(E97:E99))</f>
        <v>1.2051650132686642</v>
      </c>
      <c r="K97" s="1096">
        <v>-1.2544936601887764</v>
      </c>
      <c r="L97" s="1103">
        <f>EXP(K97)</f>
        <v>0.28522023002567021</v>
      </c>
      <c r="V97" s="1096" t="s">
        <v>2260</v>
      </c>
      <c r="W97" s="1097"/>
      <c r="X97" s="1115">
        <f>(X96/$L$106)^(1/$J$106)</f>
        <v>11.134942696466808</v>
      </c>
      <c r="Y97" s="1097" t="s">
        <v>496</v>
      </c>
      <c r="Z97" s="1097"/>
      <c r="AA97" s="1096" t="s">
        <v>21</v>
      </c>
      <c r="AB97" s="1121">
        <f>IF(X93&gt;X90,AB95,AB96)</f>
        <v>2.0723053567005767</v>
      </c>
      <c r="AC97" s="1096" t="s">
        <v>2259</v>
      </c>
    </row>
    <row r="98" spans="2:36" x14ac:dyDescent="0.2">
      <c r="D98" s="1097">
        <f>$E$62</f>
        <v>0.3</v>
      </c>
      <c r="E98" s="1143">
        <f>$E$69</f>
        <v>10.8</v>
      </c>
      <c r="F98" s="1143">
        <f>$E$68</f>
        <v>10.64892738133897</v>
      </c>
      <c r="G98" s="1097">
        <f>$E$63</f>
        <v>5.2</v>
      </c>
      <c r="H98" s="1097">
        <f>$E$35</f>
        <v>0.25</v>
      </c>
    </row>
    <row r="99" spans="2:36" x14ac:dyDescent="0.2">
      <c r="D99" s="1097">
        <f>$O$62</f>
        <v>0.3</v>
      </c>
      <c r="E99" s="1143">
        <f>$O$69</f>
        <v>8.5</v>
      </c>
      <c r="F99" s="1143">
        <f>$O$68</f>
        <v>8.4110197561713864</v>
      </c>
      <c r="G99" s="1097">
        <f>$O$63</f>
        <v>3.7</v>
      </c>
      <c r="H99" s="1097">
        <f>$O$35</f>
        <v>0.18</v>
      </c>
    </row>
    <row r="100" spans="2:36" x14ac:dyDescent="0.2">
      <c r="B100" s="1287" t="s">
        <v>2391</v>
      </c>
      <c r="D100" s="1289">
        <f>$L$62</f>
        <v>0.3</v>
      </c>
      <c r="E100" s="1290">
        <f>$L$69</f>
        <v>8.1000000000000014</v>
      </c>
      <c r="F100" s="1290">
        <f>$L$68</f>
        <v>7.9491954211460945</v>
      </c>
      <c r="G100" s="1289">
        <f>$L$63</f>
        <v>3.2</v>
      </c>
      <c r="H100" s="1289">
        <f>$L$36</f>
        <v>0.32</v>
      </c>
      <c r="V100" s="1096" t="s">
        <v>2264</v>
      </c>
      <c r="W100" s="1097"/>
      <c r="X100" s="1097"/>
      <c r="Y100" s="1097"/>
      <c r="Z100" s="1097"/>
      <c r="AA100" s="1096" t="s">
        <v>2265</v>
      </c>
      <c r="AB100" s="1097"/>
      <c r="AC100" s="1097"/>
      <c r="AD100" s="1097"/>
      <c r="AG100" s="1096" t="s">
        <v>2402</v>
      </c>
    </row>
    <row r="101" spans="2:36" ht="17" x14ac:dyDescent="0.25">
      <c r="V101" s="1097" t="s">
        <v>2247</v>
      </c>
      <c r="X101" s="1294">
        <f>X89</f>
        <v>7</v>
      </c>
      <c r="Y101" s="1097" t="s">
        <v>230</v>
      </c>
      <c r="AA101" s="1097" t="s">
        <v>2247</v>
      </c>
      <c r="AB101" s="1097"/>
      <c r="AC101" s="1295">
        <f>X85+X86-X90-2*X97</f>
        <v>7.7301146070663833</v>
      </c>
      <c r="AD101" s="1097" t="s">
        <v>230</v>
      </c>
      <c r="AG101" s="1097" t="s">
        <v>2247</v>
      </c>
      <c r="AI101" s="1294">
        <f>X89</f>
        <v>7</v>
      </c>
      <c r="AJ101" s="1097" t="s">
        <v>230</v>
      </c>
    </row>
    <row r="102" spans="2:36" ht="17" x14ac:dyDescent="0.25">
      <c r="V102" s="1097" t="s">
        <v>2251</v>
      </c>
      <c r="W102" s="1097"/>
      <c r="X102" s="1296">
        <f>X85+X86-X89-2*X97</f>
        <v>12.730114607066383</v>
      </c>
      <c r="Y102" s="1097" t="s">
        <v>230</v>
      </c>
      <c r="Z102" s="1097"/>
      <c r="AA102" s="1097" t="s">
        <v>2251</v>
      </c>
      <c r="AC102" s="1294">
        <f>X90</f>
        <v>12</v>
      </c>
      <c r="AD102" s="1097" t="s">
        <v>230</v>
      </c>
      <c r="AF102" s="1297"/>
      <c r="AG102" s="1097" t="s">
        <v>2251</v>
      </c>
      <c r="AI102" s="1294">
        <f>X90</f>
        <v>12</v>
      </c>
      <c r="AJ102" s="1097" t="s">
        <v>230</v>
      </c>
    </row>
    <row r="103" spans="2:36" x14ac:dyDescent="0.2">
      <c r="D103" s="1103" t="s">
        <v>2403</v>
      </c>
      <c r="N103" s="1132" t="s">
        <v>2253</v>
      </c>
      <c r="O103" s="1133" t="s">
        <v>289</v>
      </c>
      <c r="P103" s="1134" t="s">
        <v>47</v>
      </c>
      <c r="V103" s="1097" t="s">
        <v>498</v>
      </c>
      <c r="W103" s="1097"/>
      <c r="X103" s="1120">
        <f>X96/(X102-X89)/4.186</f>
        <v>0.26829372001853274</v>
      </c>
      <c r="Y103" s="1097" t="s">
        <v>13</v>
      </c>
      <c r="Z103" s="1097"/>
      <c r="AA103" s="1097" t="s">
        <v>498</v>
      </c>
      <c r="AB103" s="1097"/>
      <c r="AC103" s="1298">
        <f>X96/(X90-AC101)/4.186</f>
        <v>0.36004567396740761</v>
      </c>
      <c r="AD103" s="1097" t="s">
        <v>13</v>
      </c>
      <c r="AG103" s="1097" t="s">
        <v>498</v>
      </c>
      <c r="AH103" s="1097"/>
      <c r="AI103" s="1299">
        <f>X96/(X90-X89)/4.186</f>
        <v>0.3074707528124746</v>
      </c>
      <c r="AJ103" s="1097" t="s">
        <v>13</v>
      </c>
    </row>
    <row r="104" spans="2:36" x14ac:dyDescent="0.2">
      <c r="N104" s="1137">
        <f>F106</f>
        <v>13</v>
      </c>
      <c r="O104" s="1138">
        <f>D83</f>
        <v>0.5</v>
      </c>
      <c r="P104" s="1300">
        <f>$L$83*N104^$J$83</f>
        <v>8.198568787238246</v>
      </c>
      <c r="V104" s="1097" t="s">
        <v>499</v>
      </c>
      <c r="W104" s="1097"/>
      <c r="X104" s="1120">
        <f>$AM$74*X103^$AK$74</f>
        <v>7.44023561236944</v>
      </c>
      <c r="Y104" s="1097" t="s">
        <v>500</v>
      </c>
      <c r="Z104" s="1097"/>
      <c r="AA104" s="1097" t="s">
        <v>499</v>
      </c>
      <c r="AB104" s="1097"/>
      <c r="AC104" s="1120">
        <f>$AM$74*AC103^$AK$74</f>
        <v>12.907598583840246</v>
      </c>
      <c r="AD104" s="1097" t="s">
        <v>500</v>
      </c>
      <c r="AG104" s="1097" t="s">
        <v>499</v>
      </c>
      <c r="AH104" s="1097"/>
      <c r="AI104" s="1120">
        <f>$AM$74*AI103^$AK$74</f>
        <v>9.6039612926436888</v>
      </c>
      <c r="AJ104" s="1097" t="s">
        <v>500</v>
      </c>
    </row>
    <row r="105" spans="2:36" x14ac:dyDescent="0.2">
      <c r="D105" s="1097" t="s">
        <v>289</v>
      </c>
      <c r="E105" s="1097" t="s">
        <v>2253</v>
      </c>
      <c r="F105" s="1097" t="s">
        <v>2386</v>
      </c>
      <c r="G105" s="1097" t="s">
        <v>47</v>
      </c>
      <c r="H105" s="1097"/>
      <c r="N105" s="1139">
        <f>N104</f>
        <v>13</v>
      </c>
      <c r="O105" s="1097">
        <f>D90</f>
        <v>0.4</v>
      </c>
      <c r="P105" s="1300">
        <f>$L$90*N105^$J$90</f>
        <v>7.3173159961893077</v>
      </c>
      <c r="W105" s="1096" t="s">
        <v>2253</v>
      </c>
      <c r="X105" s="1143">
        <f>AVERAGE(X85:X86)-AVERAGE(X102,X89)</f>
        <v>11.134942696466808</v>
      </c>
      <c r="Y105" s="1097"/>
      <c r="Z105" s="1097"/>
      <c r="AB105" s="1096" t="s">
        <v>2253</v>
      </c>
      <c r="AC105" s="1143">
        <f>AVERAGE(X85:X86)-AVERAGE(AC101,X90)</f>
        <v>11.134942696466808</v>
      </c>
    </row>
    <row r="106" spans="2:36" x14ac:dyDescent="0.2">
      <c r="D106" s="1097">
        <f>X84/1000</f>
        <v>0.45</v>
      </c>
      <c r="F106" s="1143">
        <v>13</v>
      </c>
      <c r="G106" s="1153">
        <f>P107*D106^N107</f>
        <v>7.7672413276025605</v>
      </c>
      <c r="H106" s="1097"/>
      <c r="J106" s="1103">
        <f t="array" ref="J106:K106">LINEST(LN(G106:G108),LN(F106:F108))</f>
        <v>1.2146801702675061</v>
      </c>
      <c r="K106" s="1096">
        <v>-1.0656780624040987</v>
      </c>
      <c r="L106" s="1103">
        <f>EXP(K106)</f>
        <v>0.34449418699887407</v>
      </c>
      <c r="N106" s="1140">
        <f>N105</f>
        <v>13</v>
      </c>
      <c r="O106" s="1141">
        <f>D97</f>
        <v>0.3</v>
      </c>
      <c r="P106" s="1301">
        <f>$L$97*N106^$J$97</f>
        <v>6.2757535548480359</v>
      </c>
      <c r="X106" s="1143">
        <f>X85-X102</f>
        <v>12.269885392933617</v>
      </c>
    </row>
    <row r="107" spans="2:36" x14ac:dyDescent="0.2">
      <c r="D107" s="1097">
        <f>D106</f>
        <v>0.45</v>
      </c>
      <c r="F107" s="1143">
        <v>10.5</v>
      </c>
      <c r="G107" s="1153">
        <f>P113*D107^N113</f>
        <v>5.9923930228666498</v>
      </c>
      <c r="H107" s="1097"/>
      <c r="N107" s="1103">
        <f t="array" ref="N107:O107">LINEST(LN(P104:P106),LN(O104:O106))</f>
        <v>0.52370159857099474</v>
      </c>
      <c r="O107" s="1096">
        <v>2.4680948168253005</v>
      </c>
      <c r="P107" s="1103">
        <f>EXP(O107)</f>
        <v>11.799944367304585</v>
      </c>
      <c r="X107" s="1097">
        <f>X86-X101</f>
        <v>10</v>
      </c>
    </row>
    <row r="108" spans="2:36" x14ac:dyDescent="0.2">
      <c r="D108" s="1097">
        <f>D107</f>
        <v>0.45</v>
      </c>
      <c r="F108" s="1143">
        <v>7</v>
      </c>
      <c r="G108" s="1153">
        <f>P119*D108^N119</f>
        <v>3.6618936663043775</v>
      </c>
      <c r="H108" s="1097"/>
      <c r="X108" s="1125">
        <f>(X106-X107)/LN(X106/X107)</f>
        <v>11.096275142336292</v>
      </c>
    </row>
    <row r="109" spans="2:36" x14ac:dyDescent="0.2">
      <c r="N109" s="1132" t="s">
        <v>2253</v>
      </c>
      <c r="O109" s="1133" t="s">
        <v>289</v>
      </c>
      <c r="P109" s="1134" t="s">
        <v>47</v>
      </c>
    </row>
    <row r="110" spans="2:36" x14ac:dyDescent="0.2">
      <c r="N110" s="1137">
        <f>F107</f>
        <v>10.5</v>
      </c>
      <c r="O110" s="1138">
        <f>O104</f>
        <v>0.5</v>
      </c>
      <c r="P110" s="1300">
        <f>$L$83*N110^$J$83</f>
        <v>6.3775722745262851</v>
      </c>
      <c r="V110" s="1096" t="s">
        <v>2271</v>
      </c>
      <c r="X110" s="1096">
        <v>7</v>
      </c>
      <c r="Y110" s="1096" t="s">
        <v>2272</v>
      </c>
      <c r="AA110" s="1096" t="s">
        <v>2271</v>
      </c>
      <c r="AC110" s="1096">
        <v>7</v>
      </c>
      <c r="AD110" s="1096" t="s">
        <v>2272</v>
      </c>
      <c r="AG110" s="1096" t="s">
        <v>2271</v>
      </c>
      <c r="AI110" s="1096">
        <v>7</v>
      </c>
      <c r="AJ110" s="1096" t="s">
        <v>2272</v>
      </c>
    </row>
    <row r="111" spans="2:36" x14ac:dyDescent="0.2">
      <c r="N111" s="1139">
        <f>N110</f>
        <v>10.5</v>
      </c>
      <c r="O111" s="1097">
        <f>O105</f>
        <v>0.4</v>
      </c>
      <c r="P111" s="1300">
        <f>$L$90*N111^$J$90</f>
        <v>5.5666187617468674</v>
      </c>
      <c r="V111" s="1096" t="s">
        <v>498</v>
      </c>
      <c r="X111" s="1096">
        <f>X103/X110</f>
        <v>3.832767428836182E-2</v>
      </c>
      <c r="Y111" s="1096" t="s">
        <v>502</v>
      </c>
      <c r="AA111" s="1096" t="s">
        <v>498</v>
      </c>
      <c r="AC111" s="1096">
        <f>AC103/AC110</f>
        <v>5.1435096281058232E-2</v>
      </c>
      <c r="AD111" s="1096" t="s">
        <v>502</v>
      </c>
      <c r="AG111" s="1096" t="s">
        <v>498</v>
      </c>
      <c r="AI111" s="1096">
        <f>AI103/AI110</f>
        <v>4.3924393258924943E-2</v>
      </c>
      <c r="AJ111" s="1096" t="s">
        <v>502</v>
      </c>
    </row>
    <row r="112" spans="2:36" x14ac:dyDescent="0.2">
      <c r="N112" s="1140">
        <f>N111</f>
        <v>10.5</v>
      </c>
      <c r="O112" s="1141">
        <f>O106</f>
        <v>0.3</v>
      </c>
      <c r="P112" s="1301">
        <f>$L$97*N112^$J$97</f>
        <v>4.8515659678806156</v>
      </c>
      <c r="V112" s="1096" t="s">
        <v>2278</v>
      </c>
      <c r="X112" s="1125">
        <f>9.52-2*0.36</f>
        <v>8.7999999999999989</v>
      </c>
      <c r="Y112" s="1096" t="s">
        <v>2279</v>
      </c>
      <c r="AA112" s="1096" t="s">
        <v>2278</v>
      </c>
      <c r="AC112" s="1125">
        <f>9.52-2*0.36</f>
        <v>8.7999999999999989</v>
      </c>
      <c r="AD112" s="1096" t="s">
        <v>2279</v>
      </c>
      <c r="AG112" s="1096" t="s">
        <v>2278</v>
      </c>
      <c r="AI112" s="1125">
        <f>9.52-2*0.36</f>
        <v>8.7999999999999989</v>
      </c>
      <c r="AJ112" s="1096" t="s">
        <v>2279</v>
      </c>
    </row>
    <row r="113" spans="14:36" x14ac:dyDescent="0.2">
      <c r="N113" s="1103">
        <f t="array" ref="N113:O113">LINEST(LN(P110:P112),LN(O110:O112))</f>
        <v>0.53266866367637444</v>
      </c>
      <c r="O113" s="1096">
        <v>2.2158308628096557</v>
      </c>
      <c r="P113" s="1103">
        <f>EXP(O113)</f>
        <v>9.169024148811209</v>
      </c>
      <c r="V113" s="1096" t="s">
        <v>501</v>
      </c>
      <c r="X113" s="1096">
        <f>X111/1000/(PI()*(X112/1000/2)^2)</f>
        <v>0.63016929960836032</v>
      </c>
      <c r="Y113" s="1096" t="s">
        <v>502</v>
      </c>
      <c r="AA113" s="1096" t="s">
        <v>501</v>
      </c>
      <c r="AC113" s="1096">
        <f>AC111/1000/(PI()*(AC112/1000/2)^2)</f>
        <v>0.84567663445640318</v>
      </c>
      <c r="AD113" s="1096" t="s">
        <v>502</v>
      </c>
      <c r="AG113" s="1096" t="s">
        <v>501</v>
      </c>
      <c r="AI113" s="1096">
        <f>AI111/1000/(PI()*(AI112/1000/2)^2)</f>
        <v>0.72218846172213158</v>
      </c>
      <c r="AJ113" s="1096" t="s">
        <v>502</v>
      </c>
    </row>
    <row r="114" spans="14:36" x14ac:dyDescent="0.2">
      <c r="V114" s="1096" t="s">
        <v>2283</v>
      </c>
      <c r="X114" s="1129">
        <f>1000*X113*X112/1000/0.0012</f>
        <v>4621.2415304613087</v>
      </c>
      <c r="AA114" s="1096" t="s">
        <v>2283</v>
      </c>
      <c r="AC114" s="1129">
        <f>1000*AC113*AC112/1000/0.0012</f>
        <v>6201.6286526802896</v>
      </c>
      <c r="AG114" s="1096" t="s">
        <v>2283</v>
      </c>
      <c r="AI114" s="1129">
        <f>1000*AI113*AI112/1000/0.0012</f>
        <v>5296.0487192956316</v>
      </c>
    </row>
    <row r="115" spans="14:36" x14ac:dyDescent="0.2">
      <c r="N115" s="1132" t="s">
        <v>2253</v>
      </c>
      <c r="O115" s="1133" t="s">
        <v>289</v>
      </c>
      <c r="P115" s="1134" t="s">
        <v>47</v>
      </c>
    </row>
    <row r="116" spans="14:36" x14ac:dyDescent="0.2">
      <c r="N116" s="1137">
        <f>F108</f>
        <v>7</v>
      </c>
      <c r="O116" s="1142">
        <f>O110</f>
        <v>0.5</v>
      </c>
      <c r="P116" s="1300">
        <f>$L$83*N116^$J$83</f>
        <v>3.9588102383936485</v>
      </c>
    </row>
    <row r="117" spans="14:36" x14ac:dyDescent="0.2">
      <c r="N117" s="1139">
        <f>N116</f>
        <v>7</v>
      </c>
      <c r="O117" s="1143">
        <f>O111</f>
        <v>0.4</v>
      </c>
      <c r="P117" s="1300">
        <f>$L$90*N117^$J$90</f>
        <v>3.3122869154402719</v>
      </c>
    </row>
    <row r="118" spans="14:36" x14ac:dyDescent="0.2">
      <c r="N118" s="1140">
        <f>N117</f>
        <v>7</v>
      </c>
      <c r="O118" s="1144">
        <f>O112</f>
        <v>0.3</v>
      </c>
      <c r="P118" s="1301">
        <f>$L$97*N118^$J$97</f>
        <v>2.976205510151559</v>
      </c>
    </row>
    <row r="119" spans="14:36" x14ac:dyDescent="0.2">
      <c r="N119" s="1103">
        <f t="array" ref="N119:O119">LINEST(LN(P116:P118),LN(O116:O118))</f>
        <v>0.54969241335993735</v>
      </c>
      <c r="O119" s="1096">
        <v>1.736914031396108</v>
      </c>
      <c r="P119" s="1103">
        <f>EXP(O119)</f>
        <v>5.6797887003364522</v>
      </c>
    </row>
  </sheetData>
  <mergeCells count="19">
    <mergeCell ref="O73:Q73"/>
    <mergeCell ref="A54:D54"/>
    <mergeCell ref="A55:C55"/>
    <mergeCell ref="A56:B56"/>
    <mergeCell ref="A57:C57"/>
    <mergeCell ref="A58:B58"/>
    <mergeCell ref="A59:C59"/>
    <mergeCell ref="A60:B60"/>
    <mergeCell ref="A61:C61"/>
    <mergeCell ref="A62:B62"/>
    <mergeCell ref="D73:K73"/>
    <mergeCell ref="L73:N73"/>
    <mergeCell ref="AC2:AP2"/>
    <mergeCell ref="D32:K32"/>
    <mergeCell ref="L32:Q32"/>
    <mergeCell ref="R32:V32"/>
    <mergeCell ref="A52:A53"/>
    <mergeCell ref="B52:B53"/>
    <mergeCell ref="C52:C53"/>
  </mergeCells>
  <conditionalFormatting sqref="D51:Q51">
    <cfRule type="cellIs" dxfId="23" priority="10" operator="between">
      <formula>2500</formula>
      <formula>4000</formula>
    </cfRule>
    <cfRule type="cellIs" dxfId="22" priority="11" operator="lessThan">
      <formula>2500</formula>
    </cfRule>
    <cfRule type="cellIs" dxfId="21" priority="12" operator="greaterThan">
      <formula>4000</formula>
    </cfRule>
  </conditionalFormatting>
  <conditionalFormatting sqref="X114">
    <cfRule type="cellIs" dxfId="20" priority="7" operator="between">
      <formula>2500</formula>
      <formula>4000</formula>
    </cfRule>
    <cfRule type="cellIs" dxfId="19" priority="8" operator="lessThan">
      <formula>2500</formula>
    </cfRule>
    <cfRule type="cellIs" dxfId="18" priority="9" operator="greaterThan">
      <formula>4000</formula>
    </cfRule>
  </conditionalFormatting>
  <conditionalFormatting sqref="AC114">
    <cfRule type="cellIs" dxfId="17" priority="4" operator="between">
      <formula>2500</formula>
      <formula>4000</formula>
    </cfRule>
    <cfRule type="cellIs" dxfId="16" priority="5" operator="lessThan">
      <formula>2500</formula>
    </cfRule>
    <cfRule type="cellIs" dxfId="15" priority="6" operator="greaterThan">
      <formula>4000</formula>
    </cfRule>
  </conditionalFormatting>
  <conditionalFormatting sqref="AI114">
    <cfRule type="cellIs" dxfId="14" priority="1" operator="between">
      <formula>2500</formula>
      <formula>4000</formula>
    </cfRule>
    <cfRule type="cellIs" dxfId="13" priority="2" operator="lessThan">
      <formula>2500</formula>
    </cfRule>
    <cfRule type="cellIs" dxfId="12" priority="3" operator="greaterThan">
      <formula>4000</formula>
    </cfRule>
  </conditionalFormatting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DA548-DA19-44BB-863F-81F7FCA7509F}">
  <dimension ref="A1:BH119"/>
  <sheetViews>
    <sheetView topLeftCell="A47" zoomScale="85" zoomScaleNormal="85" workbookViewId="0">
      <selection activeCell="BL19" sqref="BL19"/>
    </sheetView>
  </sheetViews>
  <sheetFormatPr baseColWidth="10" defaultColWidth="9.1640625" defaultRowHeight="15" x14ac:dyDescent="0.2"/>
  <cols>
    <col min="1" max="1" width="33" style="1096" customWidth="1"/>
    <col min="2" max="2" width="9.5" style="1096" customWidth="1"/>
    <col min="3" max="3" width="1.6640625" style="1096" customWidth="1"/>
    <col min="4" max="25" width="8.83203125" style="1096" customWidth="1"/>
    <col min="26" max="16384" width="9.1640625" style="1096"/>
  </cols>
  <sheetData>
    <row r="1" spans="1:42" ht="19" x14ac:dyDescent="0.2">
      <c r="A1" s="1095" t="s">
        <v>2404</v>
      </c>
    </row>
    <row r="2" spans="1:42" ht="11.25" customHeight="1" x14ac:dyDescent="0.2">
      <c r="A2" s="1098" t="s">
        <v>2230</v>
      </c>
      <c r="B2" s="1099"/>
      <c r="C2" s="1145"/>
      <c r="D2" s="1154">
        <v>1</v>
      </c>
      <c r="E2" s="1154">
        <v>2</v>
      </c>
      <c r="F2" s="1154">
        <v>3</v>
      </c>
      <c r="G2" s="1154">
        <v>4</v>
      </c>
      <c r="H2" s="1155">
        <v>5</v>
      </c>
      <c r="I2" s="1155">
        <v>6</v>
      </c>
      <c r="J2" s="1155">
        <v>7</v>
      </c>
      <c r="K2" s="1155">
        <v>8</v>
      </c>
      <c r="L2" s="1155">
        <v>9</v>
      </c>
      <c r="M2" s="1155">
        <v>10</v>
      </c>
      <c r="N2" s="1155">
        <v>11</v>
      </c>
      <c r="O2" s="1155">
        <v>12</v>
      </c>
      <c r="P2" s="1155">
        <v>13</v>
      </c>
      <c r="Q2" s="1155">
        <v>14</v>
      </c>
      <c r="R2" s="1155">
        <v>15</v>
      </c>
      <c r="S2" s="1155">
        <v>16</v>
      </c>
      <c r="T2" s="1155">
        <v>17</v>
      </c>
      <c r="U2" s="1155">
        <v>18</v>
      </c>
      <c r="V2" s="1155">
        <v>19</v>
      </c>
      <c r="AC2" s="1861" t="s">
        <v>2405</v>
      </c>
      <c r="AD2" s="1862"/>
      <c r="AE2" s="1862"/>
      <c r="AF2" s="1862"/>
      <c r="AG2" s="1862"/>
      <c r="AH2" s="1862"/>
      <c r="AI2" s="1862"/>
      <c r="AJ2" s="1862"/>
      <c r="AK2" s="1862"/>
      <c r="AL2" s="1862"/>
      <c r="AM2" s="1862"/>
      <c r="AN2" s="1862"/>
      <c r="AO2" s="1862"/>
      <c r="AP2" s="1863"/>
    </row>
    <row r="3" spans="1:42" ht="11.25" customHeight="1" x14ac:dyDescent="0.2">
      <c r="A3" s="1098" t="s">
        <v>2232</v>
      </c>
      <c r="B3" s="1099"/>
      <c r="C3" s="1145"/>
      <c r="D3" s="1105">
        <v>1</v>
      </c>
      <c r="E3" s="1105">
        <v>1</v>
      </c>
      <c r="F3" s="1105">
        <v>1</v>
      </c>
      <c r="G3" s="1105">
        <v>1</v>
      </c>
      <c r="H3" s="1147">
        <v>1</v>
      </c>
      <c r="I3" s="1147">
        <v>1</v>
      </c>
      <c r="J3" s="1147">
        <v>1</v>
      </c>
      <c r="K3" s="1147">
        <v>1</v>
      </c>
      <c r="L3" s="1147">
        <v>1</v>
      </c>
      <c r="M3" s="1147">
        <v>1</v>
      </c>
      <c r="N3" s="1147">
        <v>1</v>
      </c>
      <c r="O3" s="1147">
        <v>1</v>
      </c>
      <c r="P3" s="1147">
        <v>1</v>
      </c>
      <c r="Q3" s="1147">
        <v>1</v>
      </c>
      <c r="R3" s="1147">
        <v>1</v>
      </c>
      <c r="S3" s="1147">
        <v>1</v>
      </c>
      <c r="T3" s="1147">
        <v>1</v>
      </c>
      <c r="U3" s="1147">
        <v>1</v>
      </c>
      <c r="V3" s="1147">
        <v>1</v>
      </c>
      <c r="AB3" s="1188" t="s">
        <v>485</v>
      </c>
      <c r="AC3" s="1302">
        <f t="shared" ref="AC3:AP6" si="0">D22</f>
        <v>0.2</v>
      </c>
      <c r="AD3" s="1303">
        <f t="shared" si="0"/>
        <v>0.3</v>
      </c>
      <c r="AE3" s="1303">
        <f t="shared" si="0"/>
        <v>0.4</v>
      </c>
      <c r="AF3" s="1303">
        <f t="shared" si="0"/>
        <v>0.5</v>
      </c>
      <c r="AG3" s="1303">
        <f t="shared" si="0"/>
        <v>0.6</v>
      </c>
      <c r="AH3" s="1303">
        <f t="shared" si="0"/>
        <v>0.3</v>
      </c>
      <c r="AI3" s="1303">
        <f t="shared" si="0"/>
        <v>0.4</v>
      </c>
      <c r="AJ3" s="1303">
        <f t="shared" si="0"/>
        <v>0.5</v>
      </c>
      <c r="AK3" s="1303">
        <f t="shared" si="0"/>
        <v>0.3</v>
      </c>
      <c r="AL3" s="1303">
        <f t="shared" si="0"/>
        <v>0.4</v>
      </c>
      <c r="AM3" s="1303">
        <f t="shared" si="0"/>
        <v>0.5</v>
      </c>
      <c r="AN3" s="1303">
        <f t="shared" si="0"/>
        <v>0.3</v>
      </c>
      <c r="AO3" s="1303">
        <f t="shared" si="0"/>
        <v>0.4</v>
      </c>
      <c r="AP3" s="1304">
        <f t="shared" si="0"/>
        <v>0.5</v>
      </c>
    </row>
    <row r="4" spans="1:42" ht="11.25" customHeight="1" x14ac:dyDescent="0.2">
      <c r="A4" s="1098" t="s">
        <v>2233</v>
      </c>
      <c r="B4" s="1099"/>
      <c r="C4" s="1145"/>
      <c r="D4" s="1108"/>
      <c r="E4" s="1108"/>
      <c r="F4" s="1108"/>
      <c r="G4" s="1108"/>
      <c r="H4" s="1156"/>
      <c r="I4" s="1156"/>
      <c r="J4" s="1156"/>
      <c r="K4" s="1156"/>
      <c r="L4" s="1156"/>
      <c r="M4" s="1156"/>
      <c r="N4" s="1156"/>
      <c r="O4" s="1156"/>
      <c r="P4" s="1156"/>
      <c r="Q4" s="1156"/>
      <c r="R4" s="1156"/>
      <c r="S4" s="1156"/>
      <c r="T4" s="1156"/>
      <c r="U4" s="1156"/>
      <c r="V4" s="1156"/>
      <c r="AB4" s="1193" t="s">
        <v>2337</v>
      </c>
      <c r="AC4" s="1208">
        <f t="shared" si="0"/>
        <v>0.24</v>
      </c>
      <c r="AD4" s="1189">
        <f t="shared" si="0"/>
        <v>0.36</v>
      </c>
      <c r="AE4" s="1189">
        <f t="shared" si="0"/>
        <v>0.48</v>
      </c>
      <c r="AF4" s="1189">
        <f t="shared" si="0"/>
        <v>0.6</v>
      </c>
      <c r="AG4" s="1189">
        <f t="shared" si="0"/>
        <v>0.72</v>
      </c>
      <c r="AH4" s="1189">
        <f t="shared" si="0"/>
        <v>0.36</v>
      </c>
      <c r="AI4" s="1189">
        <f t="shared" si="0"/>
        <v>0.48</v>
      </c>
      <c r="AJ4" s="1189">
        <f t="shared" si="0"/>
        <v>0.6</v>
      </c>
      <c r="AK4" s="1189">
        <f t="shared" si="0"/>
        <v>0.36</v>
      </c>
      <c r="AL4" s="1189">
        <f t="shared" si="0"/>
        <v>0.48</v>
      </c>
      <c r="AM4" s="1189">
        <f t="shared" si="0"/>
        <v>0.6</v>
      </c>
      <c r="AN4" s="1189">
        <f t="shared" si="0"/>
        <v>0.36</v>
      </c>
      <c r="AO4" s="1189">
        <f t="shared" si="0"/>
        <v>0.48</v>
      </c>
      <c r="AP4" s="1207">
        <f t="shared" si="0"/>
        <v>0.6</v>
      </c>
    </row>
    <row r="5" spans="1:42" ht="11.25" customHeight="1" x14ac:dyDescent="0.2">
      <c r="A5" s="1098" t="s">
        <v>2236</v>
      </c>
      <c r="B5" s="1099"/>
      <c r="C5" s="1145"/>
      <c r="D5" s="1108"/>
      <c r="E5" s="1108"/>
      <c r="F5" s="1108"/>
      <c r="G5" s="1108"/>
      <c r="H5" s="1156"/>
      <c r="I5" s="1156"/>
      <c r="J5" s="1156"/>
      <c r="K5" s="1156"/>
      <c r="L5" s="1156"/>
      <c r="M5" s="1156"/>
      <c r="N5" s="1156"/>
      <c r="O5" s="1156"/>
      <c r="P5" s="1156"/>
      <c r="Q5" s="1156"/>
      <c r="R5" s="1156"/>
      <c r="S5" s="1156"/>
      <c r="T5" s="1156"/>
      <c r="U5" s="1156"/>
      <c r="V5" s="1156"/>
      <c r="AB5" s="1188" t="s">
        <v>2338</v>
      </c>
      <c r="AC5" s="1208">
        <f t="shared" si="0"/>
        <v>25</v>
      </c>
      <c r="AD5" s="1189">
        <f t="shared" si="0"/>
        <v>25</v>
      </c>
      <c r="AE5" s="1189">
        <f t="shared" si="0"/>
        <v>25</v>
      </c>
      <c r="AF5" s="1189">
        <f t="shared" si="0"/>
        <v>25</v>
      </c>
      <c r="AG5" s="1189">
        <f t="shared" si="0"/>
        <v>25</v>
      </c>
      <c r="AH5" s="1189">
        <f t="shared" si="0"/>
        <v>25</v>
      </c>
      <c r="AI5" s="1189">
        <f t="shared" si="0"/>
        <v>25</v>
      </c>
      <c r="AJ5" s="1189">
        <f t="shared" si="0"/>
        <v>25</v>
      </c>
      <c r="AK5" s="1189">
        <f t="shared" si="0"/>
        <v>30</v>
      </c>
      <c r="AL5" s="1189">
        <f t="shared" si="0"/>
        <v>30</v>
      </c>
      <c r="AM5" s="1189">
        <f t="shared" si="0"/>
        <v>30</v>
      </c>
      <c r="AN5" s="1189">
        <f t="shared" si="0"/>
        <v>25</v>
      </c>
      <c r="AO5" s="1189">
        <f t="shared" si="0"/>
        <v>25</v>
      </c>
      <c r="AP5" s="1207">
        <f t="shared" si="0"/>
        <v>25</v>
      </c>
    </row>
    <row r="6" spans="1:42" ht="11.25" customHeight="1" x14ac:dyDescent="0.2">
      <c r="A6" s="1098" t="s">
        <v>2240</v>
      </c>
      <c r="B6" s="1099"/>
      <c r="C6" s="1145"/>
      <c r="D6" s="1108"/>
      <c r="E6" s="1108"/>
      <c r="F6" s="1108"/>
      <c r="G6" s="1108"/>
      <c r="H6" s="1156"/>
      <c r="I6" s="1156"/>
      <c r="J6" s="1156"/>
      <c r="K6" s="1156"/>
      <c r="L6" s="1156"/>
      <c r="M6" s="1156"/>
      <c r="N6" s="1156"/>
      <c r="O6" s="1156"/>
      <c r="P6" s="1156"/>
      <c r="Q6" s="1156"/>
      <c r="R6" s="1156"/>
      <c r="S6" s="1156"/>
      <c r="T6" s="1156"/>
      <c r="U6" s="1156"/>
      <c r="V6" s="1156"/>
      <c r="AB6" s="1188" t="s">
        <v>2339</v>
      </c>
      <c r="AC6" s="1208">
        <f t="shared" si="0"/>
        <v>65</v>
      </c>
      <c r="AD6" s="1189">
        <f t="shared" si="0"/>
        <v>65</v>
      </c>
      <c r="AE6" s="1189">
        <f t="shared" si="0"/>
        <v>65</v>
      </c>
      <c r="AF6" s="1189">
        <f t="shared" si="0"/>
        <v>65</v>
      </c>
      <c r="AG6" s="1189">
        <f t="shared" si="0"/>
        <v>50</v>
      </c>
      <c r="AH6" s="1189">
        <f t="shared" si="0"/>
        <v>50</v>
      </c>
      <c r="AI6" s="1189">
        <f t="shared" si="0"/>
        <v>50</v>
      </c>
      <c r="AJ6" s="1189">
        <f t="shared" si="0"/>
        <v>50</v>
      </c>
      <c r="AK6" s="1189">
        <f t="shared" si="0"/>
        <v>45</v>
      </c>
      <c r="AL6" s="1189">
        <f t="shared" si="0"/>
        <v>45</v>
      </c>
      <c r="AM6" s="1189">
        <f t="shared" si="0"/>
        <v>45</v>
      </c>
      <c r="AN6" s="1189">
        <f t="shared" si="0"/>
        <v>65</v>
      </c>
      <c r="AO6" s="1189">
        <f t="shared" si="0"/>
        <v>65</v>
      </c>
      <c r="AP6" s="1207">
        <f t="shared" si="0"/>
        <v>65</v>
      </c>
    </row>
    <row r="7" spans="1:42" ht="11.25" customHeight="1" x14ac:dyDescent="0.2">
      <c r="A7" s="1098" t="s">
        <v>2242</v>
      </c>
      <c r="B7" s="1099"/>
      <c r="C7" s="1145"/>
      <c r="D7" s="1105" t="s">
        <v>2340</v>
      </c>
      <c r="E7" s="1105" t="s">
        <v>2340</v>
      </c>
      <c r="F7" s="1105" t="s">
        <v>2340</v>
      </c>
      <c r="G7" s="1105" t="s">
        <v>2340</v>
      </c>
      <c r="H7" s="1147" t="s">
        <v>2340</v>
      </c>
      <c r="I7" s="1147" t="s">
        <v>2340</v>
      </c>
      <c r="J7" s="1147" t="s">
        <v>2340</v>
      </c>
      <c r="K7" s="1147" t="s">
        <v>2340</v>
      </c>
      <c r="L7" s="1147" t="s">
        <v>2340</v>
      </c>
      <c r="M7" s="1147" t="s">
        <v>2340</v>
      </c>
      <c r="N7" s="1147" t="s">
        <v>2340</v>
      </c>
      <c r="O7" s="1147" t="s">
        <v>2340</v>
      </c>
      <c r="P7" s="1147" t="s">
        <v>2340</v>
      </c>
      <c r="Q7" s="1147" t="s">
        <v>2340</v>
      </c>
      <c r="R7" s="1147" t="s">
        <v>2341</v>
      </c>
      <c r="S7" s="1147" t="s">
        <v>2341</v>
      </c>
      <c r="T7" s="1147" t="s">
        <v>2341</v>
      </c>
      <c r="U7" s="1147" t="s">
        <v>2341</v>
      </c>
      <c r="V7" s="1147" t="s">
        <v>2341</v>
      </c>
      <c r="AB7" s="1188" t="s">
        <v>2343</v>
      </c>
      <c r="AC7" s="1305">
        <f t="shared" ref="AC7:AP7" si="1">0.622*(AC6/100*6.112*EXP((17.67*AC5)/(AC5+243.5)))/(1013.25-(AC6/100*6.112*EXP((17.67*AC5)/(AC5+243.5))))</f>
        <v>1.2900585465042545E-2</v>
      </c>
      <c r="AD7" s="1194">
        <f t="shared" si="1"/>
        <v>1.2900585465042545E-2</v>
      </c>
      <c r="AE7" s="1194">
        <f t="shared" si="1"/>
        <v>1.2900585465042545E-2</v>
      </c>
      <c r="AF7" s="1194">
        <f t="shared" si="1"/>
        <v>1.2900585465042545E-2</v>
      </c>
      <c r="AG7" s="1194">
        <f t="shared" si="1"/>
        <v>9.8762568766791597E-3</v>
      </c>
      <c r="AH7" s="1194">
        <f t="shared" si="1"/>
        <v>9.8762568766791597E-3</v>
      </c>
      <c r="AI7" s="1194">
        <f t="shared" si="1"/>
        <v>9.8762568766791597E-3</v>
      </c>
      <c r="AJ7" s="1194">
        <f t="shared" si="1"/>
        <v>9.8762568766791597E-3</v>
      </c>
      <c r="AK7" s="1194">
        <f t="shared" si="1"/>
        <v>1.1953353619756312E-2</v>
      </c>
      <c r="AL7" s="1194">
        <f t="shared" si="1"/>
        <v>1.1953353619756312E-2</v>
      </c>
      <c r="AM7" s="1194">
        <f t="shared" si="1"/>
        <v>1.1953353619756312E-2</v>
      </c>
      <c r="AN7" s="1194">
        <f t="shared" si="1"/>
        <v>1.2900585465042545E-2</v>
      </c>
      <c r="AO7" s="1194">
        <f t="shared" si="1"/>
        <v>1.2900585465042545E-2</v>
      </c>
      <c r="AP7" s="1306">
        <f t="shared" si="1"/>
        <v>1.2900585465042545E-2</v>
      </c>
    </row>
    <row r="8" spans="1:42" ht="11.25" customHeight="1" x14ac:dyDescent="0.2">
      <c r="A8" s="1098" t="s">
        <v>2244</v>
      </c>
      <c r="B8" s="1099"/>
      <c r="C8" s="1145"/>
      <c r="D8" s="1108"/>
      <c r="E8" s="1108"/>
      <c r="F8" s="1108"/>
      <c r="G8" s="1108"/>
      <c r="H8" s="1156"/>
      <c r="I8" s="1156"/>
      <c r="J8" s="1156"/>
      <c r="K8" s="1156"/>
      <c r="L8" s="1156"/>
      <c r="M8" s="1156"/>
      <c r="N8" s="1156"/>
      <c r="O8" s="1156"/>
      <c r="P8" s="1156"/>
      <c r="Q8" s="1156"/>
      <c r="R8" s="1156"/>
      <c r="S8" s="1156"/>
      <c r="T8" s="1156"/>
      <c r="U8" s="1156"/>
      <c r="V8" s="1156"/>
      <c r="AB8" s="1188" t="s">
        <v>2344</v>
      </c>
      <c r="AC8" s="1208">
        <f t="shared" ref="AC8:AP9" si="2">D27</f>
        <v>18</v>
      </c>
      <c r="AD8" s="1189">
        <f t="shared" si="2"/>
        <v>18.899999999999999</v>
      </c>
      <c r="AE8" s="1189">
        <f t="shared" si="2"/>
        <v>17.100000000000001</v>
      </c>
      <c r="AF8" s="1189">
        <f t="shared" si="2"/>
        <v>17.399999999999999</v>
      </c>
      <c r="AG8" s="1189">
        <f t="shared" si="2"/>
        <v>17.100000000000001</v>
      </c>
      <c r="AH8" s="1189">
        <f t="shared" si="2"/>
        <v>15.8</v>
      </c>
      <c r="AI8" s="1189">
        <f t="shared" si="2"/>
        <v>16.3</v>
      </c>
      <c r="AJ8" s="1189">
        <f t="shared" si="2"/>
        <v>16.7</v>
      </c>
      <c r="AK8" s="1189">
        <f t="shared" si="2"/>
        <v>16.100000000000001</v>
      </c>
      <c r="AL8" s="1189">
        <f t="shared" si="2"/>
        <v>16.7</v>
      </c>
      <c r="AM8" s="1189">
        <f t="shared" si="2"/>
        <v>17.3</v>
      </c>
      <c r="AN8" s="1189">
        <f t="shared" si="2"/>
        <v>15.5</v>
      </c>
      <c r="AO8" s="1189">
        <f t="shared" si="2"/>
        <v>16</v>
      </c>
      <c r="AP8" s="1207">
        <f t="shared" si="2"/>
        <v>16.5</v>
      </c>
    </row>
    <row r="9" spans="1:42" ht="11.25" customHeight="1" x14ac:dyDescent="0.2">
      <c r="A9" s="1098" t="s">
        <v>2246</v>
      </c>
      <c r="B9" s="1099"/>
      <c r="C9" s="1145"/>
      <c r="D9" s="1105" t="s">
        <v>2345</v>
      </c>
      <c r="E9" s="1105" t="s">
        <v>2345</v>
      </c>
      <c r="F9" s="1105" t="s">
        <v>2345</v>
      </c>
      <c r="G9" s="1105" t="s">
        <v>2345</v>
      </c>
      <c r="H9" s="1147" t="s">
        <v>2345</v>
      </c>
      <c r="I9" s="1147" t="s">
        <v>2345</v>
      </c>
      <c r="J9" s="1147" t="s">
        <v>2345</v>
      </c>
      <c r="K9" s="1147" t="s">
        <v>2345</v>
      </c>
      <c r="L9" s="1147" t="s">
        <v>2345</v>
      </c>
      <c r="M9" s="1147" t="s">
        <v>2345</v>
      </c>
      <c r="N9" s="1147" t="s">
        <v>2345</v>
      </c>
      <c r="O9" s="1147" t="s">
        <v>2345</v>
      </c>
      <c r="P9" s="1147" t="s">
        <v>2345</v>
      </c>
      <c r="Q9" s="1147" t="s">
        <v>2345</v>
      </c>
      <c r="R9" s="1147" t="s">
        <v>2345</v>
      </c>
      <c r="S9" s="1147" t="s">
        <v>2345</v>
      </c>
      <c r="T9" s="1147" t="s">
        <v>2345</v>
      </c>
      <c r="U9" s="1147" t="s">
        <v>2345</v>
      </c>
      <c r="V9" s="1147" t="s">
        <v>2345</v>
      </c>
      <c r="AB9" s="1188" t="s">
        <v>2346</v>
      </c>
      <c r="AC9" s="1208">
        <f t="shared" si="2"/>
        <v>97</v>
      </c>
      <c r="AD9" s="1189">
        <f t="shared" si="2"/>
        <v>94</v>
      </c>
      <c r="AE9" s="1189">
        <f t="shared" si="2"/>
        <v>99</v>
      </c>
      <c r="AF9" s="1189">
        <f t="shared" si="2"/>
        <v>99</v>
      </c>
      <c r="AG9" s="1189">
        <f t="shared" si="2"/>
        <v>81</v>
      </c>
      <c r="AH9" s="1189">
        <f t="shared" si="2"/>
        <v>88</v>
      </c>
      <c r="AI9" s="1189">
        <f t="shared" si="2"/>
        <v>85</v>
      </c>
      <c r="AJ9" s="1189">
        <f t="shared" si="2"/>
        <v>83</v>
      </c>
      <c r="AK9" s="1189">
        <f t="shared" si="2"/>
        <v>99</v>
      </c>
      <c r="AL9" s="1189">
        <f t="shared" si="2"/>
        <v>98</v>
      </c>
      <c r="AM9" s="1189">
        <f t="shared" si="2"/>
        <v>96</v>
      </c>
      <c r="AN9" s="1189">
        <f t="shared" si="2"/>
        <v>100</v>
      </c>
      <c r="AO9" s="1189">
        <f t="shared" si="2"/>
        <v>100</v>
      </c>
      <c r="AP9" s="1207">
        <f t="shared" si="2"/>
        <v>100</v>
      </c>
    </row>
    <row r="10" spans="1:42" ht="11.25" customHeight="1" x14ac:dyDescent="0.2">
      <c r="A10" s="1098" t="s">
        <v>2248</v>
      </c>
      <c r="B10" s="1099"/>
      <c r="C10" s="1145"/>
      <c r="D10" s="1105" t="s">
        <v>2249</v>
      </c>
      <c r="E10" s="1105" t="s">
        <v>2249</v>
      </c>
      <c r="F10" s="1105" t="s">
        <v>2249</v>
      </c>
      <c r="G10" s="1105" t="s">
        <v>2249</v>
      </c>
      <c r="H10" s="1147" t="s">
        <v>2249</v>
      </c>
      <c r="I10" s="1147" t="s">
        <v>2249</v>
      </c>
      <c r="J10" s="1147" t="s">
        <v>2249</v>
      </c>
      <c r="K10" s="1147" t="s">
        <v>2250</v>
      </c>
      <c r="L10" s="1147" t="s">
        <v>2249</v>
      </c>
      <c r="M10" s="1147" t="s">
        <v>2249</v>
      </c>
      <c r="N10" s="1147" t="s">
        <v>2249</v>
      </c>
      <c r="O10" s="1147" t="s">
        <v>2249</v>
      </c>
      <c r="P10" s="1147" t="s">
        <v>2249</v>
      </c>
      <c r="Q10" s="1147" t="s">
        <v>2250</v>
      </c>
      <c r="R10" s="1147" t="s">
        <v>2249</v>
      </c>
      <c r="S10" s="1147" t="s">
        <v>2249</v>
      </c>
      <c r="T10" s="1147" t="s">
        <v>2249</v>
      </c>
      <c r="U10" s="1147" t="s">
        <v>2249</v>
      </c>
      <c r="V10" s="1147" t="s">
        <v>2249</v>
      </c>
      <c r="AB10" s="1188" t="s">
        <v>2347</v>
      </c>
      <c r="AC10" s="1305">
        <f t="shared" ref="AC10:AP10" si="3">0.622*(AC9/100*6.112*EXP((17.67*AC8)/(AC8+243.5)))/(1013.25-(AC9/100*6.112*EXP((17.67*AC8)/(AC8+243.5))))</f>
        <v>1.2529054243914864E-2</v>
      </c>
      <c r="AD10" s="1194">
        <f t="shared" si="3"/>
        <v>1.2853019141369087E-2</v>
      </c>
      <c r="AE10" s="1194">
        <f t="shared" si="3"/>
        <v>1.2072318210643872E-2</v>
      </c>
      <c r="AF10" s="1194">
        <f t="shared" si="3"/>
        <v>1.2308277993899245E-2</v>
      </c>
      <c r="AG10" s="1194">
        <f t="shared" si="3"/>
        <v>9.8426177894219702E-3</v>
      </c>
      <c r="AH10" s="1194">
        <f t="shared" si="3"/>
        <v>9.8437390283894668E-3</v>
      </c>
      <c r="AI10" s="1194">
        <f t="shared" si="3"/>
        <v>9.8162714919157248E-3</v>
      </c>
      <c r="AJ10" s="1194">
        <f t="shared" si="3"/>
        <v>9.8327260215261402E-3</v>
      </c>
      <c r="AK10" s="1194">
        <f t="shared" si="3"/>
        <v>1.1314894217852324E-2</v>
      </c>
      <c r="AL10" s="1194">
        <f t="shared" si="3"/>
        <v>1.1642987680377035E-2</v>
      </c>
      <c r="AM10" s="1194">
        <f t="shared" si="3"/>
        <v>1.1851525571860906E-2</v>
      </c>
      <c r="AN10" s="1194">
        <f t="shared" si="3"/>
        <v>1.0993083746798102E-2</v>
      </c>
      <c r="AO10" s="1194">
        <f t="shared" si="3"/>
        <v>1.135717931203881E-2</v>
      </c>
      <c r="AP10" s="1306">
        <f t="shared" si="3"/>
        <v>1.1732085729179709E-2</v>
      </c>
    </row>
    <row r="11" spans="1:42" ht="11.25" customHeight="1" x14ac:dyDescent="0.2">
      <c r="A11" s="1098" t="s">
        <v>2252</v>
      </c>
      <c r="B11" s="1099"/>
      <c r="C11" s="1145"/>
      <c r="D11" s="1105" t="s">
        <v>2249</v>
      </c>
      <c r="E11" s="1105" t="s">
        <v>2249</v>
      </c>
      <c r="F11" s="1105" t="s">
        <v>2249</v>
      </c>
      <c r="G11" s="1105" t="s">
        <v>2249</v>
      </c>
      <c r="H11" s="1147" t="s">
        <v>2249</v>
      </c>
      <c r="I11" s="1147" t="s">
        <v>2249</v>
      </c>
      <c r="J11" s="1147" t="s">
        <v>2249</v>
      </c>
      <c r="K11" s="1147" t="s">
        <v>2249</v>
      </c>
      <c r="L11" s="1147" t="s">
        <v>2249</v>
      </c>
      <c r="M11" s="1147" t="s">
        <v>2249</v>
      </c>
      <c r="N11" s="1147" t="s">
        <v>2249</v>
      </c>
      <c r="O11" s="1147" t="s">
        <v>2249</v>
      </c>
      <c r="P11" s="1147" t="s">
        <v>2249</v>
      </c>
      <c r="Q11" s="1147" t="s">
        <v>2249</v>
      </c>
      <c r="R11" s="1147" t="s">
        <v>2249</v>
      </c>
      <c r="S11" s="1147" t="s">
        <v>2249</v>
      </c>
      <c r="T11" s="1147" t="s">
        <v>2249</v>
      </c>
      <c r="U11" s="1147" t="s">
        <v>2249</v>
      </c>
      <c r="V11" s="1147" t="s">
        <v>2249</v>
      </c>
      <c r="AB11" s="1188" t="s">
        <v>2348</v>
      </c>
      <c r="AC11" s="1216">
        <f t="shared" ref="AC11:AP11" si="4">AC4*(AC7-AC10)*2500</f>
        <v>0.22291873267660903</v>
      </c>
      <c r="AD11" s="1196">
        <f t="shared" si="4"/>
        <v>4.2809691306112604E-2</v>
      </c>
      <c r="AE11" s="1196">
        <f t="shared" si="4"/>
        <v>0.99392070527840737</v>
      </c>
      <c r="AF11" s="1196">
        <f t="shared" si="4"/>
        <v>0.88846120671494999</v>
      </c>
      <c r="AG11" s="1196">
        <f t="shared" si="4"/>
        <v>6.0550357062941207E-2</v>
      </c>
      <c r="AH11" s="1196">
        <f t="shared" si="4"/>
        <v>2.9266063460723666E-2</v>
      </c>
      <c r="AI11" s="1196">
        <f t="shared" si="4"/>
        <v>7.1982461716121882E-2</v>
      </c>
      <c r="AJ11" s="1196">
        <f t="shared" si="4"/>
        <v>6.5296282729529295E-2</v>
      </c>
      <c r="AK11" s="1196">
        <f t="shared" si="4"/>
        <v>0.57461346171358962</v>
      </c>
      <c r="AL11" s="1196">
        <f t="shared" si="4"/>
        <v>0.3724391272551329</v>
      </c>
      <c r="AM11" s="1196">
        <f t="shared" si="4"/>
        <v>0.15274207184310956</v>
      </c>
      <c r="AN11" s="1196">
        <f t="shared" si="4"/>
        <v>1.7167515464199994</v>
      </c>
      <c r="AO11" s="1196">
        <f t="shared" si="4"/>
        <v>1.8520873836044824</v>
      </c>
      <c r="AP11" s="1215">
        <f t="shared" si="4"/>
        <v>1.7527496037942538</v>
      </c>
    </row>
    <row r="12" spans="1:42" ht="11.25" customHeight="1" x14ac:dyDescent="0.2">
      <c r="A12" s="1098" t="s">
        <v>2254</v>
      </c>
      <c r="B12" s="1099"/>
      <c r="C12" s="1145"/>
      <c r="D12" s="1105" t="s">
        <v>2255</v>
      </c>
      <c r="E12" s="1105" t="s">
        <v>2255</v>
      </c>
      <c r="F12" s="1105" t="s">
        <v>2255</v>
      </c>
      <c r="G12" s="1105" t="s">
        <v>2255</v>
      </c>
      <c r="H12" s="1147" t="s">
        <v>2255</v>
      </c>
      <c r="I12" s="1147" t="s">
        <v>2255</v>
      </c>
      <c r="J12" s="1147" t="s">
        <v>2255</v>
      </c>
      <c r="K12" s="1147" t="s">
        <v>2255</v>
      </c>
      <c r="L12" s="1147" t="s">
        <v>2255</v>
      </c>
      <c r="M12" s="1147" t="s">
        <v>2255</v>
      </c>
      <c r="N12" s="1147" t="s">
        <v>2255</v>
      </c>
      <c r="O12" s="1147" t="s">
        <v>2255</v>
      </c>
      <c r="P12" s="1147" t="s">
        <v>2255</v>
      </c>
      <c r="Q12" s="1147" t="s">
        <v>2255</v>
      </c>
      <c r="R12" s="1147" t="s">
        <v>2406</v>
      </c>
      <c r="S12" s="1147" t="s">
        <v>2406</v>
      </c>
      <c r="T12" s="1147" t="s">
        <v>2406</v>
      </c>
      <c r="U12" s="1147" t="s">
        <v>2406</v>
      </c>
      <c r="V12" s="1147" t="s">
        <v>2406</v>
      </c>
      <c r="AA12" s="1218"/>
      <c r="AC12" s="1307">
        <f t="shared" ref="AC12:AP12" si="5">1-AC10/AC7</f>
        <v>2.8799562789955657E-2</v>
      </c>
      <c r="AD12" s="1308">
        <f t="shared" si="5"/>
        <v>3.6871445720313423E-3</v>
      </c>
      <c r="AE12" s="1308">
        <f t="shared" si="5"/>
        <v>6.4203850022394371E-2</v>
      </c>
      <c r="AF12" s="1308">
        <f t="shared" si="5"/>
        <v>4.5913224074078607E-2</v>
      </c>
      <c r="AG12" s="1308">
        <f t="shared" si="5"/>
        <v>3.4060563305741143E-3</v>
      </c>
      <c r="AH12" s="1308">
        <f t="shared" si="5"/>
        <v>3.2925275937767395E-3</v>
      </c>
      <c r="AI12" s="1308">
        <f t="shared" si="5"/>
        <v>6.0736962912617543E-3</v>
      </c>
      <c r="AJ12" s="1308">
        <f t="shared" si="5"/>
        <v>4.407626866794967E-3</v>
      </c>
      <c r="AK12" s="1308">
        <f t="shared" si="5"/>
        <v>5.3412575433956277E-2</v>
      </c>
      <c r="AL12" s="1308">
        <f t="shared" si="5"/>
        <v>2.5964758447897807E-2</v>
      </c>
      <c r="AM12" s="1308">
        <f t="shared" si="5"/>
        <v>8.5187848644506792E-3</v>
      </c>
      <c r="AN12" s="1308">
        <f t="shared" si="5"/>
        <v>0.14786163956770104</v>
      </c>
      <c r="AO12" s="1308">
        <f t="shared" si="5"/>
        <v>0.11963845805184514</v>
      </c>
      <c r="AP12" s="1309">
        <f t="shared" si="5"/>
        <v>9.0577264034193417E-2</v>
      </c>
    </row>
    <row r="13" spans="1:42" ht="11.25" customHeight="1" x14ac:dyDescent="0.2">
      <c r="A13" s="1098" t="s">
        <v>2256</v>
      </c>
      <c r="B13" s="1098" t="s">
        <v>2257</v>
      </c>
      <c r="C13" s="1145"/>
      <c r="D13" s="1108"/>
      <c r="E13" s="1108"/>
      <c r="F13" s="1108"/>
      <c r="G13" s="1108"/>
      <c r="H13" s="1156"/>
      <c r="I13" s="1156"/>
      <c r="J13" s="1156"/>
      <c r="K13" s="1156"/>
      <c r="L13" s="1156"/>
      <c r="M13" s="1156"/>
      <c r="N13" s="1156"/>
      <c r="O13" s="1156"/>
      <c r="P13" s="1156"/>
      <c r="Q13" s="1156"/>
      <c r="R13" s="1147">
        <v>35</v>
      </c>
      <c r="S13" s="1147">
        <v>35</v>
      </c>
      <c r="T13" s="1147">
        <v>35</v>
      </c>
      <c r="U13" s="1147">
        <v>35</v>
      </c>
      <c r="V13" s="1147">
        <v>35</v>
      </c>
      <c r="AA13" s="1218"/>
      <c r="AB13" s="1188" t="s">
        <v>2350</v>
      </c>
      <c r="AC13" s="1302">
        <f t="shared" ref="AC13:AP14" si="6">D33</f>
        <v>10</v>
      </c>
      <c r="AD13" s="1302">
        <f t="shared" si="6"/>
        <v>10</v>
      </c>
      <c r="AE13" s="1302">
        <f t="shared" si="6"/>
        <v>10</v>
      </c>
      <c r="AF13" s="1302">
        <f t="shared" si="6"/>
        <v>10</v>
      </c>
      <c r="AG13" s="1302">
        <f t="shared" si="6"/>
        <v>10</v>
      </c>
      <c r="AH13" s="1302">
        <f t="shared" si="6"/>
        <v>10</v>
      </c>
      <c r="AI13" s="1302">
        <f t="shared" si="6"/>
        <v>10</v>
      </c>
      <c r="AJ13" s="1302">
        <f t="shared" si="6"/>
        <v>10</v>
      </c>
      <c r="AK13" s="1302">
        <f t="shared" si="6"/>
        <v>10</v>
      </c>
      <c r="AL13" s="1302">
        <f t="shared" si="6"/>
        <v>10</v>
      </c>
      <c r="AM13" s="1302">
        <f t="shared" si="6"/>
        <v>10</v>
      </c>
      <c r="AN13" s="1302">
        <f t="shared" si="6"/>
        <v>10</v>
      </c>
      <c r="AO13" s="1302">
        <f t="shared" si="6"/>
        <v>10</v>
      </c>
      <c r="AP13" s="1310">
        <f t="shared" si="6"/>
        <v>10</v>
      </c>
    </row>
    <row r="14" spans="1:42" ht="11.25" customHeight="1" x14ac:dyDescent="0.2">
      <c r="A14" s="1099"/>
      <c r="B14" s="1099"/>
      <c r="C14" s="1099"/>
      <c r="D14" s="1113"/>
      <c r="E14" s="1113"/>
      <c r="F14" s="1113"/>
      <c r="G14" s="1113"/>
      <c r="H14" s="1157"/>
      <c r="I14" s="1157"/>
      <c r="J14" s="1157"/>
      <c r="K14" s="1157"/>
      <c r="L14" s="1157"/>
      <c r="M14" s="1157"/>
      <c r="N14" s="1157"/>
      <c r="O14" s="1157"/>
      <c r="P14" s="1157"/>
      <c r="Q14" s="1157"/>
      <c r="R14" s="1157"/>
      <c r="S14" s="1157"/>
      <c r="T14" s="1157"/>
      <c r="U14" s="1157"/>
      <c r="V14" s="1157"/>
      <c r="AB14" s="1188" t="s">
        <v>2351</v>
      </c>
      <c r="AC14" s="1302">
        <f t="shared" si="6"/>
        <v>18</v>
      </c>
      <c r="AD14" s="1302">
        <f t="shared" si="6"/>
        <v>18</v>
      </c>
      <c r="AE14" s="1302">
        <f t="shared" si="6"/>
        <v>18</v>
      </c>
      <c r="AF14" s="1302">
        <f t="shared" si="6"/>
        <v>18</v>
      </c>
      <c r="AG14" s="1302">
        <f t="shared" si="6"/>
        <v>18</v>
      </c>
      <c r="AH14" s="1302">
        <f t="shared" si="6"/>
        <v>18</v>
      </c>
      <c r="AI14" s="1302">
        <f t="shared" si="6"/>
        <v>18</v>
      </c>
      <c r="AJ14" s="1302">
        <f t="shared" si="6"/>
        <v>18</v>
      </c>
      <c r="AK14" s="1302">
        <f t="shared" si="6"/>
        <v>18</v>
      </c>
      <c r="AL14" s="1302">
        <f t="shared" si="6"/>
        <v>18</v>
      </c>
      <c r="AM14" s="1302">
        <f t="shared" si="6"/>
        <v>18</v>
      </c>
      <c r="AN14" s="1302">
        <f t="shared" si="6"/>
        <v>15</v>
      </c>
      <c r="AO14" s="1302">
        <f t="shared" si="6"/>
        <v>15</v>
      </c>
      <c r="AP14" s="1310">
        <f t="shared" si="6"/>
        <v>15</v>
      </c>
    </row>
    <row r="15" spans="1:42" ht="11.25" customHeight="1" x14ac:dyDescent="0.2">
      <c r="A15" s="1098" t="s">
        <v>2261</v>
      </c>
      <c r="B15" s="1098" t="s">
        <v>2262</v>
      </c>
      <c r="C15" s="1145"/>
      <c r="D15" s="1105">
        <v>650</v>
      </c>
      <c r="E15" s="1105">
        <v>650</v>
      </c>
      <c r="F15" s="1105">
        <v>650</v>
      </c>
      <c r="G15" s="1105">
        <v>650</v>
      </c>
      <c r="H15" s="1147">
        <v>650</v>
      </c>
      <c r="I15" s="1147">
        <v>650</v>
      </c>
      <c r="J15" s="1147">
        <v>650</v>
      </c>
      <c r="K15" s="1147">
        <v>650</v>
      </c>
      <c r="L15" s="1147">
        <v>650</v>
      </c>
      <c r="M15" s="1147">
        <v>650</v>
      </c>
      <c r="N15" s="1147">
        <v>650</v>
      </c>
      <c r="O15" s="1147">
        <v>650</v>
      </c>
      <c r="P15" s="1147">
        <v>650</v>
      </c>
      <c r="Q15" s="1147">
        <v>650</v>
      </c>
      <c r="R15" s="1147">
        <v>650</v>
      </c>
      <c r="S15" s="1147">
        <v>650</v>
      </c>
      <c r="T15" s="1147">
        <v>650</v>
      </c>
      <c r="U15" s="1147">
        <v>650</v>
      </c>
      <c r="V15" s="1147">
        <v>650</v>
      </c>
      <c r="AB15" s="1188" t="s">
        <v>334</v>
      </c>
      <c r="AC15" s="1302">
        <f>AVERAGE(AC13:AC14)</f>
        <v>14</v>
      </c>
      <c r="AD15" s="1302">
        <f t="shared" ref="AD15:AP15" si="7">AVERAGE(AD13:AD14)</f>
        <v>14</v>
      </c>
      <c r="AE15" s="1302">
        <f t="shared" si="7"/>
        <v>14</v>
      </c>
      <c r="AF15" s="1302">
        <f t="shared" si="7"/>
        <v>14</v>
      </c>
      <c r="AG15" s="1302">
        <f t="shared" si="7"/>
        <v>14</v>
      </c>
      <c r="AH15" s="1302">
        <f t="shared" si="7"/>
        <v>14</v>
      </c>
      <c r="AI15" s="1302">
        <f t="shared" si="7"/>
        <v>14</v>
      </c>
      <c r="AJ15" s="1302">
        <f t="shared" si="7"/>
        <v>14</v>
      </c>
      <c r="AK15" s="1302">
        <f t="shared" si="7"/>
        <v>14</v>
      </c>
      <c r="AL15" s="1302">
        <f t="shared" si="7"/>
        <v>14</v>
      </c>
      <c r="AM15" s="1302">
        <f t="shared" si="7"/>
        <v>14</v>
      </c>
      <c r="AN15" s="1302">
        <f t="shared" si="7"/>
        <v>12.5</v>
      </c>
      <c r="AO15" s="1302">
        <f t="shared" si="7"/>
        <v>12.5</v>
      </c>
      <c r="AP15" s="1310">
        <f t="shared" si="7"/>
        <v>12.5</v>
      </c>
    </row>
    <row r="16" spans="1:42" ht="11.25" customHeight="1" x14ac:dyDescent="0.2">
      <c r="A16" s="1098" t="s">
        <v>2263</v>
      </c>
      <c r="B16" s="1098" t="s">
        <v>2262</v>
      </c>
      <c r="C16" s="1145"/>
      <c r="D16" s="1105">
        <v>450</v>
      </c>
      <c r="E16" s="1105">
        <v>450</v>
      </c>
      <c r="F16" s="1105">
        <v>450</v>
      </c>
      <c r="G16" s="1105">
        <v>450</v>
      </c>
      <c r="H16" s="1147">
        <v>450</v>
      </c>
      <c r="I16" s="1147">
        <v>450</v>
      </c>
      <c r="J16" s="1147">
        <v>450</v>
      </c>
      <c r="K16" s="1147">
        <v>450</v>
      </c>
      <c r="L16" s="1147">
        <v>450</v>
      </c>
      <c r="M16" s="1147">
        <v>450</v>
      </c>
      <c r="N16" s="1147">
        <v>450</v>
      </c>
      <c r="O16" s="1147">
        <v>450</v>
      </c>
      <c r="P16" s="1147">
        <v>450</v>
      </c>
      <c r="Q16" s="1147">
        <v>450</v>
      </c>
      <c r="R16" s="1147">
        <v>450</v>
      </c>
      <c r="S16" s="1147">
        <v>450</v>
      </c>
      <c r="T16" s="1147">
        <v>450</v>
      </c>
      <c r="U16" s="1147">
        <v>450</v>
      </c>
      <c r="V16" s="1147">
        <v>450</v>
      </c>
      <c r="AB16" s="1188"/>
      <c r="AC16" s="1212"/>
      <c r="AF16" s="1211"/>
      <c r="AG16" s="1212"/>
      <c r="AJ16" s="1211"/>
      <c r="AK16" s="1212"/>
      <c r="AM16" s="1211"/>
      <c r="AN16" s="1212"/>
      <c r="AP16" s="1211"/>
    </row>
    <row r="17" spans="1:42" ht="11.25" customHeight="1" x14ac:dyDescent="0.2">
      <c r="A17" s="1098" t="s">
        <v>2266</v>
      </c>
      <c r="B17" s="1098" t="s">
        <v>2262</v>
      </c>
      <c r="C17" s="1145"/>
      <c r="D17" s="1105">
        <v>710</v>
      </c>
      <c r="E17" s="1105">
        <v>710</v>
      </c>
      <c r="F17" s="1105">
        <v>710</v>
      </c>
      <c r="G17" s="1105">
        <v>710</v>
      </c>
      <c r="H17" s="1147">
        <v>710</v>
      </c>
      <c r="I17" s="1147">
        <v>710</v>
      </c>
      <c r="J17" s="1147">
        <v>710</v>
      </c>
      <c r="K17" s="1147">
        <v>710</v>
      </c>
      <c r="L17" s="1147">
        <v>710</v>
      </c>
      <c r="M17" s="1147">
        <v>710</v>
      </c>
      <c r="N17" s="1147">
        <v>710</v>
      </c>
      <c r="O17" s="1147">
        <v>710</v>
      </c>
      <c r="P17" s="1147">
        <v>710</v>
      </c>
      <c r="Q17" s="1147">
        <v>710</v>
      </c>
      <c r="R17" s="1147">
        <v>710</v>
      </c>
      <c r="S17" s="1147">
        <v>710</v>
      </c>
      <c r="T17" s="1147">
        <v>710</v>
      </c>
      <c r="U17" s="1147">
        <v>710</v>
      </c>
      <c r="V17" s="1147">
        <v>710</v>
      </c>
      <c r="AB17" s="1188" t="s">
        <v>2352</v>
      </c>
      <c r="AC17" s="1216">
        <f t="shared" ref="AC17:AP19" si="8">D55</f>
        <v>1.8719999999999992</v>
      </c>
      <c r="AD17" s="1216">
        <f t="shared" si="8"/>
        <v>2.3039999999999994</v>
      </c>
      <c r="AE17" s="1216">
        <f t="shared" si="8"/>
        <v>4.8</v>
      </c>
      <c r="AF17" s="1311">
        <f t="shared" si="8"/>
        <v>5.5799999999999983</v>
      </c>
      <c r="AG17" s="1216">
        <f t="shared" si="8"/>
        <v>5.8319999999999954</v>
      </c>
      <c r="AH17" s="1216">
        <f t="shared" si="8"/>
        <v>3.3839999999999995</v>
      </c>
      <c r="AI17" s="1216">
        <f t="shared" si="8"/>
        <v>4.2719999999999994</v>
      </c>
      <c r="AJ17" s="1311">
        <f t="shared" si="8"/>
        <v>5.0999999999999996</v>
      </c>
      <c r="AK17" s="1216">
        <f t="shared" si="8"/>
        <v>5.6880000000000015</v>
      </c>
      <c r="AL17" s="1216">
        <f t="shared" si="8"/>
        <v>6.9120000000000026</v>
      </c>
      <c r="AM17" s="1311">
        <f t="shared" si="8"/>
        <v>7.9800000000000022</v>
      </c>
      <c r="AN17" s="1216">
        <f t="shared" si="8"/>
        <v>5.22</v>
      </c>
      <c r="AO17" s="1216">
        <f t="shared" si="8"/>
        <v>6.3360000000000012</v>
      </c>
      <c r="AP17" s="1311">
        <f t="shared" si="8"/>
        <v>7.0799999999999983</v>
      </c>
    </row>
    <row r="18" spans="1:42" ht="11.25" customHeight="1" x14ac:dyDescent="0.2">
      <c r="A18" s="1098" t="s">
        <v>2267</v>
      </c>
      <c r="B18" s="1098" t="s">
        <v>2262</v>
      </c>
      <c r="C18" s="1145"/>
      <c r="D18" s="1105">
        <v>450</v>
      </c>
      <c r="E18" s="1105">
        <v>450</v>
      </c>
      <c r="F18" s="1105">
        <v>450</v>
      </c>
      <c r="G18" s="1105">
        <v>450</v>
      </c>
      <c r="H18" s="1147">
        <v>450</v>
      </c>
      <c r="I18" s="1147">
        <v>450</v>
      </c>
      <c r="J18" s="1147">
        <v>450</v>
      </c>
      <c r="K18" s="1147">
        <v>450</v>
      </c>
      <c r="L18" s="1147">
        <v>450</v>
      </c>
      <c r="M18" s="1147">
        <v>450</v>
      </c>
      <c r="N18" s="1147">
        <v>450</v>
      </c>
      <c r="O18" s="1147">
        <v>450</v>
      </c>
      <c r="P18" s="1147">
        <v>450</v>
      </c>
      <c r="Q18" s="1147">
        <v>450</v>
      </c>
      <c r="R18" s="1147">
        <v>450</v>
      </c>
      <c r="S18" s="1147">
        <v>450</v>
      </c>
      <c r="T18" s="1147">
        <v>450</v>
      </c>
      <c r="U18" s="1147">
        <v>450</v>
      </c>
      <c r="V18" s="1147">
        <v>450</v>
      </c>
      <c r="AB18" s="1188" t="s">
        <v>2353</v>
      </c>
      <c r="AC18" s="1216">
        <f t="shared" si="8"/>
        <v>1.6883999999999997</v>
      </c>
      <c r="AD18" s="1216">
        <f t="shared" si="8"/>
        <v>2.2069800000000002</v>
      </c>
      <c r="AE18" s="1216">
        <f t="shared" si="8"/>
        <v>3.8109599999999988</v>
      </c>
      <c r="AF18" s="1311">
        <f t="shared" si="8"/>
        <v>4.5827999999999998</v>
      </c>
      <c r="AG18" s="1216">
        <f t="shared" si="8"/>
        <v>5.7164399999999986</v>
      </c>
      <c r="AH18" s="1216">
        <f t="shared" si="8"/>
        <v>3.3285599999999995</v>
      </c>
      <c r="AI18" s="1216">
        <f t="shared" si="8"/>
        <v>4.1968799999999993</v>
      </c>
      <c r="AJ18" s="1311">
        <f t="shared" si="8"/>
        <v>5.0048999999999992</v>
      </c>
      <c r="AK18" s="1216">
        <f t="shared" si="8"/>
        <v>5.0290199999999992</v>
      </c>
      <c r="AL18" s="1216">
        <f t="shared" si="8"/>
        <v>6.4159199999999998</v>
      </c>
      <c r="AM18" s="1311">
        <f t="shared" si="8"/>
        <v>7.6580999999999984</v>
      </c>
      <c r="AN18" s="1216">
        <f t="shared" si="8"/>
        <v>3.4370999999999996</v>
      </c>
      <c r="AO18" s="1216">
        <f t="shared" si="8"/>
        <v>4.3415999999999997</v>
      </c>
      <c r="AP18" s="1311">
        <f t="shared" si="8"/>
        <v>5.1254999999999988</v>
      </c>
    </row>
    <row r="19" spans="1:42" ht="11.25" customHeight="1" x14ac:dyDescent="0.2">
      <c r="A19" s="1098" t="s">
        <v>2268</v>
      </c>
      <c r="B19" s="1098" t="s">
        <v>2262</v>
      </c>
      <c r="C19" s="1145"/>
      <c r="D19" s="1105">
        <v>120</v>
      </c>
      <c r="E19" s="1105">
        <v>120</v>
      </c>
      <c r="F19" s="1105">
        <v>120</v>
      </c>
      <c r="G19" s="1105">
        <v>120</v>
      </c>
      <c r="H19" s="1147">
        <v>120</v>
      </c>
      <c r="I19" s="1147">
        <v>120</v>
      </c>
      <c r="J19" s="1147">
        <v>120</v>
      </c>
      <c r="K19" s="1147">
        <v>120</v>
      </c>
      <c r="L19" s="1147">
        <v>120</v>
      </c>
      <c r="M19" s="1147">
        <v>120</v>
      </c>
      <c r="N19" s="1147">
        <v>120</v>
      </c>
      <c r="O19" s="1147">
        <v>120</v>
      </c>
      <c r="P19" s="1147">
        <v>120</v>
      </c>
      <c r="Q19" s="1147">
        <v>120</v>
      </c>
      <c r="R19" s="1147">
        <v>120</v>
      </c>
      <c r="S19" s="1147">
        <v>120</v>
      </c>
      <c r="T19" s="1147">
        <v>120</v>
      </c>
      <c r="U19" s="1147">
        <v>120</v>
      </c>
      <c r="V19" s="1147">
        <v>120</v>
      </c>
      <c r="AB19" s="1188" t="s">
        <v>2354</v>
      </c>
      <c r="AC19" s="1216">
        <f t="shared" si="8"/>
        <v>0.18359999999999954</v>
      </c>
      <c r="AD19" s="1196">
        <f t="shared" si="8"/>
        <v>9.7019999999999218E-2</v>
      </c>
      <c r="AE19" s="1196">
        <f t="shared" si="8"/>
        <v>0.98904000000000103</v>
      </c>
      <c r="AF19" s="1215">
        <f t="shared" si="8"/>
        <v>0.99719999999999853</v>
      </c>
      <c r="AG19" s="1216">
        <f t="shared" si="8"/>
        <v>0.11555999999999678</v>
      </c>
      <c r="AH19" s="1196">
        <f t="shared" si="8"/>
        <v>5.5439999999999934E-2</v>
      </c>
      <c r="AI19" s="1196">
        <f t="shared" si="8"/>
        <v>7.5120000000000076E-2</v>
      </c>
      <c r="AJ19" s="1215">
        <f t="shared" si="8"/>
        <v>9.5100000000000406E-2</v>
      </c>
      <c r="AK19" s="1216">
        <f t="shared" si="8"/>
        <v>0.65898000000000234</v>
      </c>
      <c r="AL19" s="1196">
        <f t="shared" si="8"/>
        <v>0.49608000000000274</v>
      </c>
      <c r="AM19" s="1215">
        <f t="shared" si="8"/>
        <v>0.32190000000000385</v>
      </c>
      <c r="AN19" s="1216">
        <f t="shared" si="8"/>
        <v>1.7829000000000002</v>
      </c>
      <c r="AO19" s="1196">
        <f t="shared" si="8"/>
        <v>1.9944000000000015</v>
      </c>
      <c r="AP19" s="1215">
        <f t="shared" si="8"/>
        <v>1.9544999999999995</v>
      </c>
    </row>
    <row r="20" spans="1:42" ht="11.25" customHeight="1" x14ac:dyDescent="0.2">
      <c r="A20" s="1099"/>
      <c r="B20" s="1099"/>
      <c r="C20" s="1099"/>
      <c r="D20" s="1312"/>
      <c r="E20" s="1312"/>
      <c r="F20" s="1312"/>
      <c r="G20" s="1312"/>
      <c r="H20" s="1313"/>
      <c r="I20" s="1313"/>
      <c r="J20" s="1313"/>
      <c r="K20" s="1313"/>
      <c r="L20" s="1313"/>
      <c r="M20" s="1313"/>
      <c r="N20" s="1313"/>
      <c r="O20" s="1313"/>
      <c r="P20" s="1313"/>
      <c r="Q20" s="1313"/>
      <c r="R20" s="1313"/>
      <c r="S20" s="1313"/>
      <c r="T20" s="1313"/>
      <c r="U20" s="1313"/>
      <c r="V20" s="1313"/>
      <c r="AB20" s="1188" t="s">
        <v>2355</v>
      </c>
      <c r="AC20" s="1223">
        <f t="shared" ref="AC20:AP20" si="9">AC18/AC17</f>
        <v>0.90192307692307716</v>
      </c>
      <c r="AD20" s="1223">
        <f t="shared" si="9"/>
        <v>0.95789062500000033</v>
      </c>
      <c r="AE20" s="1223">
        <f t="shared" si="9"/>
        <v>0.79394999999999982</v>
      </c>
      <c r="AF20" s="1314">
        <f t="shared" si="9"/>
        <v>0.82129032258064538</v>
      </c>
      <c r="AG20" s="1223">
        <f t="shared" si="9"/>
        <v>0.98018518518518571</v>
      </c>
      <c r="AH20" s="1223">
        <f t="shared" si="9"/>
        <v>0.98361702127659578</v>
      </c>
      <c r="AI20" s="1223">
        <f t="shared" si="9"/>
        <v>0.98241573033707863</v>
      </c>
      <c r="AJ20" s="1314">
        <f t="shared" si="9"/>
        <v>0.98135294117647054</v>
      </c>
      <c r="AK20" s="1223">
        <f t="shared" si="9"/>
        <v>0.88414556962025281</v>
      </c>
      <c r="AL20" s="1223">
        <f t="shared" si="9"/>
        <v>0.92822916666666633</v>
      </c>
      <c r="AM20" s="1314">
        <f t="shared" si="9"/>
        <v>0.95966165413533788</v>
      </c>
      <c r="AN20" s="1223">
        <f t="shared" si="9"/>
        <v>0.65844827586206889</v>
      </c>
      <c r="AO20" s="1223">
        <f t="shared" si="9"/>
        <v>0.68522727272727257</v>
      </c>
      <c r="AP20" s="1314">
        <f t="shared" si="9"/>
        <v>0.72394067796610173</v>
      </c>
    </row>
    <row r="21" spans="1:42" ht="11.25" customHeight="1" x14ac:dyDescent="0.2">
      <c r="A21" s="1098" t="s">
        <v>2269</v>
      </c>
      <c r="B21" s="1098" t="s">
        <v>2270</v>
      </c>
      <c r="C21" s="1099"/>
      <c r="D21" s="1180">
        <v>1.9</v>
      </c>
      <c r="E21" s="1181">
        <v>2.2999999999999998</v>
      </c>
      <c r="F21" s="1181">
        <v>4.8</v>
      </c>
      <c r="G21" s="1181">
        <v>5.6</v>
      </c>
      <c r="H21" s="1182">
        <v>5.8</v>
      </c>
      <c r="I21" s="1183">
        <v>3.4</v>
      </c>
      <c r="J21" s="1184">
        <v>4.3</v>
      </c>
      <c r="K21" s="1182">
        <v>5.0999999999999996</v>
      </c>
      <c r="L21" s="1183">
        <v>5.7</v>
      </c>
      <c r="M21" s="1184">
        <v>6.9</v>
      </c>
      <c r="N21" s="1182">
        <v>8</v>
      </c>
      <c r="O21" s="1183">
        <v>5.2</v>
      </c>
      <c r="P21" s="1184">
        <v>6.3</v>
      </c>
      <c r="Q21" s="1182">
        <v>7.1</v>
      </c>
      <c r="R21" s="1183">
        <v>1.7</v>
      </c>
      <c r="S21" s="1184">
        <v>1.9</v>
      </c>
      <c r="T21" s="1184">
        <v>2.1</v>
      </c>
      <c r="U21" s="1184">
        <v>2.2000000000000002</v>
      </c>
      <c r="V21" s="1182">
        <v>2.2999999999999998</v>
      </c>
      <c r="AB21" s="1188"/>
      <c r="AC21" s="1212"/>
      <c r="AF21" s="1211"/>
      <c r="AG21" s="1212"/>
      <c r="AJ21" s="1211"/>
      <c r="AK21" s="1212"/>
      <c r="AM21" s="1211"/>
      <c r="AN21" s="1212"/>
      <c r="AP21" s="1211"/>
    </row>
    <row r="22" spans="1:42" ht="11.25" customHeight="1" x14ac:dyDescent="0.2">
      <c r="A22" s="1098" t="s">
        <v>2273</v>
      </c>
      <c r="B22" s="1098" t="s">
        <v>2274</v>
      </c>
      <c r="C22" s="1099"/>
      <c r="D22" s="1315">
        <v>0.2</v>
      </c>
      <c r="E22" s="1123">
        <v>0.3</v>
      </c>
      <c r="F22" s="1123">
        <v>0.4</v>
      </c>
      <c r="G22" s="1123">
        <v>0.5</v>
      </c>
      <c r="H22" s="1316">
        <v>0.6</v>
      </c>
      <c r="I22" s="1317">
        <v>0.3</v>
      </c>
      <c r="J22" s="1318">
        <v>0.4</v>
      </c>
      <c r="K22" s="1316">
        <v>0.5</v>
      </c>
      <c r="L22" s="1317">
        <v>0.3</v>
      </c>
      <c r="M22" s="1318">
        <v>0.4</v>
      </c>
      <c r="N22" s="1316">
        <v>0.5</v>
      </c>
      <c r="O22" s="1317">
        <v>0.3</v>
      </c>
      <c r="P22" s="1318">
        <v>0.4</v>
      </c>
      <c r="Q22" s="1316">
        <v>0.5</v>
      </c>
      <c r="R22" s="1317">
        <v>0.2</v>
      </c>
      <c r="S22" s="1318">
        <v>0.3</v>
      </c>
      <c r="T22" s="1318">
        <v>0.4</v>
      </c>
      <c r="U22" s="1318">
        <v>0.5</v>
      </c>
      <c r="V22" s="1316">
        <v>0.6</v>
      </c>
      <c r="AB22" s="1188" t="s">
        <v>2356</v>
      </c>
      <c r="AC22" s="1216">
        <f t="shared" ref="AC22:AP22" si="10">D72</f>
        <v>17.952310732769277</v>
      </c>
      <c r="AD22" s="1214">
        <f t="shared" si="10"/>
        <v>17.952310732769277</v>
      </c>
      <c r="AE22" s="1214">
        <f t="shared" si="10"/>
        <v>17.952310732769277</v>
      </c>
      <c r="AF22" s="1214">
        <f t="shared" si="10"/>
        <v>17.952310732769277</v>
      </c>
      <c r="AG22" s="1214">
        <f t="shared" si="10"/>
        <v>13.842291097036892</v>
      </c>
      <c r="AH22" s="1214">
        <f t="shared" si="10"/>
        <v>13.842291097036892</v>
      </c>
      <c r="AI22" s="1214">
        <f t="shared" si="10"/>
        <v>13.842291097036892</v>
      </c>
      <c r="AJ22" s="1214">
        <f t="shared" si="10"/>
        <v>13.842291097036892</v>
      </c>
      <c r="AK22" s="1214">
        <f t="shared" si="10"/>
        <v>16.750216472477977</v>
      </c>
      <c r="AL22" s="1214">
        <f t="shared" si="10"/>
        <v>16.750216472477977</v>
      </c>
      <c r="AM22" s="1214">
        <f t="shared" si="10"/>
        <v>16.750216472477977</v>
      </c>
      <c r="AN22" s="1214">
        <f t="shared" si="10"/>
        <v>17.952310732769277</v>
      </c>
      <c r="AO22" s="1214">
        <f t="shared" si="10"/>
        <v>17.952310732769277</v>
      </c>
      <c r="AP22" s="1319">
        <f t="shared" si="10"/>
        <v>17.952310732769277</v>
      </c>
    </row>
    <row r="23" spans="1:42" ht="11.25" customHeight="1" x14ac:dyDescent="0.2">
      <c r="A23" s="1098" t="s">
        <v>2276</v>
      </c>
      <c r="B23" s="1098" t="s">
        <v>2277</v>
      </c>
      <c r="C23" s="1099"/>
      <c r="D23" s="1185">
        <v>0.24</v>
      </c>
      <c r="E23" s="1105">
        <v>0.36</v>
      </c>
      <c r="F23" s="1105">
        <v>0.48</v>
      </c>
      <c r="G23" s="1105">
        <v>0.6</v>
      </c>
      <c r="H23" s="1186">
        <v>0.72</v>
      </c>
      <c r="I23" s="1187">
        <v>0.36</v>
      </c>
      <c r="J23" s="1147">
        <v>0.48</v>
      </c>
      <c r="K23" s="1186">
        <v>0.6</v>
      </c>
      <c r="L23" s="1187">
        <v>0.36</v>
      </c>
      <c r="M23" s="1147">
        <v>0.48</v>
      </c>
      <c r="N23" s="1186">
        <v>0.6</v>
      </c>
      <c r="O23" s="1187">
        <v>0.36</v>
      </c>
      <c r="P23" s="1147">
        <v>0.48</v>
      </c>
      <c r="Q23" s="1186">
        <v>0.6</v>
      </c>
      <c r="R23" s="1187">
        <v>0.24</v>
      </c>
      <c r="S23" s="1147">
        <v>0.36</v>
      </c>
      <c r="T23" s="1147">
        <v>0.48</v>
      </c>
      <c r="U23" s="1147">
        <v>0.6</v>
      </c>
      <c r="V23" s="1186">
        <v>0.72</v>
      </c>
      <c r="AB23" s="1188" t="s">
        <v>2357</v>
      </c>
      <c r="AC23" s="1223">
        <f t="shared" ref="AC23:AM23" si="11">(AC22-AC13)/(AC14-AC13)</f>
        <v>0.99403884159615963</v>
      </c>
      <c r="AD23" s="1228">
        <f t="shared" si="11"/>
        <v>0.99403884159615963</v>
      </c>
      <c r="AE23" s="1228">
        <f t="shared" si="11"/>
        <v>0.99403884159615963</v>
      </c>
      <c r="AF23" s="1228">
        <f t="shared" si="11"/>
        <v>0.99403884159615963</v>
      </c>
      <c r="AG23" s="1228">
        <f t="shared" si="11"/>
        <v>0.48028638712961147</v>
      </c>
      <c r="AH23" s="1228">
        <f t="shared" si="11"/>
        <v>0.48028638712961147</v>
      </c>
      <c r="AI23" s="1228">
        <f t="shared" si="11"/>
        <v>0.48028638712961147</v>
      </c>
      <c r="AJ23" s="1229">
        <f t="shared" si="11"/>
        <v>0.48028638712961147</v>
      </c>
      <c r="AK23" s="1223">
        <f t="shared" si="11"/>
        <v>0.84377705905974709</v>
      </c>
      <c r="AL23" s="1223">
        <f t="shared" si="11"/>
        <v>0.84377705905974709</v>
      </c>
      <c r="AM23" s="1224">
        <f t="shared" si="11"/>
        <v>0.84377705905974709</v>
      </c>
      <c r="AN23" s="1222">
        <f>(AN22-AN13)/(AN14-AN13)</f>
        <v>1.5904621465538553</v>
      </c>
      <c r="AO23" s="1223">
        <f t="shared" ref="AO23:AP23" si="12">(AO22-AO13)/(AO14-AO13)</f>
        <v>1.5904621465538553</v>
      </c>
      <c r="AP23" s="1314">
        <f t="shared" si="12"/>
        <v>1.5904621465538553</v>
      </c>
    </row>
    <row r="24" spans="1:42" ht="11.25" customHeight="1" x14ac:dyDescent="0.2">
      <c r="A24" s="1098" t="s">
        <v>2280</v>
      </c>
      <c r="B24" s="1098" t="s">
        <v>2281</v>
      </c>
      <c r="C24" s="1099"/>
      <c r="D24" s="1320">
        <v>25</v>
      </c>
      <c r="E24" s="1163">
        <v>25</v>
      </c>
      <c r="F24" s="1163">
        <v>25</v>
      </c>
      <c r="G24" s="1163">
        <v>25</v>
      </c>
      <c r="H24" s="1198">
        <v>25</v>
      </c>
      <c r="I24" s="1197">
        <v>25</v>
      </c>
      <c r="J24" s="1164">
        <v>25</v>
      </c>
      <c r="K24" s="1198">
        <v>25</v>
      </c>
      <c r="L24" s="1197">
        <v>30</v>
      </c>
      <c r="M24" s="1164">
        <v>30</v>
      </c>
      <c r="N24" s="1198">
        <v>30</v>
      </c>
      <c r="O24" s="1197">
        <v>25</v>
      </c>
      <c r="P24" s="1164">
        <v>25</v>
      </c>
      <c r="Q24" s="1198">
        <v>25</v>
      </c>
      <c r="R24" s="1197">
        <v>25</v>
      </c>
      <c r="S24" s="1164">
        <v>25</v>
      </c>
      <c r="T24" s="1164">
        <v>25</v>
      </c>
      <c r="U24" s="1164">
        <v>25</v>
      </c>
      <c r="V24" s="1198">
        <v>25</v>
      </c>
      <c r="AC24" s="1212"/>
      <c r="AJ24" s="1211"/>
      <c r="AK24" s="1212"/>
      <c r="AL24" s="1212"/>
      <c r="AM24" s="1213"/>
      <c r="AN24" s="1210"/>
      <c r="AO24" s="1212"/>
      <c r="AP24" s="1321"/>
    </row>
    <row r="25" spans="1:42" ht="11.25" customHeight="1" x14ac:dyDescent="0.2">
      <c r="A25" s="1098" t="s">
        <v>2358</v>
      </c>
      <c r="B25" s="1098" t="s">
        <v>2257</v>
      </c>
      <c r="C25" s="1099"/>
      <c r="D25" s="1320">
        <v>65</v>
      </c>
      <c r="E25" s="1163">
        <v>65</v>
      </c>
      <c r="F25" s="1163">
        <v>65</v>
      </c>
      <c r="G25" s="1163">
        <v>65</v>
      </c>
      <c r="H25" s="1198">
        <v>50</v>
      </c>
      <c r="I25" s="1197">
        <v>50</v>
      </c>
      <c r="J25" s="1164">
        <v>50</v>
      </c>
      <c r="K25" s="1198">
        <v>50</v>
      </c>
      <c r="L25" s="1197">
        <v>45</v>
      </c>
      <c r="M25" s="1164">
        <v>45</v>
      </c>
      <c r="N25" s="1198">
        <v>45</v>
      </c>
      <c r="O25" s="1197">
        <v>65</v>
      </c>
      <c r="P25" s="1164">
        <v>65</v>
      </c>
      <c r="Q25" s="1198">
        <v>65</v>
      </c>
      <c r="R25" s="1197">
        <v>65</v>
      </c>
      <c r="S25" s="1164">
        <v>65</v>
      </c>
      <c r="T25" s="1164">
        <v>65</v>
      </c>
      <c r="U25" s="1164">
        <v>65</v>
      </c>
      <c r="V25" s="1198">
        <v>65</v>
      </c>
      <c r="AC25" s="1233">
        <f t="shared" ref="AC25:AP25" si="13">D58</f>
        <v>0.90192307692307716</v>
      </c>
      <c r="AD25" s="1230">
        <f t="shared" si="13"/>
        <v>0.95789062500000033</v>
      </c>
      <c r="AE25" s="1230">
        <f t="shared" si="13"/>
        <v>0.79394999999999982</v>
      </c>
      <c r="AF25" s="1230">
        <f t="shared" si="13"/>
        <v>0.82129032258064538</v>
      </c>
      <c r="AG25" s="1230">
        <f t="shared" si="13"/>
        <v>0.98018518518518571</v>
      </c>
      <c r="AH25" s="1230">
        <f t="shared" si="13"/>
        <v>0.98361702127659578</v>
      </c>
      <c r="AI25" s="1230">
        <f t="shared" si="13"/>
        <v>0.98241573033707863</v>
      </c>
      <c r="AJ25" s="1230">
        <f t="shared" si="13"/>
        <v>0.98135294117647054</v>
      </c>
      <c r="AK25" s="1230">
        <f t="shared" si="13"/>
        <v>0.88414556962025281</v>
      </c>
      <c r="AL25" s="1230">
        <f t="shared" si="13"/>
        <v>0.92822916666666633</v>
      </c>
      <c r="AM25" s="1230">
        <f t="shared" si="13"/>
        <v>0.95966165413533788</v>
      </c>
      <c r="AN25" s="1230">
        <f t="shared" si="13"/>
        <v>0.65844827586206889</v>
      </c>
      <c r="AO25" s="1230">
        <f t="shared" si="13"/>
        <v>0.68522727272727257</v>
      </c>
      <c r="AP25" s="1322">
        <f t="shared" si="13"/>
        <v>0.72394067796610173</v>
      </c>
    </row>
    <row r="26" spans="1:42" ht="11.25" customHeight="1" x14ac:dyDescent="0.2">
      <c r="A26" s="1098" t="s">
        <v>2359</v>
      </c>
      <c r="B26" s="1098" t="s">
        <v>2360</v>
      </c>
      <c r="C26" s="1099"/>
      <c r="D26" s="1185">
        <v>58</v>
      </c>
      <c r="E26" s="1105">
        <v>58</v>
      </c>
      <c r="F26" s="1105">
        <v>58</v>
      </c>
      <c r="G26" s="1105">
        <v>58</v>
      </c>
      <c r="H26" s="1186">
        <v>50.3</v>
      </c>
      <c r="I26" s="1187">
        <v>50.3</v>
      </c>
      <c r="J26" s="1147">
        <v>50.3</v>
      </c>
      <c r="K26" s="1186">
        <v>50.3</v>
      </c>
      <c r="L26" s="1187">
        <v>60.7</v>
      </c>
      <c r="M26" s="1147">
        <v>60.7</v>
      </c>
      <c r="N26" s="1186">
        <v>60.7</v>
      </c>
      <c r="O26" s="1187">
        <v>58</v>
      </c>
      <c r="P26" s="1147">
        <v>58</v>
      </c>
      <c r="Q26" s="1186">
        <v>58</v>
      </c>
      <c r="R26" s="1187">
        <v>58</v>
      </c>
      <c r="S26" s="1147">
        <v>58</v>
      </c>
      <c r="T26" s="1147">
        <v>58</v>
      </c>
      <c r="U26" s="1147">
        <v>58</v>
      </c>
      <c r="V26" s="1186">
        <v>58</v>
      </c>
      <c r="AC26" s="1208">
        <f t="shared" ref="AC26:AP26" si="14">D60</f>
        <v>0.06</v>
      </c>
      <c r="AD26" s="1206">
        <f t="shared" si="14"/>
        <v>7.0000000000000007E-2</v>
      </c>
      <c r="AE26" s="1206">
        <f t="shared" si="14"/>
        <v>0.14000000000000001</v>
      </c>
      <c r="AF26" s="1206">
        <f t="shared" si="14"/>
        <v>0.17</v>
      </c>
      <c r="AG26" s="1206">
        <f t="shared" si="14"/>
        <v>0.17</v>
      </c>
      <c r="AH26" s="1206">
        <f t="shared" si="14"/>
        <v>0.1</v>
      </c>
      <c r="AI26" s="1206">
        <f t="shared" si="14"/>
        <v>0.13</v>
      </c>
      <c r="AJ26" s="1206">
        <f t="shared" si="14"/>
        <v>0.15</v>
      </c>
      <c r="AK26" s="1206">
        <f t="shared" si="14"/>
        <v>0.17</v>
      </c>
      <c r="AL26" s="1206">
        <f t="shared" si="14"/>
        <v>0.21</v>
      </c>
      <c r="AM26" s="1206">
        <f t="shared" si="14"/>
        <v>0.24</v>
      </c>
      <c r="AN26" s="1206">
        <f t="shared" si="14"/>
        <v>0.25</v>
      </c>
      <c r="AO26" s="1206">
        <f t="shared" si="14"/>
        <v>0.3</v>
      </c>
      <c r="AP26" s="1323">
        <f t="shared" si="14"/>
        <v>0.34</v>
      </c>
    </row>
    <row r="27" spans="1:42" ht="11.25" customHeight="1" x14ac:dyDescent="0.2">
      <c r="A27" s="1098" t="s">
        <v>2282</v>
      </c>
      <c r="B27" s="1098" t="s">
        <v>2281</v>
      </c>
      <c r="C27" s="1099"/>
      <c r="D27" s="1320">
        <v>18</v>
      </c>
      <c r="E27" s="1163">
        <v>18.899999999999999</v>
      </c>
      <c r="F27" s="1163">
        <v>17.100000000000001</v>
      </c>
      <c r="G27" s="1163">
        <v>17.399999999999999</v>
      </c>
      <c r="H27" s="1198">
        <v>17.100000000000001</v>
      </c>
      <c r="I27" s="1197">
        <v>15.8</v>
      </c>
      <c r="J27" s="1164">
        <v>16.3</v>
      </c>
      <c r="K27" s="1198">
        <v>16.7</v>
      </c>
      <c r="L27" s="1197">
        <v>16.100000000000001</v>
      </c>
      <c r="M27" s="1164">
        <v>16.7</v>
      </c>
      <c r="N27" s="1198">
        <v>17.3</v>
      </c>
      <c r="O27" s="1197">
        <v>15.5</v>
      </c>
      <c r="P27" s="1164">
        <v>16</v>
      </c>
      <c r="Q27" s="1198">
        <v>16.5</v>
      </c>
      <c r="R27" s="1197">
        <v>18.600000000000001</v>
      </c>
      <c r="S27" s="1164">
        <v>19.899999999999999</v>
      </c>
      <c r="T27" s="1164">
        <v>20.7</v>
      </c>
      <c r="U27" s="1164">
        <v>21.4</v>
      </c>
      <c r="V27" s="1198">
        <v>21.8</v>
      </c>
      <c r="AC27" s="1212"/>
      <c r="AP27" s="1211"/>
    </row>
    <row r="28" spans="1:42" ht="11.25" customHeight="1" x14ac:dyDescent="0.2">
      <c r="A28" s="1098" t="s">
        <v>2361</v>
      </c>
      <c r="B28" s="1098" t="s">
        <v>2257</v>
      </c>
      <c r="C28" s="1099"/>
      <c r="D28" s="1185">
        <v>97</v>
      </c>
      <c r="E28" s="1105">
        <v>94</v>
      </c>
      <c r="F28" s="1105">
        <v>99</v>
      </c>
      <c r="G28" s="1105">
        <v>99</v>
      </c>
      <c r="H28" s="1186">
        <v>81</v>
      </c>
      <c r="I28" s="1187">
        <v>88</v>
      </c>
      <c r="J28" s="1147">
        <v>85</v>
      </c>
      <c r="K28" s="1186">
        <v>83</v>
      </c>
      <c r="L28" s="1187">
        <v>99</v>
      </c>
      <c r="M28" s="1147">
        <v>98</v>
      </c>
      <c r="N28" s="1186">
        <v>96</v>
      </c>
      <c r="O28" s="1187">
        <v>100</v>
      </c>
      <c r="P28" s="1147">
        <v>100</v>
      </c>
      <c r="Q28" s="1186">
        <v>100</v>
      </c>
      <c r="R28" s="1187">
        <v>95</v>
      </c>
      <c r="S28" s="1147">
        <v>89</v>
      </c>
      <c r="T28" s="1147">
        <v>85</v>
      </c>
      <c r="U28" s="1147">
        <v>81</v>
      </c>
      <c r="V28" s="1186">
        <v>78</v>
      </c>
      <c r="AC28" s="1212"/>
      <c r="AJ28" s="1211"/>
      <c r="AK28" s="1212"/>
      <c r="AL28" s="1212"/>
      <c r="AM28" s="1213"/>
      <c r="AN28" s="1210"/>
      <c r="AO28" s="1212"/>
      <c r="AP28" s="1321"/>
    </row>
    <row r="29" spans="1:42" ht="11.25" customHeight="1" x14ac:dyDescent="0.2">
      <c r="A29" s="1098" t="s">
        <v>2362</v>
      </c>
      <c r="B29" s="1098" t="s">
        <v>2360</v>
      </c>
      <c r="C29" s="1099"/>
      <c r="D29" s="1185">
        <v>50.2</v>
      </c>
      <c r="E29" s="1105">
        <v>51.6</v>
      </c>
      <c r="F29" s="1105">
        <v>48</v>
      </c>
      <c r="G29" s="1105">
        <v>48.7</v>
      </c>
      <c r="H29" s="1186">
        <v>42.2</v>
      </c>
      <c r="I29" s="1187">
        <v>40.9</v>
      </c>
      <c r="J29" s="1147">
        <v>41.4</v>
      </c>
      <c r="K29" s="1186">
        <v>41.8</v>
      </c>
      <c r="L29" s="1187">
        <v>44.9</v>
      </c>
      <c r="M29" s="1147">
        <v>46.3</v>
      </c>
      <c r="N29" s="1186">
        <v>47.4</v>
      </c>
      <c r="O29" s="1187">
        <v>43.5</v>
      </c>
      <c r="P29" s="1147">
        <v>44.8</v>
      </c>
      <c r="Q29" s="1186">
        <v>46.2</v>
      </c>
      <c r="R29" s="1187">
        <v>51.1</v>
      </c>
      <c r="S29" s="1147">
        <v>52.7</v>
      </c>
      <c r="T29" s="1147">
        <v>53.5</v>
      </c>
      <c r="U29" s="1147">
        <v>54.3</v>
      </c>
      <c r="V29" s="1186">
        <v>54.8</v>
      </c>
      <c r="AC29" s="1324">
        <f>AC20*(AC23)</f>
        <v>0.89654657059345955</v>
      </c>
      <c r="AD29" s="1324">
        <f t="shared" ref="AD29:AP29" si="15">AD20*(AD23)</f>
        <v>0.95218048725082172</v>
      </c>
      <c r="AE29" s="1324">
        <f t="shared" si="15"/>
        <v>0.78921713828527074</v>
      </c>
      <c r="AF29" s="1324">
        <f t="shared" si="15"/>
        <v>0.81639448087220101</v>
      </c>
      <c r="AG29" s="1324">
        <f t="shared" si="15"/>
        <v>0.470769601310562</v>
      </c>
      <c r="AH29" s="1324">
        <f t="shared" si="15"/>
        <v>0.47241786546812636</v>
      </c>
      <c r="AI29" s="1324">
        <f t="shared" si="15"/>
        <v>0.47184090178289412</v>
      </c>
      <c r="AJ29" s="1324">
        <f t="shared" si="15"/>
        <v>0.47133045861666517</v>
      </c>
      <c r="AK29" s="1324">
        <f t="shared" si="15"/>
        <v>0.74602174851488179</v>
      </c>
      <c r="AL29" s="1324">
        <f t="shared" si="15"/>
        <v>0.78321847638347952</v>
      </c>
      <c r="AM29" s="1325">
        <f t="shared" si="15"/>
        <v>0.80974048821872757</v>
      </c>
      <c r="AN29" s="1326">
        <f t="shared" si="15"/>
        <v>1.0472370582222712</v>
      </c>
      <c r="AO29" s="1324">
        <f t="shared" si="15"/>
        <v>1.089828039059062</v>
      </c>
      <c r="AP29" s="1327">
        <f t="shared" si="15"/>
        <v>1.1514002446556195</v>
      </c>
    </row>
    <row r="30" spans="1:42" ht="11.25" customHeight="1" x14ac:dyDescent="0.2">
      <c r="A30" s="1098" t="s">
        <v>2284</v>
      </c>
      <c r="B30" s="1098" t="s">
        <v>2285</v>
      </c>
      <c r="C30" s="1099"/>
      <c r="D30" s="1185">
        <v>0.68</v>
      </c>
      <c r="E30" s="1105">
        <v>1.03</v>
      </c>
      <c r="F30" s="1105">
        <v>1.37</v>
      </c>
      <c r="G30" s="1105">
        <v>1.71</v>
      </c>
      <c r="H30" s="1186">
        <v>2.0499999999999998</v>
      </c>
      <c r="I30" s="1187">
        <v>1.03</v>
      </c>
      <c r="J30" s="1147">
        <v>1.37</v>
      </c>
      <c r="K30" s="1186">
        <v>1.71</v>
      </c>
      <c r="L30" s="1187">
        <v>1.03</v>
      </c>
      <c r="M30" s="1147">
        <v>1.37</v>
      </c>
      <c r="N30" s="1186">
        <v>1.71</v>
      </c>
      <c r="O30" s="1187">
        <v>1.03</v>
      </c>
      <c r="P30" s="1147">
        <v>1.37</v>
      </c>
      <c r="Q30" s="1186">
        <v>1.71</v>
      </c>
      <c r="R30" s="1187">
        <v>0.68</v>
      </c>
      <c r="S30" s="1147">
        <v>1.03</v>
      </c>
      <c r="T30" s="1147">
        <v>1.37</v>
      </c>
      <c r="U30" s="1147">
        <v>1.71</v>
      </c>
      <c r="V30" s="1186">
        <v>2.0499999999999998</v>
      </c>
    </row>
    <row r="31" spans="1:42" ht="11.25" customHeight="1" x14ac:dyDescent="0.2">
      <c r="A31" s="1098" t="s">
        <v>2286</v>
      </c>
      <c r="B31" s="1098" t="s">
        <v>2287</v>
      </c>
      <c r="C31" s="1099"/>
      <c r="D31" s="1249">
        <v>6.7</v>
      </c>
      <c r="E31" s="1250">
        <v>13.4</v>
      </c>
      <c r="F31" s="1250">
        <v>21.9</v>
      </c>
      <c r="G31" s="1250">
        <v>32.1</v>
      </c>
      <c r="H31" s="1251">
        <v>43.8</v>
      </c>
      <c r="I31" s="1252">
        <v>13.4</v>
      </c>
      <c r="J31" s="1253">
        <v>21.9</v>
      </c>
      <c r="K31" s="1251">
        <v>32.1</v>
      </c>
      <c r="L31" s="1252">
        <v>13.4</v>
      </c>
      <c r="M31" s="1253">
        <v>21.9</v>
      </c>
      <c r="N31" s="1251">
        <v>32.1</v>
      </c>
      <c r="O31" s="1252">
        <v>13.4</v>
      </c>
      <c r="P31" s="1253">
        <v>21.9</v>
      </c>
      <c r="Q31" s="1251">
        <v>32.1</v>
      </c>
      <c r="R31" s="1252">
        <v>6.7</v>
      </c>
      <c r="S31" s="1253">
        <v>13.4</v>
      </c>
      <c r="T31" s="1253">
        <v>21.9</v>
      </c>
      <c r="U31" s="1253">
        <v>32.1</v>
      </c>
      <c r="V31" s="1251">
        <v>43.8</v>
      </c>
    </row>
    <row r="32" spans="1:42" ht="15.75" customHeight="1" x14ac:dyDescent="0.2">
      <c r="A32" s="1099"/>
      <c r="B32" s="1099"/>
      <c r="C32" s="1099"/>
      <c r="D32" s="1864" t="s">
        <v>2407</v>
      </c>
      <c r="E32" s="1880"/>
      <c r="F32" s="1880"/>
      <c r="G32" s="1880"/>
      <c r="H32" s="1880"/>
      <c r="I32" s="1880"/>
      <c r="J32" s="1880"/>
      <c r="K32" s="1880"/>
      <c r="L32" s="1880"/>
      <c r="M32" s="1880"/>
      <c r="N32" s="1881"/>
      <c r="O32" s="1867" t="s">
        <v>2366</v>
      </c>
      <c r="P32" s="1882"/>
      <c r="Q32" s="1883"/>
      <c r="R32" s="1870" t="s">
        <v>2408</v>
      </c>
      <c r="S32" s="1868"/>
      <c r="T32" s="1868"/>
      <c r="U32" s="1868"/>
      <c r="V32" s="1869"/>
    </row>
    <row r="33" spans="1:39" ht="11.25" customHeight="1" x14ac:dyDescent="0.2">
      <c r="A33" s="1098" t="s">
        <v>2289</v>
      </c>
      <c r="B33" s="1098" t="s">
        <v>2281</v>
      </c>
      <c r="C33" s="1145"/>
      <c r="D33" s="1328">
        <v>10</v>
      </c>
      <c r="E33" s="1328">
        <v>10</v>
      </c>
      <c r="F33" s="1328">
        <v>10</v>
      </c>
      <c r="G33" s="1328">
        <v>10</v>
      </c>
      <c r="H33" s="1329">
        <v>10</v>
      </c>
      <c r="I33" s="1329">
        <v>10</v>
      </c>
      <c r="J33" s="1329">
        <v>10</v>
      </c>
      <c r="K33" s="1329">
        <v>10</v>
      </c>
      <c r="L33" s="1329">
        <v>10</v>
      </c>
      <c r="M33" s="1329">
        <v>10</v>
      </c>
      <c r="N33" s="1329">
        <v>10</v>
      </c>
      <c r="O33" s="1147">
        <v>10</v>
      </c>
      <c r="P33" s="1147">
        <v>10</v>
      </c>
      <c r="Q33" s="1147">
        <v>10</v>
      </c>
      <c r="R33" s="1147">
        <v>10</v>
      </c>
      <c r="S33" s="1147">
        <v>10</v>
      </c>
      <c r="T33" s="1147">
        <v>10</v>
      </c>
      <c r="U33" s="1147">
        <v>10</v>
      </c>
      <c r="V33" s="1147">
        <v>10</v>
      </c>
      <c r="AK33" s="1103">
        <f t="array" ref="AK33:AL33">LINEST(LN(AC12:AP12),LN(AC23:AP23))</f>
        <v>2.7190564040878349</v>
      </c>
      <c r="AL33" s="1096">
        <v>-3.5031538403646536</v>
      </c>
      <c r="AM33" s="1103">
        <f>EXP(AL33)</f>
        <v>3.0102295720108439E-2</v>
      </c>
    </row>
    <row r="34" spans="1:39" ht="11.25" customHeight="1" x14ac:dyDescent="0.2">
      <c r="A34" s="1098" t="s">
        <v>2290</v>
      </c>
      <c r="B34" s="1098" t="s">
        <v>2281</v>
      </c>
      <c r="C34" s="1145"/>
      <c r="D34" s="1105">
        <v>18</v>
      </c>
      <c r="E34" s="1105">
        <v>18</v>
      </c>
      <c r="F34" s="1105">
        <v>18</v>
      </c>
      <c r="G34" s="1105">
        <v>18</v>
      </c>
      <c r="H34" s="1147">
        <v>18</v>
      </c>
      <c r="I34" s="1147">
        <v>18</v>
      </c>
      <c r="J34" s="1147">
        <v>18</v>
      </c>
      <c r="K34" s="1147">
        <v>18</v>
      </c>
      <c r="L34" s="1147">
        <v>18</v>
      </c>
      <c r="M34" s="1147">
        <v>18</v>
      </c>
      <c r="N34" s="1147">
        <v>18</v>
      </c>
      <c r="O34" s="1147">
        <v>15</v>
      </c>
      <c r="P34" s="1147">
        <v>15</v>
      </c>
      <c r="Q34" s="1147">
        <v>15</v>
      </c>
      <c r="R34" s="1147">
        <v>18</v>
      </c>
      <c r="S34" s="1147">
        <v>18</v>
      </c>
      <c r="T34" s="1147">
        <v>18</v>
      </c>
      <c r="U34" s="1147">
        <v>18</v>
      </c>
      <c r="V34" s="1147">
        <v>18</v>
      </c>
    </row>
    <row r="35" spans="1:39" ht="11.25" customHeight="1" x14ac:dyDescent="0.2">
      <c r="A35" s="1098" t="s">
        <v>2291</v>
      </c>
      <c r="B35" s="1098" t="s">
        <v>2292</v>
      </c>
      <c r="C35" s="1145"/>
      <c r="D35" s="1163">
        <v>0.06</v>
      </c>
      <c r="E35" s="1163">
        <v>7.0000000000000007E-2</v>
      </c>
      <c r="F35" s="1163">
        <v>0.14000000000000001</v>
      </c>
      <c r="G35" s="1163">
        <v>0.17</v>
      </c>
      <c r="H35" s="1164">
        <v>0.17</v>
      </c>
      <c r="I35" s="1164">
        <v>0.1</v>
      </c>
      <c r="J35" s="1164">
        <v>0.13</v>
      </c>
      <c r="K35" s="1164">
        <v>0.15</v>
      </c>
      <c r="L35" s="1164">
        <v>0.17</v>
      </c>
      <c r="M35" s="1164">
        <v>0.21</v>
      </c>
      <c r="N35" s="1164">
        <v>0.24</v>
      </c>
      <c r="O35" s="1164">
        <v>0.25</v>
      </c>
      <c r="P35" s="1164">
        <v>0.3</v>
      </c>
      <c r="Q35" s="1164">
        <v>0.34</v>
      </c>
      <c r="R35" s="1164">
        <v>0.05</v>
      </c>
      <c r="S35" s="1164">
        <v>0.06</v>
      </c>
      <c r="T35" s="1164">
        <v>7.0000000000000007E-2</v>
      </c>
      <c r="U35" s="1164">
        <v>7.0000000000000007E-2</v>
      </c>
      <c r="V35" s="1164">
        <v>0.08</v>
      </c>
    </row>
    <row r="36" spans="1:39" ht="11.25" customHeight="1" x14ac:dyDescent="0.2">
      <c r="A36" s="1098" t="s">
        <v>2293</v>
      </c>
      <c r="B36" s="1098" t="s">
        <v>2285</v>
      </c>
      <c r="C36" s="1145"/>
      <c r="D36" s="1105">
        <v>0.16</v>
      </c>
      <c r="E36" s="1105">
        <v>0.2</v>
      </c>
      <c r="F36" s="1105">
        <v>0.41</v>
      </c>
      <c r="G36" s="1105">
        <v>0.48</v>
      </c>
      <c r="H36" s="1147">
        <v>0.5</v>
      </c>
      <c r="I36" s="1147">
        <v>0.28999999999999998</v>
      </c>
      <c r="J36" s="1147">
        <v>0.37</v>
      </c>
      <c r="K36" s="1147">
        <v>0.44</v>
      </c>
      <c r="L36" s="1147">
        <v>0.49</v>
      </c>
      <c r="M36" s="1147">
        <v>0.6</v>
      </c>
      <c r="N36" s="1147">
        <v>0.68</v>
      </c>
      <c r="O36" s="1147">
        <v>0.72</v>
      </c>
      <c r="P36" s="1147">
        <v>0.87</v>
      </c>
      <c r="Q36" s="1147">
        <v>0.97</v>
      </c>
      <c r="R36" s="1147">
        <v>0.16</v>
      </c>
      <c r="S36" s="1147">
        <v>0.18</v>
      </c>
      <c r="T36" s="1147">
        <v>0.2</v>
      </c>
      <c r="U36" s="1147">
        <v>0.21</v>
      </c>
      <c r="V36" s="1147">
        <v>0.22</v>
      </c>
    </row>
    <row r="37" spans="1:39" ht="11.25" customHeight="1" x14ac:dyDescent="0.2">
      <c r="A37" s="1098" t="s">
        <v>2294</v>
      </c>
      <c r="B37" s="1098" t="s">
        <v>2295</v>
      </c>
      <c r="C37" s="1145"/>
      <c r="D37" s="1105">
        <v>1.3</v>
      </c>
      <c r="E37" s="1105">
        <v>1.6</v>
      </c>
      <c r="F37" s="1105">
        <v>8.1999999999999993</v>
      </c>
      <c r="G37" s="1105">
        <v>10.9</v>
      </c>
      <c r="H37" s="1147">
        <v>12</v>
      </c>
      <c r="I37" s="1147">
        <v>4.3</v>
      </c>
      <c r="J37" s="1147">
        <v>6.6</v>
      </c>
      <c r="K37" s="1147">
        <v>9.3000000000000007</v>
      </c>
      <c r="L37" s="1147">
        <v>11.5</v>
      </c>
      <c r="M37" s="1147">
        <v>16.600000000000001</v>
      </c>
      <c r="N37" s="1147">
        <v>21.6</v>
      </c>
      <c r="O37" s="1147">
        <v>23.8</v>
      </c>
      <c r="P37" s="1147">
        <v>34.299999999999997</v>
      </c>
      <c r="Q37" s="1147">
        <v>42.6</v>
      </c>
      <c r="R37" s="1147">
        <v>2.9</v>
      </c>
      <c r="S37" s="1147">
        <v>3.3</v>
      </c>
      <c r="T37" s="1147">
        <v>3.7</v>
      </c>
      <c r="U37" s="1147">
        <v>3.9</v>
      </c>
      <c r="V37" s="1147">
        <v>4</v>
      </c>
    </row>
    <row r="38" spans="1:39" ht="11.25" customHeight="1" x14ac:dyDescent="0.2">
      <c r="A38" s="1098" t="s">
        <v>2296</v>
      </c>
      <c r="B38" s="1098" t="s">
        <v>2297</v>
      </c>
      <c r="C38" s="1145"/>
      <c r="D38" s="1105" t="s">
        <v>2298</v>
      </c>
      <c r="E38" s="1105" t="s">
        <v>2298</v>
      </c>
      <c r="F38" s="1105" t="s">
        <v>2298</v>
      </c>
      <c r="G38" s="1105" t="s">
        <v>2298</v>
      </c>
      <c r="H38" s="1147" t="s">
        <v>2298</v>
      </c>
      <c r="I38" s="1147" t="s">
        <v>2298</v>
      </c>
      <c r="J38" s="1147" t="s">
        <v>2298</v>
      </c>
      <c r="K38" s="1147" t="s">
        <v>2298</v>
      </c>
      <c r="L38" s="1147" t="s">
        <v>2298</v>
      </c>
      <c r="M38" s="1147" t="s">
        <v>2298</v>
      </c>
      <c r="N38" s="1147" t="s">
        <v>2298</v>
      </c>
      <c r="O38" s="1147" t="s">
        <v>2298</v>
      </c>
      <c r="P38" s="1147" t="s">
        <v>2298</v>
      </c>
      <c r="Q38" s="1147" t="s">
        <v>2298</v>
      </c>
      <c r="R38" s="1147" t="s">
        <v>2298</v>
      </c>
      <c r="S38" s="1147" t="s">
        <v>2298</v>
      </c>
      <c r="T38" s="1147" t="s">
        <v>2298</v>
      </c>
      <c r="U38" s="1147" t="s">
        <v>2298</v>
      </c>
      <c r="V38" s="1147" t="s">
        <v>2298</v>
      </c>
    </row>
    <row r="39" spans="1:39" ht="11.25" customHeight="1" x14ac:dyDescent="0.2">
      <c r="A39" s="1098" t="s">
        <v>2299</v>
      </c>
      <c r="B39" s="1098" t="s">
        <v>2257</v>
      </c>
      <c r="C39" s="1145"/>
      <c r="D39" s="1108"/>
      <c r="E39" s="1108"/>
      <c r="F39" s="1108"/>
      <c r="G39" s="1108"/>
      <c r="H39" s="1156"/>
      <c r="I39" s="1156"/>
      <c r="J39" s="1156"/>
      <c r="K39" s="1156"/>
      <c r="L39" s="1156"/>
      <c r="M39" s="1156"/>
      <c r="N39" s="1156"/>
      <c r="O39" s="1156"/>
      <c r="P39" s="1156"/>
      <c r="Q39" s="1156"/>
      <c r="R39" s="1156"/>
      <c r="S39" s="1156"/>
      <c r="T39" s="1156"/>
      <c r="U39" s="1156"/>
      <c r="V39" s="1156"/>
    </row>
    <row r="40" spans="1:39" ht="11.25" customHeight="1" x14ac:dyDescent="0.2">
      <c r="A40" s="1099"/>
      <c r="B40" s="1099" t="s">
        <v>487</v>
      </c>
      <c r="C40" s="1099"/>
      <c r="D40" s="1330">
        <f>1000*(D35/5/1000)/(PI()*0.044^2)*D39/1000/0.0012</f>
        <v>0</v>
      </c>
      <c r="E40" s="1330">
        <f>1000*E36*0.025/0.0012</f>
        <v>4166.666666666667</v>
      </c>
      <c r="F40" s="1331">
        <f t="shared" ref="F40:Q40" si="16">1000*F36*0.025/0.0012</f>
        <v>8541.6666666666679</v>
      </c>
      <c r="G40" s="1331">
        <f t="shared" si="16"/>
        <v>10000</v>
      </c>
      <c r="H40" s="1331">
        <f t="shared" si="16"/>
        <v>10416.666666666668</v>
      </c>
      <c r="I40" s="1331">
        <f t="shared" si="16"/>
        <v>6041.666666666667</v>
      </c>
      <c r="J40" s="1331">
        <f t="shared" si="16"/>
        <v>7708.3333333333339</v>
      </c>
      <c r="K40" s="1331">
        <f t="shared" si="16"/>
        <v>9166.6666666666679</v>
      </c>
      <c r="L40" s="1331">
        <f t="shared" si="16"/>
        <v>10208.333333333334</v>
      </c>
      <c r="M40" s="1331">
        <f t="shared" si="16"/>
        <v>12500.000000000002</v>
      </c>
      <c r="N40" s="1331">
        <f t="shared" si="16"/>
        <v>14166.666666666668</v>
      </c>
      <c r="O40" s="1331">
        <f t="shared" si="16"/>
        <v>15000.000000000002</v>
      </c>
      <c r="P40" s="1331">
        <f t="shared" si="16"/>
        <v>18125</v>
      </c>
      <c r="Q40" s="1331">
        <f t="shared" si="16"/>
        <v>20208.333333333336</v>
      </c>
      <c r="R40" s="1331"/>
      <c r="S40" s="1331"/>
      <c r="T40" s="1331"/>
      <c r="U40" s="1331"/>
      <c r="V40" s="1331"/>
    </row>
    <row r="41" spans="1:39" ht="11.25" customHeight="1" x14ac:dyDescent="0.2">
      <c r="A41" s="1098" t="s">
        <v>2300</v>
      </c>
      <c r="B41" s="1099"/>
      <c r="C41" s="1145"/>
      <c r="D41" s="1105">
        <v>4</v>
      </c>
      <c r="E41" s="1105">
        <v>4</v>
      </c>
      <c r="F41" s="1105">
        <v>4</v>
      </c>
      <c r="G41" s="1105">
        <v>4</v>
      </c>
      <c r="H41" s="1147">
        <v>4</v>
      </c>
      <c r="I41" s="1147">
        <v>4</v>
      </c>
      <c r="J41" s="1147">
        <v>4</v>
      </c>
      <c r="K41" s="1147">
        <v>4</v>
      </c>
      <c r="L41" s="1147">
        <v>4</v>
      </c>
      <c r="M41" s="1147">
        <v>4</v>
      </c>
      <c r="N41" s="1147">
        <v>4</v>
      </c>
      <c r="O41" s="1147">
        <v>4</v>
      </c>
      <c r="P41" s="1147">
        <v>4</v>
      </c>
      <c r="Q41" s="1147">
        <v>4</v>
      </c>
      <c r="R41" s="1147">
        <v>4</v>
      </c>
      <c r="S41" s="1147">
        <v>4</v>
      </c>
      <c r="T41" s="1147">
        <v>4</v>
      </c>
      <c r="U41" s="1147">
        <v>4</v>
      </c>
      <c r="V41" s="1147">
        <v>4</v>
      </c>
    </row>
    <row r="42" spans="1:39" ht="11.25" customHeight="1" x14ac:dyDescent="0.2">
      <c r="A42" s="1098" t="s">
        <v>2301</v>
      </c>
      <c r="B42" s="1098" t="s">
        <v>2262</v>
      </c>
      <c r="C42" s="1145"/>
      <c r="D42" s="1105">
        <v>2.5</v>
      </c>
      <c r="E42" s="1105">
        <v>2.5</v>
      </c>
      <c r="F42" s="1105">
        <v>2.5</v>
      </c>
      <c r="G42" s="1105">
        <v>2.5</v>
      </c>
      <c r="H42" s="1147">
        <v>2.5</v>
      </c>
      <c r="I42" s="1147">
        <v>2.5</v>
      </c>
      <c r="J42" s="1147">
        <v>2.5</v>
      </c>
      <c r="K42" s="1147">
        <v>2.5</v>
      </c>
      <c r="L42" s="1147">
        <v>2.5</v>
      </c>
      <c r="M42" s="1147">
        <v>2.5</v>
      </c>
      <c r="N42" s="1147">
        <v>2.5</v>
      </c>
      <c r="O42" s="1147">
        <v>2.5</v>
      </c>
      <c r="P42" s="1147">
        <v>2.5</v>
      </c>
      <c r="Q42" s="1147">
        <v>2.5</v>
      </c>
      <c r="R42" s="1147">
        <v>2.5</v>
      </c>
      <c r="S42" s="1147">
        <v>2.5</v>
      </c>
      <c r="T42" s="1147">
        <v>2.5</v>
      </c>
      <c r="U42" s="1147">
        <v>2.5</v>
      </c>
      <c r="V42" s="1147">
        <v>2.5</v>
      </c>
    </row>
    <row r="43" spans="1:39" ht="11.25" customHeight="1" x14ac:dyDescent="0.2">
      <c r="A43" s="1098" t="s">
        <v>2302</v>
      </c>
      <c r="B43" s="1098" t="s">
        <v>2303</v>
      </c>
      <c r="C43" s="1145"/>
      <c r="D43" s="1105">
        <v>3.9</v>
      </c>
      <c r="E43" s="1105">
        <v>3.9</v>
      </c>
      <c r="F43" s="1105">
        <v>3.9</v>
      </c>
      <c r="G43" s="1105">
        <v>3.9</v>
      </c>
      <c r="H43" s="1147">
        <v>3.9</v>
      </c>
      <c r="I43" s="1147">
        <v>3.9</v>
      </c>
      <c r="J43" s="1147">
        <v>3.9</v>
      </c>
      <c r="K43" s="1147">
        <v>3.9</v>
      </c>
      <c r="L43" s="1147">
        <v>3.9</v>
      </c>
      <c r="M43" s="1147">
        <v>3.9</v>
      </c>
      <c r="N43" s="1147">
        <v>3.9</v>
      </c>
      <c r="O43" s="1147">
        <v>3.9</v>
      </c>
      <c r="P43" s="1147">
        <v>3.9</v>
      </c>
      <c r="Q43" s="1147">
        <v>3.9</v>
      </c>
      <c r="R43" s="1147">
        <v>3.9</v>
      </c>
      <c r="S43" s="1147">
        <v>3.9</v>
      </c>
      <c r="T43" s="1147">
        <v>3.9</v>
      </c>
      <c r="U43" s="1147">
        <v>3.9</v>
      </c>
      <c r="V43" s="1147">
        <v>3.9</v>
      </c>
    </row>
    <row r="44" spans="1:39" ht="11.25" customHeight="1" x14ac:dyDescent="0.2">
      <c r="A44" s="1098" t="s">
        <v>2305</v>
      </c>
      <c r="B44" s="1098" t="s">
        <v>2306</v>
      </c>
      <c r="C44" s="1145"/>
      <c r="D44" s="1105">
        <v>16</v>
      </c>
      <c r="E44" s="1105">
        <v>16</v>
      </c>
      <c r="F44" s="1105">
        <v>16</v>
      </c>
      <c r="G44" s="1105">
        <v>16</v>
      </c>
      <c r="H44" s="1147">
        <v>16</v>
      </c>
      <c r="I44" s="1147">
        <v>16</v>
      </c>
      <c r="J44" s="1147">
        <v>16</v>
      </c>
      <c r="K44" s="1147">
        <v>16</v>
      </c>
      <c r="L44" s="1147">
        <v>16</v>
      </c>
      <c r="M44" s="1147">
        <v>16</v>
      </c>
      <c r="N44" s="1147">
        <v>16</v>
      </c>
      <c r="O44" s="1147">
        <v>16</v>
      </c>
      <c r="P44" s="1147">
        <v>16</v>
      </c>
      <c r="Q44" s="1147">
        <v>16</v>
      </c>
      <c r="R44" s="1147">
        <v>16</v>
      </c>
      <c r="S44" s="1147">
        <v>16</v>
      </c>
      <c r="T44" s="1147">
        <v>16</v>
      </c>
      <c r="U44" s="1147">
        <v>16</v>
      </c>
      <c r="V44" s="1147">
        <v>16</v>
      </c>
    </row>
    <row r="45" spans="1:39" ht="11.25" customHeight="1" x14ac:dyDescent="0.2">
      <c r="A45" s="1099"/>
      <c r="B45" s="1099"/>
      <c r="C45" s="1099"/>
      <c r="D45" s="1113"/>
      <c r="E45" s="1113"/>
      <c r="F45" s="1113"/>
      <c r="G45" s="1113"/>
      <c r="H45" s="1157"/>
      <c r="I45" s="1157"/>
      <c r="J45" s="1157"/>
      <c r="K45" s="1157"/>
      <c r="L45" s="1157"/>
      <c r="M45" s="1157"/>
      <c r="N45" s="1157"/>
      <c r="O45" s="1157"/>
      <c r="P45" s="1157"/>
      <c r="Q45" s="1157"/>
      <c r="R45" s="1157"/>
      <c r="S45" s="1157"/>
      <c r="T45" s="1157"/>
      <c r="U45" s="1157"/>
      <c r="V45" s="1157"/>
    </row>
    <row r="46" spans="1:39" ht="11.25" customHeight="1" x14ac:dyDescent="0.2">
      <c r="A46" s="1098" t="s">
        <v>2307</v>
      </c>
      <c r="B46" s="1099" t="s">
        <v>2308</v>
      </c>
      <c r="C46" s="1145"/>
      <c r="D46" s="1108">
        <v>8.8000000000000007</v>
      </c>
      <c r="E46" s="1108">
        <v>8.8000000000000007</v>
      </c>
      <c r="F46" s="1108">
        <v>8.8000000000000007</v>
      </c>
      <c r="G46" s="1108">
        <v>8.8000000000000007</v>
      </c>
      <c r="H46" s="1108">
        <v>8.8000000000000007</v>
      </c>
      <c r="I46" s="1108">
        <v>8.8000000000000007</v>
      </c>
      <c r="J46" s="1108">
        <v>8.8000000000000007</v>
      </c>
      <c r="K46" s="1108">
        <v>8.8000000000000007</v>
      </c>
      <c r="L46" s="1108">
        <v>8.8000000000000007</v>
      </c>
      <c r="M46" s="1108">
        <v>8.8000000000000007</v>
      </c>
      <c r="N46" s="1108">
        <v>8.8000000000000007</v>
      </c>
      <c r="O46" s="1108">
        <v>8.8000000000000007</v>
      </c>
      <c r="P46" s="1108">
        <v>8.8000000000000007</v>
      </c>
      <c r="Q46" s="1108">
        <v>8.8000000000000007</v>
      </c>
      <c r="R46" s="1108">
        <v>8.8000000000000007</v>
      </c>
      <c r="S46" s="1108">
        <v>8.8000000000000007</v>
      </c>
      <c r="T46" s="1108">
        <v>8.8000000000000007</v>
      </c>
      <c r="U46" s="1108">
        <v>8.8000000000000007</v>
      </c>
      <c r="V46" s="1108">
        <v>8.8000000000000007</v>
      </c>
    </row>
    <row r="47" spans="1:39" ht="11.25" customHeight="1" x14ac:dyDescent="0.2">
      <c r="A47" s="1098" t="s">
        <v>2310</v>
      </c>
      <c r="B47" s="1099" t="s">
        <v>2311</v>
      </c>
      <c r="C47" s="1145"/>
      <c r="D47" s="1108">
        <v>5</v>
      </c>
      <c r="E47" s="1108">
        <v>5</v>
      </c>
      <c r="F47" s="1108">
        <v>5</v>
      </c>
      <c r="G47" s="1108">
        <v>5</v>
      </c>
      <c r="H47" s="1108">
        <v>5</v>
      </c>
      <c r="I47" s="1108">
        <v>5</v>
      </c>
      <c r="J47" s="1108">
        <v>5</v>
      </c>
      <c r="K47" s="1108">
        <v>5</v>
      </c>
      <c r="L47" s="1108">
        <v>5</v>
      </c>
      <c r="M47" s="1108">
        <v>5</v>
      </c>
      <c r="N47" s="1108">
        <v>5</v>
      </c>
      <c r="O47" s="1108">
        <v>5</v>
      </c>
      <c r="P47" s="1108">
        <v>5</v>
      </c>
      <c r="Q47" s="1108">
        <v>5</v>
      </c>
      <c r="R47" s="1108">
        <v>5</v>
      </c>
      <c r="S47" s="1108">
        <v>5</v>
      </c>
      <c r="T47" s="1108">
        <v>5</v>
      </c>
      <c r="U47" s="1108">
        <v>5</v>
      </c>
      <c r="V47" s="1108">
        <v>5</v>
      </c>
    </row>
    <row r="48" spans="1:39" ht="11.25" customHeight="1" x14ac:dyDescent="0.2">
      <c r="A48" s="1098" t="s">
        <v>2312</v>
      </c>
      <c r="B48" s="1099" t="s">
        <v>2313</v>
      </c>
      <c r="C48" s="1145"/>
      <c r="D48" s="1108">
        <f>D35/D47</f>
        <v>1.2E-2</v>
      </c>
      <c r="E48" s="1108">
        <f t="shared" ref="E48:V48" si="17">E35/E47</f>
        <v>1.4000000000000002E-2</v>
      </c>
      <c r="F48" s="1108">
        <f t="shared" si="17"/>
        <v>2.8000000000000004E-2</v>
      </c>
      <c r="G48" s="1108">
        <f t="shared" si="17"/>
        <v>3.4000000000000002E-2</v>
      </c>
      <c r="H48" s="1108">
        <f t="shared" si="17"/>
        <v>3.4000000000000002E-2</v>
      </c>
      <c r="I48" s="1108">
        <f t="shared" si="17"/>
        <v>0.02</v>
      </c>
      <c r="J48" s="1108">
        <f t="shared" si="17"/>
        <v>2.6000000000000002E-2</v>
      </c>
      <c r="K48" s="1108">
        <f t="shared" si="17"/>
        <v>0.03</v>
      </c>
      <c r="L48" s="1108">
        <f t="shared" si="17"/>
        <v>3.4000000000000002E-2</v>
      </c>
      <c r="M48" s="1108">
        <f t="shared" si="17"/>
        <v>4.1999999999999996E-2</v>
      </c>
      <c r="N48" s="1108">
        <f t="shared" si="17"/>
        <v>4.8000000000000001E-2</v>
      </c>
      <c r="O48" s="1108">
        <f t="shared" si="17"/>
        <v>0.05</v>
      </c>
      <c r="P48" s="1108">
        <f t="shared" si="17"/>
        <v>0.06</v>
      </c>
      <c r="Q48" s="1108">
        <f t="shared" si="17"/>
        <v>6.8000000000000005E-2</v>
      </c>
      <c r="R48" s="1108">
        <f t="shared" si="17"/>
        <v>0.01</v>
      </c>
      <c r="S48" s="1108">
        <f t="shared" si="17"/>
        <v>1.2E-2</v>
      </c>
      <c r="T48" s="1108">
        <f t="shared" si="17"/>
        <v>1.4000000000000002E-2</v>
      </c>
      <c r="U48" s="1108">
        <f t="shared" si="17"/>
        <v>1.4000000000000002E-2</v>
      </c>
      <c r="V48" s="1108">
        <f t="shared" si="17"/>
        <v>1.6E-2</v>
      </c>
    </row>
    <row r="49" spans="1:22" ht="11.25" customHeight="1" x14ac:dyDescent="0.2">
      <c r="A49" s="1098" t="s">
        <v>2314</v>
      </c>
      <c r="B49" s="1099" t="s">
        <v>2315</v>
      </c>
      <c r="C49" s="1145"/>
      <c r="D49" s="1108">
        <f>PI()*(D46/2/1000)^2</f>
        <v>6.0821233773498395E-5</v>
      </c>
      <c r="E49" s="1108">
        <f t="shared" ref="E49:V49" si="18">PI()*(E46/2/1000)^2</f>
        <v>6.0821233773498395E-5</v>
      </c>
      <c r="F49" s="1108">
        <f t="shared" si="18"/>
        <v>6.0821233773498395E-5</v>
      </c>
      <c r="G49" s="1108">
        <f t="shared" si="18"/>
        <v>6.0821233773498395E-5</v>
      </c>
      <c r="H49" s="1108">
        <f t="shared" si="18"/>
        <v>6.0821233773498395E-5</v>
      </c>
      <c r="I49" s="1108">
        <f t="shared" si="18"/>
        <v>6.0821233773498395E-5</v>
      </c>
      <c r="J49" s="1108">
        <f t="shared" si="18"/>
        <v>6.0821233773498395E-5</v>
      </c>
      <c r="K49" s="1108">
        <f t="shared" si="18"/>
        <v>6.0821233773498395E-5</v>
      </c>
      <c r="L49" s="1108">
        <f t="shared" si="18"/>
        <v>6.0821233773498395E-5</v>
      </c>
      <c r="M49" s="1108">
        <f t="shared" si="18"/>
        <v>6.0821233773498395E-5</v>
      </c>
      <c r="N49" s="1108">
        <f t="shared" si="18"/>
        <v>6.0821233773498395E-5</v>
      </c>
      <c r="O49" s="1108">
        <f t="shared" si="18"/>
        <v>6.0821233773498395E-5</v>
      </c>
      <c r="P49" s="1108">
        <f t="shared" si="18"/>
        <v>6.0821233773498395E-5</v>
      </c>
      <c r="Q49" s="1108">
        <f t="shared" si="18"/>
        <v>6.0821233773498395E-5</v>
      </c>
      <c r="R49" s="1108">
        <f t="shared" si="18"/>
        <v>6.0821233773498395E-5</v>
      </c>
      <c r="S49" s="1108">
        <f t="shared" si="18"/>
        <v>6.0821233773498395E-5</v>
      </c>
      <c r="T49" s="1108">
        <f t="shared" si="18"/>
        <v>6.0821233773498395E-5</v>
      </c>
      <c r="U49" s="1108">
        <f t="shared" si="18"/>
        <v>6.0821233773498395E-5</v>
      </c>
      <c r="V49" s="1108">
        <f t="shared" si="18"/>
        <v>6.0821233773498395E-5</v>
      </c>
    </row>
    <row r="50" spans="1:22" ht="11.25" customHeight="1" x14ac:dyDescent="0.2">
      <c r="A50" s="1098" t="s">
        <v>2316</v>
      </c>
      <c r="B50" s="1099" t="s">
        <v>502</v>
      </c>
      <c r="C50" s="1145"/>
      <c r="D50" s="1108">
        <f>D48/1000/D49</f>
        <v>0.19729951622962233</v>
      </c>
      <c r="E50" s="1108">
        <f t="shared" ref="E50:V50" si="19">E48/1000/E49</f>
        <v>0.23018276893455941</v>
      </c>
      <c r="F50" s="1108">
        <f t="shared" si="19"/>
        <v>0.46036553786911882</v>
      </c>
      <c r="G50" s="1108">
        <f t="shared" si="19"/>
        <v>0.55901529598392996</v>
      </c>
      <c r="H50" s="1108">
        <f t="shared" si="19"/>
        <v>0.55901529598392996</v>
      </c>
      <c r="I50" s="1108">
        <f t="shared" si="19"/>
        <v>0.32883252704937055</v>
      </c>
      <c r="J50" s="1108">
        <f t="shared" si="19"/>
        <v>0.42748228516418174</v>
      </c>
      <c r="K50" s="1108">
        <f t="shared" si="19"/>
        <v>0.49324879057405574</v>
      </c>
      <c r="L50" s="1108">
        <f t="shared" si="19"/>
        <v>0.55901529598392996</v>
      </c>
      <c r="M50" s="1108">
        <f t="shared" si="19"/>
        <v>0.69054830680367807</v>
      </c>
      <c r="N50" s="1108">
        <f t="shared" si="19"/>
        <v>0.78919806491848932</v>
      </c>
      <c r="O50" s="1108">
        <f t="shared" si="19"/>
        <v>0.8220813176234264</v>
      </c>
      <c r="P50" s="1108">
        <f t="shared" si="19"/>
        <v>0.98649758114811148</v>
      </c>
      <c r="Q50" s="1108">
        <f t="shared" si="19"/>
        <v>1.1180305919678599</v>
      </c>
      <c r="R50" s="1108">
        <f t="shared" si="19"/>
        <v>0.16441626352468527</v>
      </c>
      <c r="S50" s="1108">
        <f t="shared" si="19"/>
        <v>0.19729951622962233</v>
      </c>
      <c r="T50" s="1108">
        <f t="shared" si="19"/>
        <v>0.23018276893455941</v>
      </c>
      <c r="U50" s="1108">
        <f t="shared" si="19"/>
        <v>0.23018276893455941</v>
      </c>
      <c r="V50" s="1108">
        <f t="shared" si="19"/>
        <v>0.26306602163949644</v>
      </c>
    </row>
    <row r="51" spans="1:22" ht="11.25" customHeight="1" x14ac:dyDescent="0.2">
      <c r="A51" s="1098" t="s">
        <v>2317</v>
      </c>
      <c r="B51" s="1098" t="s">
        <v>487</v>
      </c>
      <c r="C51" s="1145"/>
      <c r="D51" s="1129">
        <f>1000*D50*D46/1000/0.0012</f>
        <v>1446.8631190172307</v>
      </c>
      <c r="E51" s="1129">
        <f t="shared" ref="E51:Q51" si="20">1000*E50*E46/1000/0.0012</f>
        <v>1688.0069721867694</v>
      </c>
      <c r="F51" s="1129">
        <f t="shared" si="20"/>
        <v>3376.0139443735388</v>
      </c>
      <c r="G51" s="1129">
        <f t="shared" si="20"/>
        <v>4099.4455038821534</v>
      </c>
      <c r="H51" s="1129">
        <f t="shared" si="20"/>
        <v>4099.4455038821534</v>
      </c>
      <c r="I51" s="1129">
        <f t="shared" si="20"/>
        <v>2411.4385316953844</v>
      </c>
      <c r="J51" s="1129">
        <f t="shared" si="20"/>
        <v>3134.8700912040003</v>
      </c>
      <c r="K51" s="1129">
        <f t="shared" si="20"/>
        <v>3617.157797543076</v>
      </c>
      <c r="L51" s="1129">
        <f t="shared" si="20"/>
        <v>4099.4455038821534</v>
      </c>
      <c r="M51" s="1129">
        <f t="shared" si="20"/>
        <v>5064.0209165603064</v>
      </c>
      <c r="N51" s="1129">
        <f t="shared" si="20"/>
        <v>5787.4524760689228</v>
      </c>
      <c r="O51" s="1129">
        <f t="shared" si="20"/>
        <v>6028.5963292384613</v>
      </c>
      <c r="P51" s="1129">
        <f t="shared" si="20"/>
        <v>7234.3155950861519</v>
      </c>
      <c r="Q51" s="1129">
        <f t="shared" si="20"/>
        <v>8198.8910077643068</v>
      </c>
      <c r="R51" s="1129"/>
      <c r="S51" s="1129"/>
      <c r="T51" s="1129"/>
      <c r="U51" s="1129"/>
      <c r="V51" s="1129"/>
    </row>
    <row r="52" spans="1:22" ht="11.25" customHeight="1" x14ac:dyDescent="0.2">
      <c r="A52" s="1871" t="s">
        <v>2318</v>
      </c>
      <c r="B52" s="1871" t="s">
        <v>2319</v>
      </c>
      <c r="C52" s="1872"/>
      <c r="D52" s="1108"/>
      <c r="E52" s="1108"/>
      <c r="F52" s="1108"/>
      <c r="G52" s="1108"/>
      <c r="H52" s="1156"/>
      <c r="I52" s="1156"/>
      <c r="J52" s="1156"/>
      <c r="K52" s="1156"/>
      <c r="L52" s="1156"/>
      <c r="M52" s="1156"/>
      <c r="N52" s="1156"/>
      <c r="O52" s="1156"/>
      <c r="P52" s="1156"/>
      <c r="Q52" s="1156"/>
      <c r="R52" s="1156"/>
      <c r="S52" s="1156"/>
      <c r="T52" s="1156"/>
      <c r="U52" s="1156"/>
      <c r="V52" s="1156"/>
    </row>
    <row r="53" spans="1:22" ht="6.5" customHeight="1" x14ac:dyDescent="0.2">
      <c r="A53" s="1871"/>
      <c r="B53" s="1871"/>
      <c r="C53" s="1872"/>
      <c r="D53" s="1332"/>
      <c r="E53" s="1332"/>
      <c r="F53" s="1332"/>
      <c r="G53" s="1332"/>
    </row>
    <row r="54" spans="1:22" ht="16.5" customHeight="1" x14ac:dyDescent="0.2">
      <c r="A54" s="1860" t="s">
        <v>2320</v>
      </c>
      <c r="B54" s="1860"/>
      <c r="C54" s="1860"/>
      <c r="D54" s="1860"/>
      <c r="E54" s="1099"/>
      <c r="F54" s="1099"/>
      <c r="G54" s="1099"/>
    </row>
    <row r="55" spans="1:22" ht="14.25" customHeight="1" x14ac:dyDescent="0.2">
      <c r="A55" s="1885" t="s">
        <v>2409</v>
      </c>
      <c r="B55" s="1885"/>
      <c r="C55" s="1885"/>
      <c r="D55" s="1264">
        <f t="shared" ref="D55:Q55" si="21">D23*(D26-D29)</f>
        <v>1.8719999999999992</v>
      </c>
      <c r="E55" s="1264">
        <f t="shared" si="21"/>
        <v>2.3039999999999994</v>
      </c>
      <c r="F55" s="1264">
        <f t="shared" si="21"/>
        <v>4.8</v>
      </c>
      <c r="G55" s="1264">
        <f t="shared" si="21"/>
        <v>5.5799999999999983</v>
      </c>
      <c r="H55" s="1264">
        <f t="shared" si="21"/>
        <v>5.8319999999999954</v>
      </c>
      <c r="I55" s="1264">
        <f t="shared" si="21"/>
        <v>3.3839999999999995</v>
      </c>
      <c r="J55" s="1264">
        <f t="shared" si="21"/>
        <v>4.2719999999999994</v>
      </c>
      <c r="K55" s="1264">
        <f t="shared" si="21"/>
        <v>5.0999999999999996</v>
      </c>
      <c r="L55" s="1264">
        <f t="shared" si="21"/>
        <v>5.6880000000000015</v>
      </c>
      <c r="M55" s="1264">
        <f t="shared" si="21"/>
        <v>6.9120000000000026</v>
      </c>
      <c r="N55" s="1264">
        <f t="shared" si="21"/>
        <v>7.9800000000000022</v>
      </c>
      <c r="O55" s="1264">
        <f t="shared" si="21"/>
        <v>5.22</v>
      </c>
      <c r="P55" s="1264">
        <f t="shared" si="21"/>
        <v>6.3360000000000012</v>
      </c>
      <c r="Q55" s="1264">
        <f t="shared" si="21"/>
        <v>7.0799999999999983</v>
      </c>
      <c r="R55" s="1096" t="s">
        <v>2352</v>
      </c>
    </row>
    <row r="56" spans="1:22" ht="14.25" customHeight="1" x14ac:dyDescent="0.2">
      <c r="A56" s="1884" t="s">
        <v>2410</v>
      </c>
      <c r="B56" s="1884"/>
      <c r="C56" s="1333"/>
      <c r="D56" s="1125">
        <f t="shared" ref="D56:Q56" si="22">D23*1.005*(D24-D27)</f>
        <v>1.6883999999999997</v>
      </c>
      <c r="E56" s="1125">
        <f t="shared" si="22"/>
        <v>2.2069800000000002</v>
      </c>
      <c r="F56" s="1125">
        <f t="shared" si="22"/>
        <v>3.8109599999999988</v>
      </c>
      <c r="G56" s="1125">
        <f t="shared" si="22"/>
        <v>4.5827999999999998</v>
      </c>
      <c r="H56" s="1125">
        <f t="shared" si="22"/>
        <v>5.7164399999999986</v>
      </c>
      <c r="I56" s="1125">
        <f t="shared" si="22"/>
        <v>3.3285599999999995</v>
      </c>
      <c r="J56" s="1125">
        <f t="shared" si="22"/>
        <v>4.1968799999999993</v>
      </c>
      <c r="K56" s="1125">
        <f t="shared" si="22"/>
        <v>5.0048999999999992</v>
      </c>
      <c r="L56" s="1125">
        <f t="shared" si="22"/>
        <v>5.0290199999999992</v>
      </c>
      <c r="M56" s="1125">
        <f t="shared" si="22"/>
        <v>6.4159199999999998</v>
      </c>
      <c r="N56" s="1125">
        <f t="shared" si="22"/>
        <v>7.6580999999999984</v>
      </c>
      <c r="O56" s="1125">
        <f t="shared" si="22"/>
        <v>3.4370999999999996</v>
      </c>
      <c r="P56" s="1125">
        <f t="shared" si="22"/>
        <v>4.3415999999999997</v>
      </c>
      <c r="Q56" s="1125">
        <f t="shared" si="22"/>
        <v>5.1254999999999988</v>
      </c>
      <c r="R56" s="1096" t="s">
        <v>2370</v>
      </c>
    </row>
    <row r="57" spans="1:22" ht="14.25" customHeight="1" x14ac:dyDescent="0.2">
      <c r="A57" s="1885" t="s">
        <v>2411</v>
      </c>
      <c r="B57" s="1885"/>
      <c r="C57" s="1885"/>
      <c r="D57" s="1125">
        <f>D55-D56</f>
        <v>0.18359999999999954</v>
      </c>
      <c r="E57" s="1125">
        <f t="shared" ref="E57:Q57" si="23">E55-E56</f>
        <v>9.7019999999999218E-2</v>
      </c>
      <c r="F57" s="1125">
        <f t="shared" si="23"/>
        <v>0.98904000000000103</v>
      </c>
      <c r="G57" s="1125">
        <f t="shared" si="23"/>
        <v>0.99719999999999853</v>
      </c>
      <c r="H57" s="1125">
        <f t="shared" si="23"/>
        <v>0.11555999999999678</v>
      </c>
      <c r="I57" s="1125">
        <f t="shared" si="23"/>
        <v>5.5439999999999934E-2</v>
      </c>
      <c r="J57" s="1125">
        <f t="shared" si="23"/>
        <v>7.5120000000000076E-2</v>
      </c>
      <c r="K57" s="1125">
        <f t="shared" si="23"/>
        <v>9.5100000000000406E-2</v>
      </c>
      <c r="L57" s="1125">
        <f t="shared" si="23"/>
        <v>0.65898000000000234</v>
      </c>
      <c r="M57" s="1125">
        <f t="shared" si="23"/>
        <v>0.49608000000000274</v>
      </c>
      <c r="N57" s="1125">
        <f t="shared" si="23"/>
        <v>0.32190000000000385</v>
      </c>
      <c r="O57" s="1125">
        <f t="shared" si="23"/>
        <v>1.7829000000000002</v>
      </c>
      <c r="P57" s="1125">
        <f t="shared" si="23"/>
        <v>1.9944000000000015</v>
      </c>
      <c r="Q57" s="1125">
        <f t="shared" si="23"/>
        <v>1.9544999999999995</v>
      </c>
      <c r="R57" s="1096" t="s">
        <v>2354</v>
      </c>
    </row>
    <row r="58" spans="1:22" ht="14.25" customHeight="1" x14ac:dyDescent="0.2">
      <c r="A58" s="1884" t="s">
        <v>2412</v>
      </c>
      <c r="B58" s="1884"/>
      <c r="C58" s="1333"/>
      <c r="D58" s="1266">
        <f>D56/D55</f>
        <v>0.90192307692307716</v>
      </c>
      <c r="E58" s="1266">
        <f t="shared" ref="E58:Q58" si="24">E56/E55</f>
        <v>0.95789062500000033</v>
      </c>
      <c r="F58" s="1266">
        <f t="shared" si="24"/>
        <v>0.79394999999999982</v>
      </c>
      <c r="G58" s="1266">
        <f t="shared" si="24"/>
        <v>0.82129032258064538</v>
      </c>
      <c r="H58" s="1266">
        <f t="shared" si="24"/>
        <v>0.98018518518518571</v>
      </c>
      <c r="I58" s="1266">
        <f t="shared" si="24"/>
        <v>0.98361702127659578</v>
      </c>
      <c r="J58" s="1266">
        <f t="shared" si="24"/>
        <v>0.98241573033707863</v>
      </c>
      <c r="K58" s="1266">
        <f t="shared" si="24"/>
        <v>0.98135294117647054</v>
      </c>
      <c r="L58" s="1266">
        <f t="shared" si="24"/>
        <v>0.88414556962025281</v>
      </c>
      <c r="M58" s="1266">
        <f t="shared" si="24"/>
        <v>0.92822916666666633</v>
      </c>
      <c r="N58" s="1266">
        <f t="shared" si="24"/>
        <v>0.95966165413533788</v>
      </c>
      <c r="O58" s="1266">
        <f t="shared" si="24"/>
        <v>0.65844827586206889</v>
      </c>
      <c r="P58" s="1266">
        <f t="shared" si="24"/>
        <v>0.68522727272727257</v>
      </c>
      <c r="Q58" s="1266">
        <f t="shared" si="24"/>
        <v>0.72394067796610173</v>
      </c>
    </row>
    <row r="59" spans="1:22" ht="14.25" customHeight="1" x14ac:dyDescent="0.2">
      <c r="A59" s="1885" t="s">
        <v>2413</v>
      </c>
      <c r="B59" s="1885"/>
      <c r="C59" s="1885"/>
    </row>
    <row r="60" spans="1:22" ht="14.25" customHeight="1" x14ac:dyDescent="0.2">
      <c r="A60" s="1884" t="s">
        <v>2414</v>
      </c>
      <c r="B60" s="1884"/>
      <c r="C60" s="1333"/>
      <c r="D60" s="1097">
        <f>D35</f>
        <v>0.06</v>
      </c>
      <c r="E60" s="1097">
        <f t="shared" ref="E60:Q60" si="25">E35</f>
        <v>7.0000000000000007E-2</v>
      </c>
      <c r="F60" s="1097">
        <f t="shared" si="25"/>
        <v>0.14000000000000001</v>
      </c>
      <c r="G60" s="1097">
        <f t="shared" si="25"/>
        <v>0.17</v>
      </c>
      <c r="H60" s="1097">
        <f t="shared" si="25"/>
        <v>0.17</v>
      </c>
      <c r="I60" s="1097">
        <f t="shared" si="25"/>
        <v>0.1</v>
      </c>
      <c r="J60" s="1097">
        <f t="shared" si="25"/>
        <v>0.13</v>
      </c>
      <c r="K60" s="1097">
        <f t="shared" si="25"/>
        <v>0.15</v>
      </c>
      <c r="L60" s="1097">
        <f t="shared" si="25"/>
        <v>0.17</v>
      </c>
      <c r="M60" s="1097">
        <f t="shared" si="25"/>
        <v>0.21</v>
      </c>
      <c r="N60" s="1097">
        <f t="shared" si="25"/>
        <v>0.24</v>
      </c>
      <c r="O60" s="1097">
        <f t="shared" si="25"/>
        <v>0.25</v>
      </c>
      <c r="P60" s="1097">
        <f t="shared" si="25"/>
        <v>0.3</v>
      </c>
      <c r="Q60" s="1097">
        <f t="shared" si="25"/>
        <v>0.34</v>
      </c>
      <c r="R60" s="1096" t="s">
        <v>2375</v>
      </c>
    </row>
    <row r="61" spans="1:22" ht="14.25" customHeight="1" x14ac:dyDescent="0.2">
      <c r="A61" s="1885" t="s">
        <v>2415</v>
      </c>
      <c r="B61" s="1885"/>
      <c r="C61" s="1885"/>
      <c r="D61" s="1148"/>
      <c r="E61" s="1099"/>
      <c r="F61" s="1099"/>
      <c r="G61" s="1099"/>
    </row>
    <row r="62" spans="1:22" ht="14" customHeight="1" x14ac:dyDescent="0.2">
      <c r="A62" s="1884" t="s">
        <v>2416</v>
      </c>
      <c r="B62" s="1884"/>
      <c r="C62" s="1333"/>
      <c r="D62" s="1267">
        <v>0.2</v>
      </c>
      <c r="E62" s="1268">
        <v>0.3</v>
      </c>
      <c r="F62" s="1268">
        <v>0.4</v>
      </c>
      <c r="G62" s="1268">
        <v>0.5</v>
      </c>
      <c r="H62" s="1269">
        <v>0.6</v>
      </c>
      <c r="I62" s="1270">
        <v>0.3</v>
      </c>
      <c r="J62" s="1271">
        <v>0.4</v>
      </c>
      <c r="K62" s="1269">
        <v>0.5</v>
      </c>
      <c r="L62" s="1270">
        <v>0.3</v>
      </c>
      <c r="M62" s="1271">
        <v>0.4</v>
      </c>
      <c r="N62" s="1269">
        <v>0.5</v>
      </c>
      <c r="O62" s="1270">
        <v>0.3</v>
      </c>
      <c r="P62" s="1271">
        <v>0.4</v>
      </c>
      <c r="Q62" s="1269">
        <v>0.5</v>
      </c>
    </row>
    <row r="63" spans="1:22" ht="13.5" customHeight="1" x14ac:dyDescent="0.2">
      <c r="A63" s="1151"/>
      <c r="B63" s="1151"/>
      <c r="C63" s="1151"/>
      <c r="D63" s="1272">
        <f t="shared" ref="D63:Q63" si="26">D21</f>
        <v>1.9</v>
      </c>
      <c r="E63" s="1272">
        <f t="shared" si="26"/>
        <v>2.2999999999999998</v>
      </c>
      <c r="F63" s="1272">
        <f t="shared" si="26"/>
        <v>4.8</v>
      </c>
      <c r="G63" s="1272">
        <f t="shared" si="26"/>
        <v>5.6</v>
      </c>
      <c r="H63" s="1272">
        <f t="shared" si="26"/>
        <v>5.8</v>
      </c>
      <c r="I63" s="1272">
        <f t="shared" si="26"/>
        <v>3.4</v>
      </c>
      <c r="J63" s="1272">
        <f t="shared" si="26"/>
        <v>4.3</v>
      </c>
      <c r="K63" s="1272">
        <f t="shared" si="26"/>
        <v>5.0999999999999996</v>
      </c>
      <c r="L63" s="1272">
        <f t="shared" si="26"/>
        <v>5.7</v>
      </c>
      <c r="M63" s="1272">
        <f t="shared" si="26"/>
        <v>6.9</v>
      </c>
      <c r="N63" s="1272">
        <f t="shared" si="26"/>
        <v>8</v>
      </c>
      <c r="O63" s="1272">
        <f t="shared" si="26"/>
        <v>5.2</v>
      </c>
      <c r="P63" s="1272">
        <f t="shared" si="26"/>
        <v>6.3</v>
      </c>
      <c r="Q63" s="1272">
        <f t="shared" si="26"/>
        <v>7.1</v>
      </c>
      <c r="R63" s="1151"/>
      <c r="S63" s="1151"/>
      <c r="T63" s="1151"/>
      <c r="U63" s="1151"/>
      <c r="V63" s="1151"/>
    </row>
    <row r="64" spans="1:22" ht="13.5" customHeight="1" x14ac:dyDescent="0.2">
      <c r="A64" s="1151" t="s">
        <v>2326</v>
      </c>
      <c r="B64" s="1151" t="s">
        <v>2238</v>
      </c>
      <c r="C64" s="1151"/>
      <c r="D64" s="1169">
        <f>1.293*273.15/(D24+273.15)</f>
        <v>1.1845814187489518</v>
      </c>
      <c r="E64" s="1169">
        <f t="shared" ref="E64:Q64" si="27">1.293*273.15/(E24+273.15)</f>
        <v>1.1845814187489518</v>
      </c>
      <c r="F64" s="1169">
        <f t="shared" si="27"/>
        <v>1.1845814187489518</v>
      </c>
      <c r="G64" s="1169">
        <f t="shared" si="27"/>
        <v>1.1845814187489518</v>
      </c>
      <c r="H64" s="1169">
        <f t="shared" si="27"/>
        <v>1.1845814187489518</v>
      </c>
      <c r="I64" s="1169">
        <f t="shared" si="27"/>
        <v>1.1845814187489518</v>
      </c>
      <c r="J64" s="1169">
        <f t="shared" si="27"/>
        <v>1.1845814187489518</v>
      </c>
      <c r="K64" s="1169">
        <f t="shared" si="27"/>
        <v>1.1845814187489518</v>
      </c>
      <c r="L64" s="1169">
        <f t="shared" si="27"/>
        <v>1.1650435428005936</v>
      </c>
      <c r="M64" s="1169">
        <f t="shared" si="27"/>
        <v>1.1650435428005936</v>
      </c>
      <c r="N64" s="1169">
        <f t="shared" si="27"/>
        <v>1.1650435428005936</v>
      </c>
      <c r="O64" s="1169">
        <f t="shared" si="27"/>
        <v>1.1845814187489518</v>
      </c>
      <c r="P64" s="1169">
        <f t="shared" si="27"/>
        <v>1.1845814187489518</v>
      </c>
      <c r="Q64" s="1169">
        <f t="shared" si="27"/>
        <v>1.1845814187489518</v>
      </c>
      <c r="R64" s="1151"/>
      <c r="S64" s="1151"/>
      <c r="T64" s="1151"/>
      <c r="U64" s="1151"/>
      <c r="V64" s="1151"/>
    </row>
    <row r="65" spans="1:39" ht="13.5" customHeight="1" x14ac:dyDescent="0.2">
      <c r="A65" s="1151" t="s">
        <v>2327</v>
      </c>
      <c r="B65" s="1151" t="s">
        <v>2238</v>
      </c>
      <c r="C65" s="1151"/>
      <c r="D65" s="1172">
        <f>1.293*273.15/(D27+273.15)</f>
        <v>1.2130618238021638</v>
      </c>
      <c r="E65" s="1172">
        <f t="shared" ref="E65:Q65" si="28">1.293*273.15/(E27+273.15)</f>
        <v>1.2093235747303543</v>
      </c>
      <c r="F65" s="1172">
        <f t="shared" si="28"/>
        <v>1.2168232558139533</v>
      </c>
      <c r="G65" s="1172">
        <f t="shared" si="28"/>
        <v>1.2155668559628292</v>
      </c>
      <c r="H65" s="1172">
        <f t="shared" si="28"/>
        <v>1.2168232558139533</v>
      </c>
      <c r="I65" s="1172">
        <f t="shared" si="28"/>
        <v>1.2222978023879563</v>
      </c>
      <c r="J65" s="1172">
        <f t="shared" si="28"/>
        <v>1.2201863879771979</v>
      </c>
      <c r="K65" s="1172">
        <f t="shared" si="28"/>
        <v>1.2185025012937727</v>
      </c>
      <c r="L65" s="1172">
        <f t="shared" si="28"/>
        <v>1.221030077787381</v>
      </c>
      <c r="M65" s="1172">
        <f t="shared" si="28"/>
        <v>1.2185025012937727</v>
      </c>
      <c r="N65" s="1172">
        <f t="shared" si="28"/>
        <v>1.215985367533138</v>
      </c>
      <c r="O65" s="1172">
        <f t="shared" si="28"/>
        <v>1.2235681621340724</v>
      </c>
      <c r="P65" s="1172">
        <f t="shared" si="28"/>
        <v>1.2214523603665917</v>
      </c>
      <c r="Q65" s="1172">
        <f t="shared" si="28"/>
        <v>1.2193438632832729</v>
      </c>
      <c r="R65" s="1151"/>
      <c r="S65" s="1151"/>
      <c r="T65" s="1151"/>
      <c r="U65" s="1151"/>
      <c r="V65" s="1151"/>
    </row>
    <row r="66" spans="1:39" ht="13.5" customHeight="1" x14ac:dyDescent="0.2">
      <c r="A66" s="1099" t="s">
        <v>2378</v>
      </c>
      <c r="B66" s="1096" t="s">
        <v>496</v>
      </c>
      <c r="C66" s="1151"/>
      <c r="D66" s="1275">
        <f>D24-D34</f>
        <v>7</v>
      </c>
      <c r="E66" s="1275">
        <f t="shared" ref="E66:Q66" si="29">E24-E34</f>
        <v>7</v>
      </c>
      <c r="F66" s="1275">
        <f t="shared" si="29"/>
        <v>7</v>
      </c>
      <c r="G66" s="1275">
        <f t="shared" si="29"/>
        <v>7</v>
      </c>
      <c r="H66" s="1275">
        <f t="shared" si="29"/>
        <v>7</v>
      </c>
      <c r="I66" s="1275">
        <f t="shared" si="29"/>
        <v>7</v>
      </c>
      <c r="J66" s="1275">
        <f t="shared" si="29"/>
        <v>7</v>
      </c>
      <c r="K66" s="1275">
        <f t="shared" si="29"/>
        <v>7</v>
      </c>
      <c r="L66" s="1275">
        <f t="shared" si="29"/>
        <v>12</v>
      </c>
      <c r="M66" s="1275">
        <f t="shared" si="29"/>
        <v>12</v>
      </c>
      <c r="N66" s="1275">
        <f t="shared" si="29"/>
        <v>12</v>
      </c>
      <c r="O66" s="1275">
        <f t="shared" si="29"/>
        <v>10</v>
      </c>
      <c r="P66" s="1275">
        <f t="shared" si="29"/>
        <v>10</v>
      </c>
      <c r="Q66" s="1275">
        <f t="shared" si="29"/>
        <v>10</v>
      </c>
      <c r="R66" s="1151"/>
      <c r="S66" s="1151"/>
      <c r="T66" s="1151"/>
      <c r="U66" s="1151"/>
      <c r="V66" s="1151"/>
    </row>
    <row r="67" spans="1:39" ht="13.5" customHeight="1" x14ac:dyDescent="0.2">
      <c r="A67" s="1099" t="s">
        <v>2379</v>
      </c>
      <c r="B67" s="1151" t="s">
        <v>496</v>
      </c>
      <c r="C67" s="1151"/>
      <c r="D67" s="1275">
        <f>D27-D33</f>
        <v>8</v>
      </c>
      <c r="E67" s="1275">
        <f t="shared" ref="E67:Q67" si="30">E27-E33</f>
        <v>8.8999999999999986</v>
      </c>
      <c r="F67" s="1275">
        <f t="shared" si="30"/>
        <v>7.1000000000000014</v>
      </c>
      <c r="G67" s="1275">
        <f t="shared" si="30"/>
        <v>7.3999999999999986</v>
      </c>
      <c r="H67" s="1275">
        <f t="shared" si="30"/>
        <v>7.1000000000000014</v>
      </c>
      <c r="I67" s="1275">
        <f t="shared" si="30"/>
        <v>5.8000000000000007</v>
      </c>
      <c r="J67" s="1275">
        <f t="shared" si="30"/>
        <v>6.3000000000000007</v>
      </c>
      <c r="K67" s="1275">
        <f t="shared" si="30"/>
        <v>6.6999999999999993</v>
      </c>
      <c r="L67" s="1275">
        <f t="shared" si="30"/>
        <v>6.1000000000000014</v>
      </c>
      <c r="M67" s="1275">
        <f t="shared" si="30"/>
        <v>6.6999999999999993</v>
      </c>
      <c r="N67" s="1275">
        <f t="shared" si="30"/>
        <v>7.3000000000000007</v>
      </c>
      <c r="O67" s="1275">
        <f t="shared" si="30"/>
        <v>5.5</v>
      </c>
      <c r="P67" s="1275">
        <f t="shared" si="30"/>
        <v>6</v>
      </c>
      <c r="Q67" s="1275">
        <f t="shared" si="30"/>
        <v>6.5</v>
      </c>
      <c r="R67" s="1151"/>
      <c r="S67" s="1151"/>
      <c r="T67" s="1151"/>
      <c r="U67" s="1151"/>
      <c r="V67" s="1151"/>
    </row>
    <row r="68" spans="1:39" ht="13.5" customHeight="1" x14ac:dyDescent="0.2">
      <c r="A68" s="1151" t="s">
        <v>2380</v>
      </c>
      <c r="B68" s="1151" t="s">
        <v>496</v>
      </c>
      <c r="C68" s="1151"/>
      <c r="D68" s="1277">
        <f>(D66-D67)/LN(D66/D67)</f>
        <v>7.4888756894186175</v>
      </c>
      <c r="E68" s="1277">
        <f t="shared" ref="E68:Q68" si="31">(E66-E67)/LN(E66/E67)</f>
        <v>7.9120141490708846</v>
      </c>
      <c r="F68" s="1277">
        <f t="shared" si="31"/>
        <v>7.0498817951047856</v>
      </c>
      <c r="G68" s="1277">
        <f t="shared" si="31"/>
        <v>7.1981477669545928</v>
      </c>
      <c r="H68" s="1277">
        <f t="shared" si="31"/>
        <v>7.0498817951047856</v>
      </c>
      <c r="I68" s="1277">
        <f t="shared" si="31"/>
        <v>6.3812058512118321</v>
      </c>
      <c r="J68" s="1277">
        <f t="shared" si="31"/>
        <v>6.6438551067209355</v>
      </c>
      <c r="K68" s="1277">
        <f t="shared" si="31"/>
        <v>6.848904969449757</v>
      </c>
      <c r="L68" s="1277">
        <f t="shared" si="31"/>
        <v>8.7198405282042089</v>
      </c>
      <c r="M68" s="1277">
        <f t="shared" si="31"/>
        <v>9.0940425050081988</v>
      </c>
      <c r="N68" s="1277">
        <f t="shared" si="31"/>
        <v>9.4561258585245938</v>
      </c>
      <c r="O68" s="1277">
        <f t="shared" si="31"/>
        <v>7.5271353133251084</v>
      </c>
      <c r="P68" s="1277">
        <f t="shared" si="31"/>
        <v>7.8304607558848698</v>
      </c>
      <c r="Q68" s="1278">
        <f t="shared" si="31"/>
        <v>8.1247418810100456</v>
      </c>
      <c r="R68" s="1151"/>
      <c r="S68" s="1151"/>
      <c r="T68" s="1151"/>
      <c r="U68" s="1151"/>
      <c r="V68" s="1151"/>
    </row>
    <row r="69" spans="1:39" ht="13.5" customHeight="1" x14ac:dyDescent="0.2">
      <c r="A69" s="1151" t="s">
        <v>2329</v>
      </c>
      <c r="B69" s="1151" t="s">
        <v>496</v>
      </c>
      <c r="C69" s="1151"/>
      <c r="D69" s="1279">
        <f>AVERAGE(D24,D27)-AVERAGE(D33:D34)</f>
        <v>7.5</v>
      </c>
      <c r="E69" s="1279">
        <f t="shared" ref="E69:Q69" si="32">AVERAGE(E24,E27)-AVERAGE(E33:E34)</f>
        <v>7.9499999999999993</v>
      </c>
      <c r="F69" s="1279">
        <f t="shared" si="32"/>
        <v>7.0500000000000007</v>
      </c>
      <c r="G69" s="1279">
        <f t="shared" si="32"/>
        <v>7.1999999999999993</v>
      </c>
      <c r="H69" s="1279">
        <f t="shared" si="32"/>
        <v>7.0500000000000007</v>
      </c>
      <c r="I69" s="1279">
        <f t="shared" si="32"/>
        <v>6.3999999999999986</v>
      </c>
      <c r="J69" s="1279">
        <f t="shared" si="32"/>
        <v>6.6499999999999986</v>
      </c>
      <c r="K69" s="1279">
        <f t="shared" si="32"/>
        <v>6.8500000000000014</v>
      </c>
      <c r="L69" s="1279">
        <f t="shared" si="32"/>
        <v>9.0500000000000007</v>
      </c>
      <c r="M69" s="1279">
        <f t="shared" si="32"/>
        <v>9.3500000000000014</v>
      </c>
      <c r="N69" s="1280">
        <f t="shared" si="32"/>
        <v>9.6499999999999986</v>
      </c>
      <c r="O69" s="1279">
        <f t="shared" si="32"/>
        <v>7.75</v>
      </c>
      <c r="P69" s="1279">
        <f t="shared" si="32"/>
        <v>8</v>
      </c>
      <c r="Q69" s="1280">
        <f t="shared" si="32"/>
        <v>8.25</v>
      </c>
      <c r="R69" s="1151"/>
      <c r="S69" s="1151"/>
      <c r="T69" s="1151"/>
      <c r="U69" s="1151"/>
      <c r="V69" s="1151"/>
    </row>
    <row r="70" spans="1:39" ht="13.5" customHeight="1" x14ac:dyDescent="0.2">
      <c r="A70" s="1151"/>
      <c r="B70" s="1151"/>
      <c r="C70" s="1151"/>
      <c r="D70" s="1151"/>
      <c r="E70" s="1151"/>
      <c r="F70" s="1151"/>
      <c r="G70" s="1151"/>
      <c r="H70" s="1151"/>
      <c r="I70" s="1151"/>
      <c r="J70" s="1151"/>
      <c r="K70" s="1151"/>
      <c r="L70" s="1151"/>
      <c r="M70" s="1151"/>
      <c r="N70" s="1151"/>
      <c r="O70" s="1151"/>
      <c r="P70" s="1151"/>
      <c r="Q70" s="1151"/>
      <c r="R70" s="1151"/>
      <c r="S70" s="1151"/>
      <c r="T70" s="1151"/>
      <c r="U70" s="1151"/>
      <c r="V70" s="1151"/>
    </row>
    <row r="71" spans="1:39" ht="13.5" customHeight="1" x14ac:dyDescent="0.2">
      <c r="A71" s="1151" t="s">
        <v>2381</v>
      </c>
      <c r="B71" s="1151"/>
      <c r="C71" s="1151"/>
      <c r="D71" s="1281">
        <f>AVERAGE(D33:D34)</f>
        <v>14</v>
      </c>
      <c r="E71" s="1282">
        <f t="shared" ref="E71:Q71" si="33">AVERAGE(E33:E34)</f>
        <v>14</v>
      </c>
      <c r="F71" s="1282">
        <f t="shared" si="33"/>
        <v>14</v>
      </c>
      <c r="G71" s="1282">
        <f t="shared" si="33"/>
        <v>14</v>
      </c>
      <c r="H71" s="1282">
        <f t="shared" si="33"/>
        <v>14</v>
      </c>
      <c r="I71" s="1282">
        <f t="shared" si="33"/>
        <v>14</v>
      </c>
      <c r="J71" s="1282">
        <f t="shared" si="33"/>
        <v>14</v>
      </c>
      <c r="K71" s="1283">
        <f t="shared" si="33"/>
        <v>14</v>
      </c>
      <c r="L71" s="1281">
        <f t="shared" si="33"/>
        <v>14</v>
      </c>
      <c r="M71" s="1282">
        <f t="shared" si="33"/>
        <v>14</v>
      </c>
      <c r="N71" s="1283">
        <f t="shared" si="33"/>
        <v>14</v>
      </c>
      <c r="O71" s="1281">
        <f t="shared" si="33"/>
        <v>12.5</v>
      </c>
      <c r="P71" s="1282">
        <f t="shared" si="33"/>
        <v>12.5</v>
      </c>
      <c r="Q71" s="1283">
        <f t="shared" si="33"/>
        <v>12.5</v>
      </c>
      <c r="R71" s="1151"/>
      <c r="S71" s="1151"/>
      <c r="T71" s="1151"/>
      <c r="U71" s="1151"/>
      <c r="V71" s="1151"/>
    </row>
    <row r="72" spans="1:39" ht="13.5" customHeight="1" x14ac:dyDescent="0.2">
      <c r="A72" s="1151" t="s">
        <v>2382</v>
      </c>
      <c r="B72" s="1151"/>
      <c r="C72" s="1151"/>
      <c r="D72" s="1279">
        <f>D77/D78</f>
        <v>17.952310732769277</v>
      </c>
      <c r="E72" s="1284">
        <f t="shared" ref="E72:Q72" si="34">E77/E78</f>
        <v>17.952310732769277</v>
      </c>
      <c r="F72" s="1284">
        <f t="shared" si="34"/>
        <v>17.952310732769277</v>
      </c>
      <c r="G72" s="1284">
        <f t="shared" si="34"/>
        <v>17.952310732769277</v>
      </c>
      <c r="H72" s="1284">
        <f t="shared" si="34"/>
        <v>13.842291097036892</v>
      </c>
      <c r="I72" s="1284">
        <f t="shared" si="34"/>
        <v>13.842291097036892</v>
      </c>
      <c r="J72" s="1284">
        <f t="shared" si="34"/>
        <v>13.842291097036892</v>
      </c>
      <c r="K72" s="1285">
        <f t="shared" si="34"/>
        <v>13.842291097036892</v>
      </c>
      <c r="L72" s="1279">
        <f t="shared" si="34"/>
        <v>16.750216472477977</v>
      </c>
      <c r="M72" s="1284">
        <f t="shared" si="34"/>
        <v>16.750216472477977</v>
      </c>
      <c r="N72" s="1285">
        <f t="shared" si="34"/>
        <v>16.750216472477977</v>
      </c>
      <c r="O72" s="1279">
        <f t="shared" si="34"/>
        <v>17.952310732769277</v>
      </c>
      <c r="P72" s="1284">
        <f t="shared" si="34"/>
        <v>17.952310732769277</v>
      </c>
      <c r="Q72" s="1285">
        <f t="shared" si="34"/>
        <v>17.952310732769277</v>
      </c>
      <c r="R72" s="1151"/>
      <c r="S72" s="1151"/>
      <c r="T72" s="1151"/>
      <c r="U72" s="1151"/>
      <c r="V72" s="1151"/>
    </row>
    <row r="73" spans="1:39" ht="13.5" customHeight="1" x14ac:dyDescent="0.2">
      <c r="A73" s="1151"/>
      <c r="D73" s="1334"/>
      <c r="E73" s="1335"/>
      <c r="F73" s="1335"/>
      <c r="G73" s="1335"/>
      <c r="H73" s="1335"/>
      <c r="I73" s="1335"/>
      <c r="J73" s="1335"/>
      <c r="K73" s="1335"/>
      <c r="L73" s="1335"/>
      <c r="M73" s="1335"/>
      <c r="N73" s="1335"/>
      <c r="O73" s="1335"/>
      <c r="P73" s="1335"/>
      <c r="Q73" s="1336"/>
      <c r="R73" s="1151"/>
      <c r="S73" s="1151"/>
      <c r="T73" s="1151"/>
      <c r="U73" s="1151"/>
      <c r="V73" s="1151"/>
    </row>
    <row r="74" spans="1:39" ht="13.5" customHeight="1" x14ac:dyDescent="0.2">
      <c r="A74" s="1151"/>
      <c r="E74" s="1151"/>
      <c r="F74" s="1151"/>
      <c r="G74" s="1151"/>
      <c r="H74" s="1151"/>
      <c r="I74" s="1151"/>
      <c r="J74" s="1151"/>
      <c r="K74" s="1151"/>
      <c r="L74" s="1151"/>
      <c r="M74" s="1151"/>
      <c r="N74" s="1151"/>
      <c r="O74" s="1151"/>
      <c r="P74" s="1151"/>
      <c r="Q74" s="1151"/>
      <c r="R74" s="1151"/>
      <c r="S74" s="1151"/>
      <c r="T74" s="1151"/>
      <c r="U74" s="1151"/>
      <c r="V74" s="1151"/>
      <c r="AD74" s="1096">
        <f t="array" ref="AD74:AE74">LINEST(LN(D31:Q31),LN(D22:Q22))</f>
        <v>1.7095261012783656</v>
      </c>
      <c r="AE74" s="1096">
        <v>4.6533694937023951</v>
      </c>
      <c r="AF74" s="1096">
        <f>EXP(AE74)</f>
        <v>104.93797839694815</v>
      </c>
      <c r="AK74" s="1103">
        <f t="array" ref="AK74:AL74">LINEST(LN(D37:Q37),LN(D35:Q35))</f>
        <v>2.0217323192461518</v>
      </c>
      <c r="AL74" s="1096">
        <v>5.9948075434376573</v>
      </c>
      <c r="AM74" s="1103">
        <f>EXP(AL74)</f>
        <v>401.33943614951659</v>
      </c>
    </row>
    <row r="75" spans="1:39" ht="13.5" customHeight="1" x14ac:dyDescent="0.2">
      <c r="A75" s="1151"/>
      <c r="E75" s="1151"/>
      <c r="F75" s="1151"/>
      <c r="G75" s="1151"/>
      <c r="H75" s="1151"/>
      <c r="I75" s="1151"/>
      <c r="J75" s="1151"/>
      <c r="K75" s="1151"/>
      <c r="L75" s="1151"/>
      <c r="M75" s="1151"/>
      <c r="N75" s="1151"/>
      <c r="O75" s="1151"/>
      <c r="P75" s="1151"/>
      <c r="Q75" s="1151"/>
      <c r="R75" s="1151"/>
      <c r="S75" s="1151"/>
      <c r="T75" s="1151"/>
      <c r="U75" s="1151"/>
      <c r="V75" s="1151"/>
    </row>
    <row r="76" spans="1:39" ht="13.5" customHeight="1" x14ac:dyDescent="0.2">
      <c r="A76" s="1151"/>
      <c r="B76" s="1151"/>
      <c r="C76" s="1151" t="s">
        <v>2384</v>
      </c>
      <c r="D76" s="1151">
        <f>LN(D25/100)+(17.27*D24)/(237.7+D24)</f>
        <v>1.2127267907975345</v>
      </c>
      <c r="E76" s="1151">
        <f t="shared" ref="E76:Q76" si="35">LN(E25/100)+(17.27*E24)/(237.7+E24)</f>
        <v>1.2127267907975345</v>
      </c>
      <c r="F76" s="1151">
        <f t="shared" si="35"/>
        <v>1.2127267907975345</v>
      </c>
      <c r="G76" s="1151">
        <f t="shared" si="35"/>
        <v>1.2127267907975345</v>
      </c>
      <c r="H76" s="1151">
        <f t="shared" si="35"/>
        <v>0.95036252633004337</v>
      </c>
      <c r="I76" s="1151">
        <f t="shared" si="35"/>
        <v>0.95036252633004337</v>
      </c>
      <c r="J76" s="1151">
        <f t="shared" si="35"/>
        <v>0.95036252633004337</v>
      </c>
      <c r="K76" s="1151">
        <f t="shared" si="35"/>
        <v>0.95036252633004337</v>
      </c>
      <c r="L76" s="1151">
        <f t="shared" si="35"/>
        <v>1.136867724028773</v>
      </c>
      <c r="M76" s="1151">
        <f t="shared" si="35"/>
        <v>1.136867724028773</v>
      </c>
      <c r="N76" s="1151">
        <f t="shared" si="35"/>
        <v>1.136867724028773</v>
      </c>
      <c r="O76" s="1151">
        <f t="shared" si="35"/>
        <v>1.2127267907975345</v>
      </c>
      <c r="P76" s="1151">
        <f t="shared" si="35"/>
        <v>1.2127267907975345</v>
      </c>
      <c r="Q76" s="1151">
        <f t="shared" si="35"/>
        <v>1.2127267907975345</v>
      </c>
      <c r="R76" s="1151"/>
      <c r="S76" s="1151"/>
      <c r="T76" s="1151"/>
      <c r="U76" s="1151"/>
      <c r="V76" s="1151"/>
    </row>
    <row r="77" spans="1:39" ht="13.5" customHeight="1" x14ac:dyDescent="0.2">
      <c r="B77" s="1151"/>
      <c r="C77" s="1151"/>
      <c r="D77" s="1151">
        <f>237.7*D76</f>
        <v>288.26515817257393</v>
      </c>
      <c r="E77" s="1151">
        <f t="shared" ref="E77:Q77" si="36">237.7*E76</f>
        <v>288.26515817257393</v>
      </c>
      <c r="F77" s="1151">
        <f t="shared" si="36"/>
        <v>288.26515817257393</v>
      </c>
      <c r="G77" s="1151">
        <f t="shared" si="36"/>
        <v>288.26515817257393</v>
      </c>
      <c r="H77" s="1151">
        <f t="shared" si="36"/>
        <v>225.90117250865129</v>
      </c>
      <c r="I77" s="1151">
        <f t="shared" si="36"/>
        <v>225.90117250865129</v>
      </c>
      <c r="J77" s="1151">
        <f t="shared" si="36"/>
        <v>225.90117250865129</v>
      </c>
      <c r="K77" s="1151">
        <f t="shared" si="36"/>
        <v>225.90117250865129</v>
      </c>
      <c r="L77" s="1151">
        <f t="shared" si="36"/>
        <v>270.23345800163935</v>
      </c>
      <c r="M77" s="1151">
        <f t="shared" si="36"/>
        <v>270.23345800163935</v>
      </c>
      <c r="N77" s="1151">
        <f t="shared" si="36"/>
        <v>270.23345800163935</v>
      </c>
      <c r="O77" s="1151">
        <f t="shared" si="36"/>
        <v>288.26515817257393</v>
      </c>
      <c r="P77" s="1151">
        <f t="shared" si="36"/>
        <v>288.26515817257393</v>
      </c>
      <c r="Q77" s="1151">
        <f t="shared" si="36"/>
        <v>288.26515817257393</v>
      </c>
    </row>
    <row r="78" spans="1:39" ht="13.5" customHeight="1" x14ac:dyDescent="0.2">
      <c r="B78" s="1151"/>
      <c r="C78" s="1151"/>
      <c r="D78" s="1151">
        <f>17.27-D76</f>
        <v>16.057273209202464</v>
      </c>
      <c r="E78" s="1151">
        <f t="shared" ref="E78:Q78" si="37">17.27-E76</f>
        <v>16.057273209202464</v>
      </c>
      <c r="F78" s="1151">
        <f t="shared" si="37"/>
        <v>16.057273209202464</v>
      </c>
      <c r="G78" s="1151">
        <f t="shared" si="37"/>
        <v>16.057273209202464</v>
      </c>
      <c r="H78" s="1151">
        <f t="shared" si="37"/>
        <v>16.319637473669957</v>
      </c>
      <c r="I78" s="1151">
        <f t="shared" si="37"/>
        <v>16.319637473669957</v>
      </c>
      <c r="J78" s="1151">
        <f t="shared" si="37"/>
        <v>16.319637473669957</v>
      </c>
      <c r="K78" s="1151">
        <f t="shared" si="37"/>
        <v>16.319637473669957</v>
      </c>
      <c r="L78" s="1151">
        <f t="shared" si="37"/>
        <v>16.133132275971228</v>
      </c>
      <c r="M78" s="1151">
        <f t="shared" si="37"/>
        <v>16.133132275971228</v>
      </c>
      <c r="N78" s="1151">
        <f t="shared" si="37"/>
        <v>16.133132275971228</v>
      </c>
      <c r="O78" s="1151">
        <f t="shared" si="37"/>
        <v>16.057273209202464</v>
      </c>
      <c r="P78" s="1151">
        <f t="shared" si="37"/>
        <v>16.057273209202464</v>
      </c>
      <c r="Q78" s="1151">
        <f t="shared" si="37"/>
        <v>16.057273209202464</v>
      </c>
    </row>
    <row r="79" spans="1:39" ht="13.5" customHeight="1" x14ac:dyDescent="0.2"/>
    <row r="80" spans="1:39" ht="13.5" customHeight="1" x14ac:dyDescent="0.2"/>
    <row r="81" spans="2:60" ht="13.5" customHeight="1" x14ac:dyDescent="0.2">
      <c r="D81" s="1103" t="s">
        <v>2385</v>
      </c>
    </row>
    <row r="82" spans="2:60" ht="13.5" customHeight="1" x14ac:dyDescent="0.2">
      <c r="D82" s="1097" t="s">
        <v>289</v>
      </c>
      <c r="E82" s="1097" t="s">
        <v>2253</v>
      </c>
      <c r="F82" s="1097" t="s">
        <v>2386</v>
      </c>
      <c r="G82" s="1097" t="s">
        <v>47</v>
      </c>
      <c r="H82" s="1097" t="s">
        <v>2288</v>
      </c>
      <c r="V82" s="1103" t="s">
        <v>2231</v>
      </c>
      <c r="W82" s="1097"/>
      <c r="X82" s="1097"/>
      <c r="Y82" s="1097"/>
      <c r="Z82" s="1097"/>
    </row>
    <row r="83" spans="2:60" ht="13.5" customHeight="1" x14ac:dyDescent="0.2">
      <c r="D83" s="1097">
        <f>$K$62</f>
        <v>0.5</v>
      </c>
      <c r="E83" s="1143">
        <f>$K$69</f>
        <v>6.8500000000000014</v>
      </c>
      <c r="F83" s="1143">
        <f>$K$68</f>
        <v>6.848904969449757</v>
      </c>
      <c r="G83" s="1097">
        <f>$K$63</f>
        <v>5.0999999999999996</v>
      </c>
      <c r="H83" s="1097">
        <f>$K$35</f>
        <v>0.15</v>
      </c>
      <c r="J83" s="1103">
        <f t="array" ref="J83:K83">LINEST(LN(G83:G85),LN(E83:E85))</f>
        <v>1.7715691820205597</v>
      </c>
      <c r="K83" s="1096">
        <v>-1.7774824903779709</v>
      </c>
      <c r="L83" s="1103">
        <f>EXP(K83)</f>
        <v>0.16906323027775871</v>
      </c>
      <c r="V83" s="1097"/>
      <c r="W83" s="1097"/>
      <c r="X83" s="1097"/>
      <c r="Y83" s="1097"/>
      <c r="Z83" s="1097"/>
    </row>
    <row r="84" spans="2:60" ht="13.5" customHeight="1" x14ac:dyDescent="0.25">
      <c r="D84" s="1097">
        <f>$G$62</f>
        <v>0.5</v>
      </c>
      <c r="E84" s="1143">
        <f>$G$69</f>
        <v>7.1999999999999993</v>
      </c>
      <c r="F84" s="1143">
        <f>$G$68</f>
        <v>7.1981477669545928</v>
      </c>
      <c r="G84" s="1097">
        <f>$G$63</f>
        <v>5.6</v>
      </c>
      <c r="H84" s="1097">
        <f>$G$35</f>
        <v>0.17</v>
      </c>
      <c r="V84" s="1096" t="s">
        <v>485</v>
      </c>
      <c r="W84" s="1097"/>
      <c r="X84" s="1110">
        <f>'C5 Jäähdytys'!E13</f>
        <v>450</v>
      </c>
      <c r="Y84" s="1097" t="s">
        <v>13</v>
      </c>
      <c r="Z84" s="1096" t="s">
        <v>2387</v>
      </c>
      <c r="AA84" s="1097" t="s">
        <v>2234</v>
      </c>
      <c r="AC84" s="1096" t="s">
        <v>2235</v>
      </c>
      <c r="AE84" s="1096" t="s">
        <v>2388</v>
      </c>
      <c r="AG84" s="1096" t="s">
        <v>2389</v>
      </c>
      <c r="AM84" s="1096" t="s">
        <v>2437</v>
      </c>
    </row>
    <row r="85" spans="2:60" ht="13.5" customHeight="1" x14ac:dyDescent="0.25">
      <c r="D85" s="1097">
        <f>$Q$62</f>
        <v>0.5</v>
      </c>
      <c r="E85" s="1143">
        <f>$Q$69</f>
        <v>8.25</v>
      </c>
      <c r="F85" s="1143">
        <f>$Q$68</f>
        <v>8.1247418810100456</v>
      </c>
      <c r="G85" s="1097">
        <f>$Q$63</f>
        <v>7.1</v>
      </c>
      <c r="H85" s="1097">
        <f>$Q$35</f>
        <v>0.34</v>
      </c>
      <c r="V85" s="1096" t="s">
        <v>2237</v>
      </c>
      <c r="W85" s="1097"/>
      <c r="X85" s="1110">
        <f>'C5 Jäähdytys'!E14</f>
        <v>25</v>
      </c>
      <c r="Y85" s="1097" t="s">
        <v>230</v>
      </c>
      <c r="Z85" s="1286">
        <f>'C5 Jäähdytys'!E15</f>
        <v>65</v>
      </c>
      <c r="AA85" s="1097">
        <f>1.293*273.15/(X85+273.15)</f>
        <v>1.1845814187489518</v>
      </c>
      <c r="AB85" s="1096" t="s">
        <v>2238</v>
      </c>
      <c r="AC85" s="1096">
        <f>1005+0.2*X85</f>
        <v>1010</v>
      </c>
      <c r="AD85" s="1096" t="s">
        <v>2239</v>
      </c>
      <c r="AE85" s="1096">
        <f>LN(Z85/100)+(17.27*X85)/(237.7+X85)</f>
        <v>1.2127267907975345</v>
      </c>
      <c r="AG85" s="1096">
        <f>0.622*(Z85/100*6.112*EXP((17.67*X85)/(X85+243.5)))/(1013.25-(Z85/100*6.112*EXP((17.67*X85)/(X85+243.5))))</f>
        <v>1.2900585465042545E-2</v>
      </c>
      <c r="AH85" s="1096" t="s">
        <v>2390</v>
      </c>
      <c r="AM85" s="1344">
        <f>$AF$74*(X84/1000)^($AD$74)</f>
        <v>26.797262718913391</v>
      </c>
      <c r="AN85" s="1096" t="s">
        <v>14</v>
      </c>
    </row>
    <row r="86" spans="2:60" ht="13.5" customHeight="1" x14ac:dyDescent="0.25">
      <c r="B86" s="1287" t="s">
        <v>2391</v>
      </c>
      <c r="C86" s="1288"/>
      <c r="D86" s="1289">
        <f>$N$62</f>
        <v>0.5</v>
      </c>
      <c r="E86" s="1290">
        <f>$N$69</f>
        <v>9.6499999999999986</v>
      </c>
      <c r="F86" s="1290">
        <f>$N$68</f>
        <v>9.4561258585245938</v>
      </c>
      <c r="G86" s="1289">
        <f>$N$63</f>
        <v>8</v>
      </c>
      <c r="H86" s="1289">
        <f>$N$36</f>
        <v>0.68</v>
      </c>
      <c r="V86" s="1096" t="s">
        <v>2241</v>
      </c>
      <c r="W86" s="1097"/>
      <c r="X86" s="1110">
        <f>'C5 Jäähdytys'!E16</f>
        <v>17</v>
      </c>
      <c r="Y86" s="1097" t="s">
        <v>230</v>
      </c>
      <c r="Z86" s="1115">
        <f>AG89*100</f>
        <v>85.596277677513697</v>
      </c>
      <c r="AA86" s="1097">
        <f>1.293*273.15/(X86+273.15)</f>
        <v>1.2172426331207995</v>
      </c>
      <c r="AB86" s="1096" t="s">
        <v>2238</v>
      </c>
      <c r="AC86" s="1096">
        <f>1005+0.2*X86</f>
        <v>1008.4</v>
      </c>
      <c r="AD86" s="1096" t="s">
        <v>2239</v>
      </c>
      <c r="AG86" s="1096">
        <f>0.622*(Z86/100*6.112*EXP((17.67*X86)/(X86+243.5)))/(1013.25-(Z86/100*6.112*EXP((17.67*X86)/(X86+243.5))))</f>
        <v>1.0343609912842408E-2</v>
      </c>
      <c r="AH86" s="1096" t="s">
        <v>2390</v>
      </c>
      <c r="AI86" s="1096" t="s">
        <v>2392</v>
      </c>
    </row>
    <row r="87" spans="2:60" ht="13.5" customHeight="1" x14ac:dyDescent="0.2">
      <c r="Z87" s="1143">
        <v>98.6</v>
      </c>
      <c r="AG87" s="1096">
        <f>AG85*(1-AG93)</f>
        <v>1.0343609912842409E-2</v>
      </c>
      <c r="AH87" s="1096" t="s">
        <v>2390</v>
      </c>
      <c r="AI87" s="1096" t="s">
        <v>2393</v>
      </c>
    </row>
    <row r="88" spans="2:60" ht="13.5" customHeight="1" x14ac:dyDescent="0.2">
      <c r="D88" s="1103" t="s">
        <v>2394</v>
      </c>
      <c r="V88" s="1096" t="s">
        <v>2245</v>
      </c>
      <c r="W88" s="1097"/>
      <c r="X88" s="1097"/>
      <c r="Y88" s="1097"/>
      <c r="Z88" s="1097"/>
      <c r="AG88" s="1096">
        <f>(AG87*1013.25/(AG87+0.622))/(6.112*EXP(17.67*X86/(X86+243.5)))</f>
        <v>0.85596277677513699</v>
      </c>
      <c r="BH88" s="1096" t="s">
        <v>2417</v>
      </c>
    </row>
    <row r="89" spans="2:60" ht="13.5" customHeight="1" x14ac:dyDescent="0.25">
      <c r="D89" s="1097" t="s">
        <v>289</v>
      </c>
      <c r="E89" s="1097" t="s">
        <v>2253</v>
      </c>
      <c r="F89" s="1097" t="s">
        <v>2386</v>
      </c>
      <c r="G89" s="1097" t="s">
        <v>47</v>
      </c>
      <c r="H89" s="1097" t="s">
        <v>2288</v>
      </c>
      <c r="V89" s="1097" t="s">
        <v>2247</v>
      </c>
      <c r="W89" s="1097"/>
      <c r="X89" s="1110">
        <f>'C5 Jäähdytys'!E21</f>
        <v>7</v>
      </c>
      <c r="Y89" s="1097" t="s">
        <v>230</v>
      </c>
      <c r="Z89" s="1097"/>
      <c r="AG89" s="1096">
        <f>IF(AG88&gt;0.986,0.986,AG88)</f>
        <v>0.85596277677513699</v>
      </c>
    </row>
    <row r="90" spans="2:60" ht="17" x14ac:dyDescent="0.25">
      <c r="D90" s="1097">
        <f>$J$62</f>
        <v>0.4</v>
      </c>
      <c r="E90" s="1143">
        <f>$J$69</f>
        <v>6.6499999999999986</v>
      </c>
      <c r="F90" s="1143">
        <f>$J$68</f>
        <v>6.6438551067209355</v>
      </c>
      <c r="G90" s="1097">
        <f>$J$63</f>
        <v>4.3</v>
      </c>
      <c r="H90" s="1097">
        <f>$J$35</f>
        <v>0.13</v>
      </c>
      <c r="J90" s="1103">
        <f t="array" ref="J90:K90">LINEST(LN(G90:G92),LN(E90:E92))</f>
        <v>2.0800610123605257</v>
      </c>
      <c r="K90" s="1096">
        <v>-2.4869733196317156</v>
      </c>
      <c r="L90" s="1103">
        <f>EXP(K90)</f>
        <v>8.3161288687333218E-2</v>
      </c>
      <c r="V90" s="1097" t="s">
        <v>2251</v>
      </c>
      <c r="W90" s="1097"/>
      <c r="X90" s="1110">
        <f>'C5 Jäähdytys'!E22</f>
        <v>12</v>
      </c>
      <c r="Y90" s="1097" t="s">
        <v>230</v>
      </c>
      <c r="Z90" s="1097"/>
      <c r="AA90" s="1096" t="s">
        <v>2253</v>
      </c>
      <c r="AB90" s="1291">
        <f>AVERAGE(X85:X86)-AVERAGE(X89:X90)</f>
        <v>11.5</v>
      </c>
    </row>
    <row r="91" spans="2:60" x14ac:dyDescent="0.2">
      <c r="D91" s="1097">
        <f>$F$62</f>
        <v>0.4</v>
      </c>
      <c r="E91" s="1143">
        <f>$F$69</f>
        <v>7.0500000000000007</v>
      </c>
      <c r="F91" s="1143">
        <f>$F$68</f>
        <v>7.0498817951047856</v>
      </c>
      <c r="G91" s="1097">
        <f>$F$63</f>
        <v>4.8</v>
      </c>
      <c r="H91" s="1097">
        <f>$F$35</f>
        <v>0.14000000000000001</v>
      </c>
      <c r="V91" s="1097" t="s">
        <v>2395</v>
      </c>
      <c r="X91" s="1097">
        <f>X85-X90</f>
        <v>13</v>
      </c>
      <c r="AA91" s="1096" t="s">
        <v>2386</v>
      </c>
      <c r="AB91" s="1291">
        <f>IF(X91=X92,X91,(X91-X92)/LN(X91/X92))</f>
        <v>11.434484060125204</v>
      </c>
    </row>
    <row r="92" spans="2:60" x14ac:dyDescent="0.2">
      <c r="D92" s="1097">
        <f>$P$62</f>
        <v>0.4</v>
      </c>
      <c r="E92" s="1143">
        <f>$P$69</f>
        <v>8</v>
      </c>
      <c r="F92" s="1143">
        <f>$P$68</f>
        <v>7.8304607558848698</v>
      </c>
      <c r="G92" s="1097">
        <f>$P$63</f>
        <v>6.3</v>
      </c>
      <c r="H92" s="1097">
        <f>$P$35</f>
        <v>0.3</v>
      </c>
      <c r="V92" s="1097" t="s">
        <v>2396</v>
      </c>
      <c r="X92" s="1097">
        <f>X86-X89</f>
        <v>10</v>
      </c>
      <c r="AC92" s="1096" t="s">
        <v>91</v>
      </c>
      <c r="AD92" s="1243">
        <v>2</v>
      </c>
    </row>
    <row r="93" spans="2:60" ht="17" x14ac:dyDescent="0.25">
      <c r="B93" s="1287" t="s">
        <v>2391</v>
      </c>
      <c r="D93" s="1289">
        <f>$M$62</f>
        <v>0.4</v>
      </c>
      <c r="E93" s="1290">
        <f>$M$69</f>
        <v>9.3500000000000014</v>
      </c>
      <c r="F93" s="1290">
        <f>$M$68</f>
        <v>9.0940425050081988</v>
      </c>
      <c r="G93" s="1289">
        <f>$M$63</f>
        <v>6.9</v>
      </c>
      <c r="H93" s="1289">
        <f>$M$36</f>
        <v>0.6</v>
      </c>
      <c r="V93" s="1097" t="s">
        <v>2382</v>
      </c>
      <c r="W93" s="1097" t="s">
        <v>2237</v>
      </c>
      <c r="X93" s="1115">
        <f>(237.7*AE85)/(17.27-AE85)</f>
        <v>17.952310732769277</v>
      </c>
      <c r="Y93" s="1097" t="s">
        <v>230</v>
      </c>
      <c r="AA93" s="1096" t="s">
        <v>2397</v>
      </c>
      <c r="AD93" s="1292">
        <f>IF(X93&lt;X89,0,(X93-X89)/(X90-X89))</f>
        <v>2.1904621465538554</v>
      </c>
      <c r="AE93" s="1358">
        <f>IF(AD93&gt;AD92,AD92,AD93)</f>
        <v>2</v>
      </c>
      <c r="AG93" s="1293">
        <f>AM33*AE93^AK33</f>
        <v>0.198206163520944</v>
      </c>
      <c r="AH93" s="1096" t="s">
        <v>2398</v>
      </c>
    </row>
    <row r="95" spans="2:60" x14ac:dyDescent="0.2">
      <c r="D95" s="1103" t="s">
        <v>2399</v>
      </c>
      <c r="V95" s="1096" t="s">
        <v>2400</v>
      </c>
      <c r="W95" s="1097"/>
      <c r="X95" s="1111">
        <f>X84/1000*AVERAGE(AA85:AA86)*AVERAGE(AC85:AC86)*(X85-X86)/1000</f>
        <v>4.3630574996645164</v>
      </c>
      <c r="Y95" s="1097" t="s">
        <v>2259</v>
      </c>
      <c r="Z95" s="1097"/>
      <c r="AA95" s="1096" t="s">
        <v>2354</v>
      </c>
      <c r="AB95" s="1111">
        <f>X84/1000*AVERAGE(AA85:AA86)*(AG85-AG86)*2500</f>
        <v>3.4545405269909422</v>
      </c>
      <c r="AC95" s="1096" t="s">
        <v>2259</v>
      </c>
    </row>
    <row r="96" spans="2:60" x14ac:dyDescent="0.2">
      <c r="D96" s="1097" t="s">
        <v>289</v>
      </c>
      <c r="E96" s="1097" t="s">
        <v>2253</v>
      </c>
      <c r="F96" s="1097" t="s">
        <v>2386</v>
      </c>
      <c r="G96" s="1097" t="s">
        <v>47</v>
      </c>
      <c r="H96" s="1097" t="s">
        <v>2288</v>
      </c>
      <c r="V96" s="1096" t="s">
        <v>2401</v>
      </c>
      <c r="X96" s="1121">
        <f>X95+AB97</f>
        <v>7.8175980266554586</v>
      </c>
      <c r="Y96" s="1096" t="s">
        <v>2259</v>
      </c>
      <c r="Z96" s="1097"/>
      <c r="AA96" s="1096" t="s">
        <v>2354</v>
      </c>
      <c r="AB96" s="1111">
        <f>X84/1000*AVERAGE(AA85:AA86)*(AG85-AG87)*2500</f>
        <v>3.4545405269909399</v>
      </c>
      <c r="AC96" s="1096" t="s">
        <v>2259</v>
      </c>
    </row>
    <row r="97" spans="2:36" x14ac:dyDescent="0.2">
      <c r="D97" s="1097">
        <f>$I$62</f>
        <v>0.3</v>
      </c>
      <c r="E97" s="1143">
        <f>$I$69</f>
        <v>6.3999999999999986</v>
      </c>
      <c r="F97" s="1143">
        <f>$I$68</f>
        <v>6.3812058512118321</v>
      </c>
      <c r="G97" s="1097">
        <f>$I$63</f>
        <v>3.4</v>
      </c>
      <c r="H97" s="1097">
        <f>$I$35</f>
        <v>0.1</v>
      </c>
      <c r="J97" s="1103">
        <f t="array" ref="J97:K97">LINEST(LN(G97:G99),LN(E97:E99))</f>
        <v>2.219930093763224</v>
      </c>
      <c r="K97" s="1096">
        <v>-2.8970763401827329</v>
      </c>
      <c r="L97" s="1103">
        <f>EXP(K97)</f>
        <v>5.5184324626624683E-2</v>
      </c>
      <c r="V97" s="1096" t="s">
        <v>2260</v>
      </c>
      <c r="W97" s="1097"/>
      <c r="X97" s="1115">
        <f>(X96/$L$106)^(1/$J$106)</f>
        <v>8.8102037696985089</v>
      </c>
      <c r="Y97" s="1097" t="s">
        <v>496</v>
      </c>
      <c r="Z97" s="1097"/>
      <c r="AA97" s="1096" t="s">
        <v>21</v>
      </c>
      <c r="AB97" s="1121">
        <f>IF(X93&gt;X90,AB95,AB96)</f>
        <v>3.4545405269909422</v>
      </c>
      <c r="AC97" s="1096" t="s">
        <v>2259</v>
      </c>
    </row>
    <row r="98" spans="2:36" x14ac:dyDescent="0.2">
      <c r="D98" s="1097">
        <f>$O$62</f>
        <v>0.3</v>
      </c>
      <c r="E98" s="1143">
        <f>$O$69</f>
        <v>7.75</v>
      </c>
      <c r="F98" s="1143">
        <f>$O$68</f>
        <v>7.5271353133251084</v>
      </c>
      <c r="G98" s="1097">
        <f>$O$63</f>
        <v>5.2</v>
      </c>
      <c r="H98" s="1097">
        <f>$O$35</f>
        <v>0.25</v>
      </c>
    </row>
    <row r="99" spans="2:36" x14ac:dyDescent="0.2">
      <c r="D99" s="1097">
        <f>$O$62</f>
        <v>0.3</v>
      </c>
      <c r="E99" s="1143">
        <f>$O$69</f>
        <v>7.75</v>
      </c>
      <c r="F99" s="1143">
        <f>$O$68</f>
        <v>7.5271353133251084</v>
      </c>
      <c r="G99" s="1097">
        <f>$O$63</f>
        <v>5.2</v>
      </c>
      <c r="H99" s="1097">
        <f>$O$35</f>
        <v>0.25</v>
      </c>
    </row>
    <row r="100" spans="2:36" x14ac:dyDescent="0.2">
      <c r="B100" s="1287" t="s">
        <v>2391</v>
      </c>
      <c r="D100" s="1289">
        <f>$L$62</f>
        <v>0.3</v>
      </c>
      <c r="E100" s="1290">
        <f>$L$69</f>
        <v>9.0500000000000007</v>
      </c>
      <c r="F100" s="1290">
        <f>$L$68</f>
        <v>8.7198405282042089</v>
      </c>
      <c r="G100" s="1289">
        <f>$L$63</f>
        <v>5.7</v>
      </c>
      <c r="H100" s="1289">
        <f>$L$36</f>
        <v>0.49</v>
      </c>
      <c r="V100" s="1096" t="s">
        <v>2264</v>
      </c>
      <c r="W100" s="1097"/>
      <c r="X100" s="1097"/>
      <c r="Y100" s="1097"/>
      <c r="Z100" s="1097"/>
      <c r="AA100" s="1096" t="s">
        <v>2265</v>
      </c>
      <c r="AB100" s="1097"/>
      <c r="AC100" s="1097"/>
      <c r="AD100" s="1097"/>
      <c r="AG100" s="1096" t="s">
        <v>2402</v>
      </c>
    </row>
    <row r="101" spans="2:36" ht="17" x14ac:dyDescent="0.25">
      <c r="V101" s="1097" t="s">
        <v>2247</v>
      </c>
      <c r="X101" s="1294">
        <f>X89</f>
        <v>7</v>
      </c>
      <c r="Y101" s="1097" t="s">
        <v>230</v>
      </c>
      <c r="AA101" s="1097" t="s">
        <v>2247</v>
      </c>
      <c r="AB101" s="1097"/>
      <c r="AC101" s="1295">
        <f>X85+X86-X90-2*X97</f>
        <v>12.379592460602982</v>
      </c>
      <c r="AD101" s="1097" t="s">
        <v>230</v>
      </c>
      <c r="AG101" s="1097" t="s">
        <v>2247</v>
      </c>
      <c r="AI101" s="1294">
        <f>X89</f>
        <v>7</v>
      </c>
      <c r="AJ101" s="1097" t="s">
        <v>230</v>
      </c>
    </row>
    <row r="102" spans="2:36" ht="17" x14ac:dyDescent="0.25">
      <c r="V102" s="1097" t="s">
        <v>2251</v>
      </c>
      <c r="W102" s="1097"/>
      <c r="X102" s="1296">
        <f>X85+X86-X89-2*X97</f>
        <v>17.379592460602982</v>
      </c>
      <c r="Y102" s="1097" t="s">
        <v>230</v>
      </c>
      <c r="Z102" s="1097"/>
      <c r="AA102" s="1097" t="s">
        <v>2251</v>
      </c>
      <c r="AC102" s="1294">
        <f>X90</f>
        <v>12</v>
      </c>
      <c r="AD102" s="1097" t="s">
        <v>230</v>
      </c>
      <c r="AF102" s="1297"/>
      <c r="AG102" s="1097" t="s">
        <v>2251</v>
      </c>
      <c r="AI102" s="1294">
        <f>X90</f>
        <v>12</v>
      </c>
      <c r="AJ102" s="1097" t="s">
        <v>230</v>
      </c>
    </row>
    <row r="103" spans="2:36" x14ac:dyDescent="0.2">
      <c r="D103" s="1103" t="s">
        <v>2403</v>
      </c>
      <c r="N103" s="1132" t="s">
        <v>2253</v>
      </c>
      <c r="O103" s="1133" t="s">
        <v>289</v>
      </c>
      <c r="P103" s="1134" t="s">
        <v>47</v>
      </c>
      <c r="V103" s="1097" t="s">
        <v>498</v>
      </c>
      <c r="W103" s="1097"/>
      <c r="X103" s="1120">
        <f>X96/(X102-X89)/4.186</f>
        <v>0.17992595220875163</v>
      </c>
      <c r="Y103" s="1097" t="s">
        <v>13</v>
      </c>
      <c r="Z103" s="1097"/>
      <c r="AA103" s="1097" t="s">
        <v>498</v>
      </c>
      <c r="AB103" s="1097"/>
      <c r="AC103" s="1298">
        <f>X96/(X90-AC101)/4.186</f>
        <v>-4.9199029244315264</v>
      </c>
      <c r="AD103" s="1097" t="s">
        <v>13</v>
      </c>
      <c r="AG103" s="1097" t="s">
        <v>498</v>
      </c>
      <c r="AH103" s="1097"/>
      <c r="AI103" s="1299">
        <f>X96/(X90-X89)/4.186</f>
        <v>0.37351161140255418</v>
      </c>
      <c r="AJ103" s="1097" t="s">
        <v>13</v>
      </c>
    </row>
    <row r="104" spans="2:36" x14ac:dyDescent="0.2">
      <c r="N104" s="1137">
        <v>14</v>
      </c>
      <c r="O104" s="1138">
        <f>D83</f>
        <v>0.5</v>
      </c>
      <c r="P104" s="1300">
        <f>$L$83*N104^$J$83</f>
        <v>18.134027475388788</v>
      </c>
      <c r="V104" s="1097" t="s">
        <v>499</v>
      </c>
      <c r="W104" s="1097"/>
      <c r="X104" s="1120">
        <f>$AM$74*X103^$AK$74</f>
        <v>12.517307365032289</v>
      </c>
      <c r="Y104" s="1097" t="s">
        <v>500</v>
      </c>
      <c r="Z104" s="1097"/>
      <c r="AA104" s="1097" t="s">
        <v>499</v>
      </c>
      <c r="AB104" s="1097"/>
      <c r="AC104" s="1120" t="e">
        <f>$AM$74*AC103^$AK$74</f>
        <v>#NUM!</v>
      </c>
      <c r="AD104" s="1097" t="s">
        <v>500</v>
      </c>
      <c r="AG104" s="1097" t="s">
        <v>499</v>
      </c>
      <c r="AH104" s="1097"/>
      <c r="AI104" s="1120">
        <f>$AM$74*AI103^$AK$74</f>
        <v>54.805636658196335</v>
      </c>
      <c r="AJ104" s="1097" t="s">
        <v>500</v>
      </c>
    </row>
    <row r="105" spans="2:36" x14ac:dyDescent="0.2">
      <c r="D105" s="1097" t="s">
        <v>289</v>
      </c>
      <c r="E105" s="1097" t="s">
        <v>2253</v>
      </c>
      <c r="F105" s="1097" t="s">
        <v>2386</v>
      </c>
      <c r="G105" s="1097" t="s">
        <v>47</v>
      </c>
      <c r="H105" s="1097"/>
      <c r="N105" s="1139">
        <v>14</v>
      </c>
      <c r="O105" s="1097">
        <f>D90</f>
        <v>0.4</v>
      </c>
      <c r="P105" s="1300">
        <f>$L$90*N105^$J$90</f>
        <v>20.134342538186655</v>
      </c>
      <c r="W105" s="1096" t="s">
        <v>2253</v>
      </c>
      <c r="X105" s="1143">
        <f>AVERAGE(X85:X86)-AVERAGE(X102,X89)</f>
        <v>8.8102037696985089</v>
      </c>
      <c r="Y105" s="1097"/>
      <c r="Z105" s="1097"/>
      <c r="AB105" s="1096" t="s">
        <v>2253</v>
      </c>
      <c r="AC105" s="1143">
        <f>AVERAGE(X85:X86)-AVERAGE(AC101,X90)</f>
        <v>8.8102037696985089</v>
      </c>
    </row>
    <row r="106" spans="2:36" x14ac:dyDescent="0.2">
      <c r="D106" s="1097">
        <f>X84/1000</f>
        <v>0.45</v>
      </c>
      <c r="E106" s="1143">
        <f>N104</f>
        <v>14</v>
      </c>
      <c r="F106" s="1143"/>
      <c r="G106" s="1153">
        <f>P107*D106^N107</f>
        <v>18.8834302384506</v>
      </c>
      <c r="H106" s="1097"/>
      <c r="J106" s="1103">
        <f t="array" ref="J106:K106">LINEST(LN(G106:G108),LN(E106:E108))</f>
        <v>1.9041642001961006</v>
      </c>
      <c r="K106" s="1096">
        <v>-2.0869136587454968</v>
      </c>
      <c r="L106" s="1103">
        <f>EXP(K106)</f>
        <v>0.12406946622494358</v>
      </c>
      <c r="N106" s="1140">
        <v>14</v>
      </c>
      <c r="O106" s="1141">
        <f>D97</f>
        <v>0.3</v>
      </c>
      <c r="P106" s="1301">
        <f>$L$97*N106^$J$97</f>
        <v>19.325905407568257</v>
      </c>
      <c r="X106" s="1143">
        <f>X85-X102</f>
        <v>7.6204075393970179</v>
      </c>
    </row>
    <row r="107" spans="2:36" x14ac:dyDescent="0.2">
      <c r="D107" s="1097">
        <f>D106</f>
        <v>0.45</v>
      </c>
      <c r="E107" s="1143">
        <f>N110</f>
        <v>11</v>
      </c>
      <c r="F107" s="1143"/>
      <c r="G107" s="1153">
        <f>P113*D107^N113</f>
        <v>11.930196123973792</v>
      </c>
      <c r="H107" s="1097"/>
      <c r="N107" s="1103">
        <f t="array" ref="N107:O107">LINEST(LN(P104:P106),LN(O104:O106))</f>
        <v>-0.1120134590459721</v>
      </c>
      <c r="O107" s="1096">
        <v>2.8488412214448164</v>
      </c>
      <c r="P107" s="1103">
        <f>EXP(O107)</f>
        <v>17.26776073196006</v>
      </c>
      <c r="X107" s="1097">
        <f>X86-X101</f>
        <v>10</v>
      </c>
    </row>
    <row r="108" spans="2:36" x14ac:dyDescent="0.2">
      <c r="D108" s="1097">
        <f>D107</f>
        <v>0.45</v>
      </c>
      <c r="E108" s="1143">
        <f>N116</f>
        <v>7</v>
      </c>
      <c r="F108" s="1143"/>
      <c r="G108" s="1153">
        <f>P119*D108^N119</f>
        <v>5.0451066023713613</v>
      </c>
      <c r="H108" s="1097"/>
      <c r="X108" s="1125">
        <f>(X106-X107)/LN(X106/X107)</f>
        <v>8.7563810886260942</v>
      </c>
    </row>
    <row r="109" spans="2:36" x14ac:dyDescent="0.2">
      <c r="N109" s="1132" t="s">
        <v>2253</v>
      </c>
      <c r="O109" s="1133" t="s">
        <v>289</v>
      </c>
      <c r="P109" s="1134" t="s">
        <v>47</v>
      </c>
    </row>
    <row r="110" spans="2:36" x14ac:dyDescent="0.2">
      <c r="N110" s="1137">
        <v>11</v>
      </c>
      <c r="O110" s="1138">
        <f>O104</f>
        <v>0.5</v>
      </c>
      <c r="P110" s="1300">
        <f>$L$83*N110^$J$83</f>
        <v>11.829008671379444</v>
      </c>
      <c r="V110" s="1096" t="s">
        <v>2271</v>
      </c>
      <c r="X110" s="1097">
        <v>5</v>
      </c>
      <c r="Y110" s="1096" t="s">
        <v>2272</v>
      </c>
      <c r="AA110" s="1096" t="s">
        <v>2271</v>
      </c>
      <c r="AC110" s="1097">
        <v>5</v>
      </c>
      <c r="AD110" s="1096" t="s">
        <v>2272</v>
      </c>
      <c r="AG110" s="1096" t="s">
        <v>2271</v>
      </c>
      <c r="AI110" s="1097">
        <v>5</v>
      </c>
      <c r="AJ110" s="1096" t="s">
        <v>2272</v>
      </c>
    </row>
    <row r="111" spans="2:36" x14ac:dyDescent="0.2">
      <c r="N111" s="1139">
        <v>11</v>
      </c>
      <c r="O111" s="1097">
        <f>O105</f>
        <v>0.4</v>
      </c>
      <c r="P111" s="1300">
        <f>$L$90*N111^$J$90</f>
        <v>12.192184711363431</v>
      </c>
      <c r="V111" s="1096" t="s">
        <v>498</v>
      </c>
      <c r="X111" s="1097">
        <f>X103/X110</f>
        <v>3.5985190441750324E-2</v>
      </c>
      <c r="Y111" s="1096" t="s">
        <v>502</v>
      </c>
      <c r="AA111" s="1096" t="s">
        <v>498</v>
      </c>
      <c r="AC111" s="1097">
        <f>AC103/AC110</f>
        <v>-0.98398058488630524</v>
      </c>
      <c r="AD111" s="1096" t="s">
        <v>502</v>
      </c>
      <c r="AG111" s="1096" t="s">
        <v>498</v>
      </c>
      <c r="AI111" s="1097">
        <f>AI103/AI110</f>
        <v>7.4702322280510838E-2</v>
      </c>
      <c r="AJ111" s="1096" t="s">
        <v>502</v>
      </c>
    </row>
    <row r="112" spans="2:36" x14ac:dyDescent="0.2">
      <c r="N112" s="1140">
        <v>11</v>
      </c>
      <c r="O112" s="1141">
        <f>O106</f>
        <v>0.3</v>
      </c>
      <c r="P112" s="1301">
        <f>$L$97*N112^$J$97</f>
        <v>11.314482446871287</v>
      </c>
      <c r="V112" s="1096" t="s">
        <v>2278</v>
      </c>
      <c r="X112" s="1125">
        <f>9.52-2*0.36</f>
        <v>8.7999999999999989</v>
      </c>
      <c r="Y112" s="1096" t="s">
        <v>2279</v>
      </c>
      <c r="AA112" s="1096" t="s">
        <v>2278</v>
      </c>
      <c r="AC112" s="1125">
        <f>9.52-2*0.36</f>
        <v>8.7999999999999989</v>
      </c>
      <c r="AD112" s="1096" t="s">
        <v>2279</v>
      </c>
      <c r="AG112" s="1096" t="s">
        <v>2278</v>
      </c>
      <c r="AI112" s="1125">
        <f>9.52-2*0.36</f>
        <v>8.7999999999999989</v>
      </c>
      <c r="AJ112" s="1096" t="s">
        <v>2279</v>
      </c>
    </row>
    <row r="113" spans="14:36" x14ac:dyDescent="0.2">
      <c r="N113" s="1103">
        <f t="array" ref="N113:O113">LINEST(LN(P110:P112),LN(O110:O112))</f>
        <v>9.5203735824834226E-2</v>
      </c>
      <c r="O113" s="1096">
        <v>2.5550935913014374</v>
      </c>
      <c r="P113" s="1103">
        <f>EXP(O113)</f>
        <v>12.872504355582034</v>
      </c>
      <c r="V113" s="1096" t="s">
        <v>501</v>
      </c>
      <c r="X113" s="1097">
        <f>X111/1000/(PI()*(X112/1000/2)^2)</f>
        <v>0.59165505546568087</v>
      </c>
      <c r="Y113" s="1096" t="s">
        <v>502</v>
      </c>
      <c r="AA113" s="1096" t="s">
        <v>501</v>
      </c>
      <c r="AC113" s="1097">
        <f>AC111/1000/(PI()*(AC112/1000/2)^2)</f>
        <v>-16.178241114784075</v>
      </c>
      <c r="AD113" s="1096" t="s">
        <v>502</v>
      </c>
      <c r="AG113" s="1096" t="s">
        <v>501</v>
      </c>
      <c r="AI113" s="1097">
        <f>AI111/1000/(PI()*(AI112/1000/2)^2)</f>
        <v>1.2282276705978441</v>
      </c>
      <c r="AJ113" s="1096" t="s">
        <v>502</v>
      </c>
    </row>
    <row r="114" spans="14:36" x14ac:dyDescent="0.2">
      <c r="V114" s="1096" t="s">
        <v>2283</v>
      </c>
      <c r="X114" s="1129">
        <f>1000*X113*X112/1000/0.0012</f>
        <v>4338.8037400816602</v>
      </c>
      <c r="AA114" s="1096" t="s">
        <v>2283</v>
      </c>
      <c r="AC114" s="1129">
        <f>1000*AC113*AC112/1000/0.0012</f>
        <v>-118640.43484174988</v>
      </c>
      <c r="AG114" s="1096" t="s">
        <v>2283</v>
      </c>
      <c r="AI114" s="1129">
        <f>1000*AI113*AI112/1000/0.0012</f>
        <v>9007.002917717522</v>
      </c>
    </row>
    <row r="115" spans="14:36" x14ac:dyDescent="0.2">
      <c r="N115" s="1132" t="s">
        <v>2253</v>
      </c>
      <c r="O115" s="1133" t="s">
        <v>289</v>
      </c>
      <c r="P115" s="1134" t="s">
        <v>47</v>
      </c>
    </row>
    <row r="116" spans="14:36" x14ac:dyDescent="0.2">
      <c r="N116" s="1137">
        <v>7</v>
      </c>
      <c r="O116" s="1142">
        <f>O110</f>
        <v>0.5</v>
      </c>
      <c r="P116" s="1300">
        <f>$L$83*N116^$J$83</f>
        <v>5.3112752190570047</v>
      </c>
    </row>
    <row r="117" spans="14:36" x14ac:dyDescent="0.2">
      <c r="N117" s="1139">
        <v>7</v>
      </c>
      <c r="O117" s="1143">
        <f>O111</f>
        <v>0.4</v>
      </c>
      <c r="P117" s="1300">
        <f>$L$90*N117^$J$90</f>
        <v>4.7618607940612341</v>
      </c>
    </row>
    <row r="118" spans="14:36" x14ac:dyDescent="0.2">
      <c r="N118" s="1140">
        <v>7</v>
      </c>
      <c r="O118" s="1144">
        <f>O112</f>
        <v>0.3</v>
      </c>
      <c r="P118" s="1301">
        <f>$L$97*N118^$J$97</f>
        <v>4.1483396069164753</v>
      </c>
    </row>
    <row r="119" spans="14:36" x14ac:dyDescent="0.2">
      <c r="N119" s="1103">
        <f t="array" ref="N119:O119">LINEST(LN(P116:P118),LN(O116:O118))</f>
        <v>0.48356951235528217</v>
      </c>
      <c r="O119" s="1096">
        <v>2.0045527611558565</v>
      </c>
      <c r="P119" s="1103">
        <f>EXP(O119)</f>
        <v>7.4227734016894731</v>
      </c>
    </row>
  </sheetData>
  <mergeCells count="16">
    <mergeCell ref="A60:B60"/>
    <mergeCell ref="A61:C61"/>
    <mergeCell ref="A62:B62"/>
    <mergeCell ref="A54:D54"/>
    <mergeCell ref="A55:C55"/>
    <mergeCell ref="A56:B56"/>
    <mergeCell ref="A57:C57"/>
    <mergeCell ref="A58:B58"/>
    <mergeCell ref="A59:C59"/>
    <mergeCell ref="AC2:AP2"/>
    <mergeCell ref="D32:N32"/>
    <mergeCell ref="O32:Q32"/>
    <mergeCell ref="R32:V32"/>
    <mergeCell ref="A52:A53"/>
    <mergeCell ref="B52:B53"/>
    <mergeCell ref="C52:C53"/>
  </mergeCells>
  <conditionalFormatting sqref="D51:Q51">
    <cfRule type="cellIs" dxfId="11" priority="1" operator="between">
      <formula>2500</formula>
      <formula>4000</formula>
    </cfRule>
    <cfRule type="cellIs" dxfId="10" priority="2" operator="lessThan">
      <formula>2500</formula>
    </cfRule>
    <cfRule type="cellIs" dxfId="9" priority="3" operator="greaterThan">
      <formula>4000</formula>
    </cfRule>
  </conditionalFormatting>
  <conditionalFormatting sqref="X114">
    <cfRule type="cellIs" dxfId="8" priority="7" operator="between">
      <formula>2500</formula>
      <formula>4000</formula>
    </cfRule>
    <cfRule type="cellIs" dxfId="7" priority="8" operator="lessThan">
      <formula>2500</formula>
    </cfRule>
    <cfRule type="cellIs" dxfId="6" priority="9" operator="greaterThan">
      <formula>4000</formula>
    </cfRule>
  </conditionalFormatting>
  <conditionalFormatting sqref="AC114">
    <cfRule type="cellIs" dxfId="5" priority="10" operator="between">
      <formula>2500</formula>
      <formula>4000</formula>
    </cfRule>
    <cfRule type="cellIs" dxfId="4" priority="11" operator="lessThan">
      <formula>2500</formula>
    </cfRule>
    <cfRule type="cellIs" dxfId="3" priority="12" operator="greaterThan">
      <formula>4000</formula>
    </cfRule>
  </conditionalFormatting>
  <conditionalFormatting sqref="AI114">
    <cfRule type="cellIs" dxfId="2" priority="4" operator="between">
      <formula>2500</formula>
      <formula>4000</formula>
    </cfRule>
    <cfRule type="cellIs" dxfId="1" priority="5" operator="lessThan">
      <formula>2500</formula>
    </cfRule>
    <cfRule type="cellIs" dxfId="0" priority="6" operator="greaterThan">
      <formula>4000</formula>
    </cfRule>
  </conditionalFormatting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1BDD6-4FD7-4788-AB2D-43E00E8A15BB}">
  <sheetPr codeName="Taul28"/>
  <dimension ref="B5:G40"/>
  <sheetViews>
    <sheetView zoomScaleNormal="100" workbookViewId="0">
      <selection activeCell="DX27" sqref="DX27"/>
    </sheetView>
  </sheetViews>
  <sheetFormatPr baseColWidth="10" defaultColWidth="8.83203125" defaultRowHeight="13" x14ac:dyDescent="0.15"/>
  <cols>
    <col min="2" max="2" width="12.5" customWidth="1"/>
    <col min="3" max="3" width="10.83203125" customWidth="1"/>
    <col min="4" max="4" width="149.6640625" customWidth="1"/>
    <col min="5" max="5" width="8.5" customWidth="1"/>
    <col min="6" max="6" width="12.33203125" customWidth="1"/>
    <col min="7" max="7" width="42.1640625" customWidth="1"/>
  </cols>
  <sheetData>
    <row r="5" spans="2:7" x14ac:dyDescent="0.15">
      <c r="B5" s="74" t="s">
        <v>105</v>
      </c>
      <c r="C5" s="74" t="s">
        <v>106</v>
      </c>
      <c r="D5" s="74" t="s">
        <v>107</v>
      </c>
      <c r="E5" s="74" t="s">
        <v>108</v>
      </c>
      <c r="F5" s="95" t="s">
        <v>109</v>
      </c>
      <c r="G5" s="95" t="s">
        <v>125</v>
      </c>
    </row>
    <row r="6" spans="2:7" x14ac:dyDescent="0.15">
      <c r="B6" s="97">
        <v>43454</v>
      </c>
      <c r="C6" s="12" t="s">
        <v>111</v>
      </c>
      <c r="D6" s="512" t="s">
        <v>112</v>
      </c>
      <c r="E6" s="12" t="s">
        <v>110</v>
      </c>
      <c r="F6" s="109">
        <v>43454</v>
      </c>
      <c r="G6" s="34" t="s">
        <v>126</v>
      </c>
    </row>
    <row r="7" spans="2:7" x14ac:dyDescent="0.15">
      <c r="B7" s="97">
        <v>43476</v>
      </c>
      <c r="C7" s="105" t="s">
        <v>128</v>
      </c>
      <c r="D7" s="512" t="s">
        <v>122</v>
      </c>
      <c r="E7" s="12" t="s">
        <v>110</v>
      </c>
      <c r="F7" s="106">
        <v>43476</v>
      </c>
      <c r="G7" s="96" t="s">
        <v>127</v>
      </c>
    </row>
    <row r="8" spans="2:7" x14ac:dyDescent="0.15">
      <c r="B8" s="97">
        <v>43497</v>
      </c>
      <c r="C8" s="12" t="s">
        <v>137</v>
      </c>
      <c r="D8" s="512" t="s">
        <v>138</v>
      </c>
      <c r="E8" s="12" t="s">
        <v>110</v>
      </c>
      <c r="F8" s="106">
        <v>43497</v>
      </c>
      <c r="G8" s="96" t="s">
        <v>201</v>
      </c>
    </row>
    <row r="9" spans="2:7" x14ac:dyDescent="0.15">
      <c r="B9" s="97">
        <v>43514</v>
      </c>
      <c r="C9" s="105" t="s">
        <v>198</v>
      </c>
      <c r="D9" s="512" t="s">
        <v>200</v>
      </c>
      <c r="E9" s="12" t="s">
        <v>110</v>
      </c>
      <c r="F9" s="106">
        <v>43514</v>
      </c>
      <c r="G9" s="96" t="s">
        <v>204</v>
      </c>
    </row>
    <row r="10" spans="2:7" x14ac:dyDescent="0.15">
      <c r="B10" s="97">
        <v>43521</v>
      </c>
      <c r="C10" s="12" t="s">
        <v>295</v>
      </c>
      <c r="D10" s="512" t="s">
        <v>296</v>
      </c>
      <c r="E10" s="12" t="s">
        <v>110</v>
      </c>
      <c r="F10" s="106">
        <v>43521</v>
      </c>
      <c r="G10" s="96" t="s">
        <v>340</v>
      </c>
    </row>
    <row r="11" spans="2:7" x14ac:dyDescent="0.15">
      <c r="B11" s="97">
        <v>43542</v>
      </c>
      <c r="C11" s="105" t="s">
        <v>343</v>
      </c>
      <c r="D11" s="512" t="s">
        <v>345</v>
      </c>
      <c r="E11" s="12" t="s">
        <v>110</v>
      </c>
      <c r="F11" s="106">
        <v>43542</v>
      </c>
      <c r="G11" s="96" t="s">
        <v>344</v>
      </c>
    </row>
    <row r="12" spans="2:7" x14ac:dyDescent="0.15">
      <c r="B12" s="97">
        <v>43630</v>
      </c>
      <c r="C12" s="105" t="s">
        <v>349</v>
      </c>
      <c r="D12" s="512" t="s">
        <v>350</v>
      </c>
      <c r="E12" s="12" t="s">
        <v>110</v>
      </c>
      <c r="F12" s="106">
        <v>43630</v>
      </c>
      <c r="G12" s="96" t="s">
        <v>351</v>
      </c>
    </row>
    <row r="13" spans="2:7" x14ac:dyDescent="0.15">
      <c r="B13" s="97">
        <v>43634</v>
      </c>
      <c r="C13" s="105" t="s">
        <v>353</v>
      </c>
      <c r="D13" s="512" t="s">
        <v>352</v>
      </c>
      <c r="E13" s="12" t="s">
        <v>110</v>
      </c>
      <c r="F13" s="106">
        <v>43634</v>
      </c>
      <c r="G13" s="96" t="s">
        <v>354</v>
      </c>
    </row>
    <row r="14" spans="2:7" x14ac:dyDescent="0.15">
      <c r="B14" s="97">
        <v>43787</v>
      </c>
      <c r="C14" s="105" t="s">
        <v>356</v>
      </c>
      <c r="D14" s="512" t="s">
        <v>357</v>
      </c>
      <c r="E14" s="12" t="s">
        <v>110</v>
      </c>
      <c r="F14" s="106">
        <v>43788</v>
      </c>
      <c r="G14" s="96" t="s">
        <v>361</v>
      </c>
    </row>
    <row r="15" spans="2:7" x14ac:dyDescent="0.15">
      <c r="B15" s="97">
        <v>43802</v>
      </c>
      <c r="C15" s="105" t="s">
        <v>396</v>
      </c>
      <c r="D15" s="512" t="s">
        <v>397</v>
      </c>
      <c r="E15" s="12" t="s">
        <v>110</v>
      </c>
      <c r="F15" s="106">
        <v>43803</v>
      </c>
      <c r="G15" s="96" t="s">
        <v>398</v>
      </c>
    </row>
    <row r="16" spans="2:7" x14ac:dyDescent="0.15">
      <c r="B16" s="97">
        <v>44223</v>
      </c>
      <c r="C16" s="105" t="s">
        <v>399</v>
      </c>
      <c r="D16" s="512" t="s">
        <v>400</v>
      </c>
      <c r="E16" s="12" t="s">
        <v>110</v>
      </c>
      <c r="F16" s="106">
        <v>44245</v>
      </c>
      <c r="G16" s="96" t="s">
        <v>401</v>
      </c>
    </row>
    <row r="17" spans="2:7" x14ac:dyDescent="0.15">
      <c r="B17" s="97">
        <v>44330</v>
      </c>
      <c r="C17" s="12" t="s">
        <v>403</v>
      </c>
      <c r="D17" s="512" t="s">
        <v>551</v>
      </c>
      <c r="E17" s="12" t="s">
        <v>110</v>
      </c>
      <c r="F17" s="106">
        <v>44330</v>
      </c>
      <c r="G17" s="96" t="s">
        <v>552</v>
      </c>
    </row>
    <row r="18" spans="2:7" x14ac:dyDescent="0.15">
      <c r="B18" s="97">
        <v>44344</v>
      </c>
      <c r="C18" s="105" t="s">
        <v>558</v>
      </c>
      <c r="D18" s="512" t="s">
        <v>559</v>
      </c>
      <c r="E18" s="12" t="s">
        <v>573</v>
      </c>
      <c r="F18" s="106">
        <v>44344</v>
      </c>
      <c r="G18" s="96" t="s">
        <v>574</v>
      </c>
    </row>
    <row r="19" spans="2:7" x14ac:dyDescent="0.15">
      <c r="B19" s="97">
        <v>44358</v>
      </c>
      <c r="C19" s="105" t="s">
        <v>579</v>
      </c>
      <c r="D19" s="512" t="s">
        <v>580</v>
      </c>
      <c r="E19" s="12" t="s">
        <v>110</v>
      </c>
      <c r="F19" s="106">
        <v>44358</v>
      </c>
      <c r="G19" s="96" t="s">
        <v>581</v>
      </c>
    </row>
    <row r="20" spans="2:7" x14ac:dyDescent="0.15">
      <c r="B20" s="97">
        <v>44396</v>
      </c>
      <c r="C20" s="105" t="s">
        <v>582</v>
      </c>
      <c r="D20" s="512" t="s">
        <v>583</v>
      </c>
      <c r="E20" s="12" t="s">
        <v>110</v>
      </c>
      <c r="F20" s="106" t="s">
        <v>608</v>
      </c>
      <c r="G20" s="96" t="s">
        <v>584</v>
      </c>
    </row>
    <row r="21" spans="2:7" x14ac:dyDescent="0.15">
      <c r="B21" s="97">
        <v>44402</v>
      </c>
      <c r="C21" s="105" t="s">
        <v>617</v>
      </c>
      <c r="D21" s="512" t="s">
        <v>618</v>
      </c>
      <c r="E21" s="12" t="s">
        <v>110</v>
      </c>
      <c r="F21" s="106">
        <v>44402</v>
      </c>
      <c r="G21" s="96" t="s">
        <v>619</v>
      </c>
    </row>
    <row r="22" spans="2:7" x14ac:dyDescent="0.15">
      <c r="B22" s="97">
        <v>44991</v>
      </c>
      <c r="C22" s="105" t="s">
        <v>969</v>
      </c>
      <c r="D22" s="512" t="s">
        <v>970</v>
      </c>
      <c r="E22" s="12" t="s">
        <v>971</v>
      </c>
      <c r="F22" s="106">
        <v>44991</v>
      </c>
      <c r="G22" s="96" t="s">
        <v>985</v>
      </c>
    </row>
    <row r="23" spans="2:7" x14ac:dyDescent="0.15">
      <c r="B23" s="97">
        <v>44994</v>
      </c>
      <c r="C23" s="586" t="s">
        <v>1097</v>
      </c>
      <c r="D23" s="512" t="s">
        <v>1098</v>
      </c>
      <c r="E23" s="12" t="s">
        <v>1096</v>
      </c>
      <c r="F23" s="106">
        <v>44998</v>
      </c>
      <c r="G23" s="96" t="s">
        <v>1099</v>
      </c>
    </row>
    <row r="24" spans="2:7" x14ac:dyDescent="0.15">
      <c r="B24" s="97">
        <v>45232</v>
      </c>
      <c r="C24" s="105" t="s">
        <v>1154</v>
      </c>
      <c r="D24" s="512" t="s">
        <v>1196</v>
      </c>
      <c r="E24" s="12" t="s">
        <v>110</v>
      </c>
      <c r="F24" s="106">
        <v>45233</v>
      </c>
      <c r="G24" s="96" t="s">
        <v>1158</v>
      </c>
    </row>
    <row r="25" spans="2:7" x14ac:dyDescent="0.15">
      <c r="B25" s="97">
        <v>45240</v>
      </c>
      <c r="C25" s="105" t="s">
        <v>1197</v>
      </c>
      <c r="D25" s="512" t="s">
        <v>2040</v>
      </c>
      <c r="E25" s="12" t="s">
        <v>110</v>
      </c>
      <c r="F25" s="106">
        <v>45240</v>
      </c>
      <c r="G25" s="96" t="s">
        <v>1198</v>
      </c>
    </row>
    <row r="26" spans="2:7" x14ac:dyDescent="0.15">
      <c r="B26" s="97">
        <v>45335</v>
      </c>
      <c r="C26" s="105" t="s">
        <v>1203</v>
      </c>
      <c r="D26" s="512" t="s">
        <v>1202</v>
      </c>
      <c r="E26" s="12" t="s">
        <v>110</v>
      </c>
      <c r="F26" s="106">
        <v>45335</v>
      </c>
      <c r="G26" s="96" t="s">
        <v>1207</v>
      </c>
    </row>
    <row r="27" spans="2:7" x14ac:dyDescent="0.15">
      <c r="B27" s="97">
        <v>45365</v>
      </c>
      <c r="C27" s="105" t="s">
        <v>1280</v>
      </c>
      <c r="D27" s="512" t="s">
        <v>1332</v>
      </c>
      <c r="E27" s="12" t="s">
        <v>110</v>
      </c>
      <c r="F27" s="106">
        <v>45365</v>
      </c>
      <c r="G27" s="96" t="s">
        <v>1954</v>
      </c>
    </row>
    <row r="28" spans="2:7" ht="26" x14ac:dyDescent="0.15">
      <c r="B28" s="97">
        <v>45545</v>
      </c>
      <c r="C28" s="390">
        <v>6.1</v>
      </c>
      <c r="D28" s="1005" t="s">
        <v>1958</v>
      </c>
      <c r="E28" s="12" t="s">
        <v>110</v>
      </c>
      <c r="F28" s="106">
        <v>45545</v>
      </c>
      <c r="G28" s="96" t="s">
        <v>1955</v>
      </c>
    </row>
    <row r="29" spans="2:7" ht="31.5" customHeight="1" x14ac:dyDescent="0.15">
      <c r="B29" s="97">
        <v>45590</v>
      </c>
      <c r="C29" s="105" t="s">
        <v>2124</v>
      </c>
      <c r="D29" s="1005" t="s">
        <v>2126</v>
      </c>
      <c r="E29" s="12" t="s">
        <v>110</v>
      </c>
      <c r="F29" s="106">
        <v>45590</v>
      </c>
      <c r="G29" s="986" t="s">
        <v>2125</v>
      </c>
    </row>
    <row r="30" spans="2:7" ht="32.5" customHeight="1" x14ac:dyDescent="0.15">
      <c r="B30" s="97">
        <v>45624</v>
      </c>
      <c r="C30" s="105" t="s">
        <v>2148</v>
      </c>
      <c r="D30" s="1005" t="s">
        <v>2214</v>
      </c>
      <c r="E30" s="12" t="s">
        <v>2213</v>
      </c>
      <c r="F30" s="106">
        <v>45624</v>
      </c>
      <c r="G30" s="986" t="s">
        <v>2195</v>
      </c>
    </row>
    <row r="31" spans="2:7" ht="15" customHeight="1" x14ac:dyDescent="0.15">
      <c r="B31" s="97">
        <v>45635</v>
      </c>
      <c r="C31" s="105" t="s">
        <v>2220</v>
      </c>
      <c r="D31" s="1005" t="s">
        <v>2221</v>
      </c>
      <c r="E31" s="12" t="s">
        <v>110</v>
      </c>
      <c r="F31" s="106">
        <v>45635</v>
      </c>
      <c r="G31" s="986" t="s">
        <v>2222</v>
      </c>
    </row>
    <row r="32" spans="2:7" x14ac:dyDescent="0.15">
      <c r="B32" s="97">
        <v>45674</v>
      </c>
      <c r="C32" s="105" t="s">
        <v>2223</v>
      </c>
      <c r="D32" s="1005" t="s">
        <v>2228</v>
      </c>
      <c r="E32" s="12" t="s">
        <v>2213</v>
      </c>
      <c r="F32" s="106">
        <v>45674</v>
      </c>
      <c r="G32" s="986" t="s">
        <v>2224</v>
      </c>
    </row>
    <row r="33" spans="2:7" x14ac:dyDescent="0.15">
      <c r="B33" s="97">
        <v>45685</v>
      </c>
      <c r="C33" s="105" t="s">
        <v>2604</v>
      </c>
      <c r="D33" s="1005" t="s">
        <v>2605</v>
      </c>
      <c r="E33" s="12" t="s">
        <v>110</v>
      </c>
      <c r="F33" s="106">
        <v>45687</v>
      </c>
      <c r="G33" s="986" t="s">
        <v>2606</v>
      </c>
    </row>
    <row r="34" spans="2:7" x14ac:dyDescent="0.15">
      <c r="B34" s="97">
        <v>45763</v>
      </c>
      <c r="C34" s="105" t="s">
        <v>2710</v>
      </c>
      <c r="D34" s="1005" t="s">
        <v>2712</v>
      </c>
      <c r="E34" s="12" t="s">
        <v>110</v>
      </c>
      <c r="F34" s="106">
        <v>45764</v>
      </c>
      <c r="G34" s="986" t="s">
        <v>2711</v>
      </c>
    </row>
    <row r="35" spans="2:7" x14ac:dyDescent="0.15">
      <c r="B35" s="97">
        <v>45779</v>
      </c>
      <c r="C35" s="105" t="s">
        <v>2716</v>
      </c>
      <c r="D35" s="512" t="s">
        <v>2717</v>
      </c>
      <c r="E35" s="12" t="s">
        <v>110</v>
      </c>
      <c r="F35" s="106">
        <v>45779</v>
      </c>
      <c r="G35" s="986" t="s">
        <v>2718</v>
      </c>
    </row>
    <row r="36" spans="2:7" x14ac:dyDescent="0.15">
      <c r="B36" s="97">
        <v>45959</v>
      </c>
      <c r="C36" s="105" t="s">
        <v>2719</v>
      </c>
      <c r="D36" s="512" t="s">
        <v>2917</v>
      </c>
      <c r="E36" s="12" t="s">
        <v>110</v>
      </c>
      <c r="F36" s="106">
        <v>45959</v>
      </c>
      <c r="G36" s="986" t="s">
        <v>2918</v>
      </c>
    </row>
    <row r="37" spans="2:7" x14ac:dyDescent="0.15">
      <c r="B37" s="97"/>
      <c r="C37" s="105"/>
      <c r="D37" s="512"/>
      <c r="E37" s="12"/>
      <c r="F37" s="106"/>
      <c r="G37" s="986"/>
    </row>
    <row r="38" spans="2:7" x14ac:dyDescent="0.15">
      <c r="B38" s="12"/>
      <c r="C38" s="12"/>
      <c r="D38" s="512"/>
      <c r="E38" s="12"/>
      <c r="F38" s="96"/>
      <c r="G38" s="96"/>
    </row>
    <row r="39" spans="2:7" x14ac:dyDescent="0.15">
      <c r="B39" s="12"/>
      <c r="C39" s="12"/>
      <c r="D39" s="512"/>
      <c r="E39" s="12"/>
      <c r="F39" s="96"/>
      <c r="G39" s="96"/>
    </row>
    <row r="40" spans="2:7" x14ac:dyDescent="0.15">
      <c r="B40" s="14"/>
      <c r="C40" s="14"/>
      <c r="D40" s="849"/>
      <c r="E40" s="14"/>
      <c r="F40" s="46"/>
      <c r="G40" s="46"/>
    </row>
  </sheetData>
  <phoneticPr fontId="9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12BBC-0B61-4416-BF29-2D0ECBEAB9A8}">
  <dimension ref="C4:AL37"/>
  <sheetViews>
    <sheetView topLeftCell="C1" workbookViewId="0">
      <selection activeCell="Y19" sqref="Y19:AL22"/>
    </sheetView>
  </sheetViews>
  <sheetFormatPr baseColWidth="10" defaultColWidth="8.83203125" defaultRowHeight="13" x14ac:dyDescent="0.15"/>
  <cols>
    <col min="3" max="3" width="29.5" customWidth="1"/>
    <col min="6" max="6" width="10.5" bestFit="1" customWidth="1"/>
    <col min="26" max="26" width="16.5" customWidth="1"/>
    <col min="27" max="27" width="14.33203125" customWidth="1"/>
  </cols>
  <sheetData>
    <row r="4" spans="3:38" ht="14" x14ac:dyDescent="0.15">
      <c r="C4" s="83" t="s">
        <v>149</v>
      </c>
    </row>
    <row r="5" spans="3:38" x14ac:dyDescent="0.15">
      <c r="L5" s="74" t="s">
        <v>166</v>
      </c>
      <c r="M5" s="75">
        <f>(F31*F32*F29*I7*I11^(I17)*F37)-(M23*N23*F33^(-1)*F28*(F30-(F29*I11*I7*(1-F34))))+Q23</f>
        <v>-70.406005743907684</v>
      </c>
      <c r="Q5" t="s">
        <v>176</v>
      </c>
      <c r="S5" s="3">
        <f>M5</f>
        <v>-70.406005743907684</v>
      </c>
      <c r="T5" s="104" t="str">
        <f>INDEX(Q7:Q14,IF($S$5&lt;S7,1,MATCH(S5,S7:S14)+1))</f>
        <v>A+</v>
      </c>
    </row>
    <row r="6" spans="3:38" x14ac:dyDescent="0.15">
      <c r="C6" s="2" t="s">
        <v>145</v>
      </c>
      <c r="D6" s="2"/>
      <c r="E6" s="2"/>
      <c r="F6" s="2" t="s">
        <v>150</v>
      </c>
      <c r="H6" t="s">
        <v>21</v>
      </c>
      <c r="I6" t="s">
        <v>150</v>
      </c>
    </row>
    <row r="7" spans="3:38" x14ac:dyDescent="0.15">
      <c r="C7" t="str" cm="1">
        <f t="array" ref="C7">INDEX(KirjastoC!D4:K125,59,KirjastoC!B4)</f>
        <v>Kanavaliitäntäinen</v>
      </c>
      <c r="F7">
        <v>1.1000000000000001</v>
      </c>
      <c r="H7">
        <v>2</v>
      </c>
      <c r="I7">
        <f>INDEX(F7:F8,H7)</f>
        <v>1.21</v>
      </c>
      <c r="Q7" s="10" t="s">
        <v>177</v>
      </c>
      <c r="R7" s="22"/>
      <c r="S7" s="22">
        <v>-42</v>
      </c>
      <c r="T7" s="21">
        <f>IF($AC$89&lt;S7,1,0)</f>
        <v>0</v>
      </c>
    </row>
    <row r="8" spans="3:38" x14ac:dyDescent="0.15">
      <c r="C8" t="str" cm="1">
        <f t="array" ref="C8">INDEX(KirjastoC!D4:K125,60,KirjastoC!B4)</f>
        <v>Muu kuin kanavaliitäntäinen</v>
      </c>
      <c r="F8">
        <v>1.21</v>
      </c>
      <c r="Q8" s="74" t="s">
        <v>4</v>
      </c>
      <c r="R8" s="128">
        <v>-42</v>
      </c>
      <c r="S8" s="128">
        <v>-34</v>
      </c>
      <c r="T8" s="75">
        <f>IF(AND($AC$89&gt;=R8,$AC$89&lt;S8),1,0)</f>
        <v>0</v>
      </c>
    </row>
    <row r="9" spans="3:38" x14ac:dyDescent="0.15">
      <c r="Q9" s="12" t="s">
        <v>5</v>
      </c>
      <c r="R9">
        <v>-34</v>
      </c>
      <c r="S9">
        <v>-26</v>
      </c>
      <c r="T9" s="24">
        <f t="shared" ref="T9:T13" si="0">IF(AND($AC$89&gt;=R9,$AC$89&lt;S9),1,0)</f>
        <v>0</v>
      </c>
      <c r="Y9" s="12"/>
      <c r="AL9" s="24"/>
    </row>
    <row r="10" spans="3:38" x14ac:dyDescent="0.15">
      <c r="C10" s="2" t="s">
        <v>146</v>
      </c>
      <c r="D10" s="2"/>
      <c r="E10" s="2"/>
      <c r="F10" s="2" t="s">
        <v>151</v>
      </c>
      <c r="H10" t="s">
        <v>21</v>
      </c>
      <c r="I10" t="s">
        <v>151</v>
      </c>
      <c r="Q10" s="74" t="s">
        <v>6</v>
      </c>
      <c r="R10" s="128">
        <v>-26</v>
      </c>
      <c r="S10" s="128">
        <v>-23</v>
      </c>
      <c r="T10" s="75">
        <f t="shared" si="0"/>
        <v>0</v>
      </c>
      <c r="Y10" s="12"/>
      <c r="Z10" s="1770" t="str" cm="1">
        <f t="array" ref="Z10">INDEX(KirjastoC!D4:K125,45,KirjastoC!B4)</f>
        <v>Ominaisenergiankulutus (SEC) ja luokittelu</v>
      </c>
      <c r="AA10" s="1771"/>
      <c r="AB10" s="1771"/>
      <c r="AC10" s="1771"/>
      <c r="AD10" s="1771"/>
      <c r="AE10" s="1771"/>
      <c r="AF10" s="588"/>
      <c r="AG10" s="503"/>
      <c r="AH10" s="132"/>
      <c r="AI10" s="130" t="str" cm="1">
        <f t="array" ref="AI10">INDEX(KirjastoC!D4:K125,58,KirjastoC!B4)</f>
        <v>Luokka</v>
      </c>
      <c r="AJ10" s="1769" t="str" cm="1">
        <f t="array" ref="AJ10">INDEX(KirjastoC!D4:K125,57,KirjastoC!B4)</f>
        <v>SEC-luku</v>
      </c>
      <c r="AK10" s="1769"/>
      <c r="AL10" s="24"/>
    </row>
    <row r="11" spans="3:38" x14ac:dyDescent="0.15">
      <c r="C11" t="str" cm="1">
        <f t="array" ref="C11">INDEX(KirjastoC!D4:K125,61,KirjastoC!B4)</f>
        <v>Käsikäyttö (ei tarp.muk. IV)</v>
      </c>
      <c r="F11">
        <v>1</v>
      </c>
      <c r="H11">
        <v>1</v>
      </c>
      <c r="I11">
        <f>INDEX(F11:F14,H11)</f>
        <v>1</v>
      </c>
      <c r="Q11" s="12" t="s">
        <v>178</v>
      </c>
      <c r="R11">
        <v>-23</v>
      </c>
      <c r="S11">
        <v>-20</v>
      </c>
      <c r="T11" s="24">
        <f t="shared" si="0"/>
        <v>0</v>
      </c>
      <c r="Y11" s="12"/>
      <c r="Z11" s="1772" t="str" cm="1">
        <f t="array" ref="Z11">INDEX(KirjastoC!D4:K125,46,KirjastoC!B4)</f>
        <v>Komission asetusten (EU) N:o 1253/2014 &amp; N:o 1254/2014 mukaisesti</v>
      </c>
      <c r="AA11" s="1773"/>
      <c r="AB11" s="1773"/>
      <c r="AC11" s="1773"/>
      <c r="AD11" s="1773"/>
      <c r="AE11" s="1773"/>
      <c r="AF11" s="589"/>
      <c r="AG11" s="504"/>
      <c r="AH11" s="133" t="str">
        <f t="shared" ref="AH11:AH18" si="1">IF(AI11=$AF$17,"►","")</f>
        <v>►</v>
      </c>
      <c r="AI11" s="131" t="s">
        <v>177</v>
      </c>
      <c r="AJ11" s="1765" t="s">
        <v>190</v>
      </c>
      <c r="AK11" s="1765"/>
      <c r="AL11" s="24"/>
    </row>
    <row r="12" spans="3:38" x14ac:dyDescent="0.15">
      <c r="C12" t="str" cm="1">
        <f t="array" ref="C12">INDEX(KirjastoC!D4:K125,62,KirjastoC!B4)</f>
        <v>Kello-ohjaus (ei tarp.muk. IV)</v>
      </c>
      <c r="F12">
        <v>0.95</v>
      </c>
      <c r="Q12" s="74" t="s">
        <v>179</v>
      </c>
      <c r="R12" s="128">
        <v>-20</v>
      </c>
      <c r="S12" s="128">
        <v>-10</v>
      </c>
      <c r="T12" s="75">
        <f t="shared" si="0"/>
        <v>0</v>
      </c>
      <c r="Y12" s="12"/>
      <c r="Z12" s="456" t="str" cm="1">
        <f t="array" ref="Z12">INDEX(KirjastoC!D4:K125,47,KirjastoC!B4)</f>
        <v>HUOM! SEC-laskentaa käytetään vain asuinrakennuksiin tarkoitetuilla ilmanvaihtokoneilla.</v>
      </c>
      <c r="AB12" s="142"/>
      <c r="AC12" s="142"/>
      <c r="AD12" s="135"/>
      <c r="AE12" s="135"/>
      <c r="AF12" s="135"/>
      <c r="AG12" s="135"/>
      <c r="AH12" s="133" t="str">
        <f t="shared" si="1"/>
        <v/>
      </c>
      <c r="AI12" s="131" t="s">
        <v>4</v>
      </c>
      <c r="AJ12" s="1774" t="s">
        <v>191</v>
      </c>
      <c r="AK12" s="1774"/>
      <c r="AL12" s="24"/>
    </row>
    <row r="13" spans="3:38" x14ac:dyDescent="0.15">
      <c r="C13" t="str" cm="1">
        <f t="array" ref="C13">INDEX(KirjastoC!D4:K125,63,KirjastoC!B4)</f>
        <v>Keskitetty tarp.muk. ohjaus</v>
      </c>
      <c r="F13">
        <v>0.85</v>
      </c>
      <c r="Q13" s="74" t="s">
        <v>180</v>
      </c>
      <c r="R13" s="128">
        <v>-10</v>
      </c>
      <c r="S13" s="128">
        <v>0</v>
      </c>
      <c r="T13" s="75">
        <f t="shared" si="0"/>
        <v>0</v>
      </c>
      <c r="Y13" s="12"/>
      <c r="Z13" s="505" t="str" cm="1">
        <f t="array" ref="Z13">INDEX(KirjastoC!D4:K125,48,KirjastoC!B4)</f>
        <v>Vertailuilmavirta:</v>
      </c>
      <c r="AA13" s="455">
        <f>TuloksetC!M37*3.6</f>
        <v>1386</v>
      </c>
      <c r="AB13" s="142"/>
      <c r="AC13" s="454"/>
      <c r="AD13" s="126"/>
      <c r="AE13" s="126"/>
      <c r="AF13" s="126"/>
      <c r="AG13" s="126"/>
      <c r="AH13" s="133" t="str">
        <f t="shared" si="1"/>
        <v/>
      </c>
      <c r="AI13" s="131" t="s">
        <v>5</v>
      </c>
      <c r="AJ13" s="1764" t="s">
        <v>192</v>
      </c>
      <c r="AK13" s="1764"/>
      <c r="AL13" s="24"/>
    </row>
    <row r="14" spans="3:38" x14ac:dyDescent="0.15">
      <c r="C14" t="str" cm="1">
        <f t="array" ref="C14">INDEX(KirjastoC!D4:K125,64,KirjastoC!B4)</f>
        <v>Paikallinen tarp.muk. ohjaus</v>
      </c>
      <c r="F14">
        <v>0.65</v>
      </c>
      <c r="Q14" s="14" t="s">
        <v>181</v>
      </c>
      <c r="R14" s="25">
        <v>0</v>
      </c>
      <c r="S14" s="25"/>
      <c r="T14" s="26">
        <f>IF($AC$89&gt;R14,1,0)</f>
        <v>0</v>
      </c>
      <c r="Y14" s="12"/>
      <c r="Z14" s="139" t="str" cm="1">
        <f t="array" ref="Z14">INDEX(KirjastoC!D4:K125,49,KirjastoC!B4)</f>
        <v>Laskennan lähtöarvot:</v>
      </c>
      <c r="AA14" s="126"/>
      <c r="AB14" s="126"/>
      <c r="AC14" s="126"/>
      <c r="AD14" s="126"/>
      <c r="AE14" s="126"/>
      <c r="AF14" s="126"/>
      <c r="AG14" s="126"/>
      <c r="AH14" s="133" t="str">
        <f t="shared" si="1"/>
        <v/>
      </c>
      <c r="AI14" s="131" t="s">
        <v>6</v>
      </c>
      <c r="AJ14" s="1746" t="s">
        <v>193</v>
      </c>
      <c r="AK14" s="1746"/>
      <c r="AL14" s="24"/>
    </row>
    <row r="15" spans="3:38" x14ac:dyDescent="0.15">
      <c r="Y15" s="12"/>
      <c r="Z15" s="137" t="str" cm="1">
        <f t="array" ref="Z15">INDEX(KirjastoC!D4:K125,50,KirjastoC!B4)</f>
        <v>Yleinen luokittelu</v>
      </c>
      <c r="AA15" s="126"/>
      <c r="AB15" s="126"/>
      <c r="AC15" s="126"/>
      <c r="AD15" s="1762" t="str" cm="1">
        <f t="array" ref="AD15">INDEX(KirjastoC!D4:K125,57,KirjastoC!B4)</f>
        <v>SEC-luku</v>
      </c>
      <c r="AE15" s="1763"/>
      <c r="AF15" s="1754">
        <f>TuloksetC!BQ37</f>
        <v>-70.406005743907684</v>
      </c>
      <c r="AG15" s="1755"/>
      <c r="AH15" s="133" t="str">
        <f t="shared" si="1"/>
        <v/>
      </c>
      <c r="AI15" s="131" t="s">
        <v>178</v>
      </c>
      <c r="AJ15" s="1747" t="s">
        <v>194</v>
      </c>
      <c r="AK15" s="1747"/>
      <c r="AL15" s="24"/>
    </row>
    <row r="16" spans="3:38" x14ac:dyDescent="0.15">
      <c r="C16" s="2" t="s">
        <v>147</v>
      </c>
      <c r="F16" s="2" t="s">
        <v>152</v>
      </c>
      <c r="H16" t="s">
        <v>21</v>
      </c>
      <c r="I16" t="s">
        <v>152</v>
      </c>
      <c r="Y16" s="12"/>
      <c r="Z16" s="137" t="str" cm="1">
        <f t="array" ref="Z16">INDEX(KirjastoC!D4:K125,51,KirjastoC!B4)</f>
        <v>Ilmanvaihdon ohjaus</v>
      </c>
      <c r="AA16" s="126"/>
      <c r="AB16" s="126"/>
      <c r="AC16" s="126"/>
      <c r="AD16" s="1744" t="s">
        <v>721</v>
      </c>
      <c r="AE16" s="1745"/>
      <c r="AF16" s="1756"/>
      <c r="AG16" s="1757"/>
      <c r="AH16" s="133" t="str">
        <f t="shared" si="1"/>
        <v/>
      </c>
      <c r="AI16" s="131" t="s">
        <v>179</v>
      </c>
      <c r="AJ16" s="1748" t="s">
        <v>195</v>
      </c>
      <c r="AK16" s="1748"/>
      <c r="AL16" s="24"/>
    </row>
    <row r="17" spans="3:38" x14ac:dyDescent="0.15">
      <c r="C17" s="39" t="str" cm="1">
        <f t="array" ref="C17">INDEX(KirjastoC!D4:K125,65,KirjastoC!B4)</f>
        <v>On/off &amp; yksinopeuksinen</v>
      </c>
      <c r="F17">
        <v>1</v>
      </c>
      <c r="H17">
        <v>2</v>
      </c>
      <c r="I17">
        <f>INDEX(F17:F20,H17)</f>
        <v>1.2</v>
      </c>
      <c r="Y17" s="12"/>
      <c r="Z17" s="137" t="str" cm="1">
        <f t="array" ref="Z17">INDEX(KirjastoC!D4:K125,52,KirjastoC!B4)</f>
        <v>Moottori ja ohjaus</v>
      </c>
      <c r="AA17" s="126"/>
      <c r="AB17" s="126"/>
      <c r="AC17" s="126"/>
      <c r="AD17" s="1750" t="str" cm="1">
        <f t="array" ref="AD17">INDEX(KirjastoC!D4:K125,58,KirjastoC!B4)</f>
        <v>Luokka</v>
      </c>
      <c r="AE17" s="1751"/>
      <c r="AF17" s="1758" t="str">
        <f>TuloksetC!BR37</f>
        <v>A+</v>
      </c>
      <c r="AG17" s="1759"/>
      <c r="AH17" s="133" t="str">
        <f t="shared" si="1"/>
        <v/>
      </c>
      <c r="AI17" s="131" t="s">
        <v>180</v>
      </c>
      <c r="AJ17" s="1749" t="s">
        <v>196</v>
      </c>
      <c r="AK17" s="1749"/>
      <c r="AL17" s="24"/>
    </row>
    <row r="18" spans="3:38" x14ac:dyDescent="0.15">
      <c r="C18" t="str" cm="1">
        <f t="array" ref="C18">INDEX(KirjastoC!D4:K125,66,KirjastoC!B4)</f>
        <v>Kaksinopeuksinen</v>
      </c>
      <c r="F18">
        <v>1.2</v>
      </c>
      <c r="Y18" s="12"/>
      <c r="Z18" s="138" t="str" cm="1">
        <f t="array" ref="Z18">INDEX(KirjastoC!D4:K125,53,KirjastoC!B4)</f>
        <v>Ilmasto</v>
      </c>
      <c r="AA18" s="136"/>
      <c r="AB18" s="127"/>
      <c r="AC18" s="127"/>
      <c r="AD18" s="1752"/>
      <c r="AE18" s="1753"/>
      <c r="AF18" s="1760"/>
      <c r="AG18" s="1761"/>
      <c r="AH18" s="134" t="str">
        <f t="shared" si="1"/>
        <v/>
      </c>
      <c r="AI18" s="131" t="s">
        <v>181</v>
      </c>
      <c r="AJ18" s="1749" t="s">
        <v>197</v>
      </c>
      <c r="AK18" s="1749"/>
      <c r="AL18" s="24"/>
    </row>
    <row r="19" spans="3:38" x14ac:dyDescent="0.15">
      <c r="C19" t="str" cm="1">
        <f t="array" ref="C19">INDEX(KirjastoC!D4:K125,67,KirjastoC!B4)</f>
        <v>Moninopeuksinen</v>
      </c>
      <c r="F19">
        <v>1.5</v>
      </c>
      <c r="Y19" s="12"/>
      <c r="Z19" s="524" t="str" cm="1">
        <f t="array" ref="Z19">INDEX(KirjastoC!D4:K125,54,KirjastoC!B4)</f>
        <v>Kaikki oikeudet pidätetään.</v>
      </c>
      <c r="AA19" s="126"/>
      <c r="AB19" s="525" t="s">
        <v>199</v>
      </c>
      <c r="AC19" s="525" t="s">
        <v>1174</v>
      </c>
      <c r="AL19" s="24"/>
    </row>
    <row r="20" spans="3:38" x14ac:dyDescent="0.15">
      <c r="C20" t="str" cm="1">
        <f t="array" ref="C20">INDEX(KirjastoC!D4:K125,68,KirjastoC!B4)</f>
        <v>Portaaton säätö</v>
      </c>
      <c r="F20">
        <v>2</v>
      </c>
      <c r="Y20" s="12"/>
      <c r="Z20" s="1738" t="str" cm="1">
        <f t="array" ref="Z20">INDEX(KirjastoC!D4:K200,141,KirjastoC!B4)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AA20" s="1738"/>
      <c r="AB20" s="1738"/>
      <c r="AC20" s="1738"/>
      <c r="AD20" s="1738"/>
      <c r="AE20" s="1738"/>
      <c r="AF20" s="1738"/>
      <c r="AG20" s="1738"/>
      <c r="AH20" s="1738"/>
      <c r="AI20" s="1738"/>
      <c r="AJ20" s="1738"/>
      <c r="AK20" s="1738"/>
      <c r="AL20" s="24"/>
    </row>
    <row r="21" spans="3:38" x14ac:dyDescent="0.15">
      <c r="Y21" s="12"/>
      <c r="Z21" s="1738"/>
      <c r="AA21" s="1738"/>
      <c r="AB21" s="1738"/>
      <c r="AC21" s="1738"/>
      <c r="AD21" s="1738"/>
      <c r="AE21" s="1738"/>
      <c r="AF21" s="1738"/>
      <c r="AG21" s="1738"/>
      <c r="AH21" s="1738"/>
      <c r="AI21" s="1738"/>
      <c r="AJ21" s="1738"/>
      <c r="AK21" s="1738"/>
      <c r="AL21" s="24"/>
    </row>
    <row r="22" spans="3:38" ht="17" x14ac:dyDescent="0.25">
      <c r="C22" s="2" t="s">
        <v>148</v>
      </c>
      <c r="F22" s="104" t="s">
        <v>167</v>
      </c>
      <c r="G22" s="104" t="s">
        <v>168</v>
      </c>
      <c r="H22" s="104" t="s">
        <v>169</v>
      </c>
      <c r="I22" s="104" t="s">
        <v>170</v>
      </c>
      <c r="J22" s="104" t="s">
        <v>171</v>
      </c>
      <c r="L22" s="4" t="s">
        <v>21</v>
      </c>
      <c r="M22" s="4" t="s">
        <v>156</v>
      </c>
      <c r="N22" s="4" t="s">
        <v>164</v>
      </c>
      <c r="O22" s="4" t="s">
        <v>157</v>
      </c>
      <c r="P22" s="4" t="s">
        <v>165</v>
      </c>
      <c r="Q22" s="4" t="s">
        <v>158</v>
      </c>
      <c r="Y22" s="283"/>
      <c r="Z22" s="523" t="str" cm="1">
        <f t="array" ref="Z22">INDEX(KirjastoC!D4:K125,56,KirjastoC!B4)</f>
        <v>Laskentaohjelman laatinut Insinööritoimisto W. Zenner Oy. Laskentaohjelma perustuu SFS-EN 13141-7 mukaisiin laboratoriomittauksiin.</v>
      </c>
      <c r="AA22" s="281"/>
      <c r="AB22" s="284"/>
      <c r="AC22" s="284"/>
      <c r="AD22" s="284"/>
      <c r="AE22" s="284"/>
      <c r="AF22" s="284"/>
      <c r="AG22" s="284"/>
      <c r="AH22" s="284"/>
      <c r="AI22" s="284"/>
      <c r="AJ22" s="284"/>
      <c r="AK22" s="284"/>
      <c r="AL22" s="285"/>
    </row>
    <row r="23" spans="3:38" x14ac:dyDescent="0.15">
      <c r="C23" t="str" cm="1">
        <f t="array" ref="C23">INDEX(KirjastoC!D4:K125,69,KirjastoC!B4)</f>
        <v>Kylmä</v>
      </c>
      <c r="F23" s="4">
        <v>6552</v>
      </c>
      <c r="G23" s="4">
        <v>14.5</v>
      </c>
      <c r="H23" s="4">
        <v>1003</v>
      </c>
      <c r="I23" s="4">
        <v>5.2</v>
      </c>
      <c r="J23" s="4">
        <v>5.82</v>
      </c>
      <c r="L23">
        <v>1</v>
      </c>
      <c r="M23">
        <f>INDEX(F23:F25,$L$23)</f>
        <v>6552</v>
      </c>
      <c r="N23">
        <f t="shared" ref="N23:Q23" si="2">INDEX(G23:G25,$L$23)</f>
        <v>14.5</v>
      </c>
      <c r="O23">
        <f t="shared" si="2"/>
        <v>1003</v>
      </c>
      <c r="P23">
        <f t="shared" si="2"/>
        <v>5.2</v>
      </c>
      <c r="Q23">
        <f t="shared" si="2"/>
        <v>5.82</v>
      </c>
    </row>
    <row r="24" spans="3:38" x14ac:dyDescent="0.15">
      <c r="C24" t="str" cm="1">
        <f t="array" ref="C24">INDEX(KirjastoC!D4:K125,70,KirjastoC!B4)</f>
        <v>Keskiarvo</v>
      </c>
      <c r="F24" s="4">
        <v>5112</v>
      </c>
      <c r="G24" s="4">
        <v>9.5</v>
      </c>
      <c r="H24" s="4">
        <v>168</v>
      </c>
      <c r="I24" s="4">
        <v>2.4</v>
      </c>
      <c r="J24" s="4">
        <v>0.45</v>
      </c>
    </row>
    <row r="25" spans="3:38" x14ac:dyDescent="0.15">
      <c r="C25" t="str" cm="1">
        <f t="array" ref="C25">INDEX(KirjastoC!D4:K125,71,KirjastoC!B4)</f>
        <v>Lämmin</v>
      </c>
      <c r="F25" s="4">
        <v>4392</v>
      </c>
      <c r="G25" s="4">
        <v>5</v>
      </c>
      <c r="H25" s="4"/>
      <c r="I25" s="4"/>
      <c r="J25" s="4"/>
    </row>
    <row r="27" spans="3:38" x14ac:dyDescent="0.15">
      <c r="C27" s="2" t="s">
        <v>153</v>
      </c>
      <c r="F27" s="2" t="s">
        <v>155</v>
      </c>
    </row>
    <row r="28" spans="3:38" ht="17" x14ac:dyDescent="0.25">
      <c r="C28" t="s">
        <v>159</v>
      </c>
      <c r="F28">
        <v>3.4400000000000001E-4</v>
      </c>
    </row>
    <row r="29" spans="3:38" ht="17" x14ac:dyDescent="0.25">
      <c r="C29" t="s">
        <v>160</v>
      </c>
      <c r="F29">
        <v>1.3</v>
      </c>
    </row>
    <row r="30" spans="3:38" ht="17" x14ac:dyDescent="0.25">
      <c r="C30" t="s">
        <v>161</v>
      </c>
      <c r="F30">
        <v>2.2000000000000002</v>
      </c>
    </row>
    <row r="31" spans="3:38" ht="17" x14ac:dyDescent="0.25">
      <c r="C31" t="s">
        <v>162</v>
      </c>
      <c r="F31">
        <v>8760</v>
      </c>
    </row>
    <row r="32" spans="3:38" x14ac:dyDescent="0.15">
      <c r="C32" t="s">
        <v>154</v>
      </c>
      <c r="F32">
        <v>2.5</v>
      </c>
    </row>
    <row r="33" spans="3:7" ht="17" x14ac:dyDescent="0.25">
      <c r="C33" t="s">
        <v>163</v>
      </c>
      <c r="F33">
        <v>0.75</v>
      </c>
    </row>
    <row r="34" spans="3:7" x14ac:dyDescent="0.15">
      <c r="C34" t="s">
        <v>172</v>
      </c>
      <c r="F34" s="259">
        <v>0.85285</v>
      </c>
    </row>
    <row r="36" spans="3:7" x14ac:dyDescent="0.15">
      <c r="C36" t="s">
        <v>75</v>
      </c>
      <c r="F36" s="125">
        <f>TuloksetC!N37</f>
        <v>0.99833518954912692</v>
      </c>
      <c r="G36" t="s">
        <v>175</v>
      </c>
    </row>
    <row r="37" spans="3:7" x14ac:dyDescent="0.15">
      <c r="C37" s="2" t="s">
        <v>173</v>
      </c>
      <c r="F37" s="124">
        <f>F36/(60*60)</f>
        <v>2.7731533043031303E-4</v>
      </c>
      <c r="G37" t="s">
        <v>174</v>
      </c>
    </row>
  </sheetData>
  <mergeCells count="17">
    <mergeCell ref="AJ17:AK17"/>
    <mergeCell ref="AJ18:AK18"/>
    <mergeCell ref="Z20:AK21"/>
    <mergeCell ref="AD16:AE16"/>
    <mergeCell ref="AJ16:AK16"/>
    <mergeCell ref="AD17:AE18"/>
    <mergeCell ref="AF17:AG18"/>
    <mergeCell ref="Z10:AE10"/>
    <mergeCell ref="AJ10:AK10"/>
    <mergeCell ref="Z11:AE11"/>
    <mergeCell ref="AJ11:AK11"/>
    <mergeCell ref="AJ12:AK12"/>
    <mergeCell ref="AJ13:AK13"/>
    <mergeCell ref="AJ14:AK14"/>
    <mergeCell ref="AD15:AE15"/>
    <mergeCell ref="AF15:AG16"/>
    <mergeCell ref="AJ15:AK15"/>
  </mergeCells>
  <conditionalFormatting sqref="AF17">
    <cfRule type="expression" dxfId="78" priority="1">
      <formula>$I$71&gt;0</formula>
    </cfRule>
    <cfRule type="expression" dxfId="77" priority="2">
      <formula>$I$71&lt;-42</formula>
    </cfRule>
    <cfRule type="expression" dxfId="76" priority="3">
      <formula>$I$71&lt;-34</formula>
    </cfRule>
    <cfRule type="expression" dxfId="75" priority="4">
      <formula>$I$71&lt;-26</formula>
    </cfRule>
    <cfRule type="expression" dxfId="74" priority="5">
      <formula>$I$71&lt;-23</formula>
    </cfRule>
    <cfRule type="expression" dxfId="73" priority="6">
      <formula>$I$71&lt;-20</formula>
    </cfRule>
    <cfRule type="expression" dxfId="72" priority="7">
      <formula>$I$71&lt;-10</formula>
    </cfRule>
    <cfRule type="expression" dxfId="71" priority="8">
      <formula>$I$71&lt;0</formula>
    </cfRule>
  </conditionalFormatting>
  <hyperlinks>
    <hyperlink ref="AB19" r:id="rId1" xr:uid="{C87D61F6-FB47-4DB3-9799-CCAEE96D075C}"/>
    <hyperlink ref="AC19" r:id="rId2" xr:uid="{F51A5B0F-D332-4334-AA0D-53EC448642E6}"/>
  </hyperlinks>
  <pageMargins left="0.7" right="0.7" top="0.75" bottom="0.75" header="0.3" footer="0.3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7809" r:id="rId5" name="Drop Down 1">
              <controlPr defaultSize="0" autoLine="0" autoPict="0">
                <anchor moveWithCells="1">
                  <from>
                    <xdr:col>26</xdr:col>
                    <xdr:colOff>63500</xdr:colOff>
                    <xdr:row>14</xdr:row>
                    <xdr:rowOff>0</xdr:rowOff>
                  </from>
                  <to>
                    <xdr:col>29</xdr:col>
                    <xdr:colOff>63500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0" r:id="rId6" name="Drop Down 2">
              <controlPr defaultSize="0" autoLine="0" autoPict="0">
                <anchor moveWithCells="1">
                  <from>
                    <xdr:col>26</xdr:col>
                    <xdr:colOff>63500</xdr:colOff>
                    <xdr:row>15</xdr:row>
                    <xdr:rowOff>38100</xdr:rowOff>
                  </from>
                  <to>
                    <xdr:col>29</xdr:col>
                    <xdr:colOff>63500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1" r:id="rId7" name="Drop Down 3">
              <controlPr defaultSize="0" autoLine="0" autoPict="0">
                <anchor moveWithCells="1">
                  <from>
                    <xdr:col>26</xdr:col>
                    <xdr:colOff>63500</xdr:colOff>
                    <xdr:row>15</xdr:row>
                    <xdr:rowOff>266700</xdr:rowOff>
                  </from>
                  <to>
                    <xdr:col>29</xdr:col>
                    <xdr:colOff>50800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12" r:id="rId8" name="Drop Down 4">
              <controlPr defaultSize="0" autoLine="0" autoPict="0">
                <anchor moveWithCells="1">
                  <from>
                    <xdr:col>26</xdr:col>
                    <xdr:colOff>63500</xdr:colOff>
                    <xdr:row>16</xdr:row>
                    <xdr:rowOff>254000</xdr:rowOff>
                  </from>
                  <to>
                    <xdr:col>29</xdr:col>
                    <xdr:colOff>50800</xdr:colOff>
                    <xdr:row>18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B5593-0F3A-45C7-B7A5-901D44387F63}">
  <dimension ref="E1:BF170"/>
  <sheetViews>
    <sheetView topLeftCell="A9" zoomScale="85" zoomScaleNormal="85" workbookViewId="0">
      <selection activeCell="X45" sqref="X45"/>
    </sheetView>
  </sheetViews>
  <sheetFormatPr baseColWidth="10" defaultColWidth="8.83203125" defaultRowHeight="13" x14ac:dyDescent="0.15"/>
  <cols>
    <col min="5" max="5" width="18.1640625" customWidth="1"/>
    <col min="6" max="6" width="11.83203125" bestFit="1" customWidth="1"/>
    <col min="7" max="7" width="14.33203125" customWidth="1"/>
    <col min="8" max="8" width="13.83203125" customWidth="1"/>
    <col min="9" max="9" width="14.5" bestFit="1" customWidth="1"/>
    <col min="12" max="12" width="13.6640625" bestFit="1" customWidth="1"/>
    <col min="14" max="14" width="11.6640625" customWidth="1"/>
    <col min="18" max="18" width="14" customWidth="1"/>
    <col min="19" max="19" width="16.5" customWidth="1"/>
    <col min="20" max="20" width="24.6640625" customWidth="1"/>
    <col min="21" max="21" width="16.5" customWidth="1"/>
    <col min="24" max="24" width="29" customWidth="1"/>
    <col min="25" max="26" width="38.33203125" customWidth="1"/>
    <col min="27" max="27" width="37.33203125" customWidth="1"/>
    <col min="39" max="40" width="15.5" customWidth="1"/>
    <col min="41" max="41" width="27.83203125" customWidth="1"/>
    <col min="42" max="42" width="15.5" customWidth="1"/>
    <col min="44" max="47" width="16.83203125" customWidth="1"/>
    <col min="49" max="49" width="12.1640625" bestFit="1" customWidth="1"/>
    <col min="50" max="51" width="9.33203125" bestFit="1" customWidth="1"/>
  </cols>
  <sheetData>
    <row r="1" spans="5:58" ht="14" thickBot="1" x14ac:dyDescent="0.2"/>
    <row r="2" spans="5:58" ht="15" thickBot="1" x14ac:dyDescent="0.2">
      <c r="M2" t="s">
        <v>1265</v>
      </c>
      <c r="AF2" s="694" t="s">
        <v>1255</v>
      </c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  <c r="BA2" s="230"/>
      <c r="BB2" s="230"/>
      <c r="BC2" s="230"/>
      <c r="BD2" s="230"/>
      <c r="BE2" s="230"/>
      <c r="BF2" s="231"/>
    </row>
    <row r="3" spans="5:58" ht="15" x14ac:dyDescent="0.2">
      <c r="E3" s="228" t="s">
        <v>273</v>
      </c>
      <c r="F3" s="229">
        <f>TuloksetC!C6</f>
        <v>1</v>
      </c>
      <c r="G3" s="230"/>
      <c r="H3" s="228" t="s">
        <v>274</v>
      </c>
      <c r="I3" s="230" t="s">
        <v>275</v>
      </c>
      <c r="J3" s="230" t="s">
        <v>276</v>
      </c>
      <c r="K3" s="230" t="s">
        <v>277</v>
      </c>
      <c r="L3" s="230" t="s">
        <v>278</v>
      </c>
      <c r="M3" s="230" t="s">
        <v>279</v>
      </c>
      <c r="N3" s="908" t="s">
        <v>1256</v>
      </c>
      <c r="O3" s="909" t="s">
        <v>1259</v>
      </c>
      <c r="W3" s="941"/>
      <c r="X3" s="941"/>
      <c r="Y3" s="943" t="s">
        <v>2085</v>
      </c>
      <c r="Z3" s="944" t="s">
        <v>2085</v>
      </c>
      <c r="AA3" s="945"/>
      <c r="AF3" s="695" t="s">
        <v>1209</v>
      </c>
      <c r="AG3" s="672"/>
      <c r="AH3" s="672"/>
      <c r="AI3" s="672"/>
      <c r="AJ3" s="673"/>
      <c r="AK3" s="12"/>
      <c r="AM3" s="696"/>
      <c r="AN3" s="697" t="s">
        <v>1210</v>
      </c>
      <c r="AO3" s="696"/>
      <c r="AP3" s="696"/>
      <c r="AR3" s="697" t="s">
        <v>1211</v>
      </c>
      <c r="AS3" s="696"/>
      <c r="AT3" s="696"/>
      <c r="AU3" s="696"/>
      <c r="AV3" s="696"/>
      <c r="AW3" s="696"/>
      <c r="AX3" s="696"/>
      <c r="AY3" s="696"/>
      <c r="AZ3" s="696"/>
      <c r="BA3" s="696"/>
      <c r="BB3" s="696"/>
      <c r="BC3" s="696"/>
      <c r="BD3" s="696"/>
      <c r="BE3" s="696"/>
      <c r="BF3" s="698"/>
    </row>
    <row r="4" spans="5:58" ht="21" x14ac:dyDescent="0.25">
      <c r="E4" s="232" t="s">
        <v>280</v>
      </c>
      <c r="F4" s="233">
        <f>INDEX(L4:L9,$F$3)</f>
        <v>-6.5</v>
      </c>
      <c r="H4" s="234">
        <v>1</v>
      </c>
      <c r="I4" t="s">
        <v>2041</v>
      </c>
      <c r="J4" s="4">
        <v>100</v>
      </c>
      <c r="K4" s="4">
        <v>700</v>
      </c>
      <c r="L4" s="940">
        <v>-6.5</v>
      </c>
      <c r="M4" s="967">
        <v>0.82</v>
      </c>
      <c r="N4" s="732">
        <f>IFERROR(IF($F$3=H4,$G$38,"-"),"-")</f>
        <v>0.85299999999999998</v>
      </c>
      <c r="O4" s="910">
        <f>IFERROR(IF($F$3=H4,$G$39,"-"),"-")</f>
        <v>0.81600000000000006</v>
      </c>
      <c r="P4" s="925"/>
      <c r="Q4" s="925"/>
      <c r="R4" s="925"/>
      <c r="S4" s="925"/>
      <c r="T4" s="925"/>
      <c r="U4" s="925"/>
      <c r="V4" s="925"/>
      <c r="W4" s="941"/>
      <c r="X4" s="941"/>
      <c r="Y4" s="946"/>
      <c r="Z4" s="947"/>
      <c r="AA4" s="948"/>
      <c r="AB4" s="925"/>
      <c r="AC4" s="925"/>
      <c r="AD4" s="925"/>
      <c r="AF4" s="699"/>
      <c r="AG4" s="286"/>
      <c r="AH4" s="286"/>
      <c r="AI4" s="286"/>
      <c r="AJ4" s="660"/>
      <c r="AK4" s="12"/>
      <c r="AM4" s="696"/>
      <c r="AN4" s="700"/>
      <c r="AO4" s="696"/>
      <c r="AP4" s="696"/>
      <c r="AR4" s="700" t="s">
        <v>1212</v>
      </c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8"/>
    </row>
    <row r="5" spans="5:58" ht="15" x14ac:dyDescent="0.2">
      <c r="E5" s="232" t="s">
        <v>276</v>
      </c>
      <c r="F5" s="233">
        <f>INDEX(J4:J9,$F$3)</f>
        <v>100</v>
      </c>
      <c r="H5" s="234">
        <v>2</v>
      </c>
      <c r="J5" s="4"/>
      <c r="K5" s="4"/>
      <c r="L5" s="235"/>
      <c r="M5" s="243"/>
      <c r="N5" s="733" t="str">
        <f t="shared" ref="N5:N7" si="0">IF($F$3=H5,$G$38,"-")</f>
        <v>-</v>
      </c>
      <c r="O5" s="911" t="str">
        <f t="shared" ref="O5:O7" si="1">IF($F$3=H5,$G$39,"-")</f>
        <v>-</v>
      </c>
      <c r="P5" s="199"/>
      <c r="Q5" s="199"/>
      <c r="R5" s="199"/>
      <c r="S5" s="199"/>
      <c r="T5" s="199"/>
      <c r="U5" s="199"/>
      <c r="V5" s="199"/>
      <c r="W5" s="941"/>
      <c r="X5" s="941"/>
      <c r="Y5" s="949"/>
      <c r="Z5" s="950"/>
      <c r="AA5" s="948" t="s">
        <v>2086</v>
      </c>
      <c r="AB5" s="199"/>
      <c r="AC5" s="199"/>
      <c r="AD5" s="199"/>
      <c r="AF5" s="699"/>
      <c r="AG5" s="286"/>
      <c r="AH5" s="286"/>
      <c r="AI5" s="286"/>
      <c r="AJ5" s="660"/>
      <c r="AK5" s="12"/>
      <c r="AM5" s="701"/>
      <c r="AN5" s="701"/>
      <c r="AO5" s="701"/>
      <c r="AP5" s="701"/>
      <c r="AR5" s="701"/>
      <c r="AS5" s="701"/>
      <c r="AT5" s="701"/>
      <c r="AU5" s="701"/>
      <c r="AV5" s="701"/>
      <c r="AW5" s="701"/>
      <c r="AX5" s="701"/>
      <c r="AY5" s="701"/>
      <c r="AZ5" s="701"/>
      <c r="BA5" s="701"/>
      <c r="BB5" s="701"/>
      <c r="BC5" s="701"/>
      <c r="BD5" s="701"/>
      <c r="BE5" s="701"/>
      <c r="BF5" s="702"/>
    </row>
    <row r="6" spans="5:58" ht="32" x14ac:dyDescent="0.2">
      <c r="E6" s="232" t="s">
        <v>277</v>
      </c>
      <c r="F6" s="233">
        <f>INDEX(K4:K9,$F$3)</f>
        <v>700</v>
      </c>
      <c r="H6" s="234">
        <v>3</v>
      </c>
      <c r="J6" s="4"/>
      <c r="K6" s="4"/>
      <c r="L6" s="235"/>
      <c r="M6" s="243"/>
      <c r="N6" s="732" t="str">
        <f t="shared" si="0"/>
        <v>-</v>
      </c>
      <c r="O6" s="910" t="str">
        <f t="shared" si="1"/>
        <v>-</v>
      </c>
      <c r="P6" s="925"/>
      <c r="Q6" s="925"/>
      <c r="R6" s="925"/>
      <c r="S6" s="925"/>
      <c r="T6" s="925"/>
      <c r="U6" s="925"/>
      <c r="V6" s="925"/>
      <c r="W6" s="942"/>
      <c r="X6" s="951"/>
      <c r="Y6" s="952" t="s">
        <v>2087</v>
      </c>
      <c r="Z6" s="953" t="s">
        <v>2087</v>
      </c>
      <c r="AA6" s="954" t="s">
        <v>2088</v>
      </c>
      <c r="AB6" s="925"/>
      <c r="AC6" s="925"/>
      <c r="AD6" s="925"/>
      <c r="AF6" s="699"/>
      <c r="AG6" s="703" t="s">
        <v>1213</v>
      </c>
      <c r="AH6" s="286"/>
      <c r="AI6" s="286"/>
      <c r="AJ6" s="660"/>
      <c r="AK6" s="12"/>
      <c r="AM6" s="701"/>
      <c r="AN6" s="704"/>
      <c r="AO6" s="701"/>
      <c r="AP6" s="701"/>
      <c r="AR6" s="701"/>
      <c r="AS6" s="701"/>
      <c r="AT6" s="701"/>
      <c r="AU6" s="701"/>
      <c r="AV6" s="701"/>
      <c r="AW6" s="701"/>
      <c r="AX6" s="701"/>
      <c r="AY6" s="701"/>
      <c r="AZ6" s="701"/>
      <c r="BA6" s="701"/>
      <c r="BB6" s="701"/>
      <c r="BC6" s="701"/>
      <c r="BD6" s="701"/>
      <c r="BE6" s="701"/>
      <c r="BF6" s="702"/>
    </row>
    <row r="7" spans="5:58" ht="33" thickBot="1" x14ac:dyDescent="0.25">
      <c r="E7" s="236" t="s">
        <v>284</v>
      </c>
      <c r="F7" s="237">
        <f>INDEX(M4:M9,$F$3)</f>
        <v>0.82</v>
      </c>
      <c r="G7" s="238"/>
      <c r="H7" s="369">
        <v>4</v>
      </c>
      <c r="I7" s="238"/>
      <c r="J7" s="428"/>
      <c r="K7" s="428"/>
      <c r="L7" s="370"/>
      <c r="M7" s="671"/>
      <c r="N7" s="912" t="str">
        <f t="shared" si="0"/>
        <v>-</v>
      </c>
      <c r="O7" s="913" t="str">
        <f t="shared" si="1"/>
        <v>-</v>
      </c>
      <c r="P7" s="925"/>
      <c r="Q7" s="925"/>
      <c r="R7" s="925"/>
      <c r="S7" s="925"/>
      <c r="T7" s="925"/>
      <c r="U7" s="925"/>
      <c r="V7" s="925"/>
      <c r="W7" s="956" t="s">
        <v>470</v>
      </c>
      <c r="X7" s="956" t="s">
        <v>2089</v>
      </c>
      <c r="Y7" s="957" t="s">
        <v>1295</v>
      </c>
      <c r="Z7" s="958" t="s">
        <v>2090</v>
      </c>
      <c r="AA7" s="959" t="s">
        <v>2091</v>
      </c>
      <c r="AB7" s="925"/>
      <c r="AC7" s="925"/>
      <c r="AD7" s="925"/>
      <c r="AF7" s="699"/>
      <c r="AG7" s="286"/>
      <c r="AH7" s="286"/>
      <c r="AI7" s="286"/>
      <c r="AJ7" s="660"/>
      <c r="AK7" s="12"/>
      <c r="AM7" s="701"/>
      <c r="AN7" s="701"/>
      <c r="AO7" s="701"/>
      <c r="AP7" s="701"/>
      <c r="AR7" s="701"/>
      <c r="AS7" s="701"/>
      <c r="AT7" s="701"/>
      <c r="AU7" s="701"/>
      <c r="AV7" s="701"/>
      <c r="AW7" s="701"/>
      <c r="AX7" s="701"/>
      <c r="AY7" s="701"/>
      <c r="AZ7" s="701"/>
      <c r="BA7" s="701"/>
      <c r="BB7" s="701"/>
      <c r="BC7" s="701"/>
      <c r="BD7" s="701"/>
      <c r="BE7" s="701"/>
      <c r="BF7" s="702"/>
    </row>
    <row r="8" spans="5:58" ht="15" x14ac:dyDescent="0.2">
      <c r="W8" s="960">
        <v>100</v>
      </c>
      <c r="X8" s="955"/>
      <c r="Y8" s="961">
        <v>83</v>
      </c>
      <c r="Z8" s="962">
        <v>87</v>
      </c>
      <c r="AA8" s="963">
        <v>91.3</v>
      </c>
      <c r="AF8" s="699"/>
      <c r="AG8" s="286"/>
      <c r="AH8" s="286"/>
      <c r="AI8" s="286"/>
      <c r="AJ8" s="660"/>
      <c r="AK8" s="12"/>
      <c r="AM8" s="701"/>
      <c r="AN8" s="701"/>
      <c r="AO8" s="701"/>
      <c r="AP8" s="701"/>
      <c r="AR8" s="701"/>
      <c r="AS8" s="701"/>
      <c r="AT8" s="705"/>
      <c r="AU8" s="706"/>
      <c r="AV8" s="701"/>
      <c r="AW8" s="701"/>
      <c r="AX8" s="701"/>
      <c r="AY8" s="701"/>
      <c r="AZ8" s="701"/>
      <c r="BA8" s="701"/>
      <c r="BB8" s="701"/>
      <c r="BC8" s="701"/>
      <c r="BD8" s="701"/>
      <c r="BE8" s="701"/>
      <c r="BF8" s="702"/>
    </row>
    <row r="9" spans="5:58" ht="15" x14ac:dyDescent="0.2"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3"/>
      <c r="W9" s="960">
        <v>200</v>
      </c>
      <c r="X9" s="960">
        <v>83.4</v>
      </c>
      <c r="Y9" s="961">
        <v>83.4</v>
      </c>
      <c r="Z9" s="962">
        <v>86.9</v>
      </c>
      <c r="AA9" s="963">
        <v>86.9</v>
      </c>
      <c r="AB9" s="233"/>
      <c r="AC9" s="233"/>
      <c r="AD9" s="233"/>
      <c r="AF9" s="699"/>
      <c r="AG9" s="286" t="s">
        <v>1214</v>
      </c>
      <c r="AH9" s="286"/>
      <c r="AI9" s="286"/>
      <c r="AJ9" s="660"/>
      <c r="AK9" s="12"/>
      <c r="AM9" s="1791" t="s">
        <v>115</v>
      </c>
      <c r="AN9" s="1791"/>
      <c r="AO9" s="1791"/>
      <c r="AP9" s="1792"/>
      <c r="AQ9" s="707"/>
      <c r="AR9" s="708"/>
      <c r="AS9" s="708"/>
      <c r="AT9" s="705"/>
      <c r="AU9" s="709"/>
      <c r="AV9" s="708"/>
      <c r="AW9" s="701"/>
      <c r="AX9" s="701"/>
      <c r="AY9" s="701"/>
      <c r="AZ9" s="701"/>
      <c r="BA9" s="701"/>
      <c r="BB9" s="701"/>
      <c r="BC9" s="701"/>
      <c r="BD9" s="701"/>
      <c r="BE9" s="701"/>
      <c r="BF9" s="702"/>
    </row>
    <row r="10" spans="5:58" ht="18" customHeight="1" x14ac:dyDescent="0.2">
      <c r="F10" s="233"/>
      <c r="G10" s="233"/>
      <c r="H10" s="233"/>
      <c r="I10" s="233"/>
      <c r="J10" s="4"/>
      <c r="K10" s="4"/>
      <c r="L10" s="235"/>
      <c r="M10" s="243"/>
      <c r="W10" s="960">
        <v>300</v>
      </c>
      <c r="X10" s="960">
        <v>85.2</v>
      </c>
      <c r="Y10" s="961">
        <v>85.2</v>
      </c>
      <c r="Z10" s="962">
        <v>84</v>
      </c>
      <c r="AA10" s="963">
        <v>84.1</v>
      </c>
      <c r="AF10" s="699"/>
      <c r="AG10" s="286" t="s">
        <v>1215</v>
      </c>
      <c r="AH10" s="286"/>
      <c r="AI10" s="286"/>
      <c r="AJ10" s="660"/>
      <c r="AK10" s="12"/>
      <c r="AM10" s="674" t="s">
        <v>1216</v>
      </c>
      <c r="AN10" s="675" t="s">
        <v>1217</v>
      </c>
      <c r="AO10" s="676" t="s">
        <v>1218</v>
      </c>
      <c r="AP10" s="677"/>
      <c r="AQ10" s="710"/>
      <c r="AR10" s="677" t="s">
        <v>1219</v>
      </c>
      <c r="AS10" s="677" t="s">
        <v>1220</v>
      </c>
      <c r="AT10" s="677" t="s">
        <v>1221</v>
      </c>
      <c r="AU10" s="677" t="s">
        <v>1222</v>
      </c>
      <c r="AV10" s="711"/>
      <c r="AW10" s="701"/>
      <c r="AX10" s="701"/>
      <c r="AY10" s="701"/>
      <c r="AZ10" s="701"/>
      <c r="BA10" s="701"/>
      <c r="BB10" s="701"/>
      <c r="BC10" s="701"/>
      <c r="BD10" s="701"/>
      <c r="BE10" s="701"/>
      <c r="BF10" s="702"/>
    </row>
    <row r="11" spans="5:58" ht="15" x14ac:dyDescent="0.2">
      <c r="F11" s="233"/>
      <c r="G11" s="233"/>
      <c r="H11" s="233"/>
      <c r="I11" s="233"/>
      <c r="J11" s="4"/>
      <c r="K11" s="4"/>
      <c r="L11" s="235"/>
      <c r="M11" s="243"/>
      <c r="W11" s="960">
        <v>400</v>
      </c>
      <c r="X11" s="960">
        <v>84.1</v>
      </c>
      <c r="Y11" s="961">
        <v>85.3</v>
      </c>
      <c r="Z11" s="962">
        <v>82.2</v>
      </c>
      <c r="AA11" s="963">
        <v>82.2</v>
      </c>
      <c r="AF11" s="699"/>
      <c r="AG11" s="286" t="s">
        <v>1223</v>
      </c>
      <c r="AH11" s="286"/>
      <c r="AI11" s="286"/>
      <c r="AJ11" s="660"/>
      <c r="AK11" s="12"/>
      <c r="AM11" s="678"/>
      <c r="AN11" s="679">
        <v>25</v>
      </c>
      <c r="AO11" s="679"/>
      <c r="AP11" s="680"/>
      <c r="AQ11" s="712"/>
      <c r="AR11" s="681">
        <v>18</v>
      </c>
      <c r="AS11" s="682">
        <v>79.5</v>
      </c>
      <c r="AT11" s="680">
        <v>79.8</v>
      </c>
      <c r="AU11" s="680">
        <v>81.75</v>
      </c>
      <c r="AV11" s="713"/>
      <c r="AW11" s="701"/>
      <c r="AX11" s="701"/>
      <c r="AY11" s="701"/>
      <c r="AZ11" s="701"/>
      <c r="BA11" s="701"/>
      <c r="BB11" s="701"/>
      <c r="BC11" s="701"/>
      <c r="BD11" s="701"/>
      <c r="BE11" s="701"/>
      <c r="BF11" s="702"/>
    </row>
    <row r="12" spans="5:58" ht="15" x14ac:dyDescent="0.2">
      <c r="E12" s="2"/>
      <c r="F12" s="233"/>
      <c r="G12" s="233"/>
      <c r="H12" s="233"/>
      <c r="I12" s="233"/>
      <c r="J12" s="4"/>
      <c r="K12" s="4"/>
      <c r="L12" s="235"/>
      <c r="M12" s="243"/>
      <c r="W12" s="960">
        <v>500</v>
      </c>
      <c r="X12" s="960">
        <v>85.3</v>
      </c>
      <c r="Y12" s="961">
        <v>85.3</v>
      </c>
      <c r="Z12" s="962">
        <v>81</v>
      </c>
      <c r="AA12" s="963">
        <v>81</v>
      </c>
      <c r="AF12" s="699"/>
      <c r="AG12" s="286" t="s">
        <v>1224</v>
      </c>
      <c r="AH12" s="286"/>
      <c r="AI12" s="286"/>
      <c r="AJ12" s="660"/>
      <c r="AK12" s="12"/>
      <c r="AM12" s="678">
        <v>3.4</v>
      </c>
      <c r="AN12" s="679">
        <v>34</v>
      </c>
      <c r="AO12" s="679">
        <v>80.099999999999994</v>
      </c>
      <c r="AP12" s="680"/>
      <c r="AQ12" s="712"/>
      <c r="AR12" s="681">
        <v>28</v>
      </c>
      <c r="AS12" s="682">
        <v>79.5</v>
      </c>
      <c r="AT12" s="680">
        <v>79.7</v>
      </c>
      <c r="AU12" s="680">
        <v>81.5</v>
      </c>
      <c r="AV12" s="713"/>
      <c r="AW12" s="701"/>
      <c r="AX12" s="701"/>
      <c r="AY12" s="701"/>
      <c r="AZ12" s="701"/>
      <c r="BA12" s="701"/>
      <c r="BB12" s="701"/>
      <c r="BC12" s="701"/>
      <c r="BD12" s="701"/>
      <c r="BE12" s="701"/>
      <c r="BF12" s="702"/>
    </row>
    <row r="13" spans="5:58" ht="15" x14ac:dyDescent="0.2">
      <c r="F13" s="233"/>
      <c r="G13" s="233"/>
      <c r="H13" s="233"/>
      <c r="I13" s="233"/>
      <c r="J13" s="4"/>
      <c r="K13" s="4"/>
      <c r="L13" s="235"/>
      <c r="M13" s="243"/>
      <c r="W13" s="960">
        <v>600</v>
      </c>
      <c r="X13" s="955"/>
      <c r="Y13" s="961">
        <v>85.1</v>
      </c>
      <c r="Z13" s="962">
        <v>79.900000000000006</v>
      </c>
      <c r="AA13" s="963">
        <v>79.900000000000006</v>
      </c>
      <c r="AF13" s="699"/>
      <c r="AG13" s="286"/>
      <c r="AH13" s="286"/>
      <c r="AI13" s="286"/>
      <c r="AJ13" s="660"/>
      <c r="AK13" s="12"/>
      <c r="AM13" s="678">
        <v>3.8</v>
      </c>
      <c r="AN13" s="679">
        <v>43</v>
      </c>
      <c r="AO13" s="679">
        <v>80.7</v>
      </c>
      <c r="AP13" s="680"/>
      <c r="AQ13" s="712"/>
      <c r="AR13" s="681">
        <v>36</v>
      </c>
      <c r="AS13" s="682">
        <v>79.5</v>
      </c>
      <c r="AT13" s="680">
        <v>79.599999999999994</v>
      </c>
      <c r="AU13" s="680">
        <v>81</v>
      </c>
      <c r="AV13" s="713"/>
      <c r="AW13" s="701"/>
      <c r="AX13" s="701"/>
      <c r="AY13" s="701"/>
      <c r="AZ13" s="701"/>
      <c r="BA13" s="701"/>
      <c r="BB13" s="701"/>
      <c r="BC13" s="701"/>
      <c r="BD13" s="701"/>
      <c r="BE13" s="701"/>
      <c r="BF13" s="702"/>
    </row>
    <row r="14" spans="5:58" ht="14.5" customHeight="1" thickBot="1" x14ac:dyDescent="0.25">
      <c r="F14" s="233"/>
      <c r="G14" s="233"/>
      <c r="H14" s="233"/>
      <c r="I14" s="233"/>
      <c r="J14" s="4"/>
      <c r="K14" s="4"/>
      <c r="L14" s="235"/>
      <c r="M14" s="243"/>
      <c r="W14" s="960">
        <v>700</v>
      </c>
      <c r="X14" s="955"/>
      <c r="Y14" s="961">
        <v>85</v>
      </c>
      <c r="Z14" s="962">
        <v>79.099999999999994</v>
      </c>
      <c r="AA14" s="964">
        <v>79.099999999999994</v>
      </c>
      <c r="AF14" s="699"/>
      <c r="AG14" s="286" t="s">
        <v>1225</v>
      </c>
      <c r="AH14" s="286"/>
      <c r="AI14" s="286"/>
      <c r="AJ14" s="660"/>
      <c r="AK14" s="12"/>
      <c r="AM14" s="678">
        <v>5.9</v>
      </c>
      <c r="AN14" s="679">
        <v>74</v>
      </c>
      <c r="AO14" s="679">
        <v>81.5</v>
      </c>
      <c r="AP14" s="680"/>
      <c r="AQ14" s="712"/>
      <c r="AR14" s="681">
        <v>61.5</v>
      </c>
      <c r="AS14" s="682">
        <v>79.5</v>
      </c>
      <c r="AT14" s="680">
        <v>79.5</v>
      </c>
      <c r="AU14" s="680">
        <v>80.3</v>
      </c>
      <c r="AV14" s="713"/>
      <c r="AW14" s="701"/>
      <c r="AX14" s="701"/>
      <c r="AY14" s="701"/>
      <c r="AZ14" s="701"/>
      <c r="BA14" s="701"/>
      <c r="BB14" s="701"/>
      <c r="BC14" s="701"/>
      <c r="BD14" s="701"/>
      <c r="BE14" s="701"/>
      <c r="BF14" s="702"/>
    </row>
    <row r="15" spans="5:58" ht="15" x14ac:dyDescent="0.2">
      <c r="F15" s="233"/>
      <c r="G15" s="233"/>
      <c r="H15" s="233"/>
      <c r="I15" s="233"/>
      <c r="J15" s="4"/>
      <c r="K15" s="4"/>
      <c r="L15" s="235"/>
      <c r="M15" s="243"/>
      <c r="W15" s="941"/>
      <c r="X15" s="941"/>
      <c r="Y15" s="941"/>
      <c r="Z15" s="965" t="s">
        <v>2092</v>
      </c>
      <c r="AA15" s="941"/>
      <c r="AF15" s="699"/>
      <c r="AG15" s="286"/>
      <c r="AH15" s="286" t="s">
        <v>1226</v>
      </c>
      <c r="AI15" s="286" t="s">
        <v>1227</v>
      </c>
      <c r="AJ15" s="660"/>
      <c r="AK15" s="12"/>
      <c r="AM15" s="678">
        <v>9.1999999999999993</v>
      </c>
      <c r="AN15" s="679">
        <v>108</v>
      </c>
      <c r="AO15" s="679">
        <v>83.1</v>
      </c>
      <c r="AP15" s="680"/>
      <c r="AQ15" s="712"/>
      <c r="AR15" s="681">
        <v>90</v>
      </c>
      <c r="AS15" s="682">
        <v>79.5</v>
      </c>
      <c r="AT15" s="680">
        <v>78.5</v>
      </c>
      <c r="AU15" s="680">
        <v>79.5</v>
      </c>
      <c r="AV15" s="713"/>
      <c r="AW15" s="701"/>
      <c r="AX15" s="701"/>
      <c r="AY15" s="701"/>
      <c r="AZ15" s="701"/>
      <c r="BA15" s="701"/>
      <c r="BB15" s="701"/>
      <c r="BC15" s="701"/>
      <c r="BD15" s="701"/>
      <c r="BE15" s="701"/>
      <c r="BF15" s="702"/>
    </row>
    <row r="16" spans="5:58" ht="15" x14ac:dyDescent="0.2">
      <c r="F16" s="233"/>
      <c r="G16" s="233"/>
      <c r="H16" s="233"/>
      <c r="I16" s="233"/>
      <c r="J16" s="4"/>
      <c r="K16" s="4"/>
      <c r="L16" s="235"/>
      <c r="M16" s="243"/>
      <c r="W16" s="941"/>
      <c r="X16" s="941"/>
      <c r="Y16" s="941"/>
      <c r="Z16" s="965"/>
      <c r="AA16" s="941"/>
      <c r="AF16" s="699"/>
      <c r="AG16" s="286"/>
      <c r="AH16" s="286">
        <v>50</v>
      </c>
      <c r="AI16" s="286">
        <v>79.5</v>
      </c>
      <c r="AJ16" s="660"/>
      <c r="AK16" s="12"/>
      <c r="AM16" s="678"/>
      <c r="AN16" s="679">
        <v>130</v>
      </c>
      <c r="AO16" s="679"/>
      <c r="AP16" s="680"/>
      <c r="AQ16" s="712"/>
      <c r="AR16" s="681">
        <v>130</v>
      </c>
      <c r="AS16" s="682">
        <v>79.5</v>
      </c>
      <c r="AT16" s="680">
        <v>78</v>
      </c>
      <c r="AU16" s="680">
        <v>78.2</v>
      </c>
      <c r="AV16" s="713"/>
      <c r="AW16" s="701"/>
      <c r="AX16" s="701"/>
      <c r="AY16" s="701"/>
      <c r="AZ16" s="701"/>
      <c r="BA16" s="701"/>
      <c r="BB16" s="701"/>
      <c r="BC16" s="701"/>
      <c r="BD16" s="701"/>
      <c r="BE16" s="701"/>
      <c r="BF16" s="702"/>
    </row>
    <row r="17" spans="5:58" ht="15" x14ac:dyDescent="0.2">
      <c r="F17" s="233"/>
      <c r="G17" s="233"/>
      <c r="H17" s="233"/>
      <c r="I17" s="233"/>
      <c r="J17" s="4"/>
      <c r="K17" s="4"/>
      <c r="L17" s="235"/>
      <c r="M17" s="243"/>
      <c r="W17" s="941"/>
      <c r="X17" s="966" t="s">
        <v>2093</v>
      </c>
      <c r="Y17" s="941"/>
      <c r="Z17" s="941"/>
      <c r="AA17" s="941"/>
      <c r="AF17" s="699"/>
      <c r="AG17" s="286"/>
      <c r="AH17" s="286">
        <v>100</v>
      </c>
      <c r="AI17" s="286">
        <v>79.5</v>
      </c>
      <c r="AJ17" s="660"/>
      <c r="AK17" s="12"/>
      <c r="AM17" s="701"/>
      <c r="AN17" s="701"/>
      <c r="AO17" s="701"/>
      <c r="AP17" s="701"/>
      <c r="AR17" s="729">
        <f>AR16</f>
        <v>130</v>
      </c>
      <c r="AS17" s="729">
        <f t="shared" ref="AS17:AU17" si="2">AS16</f>
        <v>79.5</v>
      </c>
      <c r="AT17" s="729">
        <f t="shared" si="2"/>
        <v>78</v>
      </c>
      <c r="AU17" s="729">
        <f t="shared" si="2"/>
        <v>78.2</v>
      </c>
      <c r="AV17" s="701"/>
      <c r="AW17" s="701"/>
      <c r="AX17" s="701"/>
      <c r="AY17" s="701"/>
      <c r="AZ17" s="701"/>
      <c r="BA17" s="701"/>
      <c r="BB17" s="701"/>
      <c r="BC17" s="701"/>
      <c r="BD17" s="701"/>
      <c r="BE17" s="701"/>
      <c r="BF17" s="702"/>
    </row>
    <row r="18" spans="5:58" ht="15" x14ac:dyDescent="0.2">
      <c r="F18" s="233"/>
      <c r="G18" s="233"/>
      <c r="H18" s="233"/>
      <c r="I18" s="233"/>
      <c r="J18" s="4"/>
      <c r="K18" s="4"/>
      <c r="L18" s="235"/>
      <c r="M18" s="243"/>
      <c r="W18" s="941"/>
      <c r="X18" s="966" t="s">
        <v>2094</v>
      </c>
      <c r="Y18" s="941"/>
      <c r="Z18" s="941"/>
      <c r="AA18" s="941"/>
      <c r="AF18" s="699"/>
      <c r="AG18" s="286"/>
      <c r="AH18" s="286">
        <v>150</v>
      </c>
      <c r="AI18" s="286">
        <v>79.5</v>
      </c>
      <c r="AJ18" s="660"/>
      <c r="AK18" s="12"/>
      <c r="BF18" s="364"/>
    </row>
    <row r="19" spans="5:58" ht="15" x14ac:dyDescent="0.2">
      <c r="F19" s="233"/>
      <c r="G19" s="233"/>
      <c r="H19" s="233"/>
      <c r="I19" s="233"/>
      <c r="J19" s="4"/>
      <c r="K19" s="4"/>
      <c r="L19" s="235"/>
      <c r="M19" s="243"/>
      <c r="W19" s="941"/>
      <c r="X19" s="966" t="s">
        <v>2095</v>
      </c>
      <c r="Y19" s="941"/>
      <c r="Z19" s="941"/>
      <c r="AA19" s="941"/>
      <c r="AF19" s="699"/>
      <c r="AG19" s="286"/>
      <c r="AH19" s="286">
        <v>200</v>
      </c>
      <c r="AI19" s="286">
        <v>79.3</v>
      </c>
      <c r="AJ19" s="660"/>
      <c r="AK19" s="12"/>
      <c r="AM19" s="701"/>
      <c r="AN19" s="701"/>
      <c r="AO19" s="701"/>
      <c r="AP19" s="701"/>
      <c r="AR19" s="701"/>
      <c r="AS19" s="701"/>
      <c r="AT19" s="701"/>
      <c r="AU19" s="701"/>
      <c r="AV19" s="701"/>
      <c r="AW19" s="701"/>
      <c r="AX19" s="701"/>
      <c r="AY19" s="701"/>
      <c r="AZ19" s="701"/>
      <c r="BA19" s="701"/>
      <c r="BB19" s="701"/>
      <c r="BC19" s="701"/>
      <c r="BD19" s="701"/>
      <c r="BE19" s="701"/>
      <c r="BF19" s="702"/>
    </row>
    <row r="20" spans="5:58" ht="15" x14ac:dyDescent="0.2">
      <c r="E20" s="2" t="s">
        <v>1260</v>
      </c>
      <c r="F20" s="233">
        <f>F3</f>
        <v>1</v>
      </c>
      <c r="G20" s="241" t="str" cm="1">
        <f t="array" ref="G20">INDEX(I4:I9,F20)</f>
        <v>C5</v>
      </c>
      <c r="H20" s="233"/>
      <c r="I20" s="233"/>
      <c r="J20" s="4"/>
      <c r="K20" s="4"/>
      <c r="L20" s="235"/>
      <c r="M20" s="243"/>
      <c r="W20" s="941"/>
      <c r="X20" s="966" t="s">
        <v>2096</v>
      </c>
      <c r="Y20" s="941"/>
      <c r="Z20" s="941"/>
      <c r="AA20" s="941"/>
      <c r="AF20" s="699"/>
      <c r="AG20" s="286"/>
      <c r="AH20" s="286">
        <v>250</v>
      </c>
      <c r="AI20" s="286">
        <v>78.2</v>
      </c>
      <c r="AJ20" s="660"/>
      <c r="AK20" s="12"/>
      <c r="AM20" s="701"/>
      <c r="AN20" s="701"/>
      <c r="AO20" s="701"/>
      <c r="AP20" s="701"/>
      <c r="AR20" s="701"/>
      <c r="AS20" s="701"/>
      <c r="AT20" s="701"/>
      <c r="AU20" s="701"/>
      <c r="AV20" s="701"/>
      <c r="AW20" s="701"/>
      <c r="AX20" s="701"/>
      <c r="AY20" s="701"/>
      <c r="AZ20" s="701"/>
      <c r="BA20" s="701"/>
      <c r="BB20" s="701"/>
      <c r="BC20" s="701"/>
      <c r="BD20" s="701"/>
      <c r="BE20" s="701"/>
      <c r="BF20" s="702"/>
    </row>
    <row r="21" spans="5:58" ht="15" x14ac:dyDescent="0.2">
      <c r="G21" s="233"/>
      <c r="H21" s="233"/>
      <c r="I21" s="233"/>
      <c r="J21" s="4"/>
      <c r="K21" s="4"/>
      <c r="L21" s="235"/>
      <c r="M21" s="243"/>
      <c r="W21" s="941"/>
      <c r="X21" s="941"/>
      <c r="Y21" s="941"/>
      <c r="Z21" s="941"/>
      <c r="AA21" s="941"/>
      <c r="AF21" s="699"/>
      <c r="AG21" s="286"/>
      <c r="AH21" s="286">
        <v>300</v>
      </c>
      <c r="AI21" s="286">
        <v>77.5</v>
      </c>
      <c r="AJ21" s="660"/>
      <c r="AK21" s="12"/>
      <c r="AM21" s="701"/>
      <c r="AN21" s="701"/>
      <c r="AO21" s="701"/>
      <c r="AP21" s="701"/>
      <c r="AR21" s="701"/>
      <c r="AS21" s="701"/>
      <c r="AT21" s="701"/>
      <c r="AU21" s="701"/>
      <c r="AV21" s="701"/>
      <c r="AW21" s="701"/>
      <c r="AX21" s="701"/>
      <c r="AY21" s="701"/>
      <c r="AZ21" s="701"/>
      <c r="BA21" s="701"/>
      <c r="BB21" s="701"/>
      <c r="BC21" s="701"/>
      <c r="BD21" s="701"/>
      <c r="BE21" s="701"/>
      <c r="BF21" s="702"/>
    </row>
    <row r="22" spans="5:58" ht="15" x14ac:dyDescent="0.2">
      <c r="F22" s="233"/>
      <c r="G22" s="233"/>
      <c r="H22" s="233"/>
      <c r="I22" s="233"/>
      <c r="J22" s="4"/>
      <c r="K22" s="4"/>
      <c r="L22" s="235"/>
      <c r="M22" s="243"/>
      <c r="AF22" s="699"/>
      <c r="AG22" s="286"/>
      <c r="AH22" s="286">
        <v>350</v>
      </c>
      <c r="AI22" s="286">
        <v>77.3</v>
      </c>
      <c r="AJ22" s="660"/>
      <c r="AK22" s="12"/>
      <c r="AM22" s="1791" t="s">
        <v>116</v>
      </c>
      <c r="AN22" s="1791"/>
      <c r="AO22" s="1791"/>
      <c r="AP22" s="1792"/>
      <c r="AQ22" s="707"/>
      <c r="AR22" s="701"/>
      <c r="AS22" s="701"/>
      <c r="AT22" s="701"/>
      <c r="AU22" s="701"/>
      <c r="AV22" s="708"/>
      <c r="AW22" s="701"/>
      <c r="AX22" s="701"/>
      <c r="AY22" s="701"/>
      <c r="AZ22" s="701"/>
      <c r="BA22" s="701"/>
      <c r="BB22" s="701"/>
      <c r="BC22" s="701"/>
      <c r="BD22" s="701"/>
      <c r="BE22" s="701"/>
      <c r="BF22" s="702"/>
    </row>
    <row r="23" spans="5:58" ht="48" x14ac:dyDescent="0.2">
      <c r="E23" s="558" t="s">
        <v>1258</v>
      </c>
      <c r="F23" s="558" t="s">
        <v>1261</v>
      </c>
      <c r="G23" s="558" t="s">
        <v>1257</v>
      </c>
      <c r="H23" s="628" t="s">
        <v>1259</v>
      </c>
      <c r="I23" s="233"/>
      <c r="J23" s="4"/>
      <c r="K23" s="4"/>
      <c r="L23" s="235"/>
      <c r="M23" s="243"/>
      <c r="X23" s="2" t="s">
        <v>2041</v>
      </c>
      <c r="AF23" s="699"/>
      <c r="AG23" s="286"/>
      <c r="AH23" s="286"/>
      <c r="AI23" s="286"/>
      <c r="AJ23" s="660"/>
      <c r="AK23" s="12"/>
      <c r="AM23" s="674" t="s">
        <v>1216</v>
      </c>
      <c r="AN23" s="675" t="s">
        <v>1217</v>
      </c>
      <c r="AO23" s="676" t="s">
        <v>1228</v>
      </c>
      <c r="AP23" s="677"/>
      <c r="AQ23" s="710"/>
      <c r="AR23" s="677" t="s">
        <v>1219</v>
      </c>
      <c r="AS23" s="677" t="s">
        <v>1229</v>
      </c>
      <c r="AT23" s="677" t="s">
        <v>1230</v>
      </c>
      <c r="AU23" s="677" t="s">
        <v>1231</v>
      </c>
      <c r="AV23" s="711"/>
      <c r="AW23" s="701"/>
      <c r="AX23" s="701"/>
      <c r="AY23" s="701"/>
      <c r="AZ23" s="701"/>
      <c r="BA23" s="701"/>
      <c r="BB23" s="701"/>
      <c r="BC23" s="701"/>
      <c r="BD23" s="701"/>
      <c r="BE23" s="701"/>
      <c r="BF23" s="702"/>
    </row>
    <row r="24" spans="5:58" ht="15" x14ac:dyDescent="0.2">
      <c r="E24" s="868">
        <f>W8</f>
        <v>100</v>
      </c>
      <c r="F24" s="344"/>
      <c r="G24" s="936">
        <f>Y8/100</f>
        <v>0.83</v>
      </c>
      <c r="H24" s="937">
        <f>Z8/100</f>
        <v>0.87</v>
      </c>
      <c r="I24" s="233"/>
      <c r="J24" s="4"/>
      <c r="K24" s="4"/>
      <c r="L24" s="235"/>
      <c r="M24" s="243"/>
      <c r="W24" s="1793" t="s">
        <v>289</v>
      </c>
      <c r="X24" s="1802" t="s">
        <v>2081</v>
      </c>
      <c r="Y24" s="1804" t="s">
        <v>226</v>
      </c>
      <c r="Z24" s="1804"/>
      <c r="AA24" s="1804"/>
      <c r="AF24" s="699"/>
      <c r="AG24" s="286"/>
      <c r="AH24" s="286"/>
      <c r="AI24" s="286"/>
      <c r="AJ24" s="660"/>
      <c r="AK24" s="12"/>
      <c r="AM24" s="678"/>
      <c r="AN24" s="679">
        <v>25</v>
      </c>
      <c r="AO24" s="679"/>
      <c r="AP24" s="680"/>
      <c r="AQ24" s="712"/>
      <c r="AR24" s="681">
        <v>18</v>
      </c>
      <c r="AS24" s="682">
        <v>82.5</v>
      </c>
      <c r="AT24" s="680">
        <v>82.5</v>
      </c>
      <c r="AU24" s="680">
        <v>84</v>
      </c>
      <c r="AV24" s="713"/>
      <c r="AW24" s="701"/>
      <c r="AX24" s="701"/>
      <c r="AY24" s="701"/>
      <c r="AZ24" s="701"/>
      <c r="BA24" s="701"/>
      <c r="BB24" s="701"/>
      <c r="BC24" s="701"/>
      <c r="BD24" s="701"/>
      <c r="BE24" s="701"/>
      <c r="BF24" s="702"/>
    </row>
    <row r="25" spans="5:58" ht="15" x14ac:dyDescent="0.2">
      <c r="E25" s="868">
        <f t="shared" ref="E25:E30" si="3">W9</f>
        <v>200</v>
      </c>
      <c r="F25" s="344"/>
      <c r="G25" s="936">
        <f t="shared" ref="G25:G30" si="4">Y9/100</f>
        <v>0.83400000000000007</v>
      </c>
      <c r="H25" s="937">
        <f t="shared" ref="H25:H30" si="5">Z9/100</f>
        <v>0.86900000000000011</v>
      </c>
      <c r="I25" s="233"/>
      <c r="J25" s="4"/>
      <c r="K25" s="4"/>
      <c r="L25" s="235"/>
      <c r="M25" s="243"/>
      <c r="W25" s="1793"/>
      <c r="X25" s="1803"/>
      <c r="Y25" s="932" t="s">
        <v>2082</v>
      </c>
      <c r="Z25" s="933" t="s">
        <v>2083</v>
      </c>
      <c r="AA25" s="934" t="s">
        <v>2084</v>
      </c>
      <c r="AF25" s="699"/>
      <c r="AG25" s="286"/>
      <c r="AH25" s="286"/>
      <c r="AI25" s="286"/>
      <c r="AJ25" s="660"/>
      <c r="AK25" s="12"/>
      <c r="AM25" s="678">
        <v>3.6</v>
      </c>
      <c r="AN25" s="679">
        <v>34</v>
      </c>
      <c r="AO25" s="679">
        <v>82.7</v>
      </c>
      <c r="AP25" s="680"/>
      <c r="AQ25" s="712"/>
      <c r="AR25" s="681">
        <v>29</v>
      </c>
      <c r="AS25" s="682">
        <v>82.5</v>
      </c>
      <c r="AT25" s="680">
        <v>82.5</v>
      </c>
      <c r="AU25" s="680">
        <v>83.7</v>
      </c>
      <c r="AV25" s="713"/>
      <c r="AW25" s="701"/>
      <c r="AX25" s="701"/>
      <c r="AY25" s="701"/>
      <c r="AZ25" s="701"/>
      <c r="BA25" s="701"/>
      <c r="BB25" s="701"/>
      <c r="BC25" s="701"/>
      <c r="BD25" s="701"/>
      <c r="BE25" s="701"/>
      <c r="BF25" s="702"/>
    </row>
    <row r="26" spans="5:58" ht="15" x14ac:dyDescent="0.2">
      <c r="E26" s="868">
        <f t="shared" si="3"/>
        <v>300</v>
      </c>
      <c r="F26" s="344"/>
      <c r="G26" s="936">
        <f t="shared" si="4"/>
        <v>0.85199999999999998</v>
      </c>
      <c r="H26" s="937">
        <f t="shared" si="5"/>
        <v>0.84</v>
      </c>
      <c r="I26" s="233"/>
      <c r="J26" s="4"/>
      <c r="K26" s="4"/>
      <c r="L26" s="235"/>
      <c r="M26" s="243"/>
      <c r="W26" s="935">
        <f>X26/1.2</f>
        <v>198.89231942512026</v>
      </c>
      <c r="X26" s="926">
        <v>238.67078331014432</v>
      </c>
      <c r="Y26" s="927">
        <v>0.81939487611540951</v>
      </c>
      <c r="Z26" s="928">
        <v>0.872</v>
      </c>
      <c r="AA26" s="929">
        <v>0.83391194249305567</v>
      </c>
      <c r="AF26" s="699"/>
      <c r="AG26" s="286"/>
      <c r="AH26" s="286"/>
      <c r="AI26" s="286"/>
      <c r="AJ26" s="660"/>
      <c r="AK26" s="12"/>
      <c r="AM26" s="678">
        <v>4.2</v>
      </c>
      <c r="AN26" s="679">
        <v>43</v>
      </c>
      <c r="AO26" s="679">
        <v>82.3</v>
      </c>
      <c r="AP26" s="680"/>
      <c r="AQ26" s="712"/>
      <c r="AR26" s="681">
        <v>36</v>
      </c>
      <c r="AS26" s="682">
        <v>82.5</v>
      </c>
      <c r="AT26" s="680">
        <v>82.5</v>
      </c>
      <c r="AU26" s="680">
        <v>83.5</v>
      </c>
      <c r="AV26" s="713"/>
      <c r="AW26" s="701"/>
      <c r="AX26" s="701"/>
      <c r="AY26" s="701"/>
      <c r="AZ26" s="701"/>
      <c r="BA26" s="701"/>
      <c r="BB26" s="701"/>
      <c r="BC26" s="701"/>
      <c r="BD26" s="701"/>
      <c r="BE26" s="701"/>
      <c r="BF26" s="702"/>
    </row>
    <row r="27" spans="5:58" ht="15" x14ac:dyDescent="0.2">
      <c r="E27" s="868">
        <f t="shared" si="3"/>
        <v>400</v>
      </c>
      <c r="F27" s="344"/>
      <c r="G27" s="936">
        <f t="shared" si="4"/>
        <v>0.85299999999999998</v>
      </c>
      <c r="H27" s="937">
        <f t="shared" si="5"/>
        <v>0.82200000000000006</v>
      </c>
      <c r="I27" s="233"/>
      <c r="J27" s="4"/>
      <c r="K27" s="4"/>
      <c r="L27" s="235"/>
      <c r="M27" s="243"/>
      <c r="W27" s="935">
        <f t="shared" ref="W27:W29" si="6">X27/1.2</f>
        <v>302.8176287800917</v>
      </c>
      <c r="X27" s="926">
        <v>363.38115453610999</v>
      </c>
      <c r="Y27" s="930">
        <v>0.82578800663950469</v>
      </c>
      <c r="Z27" s="928">
        <v>0.84099999999999997</v>
      </c>
      <c r="AA27" s="931">
        <v>0.85200717176266705</v>
      </c>
      <c r="AF27" s="699"/>
      <c r="AG27" s="286"/>
      <c r="AH27" s="286"/>
      <c r="AI27" s="286"/>
      <c r="AJ27" s="660"/>
      <c r="AK27" s="12"/>
      <c r="AM27" s="678">
        <v>6.1</v>
      </c>
      <c r="AN27" s="679">
        <v>71</v>
      </c>
      <c r="AO27" s="679">
        <v>83.2</v>
      </c>
      <c r="AP27" s="680"/>
      <c r="AQ27" s="712"/>
      <c r="AR27" s="681">
        <v>60</v>
      </c>
      <c r="AS27" s="682">
        <v>82.5</v>
      </c>
      <c r="AT27" s="680">
        <v>82.4</v>
      </c>
      <c r="AU27" s="680">
        <v>83.2</v>
      </c>
      <c r="AV27" s="713"/>
      <c r="AW27" s="701"/>
      <c r="AX27" s="701"/>
      <c r="AY27" s="701"/>
      <c r="AZ27" s="701"/>
      <c r="BA27" s="701"/>
      <c r="BB27" s="701"/>
      <c r="BC27" s="701"/>
      <c r="BD27" s="701"/>
      <c r="BE27" s="701"/>
      <c r="BF27" s="702"/>
    </row>
    <row r="28" spans="5:58" ht="15" x14ac:dyDescent="0.2">
      <c r="E28" s="868">
        <f t="shared" si="3"/>
        <v>500</v>
      </c>
      <c r="F28" s="344"/>
      <c r="G28" s="936">
        <f t="shared" si="4"/>
        <v>0.85299999999999998</v>
      </c>
      <c r="H28" s="937">
        <f t="shared" si="5"/>
        <v>0.81</v>
      </c>
      <c r="I28" s="233"/>
      <c r="J28" s="4"/>
      <c r="K28" s="4"/>
      <c r="L28" s="235"/>
      <c r="M28" s="243"/>
      <c r="W28" s="935">
        <f t="shared" si="6"/>
        <v>401.30178258863094</v>
      </c>
      <c r="X28" s="926">
        <v>481.56213910635711</v>
      </c>
      <c r="Y28" s="930">
        <v>0.80486073740045572</v>
      </c>
      <c r="Z28" s="928">
        <v>0.82599999999999996</v>
      </c>
      <c r="AA28" s="931">
        <v>0.84096566109229565</v>
      </c>
      <c r="AF28" s="714"/>
      <c r="AG28" s="683"/>
      <c r="AH28" s="683"/>
      <c r="AI28" s="683"/>
      <c r="AJ28" s="684"/>
      <c r="AK28" s="12"/>
      <c r="AM28" s="678">
        <v>9.6999999999999993</v>
      </c>
      <c r="AN28" s="679">
        <v>107</v>
      </c>
      <c r="AO28" s="679">
        <v>84.8</v>
      </c>
      <c r="AP28" s="680"/>
      <c r="AQ28" s="712"/>
      <c r="AR28" s="681">
        <v>90</v>
      </c>
      <c r="AS28" s="682">
        <v>82.5</v>
      </c>
      <c r="AT28" s="680">
        <v>81.5</v>
      </c>
      <c r="AU28" s="680">
        <v>82</v>
      </c>
      <c r="AV28" s="713"/>
      <c r="AW28" s="701"/>
      <c r="AX28" s="701"/>
      <c r="AY28" s="701"/>
      <c r="AZ28" s="701"/>
      <c r="BA28" s="701"/>
      <c r="BB28" s="701"/>
      <c r="BC28" s="701"/>
      <c r="BD28" s="701"/>
      <c r="BE28" s="701"/>
      <c r="BF28" s="702"/>
    </row>
    <row r="29" spans="5:58" ht="15" x14ac:dyDescent="0.2">
      <c r="E29" s="868">
        <f t="shared" si="3"/>
        <v>600</v>
      </c>
      <c r="F29" s="344"/>
      <c r="G29" s="936">
        <f t="shared" si="4"/>
        <v>0.85099999999999998</v>
      </c>
      <c r="H29" s="937">
        <f t="shared" si="5"/>
        <v>0.79900000000000004</v>
      </c>
      <c r="I29" s="233"/>
      <c r="J29" s="4"/>
      <c r="K29" s="4"/>
      <c r="L29" s="235"/>
      <c r="M29" s="243"/>
      <c r="W29" s="935">
        <f t="shared" si="6"/>
        <v>496.13419310736049</v>
      </c>
      <c r="X29" s="926">
        <v>595.36103172883259</v>
      </c>
      <c r="Y29" s="930">
        <v>0.78956300426978132</v>
      </c>
      <c r="Z29" s="928">
        <v>0.80300000000000005</v>
      </c>
      <c r="AA29" s="931">
        <v>0.85333204949697727</v>
      </c>
      <c r="AF29" s="232"/>
      <c r="AM29" s="679"/>
      <c r="AN29" s="679">
        <v>130</v>
      </c>
      <c r="AO29" s="679"/>
      <c r="AP29" s="680"/>
      <c r="AQ29" s="712"/>
      <c r="AR29" s="681">
        <v>130</v>
      </c>
      <c r="AS29" s="682">
        <v>82.5</v>
      </c>
      <c r="AT29" s="680">
        <v>80</v>
      </c>
      <c r="AU29" s="680">
        <v>80.2</v>
      </c>
      <c r="AV29" s="713"/>
      <c r="AW29" s="701"/>
      <c r="AX29" s="701"/>
      <c r="AY29" s="701"/>
      <c r="AZ29" s="701"/>
      <c r="BA29" s="701"/>
      <c r="BB29" s="701"/>
      <c r="BC29" s="701"/>
      <c r="BD29" s="701"/>
      <c r="BE29" s="701"/>
      <c r="BF29" s="702"/>
    </row>
    <row r="30" spans="5:58" x14ac:dyDescent="0.15">
      <c r="E30" s="868">
        <f t="shared" si="3"/>
        <v>700</v>
      </c>
      <c r="F30" s="344"/>
      <c r="G30" s="936">
        <f t="shared" si="4"/>
        <v>0.85</v>
      </c>
      <c r="H30" s="937">
        <f t="shared" si="5"/>
        <v>0.79099999999999993</v>
      </c>
      <c r="I30" s="233"/>
      <c r="J30" s="4"/>
      <c r="K30" s="4"/>
      <c r="L30" s="235"/>
      <c r="M30" s="243"/>
      <c r="AF30" s="232"/>
      <c r="AM30" s="701"/>
      <c r="AN30" s="701"/>
      <c r="AO30" s="701"/>
      <c r="AP30" s="701"/>
      <c r="AR30" s="729">
        <f>AR29</f>
        <v>130</v>
      </c>
      <c r="AS30" s="729">
        <f t="shared" ref="AS30:AU30" si="7">AS29</f>
        <v>82.5</v>
      </c>
      <c r="AT30" s="729">
        <f t="shared" si="7"/>
        <v>80</v>
      </c>
      <c r="AU30" s="729">
        <f t="shared" si="7"/>
        <v>80.2</v>
      </c>
      <c r="AV30" s="701"/>
      <c r="AW30" s="701"/>
      <c r="AX30" s="701"/>
      <c r="AY30" s="701"/>
      <c r="AZ30" s="701"/>
      <c r="BA30" s="701"/>
      <c r="BB30" s="701"/>
      <c r="BC30" s="701"/>
      <c r="BD30" s="701"/>
      <c r="BE30" s="701"/>
      <c r="BF30" s="702"/>
    </row>
    <row r="31" spans="5:58" x14ac:dyDescent="0.15">
      <c r="F31" s="233"/>
      <c r="G31" s="233"/>
      <c r="H31" s="233"/>
      <c r="I31" s="233"/>
      <c r="J31" s="4"/>
      <c r="K31" s="4"/>
      <c r="L31" s="235"/>
      <c r="M31" s="243"/>
      <c r="AF31" s="232"/>
      <c r="BF31" s="364"/>
    </row>
    <row r="32" spans="5:58" x14ac:dyDescent="0.15">
      <c r="F32" s="4" t="s">
        <v>289</v>
      </c>
      <c r="G32" s="628" t="s">
        <v>1256</v>
      </c>
      <c r="H32" s="628" t="s">
        <v>1259</v>
      </c>
      <c r="I32" s="233"/>
      <c r="J32" s="4"/>
      <c r="K32" s="4"/>
      <c r="L32" s="235"/>
      <c r="M32" s="243"/>
      <c r="AF32" s="232"/>
      <c r="AM32" s="701"/>
      <c r="AN32" s="701"/>
      <c r="AO32" s="701"/>
      <c r="AP32" s="701"/>
      <c r="AR32" s="701"/>
      <c r="AS32" s="701"/>
      <c r="AT32" s="701"/>
      <c r="AU32" s="701"/>
      <c r="AV32" s="701"/>
      <c r="AW32" s="701"/>
      <c r="AX32" s="701"/>
      <c r="AY32" s="701"/>
      <c r="AZ32" s="701"/>
      <c r="BA32" s="701"/>
      <c r="BB32" s="701"/>
      <c r="BC32" s="701"/>
      <c r="BD32" s="701"/>
      <c r="BE32" s="701"/>
      <c r="BF32" s="702"/>
    </row>
    <row r="33" spans="5:58" x14ac:dyDescent="0.15">
      <c r="E33" s="95" t="s">
        <v>450</v>
      </c>
      <c r="F33" s="344">
        <f>E24</f>
        <v>100</v>
      </c>
      <c r="G33" s="938">
        <f>G24</f>
        <v>0.83</v>
      </c>
      <c r="H33" s="938">
        <f>H24</f>
        <v>0.87</v>
      </c>
      <c r="I33" s="233"/>
      <c r="J33" s="4"/>
      <c r="K33" s="4"/>
      <c r="L33" s="235"/>
      <c r="M33" s="243"/>
      <c r="AF33" s="232"/>
      <c r="AM33" s="701"/>
      <c r="AN33" s="701"/>
      <c r="AO33" s="701"/>
      <c r="AP33" s="701"/>
      <c r="AR33" s="701"/>
      <c r="AS33" s="701"/>
      <c r="AT33" s="701"/>
      <c r="AU33" s="701"/>
      <c r="AV33" s="701"/>
      <c r="AW33" s="701"/>
      <c r="AX33" s="701"/>
      <c r="AY33" s="701"/>
      <c r="AZ33" s="701"/>
      <c r="BA33" s="701"/>
      <c r="BB33" s="701"/>
      <c r="BC33" s="701"/>
      <c r="BD33" s="701"/>
      <c r="BE33" s="701"/>
      <c r="BF33" s="702"/>
    </row>
    <row r="34" spans="5:58" ht="15" x14ac:dyDescent="0.2">
      <c r="E34" s="95" t="s">
        <v>22</v>
      </c>
      <c r="F34" s="344">
        <f>MAX(E24:E30)</f>
        <v>700</v>
      </c>
      <c r="G34" s="938">
        <f>G27</f>
        <v>0.85299999999999998</v>
      </c>
      <c r="H34" s="938">
        <f>H27</f>
        <v>0.82200000000000006</v>
      </c>
      <c r="I34" s="233"/>
      <c r="J34" s="4"/>
      <c r="K34" s="4"/>
      <c r="L34" s="235"/>
      <c r="M34" s="243"/>
      <c r="AF34" s="232"/>
      <c r="AM34" s="1791" t="s">
        <v>585</v>
      </c>
      <c r="AN34" s="1791"/>
      <c r="AO34" s="1791"/>
      <c r="AP34" s="1792"/>
      <c r="AQ34" s="707"/>
      <c r="AR34" s="708"/>
      <c r="AS34" s="708"/>
      <c r="AT34" s="708"/>
      <c r="AU34" s="708"/>
      <c r="AV34" s="708"/>
      <c r="AW34" s="701"/>
      <c r="AX34" s="701"/>
      <c r="AY34" s="701"/>
      <c r="AZ34" s="701"/>
      <c r="BA34" s="701"/>
      <c r="BB34" s="701"/>
      <c r="BC34" s="701"/>
      <c r="BD34" s="701"/>
      <c r="BE34" s="701"/>
      <c r="BF34" s="702"/>
    </row>
    <row r="35" spans="5:58" ht="48" x14ac:dyDescent="0.2">
      <c r="F35" s="233"/>
      <c r="G35" s="233"/>
      <c r="H35" s="233"/>
      <c r="I35" s="233"/>
      <c r="J35" s="4"/>
      <c r="K35" s="4"/>
      <c r="L35" s="235"/>
      <c r="M35" s="243"/>
      <c r="AF35" s="232"/>
      <c r="AM35" s="674" t="s">
        <v>1216</v>
      </c>
      <c r="AN35" s="675" t="s">
        <v>1217</v>
      </c>
      <c r="AO35" s="676" t="s">
        <v>1232</v>
      </c>
      <c r="AP35" s="677"/>
      <c r="AQ35" s="710"/>
      <c r="AR35" s="677" t="s">
        <v>1219</v>
      </c>
      <c r="AS35" s="677" t="s">
        <v>1233</v>
      </c>
      <c r="AT35" s="677" t="s">
        <v>1234</v>
      </c>
      <c r="AU35" s="677" t="s">
        <v>1235</v>
      </c>
      <c r="AV35" s="711"/>
      <c r="AW35" s="701"/>
      <c r="AX35" s="701"/>
      <c r="AY35" s="701"/>
      <c r="AZ35" s="701"/>
      <c r="BA35" s="701"/>
      <c r="BB35" s="701"/>
      <c r="BC35" s="701"/>
      <c r="BD35" s="701"/>
      <c r="BE35" s="701"/>
      <c r="BF35" s="702"/>
    </row>
    <row r="36" spans="5:58" ht="15" x14ac:dyDescent="0.2">
      <c r="E36" t="s">
        <v>1262</v>
      </c>
      <c r="F36" s="80">
        <f>F53</f>
        <v>450</v>
      </c>
      <c r="H36" s="233"/>
      <c r="I36" s="233"/>
      <c r="J36" s="4"/>
      <c r="K36" s="4"/>
      <c r="L36" s="235"/>
      <c r="M36" s="243"/>
      <c r="AF36" s="232"/>
      <c r="AM36" s="678"/>
      <c r="AN36" s="679">
        <v>25</v>
      </c>
      <c r="AO36" s="679"/>
      <c r="AP36" s="680"/>
      <c r="AQ36" s="712"/>
      <c r="AR36" s="681">
        <v>18</v>
      </c>
      <c r="AS36" s="682">
        <v>77.5</v>
      </c>
      <c r="AT36" s="680">
        <v>77.5</v>
      </c>
      <c r="AU36" s="680">
        <v>79.5</v>
      </c>
      <c r="AV36" s="713"/>
      <c r="AW36" s="701"/>
      <c r="AX36" s="701"/>
      <c r="AY36" s="701"/>
      <c r="AZ36" s="701"/>
      <c r="BA36" s="701"/>
      <c r="BB36" s="701"/>
      <c r="BC36" s="701"/>
      <c r="BD36" s="701"/>
      <c r="BE36" s="701"/>
      <c r="BF36" s="702"/>
    </row>
    <row r="37" spans="5:58" ht="15" x14ac:dyDescent="0.2">
      <c r="E37" s="2" t="s">
        <v>1263</v>
      </c>
      <c r="F37" s="730">
        <f>IF(F36&lt;E24,E24,IF(F36&gt;F34,F34,F36))</f>
        <v>450</v>
      </c>
      <c r="I37" s="233"/>
      <c r="J37" s="4"/>
      <c r="K37" s="4"/>
      <c r="L37" s="235"/>
      <c r="M37" s="243"/>
      <c r="AF37" s="232"/>
      <c r="AM37" s="685"/>
      <c r="AN37" s="679">
        <v>34</v>
      </c>
      <c r="AO37" s="679">
        <v>77.5</v>
      </c>
      <c r="AP37" s="680"/>
      <c r="AQ37" s="712"/>
      <c r="AR37" s="681">
        <v>29</v>
      </c>
      <c r="AS37" s="682">
        <v>77.5</v>
      </c>
      <c r="AT37" s="680">
        <v>77.5</v>
      </c>
      <c r="AU37" s="680">
        <v>79</v>
      </c>
      <c r="AV37" s="713"/>
      <c r="AW37" s="701"/>
      <c r="AX37" s="701"/>
      <c r="AY37" s="701"/>
      <c r="AZ37" s="701"/>
      <c r="BA37" s="701"/>
      <c r="BB37" s="701"/>
      <c r="BC37" s="701"/>
      <c r="BD37" s="701"/>
      <c r="BE37" s="701"/>
      <c r="BF37" s="702"/>
    </row>
    <row r="38" spans="5:58" ht="15" x14ac:dyDescent="0.2">
      <c r="E38" s="2" t="s">
        <v>1256</v>
      </c>
      <c r="F38" s="968">
        <f>IF(F36&lt;F33,G33,IF(F36&gt;F34,G34,_xlfn.FORECAST.LINEAR(F36,F43:F44,E43:E44)))</f>
        <v>0.85299999999999998</v>
      </c>
      <c r="G38" s="732">
        <f>F38</f>
        <v>0.85299999999999998</v>
      </c>
      <c r="I38" s="233"/>
      <c r="J38" s="4"/>
      <c r="K38" s="4"/>
      <c r="L38" s="235"/>
      <c r="M38" s="243"/>
      <c r="AF38" s="232"/>
      <c r="AM38" s="685"/>
      <c r="AN38" s="679">
        <v>43</v>
      </c>
      <c r="AO38" s="679">
        <v>77.5</v>
      </c>
      <c r="AP38" s="680"/>
      <c r="AQ38" s="712"/>
      <c r="AR38" s="681">
        <v>36</v>
      </c>
      <c r="AS38" s="682">
        <v>77.5</v>
      </c>
      <c r="AT38" s="680">
        <v>77.5</v>
      </c>
      <c r="AU38" s="680">
        <v>78.5</v>
      </c>
      <c r="AV38" s="713"/>
      <c r="AW38" s="701"/>
      <c r="AX38" s="701"/>
      <c r="AY38" s="701"/>
      <c r="AZ38" s="701"/>
      <c r="BA38" s="701"/>
      <c r="BB38" s="701"/>
      <c r="BC38" s="701"/>
      <c r="BD38" s="701"/>
      <c r="BE38" s="701"/>
      <c r="BF38" s="702"/>
    </row>
    <row r="39" spans="5:58" ht="15" x14ac:dyDescent="0.2">
      <c r="E39" s="2" t="s">
        <v>1259</v>
      </c>
      <c r="F39" s="968">
        <f>IF(F36&lt;F33,H33,IF(F36&gt;F34,H34,_xlfn.FORECAST.LINEAR(F36,G43:G44,E43:E44)))</f>
        <v>0.81600000000000006</v>
      </c>
      <c r="G39" s="732">
        <f>F39</f>
        <v>0.81600000000000006</v>
      </c>
      <c r="H39" s="233"/>
      <c r="I39" s="233"/>
      <c r="J39" s="4"/>
      <c r="K39" s="4"/>
      <c r="L39" s="235"/>
      <c r="M39" s="243"/>
      <c r="AF39" s="232"/>
      <c r="AM39" s="685"/>
      <c r="AN39" s="679">
        <v>71</v>
      </c>
      <c r="AO39" s="679">
        <v>77.5</v>
      </c>
      <c r="AP39" s="680"/>
      <c r="AQ39" s="712"/>
      <c r="AR39" s="681">
        <v>60</v>
      </c>
      <c r="AS39" s="682">
        <v>77.5</v>
      </c>
      <c r="AT39" s="680">
        <v>77</v>
      </c>
      <c r="AU39" s="680">
        <v>77.5</v>
      </c>
      <c r="AV39" s="713"/>
      <c r="AW39" s="701"/>
      <c r="AX39" s="701"/>
      <c r="AY39" s="701"/>
      <c r="AZ39" s="701"/>
      <c r="BA39" s="701"/>
      <c r="BB39" s="701"/>
      <c r="BC39" s="701"/>
      <c r="BD39" s="701"/>
      <c r="BE39" s="701"/>
      <c r="BF39" s="702"/>
    </row>
    <row r="40" spans="5:58" ht="15" x14ac:dyDescent="0.2">
      <c r="H40" s="233"/>
      <c r="I40" s="233"/>
      <c r="J40" s="4"/>
      <c r="K40" s="4"/>
      <c r="L40" s="235"/>
      <c r="M40" s="243"/>
      <c r="AF40" s="232"/>
      <c r="AM40" s="686"/>
      <c r="AN40" s="679">
        <v>107</v>
      </c>
      <c r="AO40" s="679">
        <v>77.5</v>
      </c>
      <c r="AP40" s="680"/>
      <c r="AQ40" s="712"/>
      <c r="AR40" s="681">
        <v>90</v>
      </c>
      <c r="AS40" s="682">
        <v>77.5</v>
      </c>
      <c r="AT40" s="680">
        <v>75.5</v>
      </c>
      <c r="AU40" s="680">
        <v>76</v>
      </c>
      <c r="AV40" s="713"/>
      <c r="AW40" s="701"/>
      <c r="AX40" s="701"/>
      <c r="AY40" s="701"/>
      <c r="AZ40" s="701"/>
      <c r="BA40" s="701"/>
      <c r="BB40" s="701"/>
      <c r="BC40" s="701"/>
      <c r="BD40" s="701"/>
      <c r="BE40" s="701"/>
      <c r="BF40" s="702"/>
    </row>
    <row r="41" spans="5:58" ht="15" x14ac:dyDescent="0.2">
      <c r="H41" s="233"/>
      <c r="I41" s="233"/>
      <c r="J41" s="4"/>
      <c r="K41" s="4"/>
      <c r="L41" s="235"/>
      <c r="M41" s="243"/>
      <c r="AF41" s="232"/>
      <c r="AM41" s="679"/>
      <c r="AN41" s="679">
        <v>140</v>
      </c>
      <c r="AO41" s="679"/>
      <c r="AP41" s="680"/>
      <c r="AQ41" s="712"/>
      <c r="AR41" s="681">
        <v>140</v>
      </c>
      <c r="AS41" s="682">
        <v>77.5</v>
      </c>
      <c r="AT41" s="680">
        <v>73.5</v>
      </c>
      <c r="AU41" s="680">
        <v>74</v>
      </c>
      <c r="AV41" s="713"/>
      <c r="AW41" s="701"/>
      <c r="AX41" s="701"/>
      <c r="AY41" s="701"/>
      <c r="AZ41" s="701"/>
      <c r="BA41" s="701"/>
      <c r="BB41" s="701"/>
      <c r="BC41" s="701"/>
      <c r="BD41" s="701"/>
      <c r="BE41" s="701"/>
      <c r="BF41" s="702"/>
    </row>
    <row r="42" spans="5:58" ht="15" x14ac:dyDescent="0.2">
      <c r="E42" s="2" t="s">
        <v>1264</v>
      </c>
      <c r="F42" s="344" t="s">
        <v>1256</v>
      </c>
      <c r="G42" s="344" t="s">
        <v>1259</v>
      </c>
      <c r="H42" s="233"/>
      <c r="I42" s="233"/>
      <c r="J42" s="4"/>
      <c r="K42" s="4"/>
      <c r="L42" s="235"/>
      <c r="M42" s="243"/>
      <c r="AF42" s="232"/>
      <c r="AM42" s="701"/>
      <c r="AN42" s="701"/>
      <c r="AO42" s="715"/>
      <c r="AP42" s="701"/>
      <c r="AR42" s="729">
        <f>AR41</f>
        <v>140</v>
      </c>
      <c r="AS42" s="729">
        <f t="shared" ref="AS42:AU42" si="8">AS41</f>
        <v>77.5</v>
      </c>
      <c r="AT42" s="729">
        <f t="shared" si="8"/>
        <v>73.5</v>
      </c>
      <c r="AU42" s="729">
        <f t="shared" si="8"/>
        <v>74</v>
      </c>
      <c r="AV42" s="701"/>
      <c r="AW42" s="701"/>
      <c r="AX42" s="701"/>
      <c r="AY42" s="701"/>
      <c r="AZ42" s="701"/>
      <c r="BA42" s="701"/>
      <c r="BB42" s="701"/>
      <c r="BC42" s="701"/>
      <c r="BD42" s="701"/>
      <c r="BE42" s="701"/>
      <c r="BF42" s="702"/>
    </row>
    <row r="43" spans="5:58" x14ac:dyDescent="0.15">
      <c r="E43" s="74">
        <f>INDEX(E24:E30,MATCH($F$37,$E$24:$E$30,1))</f>
        <v>400</v>
      </c>
      <c r="F43" s="344">
        <f>INDEX(G24:G30,MATCH($F$37,$E$24:$E$30))</f>
        <v>0.85299999999999998</v>
      </c>
      <c r="G43" s="344">
        <f>INDEX(H24:H30,MATCH($F$37,$E$24:$E$30))</f>
        <v>0.82200000000000006</v>
      </c>
      <c r="H43" s="233"/>
      <c r="I43" s="233"/>
      <c r="J43" s="4"/>
      <c r="K43" s="4"/>
      <c r="L43" s="235"/>
      <c r="M43" s="243"/>
      <c r="AF43" s="232"/>
      <c r="BF43" s="364"/>
    </row>
    <row r="44" spans="5:58" x14ac:dyDescent="0.15">
      <c r="E44" s="74" cm="1">
        <f t="array" ref="E44">INDEX(E24:E30,MATCH($F$37,$E$24:$E$30,1)+1)</f>
        <v>500</v>
      </c>
      <c r="F44" s="344" cm="1">
        <f t="array" ref="F44">INDEX(G24:G30,MATCH($F$37,$E$24:$E$30)+1)</f>
        <v>0.85299999999999998</v>
      </c>
      <c r="G44" s="344" cm="1">
        <f t="array" ref="G44">INDEX(H24:H30,MATCH($F$37,$E$24:$E$30)+1)</f>
        <v>0.81</v>
      </c>
      <c r="H44" s="233"/>
      <c r="I44" s="233"/>
      <c r="J44" s="4"/>
      <c r="K44" s="4"/>
      <c r="L44" s="235"/>
      <c r="M44" s="243"/>
      <c r="AF44" s="232"/>
      <c r="AM44" s="701"/>
      <c r="AN44" s="701"/>
      <c r="AO44" s="701"/>
      <c r="AP44" s="701"/>
      <c r="AR44" s="701"/>
      <c r="AS44" s="701"/>
      <c r="AT44" s="701"/>
      <c r="AU44" s="701"/>
      <c r="AV44" s="701"/>
      <c r="AW44" s="701"/>
      <c r="AX44" s="701"/>
      <c r="AY44" s="701"/>
      <c r="AZ44" s="701"/>
      <c r="BA44" s="701"/>
      <c r="BB44" s="701"/>
      <c r="BC44" s="701"/>
      <c r="BD44" s="701"/>
      <c r="BE44" s="701"/>
      <c r="BF44" s="702"/>
    </row>
    <row r="45" spans="5:58" x14ac:dyDescent="0.15">
      <c r="F45" s="233"/>
      <c r="G45" s="233"/>
      <c r="H45" s="233"/>
      <c r="I45" s="233"/>
      <c r="J45" s="4"/>
      <c r="K45" s="4"/>
      <c r="L45" s="235"/>
      <c r="M45" s="243"/>
      <c r="AF45" s="232"/>
      <c r="AM45" s="701"/>
      <c r="AN45" s="701"/>
      <c r="AO45" s="701"/>
      <c r="AP45" s="701"/>
      <c r="AR45" s="701"/>
      <c r="AS45" s="701"/>
      <c r="AT45" s="701"/>
      <c r="AU45" s="701"/>
      <c r="AV45" s="701"/>
      <c r="AW45" s="701"/>
      <c r="AX45" s="701"/>
      <c r="AY45" s="701"/>
      <c r="AZ45" s="701"/>
      <c r="BA45" s="701"/>
      <c r="BB45" s="701"/>
      <c r="BC45" s="701"/>
      <c r="BD45" s="701"/>
      <c r="BE45" s="701"/>
      <c r="BF45" s="702"/>
    </row>
    <row r="46" spans="5:58" ht="15" x14ac:dyDescent="0.2">
      <c r="F46" s="233"/>
      <c r="G46" s="233"/>
      <c r="H46" s="233"/>
      <c r="I46" s="233"/>
      <c r="J46" s="4"/>
      <c r="K46" s="4"/>
      <c r="L46" s="235"/>
      <c r="M46" s="243"/>
      <c r="AF46" s="232"/>
      <c r="AM46" s="1791" t="s">
        <v>129</v>
      </c>
      <c r="AN46" s="1791"/>
      <c r="AO46" s="1791"/>
      <c r="AP46" s="1792"/>
      <c r="AQ46" s="707"/>
      <c r="AR46" s="708"/>
      <c r="AS46" s="708"/>
      <c r="AT46" s="708"/>
      <c r="AU46" s="708"/>
      <c r="AV46" s="708"/>
      <c r="AW46" s="701"/>
      <c r="AX46" s="701"/>
      <c r="AY46" s="701"/>
      <c r="AZ46" s="701"/>
      <c r="BA46" s="701"/>
      <c r="BB46" s="701"/>
      <c r="BC46" s="701"/>
      <c r="BD46" s="701"/>
      <c r="BE46" s="701"/>
      <c r="BF46" s="702"/>
    </row>
    <row r="47" spans="5:58" ht="48" x14ac:dyDescent="0.2">
      <c r="F47" s="233"/>
      <c r="G47" s="233"/>
      <c r="H47" s="233"/>
      <c r="I47" s="233"/>
      <c r="J47" s="4"/>
      <c r="K47" s="4"/>
      <c r="L47" s="235"/>
      <c r="M47" s="243"/>
      <c r="AF47" s="232"/>
      <c r="AM47" s="674" t="s">
        <v>1216</v>
      </c>
      <c r="AN47" s="675" t="s">
        <v>1217</v>
      </c>
      <c r="AO47" s="676" t="s">
        <v>1236</v>
      </c>
      <c r="AP47" s="677"/>
      <c r="AQ47" s="710"/>
      <c r="AR47" s="677" t="s">
        <v>1219</v>
      </c>
      <c r="AS47" s="677" t="s">
        <v>1237</v>
      </c>
      <c r="AT47" s="677" t="s">
        <v>1238</v>
      </c>
      <c r="AU47" s="677" t="s">
        <v>1239</v>
      </c>
      <c r="AV47" s="711"/>
      <c r="AW47" s="701"/>
      <c r="AX47" s="701"/>
      <c r="AY47" s="701"/>
      <c r="AZ47" s="701"/>
      <c r="BA47" s="701"/>
      <c r="BB47" s="701"/>
      <c r="BC47" s="701"/>
      <c r="BD47" s="701"/>
      <c r="BE47" s="701"/>
      <c r="BF47" s="702"/>
    </row>
    <row r="48" spans="5:58" ht="15" x14ac:dyDescent="0.2">
      <c r="E48" t="s">
        <v>1175</v>
      </c>
      <c r="F48" s="233"/>
      <c r="G48" s="233"/>
      <c r="H48" s="233"/>
      <c r="I48" s="233"/>
      <c r="J48" s="4"/>
      <c r="K48" s="4"/>
      <c r="L48" s="235"/>
      <c r="M48" s="243"/>
      <c r="AF48" s="232"/>
      <c r="AM48" s="678"/>
      <c r="AN48" s="679">
        <v>25</v>
      </c>
      <c r="AO48" s="679"/>
      <c r="AP48" s="680"/>
      <c r="AQ48" s="712"/>
      <c r="AR48" s="681">
        <v>18</v>
      </c>
      <c r="AS48" s="682">
        <v>79.5</v>
      </c>
      <c r="AT48" s="680">
        <v>79.5</v>
      </c>
      <c r="AU48" s="680">
        <v>82</v>
      </c>
      <c r="AV48" s="713"/>
      <c r="AW48" s="701"/>
      <c r="AX48" s="701"/>
      <c r="AY48" s="701"/>
      <c r="AZ48" s="701"/>
      <c r="BA48" s="701"/>
      <c r="BB48" s="701"/>
      <c r="BC48" s="701"/>
      <c r="BD48" s="701"/>
      <c r="BE48" s="701"/>
      <c r="BF48" s="702"/>
    </row>
    <row r="49" spans="5:58" ht="15" x14ac:dyDescent="0.2">
      <c r="E49" t="s">
        <v>988</v>
      </c>
      <c r="F49" s="233" t="b">
        <f>KirjastoC!V5</f>
        <v>1</v>
      </c>
      <c r="G49" s="233"/>
      <c r="H49" s="233"/>
      <c r="I49" s="233"/>
      <c r="J49" s="4"/>
      <c r="K49" s="4"/>
      <c r="L49" s="235"/>
      <c r="M49" s="243"/>
      <c r="AF49" s="232"/>
      <c r="AM49" s="685" t="s">
        <v>1240</v>
      </c>
      <c r="AN49" s="679">
        <v>68</v>
      </c>
      <c r="AO49" s="679">
        <v>79.3</v>
      </c>
      <c r="AP49" s="680"/>
      <c r="AQ49" s="712"/>
      <c r="AR49" s="681">
        <v>29</v>
      </c>
      <c r="AS49" s="682">
        <v>79.5</v>
      </c>
      <c r="AT49" s="680">
        <v>79.5</v>
      </c>
      <c r="AU49" s="680">
        <v>81.75</v>
      </c>
      <c r="AV49" s="713"/>
      <c r="AW49" s="701"/>
      <c r="AX49" s="701"/>
      <c r="AY49" s="701"/>
      <c r="AZ49" s="701"/>
      <c r="BA49" s="701"/>
      <c r="BB49" s="701"/>
      <c r="BC49" s="701"/>
      <c r="BD49" s="701"/>
      <c r="BE49" s="701"/>
      <c r="BF49" s="702"/>
    </row>
    <row r="50" spans="5:58" ht="15" x14ac:dyDescent="0.2">
      <c r="E50" t="s">
        <v>1177</v>
      </c>
      <c r="F50" s="233" t="b">
        <f>KirjastoC!V6</f>
        <v>0</v>
      </c>
      <c r="G50" s="233"/>
      <c r="H50" s="233"/>
      <c r="I50" s="233"/>
      <c r="J50" s="4"/>
      <c r="K50" s="4"/>
      <c r="L50" s="235"/>
      <c r="M50" s="243"/>
      <c r="AF50" s="232"/>
      <c r="AM50" s="685" t="s">
        <v>1241</v>
      </c>
      <c r="AN50" s="679">
        <v>91</v>
      </c>
      <c r="AO50" s="679">
        <v>79.5</v>
      </c>
      <c r="AP50" s="680"/>
      <c r="AQ50" s="712"/>
      <c r="AR50" s="681">
        <v>36</v>
      </c>
      <c r="AS50" s="682">
        <v>79.5</v>
      </c>
      <c r="AT50" s="680">
        <v>79.5</v>
      </c>
      <c r="AU50" s="680">
        <v>81.5</v>
      </c>
      <c r="AV50" s="713"/>
      <c r="AW50" s="701"/>
      <c r="AX50" s="701"/>
      <c r="AY50" s="701"/>
      <c r="AZ50" s="701"/>
      <c r="BA50" s="701"/>
      <c r="BB50" s="701"/>
      <c r="BC50" s="701"/>
      <c r="BD50" s="701"/>
      <c r="BE50" s="701"/>
      <c r="BF50" s="702"/>
    </row>
    <row r="51" spans="5:58" ht="15" x14ac:dyDescent="0.2">
      <c r="F51" s="233"/>
      <c r="G51" s="233"/>
      <c r="H51" s="233"/>
      <c r="I51" s="233"/>
      <c r="J51" s="4"/>
      <c r="K51" s="4"/>
      <c r="L51" s="235"/>
      <c r="M51" s="243"/>
      <c r="AF51" s="232"/>
      <c r="AM51" s="685" t="s">
        <v>1242</v>
      </c>
      <c r="AN51" s="679">
        <v>127</v>
      </c>
      <c r="AO51" s="687">
        <v>76.599999999999994</v>
      </c>
      <c r="AP51" s="680"/>
      <c r="AQ51" s="712"/>
      <c r="AR51" s="681">
        <v>80</v>
      </c>
      <c r="AS51" s="682">
        <v>79.5</v>
      </c>
      <c r="AT51" s="680">
        <v>79.5</v>
      </c>
      <c r="AU51" s="680">
        <v>80.5</v>
      </c>
      <c r="AV51" s="713"/>
      <c r="AW51" s="701"/>
      <c r="AX51" s="701"/>
      <c r="AY51" s="701"/>
      <c r="AZ51" s="701"/>
      <c r="BA51" s="701"/>
      <c r="BB51" s="701"/>
      <c r="BC51" s="701"/>
      <c r="BD51" s="701"/>
      <c r="BE51" s="701"/>
      <c r="BF51" s="702"/>
    </row>
    <row r="52" spans="5:58" ht="15" x14ac:dyDescent="0.2">
      <c r="E52" t="s">
        <v>1956</v>
      </c>
      <c r="F52" s="80">
        <f>'C-series'!E42</f>
        <v>450</v>
      </c>
      <c r="G52" t="str">
        <f>'C-series'!F42</f>
        <v>dm³/s</v>
      </c>
      <c r="H52" s="233"/>
      <c r="I52" s="233"/>
      <c r="J52" s="4"/>
      <c r="K52" s="4"/>
      <c r="L52" s="235"/>
      <c r="M52" s="243"/>
      <c r="AF52" s="232"/>
      <c r="AM52" s="686" t="s">
        <v>1243</v>
      </c>
      <c r="AN52" s="679">
        <v>167</v>
      </c>
      <c r="AO52" s="679">
        <v>79.900000000000006</v>
      </c>
      <c r="AP52" s="680"/>
      <c r="AQ52" s="712"/>
      <c r="AR52" s="681">
        <v>120</v>
      </c>
      <c r="AS52" s="682">
        <v>79.5</v>
      </c>
      <c r="AT52" s="680">
        <v>79.5</v>
      </c>
      <c r="AU52" s="680">
        <v>80</v>
      </c>
      <c r="AV52" s="713"/>
      <c r="AW52" s="701"/>
      <c r="AX52" s="701"/>
      <c r="AY52" s="701"/>
      <c r="AZ52" s="701"/>
      <c r="BA52" s="701"/>
      <c r="BB52" s="701"/>
      <c r="BC52" s="701"/>
      <c r="BD52" s="701"/>
      <c r="BE52" s="701"/>
      <c r="BF52" s="702"/>
    </row>
    <row r="53" spans="5:58" ht="15" x14ac:dyDescent="0.2">
      <c r="E53" t="s">
        <v>1957</v>
      </c>
      <c r="F53" s="4">
        <f>IF(F49,'C-series'!E42,'C-series'!E43)</f>
        <v>450</v>
      </c>
      <c r="G53" s="233" t="s">
        <v>13</v>
      </c>
      <c r="H53" s="233"/>
      <c r="I53" s="233"/>
      <c r="J53" s="4"/>
      <c r="K53" s="4"/>
      <c r="L53" s="235"/>
      <c r="M53" s="243"/>
      <c r="AF53" s="232"/>
      <c r="AM53" s="679"/>
      <c r="AN53" s="679">
        <v>200</v>
      </c>
      <c r="AO53" s="679"/>
      <c r="AP53" s="680"/>
      <c r="AQ53" s="712"/>
      <c r="AR53" s="681">
        <v>180</v>
      </c>
      <c r="AS53" s="682">
        <v>79.5</v>
      </c>
      <c r="AT53" s="680">
        <v>79</v>
      </c>
      <c r="AU53" s="680">
        <v>79.5</v>
      </c>
      <c r="AV53" s="713"/>
      <c r="AW53" s="701"/>
      <c r="AX53" s="701"/>
      <c r="AY53" s="701"/>
      <c r="AZ53" s="701"/>
      <c r="BA53" s="701"/>
      <c r="BB53" s="701"/>
      <c r="BC53" s="701"/>
      <c r="BD53" s="701"/>
      <c r="BE53" s="701"/>
      <c r="BF53" s="702"/>
    </row>
    <row r="54" spans="5:58" ht="15" x14ac:dyDescent="0.2">
      <c r="F54" s="233"/>
      <c r="G54" s="233"/>
      <c r="H54" s="233"/>
      <c r="I54" s="233"/>
      <c r="J54" s="4"/>
      <c r="K54" s="4"/>
      <c r="L54" s="235"/>
      <c r="M54" s="243"/>
      <c r="AF54" s="232"/>
      <c r="AM54" s="701"/>
      <c r="AN54" s="701"/>
      <c r="AO54" s="715" t="s">
        <v>1244</v>
      </c>
      <c r="AP54" s="701"/>
      <c r="AR54" s="729">
        <f>AR53</f>
        <v>180</v>
      </c>
      <c r="AS54" s="729">
        <f t="shared" ref="AS54:AU54" si="9">AS53</f>
        <v>79.5</v>
      </c>
      <c r="AT54" s="729">
        <f t="shared" si="9"/>
        <v>79</v>
      </c>
      <c r="AU54" s="729">
        <f t="shared" si="9"/>
        <v>79.5</v>
      </c>
      <c r="AV54" s="701"/>
      <c r="AW54" s="701"/>
      <c r="AX54" s="701"/>
      <c r="AY54" s="701"/>
      <c r="AZ54" s="701"/>
      <c r="BA54" s="701"/>
      <c r="BB54" s="701"/>
      <c r="BC54" s="701"/>
      <c r="BD54" s="701"/>
      <c r="BE54" s="701"/>
      <c r="BF54" s="702"/>
    </row>
    <row r="55" spans="5:58" x14ac:dyDescent="0.15">
      <c r="F55" s="233"/>
      <c r="G55" s="233"/>
      <c r="H55" s="233"/>
      <c r="I55" s="233"/>
      <c r="J55" s="4"/>
      <c r="K55" s="4"/>
      <c r="L55" s="235"/>
      <c r="M55" s="243"/>
      <c r="AF55" s="232"/>
      <c r="BF55" s="364"/>
    </row>
    <row r="56" spans="5:58" x14ac:dyDescent="0.15">
      <c r="E56" t="s">
        <v>2199</v>
      </c>
      <c r="F56" s="233">
        <v>550</v>
      </c>
      <c r="G56" s="233" t="s">
        <v>1219</v>
      </c>
      <c r="H56" s="233"/>
      <c r="I56" s="233"/>
      <c r="J56" s="4"/>
      <c r="K56" s="4"/>
      <c r="L56" s="235"/>
      <c r="M56" s="243"/>
      <c r="AF56" s="232"/>
      <c r="AM56" s="701"/>
      <c r="AN56" s="701"/>
      <c r="AO56" s="701"/>
      <c r="AP56" s="701"/>
      <c r="AR56" s="701"/>
      <c r="AS56" s="701"/>
      <c r="AT56" s="701"/>
      <c r="AU56" s="701"/>
      <c r="AV56" s="701"/>
      <c r="AW56" s="701"/>
      <c r="AX56" s="701"/>
      <c r="AY56" s="701"/>
      <c r="AZ56" s="701"/>
      <c r="BA56" s="701"/>
      <c r="BB56" s="701"/>
      <c r="BC56" s="701"/>
      <c r="BD56" s="701"/>
      <c r="BE56" s="701"/>
      <c r="BF56" s="702"/>
    </row>
    <row r="57" spans="5:58" ht="15" x14ac:dyDescent="0.2">
      <c r="E57" t="s">
        <v>2200</v>
      </c>
      <c r="F57" s="242">
        <v>0.85199999999999998</v>
      </c>
      <c r="G57" s="233"/>
      <c r="H57" s="233"/>
      <c r="I57" s="233"/>
      <c r="J57" s="4"/>
      <c r="K57" s="4"/>
      <c r="L57" s="235"/>
      <c r="M57" s="243"/>
      <c r="AF57" s="232"/>
      <c r="AM57" s="716"/>
      <c r="AN57" s="701"/>
      <c r="AO57" s="717"/>
      <c r="AP57" s="701"/>
      <c r="AR57" s="701"/>
      <c r="AS57" s="701"/>
      <c r="AT57" s="701"/>
      <c r="AU57" s="701"/>
      <c r="AV57" s="701"/>
      <c r="AW57" s="701"/>
      <c r="AX57" s="701"/>
      <c r="AY57" s="701"/>
      <c r="AZ57" s="701"/>
      <c r="BA57" s="701"/>
      <c r="BB57" s="701"/>
      <c r="BC57" s="701"/>
      <c r="BD57" s="701"/>
      <c r="BE57" s="701"/>
      <c r="BF57" s="702"/>
    </row>
    <row r="58" spans="5:58" ht="15" x14ac:dyDescent="0.2">
      <c r="E58" t="s">
        <v>1259</v>
      </c>
      <c r="F58" s="242">
        <v>0.80449999999999999</v>
      </c>
      <c r="G58" s="233"/>
      <c r="H58" s="233"/>
      <c r="I58" s="233"/>
      <c r="J58" s="4"/>
      <c r="K58" s="4"/>
      <c r="L58" s="235"/>
      <c r="M58" s="243"/>
      <c r="AF58" s="232"/>
      <c r="AM58" s="1791" t="s">
        <v>1245</v>
      </c>
      <c r="AN58" s="1791"/>
      <c r="AO58" s="1791"/>
      <c r="AP58" s="1792"/>
      <c r="AQ58" s="707"/>
      <c r="AR58" s="701"/>
      <c r="AS58" s="701"/>
      <c r="AT58" s="701"/>
      <c r="AU58" s="701"/>
      <c r="AV58" s="708"/>
      <c r="AW58" s="701"/>
      <c r="AX58" s="701"/>
      <c r="AY58" s="701"/>
      <c r="AZ58" s="701"/>
      <c r="BA58" s="701"/>
      <c r="BB58" s="701"/>
      <c r="BC58" s="701"/>
      <c r="BD58" s="701"/>
      <c r="BE58" s="701"/>
      <c r="BF58" s="702"/>
    </row>
    <row r="59" spans="5:58" ht="48" x14ac:dyDescent="0.2">
      <c r="F59" s="233"/>
      <c r="G59" s="233"/>
      <c r="H59" s="233"/>
      <c r="I59" s="233"/>
      <c r="J59" s="4"/>
      <c r="K59" s="4"/>
      <c r="L59" s="235"/>
      <c r="M59" s="243"/>
      <c r="AF59" s="232"/>
      <c r="AM59" s="676"/>
      <c r="AN59" s="675" t="s">
        <v>1219</v>
      </c>
      <c r="AO59" s="676"/>
      <c r="AP59" s="688"/>
      <c r="AQ59" s="718"/>
      <c r="AR59" s="677" t="s">
        <v>1219</v>
      </c>
      <c r="AS59" s="677" t="s">
        <v>1246</v>
      </c>
      <c r="AT59" s="677" t="s">
        <v>1247</v>
      </c>
      <c r="AU59" s="677" t="s">
        <v>1248</v>
      </c>
      <c r="AV59" s="705"/>
      <c r="AW59" s="701"/>
      <c r="AX59" s="701"/>
      <c r="AY59" s="701"/>
      <c r="AZ59" s="701"/>
      <c r="BA59" s="701"/>
      <c r="BB59" s="701"/>
      <c r="BC59" s="701"/>
      <c r="BD59" s="701"/>
      <c r="BE59" s="701"/>
      <c r="BF59" s="702"/>
    </row>
    <row r="60" spans="5:58" ht="15" x14ac:dyDescent="0.2">
      <c r="F60" s="233"/>
      <c r="G60" s="233"/>
      <c r="H60" s="233"/>
      <c r="I60" s="233"/>
      <c r="J60" s="4"/>
      <c r="K60" s="4"/>
      <c r="L60" s="235"/>
      <c r="M60" s="243"/>
      <c r="AF60" s="232"/>
      <c r="AM60" s="679"/>
      <c r="AN60" s="689">
        <v>50</v>
      </c>
      <c r="AO60" s="690">
        <v>79.5</v>
      </c>
      <c r="AP60" s="690"/>
      <c r="AQ60" s="32"/>
      <c r="AR60" s="691">
        <v>50</v>
      </c>
      <c r="AS60" s="682">
        <v>79.5</v>
      </c>
      <c r="AT60" s="680">
        <v>79.5</v>
      </c>
      <c r="AU60" s="680">
        <v>81</v>
      </c>
      <c r="AV60" s="719"/>
      <c r="AW60" s="701"/>
      <c r="AX60" s="701"/>
      <c r="AY60" s="701"/>
      <c r="AZ60" s="701"/>
      <c r="BA60" s="701"/>
      <c r="BB60" s="701"/>
      <c r="BC60" s="701"/>
      <c r="BD60" s="701"/>
      <c r="BE60" s="701"/>
      <c r="BF60" s="702"/>
    </row>
    <row r="61" spans="5:58" ht="15" x14ac:dyDescent="0.2">
      <c r="F61" s="233"/>
      <c r="G61" s="233"/>
      <c r="H61" s="233"/>
      <c r="I61" s="233"/>
      <c r="J61" s="4"/>
      <c r="K61" s="4"/>
      <c r="L61" s="235"/>
      <c r="M61" s="243"/>
      <c r="AF61" s="232"/>
      <c r="AM61" s="692"/>
      <c r="AN61" s="689">
        <v>100</v>
      </c>
      <c r="AO61" s="690">
        <v>79.5</v>
      </c>
      <c r="AP61" s="690"/>
      <c r="AQ61" s="32"/>
      <c r="AR61" s="691">
        <v>100</v>
      </c>
      <c r="AS61" s="682">
        <v>79.5</v>
      </c>
      <c r="AT61" s="680">
        <v>79.5</v>
      </c>
      <c r="AU61" s="680">
        <v>80.5</v>
      </c>
      <c r="AV61" s="719"/>
      <c r="AW61" s="701"/>
      <c r="AX61" s="701"/>
      <c r="AY61" s="701"/>
      <c r="AZ61" s="701"/>
      <c r="BA61" s="701"/>
      <c r="BB61" s="701"/>
      <c r="BC61" s="701"/>
      <c r="BD61" s="701"/>
      <c r="BE61" s="701"/>
      <c r="BF61" s="702"/>
    </row>
    <row r="62" spans="5:58" ht="15" x14ac:dyDescent="0.2">
      <c r="F62" s="233"/>
      <c r="G62" s="233"/>
      <c r="H62" s="233"/>
      <c r="I62" s="233"/>
      <c r="J62" s="4"/>
      <c r="K62" s="4"/>
      <c r="L62" s="235"/>
      <c r="M62" s="243"/>
      <c r="AF62" s="232"/>
      <c r="AM62" s="692"/>
      <c r="AN62" s="689">
        <v>150</v>
      </c>
      <c r="AO62" s="690">
        <v>79.5</v>
      </c>
      <c r="AP62" s="690"/>
      <c r="AQ62" s="32"/>
      <c r="AR62" s="691">
        <v>150</v>
      </c>
      <c r="AS62" s="682">
        <v>79.5</v>
      </c>
      <c r="AT62" s="680">
        <v>79.5</v>
      </c>
      <c r="AU62" s="680">
        <v>80</v>
      </c>
      <c r="AV62" s="719"/>
      <c r="AW62" s="701"/>
      <c r="AX62" s="701"/>
      <c r="AY62" s="701"/>
      <c r="AZ62" s="701"/>
      <c r="BA62" s="701"/>
      <c r="BB62" s="701"/>
      <c r="BC62" s="701"/>
      <c r="BD62" s="701"/>
      <c r="BE62" s="701"/>
      <c r="BF62" s="702"/>
    </row>
    <row r="63" spans="5:58" ht="15" x14ac:dyDescent="0.2">
      <c r="F63" s="233"/>
      <c r="G63" s="233"/>
      <c r="H63" s="233"/>
      <c r="I63" s="233"/>
      <c r="J63" s="4"/>
      <c r="K63" s="4"/>
      <c r="L63" s="235"/>
      <c r="M63" s="243"/>
      <c r="AF63" s="232"/>
      <c r="AM63" s="692"/>
      <c r="AN63" s="689">
        <v>200</v>
      </c>
      <c r="AO63" s="690">
        <v>79.3</v>
      </c>
      <c r="AP63" s="690"/>
      <c r="AQ63" s="32"/>
      <c r="AR63" s="691">
        <v>200</v>
      </c>
      <c r="AS63" s="682">
        <v>79.3</v>
      </c>
      <c r="AT63" s="680">
        <v>79</v>
      </c>
      <c r="AU63" s="680">
        <v>79.5</v>
      </c>
      <c r="AV63" s="719"/>
      <c r="AW63" s="701"/>
      <c r="AX63" s="701"/>
      <c r="AY63" s="701"/>
      <c r="AZ63" s="701"/>
      <c r="BA63" s="701"/>
      <c r="BB63" s="701"/>
      <c r="BC63" s="701"/>
      <c r="BD63" s="701"/>
      <c r="BE63" s="701"/>
      <c r="BF63" s="702"/>
    </row>
    <row r="64" spans="5:58" ht="15" x14ac:dyDescent="0.2">
      <c r="F64" s="233"/>
      <c r="G64" s="233"/>
      <c r="H64" s="233"/>
      <c r="I64" s="233"/>
      <c r="J64" s="4"/>
      <c r="K64" s="4"/>
      <c r="L64" s="235"/>
      <c r="M64" s="243"/>
      <c r="AF64" s="232"/>
      <c r="AM64" s="693"/>
      <c r="AN64" s="689">
        <v>250</v>
      </c>
      <c r="AO64" s="690">
        <v>78.2</v>
      </c>
      <c r="AP64" s="690"/>
      <c r="AQ64" s="32"/>
      <c r="AR64" s="691">
        <v>250</v>
      </c>
      <c r="AS64" s="682">
        <v>78.2</v>
      </c>
      <c r="AT64" s="680">
        <v>78.2</v>
      </c>
      <c r="AU64" s="680">
        <v>78.7</v>
      </c>
      <c r="AV64" s="719"/>
      <c r="AW64" s="701"/>
      <c r="AX64" s="701"/>
      <c r="AY64" s="701"/>
      <c r="AZ64" s="701"/>
      <c r="BA64" s="701"/>
      <c r="BB64" s="701"/>
      <c r="BC64" s="701"/>
      <c r="BD64" s="701"/>
      <c r="BE64" s="701"/>
      <c r="BF64" s="702"/>
    </row>
    <row r="65" spans="6:58" ht="15" x14ac:dyDescent="0.2">
      <c r="F65" s="233"/>
      <c r="G65" s="233"/>
      <c r="H65" s="233"/>
      <c r="I65" s="233"/>
      <c r="J65" s="4"/>
      <c r="K65" s="4"/>
      <c r="L65" s="235"/>
      <c r="M65" s="243"/>
      <c r="AF65" s="232"/>
      <c r="AM65" s="679"/>
      <c r="AN65" s="689">
        <v>300</v>
      </c>
      <c r="AO65" s="690">
        <v>77.5</v>
      </c>
      <c r="AP65" s="690"/>
      <c r="AQ65" s="32"/>
      <c r="AR65" s="691">
        <v>300</v>
      </c>
      <c r="AS65" s="682">
        <v>77.5</v>
      </c>
      <c r="AT65" s="680">
        <v>77.5</v>
      </c>
      <c r="AU65" s="680">
        <v>78</v>
      </c>
      <c r="AV65" s="719"/>
      <c r="AW65" s="701"/>
      <c r="AX65" s="701"/>
      <c r="AY65" s="701"/>
      <c r="AZ65" s="701"/>
      <c r="BA65" s="701"/>
      <c r="BB65" s="701"/>
      <c r="BC65" s="701"/>
      <c r="BD65" s="701"/>
      <c r="BE65" s="701"/>
      <c r="BF65" s="702"/>
    </row>
    <row r="66" spans="6:58" ht="16" thickBot="1" x14ac:dyDescent="0.25">
      <c r="F66" s="233"/>
      <c r="G66" s="233"/>
      <c r="H66" s="233"/>
      <c r="I66" s="233"/>
      <c r="J66" s="4"/>
      <c r="K66" s="4"/>
      <c r="L66" s="235"/>
      <c r="M66" s="243"/>
      <c r="AF66" s="236"/>
      <c r="AG66" s="238"/>
      <c r="AH66" s="238"/>
      <c r="AI66" s="238"/>
      <c r="AJ66" s="238"/>
      <c r="AK66" s="238"/>
      <c r="AL66" s="238"/>
      <c r="AM66" s="720"/>
      <c r="AN66" s="720">
        <v>350</v>
      </c>
      <c r="AO66" s="721">
        <v>77.3</v>
      </c>
      <c r="AP66" s="721"/>
      <c r="AQ66" s="722"/>
      <c r="AR66" s="723">
        <v>350</v>
      </c>
      <c r="AS66" s="724">
        <v>77.3</v>
      </c>
      <c r="AT66" s="725">
        <v>76.8</v>
      </c>
      <c r="AU66" s="725">
        <v>77</v>
      </c>
      <c r="AV66" s="726"/>
      <c r="AW66" s="727"/>
      <c r="AX66" s="727"/>
      <c r="AY66" s="727"/>
      <c r="AZ66" s="727"/>
      <c r="BA66" s="727"/>
      <c r="BB66" s="727"/>
      <c r="BC66" s="727"/>
      <c r="BD66" s="727"/>
      <c r="BE66" s="727"/>
      <c r="BF66" s="728"/>
    </row>
    <row r="67" spans="6:58" x14ac:dyDescent="0.15">
      <c r="F67" s="233"/>
      <c r="G67" s="233"/>
      <c r="H67" s="233"/>
      <c r="I67" s="233"/>
      <c r="J67" s="4"/>
      <c r="K67" s="4"/>
      <c r="L67" s="235"/>
      <c r="M67" s="243"/>
    </row>
    <row r="68" spans="6:58" x14ac:dyDescent="0.15">
      <c r="F68" s="233"/>
      <c r="G68" s="233"/>
      <c r="H68" s="233"/>
      <c r="I68" s="233"/>
      <c r="J68" s="4"/>
      <c r="K68" s="4"/>
      <c r="L68" s="235"/>
      <c r="M68" s="243"/>
    </row>
    <row r="69" spans="6:58" x14ac:dyDescent="0.15">
      <c r="F69" s="233"/>
      <c r="G69" s="233"/>
      <c r="H69" s="233"/>
      <c r="I69" s="233"/>
      <c r="J69" s="4"/>
      <c r="K69" s="4"/>
      <c r="L69" s="235"/>
      <c r="M69" s="243"/>
    </row>
    <row r="70" spans="6:58" x14ac:dyDescent="0.15">
      <c r="F70" s="233"/>
      <c r="G70" s="233"/>
      <c r="H70" s="233"/>
      <c r="I70" s="233"/>
      <c r="J70" s="4"/>
      <c r="K70" s="4"/>
      <c r="L70" s="235"/>
      <c r="M70" s="243"/>
    </row>
    <row r="71" spans="6:58" x14ac:dyDescent="0.15">
      <c r="F71" s="233"/>
      <c r="G71" s="233"/>
      <c r="H71" s="233"/>
      <c r="I71" s="233"/>
      <c r="J71" s="4"/>
      <c r="K71" s="4"/>
      <c r="L71" s="235"/>
      <c r="M71" s="243"/>
    </row>
    <row r="72" spans="6:58" x14ac:dyDescent="0.15">
      <c r="F72" s="233"/>
      <c r="G72" s="233"/>
      <c r="H72" s="233"/>
      <c r="I72" s="233"/>
      <c r="J72" s="4"/>
      <c r="K72" s="4"/>
      <c r="L72" s="235"/>
      <c r="M72" s="243"/>
    </row>
    <row r="73" spans="6:58" x14ac:dyDescent="0.15">
      <c r="F73" s="233"/>
      <c r="G73" s="233"/>
      <c r="H73" s="233"/>
      <c r="I73" s="233"/>
      <c r="J73" s="4"/>
      <c r="K73" s="4"/>
      <c r="L73" s="235"/>
      <c r="M73" s="243"/>
    </row>
    <row r="74" spans="6:58" x14ac:dyDescent="0.15">
      <c r="F74" s="233"/>
      <c r="G74" s="233"/>
      <c r="H74" s="233"/>
      <c r="I74" s="233"/>
      <c r="J74" s="4"/>
      <c r="K74" s="4"/>
      <c r="L74" s="235"/>
      <c r="M74" s="243"/>
    </row>
    <row r="75" spans="6:58" x14ac:dyDescent="0.15">
      <c r="F75" s="233"/>
      <c r="G75" s="233"/>
      <c r="H75" s="233"/>
      <c r="I75" s="233"/>
      <c r="J75" s="4"/>
      <c r="K75" s="4"/>
      <c r="L75" s="235"/>
      <c r="M75" s="243"/>
    </row>
    <row r="76" spans="6:58" x14ac:dyDescent="0.15">
      <c r="F76" s="233"/>
      <c r="G76" s="233"/>
      <c r="H76" s="233"/>
      <c r="I76" s="233"/>
      <c r="J76" s="4"/>
      <c r="K76" s="4"/>
      <c r="L76" s="235"/>
      <c r="M76" s="243"/>
    </row>
    <row r="77" spans="6:58" x14ac:dyDescent="0.15">
      <c r="F77" s="233"/>
      <c r="G77" s="233"/>
      <c r="H77" s="233"/>
      <c r="I77" s="233"/>
      <c r="J77" s="4"/>
      <c r="K77" s="4"/>
      <c r="L77" s="235"/>
      <c r="M77" s="243"/>
    </row>
    <row r="78" spans="6:58" x14ac:dyDescent="0.15">
      <c r="F78" s="233"/>
      <c r="G78" s="233"/>
      <c r="H78" s="233"/>
      <c r="I78" s="233"/>
      <c r="J78" s="4"/>
      <c r="K78" s="4"/>
      <c r="L78" s="235"/>
      <c r="M78" s="243"/>
    </row>
    <row r="79" spans="6:58" x14ac:dyDescent="0.15">
      <c r="F79" s="233"/>
      <c r="G79" s="233"/>
      <c r="H79" s="233"/>
      <c r="I79" s="233"/>
      <c r="J79" s="4"/>
      <c r="K79" s="4"/>
      <c r="L79" s="235"/>
      <c r="M79" s="243"/>
    </row>
    <row r="80" spans="6:58" x14ac:dyDescent="0.15">
      <c r="F80" s="233"/>
      <c r="G80" s="233"/>
      <c r="H80" s="233"/>
      <c r="I80" s="233"/>
      <c r="J80" s="4"/>
      <c r="K80" s="4"/>
      <c r="L80" s="235"/>
      <c r="M80" s="243"/>
    </row>
    <row r="81" spans="5:37" x14ac:dyDescent="0.15">
      <c r="F81" s="233"/>
      <c r="G81" s="233"/>
      <c r="H81" s="233"/>
      <c r="I81" s="233"/>
      <c r="J81" s="4"/>
      <c r="K81" s="4"/>
      <c r="L81" s="235"/>
      <c r="M81" s="243"/>
    </row>
    <row r="82" spans="5:37" x14ac:dyDescent="0.15">
      <c r="F82" s="233"/>
      <c r="G82" s="233"/>
      <c r="H82" s="233"/>
      <c r="I82" s="233"/>
      <c r="J82" s="4"/>
      <c r="K82" s="4"/>
      <c r="L82" s="235"/>
      <c r="M82" s="243"/>
    </row>
    <row r="83" spans="5:37" x14ac:dyDescent="0.15">
      <c r="F83" s="233"/>
      <c r="G83" s="233"/>
      <c r="H83" s="233"/>
      <c r="I83" s="233"/>
      <c r="J83" s="4"/>
      <c r="K83" s="4"/>
      <c r="L83" s="235"/>
      <c r="M83" s="243"/>
    </row>
    <row r="84" spans="5:37" x14ac:dyDescent="0.15">
      <c r="F84" s="233"/>
      <c r="G84" s="233"/>
      <c r="H84" s="233"/>
      <c r="I84" s="233"/>
      <c r="J84" s="4"/>
      <c r="K84" s="4"/>
      <c r="L84" s="235"/>
      <c r="M84" s="243"/>
    </row>
    <row r="85" spans="5:37" x14ac:dyDescent="0.15">
      <c r="F85" s="233"/>
      <c r="G85" s="233"/>
      <c r="H85" s="233"/>
      <c r="I85" s="233"/>
      <c r="J85" s="4"/>
      <c r="K85" s="4"/>
      <c r="L85" s="235"/>
      <c r="M85" s="243"/>
    </row>
    <row r="86" spans="5:37" x14ac:dyDescent="0.15">
      <c r="F86" s="233"/>
      <c r="G86" s="233"/>
      <c r="H86" s="233"/>
      <c r="I86" s="233"/>
      <c r="J86" s="4"/>
      <c r="K86" s="4"/>
      <c r="L86" s="235"/>
      <c r="M86" s="243"/>
    </row>
    <row r="87" spans="5:37" x14ac:dyDescent="0.15">
      <c r="F87" s="233"/>
      <c r="G87" s="233"/>
      <c r="H87" s="233"/>
      <c r="I87" s="233"/>
      <c r="J87" s="4"/>
      <c r="K87" s="4"/>
      <c r="L87" s="235"/>
      <c r="M87" s="243"/>
    </row>
    <row r="88" spans="5:37" x14ac:dyDescent="0.15">
      <c r="F88" s="233"/>
      <c r="G88" s="233"/>
      <c r="H88" s="233"/>
      <c r="I88" s="233"/>
      <c r="J88" s="4"/>
      <c r="K88" s="4"/>
      <c r="L88" s="235"/>
      <c r="M88" s="243"/>
    </row>
    <row r="89" spans="5:37" x14ac:dyDescent="0.15">
      <c r="F89" s="233"/>
      <c r="G89" s="233"/>
      <c r="H89" s="233"/>
      <c r="I89" s="233"/>
      <c r="J89" s="4"/>
      <c r="K89" s="4"/>
      <c r="L89" s="235"/>
      <c r="M89" s="243"/>
    </row>
    <row r="90" spans="5:37" x14ac:dyDescent="0.15">
      <c r="F90" s="233"/>
      <c r="G90" s="233"/>
      <c r="H90" s="233"/>
      <c r="I90" s="233"/>
      <c r="J90" s="4"/>
      <c r="K90" s="4"/>
      <c r="L90" s="235"/>
      <c r="M90" s="243"/>
    </row>
    <row r="91" spans="5:37" x14ac:dyDescent="0.15">
      <c r="F91" s="233"/>
      <c r="G91" s="233"/>
      <c r="H91" s="233"/>
      <c r="I91" s="233"/>
      <c r="J91" s="4"/>
      <c r="K91" s="4"/>
      <c r="L91" s="235"/>
      <c r="M91" s="243"/>
    </row>
    <row r="92" spans="5:37" s="238" customFormat="1" ht="14" thickBot="1" x14ac:dyDescent="0.2">
      <c r="F92" s="429"/>
      <c r="G92" s="429"/>
      <c r="H92" s="429"/>
      <c r="I92" s="429"/>
      <c r="J92" s="428"/>
      <c r="K92" s="428"/>
      <c r="L92" s="370"/>
      <c r="M92" s="671"/>
    </row>
    <row r="93" spans="5:37" x14ac:dyDescent="0.15">
      <c r="F93" s="233"/>
      <c r="G93" s="233"/>
      <c r="H93" s="233"/>
      <c r="I93" s="233"/>
      <c r="J93" s="4"/>
      <c r="K93" s="4"/>
      <c r="L93" s="235"/>
      <c r="M93" s="243"/>
    </row>
    <row r="94" spans="5:37" x14ac:dyDescent="0.15">
      <c r="E94" s="2" t="s">
        <v>1249</v>
      </c>
      <c r="F94" s="233"/>
      <c r="G94" s="233"/>
      <c r="H94" s="233"/>
      <c r="I94" s="233"/>
      <c r="J94" s="4"/>
      <c r="K94" s="4"/>
      <c r="L94" s="235"/>
      <c r="M94" s="243"/>
    </row>
    <row r="95" spans="5:37" x14ac:dyDescent="0.15">
      <c r="E95" s="240"/>
      <c r="F95" s="233"/>
      <c r="G95" s="233"/>
      <c r="H95" s="233"/>
      <c r="I95" s="233"/>
      <c r="J95" s="4"/>
      <c r="K95" s="4"/>
      <c r="L95" s="235"/>
      <c r="M95" s="243"/>
      <c r="AK95" t="s">
        <v>482</v>
      </c>
    </row>
    <row r="96" spans="5:37" ht="14" thickBot="1" x14ac:dyDescent="0.2">
      <c r="E96" s="240" t="s">
        <v>281</v>
      </c>
      <c r="F96" s="233"/>
      <c r="G96" s="233"/>
      <c r="H96" s="233"/>
      <c r="I96" s="233"/>
    </row>
    <row r="97" spans="5:52" ht="14" thickBot="1" x14ac:dyDescent="0.2">
      <c r="E97" s="241" t="s">
        <v>285</v>
      </c>
      <c r="F97" s="233"/>
      <c r="G97" s="233"/>
      <c r="H97" s="233"/>
      <c r="I97" s="233"/>
      <c r="AK97" s="324" t="s">
        <v>464</v>
      </c>
      <c r="AL97" s="325"/>
      <c r="AM97" s="325"/>
      <c r="AN97" s="325"/>
      <c r="AO97" s="325"/>
      <c r="AP97" s="325"/>
      <c r="AQ97" s="325"/>
      <c r="AR97" s="325"/>
    </row>
    <row r="98" spans="5:52" x14ac:dyDescent="0.15">
      <c r="E98" s="233"/>
      <c r="F98" s="233"/>
      <c r="G98" s="233"/>
      <c r="H98" s="233"/>
      <c r="I98" s="233"/>
      <c r="AK98" s="326" t="s">
        <v>465</v>
      </c>
      <c r="AL98" s="327"/>
      <c r="AM98" s="327"/>
      <c r="AN98" s="327"/>
      <c r="AO98" s="328" t="s">
        <v>466</v>
      </c>
      <c r="AP98" s="329"/>
      <c r="AQ98" s="330" t="s">
        <v>467</v>
      </c>
      <c r="AR98" s="331"/>
    </row>
    <row r="99" spans="5:52" ht="32" x14ac:dyDescent="0.2">
      <c r="E99" s="233"/>
      <c r="F99" s="233"/>
      <c r="G99" s="233"/>
      <c r="H99" s="233"/>
      <c r="I99" s="233"/>
      <c r="AK99" s="232"/>
      <c r="AL99" s="1805" t="s">
        <v>468</v>
      </c>
      <c r="AM99" s="1806"/>
      <c r="AN99" s="1806"/>
      <c r="AO99" s="332" t="s">
        <v>469</v>
      </c>
      <c r="AP99" s="333"/>
      <c r="AQ99" s="334" t="s">
        <v>469</v>
      </c>
      <c r="AR99" s="334"/>
    </row>
    <row r="100" spans="5:52" ht="96" x14ac:dyDescent="0.2">
      <c r="E100" s="233" t="s">
        <v>286</v>
      </c>
      <c r="F100" s="233">
        <v>7</v>
      </c>
      <c r="G100" s="233" t="s">
        <v>287</v>
      </c>
      <c r="H100" s="233"/>
      <c r="I100" s="233"/>
      <c r="AJ100" t="s">
        <v>470</v>
      </c>
      <c r="AK100" s="335" t="s">
        <v>471</v>
      </c>
      <c r="AL100" s="336" t="s">
        <v>472</v>
      </c>
      <c r="AM100" s="337" t="s">
        <v>473</v>
      </c>
      <c r="AN100" s="338" t="s">
        <v>474</v>
      </c>
      <c r="AO100" s="339" t="s">
        <v>475</v>
      </c>
      <c r="AP100" s="340" t="s">
        <v>476</v>
      </c>
      <c r="AQ100" s="341" t="s">
        <v>477</v>
      </c>
      <c r="AR100" s="341" t="s">
        <v>478</v>
      </c>
    </row>
    <row r="101" spans="5:52" ht="14" x14ac:dyDescent="0.2">
      <c r="E101" s="233" t="s">
        <v>288</v>
      </c>
      <c r="F101" s="233">
        <v>20</v>
      </c>
      <c r="G101" s="233" t="s">
        <v>287</v>
      </c>
      <c r="H101" s="233"/>
      <c r="I101" s="233"/>
      <c r="AJ101">
        <f>AK101*1000</f>
        <v>50</v>
      </c>
      <c r="AK101" s="342">
        <v>0.05</v>
      </c>
      <c r="AL101" s="343">
        <v>83.5</v>
      </c>
      <c r="AM101" s="344">
        <v>84</v>
      </c>
      <c r="AN101" s="345">
        <v>19</v>
      </c>
      <c r="AO101" s="346">
        <v>79.5</v>
      </c>
      <c r="AP101" s="347">
        <v>76.099999999999994</v>
      </c>
      <c r="AQ101" s="348">
        <v>79.5</v>
      </c>
      <c r="AR101" s="348">
        <v>76.099999999999994</v>
      </c>
    </row>
    <row r="102" spans="5:52" ht="14" x14ac:dyDescent="0.2">
      <c r="E102" s="233"/>
      <c r="F102" s="233"/>
      <c r="G102" s="233"/>
      <c r="H102" s="233"/>
      <c r="I102" s="233"/>
      <c r="AJ102">
        <f t="shared" ref="AJ102:AJ108" si="10">AK102*1000</f>
        <v>75</v>
      </c>
      <c r="AK102" s="342">
        <v>7.4999999999999997E-2</v>
      </c>
      <c r="AL102" s="343">
        <v>81.5</v>
      </c>
      <c r="AM102" s="344">
        <v>82</v>
      </c>
      <c r="AN102" s="345">
        <v>33</v>
      </c>
      <c r="AO102" s="346">
        <f>AO101</f>
        <v>79.5</v>
      </c>
      <c r="AP102" s="347">
        <v>76.099999999999994</v>
      </c>
      <c r="AQ102" s="348">
        <v>79.5</v>
      </c>
      <c r="AR102" s="348">
        <v>76.099999999999994</v>
      </c>
    </row>
    <row r="103" spans="5:52" ht="14" x14ac:dyDescent="0.2">
      <c r="E103" s="233" t="s">
        <v>289</v>
      </c>
      <c r="F103" s="233" t="s">
        <v>279</v>
      </c>
      <c r="G103" s="233"/>
      <c r="H103" s="233"/>
      <c r="I103" s="233"/>
      <c r="AJ103">
        <f t="shared" si="10"/>
        <v>100</v>
      </c>
      <c r="AK103" s="342">
        <v>0.1</v>
      </c>
      <c r="AL103" s="343">
        <v>80.2</v>
      </c>
      <c r="AM103" s="344">
        <v>80.7</v>
      </c>
      <c r="AN103" s="345">
        <v>48</v>
      </c>
      <c r="AO103" s="346">
        <f t="shared" ref="AO103:AO104" si="11">AO102</f>
        <v>79.5</v>
      </c>
      <c r="AP103" s="347">
        <v>76.099999999999994</v>
      </c>
      <c r="AQ103" s="348">
        <v>79.5</v>
      </c>
      <c r="AR103" s="348">
        <v>76.099999999999994</v>
      </c>
    </row>
    <row r="104" spans="5:52" ht="14" x14ac:dyDescent="0.2">
      <c r="E104" s="233">
        <v>100</v>
      </c>
      <c r="F104" s="242">
        <v>0.78100000000000003</v>
      </c>
      <c r="G104" s="242"/>
      <c r="H104" s="243"/>
      <c r="I104" s="233"/>
      <c r="AJ104">
        <f t="shared" si="10"/>
        <v>150</v>
      </c>
      <c r="AK104" s="342">
        <v>0.15</v>
      </c>
      <c r="AL104" s="343">
        <v>78.5</v>
      </c>
      <c r="AM104" s="344">
        <v>78.900000000000006</v>
      </c>
      <c r="AN104" s="345">
        <v>85</v>
      </c>
      <c r="AO104" s="346">
        <f t="shared" si="11"/>
        <v>79.5</v>
      </c>
      <c r="AP104" s="347">
        <v>76.099999999999994</v>
      </c>
      <c r="AQ104" s="348">
        <v>79.5</v>
      </c>
      <c r="AR104" s="348">
        <v>76.099999999999994</v>
      </c>
    </row>
    <row r="105" spans="5:52" ht="15" x14ac:dyDescent="0.2">
      <c r="E105" s="233">
        <v>90</v>
      </c>
      <c r="F105" s="242">
        <v>0.78400000000000003</v>
      </c>
      <c r="G105" s="242"/>
      <c r="H105" s="243"/>
      <c r="I105" s="233"/>
      <c r="AJ105">
        <f t="shared" si="10"/>
        <v>200</v>
      </c>
      <c r="AK105" s="342">
        <v>0.2</v>
      </c>
      <c r="AL105" s="343">
        <v>77.2</v>
      </c>
      <c r="AM105" s="344">
        <v>77.599999999999994</v>
      </c>
      <c r="AN105" s="345">
        <v>126</v>
      </c>
      <c r="AO105" s="346" t="s">
        <v>479</v>
      </c>
      <c r="AP105" s="347" t="s">
        <v>479</v>
      </c>
      <c r="AQ105" s="349">
        <v>77.2</v>
      </c>
      <c r="AR105" s="350">
        <v>74.5</v>
      </c>
    </row>
    <row r="106" spans="5:52" ht="15" x14ac:dyDescent="0.2">
      <c r="E106" s="233">
        <v>80</v>
      </c>
      <c r="F106" s="242">
        <v>0.78700000000000003</v>
      </c>
      <c r="G106" s="242"/>
      <c r="H106" s="243"/>
      <c r="I106" s="233"/>
      <c r="AJ106">
        <f t="shared" si="10"/>
        <v>250</v>
      </c>
      <c r="AK106" s="351">
        <v>0.25</v>
      </c>
      <c r="AL106" s="352">
        <v>76.2</v>
      </c>
      <c r="AM106" s="41">
        <v>76.7</v>
      </c>
      <c r="AN106" s="16">
        <v>168</v>
      </c>
      <c r="AO106" s="346" t="s">
        <v>479</v>
      </c>
      <c r="AP106" s="347" t="s">
        <v>479</v>
      </c>
      <c r="AQ106" s="349">
        <v>76.2</v>
      </c>
      <c r="AR106" s="349">
        <v>74.099999999999994</v>
      </c>
    </row>
    <row r="107" spans="5:52" ht="15" x14ac:dyDescent="0.2">
      <c r="E107" s="233">
        <v>70</v>
      </c>
      <c r="F107" s="242">
        <v>0.79100000000000004</v>
      </c>
      <c r="G107" s="242"/>
      <c r="H107" s="243"/>
      <c r="I107" s="233"/>
      <c r="AJ107">
        <f t="shared" si="10"/>
        <v>300</v>
      </c>
      <c r="AK107" s="351">
        <v>0.3</v>
      </c>
      <c r="AL107" s="352">
        <v>75.599999999999994</v>
      </c>
      <c r="AM107" s="41">
        <v>76.099999999999994</v>
      </c>
      <c r="AN107" s="16">
        <v>231</v>
      </c>
      <c r="AO107" s="346" t="s">
        <v>479</v>
      </c>
      <c r="AP107" s="347" t="s">
        <v>479</v>
      </c>
      <c r="AQ107" s="349">
        <v>75.599999999999994</v>
      </c>
      <c r="AR107" s="349">
        <v>73.599999999999994</v>
      </c>
    </row>
    <row r="108" spans="5:52" ht="16" thickBot="1" x14ac:dyDescent="0.25">
      <c r="E108" s="233">
        <v>60</v>
      </c>
      <c r="F108" s="242">
        <v>0.79500000000000004</v>
      </c>
      <c r="G108" s="242"/>
      <c r="H108" s="243"/>
      <c r="I108" s="233"/>
      <c r="AJ108">
        <f t="shared" si="10"/>
        <v>350</v>
      </c>
      <c r="AK108" s="353">
        <v>0.35</v>
      </c>
      <c r="AL108" s="354">
        <v>75.3</v>
      </c>
      <c r="AM108" s="355">
        <v>75.8</v>
      </c>
      <c r="AN108" s="356">
        <v>306</v>
      </c>
      <c r="AO108" s="357" t="s">
        <v>479</v>
      </c>
      <c r="AP108" s="358" t="s">
        <v>479</v>
      </c>
      <c r="AQ108" s="359">
        <v>75.3</v>
      </c>
      <c r="AR108" s="359">
        <v>73.599999999999994</v>
      </c>
    </row>
    <row r="109" spans="5:52" x14ac:dyDescent="0.15">
      <c r="E109" s="233">
        <v>50</v>
      </c>
      <c r="F109" s="242">
        <v>0.80200000000000005</v>
      </c>
      <c r="G109" s="242"/>
      <c r="H109" s="243"/>
      <c r="I109" s="233"/>
    </row>
    <row r="110" spans="5:52" ht="14" thickBot="1" x14ac:dyDescent="0.2">
      <c r="E110" s="233">
        <v>40</v>
      </c>
      <c r="F110" s="242">
        <v>0.81299999999999994</v>
      </c>
      <c r="G110" s="242"/>
      <c r="H110" s="243"/>
      <c r="I110" s="233"/>
      <c r="AV110" s="2" t="s">
        <v>1253</v>
      </c>
    </row>
    <row r="111" spans="5:52" x14ac:dyDescent="0.15">
      <c r="E111" s="233">
        <v>30</v>
      </c>
      <c r="F111" s="242">
        <v>0.83399999999999996</v>
      </c>
      <c r="G111" s="242"/>
      <c r="H111" s="243"/>
      <c r="I111" s="233"/>
      <c r="AV111" s="228"/>
      <c r="AW111" s="230"/>
      <c r="AX111" s="230"/>
      <c r="AY111" s="230"/>
      <c r="AZ111" s="231"/>
    </row>
    <row r="112" spans="5:52" x14ac:dyDescent="0.15">
      <c r="E112" s="233">
        <v>22</v>
      </c>
      <c r="F112" s="242">
        <v>0.86399999999999999</v>
      </c>
      <c r="G112" s="242"/>
      <c r="H112" s="243"/>
      <c r="I112" s="233"/>
      <c r="AV112" s="232"/>
      <c r="AZ112" s="364"/>
    </row>
    <row r="113" spans="5:52" x14ac:dyDescent="0.15">
      <c r="E113" s="233">
        <f t="array" ref="E113:I113">LINEST(F104:F112,E104:E112^{1,2,3,4})</f>
        <v>6.6313600685290738E-9</v>
      </c>
      <c r="F113" s="233">
        <v>-2.0169962249255277E-6</v>
      </c>
      <c r="G113" s="233">
        <v>2.2914024862545594E-4</v>
      </c>
      <c r="H113" s="233">
        <v>-1.1911786201169254E-2</v>
      </c>
      <c r="I113" s="233">
        <v>1.0348159813641171</v>
      </c>
      <c r="AR113" s="317" t="s">
        <v>22</v>
      </c>
      <c r="AS113" s="317">
        <v>83.5</v>
      </c>
      <c r="AT113" s="317"/>
      <c r="AV113" s="232"/>
      <c r="AW113" t="s">
        <v>22</v>
      </c>
      <c r="AX113">
        <v>79.5</v>
      </c>
      <c r="AZ113" s="364"/>
    </row>
    <row r="114" spans="5:52" x14ac:dyDescent="0.15">
      <c r="AR114" s="317" t="s">
        <v>450</v>
      </c>
      <c r="AS114" s="317">
        <v>75.3</v>
      </c>
      <c r="AT114" s="317"/>
      <c r="AV114" s="232"/>
      <c r="AW114" t="s">
        <v>450</v>
      </c>
      <c r="AX114" s="245">
        <f>AU136</f>
        <v>0.7726223404255318</v>
      </c>
      <c r="AZ114" s="364"/>
    </row>
    <row r="115" spans="5:52" x14ac:dyDescent="0.15">
      <c r="E115" s="233" t="s">
        <v>290</v>
      </c>
      <c r="F115" s="235"/>
      <c r="G115" s="233"/>
      <c r="H115" s="233"/>
      <c r="I115" s="233"/>
      <c r="AR115" s="317"/>
      <c r="AS115" s="317"/>
      <c r="AT115" s="317"/>
      <c r="AV115" s="232"/>
      <c r="AZ115" s="364"/>
    </row>
    <row r="116" spans="5:52" x14ac:dyDescent="0.15">
      <c r="E116" t="s">
        <v>291</v>
      </c>
      <c r="F116" s="235"/>
      <c r="G116" s="233"/>
      <c r="H116" s="233"/>
      <c r="I116" s="233"/>
      <c r="AR116" s="420">
        <f t="array" ref="AR116:AS116">LINEST(LN(AL101:AL108),LN(AJ101:AJ108))</f>
        <v>-5.4190826919211794E-2</v>
      </c>
      <c r="AS116" s="317">
        <v>4.6349616569349115</v>
      </c>
      <c r="AT116" s="420">
        <f>EXP(AS116)</f>
        <v>103.02396766479804</v>
      </c>
      <c r="AV116" s="232"/>
      <c r="AW116" s="2">
        <f t="array" ref="AW116:AY116">LINEST(AV133:AV136,AK133:AK136^{1,2})</f>
        <v>7.6809505717179074E-5</v>
      </c>
      <c r="AX116" s="2">
        <v>-5.5721980890464394E-2</v>
      </c>
      <c r="AY116" s="2">
        <v>87.350769060283667</v>
      </c>
      <c r="AZ116" s="364"/>
    </row>
    <row r="117" spans="5:52" ht="14" thickBot="1" x14ac:dyDescent="0.2">
      <c r="E117" t="s">
        <v>292</v>
      </c>
      <c r="F117" s="235"/>
      <c r="G117" s="233"/>
      <c r="H117" s="233"/>
      <c r="I117" s="233"/>
      <c r="AV117" s="232"/>
      <c r="AZ117" s="364"/>
    </row>
    <row r="118" spans="5:52" ht="14" thickBot="1" x14ac:dyDescent="0.2">
      <c r="E118" s="233" t="s">
        <v>293</v>
      </c>
      <c r="F118" s="244"/>
      <c r="AR118" t="s">
        <v>480</v>
      </c>
      <c r="AV118" s="232"/>
      <c r="AW118" t="s">
        <v>480</v>
      </c>
      <c r="AZ118" s="364"/>
    </row>
    <row r="119" spans="5:52" x14ac:dyDescent="0.15">
      <c r="F119" s="245"/>
      <c r="AR119" s="110">
        <f>'C-series'!E33</f>
        <v>450</v>
      </c>
      <c r="AS119" t="s">
        <v>470</v>
      </c>
      <c r="AV119" s="232"/>
      <c r="AW119">
        <f>AR119</f>
        <v>450</v>
      </c>
      <c r="AX119" t="s">
        <v>470</v>
      </c>
      <c r="AZ119" s="364"/>
    </row>
    <row r="120" spans="5:52" x14ac:dyDescent="0.15">
      <c r="F120" s="245"/>
      <c r="AV120" s="232"/>
      <c r="AZ120" s="364"/>
    </row>
    <row r="121" spans="5:52" ht="14" thickBot="1" x14ac:dyDescent="0.2">
      <c r="E121" s="240" t="s">
        <v>282</v>
      </c>
      <c r="F121" s="233"/>
      <c r="G121" s="233"/>
      <c r="AR121" s="317">
        <f>AT116*AR119^AR116</f>
        <v>73.987523569008303</v>
      </c>
      <c r="AS121" s="317" t="s">
        <v>481</v>
      </c>
      <c r="AV121" s="232"/>
      <c r="AW121" s="3">
        <f>AW116*AW119^2+AX116*AW119+AY116</f>
        <v>77.829802567303446</v>
      </c>
      <c r="AX121" t="s">
        <v>481</v>
      </c>
      <c r="AZ121" s="364"/>
    </row>
    <row r="122" spans="5:52" ht="14" thickBot="1" x14ac:dyDescent="0.2">
      <c r="E122" s="233"/>
      <c r="F122" s="233"/>
      <c r="G122" s="233"/>
      <c r="AR122" s="421">
        <f>IF(AR121&gt;AS113,AS113,IF(AR121&lt;AS114,AS114,AR121))/100</f>
        <v>0.753</v>
      </c>
      <c r="AS122" s="317"/>
      <c r="AV122" s="232"/>
      <c r="AW122" s="423">
        <f>IF(AW121&gt;AX113,AX113,IF(AW121&lt;AX114,AX114,AW121))/100</f>
        <v>0.77829802567303441</v>
      </c>
      <c r="AZ122" s="364"/>
    </row>
    <row r="123" spans="5:52" ht="13.5" customHeight="1" thickBot="1" x14ac:dyDescent="0.2">
      <c r="E123" s="241" t="s">
        <v>294</v>
      </c>
      <c r="F123" s="233"/>
      <c r="G123" s="233"/>
      <c r="AV123" s="236"/>
      <c r="AW123" s="238"/>
      <c r="AX123" s="238"/>
      <c r="AY123" s="238"/>
      <c r="AZ123" s="239"/>
    </row>
    <row r="124" spans="5:52" x14ac:dyDescent="0.15">
      <c r="E124" s="233"/>
      <c r="F124" s="233"/>
      <c r="G124" s="233"/>
    </row>
    <row r="125" spans="5:52" x14ac:dyDescent="0.15">
      <c r="E125" s="233"/>
      <c r="F125" s="233"/>
      <c r="G125" s="233"/>
    </row>
    <row r="126" spans="5:52" x14ac:dyDescent="0.15">
      <c r="E126" s="233" t="s">
        <v>286</v>
      </c>
      <c r="F126" s="233">
        <v>7</v>
      </c>
      <c r="G126" s="233" t="s">
        <v>287</v>
      </c>
    </row>
    <row r="127" spans="5:52" ht="14" thickBot="1" x14ac:dyDescent="0.2">
      <c r="E127" s="233" t="s">
        <v>288</v>
      </c>
      <c r="F127" s="233">
        <v>20</v>
      </c>
      <c r="G127" s="233" t="s">
        <v>287</v>
      </c>
      <c r="AK127" s="2" t="s">
        <v>549</v>
      </c>
    </row>
    <row r="128" spans="5:52" x14ac:dyDescent="0.15">
      <c r="E128" s="233"/>
      <c r="F128" s="233"/>
      <c r="G128" s="233"/>
      <c r="AK128" s="1794" t="s">
        <v>539</v>
      </c>
      <c r="AL128" s="1795"/>
      <c r="AM128" s="1796"/>
      <c r="AN128" s="1797" t="s">
        <v>540</v>
      </c>
      <c r="AO128" s="1798"/>
      <c r="AP128" s="1798"/>
      <c r="AQ128" s="1798"/>
      <c r="AR128" s="1799"/>
      <c r="AS128" s="1800" t="s">
        <v>541</v>
      </c>
      <c r="AT128" s="1795"/>
      <c r="AU128" s="1801"/>
    </row>
    <row r="129" spans="5:48" ht="71" thickBot="1" x14ac:dyDescent="0.2">
      <c r="E129" s="233" t="s">
        <v>289</v>
      </c>
      <c r="F129" s="233" t="s">
        <v>279</v>
      </c>
      <c r="G129" s="233"/>
      <c r="AK129" s="422" t="s">
        <v>485</v>
      </c>
      <c r="AL129" s="396" t="s">
        <v>542</v>
      </c>
      <c r="AM129" s="397" t="s">
        <v>543</v>
      </c>
      <c r="AN129" s="398" t="s">
        <v>544</v>
      </c>
      <c r="AO129" s="399" t="s">
        <v>311</v>
      </c>
      <c r="AP129" s="399" t="s">
        <v>312</v>
      </c>
      <c r="AQ129" s="399" t="s">
        <v>280</v>
      </c>
      <c r="AR129" s="400" t="s">
        <v>545</v>
      </c>
      <c r="AS129" s="399" t="s">
        <v>546</v>
      </c>
      <c r="AT129" s="399" t="s">
        <v>547</v>
      </c>
      <c r="AU129" s="410" t="s">
        <v>548</v>
      </c>
    </row>
    <row r="130" spans="5:48" x14ac:dyDescent="0.15">
      <c r="E130" s="233">
        <v>120</v>
      </c>
      <c r="F130" s="242">
        <v>0.79100000000000004</v>
      </c>
      <c r="G130" s="242"/>
      <c r="AK130" s="411">
        <v>50</v>
      </c>
      <c r="AL130" s="412">
        <v>89.875566893424036</v>
      </c>
      <c r="AM130" s="401">
        <v>0.3</v>
      </c>
      <c r="AN130" s="402">
        <v>-26</v>
      </c>
      <c r="AO130" s="413">
        <v>11.365000000000002</v>
      </c>
      <c r="AP130" s="413">
        <v>21</v>
      </c>
      <c r="AQ130" s="413">
        <v>-16.365000000000002</v>
      </c>
      <c r="AR130" s="403">
        <v>0.24965435248173343</v>
      </c>
      <c r="AS130" s="404">
        <v>0.83499999999999996</v>
      </c>
      <c r="AT130" s="405">
        <v>0.79500000000000004</v>
      </c>
      <c r="AU130" s="406">
        <v>0.79500000000000004</v>
      </c>
      <c r="AV130">
        <f>AU130*100</f>
        <v>79.5</v>
      </c>
    </row>
    <row r="131" spans="5:48" x14ac:dyDescent="0.15">
      <c r="E131" s="233">
        <v>100</v>
      </c>
      <c r="F131" s="242">
        <v>0.79700000000000004</v>
      </c>
      <c r="G131" s="242"/>
      <c r="AK131" s="411">
        <v>100</v>
      </c>
      <c r="AL131" s="412">
        <v>159.50226757369614</v>
      </c>
      <c r="AM131" s="401">
        <v>0.35</v>
      </c>
      <c r="AN131" s="402">
        <v>-26</v>
      </c>
      <c r="AO131" s="413">
        <v>11.365000000000002</v>
      </c>
      <c r="AP131" s="413">
        <v>21</v>
      </c>
      <c r="AQ131" s="413">
        <v>-16.365000000000002</v>
      </c>
      <c r="AR131" s="403">
        <v>0.3797673037468956</v>
      </c>
      <c r="AS131" s="404">
        <v>0.81499999999999995</v>
      </c>
      <c r="AT131" s="405">
        <v>0.79500000000000004</v>
      </c>
      <c r="AU131" s="407">
        <v>0.79500000000000004</v>
      </c>
      <c r="AV131">
        <f>AU131*100</f>
        <v>79.5</v>
      </c>
    </row>
    <row r="132" spans="5:48" x14ac:dyDescent="0.15">
      <c r="E132" s="233">
        <v>90</v>
      </c>
      <c r="F132" s="242">
        <v>0.80100000000000005</v>
      </c>
      <c r="G132" s="242"/>
      <c r="AK132" s="411">
        <v>150</v>
      </c>
      <c r="AL132" s="412">
        <v>246.38010204081638</v>
      </c>
      <c r="AM132" s="401">
        <v>0.4</v>
      </c>
      <c r="AN132" s="402">
        <v>-26</v>
      </c>
      <c r="AO132" s="413">
        <v>11.365000000000002</v>
      </c>
      <c r="AP132" s="413">
        <v>21</v>
      </c>
      <c r="AQ132" s="413">
        <v>-16.365000000000002</v>
      </c>
      <c r="AR132" s="403">
        <v>0.51329187925170083</v>
      </c>
      <c r="AS132" s="404">
        <v>0.80200000000000005</v>
      </c>
      <c r="AT132" s="405">
        <v>0.79500000000000004</v>
      </c>
      <c r="AU132" s="407">
        <v>0.79500000000000004</v>
      </c>
      <c r="AV132">
        <f t="shared" ref="AV132:AV136" si="12">AU132*100</f>
        <v>79.5</v>
      </c>
    </row>
    <row r="133" spans="5:48" x14ac:dyDescent="0.15">
      <c r="E133" s="233">
        <v>70</v>
      </c>
      <c r="F133" s="242">
        <v>0.81299999999999994</v>
      </c>
      <c r="G133" s="242"/>
      <c r="AK133" s="411">
        <v>200</v>
      </c>
      <c r="AL133" s="412">
        <v>349.12018140589578</v>
      </c>
      <c r="AM133" s="401">
        <v>0.4</v>
      </c>
      <c r="AN133" s="402">
        <v>-26</v>
      </c>
      <c r="AO133" s="413">
        <v>10.895000000000003</v>
      </c>
      <c r="AP133" s="413">
        <v>21</v>
      </c>
      <c r="AQ133" s="413">
        <v>-16.365000000000002</v>
      </c>
      <c r="AR133" s="403">
        <v>0.72733371126228286</v>
      </c>
      <c r="AS133" s="404">
        <v>0.78500000000000003</v>
      </c>
      <c r="AT133" s="405">
        <v>0.78500000000000003</v>
      </c>
      <c r="AU133" s="407">
        <v>0.79273759267300314</v>
      </c>
      <c r="AV133">
        <f t="shared" si="12"/>
        <v>79.273759267300321</v>
      </c>
    </row>
    <row r="134" spans="5:48" x14ac:dyDescent="0.15">
      <c r="E134" s="233">
        <v>60</v>
      </c>
      <c r="F134" s="242">
        <v>0.82099999999999995</v>
      </c>
      <c r="G134" s="242"/>
      <c r="AK134" s="411">
        <v>250</v>
      </c>
      <c r="AL134" s="412">
        <v>467.37528344671205</v>
      </c>
      <c r="AM134" s="401">
        <v>0.4</v>
      </c>
      <c r="AN134" s="402">
        <v>-26</v>
      </c>
      <c r="AO134" s="413">
        <v>10.283999999999999</v>
      </c>
      <c r="AP134" s="413">
        <v>21</v>
      </c>
      <c r="AQ134" s="413">
        <v>-16.365000000000002</v>
      </c>
      <c r="AR134" s="403">
        <v>0.9736985071806501</v>
      </c>
      <c r="AS134" s="404">
        <v>0.77200000000000002</v>
      </c>
      <c r="AT134" s="405">
        <v>0.77200000000000002</v>
      </c>
      <c r="AU134" s="407">
        <v>0.78235849475724106</v>
      </c>
      <c r="AV134">
        <f t="shared" si="12"/>
        <v>78.235849475724109</v>
      </c>
    </row>
    <row r="135" spans="5:48" x14ac:dyDescent="0.15">
      <c r="E135" s="233">
        <v>50</v>
      </c>
      <c r="F135" s="242">
        <v>0.83099999999999996</v>
      </c>
      <c r="G135" s="242"/>
      <c r="AK135" s="411">
        <v>300</v>
      </c>
      <c r="AL135" s="412">
        <v>601.0204081632653</v>
      </c>
      <c r="AM135" s="401">
        <v>0.4</v>
      </c>
      <c r="AN135" s="402">
        <v>-26</v>
      </c>
      <c r="AO135" s="413">
        <v>9.8140000000000001</v>
      </c>
      <c r="AP135" s="413">
        <v>21</v>
      </c>
      <c r="AQ135" s="413">
        <v>-16.365000000000002</v>
      </c>
      <c r="AR135" s="403">
        <v>1.252125850340136</v>
      </c>
      <c r="AS135" s="404">
        <v>0.76200000000000001</v>
      </c>
      <c r="AT135" s="405">
        <v>0.76200000000000001</v>
      </c>
      <c r="AU135" s="407">
        <v>0.77532048776957596</v>
      </c>
      <c r="AV135">
        <f t="shared" si="12"/>
        <v>77.532048776957595</v>
      </c>
    </row>
    <row r="136" spans="5:48" ht="14" thickBot="1" x14ac:dyDescent="0.2">
      <c r="E136" s="233">
        <v>40</v>
      </c>
      <c r="F136" s="242">
        <v>0.84299999999999997</v>
      </c>
      <c r="G136" s="242"/>
      <c r="AK136" s="409">
        <v>350</v>
      </c>
      <c r="AL136" s="396">
        <v>750</v>
      </c>
      <c r="AM136" s="414">
        <v>0.4</v>
      </c>
      <c r="AN136" s="415">
        <v>-26</v>
      </c>
      <c r="AO136" s="416">
        <v>9.5319999999999965</v>
      </c>
      <c r="AP136" s="416">
        <v>21</v>
      </c>
      <c r="AQ136" s="416">
        <v>-16.365000000000002</v>
      </c>
      <c r="AR136" s="417">
        <v>1.5625</v>
      </c>
      <c r="AS136" s="418">
        <v>0.75599999999999989</v>
      </c>
      <c r="AT136" s="419">
        <v>0.75599999999999989</v>
      </c>
      <c r="AU136" s="408">
        <v>0.7726223404255318</v>
      </c>
      <c r="AV136">
        <f t="shared" si="12"/>
        <v>77.262234042553175</v>
      </c>
    </row>
    <row r="137" spans="5:48" x14ac:dyDescent="0.15">
      <c r="E137" s="233">
        <v>30</v>
      </c>
      <c r="F137" s="242">
        <v>0.85899999999999999</v>
      </c>
      <c r="G137" s="242"/>
    </row>
    <row r="138" spans="5:48" x14ac:dyDescent="0.15">
      <c r="E138" s="233">
        <v>25</v>
      </c>
      <c r="F138" s="242">
        <v>0.87</v>
      </c>
      <c r="G138" s="242"/>
    </row>
    <row r="139" spans="5:48" x14ac:dyDescent="0.15">
      <c r="E139" s="233">
        <f t="array" ref="E139:I139">LINEST(F130:F138,E130:E138^{1,2,3,4})</f>
        <v>1.0826812711618555E-9</v>
      </c>
      <c r="F139" s="233">
        <v>-3.8381799248930507E-7</v>
      </c>
      <c r="G139" s="233">
        <v>5.5261269010114076E-5</v>
      </c>
      <c r="H139" s="233">
        <v>-4.2806112909305688E-3</v>
      </c>
      <c r="I139" s="233">
        <v>0.94769368460499781</v>
      </c>
    </row>
    <row r="141" spans="5:48" x14ac:dyDescent="0.15">
      <c r="E141" s="233" t="s">
        <v>290</v>
      </c>
      <c r="F141" s="235">
        <f>F115</f>
        <v>0</v>
      </c>
      <c r="G141" s="233"/>
    </row>
    <row r="142" spans="5:48" x14ac:dyDescent="0.15">
      <c r="E142" t="s">
        <v>291</v>
      </c>
      <c r="F142" s="235">
        <f>F116</f>
        <v>0</v>
      </c>
      <c r="G142" s="233"/>
    </row>
    <row r="143" spans="5:48" ht="14" thickBot="1" x14ac:dyDescent="0.2">
      <c r="E143" t="s">
        <v>292</v>
      </c>
      <c r="F143" s="235">
        <f>F117</f>
        <v>0</v>
      </c>
      <c r="G143" s="233"/>
    </row>
    <row r="144" spans="5:48" ht="14" thickBot="1" x14ac:dyDescent="0.2">
      <c r="E144" s="233" t="s">
        <v>293</v>
      </c>
      <c r="F144" s="244">
        <f>MIN($E$139*F143^4+$F$139*F143^3+$G$139*F143^2+$H$139*F143+$I$139,0.85)</f>
        <v>0.85</v>
      </c>
    </row>
    <row r="147" spans="5:7" x14ac:dyDescent="0.15">
      <c r="E147" s="240" t="s">
        <v>283</v>
      </c>
      <c r="F147" s="233"/>
      <c r="G147" s="233"/>
    </row>
    <row r="148" spans="5:7" x14ac:dyDescent="0.15">
      <c r="E148" s="233"/>
      <c r="F148" s="233"/>
      <c r="G148" s="233"/>
    </row>
    <row r="149" spans="5:7" x14ac:dyDescent="0.15">
      <c r="E149" s="241" t="s">
        <v>285</v>
      </c>
      <c r="F149" s="233"/>
      <c r="G149" s="233"/>
    </row>
    <row r="150" spans="5:7" x14ac:dyDescent="0.15">
      <c r="E150" s="233"/>
      <c r="F150" s="233"/>
      <c r="G150" s="233"/>
    </row>
    <row r="151" spans="5:7" x14ac:dyDescent="0.15">
      <c r="E151" s="233"/>
      <c r="F151" s="233"/>
      <c r="G151" s="233"/>
    </row>
    <row r="152" spans="5:7" x14ac:dyDescent="0.15">
      <c r="E152" s="233" t="s">
        <v>286</v>
      </c>
      <c r="F152" s="233">
        <v>7</v>
      </c>
      <c r="G152" s="233" t="s">
        <v>287</v>
      </c>
    </row>
    <row r="153" spans="5:7" x14ac:dyDescent="0.15">
      <c r="E153" s="233" t="s">
        <v>288</v>
      </c>
      <c r="F153" s="233">
        <v>20</v>
      </c>
      <c r="G153" s="233" t="s">
        <v>287</v>
      </c>
    </row>
    <row r="154" spans="5:7" x14ac:dyDescent="0.15">
      <c r="E154" s="233"/>
      <c r="F154" s="233"/>
      <c r="G154" s="233"/>
    </row>
    <row r="155" spans="5:7" x14ac:dyDescent="0.15">
      <c r="E155" s="233" t="s">
        <v>289</v>
      </c>
      <c r="F155" s="233" t="s">
        <v>279</v>
      </c>
      <c r="G155" s="233"/>
    </row>
    <row r="156" spans="5:7" x14ac:dyDescent="0.15">
      <c r="E156" s="233">
        <v>100</v>
      </c>
      <c r="F156" s="242"/>
      <c r="G156" s="242"/>
    </row>
    <row r="157" spans="5:7" x14ac:dyDescent="0.15">
      <c r="E157" s="233">
        <v>90</v>
      </c>
      <c r="F157" s="242"/>
      <c r="G157" s="242"/>
    </row>
    <row r="158" spans="5:7" x14ac:dyDescent="0.15">
      <c r="E158" s="233">
        <v>80</v>
      </c>
      <c r="F158" s="242"/>
      <c r="G158" s="242"/>
    </row>
    <row r="159" spans="5:7" x14ac:dyDescent="0.15">
      <c r="E159" s="233">
        <v>70</v>
      </c>
      <c r="F159" s="242"/>
      <c r="G159" s="242"/>
    </row>
    <row r="160" spans="5:7" x14ac:dyDescent="0.15">
      <c r="E160" s="233">
        <v>60</v>
      </c>
      <c r="F160" s="242"/>
      <c r="G160" s="242"/>
    </row>
    <row r="161" spans="5:9" x14ac:dyDescent="0.15">
      <c r="E161" s="233">
        <v>50</v>
      </c>
      <c r="F161" s="242"/>
      <c r="G161" s="242"/>
    </row>
    <row r="162" spans="5:9" x14ac:dyDescent="0.15">
      <c r="E162" s="233">
        <v>40</v>
      </c>
      <c r="F162" s="242"/>
      <c r="G162" s="242"/>
    </row>
    <row r="163" spans="5:9" x14ac:dyDescent="0.15">
      <c r="E163" s="233">
        <v>30</v>
      </c>
      <c r="F163" s="242"/>
      <c r="G163" s="242"/>
    </row>
    <row r="164" spans="5:9" x14ac:dyDescent="0.15">
      <c r="E164" s="233">
        <v>22</v>
      </c>
      <c r="F164" s="242"/>
      <c r="G164" s="242"/>
    </row>
    <row r="165" spans="5:9" x14ac:dyDescent="0.15">
      <c r="E165" s="233" t="e">
        <f t="array" ref="E165:I165">LINEST(F156:F164,E156:E164^{1,2,3,4})</f>
        <v>#VALUE!</v>
      </c>
      <c r="F165" s="233" t="e">
        <v>#VALUE!</v>
      </c>
      <c r="G165" s="233" t="e">
        <v>#VALUE!</v>
      </c>
      <c r="H165" s="233" t="e">
        <v>#VALUE!</v>
      </c>
      <c r="I165" s="233" t="e">
        <v>#VALUE!</v>
      </c>
    </row>
    <row r="167" spans="5:9" x14ac:dyDescent="0.15">
      <c r="E167" s="233" t="s">
        <v>290</v>
      </c>
      <c r="F167" s="235">
        <f>F141</f>
        <v>0</v>
      </c>
      <c r="G167" s="233"/>
    </row>
    <row r="168" spans="5:9" x14ac:dyDescent="0.15">
      <c r="E168" t="s">
        <v>291</v>
      </c>
      <c r="F168" s="235">
        <f>F142</f>
        <v>0</v>
      </c>
      <c r="G168" s="233"/>
    </row>
    <row r="169" spans="5:9" ht="14" thickBot="1" x14ac:dyDescent="0.2">
      <c r="E169" t="s">
        <v>292</v>
      </c>
      <c r="F169" s="235">
        <f>F143</f>
        <v>0</v>
      </c>
      <c r="G169" s="233"/>
    </row>
    <row r="170" spans="5:9" ht="14" thickBot="1" x14ac:dyDescent="0.2">
      <c r="E170" s="233" t="s">
        <v>293</v>
      </c>
      <c r="F170" s="244" t="e">
        <f>MIN($E$165*F169^4+$F$165*F169^3+$G$165*F169^2+$H$165*F169+$I$165,0.82)</f>
        <v>#VALUE!</v>
      </c>
    </row>
  </sheetData>
  <mergeCells count="12">
    <mergeCell ref="W24:W25"/>
    <mergeCell ref="AK128:AM128"/>
    <mergeCell ref="AN128:AR128"/>
    <mergeCell ref="AS128:AU128"/>
    <mergeCell ref="X24:X25"/>
    <mergeCell ref="Y24:AA24"/>
    <mergeCell ref="AL99:AN99"/>
    <mergeCell ref="AM9:AP9"/>
    <mergeCell ref="AM22:AP22"/>
    <mergeCell ref="AM34:AP34"/>
    <mergeCell ref="AM46:AP46"/>
    <mergeCell ref="AM58:AP58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143DB-4B70-4F5E-9DBA-1C0ED13C4E42}">
  <dimension ref="B2:BW116"/>
  <sheetViews>
    <sheetView topLeftCell="BB65" zoomScale="85" zoomScaleNormal="85" workbookViewId="0">
      <selection activeCell="BM57" sqref="BM57"/>
    </sheetView>
  </sheetViews>
  <sheetFormatPr baseColWidth="10" defaultColWidth="8.83203125" defaultRowHeight="13" x14ac:dyDescent="0.15"/>
  <cols>
    <col min="7" max="7" width="10.5" customWidth="1"/>
    <col min="8" max="8" width="12.33203125" bestFit="1" customWidth="1"/>
    <col min="9" max="11" width="9" bestFit="1" customWidth="1"/>
    <col min="16" max="16" width="10.83203125" customWidth="1"/>
    <col min="17" max="17" width="13.33203125" bestFit="1" customWidth="1"/>
    <col min="18" max="18" width="9.6640625" bestFit="1" customWidth="1"/>
    <col min="19" max="19" width="9.1640625" bestFit="1" customWidth="1"/>
    <col min="22" max="22" width="13" customWidth="1"/>
    <col min="24" max="24" width="10.6640625" customWidth="1"/>
    <col min="25" max="25" width="10" customWidth="1"/>
    <col min="40" max="40" width="11.5" customWidth="1"/>
    <col min="43" max="43" width="11.33203125" customWidth="1"/>
    <col min="59" max="59" width="11.5" customWidth="1"/>
    <col min="60" max="60" width="9.6640625" bestFit="1" customWidth="1"/>
    <col min="61" max="61" width="10" bestFit="1" customWidth="1"/>
    <col min="62" max="62" width="9.6640625" bestFit="1" customWidth="1"/>
    <col min="65" max="70" width="10" customWidth="1"/>
  </cols>
  <sheetData>
    <row r="2" spans="3:69" x14ac:dyDescent="0.15">
      <c r="C2" s="2" t="s">
        <v>0</v>
      </c>
      <c r="J2" t="s">
        <v>15</v>
      </c>
      <c r="P2" s="23" t="s">
        <v>2044</v>
      </c>
      <c r="Q2" s="22"/>
      <c r="R2" s="22"/>
      <c r="S2" s="22"/>
      <c r="T2" s="22"/>
      <c r="U2" s="22"/>
      <c r="V2" s="22"/>
      <c r="W2" s="22"/>
      <c r="X2" s="22"/>
      <c r="Y2" s="21"/>
      <c r="AZ2" t="s">
        <v>533</v>
      </c>
      <c r="BG2" s="2" t="s">
        <v>2169</v>
      </c>
    </row>
    <row r="3" spans="3:69" ht="17" x14ac:dyDescent="0.25">
      <c r="J3" s="850">
        <f>'C-series'!E33</f>
        <v>450</v>
      </c>
      <c r="K3" t="s">
        <v>13</v>
      </c>
      <c r="L3" s="122">
        <f>'C-series'!E44</f>
        <v>90</v>
      </c>
      <c r="M3" t="s">
        <v>14</v>
      </c>
      <c r="P3" s="599" t="s">
        <v>34</v>
      </c>
      <c r="Q3" s="2"/>
      <c r="Y3" s="24"/>
      <c r="AA3" s="2" t="s">
        <v>53</v>
      </c>
      <c r="AM3" s="2" t="s">
        <v>524</v>
      </c>
      <c r="AQ3" s="2" t="s">
        <v>2143</v>
      </c>
      <c r="AZ3" t="s">
        <v>3</v>
      </c>
      <c r="BA3">
        <v>-1.8299729089178483E-3</v>
      </c>
      <c r="BB3">
        <v>-0.73638484267800319</v>
      </c>
      <c r="BC3">
        <v>1263.0869140408336</v>
      </c>
    </row>
    <row r="4" spans="3:69" x14ac:dyDescent="0.15">
      <c r="C4" t="s">
        <v>1</v>
      </c>
      <c r="E4" s="1"/>
      <c r="H4" s="1"/>
      <c r="P4" s="458" t="s">
        <v>4</v>
      </c>
      <c r="Q4" s="4" t="s">
        <v>5</v>
      </c>
      <c r="T4" s="4"/>
      <c r="U4" s="4"/>
      <c r="W4" t="s">
        <v>27</v>
      </c>
      <c r="Y4" s="24"/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  <c r="AZ4" t="s">
        <v>408</v>
      </c>
      <c r="BA4">
        <v>-1.7835379999785593E-3</v>
      </c>
      <c r="BB4">
        <v>-0.36812150735232407</v>
      </c>
      <c r="BC4">
        <v>818.37289607846901</v>
      </c>
      <c r="BG4" t="s">
        <v>2170</v>
      </c>
      <c r="BQ4" t="str">
        <f>BG7</f>
        <v>ePM 85% F8</v>
      </c>
    </row>
    <row r="5" spans="3:69" x14ac:dyDescent="0.15">
      <c r="C5" t="s">
        <v>2</v>
      </c>
      <c r="D5" s="1"/>
      <c r="E5" s="1"/>
      <c r="H5" s="1"/>
      <c r="P5" s="858">
        <f t="array" ref="P5:Q5">LINEST(AF34:AF37,LN(AC34:AC37))</f>
        <v>18.415870537876174</v>
      </c>
      <c r="Q5" s="52">
        <v>-61.856817581047693</v>
      </c>
      <c r="R5" t="s">
        <v>28</v>
      </c>
      <c r="T5" s="4"/>
      <c r="U5" s="39" t="s">
        <v>43</v>
      </c>
      <c r="V5" t="s">
        <v>28</v>
      </c>
      <c r="W5" s="9">
        <f>$P$5*LN($J$3)+$Q$5</f>
        <v>50.650294986973819</v>
      </c>
      <c r="X5" t="s">
        <v>31</v>
      </c>
      <c r="Y5" s="24"/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M5" s="129" t="s">
        <v>523</v>
      </c>
      <c r="AN5">
        <f>IF('C koodit'!E12=1,190,0)</f>
        <v>0</v>
      </c>
      <c r="AO5" t="s">
        <v>2211</v>
      </c>
      <c r="AQ5" s="2" t="s">
        <v>2139</v>
      </c>
      <c r="AZ5" t="s">
        <v>411</v>
      </c>
      <c r="BA5">
        <v>-1.8408995974059186E-3</v>
      </c>
      <c r="BB5">
        <v>-0.27749303744237341</v>
      </c>
      <c r="BC5">
        <v>436.43375328904114</v>
      </c>
      <c r="BG5" t="s">
        <v>2171</v>
      </c>
      <c r="BQ5" t="str">
        <f>BJ7</f>
        <v>ePM 65% F7</v>
      </c>
    </row>
    <row r="6" spans="3:69" ht="17" x14ac:dyDescent="0.25">
      <c r="C6" s="2" t="s">
        <v>3</v>
      </c>
      <c r="D6" s="1"/>
      <c r="E6" s="1"/>
      <c r="H6" s="1"/>
      <c r="P6" s="859">
        <f t="array" ref="P6:Q6">LINEST(AG34:AG37,LN(AC34:AC37))</f>
        <v>20.756048542428655</v>
      </c>
      <c r="Q6" s="860">
        <v>-57.711979796707936</v>
      </c>
      <c r="R6" s="25" t="s">
        <v>7</v>
      </c>
      <c r="S6" s="25"/>
      <c r="T6" s="50"/>
      <c r="U6" s="450" t="s">
        <v>43</v>
      </c>
      <c r="V6" s="25" t="s">
        <v>7</v>
      </c>
      <c r="W6" s="861">
        <f>$P$6*LN($J$3)+$Q$6</f>
        <v>69.091859588864153</v>
      </c>
      <c r="X6" s="25" t="s">
        <v>31</v>
      </c>
      <c r="Y6" s="26"/>
      <c r="AA6" s="55">
        <v>25</v>
      </c>
      <c r="AB6" s="56">
        <f t="shared" ref="AB6:AB12" si="0">(-$D$9-SQRT($D$9^2-(4*$C$9*($E$9-AA6))))/(2*$C$9)</f>
        <v>654.25037329157124</v>
      </c>
      <c r="AC6" s="55">
        <v>20</v>
      </c>
      <c r="AD6" s="57">
        <f t="shared" ref="AD6:AD12" si="1">(-$D$14-SQRT($D$14^2-(4*$C$14*($E$14-AC6))))/(2*$C$14)</f>
        <v>582.83308011693862</v>
      </c>
      <c r="AE6" s="55">
        <v>10</v>
      </c>
      <c r="AF6" s="57">
        <f t="shared" ref="AF6:AF11" si="2">(-$D$19-SQRT($D$19^2-(4*$C$19*($E$19-AE6))))/(2*$C$19)</f>
        <v>418.68869265387121</v>
      </c>
      <c r="AG6" s="56">
        <v>10</v>
      </c>
      <c r="AH6" s="57">
        <f>(-$D$24-SQRT($D$24^2-(4*$C$24*($E$24-AG6))))/(2*$C$24)</f>
        <v>257.85106453446394</v>
      </c>
      <c r="AM6" s="129" t="s">
        <v>226</v>
      </c>
      <c r="AN6" s="1087">
        <f>'Kojeet ja kennon hyötysuhde_C'!F58</f>
        <v>0.80449999999999999</v>
      </c>
      <c r="AO6" t="s">
        <v>2209</v>
      </c>
      <c r="AQ6" t="s">
        <v>2136</v>
      </c>
      <c r="AR6" t="s">
        <v>2140</v>
      </c>
      <c r="AS6" s="2">
        <v>7.1463755446508875E-2</v>
      </c>
      <c r="AT6" s="2">
        <v>1.1102173216131614</v>
      </c>
      <c r="AU6" s="2"/>
      <c r="AZ6" t="s">
        <v>409</v>
      </c>
      <c r="BA6">
        <v>-1.4239005403105199E-3</v>
      </c>
      <c r="BB6">
        <v>-0.39963521762046122</v>
      </c>
      <c r="BC6">
        <v>202.17294797913897</v>
      </c>
      <c r="BQ6" t="str">
        <f>BM7</f>
        <v>ePM10 50% M5</v>
      </c>
    </row>
    <row r="7" spans="3:69" ht="17" x14ac:dyDescent="0.25">
      <c r="C7" t="s">
        <v>11</v>
      </c>
      <c r="D7" s="1"/>
      <c r="E7" s="1"/>
      <c r="H7" s="1"/>
      <c r="P7" s="23" t="s">
        <v>2045</v>
      </c>
      <c r="Q7" s="22"/>
      <c r="R7" s="22"/>
      <c r="S7" s="22"/>
      <c r="T7" s="208"/>
      <c r="U7" s="481"/>
      <c r="V7" s="22"/>
      <c r="W7" s="22"/>
      <c r="X7" s="22"/>
      <c r="Y7" s="21"/>
      <c r="AA7" s="55">
        <v>100</v>
      </c>
      <c r="AB7" s="56">
        <f t="shared" si="0"/>
        <v>629.36379914838335</v>
      </c>
      <c r="AC7" s="55">
        <v>50</v>
      </c>
      <c r="AD7" s="57">
        <f t="shared" si="1"/>
        <v>570.11547619002181</v>
      </c>
      <c r="AE7" s="55">
        <v>50</v>
      </c>
      <c r="AF7" s="57">
        <f t="shared" si="2"/>
        <v>395.52550235940686</v>
      </c>
      <c r="AG7" s="56">
        <v>20</v>
      </c>
      <c r="AH7" s="57">
        <f>(-$D$24-SQRT($D$24^2-(4*$C$24*($E$24-AG7))))/(2*$C$24)</f>
        <v>248.64190471104959</v>
      </c>
      <c r="AM7" s="129" t="s">
        <v>2210</v>
      </c>
      <c r="AN7">
        <v>550</v>
      </c>
      <c r="AQ7" t="s">
        <v>2137</v>
      </c>
      <c r="AR7" t="s">
        <v>2141</v>
      </c>
      <c r="AS7" s="2">
        <v>5.9822004957880807E-4</v>
      </c>
      <c r="AT7" s="2">
        <v>5.9691630886583871E-2</v>
      </c>
      <c r="AU7" s="2">
        <v>28.559726575316688</v>
      </c>
      <c r="AZ7" t="s">
        <v>534</v>
      </c>
      <c r="BG7" t="s">
        <v>2174</v>
      </c>
      <c r="BJ7" t="s">
        <v>2172</v>
      </c>
      <c r="BM7" t="s">
        <v>2175</v>
      </c>
    </row>
    <row r="8" spans="3:69" x14ac:dyDescent="0.15">
      <c r="C8" t="s">
        <v>4</v>
      </c>
      <c r="D8" t="s">
        <v>5</v>
      </c>
      <c r="E8" t="s">
        <v>6</v>
      </c>
      <c r="P8" s="599" t="s">
        <v>41</v>
      </c>
      <c r="T8" s="4" t="s">
        <v>418</v>
      </c>
      <c r="U8" s="5"/>
      <c r="Y8" s="24"/>
      <c r="AA8" s="55">
        <v>200</v>
      </c>
      <c r="AB8" s="56">
        <f t="shared" si="0"/>
        <v>594.97595729709474</v>
      </c>
      <c r="AC8" s="55">
        <v>100</v>
      </c>
      <c r="AD8" s="57">
        <f t="shared" si="1"/>
        <v>548.36777867485296</v>
      </c>
      <c r="AE8" s="55">
        <v>90</v>
      </c>
      <c r="AF8" s="57">
        <f t="shared" si="2"/>
        <v>371.15944670020446</v>
      </c>
      <c r="AG8" s="56">
        <v>40</v>
      </c>
      <c r="AH8" s="57">
        <f>(-$D$24-SQRT($D$24^2-(4*$C$24*($E$24-AG8))))/(2*$C$24)</f>
        <v>229.53785769609709</v>
      </c>
      <c r="AM8" s="129" t="s">
        <v>527</v>
      </c>
      <c r="AN8" s="3">
        <f>AR14</f>
        <v>429.64542377718385</v>
      </c>
      <c r="AO8" t="s">
        <v>14</v>
      </c>
      <c r="AQ8" t="s">
        <v>2138</v>
      </c>
      <c r="AR8" t="s">
        <v>2140</v>
      </c>
      <c r="AS8" s="2">
        <v>4.9396852463048392E-4</v>
      </c>
      <c r="AT8" s="2">
        <v>1.9999999999999998</v>
      </c>
      <c r="AU8" s="2"/>
      <c r="AZ8" t="s">
        <v>3</v>
      </c>
      <c r="BA8" s="286">
        <f>BA3</f>
        <v>-1.8299729089178483E-3</v>
      </c>
      <c r="BB8" s="286">
        <f t="shared" ref="BB8:BC8" si="3">BB3</f>
        <v>-0.73638484267800319</v>
      </c>
      <c r="BC8" s="286">
        <f t="shared" si="3"/>
        <v>1263.0869140408336</v>
      </c>
      <c r="BG8" s="4" t="s">
        <v>2173</v>
      </c>
      <c r="BH8" s="4" t="s">
        <v>364</v>
      </c>
      <c r="BJ8" s="4" t="s">
        <v>2173</v>
      </c>
      <c r="BK8" s="4" t="s">
        <v>364</v>
      </c>
      <c r="BM8" s="4" t="s">
        <v>2173</v>
      </c>
      <c r="BN8" s="4" t="s">
        <v>364</v>
      </c>
    </row>
    <row r="9" spans="3:69" x14ac:dyDescent="0.15">
      <c r="C9" s="1351">
        <f>BH109</f>
        <v>-1.7827017451941536E-3</v>
      </c>
      <c r="D9" s="1351">
        <f t="shared" ref="D9:E9" si="4">BI109</f>
        <v>-0.72537191294995595</v>
      </c>
      <c r="E9" s="1351">
        <f t="shared" si="4"/>
        <v>1262.6488301242487</v>
      </c>
      <c r="H9" s="2"/>
      <c r="P9" s="12" t="s">
        <v>2042</v>
      </c>
      <c r="Q9" s="52">
        <f t="array" ref="Q9:R9">LINEST(AC35:AC37,U35:U37)</f>
        <v>73.297124657165611</v>
      </c>
      <c r="R9" s="52">
        <v>-51.563634475089714</v>
      </c>
      <c r="T9" s="111">
        <f>(J3-R9)/Q9</f>
        <v>6.8428828118574261</v>
      </c>
      <c r="U9" s="39" t="s">
        <v>42</v>
      </c>
      <c r="V9" t="s">
        <v>44</v>
      </c>
      <c r="W9" s="125">
        <f>IF($J$3&gt;$AJ$35,AVERAGE(T10,T10,T10,T10,T11),T9)</f>
        <v>6.8428828118574261</v>
      </c>
      <c r="X9" t="s">
        <v>25</v>
      </c>
      <c r="Y9" s="24" t="str">
        <f>IF(W9&gt;10,"Ei käyttöalueella","OK")</f>
        <v>OK</v>
      </c>
      <c r="AA9" s="55">
        <v>300</v>
      </c>
      <c r="AB9" s="56">
        <f t="shared" si="0"/>
        <v>559.03881062391019</v>
      </c>
      <c r="AC9" s="55">
        <v>150</v>
      </c>
      <c r="AD9" s="57">
        <f t="shared" si="1"/>
        <v>525.8682520064591</v>
      </c>
      <c r="AE9" s="55">
        <v>130</v>
      </c>
      <c r="AF9" s="57">
        <f t="shared" si="2"/>
        <v>345.38106086358533</v>
      </c>
      <c r="AG9" s="56">
        <v>60</v>
      </c>
      <c r="AH9" s="57">
        <f>(-$D$24-SQRT($D$24^2-(4*$C$24*($E$24-AG9))))/(2*$C$24)</f>
        <v>209.39421485538645</v>
      </c>
      <c r="AM9" s="129" t="s">
        <v>528</v>
      </c>
      <c r="AN9" s="3">
        <f>'Laskenta poistopuoli C5'!AR14</f>
        <v>394.42513366684545</v>
      </c>
      <c r="AO9" t="s">
        <v>14</v>
      </c>
      <c r="AZ9" t="s">
        <v>408</v>
      </c>
      <c r="BA9" s="286">
        <f t="shared" ref="BA9:BC9" si="5">BA4</f>
        <v>-1.7835379999785593E-3</v>
      </c>
      <c r="BB9" s="286">
        <f t="shared" si="5"/>
        <v>-0.36812150735232407</v>
      </c>
      <c r="BC9" s="286">
        <f t="shared" si="5"/>
        <v>818.37289607846901</v>
      </c>
      <c r="BG9" s="5">
        <v>616.19844494351491</v>
      </c>
      <c r="BH9" s="5">
        <v>144.333</v>
      </c>
      <c r="BJ9" s="5">
        <v>92.715984398123922</v>
      </c>
      <c r="BK9" s="5">
        <v>11.728</v>
      </c>
      <c r="BM9" s="5">
        <v>147.37290418265499</v>
      </c>
      <c r="BN9" s="5">
        <v>5.5680000000000005</v>
      </c>
    </row>
    <row r="10" spans="3:69" ht="14" thickBot="1" x14ac:dyDescent="0.2">
      <c r="C10" s="2"/>
      <c r="D10" s="2"/>
      <c r="E10" s="2"/>
      <c r="H10" s="2"/>
      <c r="P10" s="12" t="s">
        <v>2043</v>
      </c>
      <c r="Q10" s="52">
        <f t="array" ref="Q10:R10">LINEST(AJ34:AJ35,AI34:AI35)</f>
        <v>24.03377094899535</v>
      </c>
      <c r="R10" s="52">
        <v>367.17487204435736</v>
      </c>
      <c r="T10" s="111">
        <f>(J3-R10)/Q10</f>
        <v>3.4461977744322665</v>
      </c>
      <c r="W10" t="b">
        <f>H88</f>
        <v>1</v>
      </c>
      <c r="Y10" s="24"/>
      <c r="AA10" s="55">
        <v>400</v>
      </c>
      <c r="AB10" s="56">
        <f t="shared" si="0"/>
        <v>521.32193237327101</v>
      </c>
      <c r="AC10" s="55">
        <v>230</v>
      </c>
      <c r="AD10" s="57">
        <f t="shared" si="1"/>
        <v>488.08981935508075</v>
      </c>
      <c r="AE10" s="55">
        <v>170</v>
      </c>
      <c r="AF10" s="57">
        <f t="shared" si="2"/>
        <v>317.91195418861821</v>
      </c>
      <c r="AG10" s="56">
        <v>160</v>
      </c>
      <c r="AH10" s="57">
        <f>(-$D$24-SQRT($D$24^2-(4*$C$24*($E$24-AG10))))/(2*$C$24)</f>
        <v>82.992893577309133</v>
      </c>
      <c r="AQ10" t="s">
        <v>2136</v>
      </c>
      <c r="AR10" s="110">
        <f>AS6*$J$3^AT6</f>
        <v>63.056277025522938</v>
      </c>
      <c r="AS10" t="s">
        <v>14</v>
      </c>
      <c r="AZ10" t="s">
        <v>411</v>
      </c>
      <c r="BA10" s="286">
        <f t="shared" ref="BA10:BC10" si="6">BA5</f>
        <v>-1.8408995974059186E-3</v>
      </c>
      <c r="BB10" s="286">
        <f t="shared" si="6"/>
        <v>-0.27749303744237341</v>
      </c>
      <c r="BC10" s="286">
        <f t="shared" si="6"/>
        <v>436.43375328904114</v>
      </c>
      <c r="BG10" s="5">
        <v>589.81331595633981</v>
      </c>
      <c r="BH10" s="5">
        <v>138.11699999999999</v>
      </c>
      <c r="BJ10" s="5">
        <v>153.8436504885284</v>
      </c>
      <c r="BK10" s="5">
        <v>19.863000000000003</v>
      </c>
      <c r="BM10" s="5">
        <v>238.16859601854648</v>
      </c>
      <c r="BN10" s="5">
        <v>9.8779999999999983</v>
      </c>
    </row>
    <row r="11" spans="3:69" x14ac:dyDescent="0.15">
      <c r="C11" s="2" t="s">
        <v>408</v>
      </c>
      <c r="D11" s="1"/>
      <c r="E11" s="1"/>
      <c r="H11" s="1"/>
      <c r="P11" s="14" t="s">
        <v>417</v>
      </c>
      <c r="Q11" s="862">
        <f t="array" ref="Q11:S11">LINEST(AI34:AI38,AJ34:AJ38^{1,2})</f>
        <v>1.6368000510816832E-5</v>
      </c>
      <c r="R11" s="862">
        <v>1.2403441845564391E-3</v>
      </c>
      <c r="S11" s="862">
        <v>2.8205106112867813</v>
      </c>
      <c r="T11" s="863">
        <f>Q11*J3^2+R11*J3+S11</f>
        <v>6.6931855977775871</v>
      </c>
      <c r="U11" s="25"/>
      <c r="V11" s="25" t="s">
        <v>348</v>
      </c>
      <c r="W11" s="864">
        <v>100</v>
      </c>
      <c r="X11" s="25" t="s">
        <v>13</v>
      </c>
      <c r="Y11" s="26"/>
      <c r="AA11" s="55">
        <v>500</v>
      </c>
      <c r="AB11" s="56">
        <f t="shared" si="0"/>
        <v>481.53139436024861</v>
      </c>
      <c r="AC11" s="55">
        <v>320</v>
      </c>
      <c r="AD11" s="57">
        <f t="shared" si="1"/>
        <v>442.46956587231512</v>
      </c>
      <c r="AE11" s="55">
        <v>320</v>
      </c>
      <c r="AF11" s="57">
        <f t="shared" si="2"/>
        <v>190.64733408241827</v>
      </c>
      <c r="AG11" s="56"/>
      <c r="AH11" s="57"/>
      <c r="AM11" s="129" t="s">
        <v>525</v>
      </c>
      <c r="AN11" s="227">
        <f>(J3/1000*AN8)/W14</f>
        <v>0.61269776620002603</v>
      </c>
      <c r="AQ11" t="s">
        <v>2137</v>
      </c>
      <c r="AR11" s="110">
        <f>AS7*$J$3^2+AT7*$J$3+AU7</f>
        <v>176.56052051398808</v>
      </c>
      <c r="AS11" t="s">
        <v>14</v>
      </c>
      <c r="AZ11" t="s">
        <v>409</v>
      </c>
      <c r="BA11" s="286">
        <f t="shared" ref="BA11:BC11" si="7">BA6</f>
        <v>-1.4239005403105199E-3</v>
      </c>
      <c r="BB11" s="286">
        <f t="shared" si="7"/>
        <v>-0.39963521762046122</v>
      </c>
      <c r="BC11" s="286">
        <f t="shared" si="7"/>
        <v>202.17294797913897</v>
      </c>
      <c r="BG11" s="5">
        <v>398.23114566001288</v>
      </c>
      <c r="BH11" s="5">
        <v>82.931000000000012</v>
      </c>
      <c r="BJ11" s="5">
        <v>253.42738758866832</v>
      </c>
      <c r="BK11" s="5">
        <v>34.451000000000001</v>
      </c>
      <c r="BM11" s="5">
        <v>349.7764409051448</v>
      </c>
      <c r="BN11" s="5">
        <v>16.643000000000001</v>
      </c>
    </row>
    <row r="12" spans="3:69" x14ac:dyDescent="0.15">
      <c r="C12" t="s">
        <v>11</v>
      </c>
      <c r="D12" s="1"/>
      <c r="E12" s="1"/>
      <c r="H12" s="1"/>
      <c r="P12" s="2" t="s">
        <v>2046</v>
      </c>
      <c r="AA12" s="58">
        <v>520</v>
      </c>
      <c r="AB12" s="59">
        <f t="shared" si="0"/>
        <v>473.2925954290904</v>
      </c>
      <c r="AC12" s="58">
        <v>510</v>
      </c>
      <c r="AD12" s="60">
        <f t="shared" si="1"/>
        <v>330.67113176285858</v>
      </c>
      <c r="AE12" s="58"/>
      <c r="AF12" s="60"/>
      <c r="AG12" s="59"/>
      <c r="AH12" s="60"/>
      <c r="AM12" s="129" t="s">
        <v>526</v>
      </c>
      <c r="AN12" s="227">
        <f>('Laskenta poistopuoli C5'!J3/1000*AN9)/'Laskenta poistopuoli C5'!W14</f>
        <v>0.62267344110327971</v>
      </c>
      <c r="AQ12" t="s">
        <v>2138</v>
      </c>
      <c r="AR12" s="110">
        <f>AS8*$J$3^AT8</f>
        <v>100.02862623767284</v>
      </c>
      <c r="AS12" t="s">
        <v>14</v>
      </c>
      <c r="BG12" s="5">
        <v>279.75020595412758</v>
      </c>
      <c r="BH12" s="5">
        <v>53.301000000000002</v>
      </c>
      <c r="BJ12" s="5">
        <v>324.46714326457584</v>
      </c>
      <c r="BK12" s="5">
        <v>44.194000000000003</v>
      </c>
      <c r="BM12" s="5">
        <v>409.0468858558321</v>
      </c>
      <c r="BN12" s="5">
        <v>20.114999999999998</v>
      </c>
    </row>
    <row r="13" spans="3:69" ht="14" thickBot="1" x14ac:dyDescent="0.2">
      <c r="C13" t="s">
        <v>4</v>
      </c>
      <c r="D13" t="s">
        <v>5</v>
      </c>
      <c r="E13" t="s">
        <v>6</v>
      </c>
      <c r="P13" s="2" t="s">
        <v>51</v>
      </c>
      <c r="U13" s="39" t="s">
        <v>43</v>
      </c>
      <c r="V13" t="s">
        <v>44</v>
      </c>
      <c r="W13" s="295">
        <f>P20</f>
        <v>315.55597452041849</v>
      </c>
      <c r="X13" t="s">
        <v>49</v>
      </c>
      <c r="Y13" s="129" t="s">
        <v>414</v>
      </c>
      <c r="AZ13" t="s">
        <v>535</v>
      </c>
      <c r="BG13" s="5">
        <v>152.44227895465414</v>
      </c>
      <c r="BH13" s="5">
        <v>25.874000000000002</v>
      </c>
      <c r="BJ13" s="5">
        <v>388.88146120155363</v>
      </c>
      <c r="BK13" s="5">
        <v>54.279999999999994</v>
      </c>
      <c r="BM13" s="5">
        <v>498.8209699968836</v>
      </c>
      <c r="BN13" s="5">
        <v>26.437999999999999</v>
      </c>
    </row>
    <row r="14" spans="3:69" ht="14" thickBot="1" x14ac:dyDescent="0.2">
      <c r="C14" s="1351">
        <f>BH110</f>
        <v>-1.7362668362548646E-3</v>
      </c>
      <c r="D14" s="1351">
        <f t="shared" ref="D14:E14" si="8">BI110</f>
        <v>-0.35710857762427684</v>
      </c>
      <c r="E14" s="1351">
        <f t="shared" si="8"/>
        <v>817.93481216188411</v>
      </c>
      <c r="H14" s="2"/>
      <c r="O14" t="s">
        <v>412</v>
      </c>
      <c r="P14" s="51">
        <f t="array" ref="P14:R14">LINEST(AE34:AE37,AC34:AC37^{1,2})</f>
        <v>3.5011234610988575E-3</v>
      </c>
      <c r="Q14" s="51">
        <v>-1.2527969211382546</v>
      </c>
      <c r="R14" s="51">
        <v>176.0094472465554</v>
      </c>
      <c r="V14" t="s">
        <v>52</v>
      </c>
      <c r="W14" s="296">
        <f>IF(W13&gt;Y14,Y14,W13)</f>
        <v>315.55597452041849</v>
      </c>
      <c r="X14" t="s">
        <v>49</v>
      </c>
      <c r="Y14" s="129">
        <v>725</v>
      </c>
      <c r="Z14" t="s">
        <v>49</v>
      </c>
      <c r="AM14" s="297" t="s">
        <v>520</v>
      </c>
      <c r="AN14" s="84">
        <f>1100+((AN6-0.73)*3000)-300*($AN$7/1000)/2-AN5</f>
        <v>1241</v>
      </c>
      <c r="AQ14" t="s">
        <v>2142</v>
      </c>
      <c r="AR14" s="3">
        <f>L3+AR10+AR11+AR12</f>
        <v>429.64542377718385</v>
      </c>
      <c r="AS14" t="s">
        <v>14</v>
      </c>
      <c r="AZ14" s="451" t="b">
        <f>TuloksetC!D40</f>
        <v>1</v>
      </c>
      <c r="BJ14" s="5">
        <v>435.03170293522749</v>
      </c>
      <c r="BK14" s="5">
        <v>61.194999999999993</v>
      </c>
      <c r="BM14" s="5"/>
      <c r="BN14" s="5"/>
    </row>
    <row r="15" spans="3:69" x14ac:dyDescent="0.15">
      <c r="C15" s="2"/>
      <c r="D15" s="2"/>
      <c r="E15" s="2"/>
      <c r="H15" s="2"/>
      <c r="O15" t="s">
        <v>413</v>
      </c>
      <c r="P15" s="7">
        <f t="array" ref="P15:S15">LINEST(AE34:AE37,AC34:AC37^{1,2,3})</f>
        <v>3.8669821444935305E-6</v>
      </c>
      <c r="Q15" s="7">
        <v>-1.4029460149264884E-3</v>
      </c>
      <c r="R15" s="7">
        <v>0.70575673565351416</v>
      </c>
      <c r="S15" s="7">
        <v>-67.189095504463126</v>
      </c>
      <c r="BJ15" s="5">
        <v>483.29235357810359</v>
      </c>
      <c r="BK15" s="5">
        <v>69.11699999999999</v>
      </c>
      <c r="BM15" s="5"/>
      <c r="BN15" s="5"/>
    </row>
    <row r="16" spans="3:69" ht="14" thickBot="1" x14ac:dyDescent="0.2">
      <c r="C16" s="2" t="s">
        <v>411</v>
      </c>
      <c r="D16" s="1"/>
      <c r="E16" s="1"/>
      <c r="H16" s="1"/>
      <c r="V16" t="s">
        <v>58</v>
      </c>
      <c r="W16">
        <f>'Laskenta poistopuoli C5'!W13</f>
        <v>285.04718273449032</v>
      </c>
      <c r="AM16" s="129" t="s">
        <v>521</v>
      </c>
      <c r="AN16" s="3">
        <f>(AN8-L3)/AN11</f>
        <v>554.34415222969915</v>
      </c>
      <c r="AZ16" t="s">
        <v>21</v>
      </c>
      <c r="BJ16" s="5">
        <v>528.55687778939728</v>
      </c>
      <c r="BK16" s="5">
        <v>77.183000000000007</v>
      </c>
      <c r="BM16" s="4"/>
      <c r="BN16" s="4"/>
    </row>
    <row r="17" spans="3:67" ht="14" thickBot="1" x14ac:dyDescent="0.2">
      <c r="C17" t="s">
        <v>11</v>
      </c>
      <c r="D17" s="1"/>
      <c r="E17" s="1"/>
      <c r="H17" s="1"/>
      <c r="O17" t="s">
        <v>412</v>
      </c>
      <c r="P17" s="3">
        <f>$P$14*J3^2+$Q$14*J3+$R$14</f>
        <v>321.22833360685956</v>
      </c>
      <c r="Q17" t="s">
        <v>49</v>
      </c>
      <c r="V17" t="s">
        <v>73</v>
      </c>
      <c r="W17" s="294">
        <v>4.4000000000000004</v>
      </c>
      <c r="X17" t="s">
        <v>2111</v>
      </c>
      <c r="AM17" s="129" t="s">
        <v>522</v>
      </c>
      <c r="AN17" s="3">
        <f>(AN9-'Laskenta poistopuoli C5'!L3)/AN12</f>
        <v>472.84035937869822</v>
      </c>
      <c r="AZ17" s="2" t="s">
        <v>3</v>
      </c>
      <c r="BA17" s="2">
        <f t="shared" ref="BA17:BC20" si="9">IF($AZ$14,BA8,BA3)</f>
        <v>-1.8299729089178483E-3</v>
      </c>
      <c r="BB17" s="2">
        <f t="shared" si="9"/>
        <v>-0.73638484267800319</v>
      </c>
      <c r="BC17" s="2">
        <f t="shared" si="9"/>
        <v>1263.0869140408336</v>
      </c>
      <c r="BJ17" s="5">
        <v>551.9146958158334</v>
      </c>
      <c r="BK17" s="5">
        <v>81.073999999999998</v>
      </c>
      <c r="BM17" s="4"/>
      <c r="BN17" s="4"/>
    </row>
    <row r="18" spans="3:67" ht="15" x14ac:dyDescent="0.15">
      <c r="C18" t="s">
        <v>4</v>
      </c>
      <c r="D18" t="s">
        <v>5</v>
      </c>
      <c r="E18" t="s">
        <v>6</v>
      </c>
      <c r="H18" s="1"/>
      <c r="O18" t="s">
        <v>413</v>
      </c>
      <c r="P18" s="3">
        <f>$P$15*J3^3+$Q$15*J3^2+$R$15*J3+$S$15</f>
        <v>318.68361543397737</v>
      </c>
      <c r="Q18" t="s">
        <v>49</v>
      </c>
      <c r="AM18" s="297" t="s">
        <v>529</v>
      </c>
      <c r="AN18" s="84">
        <f>AN16+AN17</f>
        <v>1027.1845116083973</v>
      </c>
      <c r="AZ18" s="2" t="s">
        <v>408</v>
      </c>
      <c r="BA18" s="2">
        <f t="shared" si="9"/>
        <v>-1.7835379999785593E-3</v>
      </c>
      <c r="BB18" s="2">
        <f t="shared" si="9"/>
        <v>-0.36812150735232407</v>
      </c>
      <c r="BC18" s="2">
        <f t="shared" si="9"/>
        <v>818.37289607846901</v>
      </c>
      <c r="BG18" t="s">
        <v>2177</v>
      </c>
    </row>
    <row r="19" spans="3:67" x14ac:dyDescent="0.15">
      <c r="C19" s="1351">
        <f>BH111</f>
        <v>-1.7936284336822238E-3</v>
      </c>
      <c r="D19" s="1351">
        <f t="shared" ref="D19:E19" si="10">BI111</f>
        <v>-0.26648010771432618</v>
      </c>
      <c r="E19" s="1351">
        <f t="shared" si="10"/>
        <v>435.99566937245618</v>
      </c>
      <c r="O19" t="s">
        <v>419</v>
      </c>
      <c r="P19" s="3">
        <f>AVERAGE(P17:P18)</f>
        <v>319.95597452041847</v>
      </c>
      <c r="Q19" t="s">
        <v>49</v>
      </c>
      <c r="V19" s="74" t="s">
        <v>74</v>
      </c>
      <c r="W19" s="77">
        <f>W13+W16+W17</f>
        <v>605.00315725490884</v>
      </c>
      <c r="X19" s="75" t="s">
        <v>49</v>
      </c>
      <c r="AB19" s="6"/>
      <c r="AC19" s="6"/>
      <c r="AQ19" t="s">
        <v>2144</v>
      </c>
      <c r="AZ19" s="2" t="s">
        <v>411</v>
      </c>
      <c r="BA19" s="2">
        <f t="shared" si="9"/>
        <v>-1.8408995974059186E-3</v>
      </c>
      <c r="BB19" s="2">
        <f t="shared" si="9"/>
        <v>-0.27749303744237341</v>
      </c>
      <c r="BC19" s="2">
        <f t="shared" si="9"/>
        <v>436.43375328904114</v>
      </c>
      <c r="BG19" s="4" t="s">
        <v>4</v>
      </c>
      <c r="BH19" s="4" t="s">
        <v>5</v>
      </c>
      <c r="BJ19" s="4" t="s">
        <v>4</v>
      </c>
      <c r="BK19" s="4" t="s">
        <v>5</v>
      </c>
      <c r="BM19" s="4" t="s">
        <v>4</v>
      </c>
      <c r="BN19" s="4" t="s">
        <v>5</v>
      </c>
    </row>
    <row r="20" spans="3:67" x14ac:dyDescent="0.15">
      <c r="C20" s="2"/>
      <c r="D20" s="2"/>
      <c r="E20" s="2"/>
      <c r="H20" s="1"/>
      <c r="P20" s="84">
        <f>P19-W17</f>
        <v>315.55597452041849</v>
      </c>
      <c r="Q20" t="s">
        <v>2109</v>
      </c>
      <c r="AB20" s="6"/>
      <c r="AC20" s="6"/>
      <c r="AQ20" t="s">
        <v>2145</v>
      </c>
      <c r="AT20" s="2"/>
      <c r="AU20" s="2"/>
      <c r="AZ20" s="2" t="s">
        <v>409</v>
      </c>
      <c r="BA20" s="2">
        <f t="shared" si="9"/>
        <v>-1.4239005403105199E-3</v>
      </c>
      <c r="BB20" s="2">
        <f t="shared" si="9"/>
        <v>-0.39963521762046122</v>
      </c>
      <c r="BC20" s="2">
        <f t="shared" si="9"/>
        <v>202.17294797913897</v>
      </c>
      <c r="BG20" s="1069">
        <f>EXP(BI20)</f>
        <v>5.077577934597171E-2</v>
      </c>
      <c r="BH20" s="1070">
        <f t="array" ref="BH20:BI20">LINEST(LN(BH9:BH13),LN(BG9:BG13))</f>
        <v>1.2376148039531605</v>
      </c>
      <c r="BI20">
        <v>-2.9803358226237009</v>
      </c>
      <c r="BJ20" s="1069">
        <f>EXP(BL20)</f>
        <v>8.5932881129601388E-2</v>
      </c>
      <c r="BK20" s="1070">
        <f t="array" ref="BK20:BL20">LINEST(LN(BK9:BK17),LN(BJ9:BJ17))</f>
        <v>1.0825496613839145</v>
      </c>
      <c r="BL20">
        <v>-2.4541887394212081</v>
      </c>
      <c r="BM20" s="1069">
        <f>EXP(BO20)</f>
        <v>9.2006285223235479E-3</v>
      </c>
      <c r="BN20" s="1070">
        <f t="array" ref="BN20:BO20">LINEST(LN(BN9:BN13),LN(BM9:BM13))</f>
        <v>1.2798212403577838</v>
      </c>
      <c r="BO20">
        <v>-4.6884834796168224</v>
      </c>
    </row>
    <row r="21" spans="3:67" x14ac:dyDescent="0.15">
      <c r="C21" s="2" t="s">
        <v>409</v>
      </c>
      <c r="D21" s="1"/>
      <c r="E21" s="1"/>
      <c r="H21" s="1"/>
      <c r="V21" t="s">
        <v>78</v>
      </c>
      <c r="W21" s="110">
        <f>MAX(J3,'Laskenta poistopuoli C5'!J3)</f>
        <v>450</v>
      </c>
      <c r="X21" t="s">
        <v>13</v>
      </c>
      <c r="AB21" s="6"/>
      <c r="AC21" s="6"/>
      <c r="AQ21" t="s">
        <v>2146</v>
      </c>
      <c r="AT21" s="2">
        <v>7.1463755446508875E-2</v>
      </c>
      <c r="AU21" s="2">
        <v>1.1102173216131614</v>
      </c>
    </row>
    <row r="22" spans="3:67" ht="15" x14ac:dyDescent="0.15">
      <c r="C22" t="s">
        <v>11</v>
      </c>
      <c r="D22" s="1"/>
      <c r="E22" s="1"/>
      <c r="H22" s="1"/>
      <c r="O22" t="s">
        <v>461</v>
      </c>
      <c r="V22" t="s">
        <v>75</v>
      </c>
      <c r="W22">
        <f>W19/W21</f>
        <v>1.3444514605664641</v>
      </c>
      <c r="X22" t="s">
        <v>77</v>
      </c>
      <c r="AB22" s="6"/>
      <c r="AC22" s="6"/>
      <c r="AQ22" t="s">
        <v>2147</v>
      </c>
      <c r="AT22" s="2"/>
      <c r="AU22" s="2"/>
      <c r="BG22" t="s">
        <v>2178</v>
      </c>
    </row>
    <row r="23" spans="3:67" x14ac:dyDescent="0.15">
      <c r="C23" t="s">
        <v>4</v>
      </c>
      <c r="D23" t="s">
        <v>5</v>
      </c>
      <c r="E23" t="s">
        <v>6</v>
      </c>
      <c r="H23" s="1"/>
      <c r="O23">
        <v>165</v>
      </c>
      <c r="P23" t="s">
        <v>13</v>
      </c>
      <c r="BG23" s="110">
        <f>J3</f>
        <v>450</v>
      </c>
      <c r="BH23" t="s">
        <v>13</v>
      </c>
    </row>
    <row r="24" spans="3:67" x14ac:dyDescent="0.15">
      <c r="C24" s="1351">
        <f>BH112</f>
        <v>-1.3766293765868252E-3</v>
      </c>
      <c r="D24" s="1351">
        <f t="shared" ref="D24:E24" si="11">BI112</f>
        <v>-0.38862228789241399</v>
      </c>
      <c r="E24" s="1351">
        <f t="shared" si="11"/>
        <v>201.73486406255401</v>
      </c>
      <c r="H24" s="1"/>
      <c r="O24">
        <v>198</v>
      </c>
      <c r="P24" t="s">
        <v>14</v>
      </c>
    </row>
    <row r="25" spans="3:67" x14ac:dyDescent="0.15">
      <c r="G25" s="2"/>
      <c r="H25" s="1"/>
    </row>
    <row r="27" spans="3:67" x14ac:dyDescent="0.15">
      <c r="U27" t="s">
        <v>407</v>
      </c>
    </row>
    <row r="28" spans="3:67" x14ac:dyDescent="0.15">
      <c r="U28" s="4" t="s">
        <v>17</v>
      </c>
    </row>
    <row r="29" spans="3:67" x14ac:dyDescent="0.15">
      <c r="U29" s="4">
        <f>L3/J3^2</f>
        <v>4.4444444444444447E-4</v>
      </c>
    </row>
    <row r="30" spans="3:67" x14ac:dyDescent="0.15">
      <c r="BG30" t="s">
        <v>2176</v>
      </c>
    </row>
    <row r="31" spans="3:67" x14ac:dyDescent="0.15">
      <c r="U31" s="2" t="s">
        <v>16</v>
      </c>
      <c r="AO31" s="2" t="s">
        <v>1110</v>
      </c>
      <c r="BG31" s="2" t="str" cm="1">
        <f t="array" ref="BG31">INDEX(BQ4:BQ6,'C koodit'!$E$12)</f>
        <v>ePM 65% F7</v>
      </c>
    </row>
    <row r="32" spans="3:67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6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O33" s="2" t="s">
        <v>1107</v>
      </c>
      <c r="AR33" t="s">
        <v>1115</v>
      </c>
      <c r="AV33" t="s">
        <v>2047</v>
      </c>
      <c r="AW33" s="52">
        <f>Q9</f>
        <v>73.297124657165611</v>
      </c>
      <c r="AX33" s="52">
        <f>R9</f>
        <v>-51.563634475089714</v>
      </c>
      <c r="AZ33" s="111">
        <f>(AO36-AX33)/AW33</f>
        <v>7.7637920605587816</v>
      </c>
      <c r="BH33" s="4" t="s">
        <v>2179</v>
      </c>
      <c r="BI33" s="4" t="s">
        <v>2180</v>
      </c>
      <c r="BJ33" s="4" t="s">
        <v>2181</v>
      </c>
      <c r="BL33" s="4" t="s">
        <v>2182</v>
      </c>
    </row>
    <row r="34" spans="21:67" x14ac:dyDescent="0.15">
      <c r="U34" s="35">
        <v>10</v>
      </c>
      <c r="V34" s="98">
        <f>C9</f>
        <v>-1.7827017451941536E-3</v>
      </c>
      <c r="W34" s="99">
        <f>D9</f>
        <v>-0.72537191294995595</v>
      </c>
      <c r="X34" s="100">
        <f>E9</f>
        <v>1262.6488301242487</v>
      </c>
      <c r="Y34" s="36">
        <f>C9-U29</f>
        <v>-2.227146189638598E-3</v>
      </c>
      <c r="Z34" s="28">
        <f>(-W34+SQRT(W34^2-(4*Y34*X34)))/(2*Y34)</f>
        <v>-933.20827062944977</v>
      </c>
      <c r="AA34" s="29">
        <f>(-W34-SQRT(W34^2-(4*Y34*X34)))/(2*Y34)</f>
        <v>607.51258153431093</v>
      </c>
      <c r="AB34" s="36">
        <f>AB6</f>
        <v>654.25037329157124</v>
      </c>
      <c r="AC34" s="53">
        <f>IF(Z34&lt;0,AA34,IF(Z34&gt;AB34,AA34,Z34))</f>
        <v>607.51258153431093</v>
      </c>
      <c r="AD34" s="53">
        <f>V34*AC34^2+W34*AC34+X34</f>
        <v>164.03179409888139</v>
      </c>
      <c r="AE34" s="53">
        <f>X51*AC34^2+Y51*AC34+Z51</f>
        <v>710.81728886533961</v>
      </c>
      <c r="AF34" s="53">
        <f>AVERAGE(K60,K60,K62)</f>
        <v>55.404584121860829</v>
      </c>
      <c r="AG34" s="53">
        <f>AVERAGE(U60:U62,U62)</f>
        <v>75.033071046244473</v>
      </c>
      <c r="AI34">
        <v>10</v>
      </c>
      <c r="AJ34" s="3">
        <f>AC34</f>
        <v>607.51258153431093</v>
      </c>
      <c r="AL34">
        <f>AN52*AC34^2+AO52*AC34+AP52</f>
        <v>0</v>
      </c>
      <c r="AM34" t="s">
        <v>14</v>
      </c>
      <c r="AO34" s="616">
        <f>AC34/$J$3-1</f>
        <v>0.35002795896513539</v>
      </c>
      <c r="AR34" s="278" t="b">
        <f>IF(AO36&gt;AC34,FALSE,TRUE)</f>
        <v>1</v>
      </c>
      <c r="AS34" t="s">
        <v>1117</v>
      </c>
      <c r="AV34" t="s">
        <v>2043</v>
      </c>
      <c r="AW34" s="52">
        <f t="shared" ref="AW34:AY35" si="12">Q10</f>
        <v>24.03377094899535</v>
      </c>
      <c r="AX34" s="52">
        <f t="shared" si="12"/>
        <v>367.17487204435736</v>
      </c>
      <c r="AZ34" s="111">
        <f>(AO36-AX34)/AW34</f>
        <v>6.2547458022573217</v>
      </c>
      <c r="BG34" s="4" t="s">
        <v>13</v>
      </c>
      <c r="BH34" s="4" t="s">
        <v>14</v>
      </c>
      <c r="BI34" s="4" t="s">
        <v>14</v>
      </c>
      <c r="BJ34" s="4" t="s">
        <v>14</v>
      </c>
      <c r="BL34" s="4" t="s">
        <v>2179</v>
      </c>
      <c r="BM34" s="4" t="s">
        <v>2181</v>
      </c>
    </row>
    <row r="35" spans="21:67" x14ac:dyDescent="0.15">
      <c r="U35" s="35">
        <v>8</v>
      </c>
      <c r="V35" s="98">
        <f>C14</f>
        <v>-1.7362668362548646E-3</v>
      </c>
      <c r="W35" s="99">
        <f>D14</f>
        <v>-0.35710857762427684</v>
      </c>
      <c r="X35" s="100">
        <f>E14</f>
        <v>817.93481216188411</v>
      </c>
      <c r="Y35" s="36">
        <f>C14-U29</f>
        <v>-2.180711280699309E-3</v>
      </c>
      <c r="Z35" s="28">
        <f t="shared" ref="Z35:Z37" si="13">(-W35+SQRT(W35^2-(4*Y35*X35)))/(2*Y35)</f>
        <v>-699.76340511942578</v>
      </c>
      <c r="AA35" s="29">
        <f t="shared" ref="AA35:AA37" si="14">(-W35-SQRT(W35^2-(4*Y35*X35)))/(2*Y35)</f>
        <v>536.00556116047687</v>
      </c>
      <c r="AB35" s="36">
        <f>AD6</f>
        <v>582.83308011693862</v>
      </c>
      <c r="AC35" s="53">
        <f t="shared" ref="AC35:AC37" si="15">IF(Z35&lt;0,AA35,IF(Z35&gt;AB35,AA35,Z35))</f>
        <v>536.00556116047687</v>
      </c>
      <c r="AD35" s="53">
        <f>V35*AC35^2+W35*AC35+X35</f>
        <v>127.68976070886993</v>
      </c>
      <c r="AE35" s="53">
        <f t="shared" ref="AE35:AE37" si="16">X52*AC35^2+Y52*AC35+Z52</f>
        <v>503.52894971760304</v>
      </c>
      <c r="AF35" s="53">
        <f>AVERAGE(K65,K65,K67)</f>
        <v>54.924846548842375</v>
      </c>
      <c r="AG35" s="53">
        <f>AVERAGE(U65:U67,U67)</f>
        <v>72.347086090049288</v>
      </c>
      <c r="AI35">
        <v>8.5</v>
      </c>
      <c r="AJ35" s="3">
        <f>Q9*AI35+R9</f>
        <v>571.4619251108179</v>
      </c>
      <c r="AL35">
        <f t="shared" ref="AL35:AL37" si="17">AN53*AC35^2+AO53*AC35+AP53</f>
        <v>0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si="12"/>
        <v>1.6368000510816832E-5</v>
      </c>
      <c r="AX35" s="52">
        <f t="shared" si="12"/>
        <v>1.2403441845564391E-3</v>
      </c>
      <c r="AY35" s="52">
        <f t="shared" si="12"/>
        <v>2.8205106112867813</v>
      </c>
      <c r="AZ35" s="111">
        <f>AW35*AO36^2+AX35*AO36+AY35</f>
        <v>7.8458415635946785</v>
      </c>
      <c r="BG35" s="4">
        <v>50</v>
      </c>
      <c r="BH35" s="5">
        <f>$BG$20*BG35^$BH$20</f>
        <v>6.4317184802407681</v>
      </c>
      <c r="BI35" s="5">
        <f>$BJ$20*BG35^$BK$20</f>
        <v>5.9344267800963078</v>
      </c>
      <c r="BJ35" s="5">
        <f>$BM$20*BG35^$BN$20</f>
        <v>1.3746603129882489</v>
      </c>
      <c r="BL35" s="5">
        <f>BH35-BI35</f>
        <v>0.49729170014446034</v>
      </c>
      <c r="BM35" s="5">
        <f>BJ35-BI35</f>
        <v>-4.5597664671080587</v>
      </c>
    </row>
    <row r="36" spans="21:67" x14ac:dyDescent="0.15">
      <c r="U36" s="35">
        <v>6</v>
      </c>
      <c r="V36" s="98">
        <f>C19</f>
        <v>-1.7936284336822238E-3</v>
      </c>
      <c r="W36" s="99">
        <f>D19</f>
        <v>-0.26648010771432618</v>
      </c>
      <c r="X36" s="100">
        <f>E19</f>
        <v>435.99566937245618</v>
      </c>
      <c r="Y36" s="36">
        <f>C19-U29</f>
        <v>-2.2380728781266684E-3</v>
      </c>
      <c r="Z36" s="28">
        <f t="shared" si="13"/>
        <v>-504.90148630534799</v>
      </c>
      <c r="AA36" s="29">
        <f t="shared" si="14"/>
        <v>385.83471671142053</v>
      </c>
      <c r="AB36" s="36">
        <f>AF6</f>
        <v>418.68869265387121</v>
      </c>
      <c r="AC36" s="53">
        <f t="shared" si="15"/>
        <v>385.83471671142053</v>
      </c>
      <c r="AD36" s="53">
        <f>V36*AC36^2+W36*AC36+X36</f>
        <v>66.163746053236537</v>
      </c>
      <c r="AE36" s="53">
        <f t="shared" si="16"/>
        <v>218.37605746096733</v>
      </c>
      <c r="AF36" s="53">
        <f>AVERAGE(K70,K70,K72)</f>
        <v>47.545908745018473</v>
      </c>
      <c r="AG36" s="53">
        <f>AVERAGE(U70:U72,U72)</f>
        <v>67.110601049553281</v>
      </c>
      <c r="AI36">
        <v>8</v>
      </c>
      <c r="AJ36" s="3">
        <f>AC35</f>
        <v>536.00556116047687</v>
      </c>
      <c r="AL36">
        <f t="shared" si="17"/>
        <v>0</v>
      </c>
      <c r="AM36" t="s">
        <v>14</v>
      </c>
      <c r="AO36" s="609">
        <f>TuloksetC!$CR$16</f>
        <v>517.5</v>
      </c>
      <c r="AP36" t="s">
        <v>13</v>
      </c>
      <c r="AR36" s="627">
        <f>IF($AO$36&gt;$AJ$35,AVERAGE(AZ34,AZ34,AZ34,AZ34,AZ35),AVERAGE(AZ33))</f>
        <v>7.7637920605587816</v>
      </c>
      <c r="AS36" t="s">
        <v>25</v>
      </c>
      <c r="BG36" s="4">
        <v>100</v>
      </c>
      <c r="BH36" s="5">
        <f t="shared" ref="BH36:BH42" si="18">$BG$20*BG36^$BH$20</f>
        <v>15.166529211639332</v>
      </c>
      <c r="BI36" s="5">
        <f t="shared" ref="BI36:BI42" si="19">$BJ$20*BG36^$BK$20</f>
        <v>12.567783644775107</v>
      </c>
      <c r="BJ36" s="5">
        <f t="shared" ref="BJ36:BJ42" si="20">$BM$20*BG36^$BN$20</f>
        <v>3.3377974383929478</v>
      </c>
      <c r="BL36" s="5">
        <f t="shared" ref="BL36:BL42" si="21">BH36-BI36</f>
        <v>2.5987455668642259</v>
      </c>
      <c r="BM36" s="5">
        <f t="shared" ref="BM36:BM42" si="22">BJ36-BI36</f>
        <v>-9.2299862063821578</v>
      </c>
    </row>
    <row r="37" spans="21:67" x14ac:dyDescent="0.15">
      <c r="U37" s="38">
        <v>4</v>
      </c>
      <c r="V37" s="101">
        <f>C24</f>
        <v>-1.3766293765868252E-3</v>
      </c>
      <c r="W37" s="102">
        <f>D24</f>
        <v>-0.38862228789241399</v>
      </c>
      <c r="X37" s="103">
        <f>E24</f>
        <v>201.73486406255401</v>
      </c>
      <c r="Y37" s="37">
        <f>C24-U29</f>
        <v>-1.8210738210312698E-3</v>
      </c>
      <c r="Z37" s="30">
        <f t="shared" si="13"/>
        <v>-456.21988201352991</v>
      </c>
      <c r="AA37" s="31">
        <f t="shared" si="14"/>
        <v>242.8170625318144</v>
      </c>
      <c r="AB37" s="37">
        <f>AH6</f>
        <v>257.85106453446394</v>
      </c>
      <c r="AC37" s="53">
        <f t="shared" si="15"/>
        <v>242.8170625318144</v>
      </c>
      <c r="AD37" s="53">
        <f>V37*AC37^2+W37*AC37+X37</f>
        <v>26.204500380701774</v>
      </c>
      <c r="AE37" s="53">
        <f t="shared" si="16"/>
        <v>76.824553170707972</v>
      </c>
      <c r="AF37" s="53">
        <f>AVERAGE(K75,K75,K77)</f>
        <v>39.279245607966168</v>
      </c>
      <c r="AG37" s="53">
        <f>AVERAGE(U75:U77,U77)</f>
        <v>55.737964739063713</v>
      </c>
      <c r="AI37">
        <v>6</v>
      </c>
      <c r="AJ37" s="3">
        <f t="shared" ref="AJ37:AJ38" si="23">AC36</f>
        <v>385.83471671142053</v>
      </c>
      <c r="AL37">
        <f t="shared" si="17"/>
        <v>0</v>
      </c>
      <c r="AM37" t="s">
        <v>14</v>
      </c>
      <c r="AO37" s="609">
        <f>TuloksetC!$CR$17</f>
        <v>119.02500000000001</v>
      </c>
      <c r="AP37" t="s">
        <v>14</v>
      </c>
      <c r="BG37" s="4">
        <v>150</v>
      </c>
      <c r="BH37" s="5">
        <f t="shared" si="18"/>
        <v>25.050670523054098</v>
      </c>
      <c r="BI37" s="5">
        <f t="shared" si="19"/>
        <v>19.493338689080041</v>
      </c>
      <c r="BJ37" s="5">
        <f t="shared" si="20"/>
        <v>5.6082234704753633</v>
      </c>
      <c r="BL37" s="5">
        <f t="shared" si="21"/>
        <v>5.5573318339740574</v>
      </c>
      <c r="BM37" s="5">
        <f t="shared" si="22"/>
        <v>-13.885115218604678</v>
      </c>
    </row>
    <row r="38" spans="21:67" x14ac:dyDescent="0.15">
      <c r="AI38">
        <v>4</v>
      </c>
      <c r="AJ38" s="3">
        <f t="shared" si="23"/>
        <v>242.8170625318144</v>
      </c>
      <c r="BG38" s="4">
        <v>200</v>
      </c>
      <c r="BH38" s="5">
        <f t="shared" si="18"/>
        <v>35.763942254962934</v>
      </c>
      <c r="BI38" s="5">
        <f t="shared" si="19"/>
        <v>26.615744299285648</v>
      </c>
      <c r="BJ38" s="5">
        <f t="shared" si="20"/>
        <v>8.1044688891354717</v>
      </c>
      <c r="BL38" s="5">
        <f t="shared" si="21"/>
        <v>9.1481979556772863</v>
      </c>
      <c r="BM38" s="5">
        <f t="shared" si="22"/>
        <v>-18.511275410150176</v>
      </c>
    </row>
    <row r="39" spans="21:67" x14ac:dyDescent="0.15">
      <c r="BG39" s="4">
        <v>300</v>
      </c>
      <c r="BH39" s="5">
        <f t="shared" si="18"/>
        <v>59.071572772698502</v>
      </c>
      <c r="BI39" s="5">
        <f t="shared" si="19"/>
        <v>41.282515099917731</v>
      </c>
      <c r="BJ39" s="5">
        <f t="shared" si="20"/>
        <v>13.617265121298265</v>
      </c>
      <c r="BL39" s="5">
        <f t="shared" si="21"/>
        <v>17.789057672780771</v>
      </c>
      <c r="BM39" s="5">
        <f t="shared" si="22"/>
        <v>-27.665249978619464</v>
      </c>
    </row>
    <row r="40" spans="21:67" x14ac:dyDescent="0.15">
      <c r="U40" s="2" t="s">
        <v>35</v>
      </c>
      <c r="W40" t="s">
        <v>36</v>
      </c>
      <c r="BG40" s="4">
        <v>400</v>
      </c>
      <c r="BH40" s="5">
        <f t="shared" si="18"/>
        <v>84.334362052639577</v>
      </c>
      <c r="BI40" s="5">
        <f t="shared" si="19"/>
        <v>56.366171206286182</v>
      </c>
      <c r="BJ40" s="5">
        <f t="shared" si="20"/>
        <v>19.678370897962274</v>
      </c>
      <c r="BL40" s="5">
        <f t="shared" si="21"/>
        <v>27.968190846353394</v>
      </c>
      <c r="BM40" s="5">
        <f t="shared" si="22"/>
        <v>-36.687800308323908</v>
      </c>
    </row>
    <row r="41" spans="21:67" x14ac:dyDescent="0.15">
      <c r="BG41" s="4">
        <v>500</v>
      </c>
      <c r="BH41" s="5">
        <f t="shared" si="18"/>
        <v>111.15828324448869</v>
      </c>
      <c r="BI41" s="5">
        <f t="shared" si="19"/>
        <v>71.76760232761535</v>
      </c>
      <c r="BJ41" s="5">
        <f t="shared" si="20"/>
        <v>26.182832953926539</v>
      </c>
      <c r="BL41" s="5">
        <f t="shared" si="21"/>
        <v>39.390680916873336</v>
      </c>
      <c r="BM41" s="5">
        <f t="shared" si="22"/>
        <v>-45.584769373688815</v>
      </c>
    </row>
    <row r="42" spans="21:67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  <c r="BG42" s="4">
        <v>600</v>
      </c>
      <c r="BH42" s="5">
        <f t="shared" si="18"/>
        <v>139.29570095255036</v>
      </c>
      <c r="BI42" s="5">
        <f t="shared" si="19"/>
        <v>87.427099080242925</v>
      </c>
      <c r="BJ42" s="5">
        <f t="shared" si="20"/>
        <v>33.063930201770098</v>
      </c>
      <c r="BL42" s="5">
        <f t="shared" si="21"/>
        <v>51.868601872307437</v>
      </c>
      <c r="BM42" s="5">
        <f t="shared" si="22"/>
        <v>-54.363168878472827</v>
      </c>
    </row>
    <row r="43" spans="21:67" x14ac:dyDescent="0.15">
      <c r="U43" s="10" t="s">
        <v>26</v>
      </c>
      <c r="V43" s="21"/>
      <c r="W43" s="993">
        <f>D105</f>
        <v>11</v>
      </c>
      <c r="X43" s="993">
        <f t="shared" ref="X43:AD43" si="24">E105</f>
        <v>9</v>
      </c>
      <c r="Y43" s="993">
        <f t="shared" si="24"/>
        <v>3</v>
      </c>
      <c r="Z43" s="993">
        <f t="shared" si="24"/>
        <v>-1</v>
      </c>
      <c r="AA43" s="993">
        <f t="shared" si="24"/>
        <v>-9</v>
      </c>
      <c r="AB43" s="993">
        <f t="shared" si="24"/>
        <v>-14</v>
      </c>
      <c r="AC43" s="993">
        <f t="shared" si="24"/>
        <v>-20</v>
      </c>
      <c r="AD43" s="993">
        <f t="shared" si="24"/>
        <v>-23</v>
      </c>
      <c r="AE43" s="39" t="s">
        <v>42</v>
      </c>
      <c r="AF43" s="53">
        <f>$W$5+W43</f>
        <v>61.650294986973819</v>
      </c>
      <c r="AG43" s="53">
        <f t="shared" ref="AG43:AM43" si="25">$W$5+X43</f>
        <v>59.650294986973819</v>
      </c>
      <c r="AH43" s="53">
        <f t="shared" si="25"/>
        <v>53.650294986973819</v>
      </c>
      <c r="AI43" s="53">
        <f t="shared" si="25"/>
        <v>49.650294986973819</v>
      </c>
      <c r="AJ43" s="53">
        <f t="shared" si="25"/>
        <v>41.650294986973819</v>
      </c>
      <c r="AK43" s="53">
        <f t="shared" si="25"/>
        <v>36.650294986973819</v>
      </c>
      <c r="AL43" s="53">
        <f t="shared" si="25"/>
        <v>30.650294986973819</v>
      </c>
      <c r="AM43" s="53">
        <f t="shared" si="25"/>
        <v>27.650294986973819</v>
      </c>
      <c r="AN43" s="5">
        <f t="array" ref="AN43">10*LOG10(SUM(10^(AF43:AM43/10)))</f>
        <v>64.361498823925174</v>
      </c>
      <c r="AO43" s="5" cm="1">
        <f t="array" ref="AO43">10*LOG10(SUM(10^((AF43:AM43+$AF$46:$AM$46)/10)))</f>
        <v>50.967001720339752</v>
      </c>
      <c r="AP43" t="str">
        <f>IF(ABS(W5-AO43)&lt;0.5,"OK","Tarkista laskenta!")</f>
        <v>OK</v>
      </c>
    </row>
    <row r="44" spans="21:67" x14ac:dyDescent="0.15">
      <c r="U44" s="14" t="s">
        <v>29</v>
      </c>
      <c r="V44" s="26"/>
      <c r="W44" s="993">
        <f t="shared" ref="W44:AD44" si="26">D116</f>
        <v>2</v>
      </c>
      <c r="X44" s="993">
        <f t="shared" si="26"/>
        <v>2</v>
      </c>
      <c r="Y44" s="993">
        <f t="shared" si="26"/>
        <v>4</v>
      </c>
      <c r="Z44" s="993">
        <f t="shared" si="26"/>
        <v>-6</v>
      </c>
      <c r="AA44" s="993">
        <f t="shared" si="26"/>
        <v>-6</v>
      </c>
      <c r="AB44" s="993">
        <f t="shared" si="26"/>
        <v>-8</v>
      </c>
      <c r="AC44" s="993">
        <f t="shared" si="26"/>
        <v>-15</v>
      </c>
      <c r="AD44" s="993">
        <f t="shared" si="26"/>
        <v>-14</v>
      </c>
      <c r="AE44" s="39" t="s">
        <v>43</v>
      </c>
      <c r="AF44" s="53">
        <f>$W$6+W44</f>
        <v>71.091859588864153</v>
      </c>
      <c r="AG44" s="53">
        <f t="shared" ref="AG44:AM44" si="27">$W$6+X44</f>
        <v>71.091859588864153</v>
      </c>
      <c r="AH44" s="53">
        <f t="shared" si="27"/>
        <v>73.091859588864153</v>
      </c>
      <c r="AI44" s="53">
        <f t="shared" si="27"/>
        <v>63.091859588864153</v>
      </c>
      <c r="AJ44" s="53">
        <f t="shared" si="27"/>
        <v>63.091859588864153</v>
      </c>
      <c r="AK44" s="53">
        <f t="shared" si="27"/>
        <v>61.091859588864153</v>
      </c>
      <c r="AL44" s="53">
        <f t="shared" si="27"/>
        <v>54.091859588864153</v>
      </c>
      <c r="AM44" s="53">
        <f t="shared" si="27"/>
        <v>55.091859588864153</v>
      </c>
      <c r="AN44" s="5">
        <f t="array" ref="AN44">10*LOG10(SUM(10^(AF44:AM44/10)))</f>
        <v>77.163130805820046</v>
      </c>
      <c r="AO44" s="5" cm="1">
        <f t="array" ref="AO44">10*LOG10(SUM(10^((AF44:AM44+$AF$46:$AM$46)/10)))</f>
        <v>69.264287237769139</v>
      </c>
      <c r="AP44" t="str">
        <f>IF(ABS(W6-AO44)&lt;0.5,"OK","Tarkista laskenta!")</f>
        <v>OK</v>
      </c>
      <c r="BL44" t="s">
        <v>2179</v>
      </c>
      <c r="BM44">
        <f t="array" ref="BM44:BO44">LINEST(BL35:BL42,BG35:BG42^{1,2})</f>
        <v>7.9599734159106658E-5</v>
      </c>
      <c r="BN44">
        <v>4.3081615178497075E-2</v>
      </c>
      <c r="BO44">
        <v>-2.336920998041629</v>
      </c>
    </row>
    <row r="45" spans="21:67" x14ac:dyDescent="0.15">
      <c r="BG45" s="2" t="s">
        <v>2183</v>
      </c>
      <c r="BL45" t="s">
        <v>2181</v>
      </c>
      <c r="BN45">
        <f t="array" ref="BN45:BO45">LINEST(BM35:BM42,BG35:BG42)</f>
        <v>-9.0615306064912179E-2</v>
      </c>
      <c r="BO45">
        <v>-0.25899098650651098</v>
      </c>
    </row>
    <row r="46" spans="21:67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7" spans="21:67" x14ac:dyDescent="0.15">
      <c r="BG47" t="s">
        <v>2184</v>
      </c>
    </row>
    <row r="48" spans="21:67" x14ac:dyDescent="0.15">
      <c r="BH48" s="4" t="s">
        <v>4</v>
      </c>
      <c r="BI48" s="4" t="s">
        <v>5</v>
      </c>
      <c r="BJ48" s="4" t="s">
        <v>6</v>
      </c>
    </row>
    <row r="49" spans="3:75" x14ac:dyDescent="0.15">
      <c r="W49" t="s">
        <v>50</v>
      </c>
      <c r="BG49" t="s">
        <v>102</v>
      </c>
      <c r="BH49" s="8">
        <v>-1.8299729089178483E-3</v>
      </c>
      <c r="BI49" s="8">
        <v>-0.73638484267800319</v>
      </c>
      <c r="BJ49" s="8">
        <v>1263.0869140408336</v>
      </c>
    </row>
    <row r="50" spans="3:75" x14ac:dyDescent="0.15">
      <c r="X50" s="4" t="s">
        <v>4</v>
      </c>
      <c r="Y50" s="4" t="s">
        <v>5</v>
      </c>
      <c r="Z50" s="4" t="s">
        <v>6</v>
      </c>
      <c r="BG50" t="s">
        <v>404</v>
      </c>
      <c r="BH50" s="8">
        <v>-1.7835379999785593E-3</v>
      </c>
      <c r="BI50" s="8">
        <v>-0.36812150735232407</v>
      </c>
      <c r="BJ50" s="8">
        <v>818.37289607846901</v>
      </c>
      <c r="BQ50" t="s">
        <v>2191</v>
      </c>
    </row>
    <row r="51" spans="3:75" x14ac:dyDescent="0.15">
      <c r="W51" t="s">
        <v>3</v>
      </c>
      <c r="X51" s="54">
        <f t="array" ref="X51:Z51">LINEST(Y59:Y70,X59:X70^{1,2})</f>
        <v>-1.1119406402390656E-3</v>
      </c>
      <c r="Y51" s="54">
        <v>1.0177096636302509</v>
      </c>
      <c r="Z51" s="54">
        <v>502.93150469812406</v>
      </c>
      <c r="BG51" t="s">
        <v>405</v>
      </c>
      <c r="BH51" s="8">
        <v>-1.8408995974059186E-3</v>
      </c>
      <c r="BI51" s="8">
        <v>-0.27749303744237341</v>
      </c>
      <c r="BJ51" s="8">
        <v>436.43375328904114</v>
      </c>
      <c r="BR51" t="s">
        <v>2192</v>
      </c>
      <c r="BS51" t="s">
        <v>2193</v>
      </c>
      <c r="BT51" t="s">
        <v>87</v>
      </c>
      <c r="BU51" t="s">
        <v>2194</v>
      </c>
      <c r="BV51" t="s">
        <v>117</v>
      </c>
    </row>
    <row r="52" spans="3:75" x14ac:dyDescent="0.15">
      <c r="W52" t="s">
        <v>404</v>
      </c>
      <c r="X52" s="54">
        <f t="array" ref="X52:Z52">LINEST(Y73:Y81,X73:X81^{1,2})</f>
        <v>-8.3627589740289737E-4</v>
      </c>
      <c r="Y52" s="54">
        <v>0.91233773680430463</v>
      </c>
      <c r="Z52" s="54">
        <v>254.77455489236826</v>
      </c>
      <c r="BG52" t="s">
        <v>406</v>
      </c>
      <c r="BH52" s="8">
        <v>-1.4239005403105199E-3</v>
      </c>
      <c r="BI52" s="8">
        <v>-0.39963521762046122</v>
      </c>
      <c r="BJ52" s="8">
        <v>202.17294797913897</v>
      </c>
      <c r="BQ52">
        <v>100</v>
      </c>
      <c r="BR52" s="3">
        <f>$BH$50*BQ52^2+$BI$50*BQ52+$BJ$50</f>
        <v>763.72536534345102</v>
      </c>
      <c r="BS52" s="3">
        <f>$BH$57*BQ52^2+$BI$57*BQ52+$BJ$57</f>
        <v>766.49260320485018</v>
      </c>
      <c r="BT52" s="3">
        <f>BS52-BR52</f>
        <v>2.7672378613991668</v>
      </c>
      <c r="BU52" s="3">
        <f>$BM$44*BQ52^2+$BN$44*BQ52+$BO$44</f>
        <v>2.7672378613991446</v>
      </c>
      <c r="BV52" s="3">
        <f>BT52-BU52</f>
        <v>2.2204460492503131E-14</v>
      </c>
      <c r="BW52" t="s">
        <v>603</v>
      </c>
    </row>
    <row r="53" spans="3:75" x14ac:dyDescent="0.15">
      <c r="W53" t="s">
        <v>405</v>
      </c>
      <c r="X53" s="54">
        <f t="array" ref="X53:Z53">LINEST(Y84:Y89,X84:X89^{1,2})</f>
        <v>-6.5883583500396764E-4</v>
      </c>
      <c r="Y53" s="54">
        <v>0.53390777933183464</v>
      </c>
      <c r="Z53" s="54">
        <v>110.455756147888</v>
      </c>
      <c r="BQ53">
        <v>200</v>
      </c>
      <c r="BR53" s="3">
        <f t="shared" ref="BR53:BR56" si="28">$BH$50*BQ53^2+$BI$50*BQ53+$BJ$50</f>
        <v>673.40707460886188</v>
      </c>
      <c r="BS53" s="3">
        <f>$BH$57*BQ53^2+$BI$57*BQ53+$BJ$57</f>
        <v>682.87046601288398</v>
      </c>
      <c r="BT53" s="3">
        <f t="shared" ref="BT53:BT56" si="29">BS53-BR53</f>
        <v>9.4633914040221043</v>
      </c>
      <c r="BU53" s="3">
        <f>$BM$44*BQ53^2+$BN$44*BQ53+$BO$44</f>
        <v>9.4633914040220528</v>
      </c>
      <c r="BV53" s="3">
        <f>BT53-BU53</f>
        <v>5.1514348342607263E-14</v>
      </c>
      <c r="BW53" t="s">
        <v>603</v>
      </c>
    </row>
    <row r="54" spans="3:75" x14ac:dyDescent="0.15">
      <c r="W54" t="s">
        <v>406</v>
      </c>
      <c r="X54" s="54">
        <f t="array" ref="X54:Z54">LINEST(Y92:Y95,X92:X95^{1,2})</f>
        <v>-3.1655004426812532E-4</v>
      </c>
      <c r="Y54" s="54">
        <v>0.20389570306355434</v>
      </c>
      <c r="Z54" s="54">
        <v>45.979027939910978</v>
      </c>
      <c r="BG54" s="2" t="s">
        <v>2185</v>
      </c>
      <c r="BQ54">
        <v>300</v>
      </c>
      <c r="BR54" s="3">
        <f t="shared" si="28"/>
        <v>547.41802387470148</v>
      </c>
      <c r="BS54" s="3">
        <f>$BH$57*BQ54^2+$BI$57*BQ54+$BJ$57</f>
        <v>565.16956350452858</v>
      </c>
      <c r="BT54" s="3">
        <f t="shared" si="29"/>
        <v>17.751539629827107</v>
      </c>
      <c r="BU54" s="3">
        <f>$BM$44*BQ54^2+$BN$44*BQ54+$BO$44</f>
        <v>17.751539629827093</v>
      </c>
      <c r="BV54" s="3">
        <f>BT54-BU54</f>
        <v>0</v>
      </c>
      <c r="BW54" t="s">
        <v>603</v>
      </c>
    </row>
    <row r="55" spans="3:75" x14ac:dyDescent="0.15">
      <c r="BH55" s="4" t="s">
        <v>4</v>
      </c>
      <c r="BI55" s="4" t="s">
        <v>5</v>
      </c>
      <c r="BJ55" s="4" t="s">
        <v>6</v>
      </c>
      <c r="BQ55">
        <v>400</v>
      </c>
      <c r="BR55" s="3">
        <f t="shared" si="28"/>
        <v>385.75821314096987</v>
      </c>
      <c r="BS55" s="3">
        <f>$BH$57*BQ55^2+$BI$57*BQ55+$BJ$57</f>
        <v>413.38989567978422</v>
      </c>
      <c r="BT55" s="3">
        <f t="shared" si="29"/>
        <v>27.631682538814346</v>
      </c>
      <c r="BU55" s="3">
        <f>$BM$44*BQ55^2+$BN$44*BQ55+$BO$44</f>
        <v>27.631682538814268</v>
      </c>
      <c r="BV55" s="3">
        <f>BT55-BU55</f>
        <v>7.815970093361102E-14</v>
      </c>
      <c r="BW55" t="s">
        <v>603</v>
      </c>
    </row>
    <row r="56" spans="3:75" x14ac:dyDescent="0.15">
      <c r="C56" s="2" t="s">
        <v>45</v>
      </c>
      <c r="BG56" t="s">
        <v>102</v>
      </c>
      <c r="BH56" s="7">
        <f>BH49+BM$44</f>
        <v>-1.7503731747587417E-3</v>
      </c>
      <c r="BI56" s="7">
        <f t="shared" ref="BI56:BJ56" si="30">BI49+BN$44</f>
        <v>-0.69330322749950613</v>
      </c>
      <c r="BJ56" s="7">
        <f t="shared" si="30"/>
        <v>1260.7499930427919</v>
      </c>
      <c r="BQ56">
        <v>500</v>
      </c>
      <c r="BR56" s="3">
        <f t="shared" si="28"/>
        <v>188.42764240766712</v>
      </c>
      <c r="BS56" s="3">
        <f>$BH$57*BQ56^2+$BI$57*BQ56+$BJ$57</f>
        <v>227.53146253865077</v>
      </c>
      <c r="BT56" s="3">
        <f t="shared" si="29"/>
        <v>39.10382013098365</v>
      </c>
      <c r="BU56" s="3">
        <f>$BM$44*BQ56^2+$BN$44*BQ56+$BO$44</f>
        <v>39.103820130983571</v>
      </c>
      <c r="BV56" s="3">
        <f>BT56-BU56</f>
        <v>7.815970093361102E-14</v>
      </c>
      <c r="BW56" t="s">
        <v>603</v>
      </c>
    </row>
    <row r="57" spans="3:75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2"/>
      <c r="U57" s="21"/>
      <c r="W57" s="2" t="s">
        <v>48</v>
      </c>
      <c r="BG57" t="s">
        <v>404</v>
      </c>
      <c r="BH57" s="7">
        <f t="shared" ref="BH57:BH59" si="31">BH50+BM$44</f>
        <v>-1.7039382658194527E-3</v>
      </c>
      <c r="BI57" s="7">
        <f t="shared" ref="BI57:BI59" si="32">BI50+BN$44</f>
        <v>-0.32503989217382701</v>
      </c>
      <c r="BJ57" s="7">
        <f t="shared" ref="BJ57:BJ59" si="33">BJ50+BO$44</f>
        <v>816.03597508042742</v>
      </c>
    </row>
    <row r="58" spans="3:75" x14ac:dyDescent="0.15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U58" s="24"/>
      <c r="W58" s="10"/>
      <c r="X58" s="16" t="s">
        <v>13</v>
      </c>
      <c r="Y58" s="11" t="s">
        <v>49</v>
      </c>
      <c r="BG58" t="s">
        <v>405</v>
      </c>
      <c r="BH58" s="7">
        <f t="shared" si="31"/>
        <v>-1.7612998632468119E-3</v>
      </c>
      <c r="BI58" s="7">
        <f t="shared" si="32"/>
        <v>-0.23441142226387635</v>
      </c>
      <c r="BJ58" s="7">
        <f t="shared" si="33"/>
        <v>434.09683229099949</v>
      </c>
    </row>
    <row r="59" spans="3:75" x14ac:dyDescent="0.15">
      <c r="C59" s="10" t="s">
        <v>3</v>
      </c>
      <c r="D59" s="67">
        <v>611.24785436810203</v>
      </c>
      <c r="E59" s="68">
        <v>56.039310494973591</v>
      </c>
      <c r="F59" s="69">
        <v>717.63451603420606</v>
      </c>
      <c r="H59" t="s">
        <v>4</v>
      </c>
      <c r="I59" t="s">
        <v>5</v>
      </c>
      <c r="K59" s="27" t="s">
        <v>424</v>
      </c>
      <c r="M59" s="10" t="s">
        <v>3</v>
      </c>
      <c r="N59" s="67">
        <v>629.17768837462597</v>
      </c>
      <c r="O59" s="68">
        <v>75.462279505439284</v>
      </c>
      <c r="P59" s="69">
        <v>721.94218225015641</v>
      </c>
      <c r="R59" t="s">
        <v>4</v>
      </c>
      <c r="S59" t="s">
        <v>5</v>
      </c>
      <c r="T59" t="s">
        <v>6</v>
      </c>
      <c r="U59" s="854" t="s">
        <v>425</v>
      </c>
      <c r="W59" s="34" t="s">
        <v>3</v>
      </c>
      <c r="X59" s="19">
        <v>110.18915387804911</v>
      </c>
      <c r="Y59" s="20">
        <v>595.93760715020903</v>
      </c>
      <c r="BG59" t="s">
        <v>406</v>
      </c>
      <c r="BH59" s="7">
        <f t="shared" si="31"/>
        <v>-1.3443008061514133E-3</v>
      </c>
      <c r="BI59" s="7">
        <f t="shared" si="32"/>
        <v>-0.35655360244196416</v>
      </c>
      <c r="BJ59" s="7">
        <f t="shared" si="33"/>
        <v>199.83602698109735</v>
      </c>
    </row>
    <row r="60" spans="3:75" x14ac:dyDescent="0.15">
      <c r="C60" s="12"/>
      <c r="D60" s="67">
        <v>541.62478974594433</v>
      </c>
      <c r="E60" s="68">
        <v>55.032590691675303</v>
      </c>
      <c r="F60" s="69">
        <v>710.94356199878303</v>
      </c>
      <c r="G60" s="129" t="s">
        <v>412</v>
      </c>
      <c r="H60">
        <f t="array" ref="H60:J60">LINEST(E59:E62,D59:D62^{1,2})</f>
        <v>2.0630055745833909E-4</v>
      </c>
      <c r="I60">
        <v>-0.23041136734128695</v>
      </c>
      <c r="J60">
        <v>119.66203911154346</v>
      </c>
      <c r="K60" s="298">
        <f>$H$60*AC34^2+$I$60*AC34+$J$60</f>
        <v>55.823898291041857</v>
      </c>
      <c r="M60" s="12"/>
      <c r="N60" s="67">
        <v>532.65794809164368</v>
      </c>
      <c r="O60" s="68">
        <v>75.545028409837727</v>
      </c>
      <c r="P60" s="69">
        <v>709.59231062598428</v>
      </c>
      <c r="Q60" s="129" t="s">
        <v>412</v>
      </c>
      <c r="R60">
        <f t="array" ref="R60:T60">LINEST(O59:O62,N59:N62^{1,2})</f>
        <v>1.0659016807683382E-4</v>
      </c>
      <c r="S60">
        <v>-0.12343139538586893</v>
      </c>
      <c r="T60">
        <v>110.95568468390383</v>
      </c>
      <c r="U60" s="855">
        <f>$R$60*AC34^2+$S$60*AC34+$T$60</f>
        <v>75.308956162277155</v>
      </c>
      <c r="W60" s="96"/>
      <c r="X60" s="17">
        <v>136.43414354966512</v>
      </c>
      <c r="Y60" s="13">
        <v>615.30503087383704</v>
      </c>
    </row>
    <row r="61" spans="3:75" x14ac:dyDescent="0.15">
      <c r="C61" s="12"/>
      <c r="D61" s="67">
        <v>461.52175623506179</v>
      </c>
      <c r="E61" s="68">
        <v>57.55522907548734</v>
      </c>
      <c r="F61" s="69">
        <v>712.28205625603186</v>
      </c>
      <c r="G61" s="129" t="s">
        <v>423</v>
      </c>
      <c r="H61">
        <f t="array" ref="H61:I61">LINEST(E59:E62,D59:D62)</f>
        <v>-3.1289868869920648E-2</v>
      </c>
      <c r="I61">
        <v>73.475007351047765</v>
      </c>
      <c r="K61" s="298">
        <f>H61*$AC$34+I61</f>
        <v>54.466018338012205</v>
      </c>
      <c r="M61" s="12"/>
      <c r="N61" s="67">
        <v>450.08128754152114</v>
      </c>
      <c r="O61" s="68">
        <v>76.90227839282656</v>
      </c>
      <c r="P61" s="69">
        <v>714.96034019198805</v>
      </c>
      <c r="Q61" s="129" t="s">
        <v>420</v>
      </c>
      <c r="R61">
        <f t="array" ref="R61:S61">LINEST(O59:O62,N59:N62)</f>
        <v>-1.9323419323029917E-2</v>
      </c>
      <c r="S61">
        <v>86.677788804227092</v>
      </c>
      <c r="U61" s="855">
        <f>R61*AC34+S61</f>
        <v>74.938568447223204</v>
      </c>
      <c r="W61" s="96"/>
      <c r="X61" s="17">
        <v>244.34577649341912</v>
      </c>
      <c r="Y61" s="13">
        <v>686.56237760659815</v>
      </c>
      <c r="BG61" s="2" t="s">
        <v>2186</v>
      </c>
    </row>
    <row r="62" spans="3:75" x14ac:dyDescent="0.15">
      <c r="C62" s="14"/>
      <c r="D62" s="67">
        <v>357.67806103248057</v>
      </c>
      <c r="E62" s="68">
        <v>63.567010423443264</v>
      </c>
      <c r="F62" s="69">
        <v>712.22425934183491</v>
      </c>
      <c r="G62" s="297" t="s">
        <v>462</v>
      </c>
      <c r="H62" s="2">
        <f t="array" ref="H62:I62">LINEST(E59:E62,LN(D59:D62))</f>
        <v>-15.253513930170293</v>
      </c>
      <c r="I62" s="2">
        <v>152.33141437376131</v>
      </c>
      <c r="K62" s="298">
        <f>H62*LN($AC$34)+I62</f>
        <v>54.565955783498751</v>
      </c>
      <c r="M62" s="14"/>
      <c r="N62" s="67">
        <v>348.23126989901903</v>
      </c>
      <c r="O62" s="68">
        <v>80.924803422663771</v>
      </c>
      <c r="P62" s="69">
        <v>717.21117693830195</v>
      </c>
      <c r="Q62" s="297" t="s">
        <v>462</v>
      </c>
      <c r="R62" s="2">
        <f t="array" ref="R62:S62">LINEST(O59:O62,LN(N59:N62))</f>
        <v>-9.5128963360300585</v>
      </c>
      <c r="S62" s="2">
        <v>135.91407962498565</v>
      </c>
      <c r="U62" s="855">
        <f>R62*LN(AC34)+S62</f>
        <v>74.942379787738759</v>
      </c>
      <c r="W62" s="96"/>
      <c r="X62" s="17">
        <v>287.92378430542857</v>
      </c>
      <c r="Y62" s="13">
        <v>731.12241183796675</v>
      </c>
      <c r="BH62" s="4" t="s">
        <v>4</v>
      </c>
      <c r="BI62" s="4" t="s">
        <v>5</v>
      </c>
      <c r="BJ62" s="4" t="s">
        <v>6</v>
      </c>
    </row>
    <row r="63" spans="3:75" x14ac:dyDescent="0.15">
      <c r="C63" s="12"/>
      <c r="D63" s="17"/>
      <c r="E63" s="42"/>
      <c r="F63" s="13"/>
      <c r="K63" s="298"/>
      <c r="M63" s="12"/>
      <c r="N63" s="17"/>
      <c r="O63" s="42"/>
      <c r="P63" s="13"/>
      <c r="U63" s="856"/>
      <c r="W63" s="96"/>
      <c r="X63" s="17">
        <v>325.00060286575126</v>
      </c>
      <c r="Y63" s="13">
        <v>725.58635672098774</v>
      </c>
      <c r="BG63" t="s">
        <v>102</v>
      </c>
      <c r="BH63" s="7">
        <f>BH49+BM$45</f>
        <v>-1.8299729089178483E-3</v>
      </c>
      <c r="BI63" s="7">
        <f t="shared" ref="BI63:BJ63" si="34">BI49+BN$45</f>
        <v>-0.82700014874291539</v>
      </c>
      <c r="BJ63" s="7">
        <f t="shared" si="34"/>
        <v>1262.8279230543271</v>
      </c>
    </row>
    <row r="64" spans="3:75" x14ac:dyDescent="0.15">
      <c r="C64" s="10" t="s">
        <v>408</v>
      </c>
      <c r="D64" s="67">
        <v>542.17973154723245</v>
      </c>
      <c r="E64" s="68">
        <v>55.408722331093671</v>
      </c>
      <c r="F64" s="69">
        <v>496.84002348434831</v>
      </c>
      <c r="H64" t="s">
        <v>4</v>
      </c>
      <c r="I64" t="s">
        <v>5</v>
      </c>
      <c r="K64" s="298"/>
      <c r="M64" s="10" t="s">
        <v>408</v>
      </c>
      <c r="N64" s="67">
        <v>549.80364039694439</v>
      </c>
      <c r="O64" s="68">
        <v>72.753765860813573</v>
      </c>
      <c r="P64" s="69">
        <v>498.31936528437234</v>
      </c>
      <c r="R64" t="s">
        <v>4</v>
      </c>
      <c r="S64" t="s">
        <v>5</v>
      </c>
      <c r="T64" t="s">
        <v>6</v>
      </c>
      <c r="U64" s="856"/>
      <c r="W64" s="96"/>
      <c r="X64" s="17">
        <v>367.67696731313396</v>
      </c>
      <c r="Y64" s="13">
        <v>725.45298360357344</v>
      </c>
      <c r="BG64" t="s">
        <v>404</v>
      </c>
      <c r="BH64" s="7">
        <f t="shared" ref="BH64:BH66" si="35">BH50+BM$45</f>
        <v>-1.7835379999785593E-3</v>
      </c>
      <c r="BI64" s="7">
        <f t="shared" ref="BI64:BI66" si="36">BI50+BN$45</f>
        <v>-0.45873681341723627</v>
      </c>
      <c r="BJ64" s="7">
        <f t="shared" ref="BJ64:BJ66" si="37">BJ50+BO$45</f>
        <v>818.11390509196247</v>
      </c>
    </row>
    <row r="65" spans="3:69" x14ac:dyDescent="0.15">
      <c r="C65" s="12"/>
      <c r="D65" s="67">
        <v>472.47464976336812</v>
      </c>
      <c r="E65" s="68">
        <v>54.475572963562122</v>
      </c>
      <c r="F65" s="69">
        <v>495.86656525699954</v>
      </c>
      <c r="G65" s="129" t="s">
        <v>412</v>
      </c>
      <c r="H65">
        <f t="array" ref="H65:J65">LINEST(E64:E67,D64:D67^{1,2})</f>
        <v>1.7215009491819728E-4</v>
      </c>
      <c r="I65">
        <v>-0.16292453154740719</v>
      </c>
      <c r="J65">
        <v>93.105950302895735</v>
      </c>
      <c r="K65" s="298">
        <f>$H$65*AC35^2+$I$65*AC35+$J$65</f>
        <v>55.236555302776168</v>
      </c>
      <c r="M65" s="12"/>
      <c r="N65" s="67">
        <v>468.9663385731302</v>
      </c>
      <c r="O65" s="68">
        <v>72.714694319392635</v>
      </c>
      <c r="P65" s="69">
        <v>496.54316512520251</v>
      </c>
      <c r="Q65" s="129" t="s">
        <v>412</v>
      </c>
      <c r="R65">
        <f t="array" ref="R65:T65">LINEST(O64:O67,N64:N67^{1,2})</f>
        <v>9.4493097359703353E-5</v>
      </c>
      <c r="S65">
        <v>-9.7967691591196601E-2</v>
      </c>
      <c r="T65">
        <v>98.008180547324827</v>
      </c>
      <c r="U65" s="855">
        <f>$R$65*AC35^2+$S$65*AC35+$T$65</f>
        <v>72.645005269015059</v>
      </c>
      <c r="W65" s="96"/>
      <c r="X65" s="17">
        <v>422.40029469418704</v>
      </c>
      <c r="Y65" s="13">
        <v>715.66926214595003</v>
      </c>
      <c r="BG65" t="s">
        <v>405</v>
      </c>
      <c r="BH65" s="7">
        <f t="shared" si="35"/>
        <v>-1.8408995974059186E-3</v>
      </c>
      <c r="BI65" s="7">
        <f t="shared" si="36"/>
        <v>-0.36810834350728561</v>
      </c>
      <c r="BJ65" s="7">
        <f t="shared" si="37"/>
        <v>436.17476230253465</v>
      </c>
    </row>
    <row r="66" spans="3:69" x14ac:dyDescent="0.15">
      <c r="C66" s="12"/>
      <c r="D66" s="67">
        <v>389.74060928785525</v>
      </c>
      <c r="E66" s="68">
        <v>55.826521838973228</v>
      </c>
      <c r="F66" s="69">
        <v>482.12740321684242</v>
      </c>
      <c r="G66" s="129" t="s">
        <v>423</v>
      </c>
      <c r="H66">
        <f t="array" ref="H66:I66">LINEST(E64:E67,D64:D67)</f>
        <v>-1.9605897359869787E-2</v>
      </c>
      <c r="I66">
        <v>64.779637618449229</v>
      </c>
      <c r="K66" s="298">
        <f>H66*$AC$35+I66</f>
        <v>54.270767602017514</v>
      </c>
      <c r="M66" s="12"/>
      <c r="N66" s="67">
        <v>390.47715559199054</v>
      </c>
      <c r="O66" s="68">
        <v>74.279931700530938</v>
      </c>
      <c r="P66" s="69">
        <v>481.38102796073275</v>
      </c>
      <c r="Q66" s="129" t="s">
        <v>420</v>
      </c>
      <c r="R66">
        <f t="array" ref="R66:S66">LINEST(O64:O67,N64:N67)</f>
        <v>-1.899895896380098E-2</v>
      </c>
      <c r="S66">
        <v>82.395311446178809</v>
      </c>
      <c r="U66" s="855">
        <f>R66*$AC$35+S66</f>
        <v>72.211763785321793</v>
      </c>
      <c r="W66" s="96"/>
      <c r="X66" s="17">
        <v>458.55440474029535</v>
      </c>
      <c r="Y66" s="13">
        <v>725.92923935658655</v>
      </c>
      <c r="BG66" t="s">
        <v>406</v>
      </c>
      <c r="BH66" s="7">
        <f t="shared" si="35"/>
        <v>-1.4239005403105199E-3</v>
      </c>
      <c r="BI66" s="7">
        <f t="shared" si="36"/>
        <v>-0.49025052368537342</v>
      </c>
      <c r="BJ66" s="7">
        <f t="shared" si="37"/>
        <v>201.91395699263245</v>
      </c>
    </row>
    <row r="67" spans="3:69" x14ac:dyDescent="0.15">
      <c r="C67" s="14"/>
      <c r="D67" s="67">
        <v>292.98939438082436</v>
      </c>
      <c r="E67" s="68">
        <v>60.12898930801839</v>
      </c>
      <c r="F67" s="69">
        <v>448.39384997533358</v>
      </c>
      <c r="G67" s="297" t="s">
        <v>462</v>
      </c>
      <c r="H67" s="2">
        <f t="array" ref="H67:I67">LINEST(E64:E67,LN(D64:D67))</f>
        <v>-8.3229880425413008</v>
      </c>
      <c r="I67" s="2">
        <v>106.60428887433723</v>
      </c>
      <c r="K67" s="298">
        <f>H67*LN($AC$35)+I67</f>
        <v>54.301429040974789</v>
      </c>
      <c r="M67" s="14"/>
      <c r="N67" s="67">
        <v>288.52325300426202</v>
      </c>
      <c r="O67" s="68">
        <v>77.576983980648919</v>
      </c>
      <c r="P67" s="69">
        <v>442.39586141865533</v>
      </c>
      <c r="Q67" s="297" t="s">
        <v>462</v>
      </c>
      <c r="R67" s="2">
        <f t="array" ref="R67:S67">LINEST(O64:O67,LN(N64:N67))</f>
        <v>-7.9114262368208186</v>
      </c>
      <c r="S67" s="2">
        <v>121.98233361351772</v>
      </c>
      <c r="U67" s="855">
        <f>R67*LN($AC$35)+S67</f>
        <v>72.265787652930157</v>
      </c>
      <c r="W67" s="96"/>
      <c r="X67" s="17">
        <v>502.5198255229879</v>
      </c>
      <c r="Y67" s="13">
        <v>726.01319961048898</v>
      </c>
    </row>
    <row r="68" spans="3:69" x14ac:dyDescent="0.15">
      <c r="C68" s="12"/>
      <c r="D68" s="17"/>
      <c r="E68" s="42"/>
      <c r="F68" s="24"/>
      <c r="K68" s="298"/>
      <c r="M68" s="12"/>
      <c r="N68" s="17"/>
      <c r="O68" s="42"/>
      <c r="P68" s="24"/>
      <c r="U68" s="856"/>
      <c r="W68" s="96"/>
      <c r="X68" s="17">
        <v>538.99940207028442</v>
      </c>
      <c r="Y68" s="13">
        <v>723.10259129668827</v>
      </c>
      <c r="BG68" t="s">
        <v>21</v>
      </c>
      <c r="BH68" s="502">
        <f>'C koodit'!$E$12</f>
        <v>2</v>
      </c>
    </row>
    <row r="69" spans="3:69" x14ac:dyDescent="0.15">
      <c r="C69" s="10" t="s">
        <v>411</v>
      </c>
      <c r="D69" s="67">
        <v>387.63817389018845</v>
      </c>
      <c r="E69" s="68">
        <v>48.06850608295192</v>
      </c>
      <c r="F69" s="69">
        <v>227.47266794443044</v>
      </c>
      <c r="H69" t="s">
        <v>4</v>
      </c>
      <c r="I69" t="s">
        <v>5</v>
      </c>
      <c r="J69" t="s">
        <v>6</v>
      </c>
      <c r="K69" s="298"/>
      <c r="M69" s="10" t="s">
        <v>411</v>
      </c>
      <c r="N69" s="67">
        <v>395.54495018994675</v>
      </c>
      <c r="O69" s="68">
        <v>67.733794046754298</v>
      </c>
      <c r="P69" s="69">
        <v>219.35432659614258</v>
      </c>
      <c r="R69" t="s">
        <v>4</v>
      </c>
      <c r="S69" t="s">
        <v>5</v>
      </c>
      <c r="T69" t="s">
        <v>6</v>
      </c>
      <c r="U69" s="856"/>
      <c r="W69" s="96"/>
      <c r="X69" s="17">
        <v>576.22666298714682</v>
      </c>
      <c r="Y69" s="13">
        <v>725.5132088142559</v>
      </c>
    </row>
    <row r="70" spans="3:69" x14ac:dyDescent="0.15">
      <c r="C70" s="12"/>
      <c r="D70" s="67">
        <v>335.53377285666636</v>
      </c>
      <c r="E70" s="68">
        <v>46.922722267487693</v>
      </c>
      <c r="F70" s="69">
        <v>227.87245939483202</v>
      </c>
      <c r="G70" s="129" t="s">
        <v>412</v>
      </c>
      <c r="H70">
        <f t="array" ref="H70:J70">LINEST(E69:E72,D69:D72^{1,2})</f>
        <v>3.1514479512710603E-4</v>
      </c>
      <c r="I70">
        <v>-0.2081047800684297</v>
      </c>
      <c r="J70">
        <v>81.351320334945513</v>
      </c>
      <c r="K70" s="298">
        <f>$H$70*AC36^2+$I$70*AC36+$J$70</f>
        <v>47.972381909225909</v>
      </c>
      <c r="M70" s="12"/>
      <c r="N70" s="67">
        <v>345.88484092861643</v>
      </c>
      <c r="O70" s="68">
        <v>66.324854410521937</v>
      </c>
      <c r="P70" s="69">
        <v>221.93456894633064</v>
      </c>
      <c r="Q70" s="129" t="s">
        <v>412</v>
      </c>
      <c r="R70">
        <f t="array" ref="R70:T70">LINEST(O69:O72,N69:N72^{1,2})</f>
        <v>1.2202951699219173E-4</v>
      </c>
      <c r="S70">
        <v>-8.0335946324847932E-2</v>
      </c>
      <c r="T70">
        <v>80.158770047811572</v>
      </c>
      <c r="U70" s="855">
        <f>$R$70*AC36^2+$S$70*AC36+$T$70</f>
        <v>67.328715395678572</v>
      </c>
      <c r="W70" s="46"/>
      <c r="X70" s="18">
        <v>616.02444621087636</v>
      </c>
      <c r="Y70" s="15">
        <v>718.75363130123674</v>
      </c>
      <c r="BG70" s="2" t="s">
        <v>2187</v>
      </c>
    </row>
    <row r="71" spans="3:69" x14ac:dyDescent="0.15">
      <c r="C71" s="12"/>
      <c r="D71" s="67">
        <v>277.64440783292383</v>
      </c>
      <c r="E71" s="68">
        <v>47.930748155823295</v>
      </c>
      <c r="F71" s="69">
        <v>212.19723808089819</v>
      </c>
      <c r="G71" s="129" t="s">
        <v>423</v>
      </c>
      <c r="H71">
        <f t="array" ref="H71:I71">LINEST(E69:E72,D69:D72)</f>
        <v>-2.6938884687218643E-2</v>
      </c>
      <c r="I71">
        <v>57.022768898183102</v>
      </c>
      <c r="K71" s="298">
        <f>H71*$AC$36+I71</f>
        <v>46.628811956368473</v>
      </c>
      <c r="M71" s="12"/>
      <c r="N71" s="67">
        <v>286.08482041588422</v>
      </c>
      <c r="O71" s="68">
        <v>67.682274039692331</v>
      </c>
      <c r="P71" s="69">
        <v>214.21610961690237</v>
      </c>
      <c r="Q71" s="129" t="s">
        <v>420</v>
      </c>
      <c r="R71">
        <f t="array" ref="R71:S71">LINEST(O69:O72,N69:N72)</f>
        <v>-6.9863439598233839E-3</v>
      </c>
      <c r="S71">
        <v>69.739597862026358</v>
      </c>
      <c r="U71" s="855">
        <f>R71*AC36+S71</f>
        <v>67.04402381943936</v>
      </c>
      <c r="BG71" s="2" t="s">
        <v>102</v>
      </c>
      <c r="BH71" s="502">
        <f>IF($BH$68=1,BH56,IF($BH$68=3,BH63,BH49))</f>
        <v>-1.8299729089178483E-3</v>
      </c>
      <c r="BI71" s="502">
        <f t="shared" ref="BI71:BJ71" si="38">IF($BH$68=1,BI56,IF($BH$68=3,BI63,BI49))</f>
        <v>-0.73638484267800319</v>
      </c>
      <c r="BJ71" s="502">
        <f t="shared" si="38"/>
        <v>1263.0869140408336</v>
      </c>
    </row>
    <row r="72" spans="3:69" x14ac:dyDescent="0.15">
      <c r="C72" s="14"/>
      <c r="D72" s="67">
        <v>191.37159094168865</v>
      </c>
      <c r="E72" s="68">
        <v>53.052885496574561</v>
      </c>
      <c r="F72" s="69">
        <v>206.29179488928867</v>
      </c>
      <c r="G72" s="297" t="s">
        <v>462</v>
      </c>
      <c r="H72" s="2">
        <f t="array" ref="H72:I72">LINEST(E69:E72,LN(D69:D72))</f>
        <v>-7.8976620659586896</v>
      </c>
      <c r="I72" s="2">
        <v>93.726770816427859</v>
      </c>
      <c r="K72" s="298">
        <f>H72*LN($AC$36)+I72</f>
        <v>46.692962416603613</v>
      </c>
      <c r="M72" s="14"/>
      <c r="N72" s="67">
        <v>208.46631996655969</v>
      </c>
      <c r="O72" s="68">
        <v>68.582481035887938</v>
      </c>
      <c r="P72" s="69">
        <v>192.97696042063367</v>
      </c>
      <c r="Q72" s="297" t="s">
        <v>462</v>
      </c>
      <c r="R72" s="2">
        <f t="array" ref="R72:S72">LINEST(O69:O72,LN(N69:N72))</f>
        <v>-2.1858218502251363</v>
      </c>
      <c r="S72" s="2">
        <v>80.052295791575332</v>
      </c>
      <c r="U72" s="855">
        <f>R72*LN($AC$36)+S72</f>
        <v>67.034832491547604</v>
      </c>
      <c r="W72" s="34"/>
      <c r="X72" s="345" t="s">
        <v>13</v>
      </c>
      <c r="Y72" s="344" t="s">
        <v>49</v>
      </c>
      <c r="BG72" s="2" t="s">
        <v>404</v>
      </c>
      <c r="BH72" s="502">
        <f t="shared" ref="BH72:BJ72" si="39">IF($BH$68=1,BH57,IF($BH$68=3,BH64,BH50))</f>
        <v>-1.7835379999785593E-3</v>
      </c>
      <c r="BI72" s="502">
        <f t="shared" si="39"/>
        <v>-0.36812150735232407</v>
      </c>
      <c r="BJ72" s="502">
        <f t="shared" si="39"/>
        <v>818.37289607846901</v>
      </c>
    </row>
    <row r="73" spans="3:69" x14ac:dyDescent="0.15">
      <c r="C73" s="12"/>
      <c r="D73" s="17"/>
      <c r="E73" s="42"/>
      <c r="F73" s="13"/>
      <c r="K73" s="298"/>
      <c r="M73" s="12"/>
      <c r="N73" s="17"/>
      <c r="O73" s="42"/>
      <c r="P73" s="13"/>
      <c r="U73" s="24"/>
      <c r="W73" s="34" t="s">
        <v>404</v>
      </c>
      <c r="X73" s="481">
        <v>92.715984398123922</v>
      </c>
      <c r="Y73" s="971">
        <v>334.32405536817663</v>
      </c>
      <c r="BG73" s="2" t="s">
        <v>405</v>
      </c>
      <c r="BH73" s="502">
        <f t="shared" ref="BH73:BJ73" si="40">IF($BH$68=1,BH58,IF($BH$68=3,BH65,BH51))</f>
        <v>-1.8408995974059186E-3</v>
      </c>
      <c r="BI73" s="502">
        <f t="shared" si="40"/>
        <v>-0.27749303744237341</v>
      </c>
      <c r="BJ73" s="502">
        <f t="shared" si="40"/>
        <v>436.43375328904114</v>
      </c>
    </row>
    <row r="74" spans="3:69" x14ac:dyDescent="0.15">
      <c r="C74" s="10" t="s">
        <v>409</v>
      </c>
      <c r="D74" s="67">
        <v>241.54774717790758</v>
      </c>
      <c r="E74" s="68">
        <v>39.832465884352047</v>
      </c>
      <c r="F74" s="69">
        <v>77.12253426011452</v>
      </c>
      <c r="H74" t="s">
        <v>4</v>
      </c>
      <c r="I74" t="s">
        <v>5</v>
      </c>
      <c r="J74" t="s">
        <v>6</v>
      </c>
      <c r="K74" s="298"/>
      <c r="M74" s="10" t="s">
        <v>409</v>
      </c>
      <c r="N74" s="67">
        <v>245.95007777378834</v>
      </c>
      <c r="O74" s="68">
        <v>56.064320354440241</v>
      </c>
      <c r="P74" s="69">
        <v>77.260385251478269</v>
      </c>
      <c r="R74" t="s">
        <v>4</v>
      </c>
      <c r="S74" t="s">
        <v>5</v>
      </c>
      <c r="T74" t="s">
        <v>6</v>
      </c>
      <c r="U74" s="24"/>
      <c r="W74" s="96"/>
      <c r="X74" s="5">
        <v>153.8436504885284</v>
      </c>
      <c r="Y74" s="42">
        <v>372.63604278483638</v>
      </c>
      <c r="BG74" s="2" t="s">
        <v>406</v>
      </c>
      <c r="BH74" s="502">
        <f t="shared" ref="BH74:BJ74" si="41">IF($BH$68=1,BH59,IF($BH$68=3,BH66,BH52))</f>
        <v>-1.4239005403105199E-3</v>
      </c>
      <c r="BI74" s="502">
        <f t="shared" si="41"/>
        <v>-0.39963521762046122</v>
      </c>
      <c r="BJ74" s="502">
        <f t="shared" si="41"/>
        <v>202.17294797913897</v>
      </c>
    </row>
    <row r="75" spans="3:69" x14ac:dyDescent="0.15">
      <c r="C75" s="12"/>
      <c r="D75" s="67">
        <v>210.39256375926465</v>
      </c>
      <c r="E75" s="68">
        <v>38.90781019036568</v>
      </c>
      <c r="F75" s="69">
        <v>76.518085781762579</v>
      </c>
      <c r="G75" s="129" t="s">
        <v>412</v>
      </c>
      <c r="H75">
        <f t="array" ref="H75:J75">LINEST(E74:E77,D74:D77^{1,2})</f>
        <v>5.7318267513710496E-4</v>
      </c>
      <c r="I75">
        <v>-0.26710074673589279</v>
      </c>
      <c r="J75">
        <v>70.584143994233216</v>
      </c>
      <c r="K75" s="298">
        <f>$H$75*AC37^2+$I$75*AC37+$J$75</f>
        <v>39.522447936664001</v>
      </c>
      <c r="M75" s="12"/>
      <c r="N75" s="67">
        <v>212.4938738313096</v>
      </c>
      <c r="O75" s="68">
        <v>55.848634076637381</v>
      </c>
      <c r="P75" s="69">
        <v>73.483347785955786</v>
      </c>
      <c r="R75">
        <f t="array" ref="R75:T75">LINEST(O74:O77,N74:N77^{1,2})</f>
        <v>2.8008796105935064E-4</v>
      </c>
      <c r="S75">
        <v>-0.13424227362762839</v>
      </c>
      <c r="T75">
        <v>72.030598727436455</v>
      </c>
      <c r="U75" s="855">
        <f>$R$75*AC37^2+$S$75*AC37+$T$75</f>
        <v>55.9483056125556</v>
      </c>
      <c r="W75" s="96"/>
      <c r="X75" s="5">
        <v>253.42738758866832</v>
      </c>
      <c r="Y75" s="42">
        <v>430.72261723601497</v>
      </c>
    </row>
    <row r="76" spans="3:69" x14ac:dyDescent="0.15">
      <c r="C76" s="12"/>
      <c r="D76" s="67">
        <v>175.32883927084114</v>
      </c>
      <c r="E76" s="68">
        <v>42.096114198066246</v>
      </c>
      <c r="F76" s="69">
        <v>73.12388520996565</v>
      </c>
      <c r="G76" s="129" t="s">
        <v>423</v>
      </c>
      <c r="H76">
        <f t="array" ref="H76:I76">LINEST(E74:E77,D74:D77)</f>
        <v>-5.3981427546971952E-2</v>
      </c>
      <c r="I76">
        <v>51.741588756466598</v>
      </c>
      <c r="K76" s="298">
        <f>H76*$AC$37+I76</f>
        <v>38.633977088236904</v>
      </c>
      <c r="M76" s="12"/>
      <c r="N76" s="67">
        <v>178.25322186533424</v>
      </c>
      <c r="O76" s="68">
        <v>57.266066149065502</v>
      </c>
      <c r="P76" s="69">
        <v>71.418113605462722</v>
      </c>
      <c r="Q76" s="129" t="s">
        <v>420</v>
      </c>
      <c r="R76">
        <f t="array" ref="R76:S76">LINEST(O74:O77,N74:N77)</f>
        <v>-2.8287798735263749E-2</v>
      </c>
      <c r="S76">
        <v>62.498134993882061</v>
      </c>
      <c r="U76" s="855">
        <f>R76*AC37+S76</f>
        <v>55.629374799494144</v>
      </c>
      <c r="W76" s="96"/>
      <c r="X76" s="5">
        <v>324.46714326457584</v>
      </c>
      <c r="Y76" s="42">
        <v>464.73565247258693</v>
      </c>
    </row>
    <row r="77" spans="3:69" x14ac:dyDescent="0.15">
      <c r="C77" s="14"/>
      <c r="D77" s="70">
        <v>131.62355365636563</v>
      </c>
      <c r="E77" s="71">
        <v>45.163853243501777</v>
      </c>
      <c r="F77" s="72">
        <v>68.162130097838585</v>
      </c>
      <c r="G77" s="851" t="s">
        <v>462</v>
      </c>
      <c r="H77" s="852">
        <f t="array" ref="H77:I77">LINEST(E74:E77,LN(D74:D77))</f>
        <v>-9.966005539905721</v>
      </c>
      <c r="I77" s="852">
        <v>93.52921620154828</v>
      </c>
      <c r="J77" s="25"/>
      <c r="K77" s="853">
        <f>H77*LN($AC$37)+I77</f>
        <v>38.792840950570486</v>
      </c>
      <c r="M77" s="14"/>
      <c r="N77" s="70">
        <v>133.67050235069436</v>
      </c>
      <c r="O77" s="71">
        <v>59.021513629604186</v>
      </c>
      <c r="P77" s="72">
        <v>66.440347343438674</v>
      </c>
      <c r="Q77" s="851" t="s">
        <v>462</v>
      </c>
      <c r="R77" s="852">
        <f t="array" ref="R77:S77">LINEST(O74:O77,LN(N74:N77))</f>
        <v>-5.3108624207855391</v>
      </c>
      <c r="S77" s="852">
        <v>84.855983189171724</v>
      </c>
      <c r="T77" s="25"/>
      <c r="U77" s="857">
        <f>R77*LN($AC$37)+S77</f>
        <v>55.687089272102554</v>
      </c>
      <c r="W77" s="96"/>
      <c r="X77" s="5">
        <v>388.88146120155363</v>
      </c>
      <c r="Y77" s="42">
        <v>482.62744042958218</v>
      </c>
    </row>
    <row r="78" spans="3:69" ht="14" x14ac:dyDescent="0.15">
      <c r="W78" s="96"/>
      <c r="X78" s="5">
        <v>435.03170293522749</v>
      </c>
      <c r="Y78" s="42">
        <v>495.34300948889341</v>
      </c>
      <c r="BG78" s="83" t="s">
        <v>2466</v>
      </c>
    </row>
    <row r="79" spans="3:69" x14ac:dyDescent="0.15">
      <c r="F79" s="5"/>
      <c r="W79" s="96"/>
      <c r="X79" s="5">
        <v>483.29235357810359</v>
      </c>
      <c r="Y79" s="42">
        <v>499.73023062619956</v>
      </c>
    </row>
    <row r="80" spans="3:69" x14ac:dyDescent="0.15">
      <c r="C80" s="2" t="s">
        <v>2100</v>
      </c>
      <c r="F80" s="5"/>
      <c r="W80" s="96"/>
      <c r="X80" s="5">
        <v>528.55687778939728</v>
      </c>
      <c r="Y80" s="42">
        <v>503.17968984604948</v>
      </c>
      <c r="BG80" t="s">
        <v>2420</v>
      </c>
      <c r="BH80" t="s">
        <v>2463</v>
      </c>
      <c r="BJ80" t="s">
        <v>2421</v>
      </c>
      <c r="BK80" t="s">
        <v>2464</v>
      </c>
      <c r="BM80" t="s">
        <v>2336</v>
      </c>
      <c r="BN80" t="s">
        <v>2464</v>
      </c>
      <c r="BP80" t="s">
        <v>2405</v>
      </c>
      <c r="BQ80" t="s">
        <v>2464</v>
      </c>
    </row>
    <row r="81" spans="3:73" ht="15" x14ac:dyDescent="0.15">
      <c r="F81" s="5"/>
      <c r="W81" s="46"/>
      <c r="X81" s="209">
        <v>551.9146958158334</v>
      </c>
      <c r="Y81" s="972">
        <v>503.04986857377685</v>
      </c>
      <c r="BG81" t="s">
        <v>2177</v>
      </c>
      <c r="BJ81" t="s">
        <v>2177</v>
      </c>
      <c r="BM81" t="s">
        <v>2177</v>
      </c>
      <c r="BP81" t="s">
        <v>2177</v>
      </c>
    </row>
    <row r="82" spans="3:73" x14ac:dyDescent="0.15">
      <c r="C82" t="s">
        <v>2101</v>
      </c>
      <c r="F82" s="5"/>
      <c r="H82" t="b">
        <f>IF(W9&gt;10.01,FALSE,TRUE)</f>
        <v>1</v>
      </c>
      <c r="BG82" s="4" t="s">
        <v>4</v>
      </c>
      <c r="BH82" s="4" t="s">
        <v>5</v>
      </c>
      <c r="BJ82" s="4" t="s">
        <v>4</v>
      </c>
      <c r="BK82" s="4" t="s">
        <v>5</v>
      </c>
      <c r="BM82" s="4" t="s">
        <v>4</v>
      </c>
      <c r="BN82" s="4" t="s">
        <v>5</v>
      </c>
      <c r="BP82" s="4" t="s">
        <v>4</v>
      </c>
      <c r="BQ82" s="4" t="s">
        <v>5</v>
      </c>
    </row>
    <row r="83" spans="3:73" x14ac:dyDescent="0.15">
      <c r="C83" t="s">
        <v>2102</v>
      </c>
      <c r="H83" t="b">
        <f>IF(W9&lt;2,FALSE,TRUE)</f>
        <v>1</v>
      </c>
      <c r="W83" s="74"/>
      <c r="X83" s="344" t="s">
        <v>13</v>
      </c>
      <c r="Y83" s="277" t="s">
        <v>49</v>
      </c>
      <c r="BG83" s="1069">
        <f>'C5 LÄM-1'!S64</f>
        <v>55.029316266739983</v>
      </c>
      <c r="BH83" s="1070">
        <f>'C5 LÄM-1'!Q64</f>
        <v>1.6981040587097147</v>
      </c>
      <c r="BJ83" s="1069">
        <f>'C5 LÄM-2'!S64</f>
        <v>84.104006919282924</v>
      </c>
      <c r="BK83" s="1070">
        <f>'C5 LÄM-2'!Q64</f>
        <v>1.6735322658708449</v>
      </c>
      <c r="BM83" s="1069">
        <f>'C5 JÄ-1'!AF74</f>
        <v>79.197860524137553</v>
      </c>
      <c r="BN83" s="1070">
        <f>'C5 JÄ-1'!AD74</f>
        <v>1.7179772051600481</v>
      </c>
      <c r="BP83" s="1069">
        <f>'C5 JÄ-2'!AF74</f>
        <v>104.93797839694815</v>
      </c>
      <c r="BQ83" s="1070">
        <f>'C5 JÄ-2'!AD74</f>
        <v>1.7095261012783656</v>
      </c>
    </row>
    <row r="84" spans="3:73" x14ac:dyDescent="0.15">
      <c r="C84" t="s">
        <v>2103</v>
      </c>
      <c r="H84" t="b">
        <f>IF(L3&gt;500,FALSE,TRUE)</f>
        <v>1</v>
      </c>
      <c r="W84" s="12" t="s">
        <v>411</v>
      </c>
      <c r="X84" s="42">
        <v>386.47731571014606</v>
      </c>
      <c r="Y84" s="13">
        <v>218.05587529074802</v>
      </c>
    </row>
    <row r="85" spans="3:73" x14ac:dyDescent="0.15">
      <c r="C85" t="s">
        <v>2106</v>
      </c>
      <c r="H85" t="b">
        <f>IF(J3&gt;(AC34+1),FALSE,TRUE)</f>
        <v>1</v>
      </c>
      <c r="W85" s="12"/>
      <c r="X85" s="42">
        <v>355.90538751815342</v>
      </c>
      <c r="Y85" s="13">
        <v>217.64280457984552</v>
      </c>
      <c r="BS85" s="2" t="s">
        <v>2469</v>
      </c>
    </row>
    <row r="86" spans="3:73" x14ac:dyDescent="0.15">
      <c r="C86" t="s">
        <v>2104</v>
      </c>
      <c r="H86" t="b">
        <f>IF(J3&lt;W11,FALSE,TRUE)</f>
        <v>1</v>
      </c>
      <c r="W86" s="12"/>
      <c r="X86" s="42">
        <v>292.8673076125429</v>
      </c>
      <c r="Y86" s="13">
        <v>210.05668755065179</v>
      </c>
      <c r="BM86" s="2" t="s">
        <v>2461</v>
      </c>
    </row>
    <row r="87" spans="3:73" x14ac:dyDescent="0.15">
      <c r="F87" s="5"/>
      <c r="W87" s="12"/>
      <c r="X87" s="42">
        <v>201.68191762748367</v>
      </c>
      <c r="Y87" s="13">
        <v>191.05362970131466</v>
      </c>
      <c r="BH87" s="4" t="s">
        <v>2420</v>
      </c>
      <c r="BI87" s="4" t="s">
        <v>2421</v>
      </c>
      <c r="BJ87" s="4" t="s">
        <v>2336</v>
      </c>
      <c r="BK87" s="4" t="s">
        <v>2405</v>
      </c>
      <c r="BM87" s="43" t="s">
        <v>2470</v>
      </c>
      <c r="BN87" s="44" t="s">
        <v>2420</v>
      </c>
      <c r="BO87" s="45" t="s">
        <v>2421</v>
      </c>
      <c r="BP87" s="43" t="s">
        <v>2470</v>
      </c>
      <c r="BQ87" s="44" t="s">
        <v>2336</v>
      </c>
      <c r="BR87" s="45" t="s">
        <v>2405</v>
      </c>
      <c r="BS87" s="43" t="s">
        <v>2471</v>
      </c>
      <c r="BT87" s="45" t="s">
        <v>2472</v>
      </c>
      <c r="BU87" s="628" t="s">
        <v>2473</v>
      </c>
    </row>
    <row r="88" spans="3:73" x14ac:dyDescent="0.15">
      <c r="C88" s="2" t="s">
        <v>2107</v>
      </c>
      <c r="F88" s="5"/>
      <c r="H88" s="2" t="b">
        <f>IF(AND(H82,H83,H84,H85,H86),TRUE,FALSE)</f>
        <v>1</v>
      </c>
      <c r="W88" s="12"/>
      <c r="X88" s="42">
        <v>93.238346141265808</v>
      </c>
      <c r="Y88" s="13">
        <v>155.45689299810556</v>
      </c>
      <c r="BG88">
        <v>50</v>
      </c>
      <c r="BH88" s="5">
        <f>$BG$83*($BG88/1000)^$BH$83</f>
        <v>0.33986762810880661</v>
      </c>
      <c r="BI88" s="5">
        <f>$BJ$83*($BG88/1000)^$BK$83</f>
        <v>0.55911482852964756</v>
      </c>
      <c r="BJ88" s="5">
        <f>$BM$83*($BG88/1000)^$BN$83</f>
        <v>0.46086483715979149</v>
      </c>
      <c r="BK88" s="5">
        <f>$BP$83*($BG88/1000)^$BQ$83</f>
        <v>0.62630799731999864</v>
      </c>
      <c r="BM88" s="17">
        <f>-BH88</f>
        <v>-0.33986762810880661</v>
      </c>
      <c r="BN88" s="4">
        <v>0</v>
      </c>
      <c r="BO88" s="13">
        <f t="shared" ref="BO88:BO95" si="42">BI88-BH88</f>
        <v>0.21924720042084095</v>
      </c>
      <c r="BP88" s="458">
        <v>0</v>
      </c>
      <c r="BQ88" s="5">
        <f t="shared" ref="BQ88:BR95" si="43">BJ88</f>
        <v>0.46086483715979149</v>
      </c>
      <c r="BR88" s="13">
        <f t="shared" si="43"/>
        <v>0.62630799731999864</v>
      </c>
      <c r="BS88" s="17">
        <f>INDEX(BM88:BO88,1,MATCH($BJ$99,$BM$87:$BO$87,0))</f>
        <v>-0.33986762810880661</v>
      </c>
      <c r="BT88" s="17">
        <f>INDEX(BP88:BR88,1,MATCH($BJ$100,$BP$87:$BR$87,0))</f>
        <v>0</v>
      </c>
      <c r="BU88" s="1345">
        <f>BS88+BT88</f>
        <v>-0.33986762810880661</v>
      </c>
    </row>
    <row r="89" spans="3:73" x14ac:dyDescent="0.15">
      <c r="F89" s="5"/>
      <c r="W89" s="14"/>
      <c r="X89" s="972">
        <v>68.604450793153305</v>
      </c>
      <c r="Y89" s="15">
        <v>143.2885911431818</v>
      </c>
      <c r="BG89">
        <v>100</v>
      </c>
      <c r="BH89" s="5">
        <f t="shared" ref="BH89:BH95" si="44">$BG$83*($BG89/1000)^$BH$83</f>
        <v>1.1027829885067084</v>
      </c>
      <c r="BI89" s="5">
        <f t="shared" ref="BI89:BI95" si="45">$BJ$83*($BG89/1000)^$BK$83</f>
        <v>1.7835464370385046</v>
      </c>
      <c r="BJ89" s="5">
        <f t="shared" ref="BJ89:BJ95" si="46">$BM$83*($BG89/1000)^$BN$83</f>
        <v>1.5161293126530746</v>
      </c>
      <c r="BK89" s="5">
        <f t="shared" ref="BK89:BK95" si="47">$BP$83*($BG89/1000)^$BQ$83</f>
        <v>2.048361441708078</v>
      </c>
      <c r="BM89" s="17">
        <f t="shared" ref="BM89:BM95" si="48">-BH89</f>
        <v>-1.1027829885067084</v>
      </c>
      <c r="BN89" s="4">
        <v>0</v>
      </c>
      <c r="BO89" s="13">
        <f t="shared" si="42"/>
        <v>0.68076344853179616</v>
      </c>
      <c r="BP89" s="458">
        <v>0</v>
      </c>
      <c r="BQ89" s="5">
        <f t="shared" si="43"/>
        <v>1.5161293126530746</v>
      </c>
      <c r="BR89" s="13">
        <f t="shared" si="43"/>
        <v>2.048361441708078</v>
      </c>
      <c r="BS89" s="17">
        <f t="shared" ref="BS89:BS95" si="49">INDEX(BM89:BO89,1,MATCH($BJ$99,$BM$87:$BO$87,0))</f>
        <v>-1.1027829885067084</v>
      </c>
      <c r="BT89" s="17">
        <f t="shared" ref="BT89:BT95" si="50">INDEX(BP89:BR89,1,MATCH($BJ$100,$BP$87:$BR$87,0))</f>
        <v>0</v>
      </c>
      <c r="BU89" s="1345">
        <f t="shared" ref="BU89:BU95" si="51">BS89+BT89</f>
        <v>-1.1027829885067084</v>
      </c>
    </row>
    <row r="90" spans="3:73" x14ac:dyDescent="0.15">
      <c r="C90" t="s">
        <v>2105</v>
      </c>
      <c r="F90" s="5"/>
      <c r="H90" t="b">
        <f>IF(AND(W9&lt;=10.01,J3&lt;=(AC34+1),J3&gt;=W11),TRUE,FALSE)</f>
        <v>1</v>
      </c>
      <c r="X90" s="5"/>
      <c r="Y90" s="5"/>
      <c r="BG90">
        <v>150</v>
      </c>
      <c r="BH90" s="5">
        <f t="shared" si="44"/>
        <v>2.1953882717493856</v>
      </c>
      <c r="BI90" s="5">
        <f t="shared" si="45"/>
        <v>3.5154329985555046</v>
      </c>
      <c r="BJ90" s="5">
        <f t="shared" si="46"/>
        <v>3.042685140249684</v>
      </c>
      <c r="BK90" s="5">
        <f t="shared" si="47"/>
        <v>4.0967474839365581</v>
      </c>
      <c r="BM90" s="17">
        <f t="shared" si="48"/>
        <v>-2.1953882717493856</v>
      </c>
      <c r="BN90" s="4">
        <v>0</v>
      </c>
      <c r="BO90" s="13">
        <f t="shared" si="42"/>
        <v>1.3200447268061191</v>
      </c>
      <c r="BP90" s="458">
        <v>0</v>
      </c>
      <c r="BQ90" s="5">
        <f t="shared" si="43"/>
        <v>3.042685140249684</v>
      </c>
      <c r="BR90" s="13">
        <f t="shared" si="43"/>
        <v>4.0967474839365581</v>
      </c>
      <c r="BS90" s="17">
        <f t="shared" si="49"/>
        <v>-2.1953882717493856</v>
      </c>
      <c r="BT90" s="17">
        <f t="shared" si="50"/>
        <v>0</v>
      </c>
      <c r="BU90" s="1345">
        <f t="shared" si="51"/>
        <v>-2.1953882717493856</v>
      </c>
    </row>
    <row r="91" spans="3:73" x14ac:dyDescent="0.15">
      <c r="F91" s="5"/>
      <c r="W91" s="74"/>
      <c r="X91" s="344" t="s">
        <v>13</v>
      </c>
      <c r="Y91" s="277" t="s">
        <v>49</v>
      </c>
      <c r="BG91">
        <v>200</v>
      </c>
      <c r="BH91" s="5">
        <f t="shared" si="44"/>
        <v>3.5782469972410822</v>
      </c>
      <c r="BI91" s="5">
        <f t="shared" si="45"/>
        <v>5.6894178633004495</v>
      </c>
      <c r="BJ91" s="5">
        <f t="shared" si="46"/>
        <v>4.9876838225540183</v>
      </c>
      <c r="BK91" s="5">
        <f t="shared" si="47"/>
        <v>6.699235222654595</v>
      </c>
      <c r="BM91" s="17">
        <f t="shared" si="48"/>
        <v>-3.5782469972410822</v>
      </c>
      <c r="BN91" s="4">
        <v>0</v>
      </c>
      <c r="BO91" s="13">
        <f t="shared" si="42"/>
        <v>2.1111708660593673</v>
      </c>
      <c r="BP91" s="458">
        <v>0</v>
      </c>
      <c r="BQ91" s="5">
        <f t="shared" si="43"/>
        <v>4.9876838225540183</v>
      </c>
      <c r="BR91" s="13">
        <f t="shared" si="43"/>
        <v>6.699235222654595</v>
      </c>
      <c r="BS91" s="17">
        <f t="shared" si="49"/>
        <v>-3.5782469972410822</v>
      </c>
      <c r="BT91" s="17">
        <f t="shared" si="50"/>
        <v>0</v>
      </c>
      <c r="BU91" s="1345">
        <f t="shared" si="51"/>
        <v>-3.5782469972410822</v>
      </c>
    </row>
    <row r="92" spans="3:73" x14ac:dyDescent="0.15">
      <c r="F92" s="5"/>
      <c r="W92" s="12" t="s">
        <v>409</v>
      </c>
      <c r="X92" s="42">
        <v>53.292289119833931</v>
      </c>
      <c r="Y92" s="13">
        <v>55.971420297200829</v>
      </c>
      <c r="BG92">
        <v>300</v>
      </c>
      <c r="BH92" s="5">
        <f t="shared" si="44"/>
        <v>7.1234699601260143</v>
      </c>
      <c r="BI92" s="5">
        <f t="shared" si="45"/>
        <v>11.214043483178321</v>
      </c>
      <c r="BJ92" s="5">
        <f t="shared" si="46"/>
        <v>10.009668254874946</v>
      </c>
      <c r="BK92" s="5">
        <f t="shared" si="47"/>
        <v>13.398550902141373</v>
      </c>
      <c r="BM92" s="17">
        <f t="shared" si="48"/>
        <v>-7.1234699601260143</v>
      </c>
      <c r="BN92" s="4">
        <v>0</v>
      </c>
      <c r="BO92" s="13">
        <f t="shared" si="42"/>
        <v>4.0905735230523064</v>
      </c>
      <c r="BP92" s="458">
        <v>0</v>
      </c>
      <c r="BQ92" s="5">
        <f t="shared" si="43"/>
        <v>10.009668254874946</v>
      </c>
      <c r="BR92" s="13">
        <f t="shared" si="43"/>
        <v>13.398550902141373</v>
      </c>
      <c r="BS92" s="17">
        <f t="shared" si="49"/>
        <v>-7.1234699601260143</v>
      </c>
      <c r="BT92" s="17">
        <f t="shared" si="50"/>
        <v>0</v>
      </c>
      <c r="BU92" s="1345">
        <f t="shared" si="51"/>
        <v>-7.1234699601260143</v>
      </c>
    </row>
    <row r="93" spans="3:73" x14ac:dyDescent="0.15">
      <c r="F93" s="5"/>
      <c r="W93" s="12"/>
      <c r="X93" s="42">
        <v>104.21651001085566</v>
      </c>
      <c r="Y93" s="13">
        <v>63.723843132930966</v>
      </c>
      <c r="BG93">
        <v>400</v>
      </c>
      <c r="BH93" s="5">
        <f t="shared" si="44"/>
        <v>11.610490646580137</v>
      </c>
      <c r="BI93" s="5">
        <f t="shared" si="45"/>
        <v>18.148939074998388</v>
      </c>
      <c r="BJ93" s="5">
        <f t="shared" si="46"/>
        <v>16.408224355371658</v>
      </c>
      <c r="BK93" s="5">
        <f t="shared" si="47"/>
        <v>21.910074879671551</v>
      </c>
      <c r="BM93" s="17">
        <f t="shared" si="48"/>
        <v>-11.610490646580137</v>
      </c>
      <c r="BN93" s="4">
        <v>0</v>
      </c>
      <c r="BO93" s="13">
        <f t="shared" si="42"/>
        <v>6.5384484284182509</v>
      </c>
      <c r="BP93" s="458">
        <v>0</v>
      </c>
      <c r="BQ93" s="5">
        <f t="shared" si="43"/>
        <v>16.408224355371658</v>
      </c>
      <c r="BR93" s="13">
        <f t="shared" si="43"/>
        <v>21.910074879671551</v>
      </c>
      <c r="BS93" s="17">
        <f t="shared" si="49"/>
        <v>-11.610490646580137</v>
      </c>
      <c r="BT93" s="17">
        <f t="shared" si="50"/>
        <v>0</v>
      </c>
      <c r="BU93" s="1345">
        <f t="shared" si="51"/>
        <v>-11.610490646580137</v>
      </c>
    </row>
    <row r="94" spans="3:73" x14ac:dyDescent="0.15">
      <c r="C94" s="2" t="s">
        <v>2114</v>
      </c>
      <c r="F94" s="5"/>
      <c r="W94" s="12"/>
      <c r="X94" s="42">
        <v>167.5410329672066</v>
      </c>
      <c r="Y94" s="13">
        <v>71.321981885103696</v>
      </c>
      <c r="BG94">
        <v>500</v>
      </c>
      <c r="BH94" s="5">
        <f t="shared" si="44"/>
        <v>16.959531830783696</v>
      </c>
      <c r="BI94" s="5">
        <f t="shared" si="45"/>
        <v>26.36533393849389</v>
      </c>
      <c r="BJ94" s="5">
        <f t="shared" si="46"/>
        <v>24.074139843645685</v>
      </c>
      <c r="BK94" s="5">
        <f t="shared" si="47"/>
        <v>32.085887653595307</v>
      </c>
      <c r="BM94" s="17">
        <f t="shared" si="48"/>
        <v>-16.959531830783696</v>
      </c>
      <c r="BN94" s="4">
        <v>0</v>
      </c>
      <c r="BO94" s="13">
        <f t="shared" si="42"/>
        <v>9.4058021077101941</v>
      </c>
      <c r="BP94" s="458">
        <v>0</v>
      </c>
      <c r="BQ94" s="5">
        <f t="shared" si="43"/>
        <v>24.074139843645685</v>
      </c>
      <c r="BR94" s="13">
        <f t="shared" si="43"/>
        <v>32.085887653595307</v>
      </c>
      <c r="BS94" s="17">
        <f t="shared" si="49"/>
        <v>-16.959531830783696</v>
      </c>
      <c r="BT94" s="17">
        <f t="shared" si="50"/>
        <v>0</v>
      </c>
      <c r="BU94" s="1345">
        <f t="shared" si="51"/>
        <v>-16.959531830783696</v>
      </c>
    </row>
    <row r="95" spans="3:73" x14ac:dyDescent="0.15">
      <c r="F95" s="5"/>
      <c r="W95" s="14"/>
      <c r="X95" s="972">
        <v>216.84638045748369</v>
      </c>
      <c r="Y95" s="15">
        <v>75.281589498576281</v>
      </c>
      <c r="BG95">
        <v>600</v>
      </c>
      <c r="BH95" s="5">
        <f t="shared" si="44"/>
        <v>23.113826800387677</v>
      </c>
      <c r="BI95" s="5">
        <f t="shared" si="45"/>
        <v>35.772199696107698</v>
      </c>
      <c r="BJ95" s="5">
        <f t="shared" si="46"/>
        <v>32.929289083269843</v>
      </c>
      <c r="BK95" s="5">
        <f t="shared" si="47"/>
        <v>43.820412896127991</v>
      </c>
      <c r="BM95" s="18">
        <f t="shared" si="48"/>
        <v>-23.113826800387677</v>
      </c>
      <c r="BN95" s="50">
        <v>0</v>
      </c>
      <c r="BO95" s="15">
        <f t="shared" si="42"/>
        <v>12.658372895720021</v>
      </c>
      <c r="BP95" s="47">
        <v>0</v>
      </c>
      <c r="BQ95" s="209">
        <f t="shared" si="43"/>
        <v>32.929289083269843</v>
      </c>
      <c r="BR95" s="15">
        <f t="shared" si="43"/>
        <v>43.820412896127991</v>
      </c>
      <c r="BS95" s="18">
        <f t="shared" si="49"/>
        <v>-23.113826800387677</v>
      </c>
      <c r="BT95" s="18">
        <f t="shared" si="50"/>
        <v>0</v>
      </c>
      <c r="BU95" s="1346">
        <f t="shared" si="51"/>
        <v>-23.113826800387677</v>
      </c>
    </row>
    <row r="96" spans="3:73" x14ac:dyDescent="0.15">
      <c r="C96" s="2" t="s">
        <v>26</v>
      </c>
      <c r="F96" s="5"/>
      <c r="X96" s="5"/>
      <c r="Y96" s="5"/>
    </row>
    <row r="97" spans="2:63" x14ac:dyDescent="0.15">
      <c r="C97" t="s">
        <v>365</v>
      </c>
      <c r="D97" s="43">
        <v>63</v>
      </c>
      <c r="E97" s="44">
        <v>125</v>
      </c>
      <c r="F97" s="44">
        <v>250</v>
      </c>
      <c r="G97" s="44">
        <v>500</v>
      </c>
      <c r="H97" s="44">
        <v>1000</v>
      </c>
      <c r="I97" s="44">
        <v>2000</v>
      </c>
      <c r="J97" s="44">
        <v>4000</v>
      </c>
      <c r="K97" s="45">
        <v>8000</v>
      </c>
      <c r="M97" t="s">
        <v>117</v>
      </c>
      <c r="X97" s="5"/>
      <c r="Y97" s="5"/>
    </row>
    <row r="98" spans="2:63" x14ac:dyDescent="0.15">
      <c r="C98" s="67">
        <v>10</v>
      </c>
      <c r="D98" s="991">
        <v>12</v>
      </c>
      <c r="E98" s="991">
        <v>6</v>
      </c>
      <c r="F98" s="991">
        <v>4</v>
      </c>
      <c r="G98" s="991">
        <v>-3</v>
      </c>
      <c r="H98" s="991">
        <v>-8</v>
      </c>
      <c r="I98" s="991">
        <v>-12</v>
      </c>
      <c r="J98" s="991">
        <v>-16</v>
      </c>
      <c r="K98" s="991">
        <v>-22</v>
      </c>
      <c r="M98" s="5" cm="1">
        <f t="array" ref="M98">10*LOG10(SUM(10^((D98:K98+$AF$46:$AM$46)/10)))</f>
        <v>2.3839056127498287E-3</v>
      </c>
      <c r="X98" s="5"/>
      <c r="Y98" s="5"/>
      <c r="BG98" t="s">
        <v>2465</v>
      </c>
    </row>
    <row r="99" spans="2:63" x14ac:dyDescent="0.15">
      <c r="C99" s="67">
        <v>8</v>
      </c>
      <c r="D99" s="991">
        <v>10</v>
      </c>
      <c r="E99" s="991">
        <v>5</v>
      </c>
      <c r="F99" s="991">
        <v>4</v>
      </c>
      <c r="G99" s="991">
        <v>-1</v>
      </c>
      <c r="H99" s="991">
        <v>-10</v>
      </c>
      <c r="I99" s="991">
        <v>-14</v>
      </c>
      <c r="J99" s="991">
        <v>-19</v>
      </c>
      <c r="K99" s="991">
        <v>-24</v>
      </c>
      <c r="M99" s="5" cm="1">
        <f t="array" ref="M99">10*LOG10(SUM(10^((D99:K99+$AF$46:$AM$46)/10)))</f>
        <v>-1.7693079713103398E-4</v>
      </c>
      <c r="BG99" t="s">
        <v>2467</v>
      </c>
      <c r="BH99">
        <f>'C5 Lämmitys'!N8</f>
        <v>2</v>
      </c>
      <c r="BJ99" t="str">
        <f>IF(BH99=3,"LÄM-1",IF(BH99=4,"LÄM-2","Ei patteria"))</f>
        <v>Ei patteria</v>
      </c>
    </row>
    <row r="100" spans="2:63" x14ac:dyDescent="0.15">
      <c r="C100" s="67">
        <v>6</v>
      </c>
      <c r="D100" s="991">
        <v>11</v>
      </c>
      <c r="E100" s="991">
        <v>9</v>
      </c>
      <c r="F100" s="991">
        <v>3</v>
      </c>
      <c r="G100" s="991">
        <v>-1</v>
      </c>
      <c r="H100" s="991">
        <v>-9</v>
      </c>
      <c r="I100" s="991">
        <v>-14</v>
      </c>
      <c r="J100" s="991">
        <v>-20</v>
      </c>
      <c r="K100" s="991">
        <v>-23</v>
      </c>
      <c r="M100" s="5" cm="1">
        <f t="array" ref="M100">10*LOG10(SUM(10^((D100:K100+$AF$46:$AM$46)/10)))</f>
        <v>0.3167067333659252</v>
      </c>
      <c r="BG100" t="s">
        <v>2468</v>
      </c>
      <c r="BH100">
        <f>'C5 Jäähdytys'!N8</f>
        <v>1</v>
      </c>
      <c r="BJ100" t="str">
        <f>IF(BH100=2,"JÄ-1",IF(BH100=3,"JÄ-2",IF(BH100=4,"JÄ-1","Ei patteria")))</f>
        <v>Ei patteria</v>
      </c>
      <c r="BK100" t="b">
        <f>IF(BH100=4,"Suorahöyrystyspatteri valiituna,käytetään JÄ-1 painehäviötä")</f>
        <v>0</v>
      </c>
    </row>
    <row r="101" spans="2:63" x14ac:dyDescent="0.15">
      <c r="C101" s="994">
        <v>5</v>
      </c>
      <c r="D101" s="993">
        <f>AVERAGE(D100,D102)</f>
        <v>11</v>
      </c>
      <c r="E101" s="993">
        <f t="shared" ref="E101:K101" si="52">AVERAGE(E100,E102)</f>
        <v>11</v>
      </c>
      <c r="F101" s="993">
        <f t="shared" si="52"/>
        <v>2</v>
      </c>
      <c r="G101" s="993">
        <f t="shared" si="52"/>
        <v>-2.5</v>
      </c>
      <c r="H101" s="993">
        <f t="shared" si="52"/>
        <v>-10</v>
      </c>
      <c r="I101" s="993">
        <f t="shared" si="52"/>
        <v>-17</v>
      </c>
      <c r="J101" s="993">
        <f t="shared" si="52"/>
        <v>-21.5</v>
      </c>
      <c r="K101" s="993">
        <f t="shared" si="52"/>
        <v>-23.5</v>
      </c>
      <c r="M101" s="5" cm="1">
        <f t="array" ref="M101">10*LOG10(SUM(10^((D101:K101+$AF$46:$AM$46)/10)))</f>
        <v>-0.15094245340075138</v>
      </c>
    </row>
    <row r="102" spans="2:63" x14ac:dyDescent="0.15">
      <c r="C102" s="67">
        <v>4</v>
      </c>
      <c r="D102" s="991">
        <v>11</v>
      </c>
      <c r="E102" s="991">
        <v>13</v>
      </c>
      <c r="F102" s="991">
        <v>1</v>
      </c>
      <c r="G102" s="991">
        <v>-4</v>
      </c>
      <c r="H102" s="991">
        <v>-11</v>
      </c>
      <c r="I102" s="991">
        <v>-20</v>
      </c>
      <c r="J102" s="991">
        <v>-23</v>
      </c>
      <c r="K102" s="991">
        <v>-24</v>
      </c>
      <c r="M102" s="5" cm="1">
        <f t="array" ref="M102">10*LOG10(SUM(10^((D102:K102+$AF$46:$AM$46)/10)))</f>
        <v>-5.9822700748835056E-2</v>
      </c>
    </row>
    <row r="103" spans="2:63" x14ac:dyDescent="0.15">
      <c r="BG103" s="2" t="s">
        <v>2461</v>
      </c>
    </row>
    <row r="104" spans="2:63" x14ac:dyDescent="0.15">
      <c r="B104" t="s">
        <v>1150</v>
      </c>
      <c r="C104" s="992">
        <f>W9</f>
        <v>6.8428828118574261</v>
      </c>
      <c r="BH104" t="s">
        <v>2474</v>
      </c>
    </row>
    <row r="105" spans="2:63" x14ac:dyDescent="0.15">
      <c r="B105" t="s">
        <v>2115</v>
      </c>
      <c r="C105" s="990" cm="1">
        <f t="array" ref="C105">INDEX(C98:C102, MATCH(MIN(ABS($C$98:$C$102-$C$104)), ABS($C$98:$C$102-$C$104), 0))</f>
        <v>6</v>
      </c>
      <c r="D105" s="990" cm="1">
        <f t="array" ref="D105">INDEX(D98:D102, MATCH(MIN(ABS($C$98:$C$102-$C$104)), ABS($C$98:$C$102-$C$104), 0))</f>
        <v>11</v>
      </c>
      <c r="E105" s="990" cm="1">
        <f t="array" ref="E105">INDEX(E98:E102, MATCH(MIN(ABS($C$98:$C$102-$C$104)), ABS($C$98:$C$102-$C$104), 0))</f>
        <v>9</v>
      </c>
      <c r="F105" s="990" cm="1">
        <f t="array" ref="F105">INDEX(F98:F102, MATCH(MIN(ABS($C$98:$C$102-$C$104)), ABS($C$98:$C$102-$C$104), 0))</f>
        <v>3</v>
      </c>
      <c r="G105" s="990" cm="1">
        <f t="array" ref="G105">INDEX(G98:G102, MATCH(MIN(ABS($C$98:$C$102-$C$104)), ABS($C$98:$C$102-$C$104), 0))</f>
        <v>-1</v>
      </c>
      <c r="H105" s="990" cm="1">
        <f t="array" ref="H105">INDEX(H98:H102, MATCH(MIN(ABS($C$98:$C$102-$C$104)), ABS($C$98:$C$102-$C$104), 0))</f>
        <v>-9</v>
      </c>
      <c r="I105" s="990" cm="1">
        <f t="array" ref="I105">INDEX(I98:I102, MATCH(MIN(ABS($C$98:$C$102-$C$104)), ABS($C$98:$C$102-$C$104), 0))</f>
        <v>-14</v>
      </c>
      <c r="J105" s="990" cm="1">
        <f t="array" ref="J105">INDEX(J98:J102, MATCH(MIN(ABS($C$98:$C$102-$C$104)), ABS($C$98:$C$102-$C$104), 0))</f>
        <v>-20</v>
      </c>
      <c r="K105" s="990" cm="1">
        <f t="array" ref="K105">INDEX(K98:K102, MATCH(MIN(ABS($C$98:$C$102-$C$104)), ABS($C$98:$C$102-$C$104), 0))</f>
        <v>-23</v>
      </c>
      <c r="BG105" s="2" t="s">
        <v>2476</v>
      </c>
      <c r="BH105" s="1348">
        <f t="array" ref="BH105:BJ105">LINEST(BU88:BU95,BG88:BG95^{1,2})</f>
        <v>-4.7271163723694699E-5</v>
      </c>
      <c r="BI105" s="935">
        <v>-1.1012929728047214E-2</v>
      </c>
      <c r="BJ105" s="1347">
        <v>0.43808391658495349</v>
      </c>
    </row>
    <row r="107" spans="2:63" x14ac:dyDescent="0.15">
      <c r="C107" s="2" t="s">
        <v>29</v>
      </c>
      <c r="F107" s="5"/>
    </row>
    <row r="108" spans="2:63" x14ac:dyDescent="0.15">
      <c r="C108" s="628" t="s">
        <v>365</v>
      </c>
      <c r="D108" s="43">
        <v>63</v>
      </c>
      <c r="E108" s="44">
        <v>125</v>
      </c>
      <c r="F108" s="44">
        <v>250</v>
      </c>
      <c r="G108" s="44">
        <v>500</v>
      </c>
      <c r="H108" s="44">
        <v>1000</v>
      </c>
      <c r="I108" s="44">
        <v>2000</v>
      </c>
      <c r="J108" s="44">
        <v>4000</v>
      </c>
      <c r="K108" s="45">
        <v>8000</v>
      </c>
      <c r="M108" t="s">
        <v>117</v>
      </c>
      <c r="BG108" s="2" t="s">
        <v>2475</v>
      </c>
    </row>
    <row r="109" spans="2:63" x14ac:dyDescent="0.15">
      <c r="C109" s="973">
        <v>10</v>
      </c>
      <c r="D109" s="991">
        <v>0</v>
      </c>
      <c r="E109" s="991">
        <v>-5</v>
      </c>
      <c r="F109" s="991">
        <v>2</v>
      </c>
      <c r="G109" s="991">
        <v>-5</v>
      </c>
      <c r="H109" s="991">
        <v>-7</v>
      </c>
      <c r="I109" s="991">
        <v>-7</v>
      </c>
      <c r="J109" s="991">
        <v>-13</v>
      </c>
      <c r="K109" s="991">
        <v>-13</v>
      </c>
      <c r="M109" s="5" cm="1">
        <f t="array" ref="M109">10*LOG10(SUM(10^((D109:K109+$AF$46:$AM$46)/10)))</f>
        <v>-0.24638570841819124</v>
      </c>
      <c r="BG109" s="2" t="s">
        <v>102</v>
      </c>
      <c r="BH109" s="1349">
        <f>BH71-BH$105</f>
        <v>-1.7827017451941536E-3</v>
      </c>
      <c r="BI109" s="1349">
        <f t="shared" ref="BI109:BJ109" si="53">BI71-BI$105</f>
        <v>-0.72537191294995595</v>
      </c>
      <c r="BJ109" s="1350">
        <f t="shared" si="53"/>
        <v>1262.6488301242487</v>
      </c>
    </row>
    <row r="110" spans="2:63" x14ac:dyDescent="0.15">
      <c r="C110" s="67">
        <v>8</v>
      </c>
      <c r="D110" s="991">
        <v>0</v>
      </c>
      <c r="E110" s="991">
        <v>-4</v>
      </c>
      <c r="F110" s="991">
        <v>4</v>
      </c>
      <c r="G110" s="991">
        <v>-4</v>
      </c>
      <c r="H110" s="991">
        <v>-7</v>
      </c>
      <c r="I110" s="991">
        <v>-8</v>
      </c>
      <c r="J110" s="991">
        <v>-14</v>
      </c>
      <c r="K110" s="991">
        <v>-14</v>
      </c>
      <c r="M110" s="5" cm="1">
        <f t="array" ref="M110">10*LOG10(SUM(10^((D110:K110+$AF$46:$AM$46)/10)))</f>
        <v>0.16586976664670883</v>
      </c>
      <c r="BG110" s="2" t="s">
        <v>404</v>
      </c>
      <c r="BH110" s="1349">
        <f t="shared" ref="BH110:BJ112" si="54">BH72-BH$105</f>
        <v>-1.7362668362548646E-3</v>
      </c>
      <c r="BI110" s="1349">
        <f t="shared" si="54"/>
        <v>-0.35710857762427684</v>
      </c>
      <c r="BJ110" s="1350">
        <f t="shared" si="54"/>
        <v>817.93481216188411</v>
      </c>
    </row>
    <row r="111" spans="2:63" x14ac:dyDescent="0.15">
      <c r="C111" s="67">
        <v>6</v>
      </c>
      <c r="D111" s="991">
        <v>2</v>
      </c>
      <c r="E111" s="991">
        <v>2</v>
      </c>
      <c r="F111" s="991">
        <v>4</v>
      </c>
      <c r="G111" s="991">
        <v>-6</v>
      </c>
      <c r="H111" s="991">
        <v>-6</v>
      </c>
      <c r="I111" s="991">
        <v>-8</v>
      </c>
      <c r="J111" s="991">
        <v>-15</v>
      </c>
      <c r="K111" s="991">
        <v>-14</v>
      </c>
      <c r="M111" s="5" cm="1">
        <f t="array" ref="M111">10*LOG10(SUM(10^((D111:K111+$AF$46:$AM$46)/10)))</f>
        <v>0.17242764890498599</v>
      </c>
      <c r="BG111" s="2" t="s">
        <v>405</v>
      </c>
      <c r="BH111" s="1349">
        <f t="shared" si="54"/>
        <v>-1.7936284336822238E-3</v>
      </c>
      <c r="BI111" s="1349">
        <f t="shared" si="54"/>
        <v>-0.26648010771432618</v>
      </c>
      <c r="BJ111" s="1350">
        <f t="shared" si="54"/>
        <v>435.99566937245618</v>
      </c>
    </row>
    <row r="112" spans="2:63" x14ac:dyDescent="0.15">
      <c r="C112" s="994">
        <v>5</v>
      </c>
      <c r="D112" s="993">
        <f>AVERAGE(D111,D113)</f>
        <v>5</v>
      </c>
      <c r="E112" s="993">
        <f t="shared" ref="E112:K112" si="55">AVERAGE(E111,E113)</f>
        <v>5</v>
      </c>
      <c r="F112" s="993">
        <f t="shared" si="55"/>
        <v>2.5</v>
      </c>
      <c r="G112" s="993">
        <f t="shared" si="55"/>
        <v>-5.5</v>
      </c>
      <c r="H112" s="993">
        <f t="shared" si="55"/>
        <v>-5.5</v>
      </c>
      <c r="I112" s="993">
        <f t="shared" si="55"/>
        <v>-8.5</v>
      </c>
      <c r="J112" s="993">
        <f t="shared" si="55"/>
        <v>-16</v>
      </c>
      <c r="K112" s="993">
        <f t="shared" si="55"/>
        <v>-19</v>
      </c>
      <c r="M112" s="5" cm="1">
        <f t="array" ref="M112">10*LOG10(SUM(10^((D112:K112+$AF$46:$AM$46)/10)))</f>
        <v>-0.10986554696745297</v>
      </c>
      <c r="BG112" s="2" t="s">
        <v>406</v>
      </c>
      <c r="BH112" s="1349">
        <f t="shared" si="54"/>
        <v>-1.3766293765868252E-3</v>
      </c>
      <c r="BI112" s="1349">
        <f t="shared" si="54"/>
        <v>-0.38862228789241399</v>
      </c>
      <c r="BJ112" s="1350">
        <f t="shared" si="54"/>
        <v>201.73486406255401</v>
      </c>
    </row>
    <row r="113" spans="2:13" x14ac:dyDescent="0.15">
      <c r="C113" s="67">
        <v>4</v>
      </c>
      <c r="D113" s="991">
        <v>8</v>
      </c>
      <c r="E113" s="991">
        <v>8</v>
      </c>
      <c r="F113" s="991">
        <v>1</v>
      </c>
      <c r="G113" s="991">
        <v>-5</v>
      </c>
      <c r="H113" s="991">
        <v>-5</v>
      </c>
      <c r="I113" s="991">
        <v>-9</v>
      </c>
      <c r="J113" s="991">
        <v>-17</v>
      </c>
      <c r="K113" s="991">
        <v>-24</v>
      </c>
      <c r="M113" s="5" cm="1">
        <f t="array" ref="M113">10*LOG10(SUM(10^((D113:K113+$AF$46:$AM$46)/10)))</f>
        <v>2.4032810307105319E-2</v>
      </c>
    </row>
    <row r="115" spans="2:13" x14ac:dyDescent="0.15">
      <c r="B115" t="s">
        <v>1150</v>
      </c>
      <c r="C115" s="992">
        <f>W9</f>
        <v>6.8428828118574261</v>
      </c>
    </row>
    <row r="116" spans="2:13" x14ac:dyDescent="0.15">
      <c r="B116" t="s">
        <v>2115</v>
      </c>
      <c r="C116" s="990" cm="1">
        <f t="array" ref="C116">INDEX(C109:C113, MATCH(MIN(ABS($C$109:$C$113-$C$115)), ABS($C$109:$C$113-$C$115), 0))</f>
        <v>6</v>
      </c>
      <c r="D116" s="990" cm="1">
        <f t="array" ref="D116">INDEX(D109:D113, MATCH(MIN(ABS($C$109:$C$113-$C$115)), ABS($C$109:$C$113-$C$115), 0))</f>
        <v>2</v>
      </c>
      <c r="E116" s="990" cm="1">
        <f t="array" ref="E116">INDEX(E109:E113, MATCH(MIN(ABS($C$109:$C$113-$C$115)), ABS($C$109:$C$113-$C$115), 0))</f>
        <v>2</v>
      </c>
      <c r="F116" s="990" cm="1">
        <f t="array" ref="F116">INDEX(F109:F113, MATCH(MIN(ABS($C$109:$C$113-$C$115)), ABS($C$109:$C$113-$C$115), 0))</f>
        <v>4</v>
      </c>
      <c r="G116" s="990" cm="1">
        <f t="array" ref="G116">INDEX(G109:G113, MATCH(MIN(ABS($C$109:$C$113-$C$115)), ABS($C$109:$C$113-$C$115), 0))</f>
        <v>-6</v>
      </c>
      <c r="H116" s="990" cm="1">
        <f t="array" ref="H116">INDEX(H109:H113, MATCH(MIN(ABS($C$109:$C$113-$C$115)), ABS($C$109:$C$113-$C$115), 0))</f>
        <v>-6</v>
      </c>
      <c r="I116" s="990" cm="1">
        <f t="array" ref="I116">INDEX(I109:I113, MATCH(MIN(ABS($C$109:$C$113-$C$115)), ABS($C$109:$C$113-$C$115), 0))</f>
        <v>-8</v>
      </c>
      <c r="J116" s="990" cm="1">
        <f t="array" ref="J116">INDEX(J109:J113, MATCH(MIN(ABS($C$109:$C$113-$C$115)), ABS($C$109:$C$113-$C$115), 0))</f>
        <v>-15</v>
      </c>
      <c r="K116" s="990" cm="1">
        <f t="array" ref="K116">INDEX(K109:K113, MATCH(MIN(ABS($C$109:$C$113-$C$115)), ABS($C$109:$C$113-$C$115), 0))</f>
        <v>-14</v>
      </c>
    </row>
  </sheetData>
  <phoneticPr fontId="96" type="noConversion"/>
  <conditionalFormatting sqref="C109">
    <cfRule type="expression" priority="1">
      <formula>C109=INDEX(C109:C113, MATCH(MIN(ABS($C$109:$C$113-$C$115)), ABS($C$109:$C$113-$C$115), 0))</formula>
    </cfRule>
  </conditionalFormatting>
  <conditionalFormatting sqref="H82:H86 H88 H90">
    <cfRule type="cellIs" dxfId="70" priority="4" operator="equal">
      <formula>FALSE</formula>
    </cfRule>
    <cfRule type="cellIs" dxfId="69" priority="5" operator="equal">
      <formula>TRUE</formula>
    </cfRule>
  </conditionalFormatting>
  <conditionalFormatting sqref="W10">
    <cfRule type="cellIs" dxfId="68" priority="2" operator="equal">
      <formula>FALSE</formula>
    </cfRule>
    <cfRule type="cellIs" dxfId="67" priority="3" operator="equal">
      <formula>TRUE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88F5D-32E0-41C3-A8C7-0A95AB7453DE}">
  <dimension ref="B2:BQ116"/>
  <sheetViews>
    <sheetView topLeftCell="AA1" zoomScaleNormal="100" workbookViewId="0">
      <selection activeCell="AS6" sqref="AS6"/>
    </sheetView>
  </sheetViews>
  <sheetFormatPr baseColWidth="10" defaultColWidth="8.83203125" defaultRowHeight="13" x14ac:dyDescent="0.15"/>
  <cols>
    <col min="4" max="4" width="10.5" customWidth="1"/>
    <col min="5" max="5" width="10.6640625" bestFit="1" customWidth="1"/>
    <col min="7" max="7" width="10.5" customWidth="1"/>
    <col min="8" max="8" width="8.6640625" customWidth="1"/>
    <col min="9" max="11" width="9" bestFit="1" customWidth="1"/>
    <col min="16" max="16" width="10.83203125" customWidth="1"/>
    <col min="17" max="17" width="13.33203125" bestFit="1" customWidth="1"/>
    <col min="18" max="18" width="12.6640625" bestFit="1" customWidth="1"/>
    <col min="19" max="19" width="9.1640625" bestFit="1" customWidth="1"/>
    <col min="20" max="20" width="9" bestFit="1" customWidth="1"/>
    <col min="22" max="22" width="18.5" customWidth="1"/>
    <col min="25" max="25" width="10" customWidth="1"/>
  </cols>
  <sheetData>
    <row r="2" spans="3:69" x14ac:dyDescent="0.15">
      <c r="C2" s="2" t="s">
        <v>59</v>
      </c>
      <c r="J2" t="s">
        <v>15</v>
      </c>
      <c r="P2" s="2" t="s">
        <v>2044</v>
      </c>
      <c r="BG2" s="2" t="s">
        <v>2169</v>
      </c>
    </row>
    <row r="3" spans="3:69" x14ac:dyDescent="0.15">
      <c r="J3" s="850">
        <f>'C-series'!G33</f>
        <v>450</v>
      </c>
      <c r="K3" t="s">
        <v>13</v>
      </c>
      <c r="L3" s="122">
        <f>'C-series'!G44</f>
        <v>100</v>
      </c>
      <c r="M3" t="s">
        <v>14</v>
      </c>
      <c r="P3" s="2" t="s">
        <v>34</v>
      </c>
      <c r="AA3" s="2" t="s">
        <v>53</v>
      </c>
      <c r="AQ3" s="2" t="s">
        <v>2143</v>
      </c>
    </row>
    <row r="4" spans="3:69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  <c r="BG4" t="s">
        <v>2170</v>
      </c>
      <c r="BQ4" t="str">
        <f>BG7</f>
        <v>ePM 85% F8</v>
      </c>
    </row>
    <row r="5" spans="3:69" x14ac:dyDescent="0.15">
      <c r="C5" t="s">
        <v>2</v>
      </c>
      <c r="D5" s="1"/>
      <c r="E5" s="1"/>
      <c r="H5" s="1"/>
      <c r="P5" s="52">
        <f t="array" ref="P5:Q5">LINEST(AF34:AF37,LN(AC34:AC37))</f>
        <v>18.988850864918312</v>
      </c>
      <c r="Q5" s="52">
        <v>-63.525819764225751</v>
      </c>
      <c r="R5" t="s">
        <v>8</v>
      </c>
      <c r="T5" s="4"/>
      <c r="U5" s="39" t="s">
        <v>43</v>
      </c>
      <c r="V5" t="s">
        <v>8</v>
      </c>
      <c r="W5" s="9">
        <f>$P$5*LN($J$3)+$Q$5</f>
        <v>52.481771481749483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Q5" s="2" t="s">
        <v>2139</v>
      </c>
      <c r="BG5" t="s">
        <v>2171</v>
      </c>
      <c r="BQ5" t="str">
        <f>BJ7</f>
        <v>ePM 65% F7</v>
      </c>
    </row>
    <row r="6" spans="3:69" x14ac:dyDescent="0.15">
      <c r="C6" s="2" t="s">
        <v>3</v>
      </c>
      <c r="D6" s="1"/>
      <c r="E6" s="1"/>
      <c r="H6" s="1"/>
      <c r="P6" s="52">
        <f t="array" ref="P6:Q6">LINEST(AG34:AG37,LN(AC34:AC37))</f>
        <v>22.636398299138548</v>
      </c>
      <c r="Q6" s="52">
        <v>-67.679489641453003</v>
      </c>
      <c r="R6" t="s">
        <v>57</v>
      </c>
      <c r="T6" s="4"/>
      <c r="U6" s="39" t="s">
        <v>43</v>
      </c>
      <c r="V6" t="s">
        <v>57</v>
      </c>
      <c r="W6" s="9">
        <f>$P$6*LN($J$3)+$Q$6</f>
        <v>70.61187195005057</v>
      </c>
      <c r="X6" t="s">
        <v>31</v>
      </c>
      <c r="AA6" s="55">
        <v>25</v>
      </c>
      <c r="AB6" s="56">
        <f t="shared" ref="AB6:AB12" si="0">(-$D$9-SQRT($D$9^2-(4*$C$9*($E$9-AA6))))/(2*$C$9)</f>
        <v>704.41515202349137</v>
      </c>
      <c r="AC6" s="55">
        <v>20</v>
      </c>
      <c r="AD6" s="57">
        <f t="shared" ref="AD6:AD12" si="1">(-$D$14-SQRT($D$14^2-(4*$C$14*($E$14-AC6))))/(2*$C$14)</f>
        <v>635.13108472623696</v>
      </c>
      <c r="AE6" s="55">
        <v>10</v>
      </c>
      <c r="AF6" s="57">
        <f t="shared" ref="AF6:AF11" si="2">(-$D$19-SQRT($D$19^2-(4*$C$19*($E$19-AE6))))/(2*$C$19)</f>
        <v>461.46618744473108</v>
      </c>
      <c r="AG6" s="56">
        <v>10</v>
      </c>
      <c r="AH6" s="57">
        <f>(-$D$24-SQRT($D$24^2-(4*$C$24*($E$24-AG6))))/(2*$C$24)</f>
        <v>281.0750747137705</v>
      </c>
      <c r="AQ6" t="s">
        <v>2136</v>
      </c>
      <c r="AR6" t="s">
        <v>2140</v>
      </c>
      <c r="AS6" s="2">
        <v>5.8254866197285675E-3</v>
      </c>
      <c r="AT6" s="2">
        <v>1.4330461584284022</v>
      </c>
      <c r="AU6" s="2"/>
      <c r="BQ6" t="str">
        <f>BM7</f>
        <v>ePM10 50% M5</v>
      </c>
    </row>
    <row r="7" spans="3:69" x14ac:dyDescent="0.15">
      <c r="C7" t="s">
        <v>11</v>
      </c>
      <c r="D7" s="1"/>
      <c r="E7" s="1"/>
      <c r="H7" s="1"/>
      <c r="P7" s="2" t="s">
        <v>2045</v>
      </c>
      <c r="T7" s="4"/>
      <c r="U7" s="5"/>
      <c r="AA7" s="55">
        <v>100</v>
      </c>
      <c r="AB7" s="56">
        <f t="shared" si="0"/>
        <v>672.63936045835271</v>
      </c>
      <c r="AC7" s="55">
        <v>50</v>
      </c>
      <c r="AD7" s="57">
        <f t="shared" si="1"/>
        <v>621.13721586741849</v>
      </c>
      <c r="AE7" s="55">
        <v>50</v>
      </c>
      <c r="AF7" s="57">
        <f t="shared" si="2"/>
        <v>436.22652389115092</v>
      </c>
      <c r="AG7" s="56">
        <v>20</v>
      </c>
      <c r="AH7" s="57">
        <f>(-$D$24-SQRT($D$24^2-(4*$C$24*($E$24-AG7))))/(2*$C$24)</f>
        <v>271.66904546375156</v>
      </c>
      <c r="AQ7" t="s">
        <v>2137</v>
      </c>
      <c r="AR7" t="s">
        <v>2141</v>
      </c>
      <c r="AS7" s="2">
        <v>3.0952870539800134E-4</v>
      </c>
      <c r="AT7" s="2">
        <v>0.24577882900128553</v>
      </c>
      <c r="AU7" s="2">
        <v>-5.8216285630685718</v>
      </c>
      <c r="BG7" t="s">
        <v>2174</v>
      </c>
      <c r="BJ7" t="s">
        <v>2172</v>
      </c>
      <c r="BM7" t="s">
        <v>2175</v>
      </c>
    </row>
    <row r="8" spans="3:69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629.33063615244953</v>
      </c>
      <c r="AC8" s="55">
        <v>100</v>
      </c>
      <c r="AD8" s="57">
        <f t="shared" si="1"/>
        <v>597.24546096540359</v>
      </c>
      <c r="AE8" s="55">
        <v>90</v>
      </c>
      <c r="AF8" s="57">
        <f t="shared" si="2"/>
        <v>409.75018913868513</v>
      </c>
      <c r="AG8" s="56">
        <v>40</v>
      </c>
      <c r="AH8" s="57">
        <f>(-$D$24-SQRT($D$24^2-(4*$C$24*($E$24-AG8))))/(2*$C$24)</f>
        <v>252.08070997899338</v>
      </c>
      <c r="AQ8" t="s">
        <v>2138</v>
      </c>
      <c r="AR8" t="s">
        <v>2140</v>
      </c>
      <c r="AS8" s="2">
        <v>4.4457167216743412E-4</v>
      </c>
      <c r="AT8" s="2">
        <v>2</v>
      </c>
      <c r="AU8" s="2"/>
      <c r="BG8" s="4" t="s">
        <v>2173</v>
      </c>
      <c r="BH8" s="4" t="s">
        <v>364</v>
      </c>
      <c r="BJ8" s="4" t="s">
        <v>2173</v>
      </c>
      <c r="BK8" s="4" t="s">
        <v>364</v>
      </c>
      <c r="BM8" s="4" t="s">
        <v>2173</v>
      </c>
      <c r="BN8" s="4" t="s">
        <v>364</v>
      </c>
    </row>
    <row r="9" spans="3:69" x14ac:dyDescent="0.15">
      <c r="C9" s="8">
        <f>BH71</f>
        <v>-6.8301423740325744E-4</v>
      </c>
      <c r="D9" s="8">
        <f t="shared" ref="D9:E9" si="3">BI71</f>
        <v>-1.4197395479369237</v>
      </c>
      <c r="E9" s="8">
        <f t="shared" si="3"/>
        <v>1363.9981965746949</v>
      </c>
      <c r="H9" s="2"/>
      <c r="P9" t="s">
        <v>415</v>
      </c>
      <c r="Q9" s="52">
        <f t="array" ref="Q9:R9">LINEST(AC35:AC37,U35:U37)</f>
        <v>77.241981067340447</v>
      </c>
      <c r="R9" s="52">
        <v>-49.992356199405549</v>
      </c>
      <c r="T9" s="111">
        <f>(J3-R9)/Q9</f>
        <v>6.4730648967108504</v>
      </c>
      <c r="U9" s="39" t="s">
        <v>42</v>
      </c>
      <c r="V9" t="s">
        <v>58</v>
      </c>
      <c r="W9" s="125">
        <f>IF($J$3&gt;$AJ$35,AVERAGE(T10,T10,T10,T10,T11),AVERAGE(T9))</f>
        <v>6.4730648967108504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584.86750063882482</v>
      </c>
      <c r="AC9" s="55">
        <v>150</v>
      </c>
      <c r="AD9" s="57">
        <f t="shared" si="1"/>
        <v>572.58309106524268</v>
      </c>
      <c r="AE9" s="55">
        <v>130</v>
      </c>
      <c r="AF9" s="57">
        <f t="shared" si="2"/>
        <v>381.83535666879976</v>
      </c>
      <c r="AG9" s="56">
        <v>60</v>
      </c>
      <c r="AH9" s="57">
        <f>(-$D$24-SQRT($D$24^2-(4*$C$24*($E$24-AG9))))/(2*$C$24)</f>
        <v>231.29830588165899</v>
      </c>
      <c r="BG9" s="5">
        <v>616.19844494351491</v>
      </c>
      <c r="BH9" s="5">
        <v>144.333</v>
      </c>
      <c r="BJ9" s="5">
        <v>92.715984398123922</v>
      </c>
      <c r="BK9" s="5">
        <v>11.728</v>
      </c>
      <c r="BM9" s="5">
        <v>147.37290418265499</v>
      </c>
      <c r="BN9" s="5">
        <v>5.5680000000000005</v>
      </c>
    </row>
    <row r="10" spans="3:69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16.191699981903337</v>
      </c>
      <c r="R10" s="52">
        <v>468.93503302680989</v>
      </c>
      <c r="T10" s="111">
        <f>(J3-R10)/Q10</f>
        <v>-1.1694283520552284</v>
      </c>
      <c r="W10" s="2" t="b">
        <f>H88</f>
        <v>1</v>
      </c>
      <c r="AA10" s="55">
        <v>400</v>
      </c>
      <c r="AB10" s="56">
        <f t="shared" si="0"/>
        <v>539.1524029239863</v>
      </c>
      <c r="AC10" s="55">
        <v>170</v>
      </c>
      <c r="AD10" s="57">
        <f t="shared" si="1"/>
        <v>562.48496374942363</v>
      </c>
      <c r="AE10" s="55">
        <v>170</v>
      </c>
      <c r="AF10" s="57">
        <f t="shared" si="2"/>
        <v>352.21848586327883</v>
      </c>
      <c r="AG10" s="56">
        <v>160</v>
      </c>
      <c r="AH10" s="57">
        <f>(-$D$24-SQRT($D$24^2-(4*$C$24*($E$24-AG10))))/(2*$C$24)</f>
        <v>95.104674324430036</v>
      </c>
      <c r="AQ10" t="s">
        <v>2136</v>
      </c>
      <c r="AR10" s="110">
        <f>AS6*$J$3^AT6</f>
        <v>36.940962722334852</v>
      </c>
      <c r="AS10" t="s">
        <v>14</v>
      </c>
      <c r="BG10" s="5">
        <v>589.81331595633981</v>
      </c>
      <c r="BH10" s="5">
        <v>138.11699999999999</v>
      </c>
      <c r="BJ10" s="5">
        <v>153.8436504885284</v>
      </c>
      <c r="BK10" s="5">
        <v>19.863000000000003</v>
      </c>
      <c r="BM10" s="5">
        <v>238.16859601854648</v>
      </c>
      <c r="BN10" s="5">
        <v>9.8779999999999983</v>
      </c>
    </row>
    <row r="11" spans="3:69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1.9947781951979069E-5</v>
      </c>
      <c r="R11" s="7">
        <v>-2.4498219963770746E-3</v>
      </c>
      <c r="S11" s="7">
        <v>3.3658027548894607</v>
      </c>
      <c r="T11" s="111">
        <f>Q11*J3^2+R11*J3+S11</f>
        <v>6.3028087017955388</v>
      </c>
      <c r="V11" t="s">
        <v>348</v>
      </c>
      <c r="W11" s="294">
        <v>100</v>
      </c>
      <c r="X11" t="s">
        <v>13</v>
      </c>
      <c r="AA11" s="55">
        <v>500</v>
      </c>
      <c r="AB11" s="56">
        <f t="shared" si="0"/>
        <v>492.07322645236565</v>
      </c>
      <c r="AC11" s="55">
        <v>190</v>
      </c>
      <c r="AD11" s="57">
        <f t="shared" si="1"/>
        <v>552.24522324859129</v>
      </c>
      <c r="AE11" s="55">
        <v>330</v>
      </c>
      <c r="AF11" s="57">
        <f t="shared" si="2"/>
        <v>206.76262174494295</v>
      </c>
      <c r="AG11" s="56"/>
      <c r="AH11" s="57"/>
      <c r="AQ11" t="s">
        <v>2137</v>
      </c>
      <c r="AR11" s="110">
        <f>AS7*$J$3^2+AT7*$J$3+AU7</f>
        <v>167.45840733060518</v>
      </c>
      <c r="AS11" t="s">
        <v>14</v>
      </c>
      <c r="BG11" s="5">
        <v>398.23114566001288</v>
      </c>
      <c r="BH11" s="5">
        <v>82.931000000000012</v>
      </c>
      <c r="BJ11" s="5">
        <v>253.42738758866832</v>
      </c>
      <c r="BK11" s="5">
        <v>34.451000000000001</v>
      </c>
      <c r="BM11" s="5">
        <v>349.7764409051448</v>
      </c>
      <c r="BN11" s="5">
        <v>16.643000000000001</v>
      </c>
    </row>
    <row r="12" spans="3:69" x14ac:dyDescent="0.15">
      <c r="C12" t="s">
        <v>11</v>
      </c>
      <c r="D12" s="1"/>
      <c r="E12" s="1"/>
      <c r="H12" s="1"/>
      <c r="P12" s="2" t="s">
        <v>2046</v>
      </c>
      <c r="AA12" s="58">
        <v>530</v>
      </c>
      <c r="AB12" s="59">
        <f t="shared" si="0"/>
        <v>477.66458782780904</v>
      </c>
      <c r="AC12" s="58">
        <v>510</v>
      </c>
      <c r="AD12" s="60">
        <f t="shared" si="1"/>
        <v>362.1499176804237</v>
      </c>
      <c r="AE12" s="58"/>
      <c r="AF12" s="60"/>
      <c r="AG12" s="59"/>
      <c r="AH12" s="60"/>
      <c r="AQ12" t="s">
        <v>2138</v>
      </c>
      <c r="AR12" s="110">
        <f>AS8*$J$3^AT8</f>
        <v>90.025763613905411</v>
      </c>
      <c r="AS12" t="s">
        <v>14</v>
      </c>
      <c r="BG12" s="5">
        <v>279.75020595412758</v>
      </c>
      <c r="BH12" s="5">
        <v>53.301000000000002</v>
      </c>
      <c r="BJ12" s="5">
        <v>324.46714326457584</v>
      </c>
      <c r="BK12" s="5">
        <v>44.194000000000003</v>
      </c>
      <c r="BM12" s="5">
        <v>409.0468858558321</v>
      </c>
      <c r="BN12" s="5">
        <v>20.114999999999998</v>
      </c>
    </row>
    <row r="13" spans="3:69" ht="14" thickBot="1" x14ac:dyDescent="0.2">
      <c r="C13" t="s">
        <v>4</v>
      </c>
      <c r="D13" t="s">
        <v>5</v>
      </c>
      <c r="E13" t="s">
        <v>6</v>
      </c>
      <c r="P13" s="2" t="s">
        <v>51</v>
      </c>
      <c r="U13" s="39" t="s">
        <v>43</v>
      </c>
      <c r="V13" t="s">
        <v>58</v>
      </c>
      <c r="W13" s="295">
        <f>P20</f>
        <v>285.04718273449032</v>
      </c>
      <c r="X13" t="s">
        <v>49</v>
      </c>
      <c r="Y13" s="129" t="s">
        <v>414</v>
      </c>
      <c r="BG13" s="5">
        <v>152.44227895465414</v>
      </c>
      <c r="BH13" s="5">
        <v>25.874000000000002</v>
      </c>
      <c r="BJ13" s="5">
        <v>388.88146120155363</v>
      </c>
      <c r="BK13" s="5">
        <v>54.279999999999994</v>
      </c>
      <c r="BM13" s="5">
        <v>498.8209699968836</v>
      </c>
      <c r="BN13" s="5">
        <v>26.437999999999999</v>
      </c>
    </row>
    <row r="14" spans="3:69" ht="14" thickBot="1" x14ac:dyDescent="0.2">
      <c r="C14" s="8">
        <f>BH72</f>
        <v>-1.3467856279693324E-3</v>
      </c>
      <c r="D14" s="8">
        <f t="shared" ref="D14:E14" si="4">BI72</f>
        <v>-0.45187190188011217</v>
      </c>
      <c r="E14" s="8">
        <f t="shared" si="4"/>
        <v>850.27975882063606</v>
      </c>
      <c r="H14" s="2"/>
      <c r="O14" t="s">
        <v>412</v>
      </c>
      <c r="P14" s="51">
        <f t="array" ref="P14:R14">LINEST(AE34:AE37,AC34:AC37^{1,2})</f>
        <v>3.3375871316251799E-3</v>
      </c>
      <c r="Q14" s="51">
        <v>-1.2631544926821143</v>
      </c>
      <c r="R14" s="51">
        <v>182.16146765605401</v>
      </c>
      <c r="V14" t="s">
        <v>2108</v>
      </c>
      <c r="W14" s="296">
        <f>IF(W13&gt;Y14,Y14,W13)</f>
        <v>285.04718273449032</v>
      </c>
      <c r="X14" t="s">
        <v>49</v>
      </c>
      <c r="Y14" s="129">
        <v>725</v>
      </c>
      <c r="Z14" t="s">
        <v>49</v>
      </c>
      <c r="AQ14" t="s">
        <v>2142</v>
      </c>
      <c r="AR14" s="3">
        <f>L3+AR10+AR11+AR12</f>
        <v>394.42513366684545</v>
      </c>
      <c r="AS14" t="s">
        <v>14</v>
      </c>
      <c r="BJ14" s="5">
        <v>435.03170293522749</v>
      </c>
      <c r="BK14" s="5">
        <v>61.194999999999993</v>
      </c>
      <c r="BM14" s="5"/>
      <c r="BN14" s="5"/>
    </row>
    <row r="15" spans="3:69" x14ac:dyDescent="0.15">
      <c r="C15" s="2"/>
      <c r="D15" s="2"/>
      <c r="E15" s="2"/>
      <c r="H15" s="2"/>
      <c r="O15" t="s">
        <v>413</v>
      </c>
      <c r="P15" s="7">
        <f t="array" ref="P15:S15">LINEST(AE34:AE37,AC34:AC37^{1,2,3})</f>
        <v>3.3467197343459247E-6</v>
      </c>
      <c r="Q15" s="7">
        <v>-1.0997754683347979E-3</v>
      </c>
      <c r="R15" s="7">
        <v>0.59416194307364156</v>
      </c>
      <c r="S15" s="7">
        <v>-60.347152471835386</v>
      </c>
      <c r="BJ15" s="5">
        <v>483.29235357810359</v>
      </c>
      <c r="BK15" s="5">
        <v>69.11699999999999</v>
      </c>
      <c r="BM15" s="5"/>
      <c r="BN15" s="5"/>
    </row>
    <row r="16" spans="3:69" x14ac:dyDescent="0.15">
      <c r="C16" s="2" t="s">
        <v>411</v>
      </c>
      <c r="D16" s="1"/>
      <c r="E16" s="1"/>
      <c r="H16" s="1"/>
      <c r="BJ16" s="5">
        <v>528.55687778939728</v>
      </c>
      <c r="BK16" s="5">
        <v>77.183000000000007</v>
      </c>
      <c r="BM16" s="4"/>
      <c r="BN16" s="4"/>
    </row>
    <row r="17" spans="3:67" x14ac:dyDescent="0.15">
      <c r="C17" t="s">
        <v>11</v>
      </c>
      <c r="D17" s="1"/>
      <c r="E17" s="1"/>
      <c r="H17" s="1"/>
      <c r="O17" t="s">
        <v>412</v>
      </c>
      <c r="P17" s="3">
        <f>$P$14*J3^2+$Q$14*J3+$R$14</f>
        <v>289.6033401032015</v>
      </c>
      <c r="Q17" t="s">
        <v>49</v>
      </c>
      <c r="BJ17" s="5">
        <v>551.9146958158334</v>
      </c>
      <c r="BK17" s="5">
        <v>81.073999999999998</v>
      </c>
      <c r="BM17" s="4"/>
      <c r="BN17" s="4"/>
    </row>
    <row r="18" spans="3:67" ht="15" x14ac:dyDescent="0.15">
      <c r="C18" t="s">
        <v>4</v>
      </c>
      <c r="D18" t="s">
        <v>5</v>
      </c>
      <c r="E18" t="s">
        <v>6</v>
      </c>
      <c r="H18" s="1"/>
      <c r="O18" t="s">
        <v>413</v>
      </c>
      <c r="P18" s="3">
        <f>$P$15*J3^3+$Q$15*J3^2+$R$15*J3+$S$15</f>
        <v>289.29102536577915</v>
      </c>
      <c r="Q18" t="s">
        <v>49</v>
      </c>
      <c r="BG18" t="s">
        <v>2177</v>
      </c>
    </row>
    <row r="19" spans="3:67" x14ac:dyDescent="0.15">
      <c r="C19" s="8">
        <f>BH73</f>
        <v>-1.4313567830471533E-3</v>
      </c>
      <c r="D19" s="8">
        <f t="shared" ref="D19:E19" si="5">BI73</f>
        <v>-0.29988862772525232</v>
      </c>
      <c r="E19" s="8">
        <f t="shared" si="5"/>
        <v>453.197380339603</v>
      </c>
      <c r="O19" t="s">
        <v>419</v>
      </c>
      <c r="P19" s="3">
        <f>AVERAGE(P17:P18)</f>
        <v>289.4471827344903</v>
      </c>
      <c r="Q19" t="s">
        <v>49</v>
      </c>
      <c r="AB19" s="6"/>
      <c r="AC19" s="6"/>
      <c r="BG19" s="4" t="s">
        <v>4</v>
      </c>
      <c r="BH19" s="4" t="s">
        <v>5</v>
      </c>
      <c r="BJ19" s="4" t="s">
        <v>4</v>
      </c>
      <c r="BK19" s="4" t="s">
        <v>5</v>
      </c>
      <c r="BM19" s="4" t="s">
        <v>4</v>
      </c>
      <c r="BN19" s="4" t="s">
        <v>5</v>
      </c>
    </row>
    <row r="20" spans="3:67" x14ac:dyDescent="0.15">
      <c r="C20" s="2"/>
      <c r="D20" s="2"/>
      <c r="E20" s="2"/>
      <c r="H20" s="1"/>
      <c r="P20" s="3">
        <f>P19-'Laskenta tulopuoli C5'!W17</f>
        <v>285.04718273449032</v>
      </c>
      <c r="Q20" t="s">
        <v>2110</v>
      </c>
      <c r="AB20" s="6"/>
      <c r="AC20" s="6"/>
      <c r="BG20" s="1069">
        <f>EXP(BI20)</f>
        <v>5.077577934597171E-2</v>
      </c>
      <c r="BH20" s="1070">
        <f t="array" ref="BH20:BI20">LINEST(LN(BH9:BH13),LN(BG9:BG13))</f>
        <v>1.2376148039531605</v>
      </c>
      <c r="BI20">
        <v>-2.9803358226237009</v>
      </c>
      <c r="BJ20" s="1069">
        <f>EXP(BL20)</f>
        <v>8.5932881129601388E-2</v>
      </c>
      <c r="BK20" s="1070">
        <f t="array" ref="BK20:BL20">LINEST(LN(BK9:BK17),LN(BJ9:BJ17))</f>
        <v>1.0825496613839145</v>
      </c>
      <c r="BL20">
        <v>-2.4541887394212081</v>
      </c>
      <c r="BM20" s="1069">
        <f>EXP(BO20)</f>
        <v>9.2006285223235479E-3</v>
      </c>
      <c r="BN20" s="1070">
        <f t="array" ref="BN20:BO20">LINEST(LN(BN9:BN13),LN(BM9:BM13))</f>
        <v>1.2798212403577838</v>
      </c>
      <c r="BO20">
        <v>-4.6884834796168224</v>
      </c>
    </row>
    <row r="21" spans="3:67" x14ac:dyDescent="0.15">
      <c r="C21" s="2" t="s">
        <v>409</v>
      </c>
      <c r="D21" s="1"/>
      <c r="E21" s="1"/>
      <c r="H21" s="1"/>
      <c r="AB21" s="6"/>
      <c r="AC21" s="6"/>
    </row>
    <row r="22" spans="3:67" x14ac:dyDescent="0.15">
      <c r="C22" t="s">
        <v>11</v>
      </c>
      <c r="D22" s="1"/>
      <c r="E22" s="1"/>
      <c r="H22" s="1"/>
      <c r="AB22" s="6"/>
      <c r="AC22" s="6"/>
      <c r="BG22" t="s">
        <v>2178</v>
      </c>
    </row>
    <row r="23" spans="3:67" x14ac:dyDescent="0.15">
      <c r="C23" t="s">
        <v>4</v>
      </c>
      <c r="D23" t="s">
        <v>5</v>
      </c>
      <c r="E23" t="s">
        <v>6</v>
      </c>
      <c r="H23" s="1"/>
      <c r="BG23" s="110">
        <f>J3</f>
        <v>450</v>
      </c>
      <c r="BH23" t="s">
        <v>13</v>
      </c>
    </row>
    <row r="24" spans="3:67" x14ac:dyDescent="0.15">
      <c r="C24" s="8">
        <f>BH74</f>
        <v>-1.4531125513772114E-3</v>
      </c>
      <c r="D24" s="8">
        <f t="shared" ref="D24:E24" si="6">BI74</f>
        <v>-0.25994845527652749</v>
      </c>
      <c r="E24" s="8">
        <f t="shared" si="6"/>
        <v>197.86556955691194</v>
      </c>
      <c r="H24" s="1"/>
    </row>
    <row r="25" spans="3:67" x14ac:dyDescent="0.15">
      <c r="G25" s="2"/>
      <c r="H25" s="1"/>
    </row>
    <row r="27" spans="3:67" x14ac:dyDescent="0.15">
      <c r="U27" t="s">
        <v>407</v>
      </c>
    </row>
    <row r="28" spans="3:67" x14ac:dyDescent="0.15">
      <c r="U28" s="4" t="s">
        <v>17</v>
      </c>
    </row>
    <row r="29" spans="3:67" x14ac:dyDescent="0.15">
      <c r="U29" s="4">
        <f>L3/J3^2</f>
        <v>4.9382716049382717E-4</v>
      </c>
    </row>
    <row r="30" spans="3:67" x14ac:dyDescent="0.15">
      <c r="BG30" t="s">
        <v>2176</v>
      </c>
    </row>
    <row r="31" spans="3:67" x14ac:dyDescent="0.15">
      <c r="U31" s="2" t="s">
        <v>16</v>
      </c>
      <c r="AO31" s="2" t="s">
        <v>1110</v>
      </c>
      <c r="BG31" s="2" t="str" cm="1">
        <f t="array" ref="BG31">INDEX(BQ4:BQ6,'C koodit'!$F$12)</f>
        <v>ePM 85% F8</v>
      </c>
    </row>
    <row r="32" spans="3:67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6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77.241981067340447</v>
      </c>
      <c r="AX33" s="52">
        <f>R9</f>
        <v>-49.992356199405549</v>
      </c>
      <c r="AZ33" s="111">
        <f>(AO36-AX33)/AW33</f>
        <v>7.3469420172517221</v>
      </c>
      <c r="BH33" s="4" t="s">
        <v>2179</v>
      </c>
      <c r="BI33" s="4" t="s">
        <v>2180</v>
      </c>
      <c r="BJ33" s="4" t="s">
        <v>2181</v>
      </c>
      <c r="BL33" s="4" t="s">
        <v>2182</v>
      </c>
    </row>
    <row r="34" spans="21:67" x14ac:dyDescent="0.15">
      <c r="U34" s="35">
        <v>10</v>
      </c>
      <c r="V34" s="98">
        <f>C9</f>
        <v>-6.8301423740325744E-4</v>
      </c>
      <c r="W34" s="99">
        <f>D9</f>
        <v>-1.4197395479369237</v>
      </c>
      <c r="X34" s="100">
        <f>E9</f>
        <v>1363.9981965746949</v>
      </c>
      <c r="Y34" s="36">
        <f>C9-U29</f>
        <v>-1.1768413978970847E-3</v>
      </c>
      <c r="Z34" s="28">
        <f>(-W34+SQRT(W34^2-(4*Y34*X34)))/(2*Y34)</f>
        <v>-1837.2504060453903</v>
      </c>
      <c r="AA34" s="29">
        <f>(-W34-SQRT(W34^2-(4*Y34*X34)))/(2*Y34)</f>
        <v>630.85203284584327</v>
      </c>
      <c r="AB34" s="36">
        <f>AB6</f>
        <v>704.41515202349137</v>
      </c>
      <c r="AC34" s="53">
        <f>IF(Z34&lt;0,AA34,IF(Z34&gt;AB34,AA34,Z34))</f>
        <v>630.85203284584327</v>
      </c>
      <c r="AD34" s="53">
        <f>V34*AC34^2+W34*AC34+X34</f>
        <v>196.53051226949742</v>
      </c>
      <c r="AE34" s="53">
        <f>X51*AC34^2+Y51*AC34+Z51</f>
        <v>717.03588138044131</v>
      </c>
      <c r="AF34" s="53">
        <f>AVERAGE(K60,K60,K62)</f>
        <v>58.930757036670251</v>
      </c>
      <c r="AG34" s="53">
        <f>AVERAGE(U60,U60,U62)</f>
        <v>77.936163931735123</v>
      </c>
      <c r="AI34">
        <v>10</v>
      </c>
      <c r="AJ34" s="3">
        <f>AC34</f>
        <v>630.85203284584327</v>
      </c>
      <c r="AL34">
        <f>AN52*AC34^2+AO52*AC34+AP52</f>
        <v>0</v>
      </c>
      <c r="AM34" t="s">
        <v>14</v>
      </c>
      <c r="AO34" s="616">
        <f>AC34/$J$3-1</f>
        <v>0.4018934063240962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Y35" si="7">Q10</f>
        <v>16.191699981903337</v>
      </c>
      <c r="AX34" s="52">
        <f t="shared" si="7"/>
        <v>468.93503302680989</v>
      </c>
      <c r="AZ34" s="111">
        <f>(AO36-AX34)/AW34</f>
        <v>2.9993741872359774</v>
      </c>
      <c r="BG34" s="4" t="s">
        <v>13</v>
      </c>
      <c r="BH34" s="4" t="s">
        <v>14</v>
      </c>
      <c r="BI34" s="4" t="s">
        <v>14</v>
      </c>
      <c r="BJ34" s="4" t="s">
        <v>14</v>
      </c>
      <c r="BL34" s="4" t="s">
        <v>2179</v>
      </c>
      <c r="BM34" s="4" t="s">
        <v>2180</v>
      </c>
    </row>
    <row r="35" spans="21:67" x14ac:dyDescent="0.15">
      <c r="U35" s="35">
        <v>8</v>
      </c>
      <c r="V35" s="98">
        <f>C14</f>
        <v>-1.3467856279693324E-3</v>
      </c>
      <c r="W35" s="99">
        <f>D14</f>
        <v>-0.45187190188011217</v>
      </c>
      <c r="X35" s="100">
        <f>E14</f>
        <v>850.27975882063606</v>
      </c>
      <c r="Y35" s="36">
        <f>C14-U29</f>
        <v>-1.8406127884631595E-3</v>
      </c>
      <c r="Z35" s="28">
        <f t="shared" ref="Z35:Z37" si="8">(-W35+SQRT(W35^2-(4*Y35*X35)))/(2*Y35)</f>
        <v>-813.41846258116595</v>
      </c>
      <c r="AA35" s="29">
        <f t="shared" ref="AA35:AA37" si="9">(-W35-SQRT(W35^2-(4*Y35*X35)))/(2*Y35)</f>
        <v>567.9176681107507</v>
      </c>
      <c r="AB35" s="36">
        <f>AD6</f>
        <v>635.13108472623696</v>
      </c>
      <c r="AC35" s="53">
        <f t="shared" ref="AC35:AC37" si="10">IF(Z35&lt;0,AA35,IF(Z35&gt;AB35,AA35,Z35))</f>
        <v>567.9176681107507</v>
      </c>
      <c r="AD35" s="53">
        <f>V35*AC35^2+W35*AC35+X35</f>
        <v>159.27431000116155</v>
      </c>
      <c r="AE35" s="53">
        <f t="shared" ref="AE35:AE37" si="11">X52*AC35^2+Y52*AC35+Z52</f>
        <v>535.39799210013757</v>
      </c>
      <c r="AF35" s="53">
        <f>AVERAGE(K65,K65,K67)</f>
        <v>56.692098710497135</v>
      </c>
      <c r="AG35" s="53">
        <f>AVERAGE(U65,U65,U67)</f>
        <v>75.714076254062931</v>
      </c>
      <c r="AI35">
        <v>8.5</v>
      </c>
      <c r="AJ35" s="3">
        <f>Q9*AI35+R9</f>
        <v>606.56448287298826</v>
      </c>
      <c r="AL35">
        <f t="shared" ref="AL35:AL37" si="12">AN53*AC35^2+AO53*AC35+AP53</f>
        <v>0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si="7"/>
        <v>1.9947781951979069E-5</v>
      </c>
      <c r="AX35" s="52">
        <f t="shared" si="7"/>
        <v>-2.4498219963770746E-3</v>
      </c>
      <c r="AY35" s="52">
        <f t="shared" si="7"/>
        <v>3.3658027548894607</v>
      </c>
      <c r="AZ35" s="111">
        <f>AW35*AO36^2+AX35*AO36+AY35</f>
        <v>7.4401605521415188</v>
      </c>
      <c r="BG35" s="4">
        <v>50</v>
      </c>
      <c r="BH35" s="5">
        <f>$BG$20*BG35^$BH$20</f>
        <v>6.4317184802407681</v>
      </c>
      <c r="BI35" s="5">
        <f>$BJ$20*BG35^$BK$20</f>
        <v>5.9344267800963078</v>
      </c>
      <c r="BJ35" s="5">
        <f>$BM$20*BG35^$BN$20</f>
        <v>1.3746603129882489</v>
      </c>
      <c r="BL35" s="5">
        <f>BJ35-BH35</f>
        <v>-5.057058167252519</v>
      </c>
      <c r="BM35" s="5">
        <f>BJ35-BI35</f>
        <v>-4.5597664671080587</v>
      </c>
    </row>
    <row r="36" spans="21:67" x14ac:dyDescent="0.15">
      <c r="U36" s="35">
        <v>6</v>
      </c>
      <c r="V36" s="98">
        <f>C19</f>
        <v>-1.4313567830471533E-3</v>
      </c>
      <c r="W36" s="99">
        <f>D19</f>
        <v>-0.29988862772525232</v>
      </c>
      <c r="X36" s="100">
        <f>E19</f>
        <v>453.197380339603</v>
      </c>
      <c r="Y36" s="36">
        <f>C19-U29</f>
        <v>-1.9251839435409806E-3</v>
      </c>
      <c r="Z36" s="28">
        <f t="shared" si="8"/>
        <v>-569.28259402775961</v>
      </c>
      <c r="AA36" s="29">
        <f t="shared" si="9"/>
        <v>413.51117866177191</v>
      </c>
      <c r="AB36" s="36">
        <f>AF6</f>
        <v>461.46618744473108</v>
      </c>
      <c r="AC36" s="53">
        <f t="shared" si="10"/>
        <v>413.51117866177191</v>
      </c>
      <c r="AD36" s="53">
        <f>V36*AC36^2+W36*AC36+X36</f>
        <v>84.440244384319953</v>
      </c>
      <c r="AE36" s="53">
        <f t="shared" si="11"/>
        <v>233.92936103631121</v>
      </c>
      <c r="AF36" s="53">
        <f>AVERAGE(K70,K70,K72)</f>
        <v>51.161700534493356</v>
      </c>
      <c r="AG36" s="53">
        <f>AVERAGE(U70,U70,U72)</f>
        <v>69.59024625871227</v>
      </c>
      <c r="AI36">
        <v>8</v>
      </c>
      <c r="AJ36" s="3">
        <f>AC35</f>
        <v>567.9176681107507</v>
      </c>
      <c r="AL36">
        <f t="shared" si="12"/>
        <v>0</v>
      </c>
      <c r="AM36" t="s">
        <v>14</v>
      </c>
      <c r="AO36" s="609">
        <f>TuloksetC!$CS$16</f>
        <v>517.5</v>
      </c>
      <c r="AP36" t="s">
        <v>13</v>
      </c>
      <c r="AR36" s="617">
        <f>IF($AO$36&gt;$AJ$35,AVERAGE(AZ34,AZ34,AZ34,AZ34,AZ35),AVERAGE(AZ33))</f>
        <v>7.3469420172517221</v>
      </c>
      <c r="AS36" t="s">
        <v>25</v>
      </c>
      <c r="BG36" s="4">
        <v>100</v>
      </c>
      <c r="BH36" s="5">
        <f t="shared" ref="BH36:BH42" si="13">$BG$20*BG36^$BH$20</f>
        <v>15.166529211639332</v>
      </c>
      <c r="BI36" s="5">
        <f t="shared" ref="BI36:BI42" si="14">$BJ$20*BG36^$BK$20</f>
        <v>12.567783644775107</v>
      </c>
      <c r="BJ36" s="5">
        <f t="shared" ref="BJ36:BJ42" si="15">$BM$20*BG36^$BN$20</f>
        <v>3.3377974383929478</v>
      </c>
      <c r="BL36" s="5">
        <f t="shared" ref="BL36:BL42" si="16">BJ36-BH36</f>
        <v>-11.828731773246385</v>
      </c>
      <c r="BM36" s="5">
        <f t="shared" ref="BM36:BM42" si="17">BJ36-BI36</f>
        <v>-9.2299862063821578</v>
      </c>
    </row>
    <row r="37" spans="21:67" x14ac:dyDescent="0.15">
      <c r="U37" s="38">
        <v>4</v>
      </c>
      <c r="V37" s="101">
        <f>C24</f>
        <v>-1.4531125513772114E-3</v>
      </c>
      <c r="W37" s="102">
        <f>D24</f>
        <v>-0.25994845527652749</v>
      </c>
      <c r="X37" s="103">
        <f>E24</f>
        <v>197.86556955691194</v>
      </c>
      <c r="Y37" s="37">
        <f>C24-U29</f>
        <v>-1.9469397118710386E-3</v>
      </c>
      <c r="Z37" s="30">
        <f t="shared" si="8"/>
        <v>-392.46618181404352</v>
      </c>
      <c r="AA37" s="31">
        <f t="shared" si="9"/>
        <v>258.94974384138897</v>
      </c>
      <c r="AB37" s="37">
        <f>AH6</f>
        <v>281.0750747137705</v>
      </c>
      <c r="AC37" s="53">
        <f t="shared" si="10"/>
        <v>258.94974384138897</v>
      </c>
      <c r="AD37" s="53">
        <f>V37*AC37^2+W37*AC37+X37</f>
        <v>33.113565350874552</v>
      </c>
      <c r="AE37" s="53">
        <f t="shared" si="11"/>
        <v>77.877516863318959</v>
      </c>
      <c r="AF37" s="53">
        <f>AVERAGE(K75,K75,K77)</f>
        <v>41.8774167758015</v>
      </c>
      <c r="AG37" s="53">
        <f>AVERAGE(U75,U75,U77)</f>
        <v>57.698874349382038</v>
      </c>
      <c r="AI37">
        <v>6</v>
      </c>
      <c r="AJ37" s="3">
        <f t="shared" ref="AJ37:AJ38" si="18">AC36</f>
        <v>413.51117866177191</v>
      </c>
      <c r="AL37">
        <f t="shared" si="12"/>
        <v>0</v>
      </c>
      <c r="AM37" t="s">
        <v>14</v>
      </c>
      <c r="AO37" s="609">
        <f>TuloksetC!$CS$17</f>
        <v>132.25</v>
      </c>
      <c r="AP37" t="s">
        <v>14</v>
      </c>
      <c r="BG37" s="4">
        <v>150</v>
      </c>
      <c r="BH37" s="5">
        <f t="shared" si="13"/>
        <v>25.050670523054098</v>
      </c>
      <c r="BI37" s="5">
        <f t="shared" si="14"/>
        <v>19.493338689080041</v>
      </c>
      <c r="BJ37" s="5">
        <f t="shared" si="15"/>
        <v>5.6082234704753633</v>
      </c>
      <c r="BL37" s="5">
        <f t="shared" si="16"/>
        <v>-19.442447052578736</v>
      </c>
      <c r="BM37" s="5">
        <f t="shared" si="17"/>
        <v>-13.885115218604678</v>
      </c>
    </row>
    <row r="38" spans="21:67" x14ac:dyDescent="0.15">
      <c r="AI38">
        <v>4</v>
      </c>
      <c r="AJ38" s="3">
        <f t="shared" si="18"/>
        <v>258.94974384138897</v>
      </c>
      <c r="BG38" s="4">
        <v>200</v>
      </c>
      <c r="BH38" s="5">
        <f t="shared" si="13"/>
        <v>35.763942254962934</v>
      </c>
      <c r="BI38" s="5">
        <f t="shared" si="14"/>
        <v>26.615744299285648</v>
      </c>
      <c r="BJ38" s="5">
        <f t="shared" si="15"/>
        <v>8.1044688891354717</v>
      </c>
      <c r="BL38" s="5">
        <f t="shared" si="16"/>
        <v>-27.659473365827463</v>
      </c>
      <c r="BM38" s="5">
        <f t="shared" si="17"/>
        <v>-18.511275410150176</v>
      </c>
    </row>
    <row r="39" spans="21:67" x14ac:dyDescent="0.15">
      <c r="BG39" s="4">
        <v>300</v>
      </c>
      <c r="BH39" s="5">
        <f t="shared" si="13"/>
        <v>59.071572772698502</v>
      </c>
      <c r="BI39" s="5">
        <f t="shared" si="14"/>
        <v>41.282515099917731</v>
      </c>
      <c r="BJ39" s="5">
        <f t="shared" si="15"/>
        <v>13.617265121298265</v>
      </c>
      <c r="BL39" s="5">
        <f t="shared" si="16"/>
        <v>-45.454307651400235</v>
      </c>
      <c r="BM39" s="5">
        <f t="shared" si="17"/>
        <v>-27.665249978619464</v>
      </c>
    </row>
    <row r="40" spans="21:67" x14ac:dyDescent="0.15">
      <c r="U40" s="2" t="s">
        <v>35</v>
      </c>
      <c r="W40" t="s">
        <v>36</v>
      </c>
      <c r="BG40" s="4">
        <v>400</v>
      </c>
      <c r="BH40" s="5">
        <f t="shared" si="13"/>
        <v>84.334362052639577</v>
      </c>
      <c r="BI40" s="5">
        <f t="shared" si="14"/>
        <v>56.366171206286182</v>
      </c>
      <c r="BJ40" s="5">
        <f t="shared" si="15"/>
        <v>19.678370897962274</v>
      </c>
      <c r="BL40" s="5">
        <f t="shared" si="16"/>
        <v>-64.655991154677309</v>
      </c>
      <c r="BM40" s="5">
        <f t="shared" si="17"/>
        <v>-36.687800308323908</v>
      </c>
    </row>
    <row r="41" spans="21:67" x14ac:dyDescent="0.15">
      <c r="BG41" s="4">
        <v>500</v>
      </c>
      <c r="BH41" s="5">
        <f t="shared" si="13"/>
        <v>111.15828324448869</v>
      </c>
      <c r="BI41" s="5">
        <f t="shared" si="14"/>
        <v>71.76760232761535</v>
      </c>
      <c r="BJ41" s="5">
        <f t="shared" si="15"/>
        <v>26.182832953926539</v>
      </c>
      <c r="BL41" s="5">
        <f t="shared" si="16"/>
        <v>-84.975450290562151</v>
      </c>
      <c r="BM41" s="5">
        <f t="shared" si="17"/>
        <v>-45.584769373688815</v>
      </c>
    </row>
    <row r="42" spans="21:67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  <c r="BG42" s="4">
        <v>600</v>
      </c>
      <c r="BH42" s="5">
        <f t="shared" si="13"/>
        <v>139.29570095255036</v>
      </c>
      <c r="BI42" s="5">
        <f t="shared" si="14"/>
        <v>87.427099080242925</v>
      </c>
      <c r="BJ42" s="5">
        <f t="shared" si="15"/>
        <v>33.063930201770098</v>
      </c>
      <c r="BL42" s="5">
        <f t="shared" si="16"/>
        <v>-106.23177075078027</v>
      </c>
      <c r="BM42" s="5">
        <f t="shared" si="17"/>
        <v>-54.363168878472827</v>
      </c>
    </row>
    <row r="43" spans="21:67" x14ac:dyDescent="0.15">
      <c r="U43" s="10" t="s">
        <v>55</v>
      </c>
      <c r="V43" s="21"/>
      <c r="W43" s="993">
        <f>D105</f>
        <v>6</v>
      </c>
      <c r="X43" s="993">
        <f t="shared" ref="X43:AD43" si="19">E105</f>
        <v>6</v>
      </c>
      <c r="Y43" s="993">
        <f t="shared" si="19"/>
        <v>4</v>
      </c>
      <c r="Z43" s="993">
        <f t="shared" si="19"/>
        <v>-2</v>
      </c>
      <c r="AA43" s="993">
        <f t="shared" si="19"/>
        <v>-7</v>
      </c>
      <c r="AB43" s="993">
        <f t="shared" si="19"/>
        <v>-12</v>
      </c>
      <c r="AC43" s="993">
        <f t="shared" si="19"/>
        <v>-18</v>
      </c>
      <c r="AD43" s="993">
        <f t="shared" si="19"/>
        <v>-25</v>
      </c>
      <c r="AE43" s="39" t="s">
        <v>42</v>
      </c>
      <c r="AF43" s="53">
        <f>$W$5+W43</f>
        <v>58.481771481749483</v>
      </c>
      <c r="AG43" s="53">
        <f t="shared" ref="AG43:AM43" si="20">$W$5+X43</f>
        <v>58.481771481749483</v>
      </c>
      <c r="AH43" s="53">
        <f t="shared" si="20"/>
        <v>56.481771481749483</v>
      </c>
      <c r="AI43" s="53">
        <f t="shared" si="20"/>
        <v>50.481771481749483</v>
      </c>
      <c r="AJ43" s="53">
        <f t="shared" si="20"/>
        <v>45.481771481749483</v>
      </c>
      <c r="AK43" s="53">
        <f t="shared" si="20"/>
        <v>40.481771481749483</v>
      </c>
      <c r="AL43" s="53">
        <f t="shared" si="20"/>
        <v>34.481771481749483</v>
      </c>
      <c r="AM43" s="53">
        <f t="shared" si="20"/>
        <v>27.481771481749483</v>
      </c>
      <c r="AN43" s="5">
        <f t="array" ref="AN43">10*LOG10(SUM(10^(AF43:AM43/10)))</f>
        <v>63.045719894026291</v>
      </c>
      <c r="AO43" s="5">
        <f t="array" ref="AO43">10*LOG10(SUM(10^((AF43:AM43+AF46:AM46)/10)))</f>
        <v>52.739398520919458</v>
      </c>
      <c r="AP43" t="str">
        <f>IF(ABS(W5-AO43)&lt;0.5,"OK","Tarkista laskenta!")</f>
        <v>OK</v>
      </c>
    </row>
    <row r="44" spans="21:67" x14ac:dyDescent="0.15">
      <c r="U44" s="14" t="s">
        <v>56</v>
      </c>
      <c r="V44" s="26"/>
      <c r="W44" s="993">
        <f t="shared" ref="W44:AD44" si="21">D116</f>
        <v>0</v>
      </c>
      <c r="X44" s="993">
        <f t="shared" si="21"/>
        <v>1</v>
      </c>
      <c r="Y44" s="993">
        <f t="shared" si="21"/>
        <v>4</v>
      </c>
      <c r="Z44" s="993">
        <f t="shared" si="21"/>
        <v>-5</v>
      </c>
      <c r="AA44" s="993">
        <f t="shared" si="21"/>
        <v>-6</v>
      </c>
      <c r="AB44" s="993">
        <f t="shared" si="21"/>
        <v>-8</v>
      </c>
      <c r="AC44" s="993">
        <f t="shared" si="21"/>
        <v>-16</v>
      </c>
      <c r="AD44" s="993">
        <f t="shared" si="21"/>
        <v>-15</v>
      </c>
      <c r="AE44" s="39" t="s">
        <v>43</v>
      </c>
      <c r="AF44" s="53">
        <f>$W$6+W44</f>
        <v>70.61187195005057</v>
      </c>
      <c r="AG44" s="53">
        <f t="shared" ref="AG44:AM44" si="22">$W$6+X44</f>
        <v>71.61187195005057</v>
      </c>
      <c r="AH44" s="53">
        <f t="shared" si="22"/>
        <v>74.61187195005057</v>
      </c>
      <c r="AI44" s="53">
        <f t="shared" si="22"/>
        <v>65.61187195005057</v>
      </c>
      <c r="AJ44" s="53">
        <f t="shared" si="22"/>
        <v>64.61187195005057</v>
      </c>
      <c r="AK44" s="53">
        <f t="shared" si="22"/>
        <v>62.61187195005057</v>
      </c>
      <c r="AL44" s="53">
        <f t="shared" si="22"/>
        <v>54.61187195005057</v>
      </c>
      <c r="AM44" s="53">
        <f t="shared" si="22"/>
        <v>55.61187195005057</v>
      </c>
      <c r="AN44" s="5">
        <f t="array" ref="AN44">10*LOG10(SUM(10^(AF44:AM44/10)))</f>
        <v>78.057507815457683</v>
      </c>
      <c r="AO44" s="5">
        <f t="array" ref="AO44">10*LOG10(SUM(10^((AF44:AM44+AF46:AM46)/10)))</f>
        <v>70.814170441247683</v>
      </c>
      <c r="AP44" t="str">
        <f>IF(ABS(W6-AO44)&lt;0.5,"OK","Tarkista laskenta!")</f>
        <v>OK</v>
      </c>
      <c r="BL44" t="s">
        <v>2179</v>
      </c>
      <c r="BM44">
        <f t="array" ref="BM44:BO44">LINEST(BL35:BL42,BG35:BG42^{1,2})</f>
        <v>-7.3373703655586777E-5</v>
      </c>
      <c r="BN44">
        <v>-0.1376926682172436</v>
      </c>
      <c r="BO44">
        <v>2.4990399514136037</v>
      </c>
    </row>
    <row r="45" spans="21:67" x14ac:dyDescent="0.15">
      <c r="BG45" s="2" t="s">
        <v>2183</v>
      </c>
      <c r="BL45" t="s">
        <v>2181</v>
      </c>
      <c r="BN45">
        <f t="array" ref="BN45:BO45">LINEST(BM35:BM42,BG35:BG42)</f>
        <v>-9.0615306064912179E-2</v>
      </c>
      <c r="BO45">
        <v>-0.25899098650651098</v>
      </c>
    </row>
    <row r="46" spans="21:67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7" spans="21:67" x14ac:dyDescent="0.15">
      <c r="BG47" t="s">
        <v>2188</v>
      </c>
    </row>
    <row r="48" spans="21:67" x14ac:dyDescent="0.15">
      <c r="BH48" s="4" t="s">
        <v>4</v>
      </c>
      <c r="BI48" s="4" t="s">
        <v>5</v>
      </c>
      <c r="BJ48" s="4" t="s">
        <v>6</v>
      </c>
    </row>
    <row r="49" spans="3:62" x14ac:dyDescent="0.15">
      <c r="W49" t="s">
        <v>50</v>
      </c>
      <c r="BG49" t="s">
        <v>102</v>
      </c>
      <c r="BH49" s="8">
        <v>-6.8301423740325744E-4</v>
      </c>
      <c r="BI49" s="8">
        <v>-1.4197395479369237</v>
      </c>
      <c r="BJ49" s="8">
        <v>1363.9981965746949</v>
      </c>
    </row>
    <row r="50" spans="3:62" x14ac:dyDescent="0.15">
      <c r="X50" s="4" t="s">
        <v>4</v>
      </c>
      <c r="Y50" s="4" t="s">
        <v>5</v>
      </c>
      <c r="Z50" s="4" t="s">
        <v>6</v>
      </c>
      <c r="BG50" t="s">
        <v>404</v>
      </c>
      <c r="BH50" s="8">
        <v>-1.3467856279693324E-3</v>
      </c>
      <c r="BI50" s="8">
        <v>-0.45187190188011217</v>
      </c>
      <c r="BJ50" s="8">
        <v>850.27975882063606</v>
      </c>
    </row>
    <row r="51" spans="3:62" x14ac:dyDescent="0.15">
      <c r="W51" t="s">
        <v>3</v>
      </c>
      <c r="X51" s="54">
        <f t="array" ref="X51:Z51">LINEST(Y59:Y66,X59:X66^{1,2})</f>
        <v>1.3576954476687605E-4</v>
      </c>
      <c r="Y51" s="54">
        <v>-0.16703230555825804</v>
      </c>
      <c r="Z51" s="54">
        <v>768.37576307094434</v>
      </c>
      <c r="BG51" t="s">
        <v>405</v>
      </c>
      <c r="BH51" s="8">
        <v>-1.4313567830471533E-3</v>
      </c>
      <c r="BI51" s="8">
        <v>-0.29988862772525232</v>
      </c>
      <c r="BJ51" s="8">
        <v>453.197380339603</v>
      </c>
    </row>
    <row r="52" spans="3:62" x14ac:dyDescent="0.15">
      <c r="W52" t="s">
        <v>404</v>
      </c>
      <c r="X52" s="54">
        <f t="array" ref="X52:Z52">LINEST(Y72:Y79,X72:X79^{1,2})</f>
        <v>-8.983464580922956E-4</v>
      </c>
      <c r="Y52" s="54">
        <v>0.9868554064256706</v>
      </c>
      <c r="Z52" s="54">
        <v>264.68948323602552</v>
      </c>
      <c r="BG52" t="s">
        <v>406</v>
      </c>
      <c r="BH52" s="8">
        <v>-1.4531125513772114E-3</v>
      </c>
      <c r="BI52" s="8">
        <v>-0.25994845527652749</v>
      </c>
      <c r="BJ52" s="8">
        <v>197.86556955691194</v>
      </c>
    </row>
    <row r="53" spans="3:62" x14ac:dyDescent="0.15">
      <c r="W53" t="s">
        <v>405</v>
      </c>
      <c r="X53" s="54">
        <f t="array" ref="X53:Z53">LINEST(Y82:Y87,X82:X87^{1,2})</f>
        <v>-6.3128247019436417E-4</v>
      </c>
      <c r="Y53" s="54">
        <v>0.53637858162368712</v>
      </c>
      <c r="Z53" s="54">
        <v>120.0747548091382</v>
      </c>
    </row>
    <row r="54" spans="3:62" x14ac:dyDescent="0.15">
      <c r="W54" t="s">
        <v>406</v>
      </c>
      <c r="X54" s="54">
        <f t="array" ref="X54:Z54">LINEST(Y90:Y93,X90:X93^{1,2})</f>
        <v>-3.1327165477624684E-4</v>
      </c>
      <c r="Y54" s="54">
        <v>0.19941979774704047</v>
      </c>
      <c r="Z54" s="54">
        <v>47.244232681166203</v>
      </c>
      <c r="BG54" s="2" t="s">
        <v>2189</v>
      </c>
    </row>
    <row r="55" spans="3:62" x14ac:dyDescent="0.15">
      <c r="BH55" s="4" t="s">
        <v>4</v>
      </c>
      <c r="BI55" s="4" t="s">
        <v>5</v>
      </c>
      <c r="BJ55" s="4" t="s">
        <v>6</v>
      </c>
    </row>
    <row r="56" spans="3:62" x14ac:dyDescent="0.15">
      <c r="C56" s="2" t="s">
        <v>45</v>
      </c>
      <c r="BG56" t="s">
        <v>102</v>
      </c>
      <c r="BH56" s="7">
        <f>BH49+BM$44</f>
        <v>-7.5638794105884421E-4</v>
      </c>
      <c r="BI56" s="7">
        <f t="shared" ref="BI56:BJ59" si="23">BI49+BN$44</f>
        <v>-1.5574322161541674</v>
      </c>
      <c r="BJ56" s="7">
        <f t="shared" si="23"/>
        <v>1366.4972365261085</v>
      </c>
    </row>
    <row r="57" spans="3:62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BG57" t="s">
        <v>404</v>
      </c>
      <c r="BH57" s="7">
        <f t="shared" ref="BH57:BH59" si="24">BH50+BM$44</f>
        <v>-1.4201593316249192E-3</v>
      </c>
      <c r="BI57" s="7">
        <f t="shared" si="23"/>
        <v>-0.58956457009735574</v>
      </c>
      <c r="BJ57" s="7">
        <f t="shared" si="23"/>
        <v>852.77879877204964</v>
      </c>
    </row>
    <row r="58" spans="3:62" x14ac:dyDescent="0.15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74"/>
      <c r="X58" s="345" t="s">
        <v>13</v>
      </c>
      <c r="Y58" s="277" t="s">
        <v>49</v>
      </c>
      <c r="BG58" t="s">
        <v>405</v>
      </c>
      <c r="BH58" s="7">
        <f t="shared" si="24"/>
        <v>-1.5047304867027401E-3</v>
      </c>
      <c r="BI58" s="7">
        <f t="shared" si="23"/>
        <v>-0.43758129594249595</v>
      </c>
      <c r="BJ58" s="7">
        <f t="shared" si="23"/>
        <v>455.69642029101658</v>
      </c>
    </row>
    <row r="59" spans="3:62" x14ac:dyDescent="0.15">
      <c r="C59" s="10" t="s">
        <v>3</v>
      </c>
      <c r="D59" s="67">
        <v>659.74777394030639</v>
      </c>
      <c r="E59" s="68">
        <v>59.504945869055348</v>
      </c>
      <c r="F59" s="69">
        <v>714.9979913235934</v>
      </c>
      <c r="H59" t="s">
        <v>4</v>
      </c>
      <c r="I59" t="s">
        <v>5</v>
      </c>
      <c r="K59" s="27" t="s">
        <v>424</v>
      </c>
      <c r="M59" s="10" t="s">
        <v>3</v>
      </c>
      <c r="N59" s="67">
        <v>678.37536862073512</v>
      </c>
      <c r="O59" s="68">
        <v>78.872081958332544</v>
      </c>
      <c r="P59" s="69">
        <v>728.20087693457322</v>
      </c>
      <c r="R59" t="s">
        <v>4</v>
      </c>
      <c r="S59" t="s">
        <v>5</v>
      </c>
      <c r="T59" s="24" t="s">
        <v>6</v>
      </c>
      <c r="U59" s="297" t="s">
        <v>425</v>
      </c>
      <c r="W59" s="12" t="s">
        <v>3</v>
      </c>
      <c r="X59" s="973">
        <v>674.36299626286564</v>
      </c>
      <c r="Y59" s="974">
        <v>716.49618113958047</v>
      </c>
      <c r="BG59" t="s">
        <v>406</v>
      </c>
      <c r="BH59" s="7">
        <f t="shared" si="24"/>
        <v>-1.5264862550327981E-3</v>
      </c>
      <c r="BI59" s="7">
        <f t="shared" si="23"/>
        <v>-0.39764112349377112</v>
      </c>
      <c r="BJ59" s="7">
        <f t="shared" si="23"/>
        <v>200.36460950832554</v>
      </c>
    </row>
    <row r="60" spans="3:62" x14ac:dyDescent="0.15">
      <c r="C60" s="12"/>
      <c r="D60" s="67">
        <v>568.52649588001736</v>
      </c>
      <c r="E60" s="68">
        <v>58.803978275778192</v>
      </c>
      <c r="F60" s="69">
        <v>715.46394032391845</v>
      </c>
      <c r="G60" s="129" t="s">
        <v>412</v>
      </c>
      <c r="H60" s="987">
        <f t="array" ref="H60:J60">LINEST(E59:E62,D59:D62^{1,2})</f>
        <v>1.3067985360976799E-4</v>
      </c>
      <c r="I60">
        <v>-0.15376163336495541</v>
      </c>
      <c r="J60">
        <v>104.04763149227861</v>
      </c>
      <c r="K60" s="298">
        <f>$H$60*AC34^2+$I$60*AC34+$J$60</f>
        <v>59.054014121091377</v>
      </c>
      <c r="M60" s="12"/>
      <c r="N60" s="67">
        <v>567.72716207379733</v>
      </c>
      <c r="O60" s="68">
        <v>77.457986603824793</v>
      </c>
      <c r="P60" s="69">
        <v>727.0864992547273</v>
      </c>
      <c r="Q60" s="129" t="s">
        <v>412</v>
      </c>
      <c r="R60">
        <f t="array" ref="R60:T60">LINEST(O59:O62,N59:N62^{1,2})</f>
        <v>9.9698170913017131E-5</v>
      </c>
      <c r="S60">
        <v>-0.10982000878117587</v>
      </c>
      <c r="T60" s="24">
        <v>107.53166387577123</v>
      </c>
      <c r="U60" s="84">
        <f>$R$60*AC34^2+$S$60*AC34+$T$60</f>
        <v>77.928796607799143</v>
      </c>
      <c r="W60" s="12"/>
      <c r="X60" s="67">
        <v>619.75622950943864</v>
      </c>
      <c r="Y60" s="69">
        <v>721.23941765082304</v>
      </c>
    </row>
    <row r="61" spans="3:62" x14ac:dyDescent="0.15">
      <c r="C61" s="12"/>
      <c r="D61" s="67">
        <v>489.96282161159729</v>
      </c>
      <c r="E61" s="68">
        <v>60.138959595926607</v>
      </c>
      <c r="F61" s="69">
        <v>729.97750494792933</v>
      </c>
      <c r="G61" s="129" t="s">
        <v>423</v>
      </c>
      <c r="H61" s="987">
        <f t="array" ref="H61:I61">LINEST(E59:E62,D59:D62)</f>
        <v>-1.9918095496007468E-2</v>
      </c>
      <c r="I61">
        <v>71.279774551909682</v>
      </c>
      <c r="K61" s="298">
        <f>H61*$AC$34+I61</f>
        <v>58.714403517835734</v>
      </c>
      <c r="M61" s="12"/>
      <c r="N61" s="67">
        <v>477.85861076194726</v>
      </c>
      <c r="O61" s="68">
        <v>77.682071539287904</v>
      </c>
      <c r="P61" s="69">
        <v>719.54893309002</v>
      </c>
      <c r="Q61" s="129" t="s">
        <v>420</v>
      </c>
      <c r="R61">
        <f t="array" ref="R61:S61">LINEST(O59:O62,N59:N62)</f>
        <v>-6.1803088434744325E-3</v>
      </c>
      <c r="S61">
        <v>81.946747362750301</v>
      </c>
      <c r="T61" s="24"/>
      <c r="U61" s="84">
        <f>R61*AC34+S61</f>
        <v>78.04788696522931</v>
      </c>
      <c r="W61" s="12"/>
      <c r="X61" s="67">
        <v>575.70979967708138</v>
      </c>
      <c r="Y61" s="69">
        <v>711.92594926186428</v>
      </c>
      <c r="BG61" s="2" t="s">
        <v>2190</v>
      </c>
    </row>
    <row r="62" spans="3:62" x14ac:dyDescent="0.15">
      <c r="C62" s="14"/>
      <c r="D62" s="67">
        <v>368.79959938967784</v>
      </c>
      <c r="E62" s="68">
        <v>65.101418355422581</v>
      </c>
      <c r="F62" s="69">
        <v>719.21745611223537</v>
      </c>
      <c r="G62" s="297" t="s">
        <v>462</v>
      </c>
      <c r="H62" s="988">
        <f t="array" ref="H62:I62">LINEST(E59:E62,LN(D59:D62))</f>
        <v>-10.382142610052213</v>
      </c>
      <c r="I62" s="2">
        <v>125.6186569240179</v>
      </c>
      <c r="K62" s="298">
        <f>H62*LN($AC$34)+I62</f>
        <v>58.684242867828004</v>
      </c>
      <c r="M62" s="14"/>
      <c r="N62" s="67">
        <v>361.89300280682511</v>
      </c>
      <c r="O62" s="68">
        <v>80.883626535567686</v>
      </c>
      <c r="P62" s="69">
        <v>716.01628812260503</v>
      </c>
      <c r="Q62" s="297" t="s">
        <v>462</v>
      </c>
      <c r="R62" s="2">
        <f t="array" ref="R62:S62">LINEST(O59:O62,LN(N59:N62))</f>
        <v>-3.5694831265016616</v>
      </c>
      <c r="S62" s="2">
        <v>100.96361093866454</v>
      </c>
      <c r="T62" s="24"/>
      <c r="U62" s="84">
        <f>R62*LN(AC34)+S62</f>
        <v>77.950898579607099</v>
      </c>
      <c r="W62" s="12"/>
      <c r="X62" s="67">
        <v>531.9102128639488</v>
      </c>
      <c r="Y62" s="69">
        <v>721.69185282983938</v>
      </c>
      <c r="BH62" s="4" t="s">
        <v>4</v>
      </c>
      <c r="BI62" s="4" t="s">
        <v>5</v>
      </c>
      <c r="BJ62" s="4" t="s">
        <v>6</v>
      </c>
    </row>
    <row r="63" spans="3:62" x14ac:dyDescent="0.15">
      <c r="C63" s="12"/>
      <c r="D63" s="17"/>
      <c r="E63" s="42"/>
      <c r="F63" s="13"/>
      <c r="H63" s="987"/>
      <c r="K63" s="298"/>
      <c r="M63" s="12"/>
      <c r="N63" s="17"/>
      <c r="O63" s="42"/>
      <c r="P63" s="13"/>
      <c r="T63" s="24"/>
      <c r="U63" s="3"/>
      <c r="W63" s="12"/>
      <c r="X63" s="67">
        <v>485.87360304356628</v>
      </c>
      <c r="Y63" s="69">
        <v>712.82728802907093</v>
      </c>
      <c r="BG63" t="s">
        <v>102</v>
      </c>
      <c r="BH63" s="7">
        <f>BH49+BM$45</f>
        <v>-6.8301423740325744E-4</v>
      </c>
      <c r="BI63" s="7">
        <f t="shared" ref="BI63:BJ66" si="25">BI49+BN$45</f>
        <v>-1.5103548540018359</v>
      </c>
      <c r="BJ63" s="7">
        <f t="shared" si="25"/>
        <v>1363.7392055881885</v>
      </c>
    </row>
    <row r="64" spans="3:62" x14ac:dyDescent="0.15">
      <c r="C64" s="10" t="s">
        <v>408</v>
      </c>
      <c r="D64" s="67">
        <v>593.18755608109893</v>
      </c>
      <c r="E64" s="68">
        <v>56.951001475564766</v>
      </c>
      <c r="F64" s="69">
        <v>530.99565789971041</v>
      </c>
      <c r="H64" s="987" t="s">
        <v>4</v>
      </c>
      <c r="I64" t="s">
        <v>5</v>
      </c>
      <c r="K64" s="298"/>
      <c r="M64" s="10" t="s">
        <v>408</v>
      </c>
      <c r="N64" s="67">
        <v>609.3294572190905</v>
      </c>
      <c r="O64" s="68">
        <v>76.622311352178684</v>
      </c>
      <c r="P64" s="69">
        <v>537.58094112440608</v>
      </c>
      <c r="R64" t="s">
        <v>4</v>
      </c>
      <c r="S64" t="s">
        <v>5</v>
      </c>
      <c r="T64" s="24" t="s">
        <v>6</v>
      </c>
      <c r="U64" s="3"/>
      <c r="W64" s="12"/>
      <c r="X64" s="67">
        <v>448.27724667478429</v>
      </c>
      <c r="Y64" s="69">
        <v>727.13082927200526</v>
      </c>
      <c r="BG64" t="s">
        <v>404</v>
      </c>
      <c r="BH64" s="7">
        <f t="shared" ref="BH64:BH66" si="26">BH50+BM$45</f>
        <v>-1.3467856279693324E-3</v>
      </c>
      <c r="BI64" s="7">
        <f t="shared" si="25"/>
        <v>-0.54248720794502436</v>
      </c>
      <c r="BJ64" s="7">
        <f t="shared" si="25"/>
        <v>850.02076783412951</v>
      </c>
    </row>
    <row r="65" spans="3:62" x14ac:dyDescent="0.15">
      <c r="C65" s="12"/>
      <c r="D65" s="67">
        <v>512.47903369866151</v>
      </c>
      <c r="E65" s="68">
        <v>56.551844589514474</v>
      </c>
      <c r="F65" s="69">
        <v>533.06732027775024</v>
      </c>
      <c r="G65" s="129" t="s">
        <v>412</v>
      </c>
      <c r="H65" s="987">
        <f t="array" ref="H65:J65">LINEST(E64:E67,D64:D67^{1,2})</f>
        <v>7.9810305444266298E-5</v>
      </c>
      <c r="I65">
        <v>-9.4230096929968421E-2</v>
      </c>
      <c r="J65">
        <v>84.54012877202716</v>
      </c>
      <c r="K65" s="298">
        <f>$H$65*AC35^2+$I$65*AC35+$J$65</f>
        <v>56.766447802209896</v>
      </c>
      <c r="M65" s="12"/>
      <c r="N65" s="67">
        <v>511.4537803117347</v>
      </c>
      <c r="O65" s="68">
        <v>75.29988739232023</v>
      </c>
      <c r="P65" s="69">
        <v>534.16549436082425</v>
      </c>
      <c r="Q65" s="129" t="s">
        <v>412</v>
      </c>
      <c r="R65">
        <f t="array" ref="R65:T65">LINEST(O64:O67,N64:N67^{1,2})</f>
        <v>1.217607091197383E-4</v>
      </c>
      <c r="S65">
        <v>-0.12027443859668251</v>
      </c>
      <c r="T65" s="24">
        <v>104.76575753111038</v>
      </c>
      <c r="U65" s="84">
        <f>$R$65*AC35^2+$S$65*AC35+$T$65</f>
        <v>75.731318513807224</v>
      </c>
      <c r="W65" s="12"/>
      <c r="X65" s="67">
        <v>382.24188801319252</v>
      </c>
      <c r="Y65" s="69">
        <v>722.57752963845462</v>
      </c>
      <c r="BG65" t="s">
        <v>405</v>
      </c>
      <c r="BH65" s="7">
        <f t="shared" si="26"/>
        <v>-1.4313567830471533E-3</v>
      </c>
      <c r="BI65" s="7">
        <f t="shared" si="25"/>
        <v>-0.39050393379016451</v>
      </c>
      <c r="BJ65" s="7">
        <f t="shared" si="25"/>
        <v>452.93838935309651</v>
      </c>
    </row>
    <row r="66" spans="3:62" x14ac:dyDescent="0.15">
      <c r="C66" s="12"/>
      <c r="D66" s="67">
        <v>440.15284535326958</v>
      </c>
      <c r="E66" s="68">
        <v>59.059301371869097</v>
      </c>
      <c r="F66" s="69">
        <v>515.9377606458313</v>
      </c>
      <c r="G66" s="129" t="s">
        <v>423</v>
      </c>
      <c r="H66" s="987">
        <f t="array" ref="H66:I66">LINEST(E64:E67,D64:D67)</f>
        <v>-2.3208949087620653E-2</v>
      </c>
      <c r="I66">
        <v>69.661522537697351</v>
      </c>
      <c r="K66" s="298">
        <f>H66*$AC$35+I66</f>
        <v>56.480750292554696</v>
      </c>
      <c r="M66" s="12"/>
      <c r="N66" s="67">
        <v>420.17908106004865</v>
      </c>
      <c r="O66" s="68">
        <v>75.537881211747461</v>
      </c>
      <c r="P66" s="69">
        <v>512.06896915088339</v>
      </c>
      <c r="Q66" s="129" t="s">
        <v>420</v>
      </c>
      <c r="R66">
        <f t="array" ref="R66:S66">LINEST(O64:O67,N64:N67)</f>
        <v>-8.4325528025679629E-3</v>
      </c>
      <c r="S66">
        <v>80.570413595287746</v>
      </c>
      <c r="T66" s="24"/>
      <c r="U66" s="84">
        <f>R66*AC35+S66</f>
        <v>75.781417871432581</v>
      </c>
      <c r="W66" s="12"/>
      <c r="X66" s="67">
        <v>332.98888663241814</v>
      </c>
      <c r="Y66" s="69">
        <v>727.98009833787376</v>
      </c>
      <c r="BG66" t="s">
        <v>406</v>
      </c>
      <c r="BH66" s="7">
        <f t="shared" si="26"/>
        <v>-1.4531125513772114E-3</v>
      </c>
      <c r="BI66" s="7">
        <f t="shared" si="25"/>
        <v>-0.35056376134143968</v>
      </c>
      <c r="BJ66" s="7">
        <f t="shared" si="25"/>
        <v>197.60657857040542</v>
      </c>
    </row>
    <row r="67" spans="3:62" x14ac:dyDescent="0.15">
      <c r="C67" s="14"/>
      <c r="D67" s="67">
        <v>304.88365385737308</v>
      </c>
      <c r="E67" s="68">
        <v>63.131068945160543</v>
      </c>
      <c r="F67" s="69">
        <v>487.82198047280366</v>
      </c>
      <c r="G67" s="297" t="s">
        <v>462</v>
      </c>
      <c r="H67" s="988">
        <f t="array" ref="H67:I67">LINEST(E64:E67,LN(D64:D67))</f>
        <v>-10.169625031450364</v>
      </c>
      <c r="I67" s="2">
        <v>121.03892306022308</v>
      </c>
      <c r="K67" s="298">
        <f>H67*LN($AC$35)+I67</f>
        <v>56.543400527071611</v>
      </c>
      <c r="M67" s="14"/>
      <c r="N67" s="67">
        <v>310.62720108835543</v>
      </c>
      <c r="O67" s="68">
        <v>79.20794803152809</v>
      </c>
      <c r="P67" s="69">
        <v>489.96511328559245</v>
      </c>
      <c r="Q67" s="297" t="s">
        <v>462</v>
      </c>
      <c r="R67" s="2">
        <f t="array" ref="R67:S67">LINEST(O64:O67,LN(N64:N67))</f>
        <v>-4.2061745103163508</v>
      </c>
      <c r="S67" s="2">
        <v>102.35505145600189</v>
      </c>
      <c r="T67" s="24"/>
      <c r="U67" s="84">
        <f>R67*LN($AC$35)+S67</f>
        <v>75.679591734574345</v>
      </c>
      <c r="W67" s="12"/>
      <c r="X67" s="67">
        <v>290.35150148577384</v>
      </c>
      <c r="Y67" s="69">
        <v>721.57159322242205</v>
      </c>
    </row>
    <row r="68" spans="3:62" x14ac:dyDescent="0.15">
      <c r="C68" s="12"/>
      <c r="D68" s="17"/>
      <c r="E68" s="42"/>
      <c r="F68" s="24"/>
      <c r="H68" s="987"/>
      <c r="K68" s="298"/>
      <c r="M68" s="12"/>
      <c r="N68" s="17"/>
      <c r="O68" s="42"/>
      <c r="P68" s="13"/>
      <c r="T68" s="24"/>
      <c r="U68" s="3"/>
      <c r="W68" s="12"/>
      <c r="X68" s="67">
        <v>253.09258262991236</v>
      </c>
      <c r="Y68" s="69">
        <v>719.45378862223436</v>
      </c>
      <c r="BG68" t="s">
        <v>21</v>
      </c>
      <c r="BH68" s="502">
        <f>'C koodit'!$F$12</f>
        <v>1</v>
      </c>
    </row>
    <row r="69" spans="3:62" x14ac:dyDescent="0.15">
      <c r="C69" s="10" t="s">
        <v>409</v>
      </c>
      <c r="D69" s="67">
        <v>430.30872909001937</v>
      </c>
      <c r="E69" s="68">
        <v>51.397697447343972</v>
      </c>
      <c r="F69" s="69">
        <v>245.9717421571394</v>
      </c>
      <c r="H69" s="987" t="s">
        <v>4</v>
      </c>
      <c r="I69" t="s">
        <v>5</v>
      </c>
      <c r="J69" t="s">
        <v>6</v>
      </c>
      <c r="K69" s="298"/>
      <c r="M69" s="10" t="s">
        <v>409</v>
      </c>
      <c r="N69" s="67">
        <v>454.51647897858771</v>
      </c>
      <c r="O69" s="68">
        <v>70.481695997192162</v>
      </c>
      <c r="P69" s="69">
        <v>249.21117655822391</v>
      </c>
      <c r="R69" t="s">
        <v>4</v>
      </c>
      <c r="S69" t="s">
        <v>5</v>
      </c>
      <c r="T69" s="24" t="s">
        <v>6</v>
      </c>
      <c r="U69" s="3"/>
      <c r="W69" s="14"/>
      <c r="X69" s="70">
        <v>136.29100234952259</v>
      </c>
      <c r="Y69" s="72">
        <v>658.16186854383761</v>
      </c>
    </row>
    <row r="70" spans="3:62" x14ac:dyDescent="0.15">
      <c r="C70" s="12"/>
      <c r="D70" s="67">
        <v>368.90614526736601</v>
      </c>
      <c r="E70" s="68">
        <v>51.037513345127785</v>
      </c>
      <c r="F70" s="69">
        <v>241.48698969830019</v>
      </c>
      <c r="G70" s="129" t="s">
        <v>412</v>
      </c>
      <c r="H70" s="987">
        <f t="array" ref="H70:J70">LINEST(E69:E72,D69:D72^{1,2})</f>
        <v>1.0353435824362362E-4</v>
      </c>
      <c r="I70">
        <v>-8.3148009775871001E-2</v>
      </c>
      <c r="J70">
        <v>67.911697546222555</v>
      </c>
      <c r="K70" s="298">
        <f>$H$70*AC36^2+$I$70*AC36+$J$70</f>
        <v>51.23256070775885</v>
      </c>
      <c r="M70" s="12"/>
      <c r="N70" s="67">
        <v>386.08513097658857</v>
      </c>
      <c r="O70" s="68">
        <v>69.141028251455381</v>
      </c>
      <c r="P70" s="69">
        <v>246.17636337072585</v>
      </c>
      <c r="Q70" s="129" t="s">
        <v>412</v>
      </c>
      <c r="R70">
        <f t="array" ref="R70:T70">LINEST(O69:O72,N69:N72^{1,2})</f>
        <v>1.1213980421797785E-4</v>
      </c>
      <c r="S70">
        <v>-7.4275203641083906E-2</v>
      </c>
      <c r="T70" s="24">
        <v>81.081654108255123</v>
      </c>
      <c r="U70" s="84">
        <f>$R$70*AC36^2+$S$70*AC36+$T$70</f>
        <v>69.542979863873455</v>
      </c>
      <c r="BG70" s="2" t="s">
        <v>2187</v>
      </c>
    </row>
    <row r="71" spans="3:62" x14ac:dyDescent="0.15">
      <c r="C71" s="12"/>
      <c r="D71" s="67">
        <v>317.3986650009623</v>
      </c>
      <c r="E71" s="68">
        <v>52.190283617600741</v>
      </c>
      <c r="F71" s="69">
        <v>242.19599129932251</v>
      </c>
      <c r="G71" s="129" t="s">
        <v>423</v>
      </c>
      <c r="H71" s="987">
        <f t="array" ref="H71:I71">LINEST(E69:E72,D69:D72)</f>
        <v>-1.6712296521906991E-2</v>
      </c>
      <c r="I71">
        <v>57.901239253827555</v>
      </c>
      <c r="K71" s="298">
        <f>H71*$AC$36+I71</f>
        <v>50.990517820908764</v>
      </c>
      <c r="M71" s="12"/>
      <c r="N71" s="67">
        <v>316.43665668347194</v>
      </c>
      <c r="O71" s="68">
        <v>68.789053648530512</v>
      </c>
      <c r="P71" s="69">
        <v>239.02820800775635</v>
      </c>
      <c r="Q71" s="129" t="s">
        <v>420</v>
      </c>
      <c r="R71">
        <f t="array" ref="R71:S71">LINEST(O69:O72,N69:N72)</f>
        <v>2.1834183741597122E-3</v>
      </c>
      <c r="S71">
        <v>68.833010295436878</v>
      </c>
      <c r="T71" s="24"/>
      <c r="U71" s="84">
        <f>R71*AC36+S71</f>
        <v>69.735878200847424</v>
      </c>
      <c r="W71" s="74"/>
      <c r="X71" s="345" t="s">
        <v>13</v>
      </c>
      <c r="Y71" s="277" t="s">
        <v>49</v>
      </c>
      <c r="BG71" t="s">
        <v>102</v>
      </c>
      <c r="BH71">
        <f>IF($BH$68=2,BH63,IF($BH$68=3,BH56,BH49))</f>
        <v>-6.8301423740325744E-4</v>
      </c>
      <c r="BI71">
        <f t="shared" ref="BI71:BJ71" si="27">IF($BH$68=2,BI63,IF($BH$68=3,BI56,BI49))</f>
        <v>-1.4197395479369237</v>
      </c>
      <c r="BJ71">
        <f t="shared" si="27"/>
        <v>1363.9981965746949</v>
      </c>
    </row>
    <row r="72" spans="3:62" x14ac:dyDescent="0.15">
      <c r="C72" s="14"/>
      <c r="D72" s="67">
        <v>217.42027214016494</v>
      </c>
      <c r="E72" s="68">
        <v>54.684693977224782</v>
      </c>
      <c r="F72" s="69">
        <v>211.85930815346146</v>
      </c>
      <c r="G72" s="297" t="s">
        <v>462</v>
      </c>
      <c r="H72" s="988">
        <f t="array" ref="H72:I72">LINEST(E69:E72,LN(D69:D72))</f>
        <v>-5.3277538938611491</v>
      </c>
      <c r="I72" s="2">
        <v>83.118016749702491</v>
      </c>
      <c r="K72" s="298">
        <f>H72*LN($AC$36)+I72</f>
        <v>51.019980187962361</v>
      </c>
      <c r="M72" s="14"/>
      <c r="N72" s="67">
        <v>229.46728062953824</v>
      </c>
      <c r="O72" s="68">
        <v>69.947584972349176</v>
      </c>
      <c r="P72" s="69">
        <v>223.27748903290498</v>
      </c>
      <c r="Q72" s="297" t="s">
        <v>462</v>
      </c>
      <c r="R72" s="2">
        <f t="array" ref="R72:S72">LINEST(O69:O72,LN(N69:N72))</f>
        <v>0.45722420700477084</v>
      </c>
      <c r="S72" s="2">
        <v>66.930147433318083</v>
      </c>
      <c r="T72" s="24"/>
      <c r="U72" s="84">
        <f>R72*LN($AC$36)+S72</f>
        <v>69.684779048389871</v>
      </c>
      <c r="W72" s="12" t="s">
        <v>404</v>
      </c>
      <c r="X72" s="973">
        <v>122.24905658867428</v>
      </c>
      <c r="Y72" s="974">
        <v>375.40970534107731</v>
      </c>
      <c r="BG72" t="s">
        <v>404</v>
      </c>
      <c r="BH72">
        <f t="shared" ref="BH72:BJ74" si="28">IF($BH$68=2,BH64,IF($BH$68=3,BH57,BH50))</f>
        <v>-1.3467856279693324E-3</v>
      </c>
      <c r="BI72">
        <f t="shared" si="28"/>
        <v>-0.45187190188011217</v>
      </c>
      <c r="BJ72">
        <f t="shared" si="28"/>
        <v>850.27975882063606</v>
      </c>
    </row>
    <row r="73" spans="3:62" x14ac:dyDescent="0.15">
      <c r="C73" s="12"/>
      <c r="D73" s="17"/>
      <c r="E73" s="42"/>
      <c r="F73" s="13"/>
      <c r="H73" s="987"/>
      <c r="K73" s="298"/>
      <c r="M73" s="12"/>
      <c r="N73" s="17"/>
      <c r="O73" s="42"/>
      <c r="P73" s="13"/>
      <c r="T73" s="24"/>
      <c r="W73" s="12"/>
      <c r="X73" s="67">
        <v>219.8837048137799</v>
      </c>
      <c r="Y73" s="69">
        <v>432.04163254398071</v>
      </c>
      <c r="BG73" t="s">
        <v>405</v>
      </c>
      <c r="BH73">
        <f t="shared" si="28"/>
        <v>-1.4313567830471533E-3</v>
      </c>
      <c r="BI73">
        <f t="shared" si="28"/>
        <v>-0.29988862772525232</v>
      </c>
      <c r="BJ73">
        <f t="shared" si="28"/>
        <v>453.197380339603</v>
      </c>
    </row>
    <row r="74" spans="3:62" x14ac:dyDescent="0.15">
      <c r="C74" s="10" t="s">
        <v>410</v>
      </c>
      <c r="D74" s="67">
        <v>266.43484969305598</v>
      </c>
      <c r="E74" s="68">
        <v>42.19961491072317</v>
      </c>
      <c r="F74" s="69">
        <v>79.714980873725565</v>
      </c>
      <c r="H74" s="987" t="s">
        <v>4</v>
      </c>
      <c r="I74" t="s">
        <v>5</v>
      </c>
      <c r="J74" t="s">
        <v>6</v>
      </c>
      <c r="K74" s="298"/>
      <c r="M74" s="10" t="s">
        <v>410</v>
      </c>
      <c r="N74" s="67">
        <v>275.51386387143219</v>
      </c>
      <c r="O74" s="68">
        <v>58.122879852100439</v>
      </c>
      <c r="P74" s="69">
        <v>78.128055571625993</v>
      </c>
      <c r="R74" t="s">
        <v>4</v>
      </c>
      <c r="S74" t="s">
        <v>5</v>
      </c>
      <c r="T74" s="24" t="s">
        <v>6</v>
      </c>
      <c r="W74" s="12"/>
      <c r="X74" s="67">
        <v>291.37655253171908</v>
      </c>
      <c r="Y74" s="69">
        <v>475.10664093817343</v>
      </c>
      <c r="BG74" t="s">
        <v>406</v>
      </c>
      <c r="BH74">
        <f t="shared" si="28"/>
        <v>-1.4531125513772114E-3</v>
      </c>
      <c r="BI74">
        <f t="shared" si="28"/>
        <v>-0.25994845527652749</v>
      </c>
      <c r="BJ74">
        <f t="shared" si="28"/>
        <v>197.86556955691194</v>
      </c>
    </row>
    <row r="75" spans="3:62" x14ac:dyDescent="0.15">
      <c r="C75" s="12"/>
      <c r="D75" s="67">
        <v>233.04270388510514</v>
      </c>
      <c r="E75" s="68">
        <v>41.878496746319378</v>
      </c>
      <c r="F75" s="69">
        <v>78.45573478612198</v>
      </c>
      <c r="G75" s="129" t="s">
        <v>412</v>
      </c>
      <c r="H75" s="987">
        <f t="array" ref="H75:J75">LINEST(E74:E77,D74:D77^{1,2})</f>
        <v>4.898795366673523E-4</v>
      </c>
      <c r="I75">
        <v>-0.2495715197682124</v>
      </c>
      <c r="J75">
        <v>73.798043530271315</v>
      </c>
      <c r="K75" s="298">
        <f>$H$75*AC37^2+$I$75*AC37+$J$75</f>
        <v>42.020419970454874</v>
      </c>
      <c r="M75" s="12"/>
      <c r="N75" s="67">
        <v>239.40233610308692</v>
      </c>
      <c r="O75" s="68">
        <v>57.40969440146219</v>
      </c>
      <c r="P75" s="69">
        <v>79.160797259008007</v>
      </c>
      <c r="Q75" s="129" t="s">
        <v>412</v>
      </c>
      <c r="R75">
        <f t="array" ref="R75:T75">LINEST(O74:O77,N74:N77^{1,2})</f>
        <v>2.834559551085825E-4</v>
      </c>
      <c r="S75">
        <v>-0.12799699420779909</v>
      </c>
      <c r="T75" s="24">
        <v>71.853294179459155</v>
      </c>
      <c r="U75" s="84">
        <f>$R$75*AC37^2+$S$75*AC37+$T$75</f>
        <v>57.715635836386618</v>
      </c>
      <c r="W75" s="12"/>
      <c r="X75" s="67">
        <v>373.61515858933637</v>
      </c>
      <c r="Y75" s="69">
        <v>511.29601912261444</v>
      </c>
    </row>
    <row r="76" spans="3:62" x14ac:dyDescent="0.15">
      <c r="C76" s="12"/>
      <c r="D76" s="67">
        <v>205.04785756402154</v>
      </c>
      <c r="E76" s="68">
        <v>43.508336621902302</v>
      </c>
      <c r="F76" s="69">
        <v>76.955715509758292</v>
      </c>
      <c r="G76" s="129" t="s">
        <v>423</v>
      </c>
      <c r="H76" s="987">
        <f t="array" ref="H76:I76">LINEST(E74:E77,D74:D77)</f>
        <v>-5.0995075463276071E-2</v>
      </c>
      <c r="I76">
        <v>54.715783584041468</v>
      </c>
      <c r="K76" s="298">
        <f>H76*$AC$37+I76</f>
        <v>41.510621855653831</v>
      </c>
      <c r="M76" s="12"/>
      <c r="N76" s="67">
        <v>197.91474592192031</v>
      </c>
      <c r="O76" s="68">
        <v>57.662941812501856</v>
      </c>
      <c r="P76" s="69">
        <v>76.324577845231786</v>
      </c>
      <c r="Q76" s="129" t="s">
        <v>420</v>
      </c>
      <c r="R76">
        <f t="array" ref="R76:S76">LINEST(O74:O77,N74:N77)</f>
        <v>-8.9654506403335586E-3</v>
      </c>
      <c r="S76">
        <v>60.022426980024711</v>
      </c>
      <c r="T76" s="24"/>
      <c r="U76" s="84">
        <f>R76*AC37+S76</f>
        <v>57.700825833287723</v>
      </c>
      <c r="W76" s="12"/>
      <c r="X76" s="67">
        <v>432.72526367431328</v>
      </c>
      <c r="Y76" s="69">
        <v>523.11688322085115</v>
      </c>
    </row>
    <row r="77" spans="3:62" x14ac:dyDescent="0.15">
      <c r="C77" s="14"/>
      <c r="D77" s="70">
        <v>143.42845546559386</v>
      </c>
      <c r="E77" s="71">
        <v>48.035214640180726</v>
      </c>
      <c r="F77" s="72">
        <v>69.905034846609595</v>
      </c>
      <c r="G77" s="851" t="s">
        <v>462</v>
      </c>
      <c r="H77" s="989">
        <f t="array" ref="H77:I77">LINEST(E74:E77,LN(D74:D77))</f>
        <v>-10.271858847006495</v>
      </c>
      <c r="I77" s="852">
        <v>98.668370536454432</v>
      </c>
      <c r="J77" s="25"/>
      <c r="K77" s="853">
        <f>H77*LN($AC$37)+I77</f>
        <v>41.591410386494758</v>
      </c>
      <c r="M77" s="14"/>
      <c r="N77" s="70">
        <v>146.0847854684252</v>
      </c>
      <c r="O77" s="71">
        <v>59.193625260276654</v>
      </c>
      <c r="P77" s="72">
        <v>71.783617893756229</v>
      </c>
      <c r="Q77" s="851" t="s">
        <v>462</v>
      </c>
      <c r="R77" s="852">
        <f t="array" ref="R77:S77">LINEST(O74:O77,LN(N74:N77))</f>
        <v>-2.0143143965104797</v>
      </c>
      <c r="S77" s="852">
        <v>68.858159245062851</v>
      </c>
      <c r="T77" s="26"/>
      <c r="U77" s="84">
        <f>R77*LN($AC$37)+S77</f>
        <v>57.665351375372893</v>
      </c>
      <c r="W77" s="12"/>
      <c r="X77" s="67">
        <v>492.23312696216925</v>
      </c>
      <c r="Y77" s="69">
        <v>534.23326105690774</v>
      </c>
    </row>
    <row r="78" spans="3:62" x14ac:dyDescent="0.15">
      <c r="W78" s="12"/>
      <c r="X78" s="67">
        <v>553.35682118021884</v>
      </c>
      <c r="Y78" s="69">
        <v>537.65762294250646</v>
      </c>
    </row>
    <row r="79" spans="3:62" x14ac:dyDescent="0.15">
      <c r="F79" s="5"/>
      <c r="W79" s="14"/>
      <c r="X79" s="70">
        <v>608.06270403317217</v>
      </c>
      <c r="Y79" s="72">
        <v>529.85369164769452</v>
      </c>
    </row>
    <row r="80" spans="3:62" x14ac:dyDescent="0.15">
      <c r="C80" s="2" t="s">
        <v>2100</v>
      </c>
      <c r="F80" s="5"/>
    </row>
    <row r="81" spans="3:25" x14ac:dyDescent="0.15">
      <c r="F81" s="5"/>
      <c r="W81" s="74"/>
      <c r="X81" s="345" t="s">
        <v>13</v>
      </c>
      <c r="Y81" s="277" t="s">
        <v>49</v>
      </c>
    </row>
    <row r="82" spans="3:25" x14ac:dyDescent="0.15">
      <c r="C82" t="s">
        <v>2101</v>
      </c>
      <c r="F82" s="5"/>
      <c r="H82" t="b">
        <f>IF(W9&gt;10.01,FALSE,TRUE)</f>
        <v>1</v>
      </c>
      <c r="W82" s="12" t="s">
        <v>411</v>
      </c>
      <c r="X82" s="973">
        <v>437.09502645593631</v>
      </c>
      <c r="Y82" s="974">
        <v>233.97933626846964</v>
      </c>
    </row>
    <row r="83" spans="3:25" x14ac:dyDescent="0.15">
      <c r="C83" t="s">
        <v>2102</v>
      </c>
      <c r="H83" t="b">
        <f>IF(W9&lt;2,FALSE,TRUE)</f>
        <v>1</v>
      </c>
      <c r="W83" s="12"/>
      <c r="X83" s="67">
        <v>394.28163711981273</v>
      </c>
      <c r="Y83" s="69">
        <v>233.34624325599171</v>
      </c>
    </row>
    <row r="84" spans="3:25" x14ac:dyDescent="0.15">
      <c r="C84" t="s">
        <v>2103</v>
      </c>
      <c r="H84" t="b">
        <f>IF(L3&gt;500,FALSE,TRUE)</f>
        <v>1</v>
      </c>
      <c r="W84" s="12"/>
      <c r="X84" s="67">
        <v>328.64795566701792</v>
      </c>
      <c r="Y84" s="69">
        <v>228.01839565857776</v>
      </c>
    </row>
    <row r="85" spans="3:25" x14ac:dyDescent="0.15">
      <c r="C85" t="s">
        <v>2106</v>
      </c>
      <c r="H85" t="b">
        <f>IF(J3&gt;(AC34+1),FALSE,TRUE)</f>
        <v>1</v>
      </c>
      <c r="W85" s="12"/>
      <c r="X85" s="67">
        <v>239.26687501329309</v>
      </c>
      <c r="Y85" s="69">
        <v>212.65556833899674</v>
      </c>
    </row>
    <row r="86" spans="3:25" x14ac:dyDescent="0.15">
      <c r="C86" t="s">
        <v>2104</v>
      </c>
      <c r="H86" t="b">
        <f>IF(J3&lt;W11,FALSE,TRUE)</f>
        <v>1</v>
      </c>
      <c r="W86" s="12"/>
      <c r="X86" s="67">
        <v>125.09677847359325</v>
      </c>
      <c r="Y86" s="69">
        <v>176.73553697391463</v>
      </c>
    </row>
    <row r="87" spans="3:25" x14ac:dyDescent="0.15">
      <c r="F87" s="5"/>
      <c r="W87" s="14"/>
      <c r="X87" s="70">
        <v>87.518883253945248</v>
      </c>
      <c r="Y87" s="72">
        <v>162.52122575298847</v>
      </c>
    </row>
    <row r="88" spans="3:25" x14ac:dyDescent="0.15">
      <c r="C88" s="2" t="s">
        <v>2107</v>
      </c>
      <c r="F88" s="5"/>
      <c r="H88" s="2" t="b">
        <f>IF(AND(H82,H83,H84,H85,H86),TRUE,FALSE)</f>
        <v>1</v>
      </c>
    </row>
    <row r="89" spans="3:25" x14ac:dyDescent="0.15">
      <c r="F89" s="5"/>
      <c r="W89" s="10"/>
      <c r="X89" s="16" t="s">
        <v>13</v>
      </c>
      <c r="Y89" s="11" t="s">
        <v>49</v>
      </c>
    </row>
    <row r="90" spans="3:25" x14ac:dyDescent="0.15">
      <c r="C90" t="s">
        <v>2105</v>
      </c>
      <c r="F90" s="5"/>
      <c r="H90" t="b">
        <f>IF(AND(W9&lt;=10.01,'C-series'!G33&gt;=W11),TRUE,FALSE)</f>
        <v>1</v>
      </c>
      <c r="W90" s="10" t="s">
        <v>406</v>
      </c>
      <c r="X90" s="68">
        <v>51.013168217665502</v>
      </c>
      <c r="Y90" s="69">
        <v>56.660474770685525</v>
      </c>
    </row>
    <row r="91" spans="3:25" x14ac:dyDescent="0.15">
      <c r="F91" s="5"/>
      <c r="W91" s="12"/>
      <c r="X91" s="68">
        <v>136.01442023400173</v>
      </c>
      <c r="Y91" s="69">
        <v>68.298652958386654</v>
      </c>
    </row>
    <row r="92" spans="3:25" x14ac:dyDescent="0.15">
      <c r="F92" s="5"/>
      <c r="W92" s="12"/>
      <c r="X92" s="68">
        <v>183.80496602763066</v>
      </c>
      <c r="Y92" s="69">
        <v>73.600868699606707</v>
      </c>
    </row>
    <row r="93" spans="3:25" x14ac:dyDescent="0.15">
      <c r="F93" s="5"/>
      <c r="W93" s="14"/>
      <c r="X93" s="71">
        <v>259.6592085033314</v>
      </c>
      <c r="Y93" s="72">
        <v>77.833394759423982</v>
      </c>
    </row>
    <row r="94" spans="3:25" x14ac:dyDescent="0.15">
      <c r="C94" s="2" t="s">
        <v>2114</v>
      </c>
      <c r="F94" s="5"/>
    </row>
    <row r="95" spans="3:25" x14ac:dyDescent="0.15">
      <c r="F95" s="5"/>
    </row>
    <row r="96" spans="3:25" x14ac:dyDescent="0.15">
      <c r="C96" s="2" t="s">
        <v>55</v>
      </c>
      <c r="F96" s="5"/>
    </row>
    <row r="97" spans="2:13" x14ac:dyDescent="0.15">
      <c r="C97" t="s">
        <v>365</v>
      </c>
      <c r="D97" s="43">
        <v>63</v>
      </c>
      <c r="E97" s="44">
        <v>125</v>
      </c>
      <c r="F97" s="44">
        <v>250</v>
      </c>
      <c r="G97" s="44">
        <v>500</v>
      </c>
      <c r="H97" s="44">
        <v>1000</v>
      </c>
      <c r="I97" s="44">
        <v>2000</v>
      </c>
      <c r="J97" s="44">
        <v>4000</v>
      </c>
      <c r="K97" s="45">
        <v>8000</v>
      </c>
      <c r="M97" t="s">
        <v>117</v>
      </c>
    </row>
    <row r="98" spans="2:13" x14ac:dyDescent="0.15">
      <c r="C98" s="67">
        <v>10</v>
      </c>
      <c r="D98" s="991">
        <v>8</v>
      </c>
      <c r="E98" s="991">
        <v>2</v>
      </c>
      <c r="F98" s="991">
        <v>4</v>
      </c>
      <c r="G98" s="991">
        <v>-3</v>
      </c>
      <c r="H98" s="991">
        <v>-7</v>
      </c>
      <c r="I98" s="991">
        <v>-11</v>
      </c>
      <c r="J98" s="991">
        <v>-15</v>
      </c>
      <c r="K98" s="991">
        <v>-22</v>
      </c>
      <c r="M98" s="5" cm="1">
        <f t="array" ref="M98">10*LOG10(SUM(10^((D98:K98+$AF$46:$AM$46)/10)))</f>
        <v>-4.5368635736819179E-2</v>
      </c>
    </row>
    <row r="99" spans="2:13" x14ac:dyDescent="0.15">
      <c r="C99" s="67">
        <v>8</v>
      </c>
      <c r="D99" s="991">
        <v>7</v>
      </c>
      <c r="E99" s="991">
        <v>2</v>
      </c>
      <c r="F99" s="991">
        <v>5</v>
      </c>
      <c r="G99" s="991">
        <v>-2</v>
      </c>
      <c r="H99" s="991">
        <v>-8</v>
      </c>
      <c r="I99" s="991">
        <v>-12</v>
      </c>
      <c r="J99" s="991">
        <v>-16</v>
      </c>
      <c r="K99" s="991">
        <v>-24</v>
      </c>
      <c r="M99" s="5" cm="1">
        <f t="array" ref="M99">10*LOG10(SUM(10^((D99:K99+$AF$46:$AM$46)/10)))</f>
        <v>0.2768261514095875</v>
      </c>
    </row>
    <row r="100" spans="2:13" x14ac:dyDescent="0.15">
      <c r="C100" s="67">
        <v>6</v>
      </c>
      <c r="D100" s="991">
        <v>6</v>
      </c>
      <c r="E100" s="991">
        <v>6</v>
      </c>
      <c r="F100" s="991">
        <v>4</v>
      </c>
      <c r="G100" s="991">
        <v>-2</v>
      </c>
      <c r="H100" s="991">
        <v>-7</v>
      </c>
      <c r="I100" s="991">
        <v>-12</v>
      </c>
      <c r="J100" s="991">
        <v>-18</v>
      </c>
      <c r="K100" s="991">
        <v>-25</v>
      </c>
      <c r="M100" s="5" cm="1">
        <f t="array" ref="M100">10*LOG10(SUM(10^((D100:K100+$AF$46:$AM$46)/10)))</f>
        <v>0.25762703916997121</v>
      </c>
    </row>
    <row r="101" spans="2:13" x14ac:dyDescent="0.15">
      <c r="C101" s="994">
        <v>5</v>
      </c>
      <c r="D101" s="993">
        <f>AVERAGE(D100,D102)</f>
        <v>7</v>
      </c>
      <c r="E101" s="993">
        <f t="shared" ref="E101:K101" si="29">AVERAGE(E100,E102)</f>
        <v>8.5</v>
      </c>
      <c r="F101" s="993">
        <f t="shared" si="29"/>
        <v>3.5</v>
      </c>
      <c r="G101" s="993">
        <f t="shared" si="29"/>
        <v>-3</v>
      </c>
      <c r="H101" s="993">
        <f t="shared" si="29"/>
        <v>-7.5</v>
      </c>
      <c r="I101" s="993">
        <f t="shared" si="29"/>
        <v>-14</v>
      </c>
      <c r="J101" s="993">
        <f t="shared" si="29"/>
        <v>-20.5</v>
      </c>
      <c r="K101" s="993">
        <f t="shared" si="29"/>
        <v>-24</v>
      </c>
      <c r="M101" s="5" cm="1">
        <f t="array" ref="M101">10*LOG10(SUM(10^((D101:K101+$AF$46:$AM$46)/10)))</f>
        <v>-9.0688441765001654E-2</v>
      </c>
    </row>
    <row r="102" spans="2:13" x14ac:dyDescent="0.15">
      <c r="C102" s="67">
        <v>4</v>
      </c>
      <c r="D102" s="991">
        <v>8</v>
      </c>
      <c r="E102" s="991">
        <v>11</v>
      </c>
      <c r="F102" s="991">
        <v>3</v>
      </c>
      <c r="G102" s="991">
        <v>-4</v>
      </c>
      <c r="H102" s="991">
        <v>-8</v>
      </c>
      <c r="I102" s="991">
        <v>-16</v>
      </c>
      <c r="J102" s="991">
        <v>-23</v>
      </c>
      <c r="K102" s="991">
        <v>-23</v>
      </c>
      <c r="M102" s="5" cm="1">
        <f t="array" ref="M102">10*LOG10(SUM(10^((D102:K102+$AF$46:$AM$46)/10)))</f>
        <v>-3.516105125638732E-2</v>
      </c>
    </row>
    <row r="104" spans="2:13" x14ac:dyDescent="0.15">
      <c r="B104" t="s">
        <v>1150</v>
      </c>
      <c r="C104" s="992">
        <f>W9</f>
        <v>6.4730648967108504</v>
      </c>
    </row>
    <row r="105" spans="2:13" x14ac:dyDescent="0.15">
      <c r="B105" t="s">
        <v>2115</v>
      </c>
      <c r="C105" s="990" cm="1">
        <f t="array" ref="C105">INDEX(C98:C102, MATCH(MIN(ABS($C$98:$C$102-$C$104)), ABS($C$98:$C$102-$C$104), 0))</f>
        <v>6</v>
      </c>
      <c r="D105" s="990" cm="1">
        <f t="array" ref="D105">INDEX(D98:D102, MATCH(MIN(ABS($C$98:$C$102-$C$104)), ABS($C$98:$C$102-$C$104), 0))</f>
        <v>6</v>
      </c>
      <c r="E105" s="990" cm="1">
        <f t="array" ref="E105">INDEX(E98:E102, MATCH(MIN(ABS($C$98:$C$102-$C$104)), ABS($C$98:$C$102-$C$104), 0))</f>
        <v>6</v>
      </c>
      <c r="F105" s="990" cm="1">
        <f t="array" ref="F105">INDEX(F98:F102, MATCH(MIN(ABS($C$98:$C$102-$C$104)), ABS($C$98:$C$102-$C$104), 0))</f>
        <v>4</v>
      </c>
      <c r="G105" s="990" cm="1">
        <f t="array" ref="G105">INDEX(G98:G102, MATCH(MIN(ABS($C$98:$C$102-$C$104)), ABS($C$98:$C$102-$C$104), 0))</f>
        <v>-2</v>
      </c>
      <c r="H105" s="990" cm="1">
        <f t="array" ref="H105">INDEX(H98:H102, MATCH(MIN(ABS($C$98:$C$102-$C$104)), ABS($C$98:$C$102-$C$104), 0))</f>
        <v>-7</v>
      </c>
      <c r="I105" s="990" cm="1">
        <f t="array" ref="I105">INDEX(I98:I102, MATCH(MIN(ABS($C$98:$C$102-$C$104)), ABS($C$98:$C$102-$C$104), 0))</f>
        <v>-12</v>
      </c>
      <c r="J105" s="990" cm="1">
        <f t="array" ref="J105">INDEX(J98:J102, MATCH(MIN(ABS($C$98:$C$102-$C$104)), ABS($C$98:$C$102-$C$104), 0))</f>
        <v>-18</v>
      </c>
      <c r="K105" s="990" cm="1">
        <f t="array" ref="K105">INDEX(K98:K102, MATCH(MIN(ABS($C$98:$C$102-$C$104)), ABS($C$98:$C$102-$C$104), 0))</f>
        <v>-25</v>
      </c>
    </row>
    <row r="107" spans="2:13" x14ac:dyDescent="0.15">
      <c r="C107" s="2" t="s">
        <v>56</v>
      </c>
      <c r="F107" s="5"/>
    </row>
    <row r="108" spans="2:13" x14ac:dyDescent="0.15">
      <c r="C108" s="628" t="s">
        <v>365</v>
      </c>
      <c r="D108" s="43">
        <v>63</v>
      </c>
      <c r="E108" s="44">
        <v>125</v>
      </c>
      <c r="F108" s="44">
        <v>250</v>
      </c>
      <c r="G108" s="44">
        <v>500</v>
      </c>
      <c r="H108" s="44">
        <v>1000</v>
      </c>
      <c r="I108" s="44">
        <v>2000</v>
      </c>
      <c r="J108" s="44">
        <v>4000</v>
      </c>
      <c r="K108" s="45">
        <v>8000</v>
      </c>
      <c r="M108" t="s">
        <v>117</v>
      </c>
    </row>
    <row r="109" spans="2:13" x14ac:dyDescent="0.15">
      <c r="C109" s="973">
        <v>10</v>
      </c>
      <c r="D109" s="991">
        <v>-1</v>
      </c>
      <c r="E109" s="991">
        <v>-5</v>
      </c>
      <c r="F109" s="991">
        <v>2</v>
      </c>
      <c r="G109" s="991">
        <v>-5</v>
      </c>
      <c r="H109" s="991">
        <v>-6</v>
      </c>
      <c r="I109" s="991">
        <v>-7</v>
      </c>
      <c r="J109" s="991">
        <v>-14</v>
      </c>
      <c r="K109" s="991">
        <v>-14</v>
      </c>
      <c r="M109" s="5" cm="1">
        <f t="array" ref="M109">10*LOG10(SUM(10^((D109:K109+$AF$46:$AM$46)/10)))</f>
        <v>-0.1097875263293538</v>
      </c>
    </row>
    <row r="110" spans="2:13" x14ac:dyDescent="0.15">
      <c r="C110" s="67">
        <v>8</v>
      </c>
      <c r="D110" s="991">
        <v>-2</v>
      </c>
      <c r="E110" s="991">
        <v>-4</v>
      </c>
      <c r="F110" s="991">
        <v>4</v>
      </c>
      <c r="G110" s="991">
        <v>-5</v>
      </c>
      <c r="H110" s="991">
        <v>-7</v>
      </c>
      <c r="I110" s="991">
        <v>-8</v>
      </c>
      <c r="J110" s="991">
        <v>-15</v>
      </c>
      <c r="K110" s="991">
        <v>-15</v>
      </c>
      <c r="M110" s="5" cm="1">
        <f t="array" ref="M110">10*LOG10(SUM(10^((D110:K110+$AF$46:$AM$46)/10)))</f>
        <v>-7.8033601241953562E-2</v>
      </c>
    </row>
    <row r="111" spans="2:13" x14ac:dyDescent="0.15">
      <c r="C111" s="67">
        <v>6</v>
      </c>
      <c r="D111" s="991">
        <v>0</v>
      </c>
      <c r="E111" s="991">
        <v>1</v>
      </c>
      <c r="F111" s="991">
        <v>4</v>
      </c>
      <c r="G111" s="991">
        <v>-5</v>
      </c>
      <c r="H111" s="991">
        <v>-6</v>
      </c>
      <c r="I111" s="991">
        <v>-8</v>
      </c>
      <c r="J111" s="991">
        <v>-16</v>
      </c>
      <c r="K111" s="991">
        <v>-15</v>
      </c>
      <c r="M111" s="5" cm="1">
        <f t="array" ref="M111">10*LOG10(SUM(10^((D111:K111+$AF$46:$AM$46)/10)))</f>
        <v>0.20229849119711274</v>
      </c>
    </row>
    <row r="112" spans="2:13" x14ac:dyDescent="0.15">
      <c r="C112" s="994">
        <v>5</v>
      </c>
      <c r="D112" s="993">
        <f>AVERAGE(D111,D113)</f>
        <v>3</v>
      </c>
      <c r="E112" s="993">
        <f t="shared" ref="E112" si="30">AVERAGE(E111,E113)</f>
        <v>3.5</v>
      </c>
      <c r="F112" s="993">
        <f t="shared" ref="F112" si="31">AVERAGE(F111,F113)</f>
        <v>2.5</v>
      </c>
      <c r="G112" s="993">
        <f t="shared" ref="G112" si="32">AVERAGE(G111,G113)</f>
        <v>-4.5</v>
      </c>
      <c r="H112" s="993">
        <f t="shared" ref="H112" si="33">AVERAGE(H111,H113)</f>
        <v>-5.5</v>
      </c>
      <c r="I112" s="993">
        <f t="shared" ref="I112" si="34">AVERAGE(I111,I113)</f>
        <v>-8</v>
      </c>
      <c r="J112" s="993">
        <f t="shared" ref="J112" si="35">AVERAGE(J111,J113)</f>
        <v>-16.5</v>
      </c>
      <c r="K112" s="993">
        <f t="shared" ref="K112" si="36">AVERAGE(K111,K113)</f>
        <v>-18.5</v>
      </c>
      <c r="M112" s="5" cm="1">
        <f t="array" ref="M112">10*LOG10(SUM(10^((D112:K112+$AF$46:$AM$46)/10)))</f>
        <v>2.1453891105877292E-2</v>
      </c>
    </row>
    <row r="113" spans="2:13" x14ac:dyDescent="0.15">
      <c r="C113" s="67">
        <v>4</v>
      </c>
      <c r="D113" s="991">
        <v>6</v>
      </c>
      <c r="E113" s="991">
        <v>6</v>
      </c>
      <c r="F113" s="991">
        <v>1</v>
      </c>
      <c r="G113" s="991">
        <v>-4</v>
      </c>
      <c r="H113" s="991">
        <v>-5</v>
      </c>
      <c r="I113" s="991">
        <v>-8</v>
      </c>
      <c r="J113" s="991">
        <v>-17</v>
      </c>
      <c r="K113" s="991">
        <v>-22</v>
      </c>
      <c r="M113" s="5" cm="1">
        <f t="array" ref="M113">10*LOG10(SUM(10^((D113:K113+$AF$46:$AM$46)/10)))</f>
        <v>0.11474792809292644</v>
      </c>
    </row>
    <row r="115" spans="2:13" x14ac:dyDescent="0.15">
      <c r="B115" t="s">
        <v>1150</v>
      </c>
      <c r="C115" s="992">
        <f>W9</f>
        <v>6.4730648967108504</v>
      </c>
    </row>
    <row r="116" spans="2:13" x14ac:dyDescent="0.15">
      <c r="B116" t="s">
        <v>2115</v>
      </c>
      <c r="C116" s="990" cm="1">
        <f t="array" ref="C116">INDEX(C109:C113, MATCH(MIN(ABS($C$109:$C$113-$C$115)), ABS($C$109:$C$113-$C$115), 0))</f>
        <v>6</v>
      </c>
      <c r="D116" s="990" cm="1">
        <f t="array" ref="D116">INDEX(D109:D113, MATCH(MIN(ABS($C$109:$C$113-$C$115)), ABS($C$109:$C$113-$C$115), 0))</f>
        <v>0</v>
      </c>
      <c r="E116" s="990" cm="1">
        <f t="array" ref="E116">INDEX(E109:E113, MATCH(MIN(ABS($C$109:$C$113-$C$115)), ABS($C$109:$C$113-$C$115), 0))</f>
        <v>1</v>
      </c>
      <c r="F116" s="990" cm="1">
        <f t="array" ref="F116">INDEX(F109:F113, MATCH(MIN(ABS($C$109:$C$113-$C$115)), ABS($C$109:$C$113-$C$115), 0))</f>
        <v>4</v>
      </c>
      <c r="G116" s="990" cm="1">
        <f t="array" ref="G116">INDEX(G109:G113, MATCH(MIN(ABS($C$109:$C$113-$C$115)), ABS($C$109:$C$113-$C$115), 0))</f>
        <v>-5</v>
      </c>
      <c r="H116" s="990" cm="1">
        <f t="array" ref="H116">INDEX(H109:H113, MATCH(MIN(ABS($C$109:$C$113-$C$115)), ABS($C$109:$C$113-$C$115), 0))</f>
        <v>-6</v>
      </c>
      <c r="I116" s="990" cm="1">
        <f t="array" ref="I116">INDEX(I109:I113, MATCH(MIN(ABS($C$109:$C$113-$C$115)), ABS($C$109:$C$113-$C$115), 0))</f>
        <v>-8</v>
      </c>
      <c r="J116" s="990" cm="1">
        <f t="array" ref="J116">INDEX(J109:J113, MATCH(MIN(ABS($C$109:$C$113-$C$115)), ABS($C$109:$C$113-$C$115), 0))</f>
        <v>-16</v>
      </c>
      <c r="K116" s="990" cm="1">
        <f t="array" ref="K116">INDEX(K109:K113, MATCH(MIN(ABS($C$109:$C$113-$C$115)), ABS($C$109:$C$113-$C$115), 0))</f>
        <v>-15</v>
      </c>
    </row>
  </sheetData>
  <conditionalFormatting sqref="C109">
    <cfRule type="expression" priority="38">
      <formula>C109=INDEX(C109:C113, MATCH(MIN(ABS($C$109:$C$113-$C$115)), ABS($C$109:$C$113-$C$115), 0))</formula>
    </cfRule>
  </conditionalFormatting>
  <conditionalFormatting sqref="H82:H86 H88 H90">
    <cfRule type="cellIs" dxfId="66" priority="5" operator="equal">
      <formula>FALSE</formula>
    </cfRule>
    <cfRule type="cellIs" dxfId="65" priority="6" operator="equal">
      <formula>TRUE</formula>
    </cfRule>
  </conditionalFormatting>
  <conditionalFormatting sqref="W10">
    <cfRule type="cellIs" dxfId="64" priority="3" operator="equal">
      <formula>FALSE</formula>
    </cfRule>
    <cfRule type="cellIs" dxfId="63" priority="4" operator="equal">
      <formula>TRUE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D4F06-9E7C-410A-8FE2-AF4747F8F61C}">
  <dimension ref="B2:AQ52"/>
  <sheetViews>
    <sheetView topLeftCell="A21" zoomScale="85" zoomScaleNormal="85" workbookViewId="0">
      <selection activeCell="I46" sqref="I46"/>
    </sheetView>
  </sheetViews>
  <sheetFormatPr baseColWidth="10" defaultColWidth="8.83203125" defaultRowHeight="13" x14ac:dyDescent="0.15"/>
  <cols>
    <col min="2" max="2" width="22.5" customWidth="1"/>
  </cols>
  <sheetData>
    <row r="2" spans="2:43" ht="14" thickBot="1" x14ac:dyDescent="0.2">
      <c r="E2" t="s">
        <v>455</v>
      </c>
    </row>
    <row r="3" spans="2:43" ht="17" x14ac:dyDescent="0.15">
      <c r="B3" s="2" t="s">
        <v>79</v>
      </c>
      <c r="E3" t="s">
        <v>454</v>
      </c>
      <c r="F3" t="s">
        <v>456</v>
      </c>
      <c r="K3" s="1815" t="s">
        <v>427</v>
      </c>
      <c r="L3" s="1816"/>
      <c r="M3" s="1816"/>
      <c r="N3" s="1816"/>
      <c r="O3" s="1816"/>
      <c r="P3" s="1816"/>
      <c r="Q3" s="1817" t="s">
        <v>428</v>
      </c>
      <c r="R3" s="1817"/>
      <c r="S3" s="1817"/>
      <c r="T3" s="1817"/>
      <c r="U3" s="1817"/>
      <c r="V3" s="1817"/>
      <c r="W3" s="1807" t="s">
        <v>429</v>
      </c>
      <c r="X3" s="1816" t="s">
        <v>313</v>
      </c>
      <c r="Y3" s="1816"/>
      <c r="Z3" s="1816"/>
      <c r="AA3" s="1816"/>
      <c r="AB3" s="1816"/>
      <c r="AC3" s="1816"/>
      <c r="AD3" s="1816"/>
      <c r="AE3" s="1816"/>
      <c r="AF3" s="1807" t="s">
        <v>430</v>
      </c>
      <c r="AG3" s="1810" t="s">
        <v>431</v>
      </c>
    </row>
    <row r="4" spans="2:43" x14ac:dyDescent="0.15">
      <c r="B4" t="s">
        <v>7</v>
      </c>
      <c r="C4" s="314">
        <f>TuloksetC!E37</f>
        <v>6.8428828118574261</v>
      </c>
      <c r="D4" t="s">
        <v>25</v>
      </c>
      <c r="E4" s="313">
        <f>'C-series'!E44/'C-series'!E33^2</f>
        <v>4.4444444444444447E-4</v>
      </c>
      <c r="F4" s="313">
        <f>AVERAGE(E4:E5)</f>
        <v>4.6913580246913582E-4</v>
      </c>
      <c r="K4" s="1813" t="s">
        <v>432</v>
      </c>
      <c r="L4" s="1712" t="s">
        <v>433</v>
      </c>
      <c r="M4" s="1712" t="s">
        <v>434</v>
      </c>
      <c r="N4" s="1712" t="s">
        <v>435</v>
      </c>
      <c r="O4" s="1712" t="s">
        <v>436</v>
      </c>
      <c r="P4" s="1712" t="s">
        <v>437</v>
      </c>
      <c r="Q4" s="1814" t="s">
        <v>438</v>
      </c>
      <c r="R4" s="1814" t="s">
        <v>439</v>
      </c>
      <c r="S4" s="1814" t="s">
        <v>440</v>
      </c>
      <c r="T4" s="1814" t="s">
        <v>441</v>
      </c>
      <c r="U4" s="1814" t="s">
        <v>442</v>
      </c>
      <c r="V4" s="1814" t="s">
        <v>443</v>
      </c>
      <c r="W4" s="1808"/>
      <c r="X4" s="1809" t="s">
        <v>61</v>
      </c>
      <c r="Y4" s="1809" t="s">
        <v>62</v>
      </c>
      <c r="Z4" s="1809" t="s">
        <v>63</v>
      </c>
      <c r="AA4" s="1809" t="s">
        <v>64</v>
      </c>
      <c r="AB4" s="1809" t="s">
        <v>65</v>
      </c>
      <c r="AC4" s="1809" t="s">
        <v>66</v>
      </c>
      <c r="AD4" s="1809" t="s">
        <v>67</v>
      </c>
      <c r="AE4" s="1809" t="s">
        <v>68</v>
      </c>
      <c r="AF4" s="1808"/>
      <c r="AG4" s="1811"/>
    </row>
    <row r="5" spans="2:43" x14ac:dyDescent="0.15">
      <c r="B5" t="s">
        <v>8</v>
      </c>
      <c r="C5" s="314">
        <f>TuloksetC!H37</f>
        <v>6.4730648967108504</v>
      </c>
      <c r="D5" t="s">
        <v>25</v>
      </c>
      <c r="E5" s="313">
        <f>'C-series'!G44/'C-series'!G33^2</f>
        <v>4.9382716049382717E-4</v>
      </c>
      <c r="K5" s="1813"/>
      <c r="L5" s="1712"/>
      <c r="M5" s="1712"/>
      <c r="N5" s="1712"/>
      <c r="O5" s="1712"/>
      <c r="P5" s="1712"/>
      <c r="Q5" s="1814"/>
      <c r="R5" s="1814"/>
      <c r="S5" s="1814"/>
      <c r="T5" s="1814"/>
      <c r="U5" s="1814"/>
      <c r="V5" s="1814"/>
      <c r="W5" s="1808"/>
      <c r="X5" s="1809"/>
      <c r="Y5" s="1809"/>
      <c r="Z5" s="1809"/>
      <c r="AA5" s="1809"/>
      <c r="AB5" s="1809"/>
      <c r="AC5" s="1809"/>
      <c r="AD5" s="1809"/>
      <c r="AE5" s="1809"/>
      <c r="AF5" s="1809"/>
      <c r="AG5" s="1812"/>
    </row>
    <row r="6" spans="2:43" x14ac:dyDescent="0.15">
      <c r="K6" s="308">
        <v>100</v>
      </c>
      <c r="L6" s="914">
        <v>10.013000000000002</v>
      </c>
      <c r="M6" s="915">
        <v>593.49694891091644</v>
      </c>
      <c r="N6" s="915">
        <v>-60.779353081988738</v>
      </c>
      <c r="O6" s="915">
        <v>113.21584831795167</v>
      </c>
      <c r="P6" s="915">
        <v>173.99520139994041</v>
      </c>
      <c r="Q6" s="818">
        <v>10</v>
      </c>
      <c r="R6" s="916">
        <v>9.9969999999999999</v>
      </c>
      <c r="S6" s="917">
        <v>637.28372580002429</v>
      </c>
      <c r="T6" s="917">
        <v>-41.768957867521706</v>
      </c>
      <c r="U6" s="917">
        <v>138.74710520111142</v>
      </c>
      <c r="V6" s="917">
        <v>180.51606306863312</v>
      </c>
      <c r="W6" s="915">
        <v>1453.9596730911717</v>
      </c>
      <c r="X6" s="915">
        <v>63.277116227180905</v>
      </c>
      <c r="Y6" s="915">
        <v>57.800940533346193</v>
      </c>
      <c r="Z6" s="915">
        <v>52.145382551719521</v>
      </c>
      <c r="AA6" s="915">
        <v>44.269513365176827</v>
      </c>
      <c r="AB6" s="915">
        <v>42.589015506330135</v>
      </c>
      <c r="AC6" s="915">
        <v>42.201364142768767</v>
      </c>
      <c r="AD6" s="915">
        <v>34.849105445879069</v>
      </c>
      <c r="AE6" s="915">
        <v>33.047424707961468</v>
      </c>
      <c r="AF6" s="915">
        <v>64.712699654404076</v>
      </c>
      <c r="AG6" s="918">
        <v>49.959495723320273</v>
      </c>
      <c r="AI6" s="3">
        <f>X6-$AG6</f>
        <v>13.317620503860631</v>
      </c>
      <c r="AJ6" s="3">
        <f t="shared" ref="AJ6:AP11" si="0">Y6-$AG6</f>
        <v>7.8414448100259193</v>
      </c>
      <c r="AK6" s="3">
        <f t="shared" si="0"/>
        <v>2.1858868283992479</v>
      </c>
      <c r="AL6" s="3">
        <f t="shared" si="0"/>
        <v>-5.6899823581434461</v>
      </c>
      <c r="AM6" s="3">
        <f t="shared" si="0"/>
        <v>-7.3704802169901384</v>
      </c>
      <c r="AN6" s="3">
        <f t="shared" si="0"/>
        <v>-7.7581315805515061</v>
      </c>
      <c r="AO6" s="3">
        <f t="shared" si="0"/>
        <v>-15.110390277441205</v>
      </c>
      <c r="AP6" s="3">
        <f>AE6-$AG6</f>
        <v>-16.912071015358805</v>
      </c>
      <c r="AQ6" s="3"/>
    </row>
    <row r="7" spans="2:43" x14ac:dyDescent="0.15">
      <c r="B7" s="2" t="s">
        <v>88</v>
      </c>
      <c r="K7" s="308">
        <v>100</v>
      </c>
      <c r="L7" s="914">
        <v>9.9978999999999996</v>
      </c>
      <c r="M7" s="915">
        <v>530.73121249302289</v>
      </c>
      <c r="N7" s="915">
        <v>-134.99538471552299</v>
      </c>
      <c r="O7" s="915">
        <v>198.05356854622056</v>
      </c>
      <c r="P7" s="915">
        <v>333.04895326174358</v>
      </c>
      <c r="Q7" s="818">
        <v>10</v>
      </c>
      <c r="R7" s="916">
        <v>10.010000000000002</v>
      </c>
      <c r="S7" s="917">
        <v>566.42179528729196</v>
      </c>
      <c r="T7" s="917">
        <v>-146.57325814041792</v>
      </c>
      <c r="U7" s="917">
        <v>193.32922982456847</v>
      </c>
      <c r="V7" s="917">
        <v>339.90248796498639</v>
      </c>
      <c r="W7" s="915">
        <v>1440.1126279513003</v>
      </c>
      <c r="X7" s="915">
        <v>60.765315528379212</v>
      </c>
      <c r="Y7" s="915">
        <v>56.516530848866594</v>
      </c>
      <c r="Z7" s="915">
        <v>53.056254047520795</v>
      </c>
      <c r="AA7" s="915">
        <v>43.698397785708842</v>
      </c>
      <c r="AB7" s="915">
        <v>42.097800798444496</v>
      </c>
      <c r="AC7" s="915">
        <v>41.855949583599724</v>
      </c>
      <c r="AD7" s="915">
        <v>34.536177157792864</v>
      </c>
      <c r="AE7" s="915">
        <v>33.093393586209444</v>
      </c>
      <c r="AF7" s="915">
        <v>62.794551007073956</v>
      </c>
      <c r="AG7" s="918">
        <v>49.622154443664968</v>
      </c>
      <c r="AI7" s="3">
        <f t="shared" ref="AI7:AI11" si="1">X7-$AG7</f>
        <v>11.143161084714244</v>
      </c>
      <c r="AJ7" s="3">
        <f t="shared" si="0"/>
        <v>6.8943764052016263</v>
      </c>
      <c r="AK7" s="3">
        <f t="shared" si="0"/>
        <v>3.4340996038558274</v>
      </c>
      <c r="AL7" s="3">
        <f t="shared" si="0"/>
        <v>-5.923756657956126</v>
      </c>
      <c r="AM7" s="3">
        <f t="shared" si="0"/>
        <v>-7.5243536452204722</v>
      </c>
      <c r="AN7" s="3">
        <f t="shared" si="0"/>
        <v>-7.766204860065244</v>
      </c>
      <c r="AO7" s="3">
        <f t="shared" si="0"/>
        <v>-15.085977285872104</v>
      </c>
      <c r="AP7" s="3">
        <f t="shared" si="0"/>
        <v>-16.528760857455524</v>
      </c>
      <c r="AQ7" s="3"/>
    </row>
    <row r="8" spans="2:43" x14ac:dyDescent="0.15">
      <c r="B8" t="s">
        <v>90</v>
      </c>
      <c r="K8" s="308">
        <v>100</v>
      </c>
      <c r="L8" s="914">
        <v>9.9989999999999988</v>
      </c>
      <c r="M8" s="915">
        <v>444.93207725649069</v>
      </c>
      <c r="N8" s="915">
        <v>-215.6244943136391</v>
      </c>
      <c r="O8" s="915">
        <v>321.23077888728074</v>
      </c>
      <c r="P8" s="915">
        <v>536.85527320091978</v>
      </c>
      <c r="Q8" s="818">
        <v>10</v>
      </c>
      <c r="R8" s="916">
        <v>9.9989999999999988</v>
      </c>
      <c r="S8" s="917">
        <v>476.49781301424628</v>
      </c>
      <c r="T8" s="917">
        <v>-202.04526615257149</v>
      </c>
      <c r="U8" s="917">
        <v>325.06033722660879</v>
      </c>
      <c r="V8" s="917">
        <v>527.10560337918025</v>
      </c>
      <c r="W8" s="915">
        <v>1447.0854470746503</v>
      </c>
      <c r="X8" s="915">
        <v>65.657040295560918</v>
      </c>
      <c r="Y8" s="915">
        <v>58.791640002454635</v>
      </c>
      <c r="Z8" s="915">
        <v>57.392824134673958</v>
      </c>
      <c r="AA8" s="915">
        <v>44.974965662994038</v>
      </c>
      <c r="AB8" s="915">
        <v>42.080518990332195</v>
      </c>
      <c r="AC8" s="915">
        <v>41.786493746054802</v>
      </c>
      <c r="AD8" s="915">
        <v>34.415667321604957</v>
      </c>
      <c r="AE8" s="915">
        <v>33.238503725309542</v>
      </c>
      <c r="AF8" s="915">
        <v>67.034703389490446</v>
      </c>
      <c r="AG8" s="918">
        <v>51.572881755630256</v>
      </c>
      <c r="AI8" s="3">
        <f t="shared" si="1"/>
        <v>14.084158539930662</v>
      </c>
      <c r="AJ8" s="3">
        <f t="shared" si="0"/>
        <v>7.2187582468243789</v>
      </c>
      <c r="AK8" s="3">
        <f t="shared" si="0"/>
        <v>5.8199423790437024</v>
      </c>
      <c r="AL8" s="3">
        <f t="shared" si="0"/>
        <v>-6.5979160926362184</v>
      </c>
      <c r="AM8" s="3">
        <f t="shared" si="0"/>
        <v>-9.4923627652980613</v>
      </c>
      <c r="AN8" s="3">
        <f t="shared" si="0"/>
        <v>-9.7863880095754539</v>
      </c>
      <c r="AO8" s="3">
        <f t="shared" si="0"/>
        <v>-17.157214434025299</v>
      </c>
      <c r="AP8" s="3">
        <f t="shared" si="0"/>
        <v>-18.334378030320714</v>
      </c>
      <c r="AQ8" s="3"/>
    </row>
    <row r="9" spans="2:43" x14ac:dyDescent="0.15">
      <c r="B9" t="s">
        <v>89</v>
      </c>
      <c r="K9" s="308">
        <v>100</v>
      </c>
      <c r="L9" s="914">
        <v>10.010999999999997</v>
      </c>
      <c r="M9" s="915">
        <v>356.47992620715348</v>
      </c>
      <c r="N9" s="915">
        <v>-352.69289114144334</v>
      </c>
      <c r="O9" s="915">
        <v>368.55496861191909</v>
      </c>
      <c r="P9" s="915">
        <v>721.24785975336249</v>
      </c>
      <c r="Q9" s="818">
        <v>10</v>
      </c>
      <c r="R9" s="916">
        <v>10.013000000000002</v>
      </c>
      <c r="S9" s="917">
        <v>380.28161024390653</v>
      </c>
      <c r="T9" s="917">
        <v>-365.98887130100553</v>
      </c>
      <c r="U9" s="917">
        <v>358.94521439218528</v>
      </c>
      <c r="V9" s="917">
        <v>724.93408569319081</v>
      </c>
      <c r="W9" s="915">
        <v>1430.2611937791457</v>
      </c>
      <c r="X9" s="915">
        <v>68.606259468567558</v>
      </c>
      <c r="Y9" s="915">
        <v>63.322475138903513</v>
      </c>
      <c r="Z9" s="915">
        <v>62.334616923704303</v>
      </c>
      <c r="AA9" s="915">
        <v>49.019365226251253</v>
      </c>
      <c r="AB9" s="915">
        <v>43.650848990607535</v>
      </c>
      <c r="AC9" s="915">
        <v>42.990729954783347</v>
      </c>
      <c r="AD9" s="915">
        <v>35.977643671153871</v>
      </c>
      <c r="AE9" s="915">
        <v>34.582644949037523</v>
      </c>
      <c r="AF9" s="915">
        <v>70.509751787094274</v>
      </c>
      <c r="AG9" s="918">
        <v>55.375528164873884</v>
      </c>
      <c r="AI9" s="3">
        <f t="shared" si="1"/>
        <v>13.230731303693673</v>
      </c>
      <c r="AJ9" s="3">
        <f t="shared" si="0"/>
        <v>7.946946974029629</v>
      </c>
      <c r="AK9" s="3">
        <f t="shared" si="0"/>
        <v>6.9590887588304184</v>
      </c>
      <c r="AL9" s="3">
        <f t="shared" si="0"/>
        <v>-6.3561629386226315</v>
      </c>
      <c r="AM9" s="3">
        <f t="shared" si="0"/>
        <v>-11.724679174266349</v>
      </c>
      <c r="AN9" s="3">
        <f t="shared" si="0"/>
        <v>-12.384798210090537</v>
      </c>
      <c r="AO9" s="3">
        <f t="shared" si="0"/>
        <v>-19.397884493720014</v>
      </c>
      <c r="AP9" s="3">
        <f t="shared" si="0"/>
        <v>-20.792883215836362</v>
      </c>
      <c r="AQ9" s="3"/>
    </row>
    <row r="10" spans="2:43" x14ac:dyDescent="0.15">
      <c r="C10" t="s">
        <v>4</v>
      </c>
      <c r="D10" t="s">
        <v>5</v>
      </c>
      <c r="K10" s="308">
        <v>80</v>
      </c>
      <c r="L10" s="914">
        <v>8</v>
      </c>
      <c r="M10" s="915">
        <v>525.43524498311842</v>
      </c>
      <c r="N10" s="915">
        <v>-46.079347585231645</v>
      </c>
      <c r="O10" s="915">
        <v>87.27863100141505</v>
      </c>
      <c r="P10" s="915">
        <v>133.35797858664671</v>
      </c>
      <c r="Q10" s="818">
        <v>8</v>
      </c>
      <c r="R10" s="916">
        <v>8.0129999999999999</v>
      </c>
      <c r="S10" s="917">
        <v>574.80863263645097</v>
      </c>
      <c r="T10" s="917">
        <v>-33.384634644602386</v>
      </c>
      <c r="U10" s="917">
        <v>113.34557168789215</v>
      </c>
      <c r="V10" s="917">
        <v>146.73020633249453</v>
      </c>
      <c r="W10" s="915">
        <v>1036.1239941791187</v>
      </c>
      <c r="X10" s="915">
        <v>60.159171910192995</v>
      </c>
      <c r="Y10" s="915">
        <v>55.845085529798631</v>
      </c>
      <c r="Z10" s="915">
        <v>53.056798156403879</v>
      </c>
      <c r="AA10" s="915">
        <v>40.815817337628921</v>
      </c>
      <c r="AB10" s="915">
        <v>40.48720998396238</v>
      </c>
      <c r="AC10" s="915">
        <v>39.449695370500912</v>
      </c>
      <c r="AD10" s="915">
        <v>31.550288971483823</v>
      </c>
      <c r="AE10" s="915">
        <v>30.420551477298478</v>
      </c>
      <c r="AF10" s="915">
        <v>62.19645945060595</v>
      </c>
      <c r="AG10" s="918">
        <v>48.124368787598968</v>
      </c>
      <c r="AI10" s="3">
        <f t="shared" si="1"/>
        <v>12.034803122594028</v>
      </c>
      <c r="AJ10" s="3">
        <f t="shared" si="0"/>
        <v>7.720716742199663</v>
      </c>
      <c r="AK10" s="3">
        <f t="shared" si="0"/>
        <v>4.932429368804911</v>
      </c>
      <c r="AL10" s="3">
        <f t="shared" si="0"/>
        <v>-7.3085514499700466</v>
      </c>
      <c r="AM10" s="3">
        <f t="shared" si="0"/>
        <v>-7.6371588036365878</v>
      </c>
      <c r="AN10" s="3">
        <f t="shared" si="0"/>
        <v>-8.6746734170980559</v>
      </c>
      <c r="AO10" s="3">
        <f t="shared" si="0"/>
        <v>-16.574079816115145</v>
      </c>
      <c r="AP10" s="3">
        <f t="shared" si="0"/>
        <v>-17.70381731030049</v>
      </c>
      <c r="AQ10" s="3"/>
    </row>
    <row r="11" spans="2:43" x14ac:dyDescent="0.15">
      <c r="B11" t="s">
        <v>141</v>
      </c>
      <c r="C11" s="107">
        <f>L42</f>
        <v>12.748275934030902</v>
      </c>
      <c r="D11" s="107">
        <f>M42</f>
        <v>23.001919920520109</v>
      </c>
      <c r="F11" t="s">
        <v>459</v>
      </c>
      <c r="K11" s="308">
        <v>80</v>
      </c>
      <c r="L11" s="914">
        <v>7.9989999999999997</v>
      </c>
      <c r="M11" s="915">
        <v>461.84475509427824</v>
      </c>
      <c r="N11" s="915">
        <v>-117.64895212551353</v>
      </c>
      <c r="O11" s="915">
        <v>149.28065326605832</v>
      </c>
      <c r="P11" s="915">
        <v>266.92960539157184</v>
      </c>
      <c r="Q11" s="818">
        <v>8</v>
      </c>
      <c r="R11" s="916">
        <v>8.0121000000000002</v>
      </c>
      <c r="S11" s="917">
        <v>510.35062304601644</v>
      </c>
      <c r="T11" s="917">
        <v>-119.37476828913897</v>
      </c>
      <c r="U11" s="917">
        <v>158.15794012310647</v>
      </c>
      <c r="V11" s="917">
        <v>277.53270841224543</v>
      </c>
      <c r="W11" s="915">
        <v>1046.5190733857305</v>
      </c>
      <c r="X11" s="915">
        <v>60.125620315914567</v>
      </c>
      <c r="Y11" s="915">
        <v>57.839524878019674</v>
      </c>
      <c r="Z11" s="915">
        <v>53.823782442353412</v>
      </c>
      <c r="AA11" s="915">
        <v>40.669492780358432</v>
      </c>
      <c r="AB11" s="915">
        <v>39.863930711965637</v>
      </c>
      <c r="AC11" s="915">
        <v>39.01442715017113</v>
      </c>
      <c r="AD11" s="915">
        <v>31.589642991145695</v>
      </c>
      <c r="AE11" s="915">
        <v>29.874254426408562</v>
      </c>
      <c r="AF11" s="915">
        <v>62.811147590752171</v>
      </c>
      <c r="AG11" s="918">
        <v>48.629008822714624</v>
      </c>
      <c r="AI11" s="3">
        <f t="shared" si="1"/>
        <v>11.496611493199943</v>
      </c>
      <c r="AJ11" s="3">
        <f t="shared" si="0"/>
        <v>9.2105160553050496</v>
      </c>
      <c r="AK11" s="3">
        <f t="shared" si="0"/>
        <v>5.1947736196387879</v>
      </c>
      <c r="AL11" s="3">
        <f t="shared" si="0"/>
        <v>-7.9595160423561921</v>
      </c>
      <c r="AM11" s="3">
        <f t="shared" si="0"/>
        <v>-8.7650781107489877</v>
      </c>
      <c r="AN11" s="3">
        <f t="shared" si="0"/>
        <v>-9.6145816725434941</v>
      </c>
      <c r="AO11" s="3">
        <f t="shared" si="0"/>
        <v>-17.039365831568929</v>
      </c>
      <c r="AP11" s="3">
        <f t="shared" si="0"/>
        <v>-18.754754396306062</v>
      </c>
      <c r="AQ11" s="3"/>
    </row>
    <row r="12" spans="2:43" x14ac:dyDescent="0.15">
      <c r="B12" t="s">
        <v>457</v>
      </c>
      <c r="C12" s="107">
        <f>U42</f>
        <v>992.61629964460951</v>
      </c>
      <c r="D12" s="107">
        <f>V42</f>
        <v>-2.6479929923922936</v>
      </c>
      <c r="E12" s="314">
        <f>C12*F4+D12</f>
        <v>-2.1823211481145757</v>
      </c>
      <c r="F12" s="314">
        <f>IF(E12&lt;-4,-4,IF(E12&gt;4,4,E12))</f>
        <v>-2.1823211481145757</v>
      </c>
      <c r="G12" t="s">
        <v>31</v>
      </c>
      <c r="K12" s="308">
        <v>80</v>
      </c>
      <c r="L12" s="914">
        <v>8.0071999999999992</v>
      </c>
      <c r="M12" s="915">
        <v>386.13445898404882</v>
      </c>
      <c r="N12" s="915">
        <v>-163.84243811317057</v>
      </c>
      <c r="O12" s="915">
        <v>242.10704768486863</v>
      </c>
      <c r="P12" s="915">
        <v>405.94948579803918</v>
      </c>
      <c r="Q12" s="818">
        <v>8</v>
      </c>
      <c r="R12" s="916">
        <v>7.9969999999999999</v>
      </c>
      <c r="S12" s="917">
        <v>417.63784483048431</v>
      </c>
      <c r="T12" s="917">
        <v>-160.30119521786233</v>
      </c>
      <c r="U12" s="917">
        <v>262.25222875586138</v>
      </c>
      <c r="V12" s="917">
        <v>422.55342397372374</v>
      </c>
      <c r="W12" s="915">
        <v>1000.8260545364604</v>
      </c>
      <c r="X12" s="915">
        <v>60.642298169288431</v>
      </c>
      <c r="Y12" s="915">
        <v>56.915533006974002</v>
      </c>
      <c r="Z12" s="915">
        <v>57.458385191885952</v>
      </c>
      <c r="AA12" s="915">
        <v>41.526692916329289</v>
      </c>
      <c r="AB12" s="915">
        <v>39.700435794336549</v>
      </c>
      <c r="AC12" s="915">
        <v>39.238422669710488</v>
      </c>
      <c r="AD12" s="915">
        <v>31.493852592655593</v>
      </c>
      <c r="AE12" s="915">
        <v>29.896266428890232</v>
      </c>
      <c r="AF12" s="915">
        <v>63.506796662525943</v>
      </c>
      <c r="AG12" s="918">
        <v>49.868043464847737</v>
      </c>
      <c r="AI12" s="3">
        <f t="shared" ref="AI12:AI21" si="2">X12-$AG12</f>
        <v>10.774254704440693</v>
      </c>
      <c r="AJ12" s="3">
        <f t="shared" ref="AJ12:AJ21" si="3">Y12-$AG12</f>
        <v>7.0474895421262644</v>
      </c>
      <c r="AK12" s="3">
        <f t="shared" ref="AK12:AK21" si="4">Z12-$AG12</f>
        <v>7.590341727038215</v>
      </c>
      <c r="AL12" s="3">
        <f t="shared" ref="AL12:AL21" si="5">AA12-$AG12</f>
        <v>-8.3413505485184487</v>
      </c>
      <c r="AM12" s="3">
        <f t="shared" ref="AM12:AM21" si="6">AB12-$AG12</f>
        <v>-10.167607670511188</v>
      </c>
      <c r="AN12" s="3">
        <f t="shared" ref="AN12:AN21" si="7">AC12-$AG12</f>
        <v>-10.629620795137249</v>
      </c>
      <c r="AO12" s="3">
        <f t="shared" ref="AO12:AO21" si="8">AD12-$AG12</f>
        <v>-18.374190872192145</v>
      </c>
      <c r="AP12" s="3">
        <f t="shared" ref="AP12:AP21" si="9">AE12-$AG12</f>
        <v>-19.971777035957505</v>
      </c>
      <c r="AQ12" s="3"/>
    </row>
    <row r="13" spans="2:43" x14ac:dyDescent="0.15">
      <c r="K13" s="308">
        <v>80</v>
      </c>
      <c r="L13" s="914">
        <v>8.0139999999999976</v>
      </c>
      <c r="M13" s="915">
        <v>281.3086470848794</v>
      </c>
      <c r="N13" s="915">
        <v>-314.14462850704427</v>
      </c>
      <c r="O13" s="915">
        <v>236.33414284476072</v>
      </c>
      <c r="P13" s="915">
        <v>550.47877135180499</v>
      </c>
      <c r="Q13" s="818">
        <v>8</v>
      </c>
      <c r="R13" s="916">
        <v>8.004999999999999</v>
      </c>
      <c r="S13" s="917">
        <v>317.57456531266109</v>
      </c>
      <c r="T13" s="917">
        <v>-284.68071857396677</v>
      </c>
      <c r="U13" s="917">
        <v>272.25739993171999</v>
      </c>
      <c r="V13" s="917">
        <v>556.93811850568682</v>
      </c>
      <c r="W13" s="915">
        <v>940.3740720129739</v>
      </c>
      <c r="X13" s="915">
        <v>63.684171535106614</v>
      </c>
      <c r="Y13" s="915">
        <v>62.816091986455014</v>
      </c>
      <c r="Z13" s="915">
        <v>62.025119232225578</v>
      </c>
      <c r="AA13" s="915">
        <v>46.728329097721257</v>
      </c>
      <c r="AB13" s="915">
        <v>41.378968011957738</v>
      </c>
      <c r="AC13" s="915">
        <v>39.865743904581315</v>
      </c>
      <c r="AD13" s="915">
        <v>33.071361729296697</v>
      </c>
      <c r="AE13" s="915">
        <v>30.850899662337611</v>
      </c>
      <c r="AF13" s="915">
        <v>67.720339216978232</v>
      </c>
      <c r="AG13" s="918">
        <v>54.011171297709097</v>
      </c>
      <c r="AI13" s="3">
        <f t="shared" si="2"/>
        <v>9.6730002373975168</v>
      </c>
      <c r="AJ13" s="3">
        <f t="shared" si="3"/>
        <v>8.8049206887459164</v>
      </c>
      <c r="AK13" s="3">
        <f t="shared" si="4"/>
        <v>8.0139479345164801</v>
      </c>
      <c r="AL13" s="3">
        <f t="shared" si="5"/>
        <v>-7.2828421999878401</v>
      </c>
      <c r="AM13" s="3">
        <f t="shared" si="6"/>
        <v>-12.632203285751359</v>
      </c>
      <c r="AN13" s="3">
        <f t="shared" si="7"/>
        <v>-14.145427393127783</v>
      </c>
      <c r="AO13" s="3">
        <f t="shared" si="8"/>
        <v>-20.9398095684124</v>
      </c>
      <c r="AP13" s="3">
        <f t="shared" si="9"/>
        <v>-23.160271635371487</v>
      </c>
      <c r="AQ13" s="3"/>
    </row>
    <row r="14" spans="2:43" x14ac:dyDescent="0.15">
      <c r="F14" t="s">
        <v>458</v>
      </c>
      <c r="H14" t="s">
        <v>460</v>
      </c>
      <c r="K14" s="308">
        <v>60</v>
      </c>
      <c r="L14" s="914">
        <v>5.9979999999999993</v>
      </c>
      <c r="M14" s="915">
        <v>375.79070229313464</v>
      </c>
      <c r="N14" s="915">
        <v>-26.411210756881985</v>
      </c>
      <c r="O14" s="915">
        <v>44.993306210362888</v>
      </c>
      <c r="P14" s="915">
        <v>71.404516967244874</v>
      </c>
      <c r="Q14" s="818">
        <v>6</v>
      </c>
      <c r="R14" s="916">
        <v>6.0020000000000007</v>
      </c>
      <c r="S14" s="917">
        <v>418.24254020982403</v>
      </c>
      <c r="T14" s="917">
        <v>-17.512914066370648</v>
      </c>
      <c r="U14" s="917">
        <v>60.719070876888999</v>
      </c>
      <c r="V14" s="917">
        <v>78.231984943259647</v>
      </c>
      <c r="W14" s="915">
        <v>459.09696788944336</v>
      </c>
      <c r="X14" s="915">
        <v>51.961934440150628</v>
      </c>
      <c r="Y14" s="915">
        <v>53.497191037540055</v>
      </c>
      <c r="Z14" s="915">
        <v>48.577281394245098</v>
      </c>
      <c r="AA14" s="915">
        <v>34.973233603761557</v>
      </c>
      <c r="AB14" s="915">
        <v>34.161215718908998</v>
      </c>
      <c r="AC14" s="915">
        <v>32.181117927841299</v>
      </c>
      <c r="AD14" s="915">
        <v>22.360237434024739</v>
      </c>
      <c r="AE14" s="915">
        <v>22.80434044444911</v>
      </c>
      <c r="AF14" s="915">
        <v>56.6338453765796</v>
      </c>
      <c r="AG14" s="918">
        <v>43.043444610882446</v>
      </c>
      <c r="AI14" s="3">
        <f t="shared" si="2"/>
        <v>8.9184898292681822</v>
      </c>
      <c r="AJ14" s="3">
        <f t="shared" si="3"/>
        <v>10.453746426657609</v>
      </c>
      <c r="AK14" s="3">
        <f t="shared" si="4"/>
        <v>5.5338367833626521</v>
      </c>
      <c r="AL14" s="3">
        <f t="shared" si="5"/>
        <v>-8.0702110071208892</v>
      </c>
      <c r="AM14" s="3">
        <f t="shared" si="6"/>
        <v>-8.8822288919734476</v>
      </c>
      <c r="AN14" s="3">
        <f t="shared" si="7"/>
        <v>-10.862326683041147</v>
      </c>
      <c r="AO14" s="3">
        <f t="shared" si="8"/>
        <v>-20.683207176857707</v>
      </c>
      <c r="AP14" s="3">
        <f t="shared" si="9"/>
        <v>-20.239104166433336</v>
      </c>
      <c r="AQ14" s="3"/>
    </row>
    <row r="15" spans="2:43" x14ac:dyDescent="0.15">
      <c r="B15" t="s">
        <v>91</v>
      </c>
      <c r="C15" s="314">
        <f>MAX(C4,C5)</f>
        <v>6.8428828118574261</v>
      </c>
      <c r="D15" t="s">
        <v>25</v>
      </c>
      <c r="E15" s="82" t="s">
        <v>42</v>
      </c>
      <c r="F15" s="5">
        <f>C11*LN(C15)+D11</f>
        <v>47.519520289857098</v>
      </c>
      <c r="G15" t="s">
        <v>31</v>
      </c>
      <c r="H15" s="3">
        <f>F15+F12</f>
        <v>45.337199141742524</v>
      </c>
      <c r="I15" t="s">
        <v>31</v>
      </c>
      <c r="K15" s="308">
        <v>60</v>
      </c>
      <c r="L15" s="914">
        <v>6.0060000000000002</v>
      </c>
      <c r="M15" s="915">
        <v>328.81633178499868</v>
      </c>
      <c r="N15" s="915">
        <v>-68.703836344084664</v>
      </c>
      <c r="O15" s="915">
        <v>77.760243828814325</v>
      </c>
      <c r="P15" s="915">
        <v>146.464080172899</v>
      </c>
      <c r="Q15" s="818">
        <v>6</v>
      </c>
      <c r="R15" s="916">
        <v>5.9949999999999992</v>
      </c>
      <c r="S15" s="917">
        <v>368.04642080342194</v>
      </c>
      <c r="T15" s="917">
        <v>-66.894236802547624</v>
      </c>
      <c r="U15" s="917">
        <v>87.527612741331154</v>
      </c>
      <c r="V15" s="917">
        <v>154.42184954387878</v>
      </c>
      <c r="W15" s="915">
        <v>460.98924677860111</v>
      </c>
      <c r="X15" s="915">
        <v>55.482166340012746</v>
      </c>
      <c r="Y15" s="915">
        <v>54.264718289367401</v>
      </c>
      <c r="Z15" s="915">
        <v>50.180730007031542</v>
      </c>
      <c r="AA15" s="915">
        <v>36.402573421058214</v>
      </c>
      <c r="AB15" s="915">
        <v>34.548107508043088</v>
      </c>
      <c r="AC15" s="915">
        <v>32.463333715088908</v>
      </c>
      <c r="AD15" s="915">
        <v>24.329333111277958</v>
      </c>
      <c r="AE15" s="915">
        <v>23.012583163158112</v>
      </c>
      <c r="AF15" s="915">
        <v>58.657175639324784</v>
      </c>
      <c r="AG15" s="918">
        <v>44.274271017518608</v>
      </c>
      <c r="AI15" s="3">
        <f t="shared" si="2"/>
        <v>11.207895322494139</v>
      </c>
      <c r="AJ15" s="3">
        <f t="shared" si="3"/>
        <v>9.9904472718487938</v>
      </c>
      <c r="AK15" s="3">
        <f t="shared" si="4"/>
        <v>5.9064589895129345</v>
      </c>
      <c r="AL15" s="3">
        <f t="shared" si="5"/>
        <v>-7.8716975964603932</v>
      </c>
      <c r="AM15" s="3">
        <f t="shared" si="6"/>
        <v>-9.7261635094755192</v>
      </c>
      <c r="AN15" s="3">
        <f t="shared" si="7"/>
        <v>-11.8109373024297</v>
      </c>
      <c r="AO15" s="3">
        <f t="shared" si="8"/>
        <v>-19.94493790624065</v>
      </c>
      <c r="AP15" s="3">
        <f t="shared" si="9"/>
        <v>-21.261687854360495</v>
      </c>
    </row>
    <row r="16" spans="2:43" x14ac:dyDescent="0.15">
      <c r="B16" t="s">
        <v>92</v>
      </c>
      <c r="C16" s="79">
        <f>(2*MAX(C4,C5)+MIN(C4,C5))/3</f>
        <v>6.7196101734752345</v>
      </c>
      <c r="D16" t="s">
        <v>25</v>
      </c>
      <c r="E16" s="82" t="s">
        <v>42</v>
      </c>
      <c r="F16" s="5">
        <f>C11*LN(C16)+D11</f>
        <v>47.287769845530015</v>
      </c>
      <c r="G16" t="s">
        <v>31</v>
      </c>
      <c r="H16" s="3">
        <f>F16+F12</f>
        <v>45.10544869741544</v>
      </c>
      <c r="I16" t="s">
        <v>31</v>
      </c>
      <c r="K16" s="308">
        <v>60</v>
      </c>
      <c r="L16" s="914">
        <v>5.9969999999999999</v>
      </c>
      <c r="M16" s="915">
        <v>285.80142111698365</v>
      </c>
      <c r="N16" s="915">
        <v>-89.426645293740052</v>
      </c>
      <c r="O16" s="915">
        <v>134.83447860647453</v>
      </c>
      <c r="P16" s="915">
        <v>224.26112390021459</v>
      </c>
      <c r="Q16" s="818">
        <v>6</v>
      </c>
      <c r="R16" s="916">
        <v>5.9939999999999998</v>
      </c>
      <c r="S16" s="917">
        <v>293.82638246065272</v>
      </c>
      <c r="T16" s="917">
        <v>-90.581415833642964</v>
      </c>
      <c r="U16" s="917">
        <v>147.82173366557504</v>
      </c>
      <c r="V16" s="917">
        <v>238.40314949921799</v>
      </c>
      <c r="W16" s="915">
        <v>455.52342682604638</v>
      </c>
      <c r="X16" s="915">
        <v>53.59182331732967</v>
      </c>
      <c r="Y16" s="915">
        <v>58.992286098690542</v>
      </c>
      <c r="Z16" s="915">
        <v>50.789552807367244</v>
      </c>
      <c r="AA16" s="915">
        <v>37.688437157762579</v>
      </c>
      <c r="AB16" s="915">
        <v>35.732484649915634</v>
      </c>
      <c r="AC16" s="915">
        <v>34.876781213384433</v>
      </c>
      <c r="AD16" s="915">
        <v>26.245739988241603</v>
      </c>
      <c r="AE16" s="915">
        <v>22.582854964958724</v>
      </c>
      <c r="AF16" s="915">
        <v>60.625084397487555</v>
      </c>
      <c r="AG16" s="918">
        <v>47.201799492571297</v>
      </c>
      <c r="AI16" s="3">
        <f t="shared" si="2"/>
        <v>6.3900238247583729</v>
      </c>
      <c r="AJ16" s="3">
        <f t="shared" si="3"/>
        <v>11.790486606119245</v>
      </c>
      <c r="AK16" s="3">
        <f t="shared" si="4"/>
        <v>3.5877533147959468</v>
      </c>
      <c r="AL16" s="3">
        <f t="shared" si="5"/>
        <v>-9.5133623348087184</v>
      </c>
      <c r="AM16" s="3">
        <f t="shared" si="6"/>
        <v>-11.469314842655663</v>
      </c>
      <c r="AN16" s="3">
        <f t="shared" si="7"/>
        <v>-12.325018279186864</v>
      </c>
      <c r="AO16" s="3">
        <f t="shared" si="8"/>
        <v>-20.956059504329694</v>
      </c>
      <c r="AP16" s="3">
        <f t="shared" si="9"/>
        <v>-24.618944527612573</v>
      </c>
    </row>
    <row r="17" spans="2:42" x14ac:dyDescent="0.15">
      <c r="K17" s="308">
        <v>60</v>
      </c>
      <c r="L17" s="914">
        <v>6.0099999999999989</v>
      </c>
      <c r="M17" s="915">
        <v>205.57319062839949</v>
      </c>
      <c r="N17" s="915">
        <v>-173.28087793854883</v>
      </c>
      <c r="O17" s="915">
        <v>129.83106424910829</v>
      </c>
      <c r="P17" s="915">
        <v>303.11194218765712</v>
      </c>
      <c r="Q17" s="818">
        <v>6</v>
      </c>
      <c r="R17" s="916">
        <v>6.0069999999999988</v>
      </c>
      <c r="S17" s="917">
        <v>216.36344241439886</v>
      </c>
      <c r="T17" s="917">
        <v>-159.91053040243636</v>
      </c>
      <c r="U17" s="917">
        <v>151.93282734462059</v>
      </c>
      <c r="V17" s="917">
        <v>311.84335774705698</v>
      </c>
      <c r="W17" s="915">
        <v>418.06164836795739</v>
      </c>
      <c r="X17" s="915">
        <v>62.820225999935474</v>
      </c>
      <c r="Y17" s="915">
        <v>64.337212614764994</v>
      </c>
      <c r="Z17" s="915">
        <v>52.643525349768225</v>
      </c>
      <c r="AA17" s="915">
        <v>38.119616547469548</v>
      </c>
      <c r="AB17" s="915">
        <v>35.16966549353937</v>
      </c>
      <c r="AC17" s="915">
        <v>33.459667131684547</v>
      </c>
      <c r="AD17" s="915">
        <v>23.365726360618297</v>
      </c>
      <c r="AE17" s="915">
        <v>22.565984695860518</v>
      </c>
      <c r="AF17" s="915">
        <v>66.83519328888903</v>
      </c>
      <c r="AG17" s="918">
        <v>51.067704078772323</v>
      </c>
      <c r="AI17" s="3">
        <f t="shared" si="2"/>
        <v>11.752521921163151</v>
      </c>
      <c r="AJ17" s="3">
        <f t="shared" si="3"/>
        <v>13.269508535992671</v>
      </c>
      <c r="AK17" s="3">
        <f t="shared" si="4"/>
        <v>1.5758212709959025</v>
      </c>
      <c r="AL17" s="3">
        <f t="shared" si="5"/>
        <v>-12.948087531302775</v>
      </c>
      <c r="AM17" s="3">
        <f t="shared" si="6"/>
        <v>-15.898038585232953</v>
      </c>
      <c r="AN17" s="3">
        <f t="shared" si="7"/>
        <v>-17.608036947087776</v>
      </c>
      <c r="AO17" s="3">
        <f t="shared" si="8"/>
        <v>-27.701977718154026</v>
      </c>
      <c r="AP17" s="3">
        <f t="shared" si="9"/>
        <v>-28.501719382911805</v>
      </c>
    </row>
    <row r="18" spans="2:42" ht="14" x14ac:dyDescent="0.15">
      <c r="B18" s="83" t="s">
        <v>82</v>
      </c>
      <c r="K18" s="308">
        <v>40</v>
      </c>
      <c r="L18" s="914">
        <v>4</v>
      </c>
      <c r="M18" s="915">
        <v>234.01158637119727</v>
      </c>
      <c r="N18" s="915">
        <v>-9.7087839260522522</v>
      </c>
      <c r="O18" s="915">
        <v>17.277008569990599</v>
      </c>
      <c r="P18" s="915">
        <v>26.985792496042851</v>
      </c>
      <c r="Q18" s="818">
        <v>4</v>
      </c>
      <c r="R18" s="916">
        <v>3.9968999999999992</v>
      </c>
      <c r="S18" s="917">
        <v>260.90730972432408</v>
      </c>
      <c r="T18" s="917">
        <v>-6.2146230189411265</v>
      </c>
      <c r="U18" s="917">
        <v>23.93948605215332</v>
      </c>
      <c r="V18" s="917">
        <v>30.154109071094446</v>
      </c>
      <c r="W18" s="915">
        <v>154.16366863794534</v>
      </c>
      <c r="X18" s="915">
        <v>54.042515535109132</v>
      </c>
      <c r="Y18" s="915">
        <v>51.110010689252974</v>
      </c>
      <c r="Z18" s="915">
        <v>46.056097406813564</v>
      </c>
      <c r="AA18" s="915">
        <v>30.209077006991624</v>
      </c>
      <c r="AB18" s="915">
        <v>26.044746582954602</v>
      </c>
      <c r="AC18" s="915">
        <v>21.504818845031302</v>
      </c>
      <c r="AD18" s="915">
        <v>12.16749926778129</v>
      </c>
      <c r="AE18" s="915">
        <v>15.416168250182796</v>
      </c>
      <c r="AF18" s="915">
        <v>56.281379992990956</v>
      </c>
      <c r="AG18" s="918">
        <v>39.056417756173836</v>
      </c>
      <c r="AI18" s="3">
        <f t="shared" si="2"/>
        <v>14.986097778935296</v>
      </c>
      <c r="AJ18" s="3">
        <f t="shared" si="3"/>
        <v>12.053592933079138</v>
      </c>
      <c r="AK18" s="3">
        <f t="shared" si="4"/>
        <v>6.9996796506397274</v>
      </c>
      <c r="AL18" s="3">
        <f t="shared" si="5"/>
        <v>-8.8473407491822122</v>
      </c>
      <c r="AM18" s="3">
        <f t="shared" si="6"/>
        <v>-13.011671173219234</v>
      </c>
      <c r="AN18" s="3">
        <f t="shared" si="7"/>
        <v>-17.551598911142534</v>
      </c>
      <c r="AO18" s="3">
        <f t="shared" si="8"/>
        <v>-26.888918488392548</v>
      </c>
      <c r="AP18" s="3">
        <f t="shared" si="9"/>
        <v>-23.64024950599104</v>
      </c>
    </row>
    <row r="19" spans="2:42" x14ac:dyDescent="0.15">
      <c r="K19" s="308">
        <v>40</v>
      </c>
      <c r="L19" s="914">
        <v>3.9969999999999999</v>
      </c>
      <c r="M19" s="915">
        <v>203.32809288726162</v>
      </c>
      <c r="N19" s="915">
        <v>-22.313181714095901</v>
      </c>
      <c r="O19" s="915">
        <v>34.016330564467097</v>
      </c>
      <c r="P19" s="915">
        <v>56.329512278563001</v>
      </c>
      <c r="Q19" s="818">
        <v>4</v>
      </c>
      <c r="R19" s="916">
        <v>4</v>
      </c>
      <c r="S19" s="917">
        <v>235.27574618956487</v>
      </c>
      <c r="T19" s="917">
        <v>-24.076563789159721</v>
      </c>
      <c r="U19" s="917">
        <v>35.023150179291491</v>
      </c>
      <c r="V19" s="917">
        <v>59.099713968451212</v>
      </c>
      <c r="W19" s="915">
        <v>151.20113415225975</v>
      </c>
      <c r="X19" s="915">
        <v>48.785372822149881</v>
      </c>
      <c r="Y19" s="915">
        <v>52.987413757740683</v>
      </c>
      <c r="Z19" s="915">
        <v>43.983346829924429</v>
      </c>
      <c r="AA19" s="915">
        <v>27.956633653545349</v>
      </c>
      <c r="AB19" s="915">
        <v>23.780505254870871</v>
      </c>
      <c r="AC19" s="915">
        <v>22.387695069156184</v>
      </c>
      <c r="AD19" s="915">
        <v>13.229563000311046</v>
      </c>
      <c r="AE19" s="915">
        <v>14.372018316299579</v>
      </c>
      <c r="AF19" s="915">
        <v>54.780748383353419</v>
      </c>
      <c r="AG19" s="918">
        <v>38.730135277951547</v>
      </c>
      <c r="AI19" s="3">
        <f t="shared" si="2"/>
        <v>10.055237544198334</v>
      </c>
      <c r="AJ19" s="3">
        <f t="shared" si="3"/>
        <v>14.257278479789136</v>
      </c>
      <c r="AK19" s="3">
        <f t="shared" si="4"/>
        <v>5.2532115519728819</v>
      </c>
      <c r="AL19" s="3">
        <f t="shared" si="5"/>
        <v>-10.773501624406197</v>
      </c>
      <c r="AM19" s="3">
        <f t="shared" si="6"/>
        <v>-14.949630023080676</v>
      </c>
      <c r="AN19" s="3">
        <f t="shared" si="7"/>
        <v>-16.342440208795363</v>
      </c>
      <c r="AO19" s="3">
        <f t="shared" si="8"/>
        <v>-25.500572277640501</v>
      </c>
      <c r="AP19" s="3">
        <f t="shared" si="9"/>
        <v>-24.358116961651966</v>
      </c>
    </row>
    <row r="20" spans="2:42" x14ac:dyDescent="0.15">
      <c r="B20" s="2" t="s">
        <v>84</v>
      </c>
      <c r="K20" s="308">
        <v>40</v>
      </c>
      <c r="L20" s="914">
        <v>3.9940000000000007</v>
      </c>
      <c r="M20" s="915">
        <v>177.06742536101933</v>
      </c>
      <c r="N20" s="915">
        <v>-33.099102123206848</v>
      </c>
      <c r="O20" s="915">
        <v>52.434724025420174</v>
      </c>
      <c r="P20" s="915">
        <v>85.533826148627014</v>
      </c>
      <c r="Q20" s="818">
        <v>4</v>
      </c>
      <c r="R20" s="916">
        <v>3.9990000000000001</v>
      </c>
      <c r="S20" s="917">
        <v>189.6745718362084</v>
      </c>
      <c r="T20" s="917">
        <v>-35.537198976912791</v>
      </c>
      <c r="U20" s="917">
        <v>61.423139116667748</v>
      </c>
      <c r="V20" s="917">
        <v>96.960338093580532</v>
      </c>
      <c r="W20" s="915">
        <v>148.42987881489174</v>
      </c>
      <c r="X20" s="915">
        <v>52.774994848584413</v>
      </c>
      <c r="Y20" s="915">
        <v>55.01192149341076</v>
      </c>
      <c r="Z20" s="915">
        <v>44.573938667752316</v>
      </c>
      <c r="AA20" s="915">
        <v>31.64749343377585</v>
      </c>
      <c r="AB20" s="915">
        <v>28.560389048770304</v>
      </c>
      <c r="AC20" s="915">
        <v>26.265910087213019</v>
      </c>
      <c r="AD20" s="915">
        <v>10.990837429612064</v>
      </c>
      <c r="AE20" s="915">
        <v>11.446174044753652</v>
      </c>
      <c r="AF20" s="915">
        <v>57.306578267475501</v>
      </c>
      <c r="AG20" s="918">
        <v>40.22421910685906</v>
      </c>
      <c r="AI20" s="3">
        <f t="shared" si="2"/>
        <v>12.550775741725353</v>
      </c>
      <c r="AJ20" s="3">
        <f t="shared" si="3"/>
        <v>14.7877023865517</v>
      </c>
      <c r="AK20" s="3">
        <f t="shared" si="4"/>
        <v>4.3497195608932557</v>
      </c>
      <c r="AL20" s="3">
        <f t="shared" si="5"/>
        <v>-8.5767256730832102</v>
      </c>
      <c r="AM20" s="3">
        <f t="shared" si="6"/>
        <v>-11.663830058088756</v>
      </c>
      <c r="AN20" s="3">
        <f t="shared" si="7"/>
        <v>-13.958309019646041</v>
      </c>
      <c r="AO20" s="3">
        <f t="shared" si="8"/>
        <v>-29.233381677246996</v>
      </c>
      <c r="AP20" s="3">
        <f t="shared" si="9"/>
        <v>-28.778045062105406</v>
      </c>
    </row>
    <row r="21" spans="2:42" ht="14" thickBot="1" x14ac:dyDescent="0.2">
      <c r="B21" t="s">
        <v>85</v>
      </c>
      <c r="C21" t="s">
        <v>28</v>
      </c>
      <c r="D21" s="3">
        <f>'C-series'!N59</f>
        <v>50.650294986973819</v>
      </c>
      <c r="E21" t="s">
        <v>31</v>
      </c>
      <c r="K21" s="310">
        <v>40</v>
      </c>
      <c r="L21" s="919">
        <v>3.9969999999999999</v>
      </c>
      <c r="M21" s="920">
        <v>126.1926203516354</v>
      </c>
      <c r="N21" s="920">
        <v>-72.957548087864154</v>
      </c>
      <c r="O21" s="920">
        <v>50.971939031501364</v>
      </c>
      <c r="P21" s="920">
        <v>123.92948711936552</v>
      </c>
      <c r="Q21" s="921">
        <v>4</v>
      </c>
      <c r="R21" s="922">
        <v>4</v>
      </c>
      <c r="S21" s="923">
        <v>143.38673795561746</v>
      </c>
      <c r="T21" s="923">
        <v>-65.01362167626516</v>
      </c>
      <c r="U21" s="923">
        <v>63.202088359061804</v>
      </c>
      <c r="V21" s="923">
        <v>128.21571003532696</v>
      </c>
      <c r="W21" s="920">
        <v>137.73681000591606</v>
      </c>
      <c r="X21" s="920">
        <v>54.043625503487647</v>
      </c>
      <c r="Y21" s="920">
        <v>59.112778586879521</v>
      </c>
      <c r="Z21" s="920">
        <v>44.079020679959683</v>
      </c>
      <c r="AA21" s="920">
        <v>34.288129730611587</v>
      </c>
      <c r="AB21" s="920">
        <v>32.137092062856908</v>
      </c>
      <c r="AC21" s="920">
        <v>28.770352117722119</v>
      </c>
      <c r="AD21" s="920">
        <v>19.252793393117308</v>
      </c>
      <c r="AE21" s="920">
        <v>15.118487548570931</v>
      </c>
      <c r="AF21" s="920">
        <v>60.412822753276423</v>
      </c>
      <c r="AG21" s="924">
        <v>42.82591117655501</v>
      </c>
      <c r="AI21" s="3">
        <f t="shared" si="2"/>
        <v>11.217714326932636</v>
      </c>
      <c r="AJ21" s="3">
        <f t="shared" si="3"/>
        <v>16.286867410324511</v>
      </c>
      <c r="AK21" s="3">
        <f t="shared" si="4"/>
        <v>1.2531095034046729</v>
      </c>
      <c r="AL21" s="3">
        <f t="shared" si="5"/>
        <v>-8.5377814459434234</v>
      </c>
      <c r="AM21" s="3">
        <f t="shared" si="6"/>
        <v>-10.688819113698102</v>
      </c>
      <c r="AN21" s="3">
        <f t="shared" si="7"/>
        <v>-14.055559058832891</v>
      </c>
      <c r="AO21" s="3">
        <f t="shared" si="8"/>
        <v>-23.573117783437702</v>
      </c>
      <c r="AP21" s="3">
        <f t="shared" si="9"/>
        <v>-27.707423627984078</v>
      </c>
    </row>
    <row r="22" spans="2:42" x14ac:dyDescent="0.15">
      <c r="B22" s="25"/>
      <c r="C22" s="25" t="s">
        <v>8</v>
      </c>
      <c r="D22" s="81">
        <f>'C-series'!N60</f>
        <v>52.739398520919458</v>
      </c>
      <c r="E22" t="s">
        <v>31</v>
      </c>
      <c r="L22" s="4" t="s">
        <v>25</v>
      </c>
      <c r="M22" s="4" t="s">
        <v>27</v>
      </c>
      <c r="N22" s="4" t="s">
        <v>444</v>
      </c>
      <c r="O22" s="4" t="s">
        <v>445</v>
      </c>
      <c r="P22" t="s">
        <v>446</v>
      </c>
      <c r="R22" t="s">
        <v>447</v>
      </c>
      <c r="S22" t="s">
        <v>87</v>
      </c>
      <c r="U22" t="s">
        <v>82</v>
      </c>
      <c r="V22" t="s">
        <v>448</v>
      </c>
      <c r="X22" t="s">
        <v>449</v>
      </c>
    </row>
    <row r="23" spans="2:42" x14ac:dyDescent="0.15">
      <c r="C23" t="s">
        <v>87</v>
      </c>
      <c r="D23" s="3">
        <f>ABS(D21-D22)</f>
        <v>2.0891035339456394</v>
      </c>
      <c r="E23" t="s">
        <v>31</v>
      </c>
      <c r="K23" s="3"/>
      <c r="L23" s="5">
        <f t="shared" ref="L23:L31" si="10">L6</f>
        <v>10.013000000000002</v>
      </c>
      <c r="M23" s="6">
        <f t="shared" ref="M23:M31" si="11">AG6</f>
        <v>49.959495723320273</v>
      </c>
      <c r="N23" s="99">
        <f t="shared" ref="N23:N31" si="12">P6/M6^2</f>
        <v>4.9396967676942991E-4</v>
      </c>
      <c r="O23" s="99">
        <f t="shared" ref="O23:O31" si="13">V6/S6^2</f>
        <v>4.4447792545205221E-4</v>
      </c>
      <c r="P23" s="213">
        <f>AVERAGE(N23:O23)</f>
        <v>4.6922380111074106E-4</v>
      </c>
      <c r="R23">
        <f t="shared" ref="R23:R38" si="14">$L$42*LN(L23)+$M$42</f>
        <v>52.372472043342384</v>
      </c>
      <c r="S23" s="3">
        <f>M23-R23</f>
        <v>-2.4129763200221106</v>
      </c>
      <c r="U23">
        <f>$U$42*(P23)+$V$42</f>
        <v>-2.1822337992285714</v>
      </c>
      <c r="V23" s="84">
        <f>R23+U23</f>
        <v>50.190238244113814</v>
      </c>
      <c r="X23" s="3">
        <f>V23-M23</f>
        <v>0.23074252079354096</v>
      </c>
      <c r="AI23" s="3">
        <f>AVERAGE(AI6:AI21)</f>
        <v>11.427068579956678</v>
      </c>
      <c r="AJ23" s="3">
        <f t="shared" ref="AJ23:AP23" si="15">AVERAGE(AJ6:AJ21)</f>
        <v>10.348424969676328</v>
      </c>
      <c r="AK23" s="3">
        <f t="shared" si="15"/>
        <v>4.9118813028565986</v>
      </c>
      <c r="AL23" s="3">
        <f t="shared" si="15"/>
        <v>-8.1624241406561708</v>
      </c>
      <c r="AM23" s="3">
        <f t="shared" si="15"/>
        <v>-10.725226241865471</v>
      </c>
      <c r="AN23" s="3">
        <f t="shared" si="15"/>
        <v>-12.204628271771975</v>
      </c>
      <c r="AO23" s="3">
        <f t="shared" si="15"/>
        <v>-20.885067819477943</v>
      </c>
      <c r="AP23" s="3">
        <f t="shared" si="15"/>
        <v>-21.954000286622353</v>
      </c>
    </row>
    <row r="24" spans="2:42" x14ac:dyDescent="0.15">
      <c r="D24" s="3"/>
      <c r="K24" s="3"/>
      <c r="L24" s="5">
        <f t="shared" si="10"/>
        <v>9.9978999999999996</v>
      </c>
      <c r="M24" s="6">
        <f t="shared" si="11"/>
        <v>49.622154443664968</v>
      </c>
      <c r="N24" s="99">
        <f t="shared" si="12"/>
        <v>1.1823847351895671E-3</v>
      </c>
      <c r="O24" s="99">
        <f t="shared" si="13"/>
        <v>1.0594352798654954E-3</v>
      </c>
      <c r="P24" s="213">
        <f t="shared" ref="P24:P31" si="16">AVERAGE(N24:O24)</f>
        <v>1.1209100075275313E-3</v>
      </c>
      <c r="R24">
        <f t="shared" si="14"/>
        <v>52.353232628509417</v>
      </c>
      <c r="S24" s="3">
        <f t="shared" ref="S24:S31" si="17">M24-R24</f>
        <v>-2.7310781848444492</v>
      </c>
      <c r="U24">
        <f t="shared" ref="U24:U38" si="18">$U$42*(P24)+$V$42</f>
        <v>-1.535359448485704</v>
      </c>
      <c r="V24" s="84">
        <f t="shared" ref="V24:V31" si="19">R24+U24</f>
        <v>50.81787318002371</v>
      </c>
      <c r="X24" s="3">
        <f t="shared" ref="X24:X31" si="20">V24-M24</f>
        <v>1.1957187363587423</v>
      </c>
      <c r="AI24" s="3">
        <f>ROUND(AI23,0)</f>
        <v>11</v>
      </c>
      <c r="AJ24" s="3">
        <f t="shared" ref="AJ24:AP24" si="21">ROUND(AJ23,0)</f>
        <v>10</v>
      </c>
      <c r="AK24" s="3">
        <f t="shared" si="21"/>
        <v>5</v>
      </c>
      <c r="AL24" s="3">
        <f t="shared" si="21"/>
        <v>-8</v>
      </c>
      <c r="AM24" s="3">
        <f t="shared" si="21"/>
        <v>-11</v>
      </c>
      <c r="AN24" s="3">
        <f t="shared" si="21"/>
        <v>-12</v>
      </c>
      <c r="AO24" s="3">
        <f t="shared" si="21"/>
        <v>-21</v>
      </c>
      <c r="AP24" s="3">
        <f t="shared" si="21"/>
        <v>-22</v>
      </c>
    </row>
    <row r="25" spans="2:42" x14ac:dyDescent="0.15">
      <c r="B25" t="s">
        <v>86</v>
      </c>
      <c r="C25" t="s">
        <v>7</v>
      </c>
      <c r="D25" s="3">
        <f>'C-series'!N58</f>
        <v>69.091859588864153</v>
      </c>
      <c r="E25" t="s">
        <v>31</v>
      </c>
      <c r="K25" s="3"/>
      <c r="L25" s="5">
        <f t="shared" si="10"/>
        <v>9.9989999999999988</v>
      </c>
      <c r="M25" s="6">
        <f t="shared" si="11"/>
        <v>51.572881755630256</v>
      </c>
      <c r="N25" s="99">
        <f t="shared" si="12"/>
        <v>2.7118757578419102E-3</v>
      </c>
      <c r="O25" s="99">
        <f t="shared" si="13"/>
        <v>2.3215380684918868E-3</v>
      </c>
      <c r="P25" s="213">
        <f t="shared" si="16"/>
        <v>2.5167069131668985E-3</v>
      </c>
      <c r="R25">
        <f t="shared" si="14"/>
        <v>52.35463515625537</v>
      </c>
      <c r="S25" s="3">
        <f t="shared" si="17"/>
        <v>-0.78175340062511367</v>
      </c>
      <c r="U25">
        <f t="shared" si="18"/>
        <v>-0.14986868895455929</v>
      </c>
      <c r="V25" s="84">
        <f t="shared" si="19"/>
        <v>52.204766467300807</v>
      </c>
      <c r="X25" s="3">
        <f t="shared" si="20"/>
        <v>0.63188471167055127</v>
      </c>
    </row>
    <row r="26" spans="2:42" x14ac:dyDescent="0.15">
      <c r="B26" s="25"/>
      <c r="C26" s="25" t="s">
        <v>57</v>
      </c>
      <c r="D26" s="81">
        <f>'C-series'!N61</f>
        <v>70.814170441247683</v>
      </c>
      <c r="E26" t="s">
        <v>31</v>
      </c>
      <c r="K26" s="3"/>
      <c r="L26" s="5">
        <f t="shared" si="10"/>
        <v>10.010999999999997</v>
      </c>
      <c r="M26" s="6">
        <f t="shared" si="11"/>
        <v>55.375528164873884</v>
      </c>
      <c r="N26" s="99">
        <f t="shared" si="12"/>
        <v>5.6756339637244087E-3</v>
      </c>
      <c r="O26" s="99">
        <f t="shared" si="13"/>
        <v>5.01288650418516E-3</v>
      </c>
      <c r="P26" s="213">
        <f t="shared" si="16"/>
        <v>5.3442602339547843E-3</v>
      </c>
      <c r="R26">
        <f t="shared" si="14"/>
        <v>52.369925444066219</v>
      </c>
      <c r="S26" s="3">
        <f t="shared" si="17"/>
        <v>3.0056027208076657</v>
      </c>
      <c r="U26">
        <f t="shared" si="18"/>
        <v>2.65680682537374</v>
      </c>
      <c r="V26" s="84">
        <f t="shared" si="19"/>
        <v>55.026732269439961</v>
      </c>
      <c r="X26" s="3">
        <f t="shared" si="20"/>
        <v>-0.34879589543392342</v>
      </c>
    </row>
    <row r="27" spans="2:42" x14ac:dyDescent="0.15">
      <c r="C27" t="s">
        <v>87</v>
      </c>
      <c r="D27" s="3">
        <f>ABS(D25-D26)</f>
        <v>1.7223108523835293</v>
      </c>
      <c r="E27" t="s">
        <v>31</v>
      </c>
      <c r="K27" s="3"/>
      <c r="L27" s="5">
        <f t="shared" si="10"/>
        <v>8</v>
      </c>
      <c r="M27" s="6">
        <f t="shared" si="11"/>
        <v>48.124368787598968</v>
      </c>
      <c r="N27" s="99">
        <f t="shared" si="12"/>
        <v>4.8303722657575828E-4</v>
      </c>
      <c r="O27" s="99">
        <f t="shared" si="13"/>
        <v>4.4409201510779012E-4</v>
      </c>
      <c r="P27" s="213">
        <f t="shared" si="16"/>
        <v>4.6356462084177423E-4</v>
      </c>
      <c r="R27">
        <f t="shared" si="14"/>
        <v>49.511214482541277</v>
      </c>
      <c r="S27" s="3">
        <f t="shared" si="17"/>
        <v>-1.3868456949423091</v>
      </c>
      <c r="U27">
        <f t="shared" si="18"/>
        <v>-2.1878511938061753</v>
      </c>
      <c r="V27" s="84">
        <f t="shared" si="19"/>
        <v>47.323363288735102</v>
      </c>
      <c r="X27" s="3">
        <f t="shared" si="20"/>
        <v>-0.80100549886386574</v>
      </c>
    </row>
    <row r="28" spans="2:42" x14ac:dyDescent="0.15">
      <c r="K28" s="3"/>
      <c r="L28" s="5">
        <f t="shared" si="10"/>
        <v>7.9989999999999997</v>
      </c>
      <c r="M28" s="6">
        <f t="shared" si="11"/>
        <v>48.629008822714624</v>
      </c>
      <c r="N28" s="99">
        <f t="shared" si="12"/>
        <v>1.2514246709248388E-3</v>
      </c>
      <c r="O28" s="99">
        <f t="shared" si="13"/>
        <v>1.065557463409158E-3</v>
      </c>
      <c r="P28" s="213">
        <f t="shared" si="16"/>
        <v>1.1584910671669983E-3</v>
      </c>
      <c r="R28">
        <f t="shared" si="14"/>
        <v>49.509620848445316</v>
      </c>
      <c r="S28" s="3">
        <f t="shared" si="17"/>
        <v>-0.88061202573069153</v>
      </c>
      <c r="U28">
        <f t="shared" si="18"/>
        <v>-1.498055876129653</v>
      </c>
      <c r="V28" s="84">
        <f t="shared" si="19"/>
        <v>48.011564972315661</v>
      </c>
      <c r="X28" s="3">
        <f t="shared" si="20"/>
        <v>-0.61744385039896343</v>
      </c>
    </row>
    <row r="29" spans="2:42" x14ac:dyDescent="0.15">
      <c r="B29" t="s">
        <v>94</v>
      </c>
      <c r="C29" s="3">
        <f>AVERAGE(D27,D23)</f>
        <v>1.9057071931645844</v>
      </c>
      <c r="D29" t="s">
        <v>31</v>
      </c>
      <c r="K29" s="3"/>
      <c r="L29" s="5">
        <f t="shared" si="10"/>
        <v>8.0071999999999992</v>
      </c>
      <c r="M29" s="6">
        <f t="shared" si="11"/>
        <v>49.868043464847737</v>
      </c>
      <c r="N29" s="99">
        <f t="shared" si="12"/>
        <v>2.7226691800727367E-3</v>
      </c>
      <c r="O29" s="99">
        <f t="shared" si="13"/>
        <v>2.4226012291001802E-3</v>
      </c>
      <c r="P29" s="213">
        <f t="shared" si="16"/>
        <v>2.5726352045864582E-3</v>
      </c>
      <c r="R29">
        <f t="shared" si="14"/>
        <v>49.522682770925897</v>
      </c>
      <c r="S29" s="3">
        <f t="shared" si="17"/>
        <v>0.34536069392184032</v>
      </c>
      <c r="U29">
        <f t="shared" si="18"/>
        <v>-9.4353355280230478E-2</v>
      </c>
      <c r="V29" s="84">
        <f t="shared" si="19"/>
        <v>49.428329415645663</v>
      </c>
      <c r="X29" s="3">
        <f t="shared" si="20"/>
        <v>-0.43971404920207391</v>
      </c>
    </row>
    <row r="30" spans="2:42" x14ac:dyDescent="0.15">
      <c r="B30" t="s">
        <v>93</v>
      </c>
      <c r="C30" s="3">
        <f>-10*LOG10((1-10^(-C29/10)))-3</f>
        <v>1.49534761514506</v>
      </c>
      <c r="D30" t="s">
        <v>31</v>
      </c>
      <c r="K30" s="3"/>
      <c r="L30" s="5">
        <f t="shared" si="10"/>
        <v>8.0139999999999976</v>
      </c>
      <c r="M30" s="6">
        <f t="shared" si="11"/>
        <v>54.011171297709097</v>
      </c>
      <c r="N30" s="99">
        <f t="shared" si="12"/>
        <v>6.956237662237871E-3</v>
      </c>
      <c r="O30" s="99">
        <f t="shared" si="13"/>
        <v>5.5222430678771627E-3</v>
      </c>
      <c r="P30" s="213">
        <f t="shared" si="16"/>
        <v>6.2392403650575173E-3</v>
      </c>
      <c r="R30">
        <f t="shared" si="14"/>
        <v>49.533504467372723</v>
      </c>
      <c r="S30" s="3">
        <f t="shared" si="17"/>
        <v>4.4776668303363749</v>
      </c>
      <c r="U30">
        <f t="shared" si="18"/>
        <v>3.5451786913643821</v>
      </c>
      <c r="V30" s="84">
        <f t="shared" si="19"/>
        <v>53.078683158737107</v>
      </c>
      <c r="X30" s="3">
        <f t="shared" si="20"/>
        <v>-0.93248813897199057</v>
      </c>
    </row>
    <row r="31" spans="2:42" x14ac:dyDescent="0.15">
      <c r="K31" s="3"/>
      <c r="L31" s="5">
        <f t="shared" si="10"/>
        <v>5.9979999999999993</v>
      </c>
      <c r="M31" s="6">
        <f t="shared" si="11"/>
        <v>43.043444610882446</v>
      </c>
      <c r="N31" s="99">
        <f t="shared" si="12"/>
        <v>5.0563092050089499E-4</v>
      </c>
      <c r="O31" s="99">
        <f t="shared" si="13"/>
        <v>4.4722692524510742E-4</v>
      </c>
      <c r="P31" s="213">
        <f t="shared" si="16"/>
        <v>4.764289228730012E-4</v>
      </c>
      <c r="R31">
        <f t="shared" si="14"/>
        <v>45.839513907945786</v>
      </c>
      <c r="S31" s="3">
        <f t="shared" si="17"/>
        <v>-2.7960692970633403</v>
      </c>
      <c r="U31">
        <f t="shared" si="18"/>
        <v>-2.175081877926428</v>
      </c>
      <c r="V31" s="84">
        <f t="shared" si="19"/>
        <v>43.664432030019356</v>
      </c>
      <c r="X31" s="3">
        <f t="shared" si="20"/>
        <v>0.62098741913690958</v>
      </c>
    </row>
    <row r="32" spans="2:42" x14ac:dyDescent="0.15">
      <c r="B32" t="s">
        <v>83</v>
      </c>
      <c r="C32" s="3">
        <f>H15+C30</f>
        <v>46.832546756887581</v>
      </c>
      <c r="D32" t="s">
        <v>31</v>
      </c>
      <c r="K32" s="3"/>
      <c r="L32" s="5">
        <f t="shared" ref="L32:L38" si="22">L15</f>
        <v>6.0060000000000002</v>
      </c>
      <c r="M32" s="6">
        <f t="shared" ref="M32:M36" si="23">AG15</f>
        <v>44.274271017518608</v>
      </c>
      <c r="N32" s="99">
        <f t="shared" ref="N32:N36" si="24">P15/M15^2</f>
        <v>1.354641474950759E-3</v>
      </c>
      <c r="O32" s="99">
        <f t="shared" ref="O32:O36" si="25">V15/S15^2</f>
        <v>1.1399965906552009E-3</v>
      </c>
      <c r="P32" s="213">
        <f t="shared" ref="P32:P36" si="26">AVERAGE(N32:O32)</f>
        <v>1.2473190328029799E-3</v>
      </c>
      <c r="R32">
        <f t="shared" si="14"/>
        <v>45.856505947694409</v>
      </c>
      <c r="S32" s="3">
        <f t="shared" ref="S32:S36" si="27">M32-R32</f>
        <v>-1.582234930175801</v>
      </c>
      <c r="U32">
        <f t="shared" si="18"/>
        <v>-1.4098837895751064</v>
      </c>
      <c r="V32" s="84">
        <f t="shared" ref="V32:V36" si="28">R32+U32</f>
        <v>44.446622158119304</v>
      </c>
      <c r="X32" s="3">
        <f t="shared" ref="X32:X36" si="29">V32-M32</f>
        <v>0.17235114060069634</v>
      </c>
    </row>
    <row r="33" spans="2:25" x14ac:dyDescent="0.15">
      <c r="B33" t="s">
        <v>95</v>
      </c>
      <c r="C33" s="3">
        <f>H15-2.6</f>
        <v>42.737199141742522</v>
      </c>
      <c r="D33" t="s">
        <v>31</v>
      </c>
      <c r="K33" s="3"/>
      <c r="L33" s="5">
        <f t="shared" si="22"/>
        <v>5.9969999999999999</v>
      </c>
      <c r="M33" s="6">
        <f t="shared" si="23"/>
        <v>47.201799492571297</v>
      </c>
      <c r="N33" s="99">
        <f t="shared" si="24"/>
        <v>2.7455238861129301E-3</v>
      </c>
      <c r="O33" s="99">
        <f t="shared" si="25"/>
        <v>2.761406940681649E-3</v>
      </c>
      <c r="P33" s="213">
        <f t="shared" si="26"/>
        <v>2.7534654133972896E-3</v>
      </c>
      <c r="R33">
        <f t="shared" si="14"/>
        <v>45.837388309619222</v>
      </c>
      <c r="S33" s="3">
        <f t="shared" si="27"/>
        <v>1.3644111829520753</v>
      </c>
      <c r="U33">
        <f t="shared" si="18"/>
        <v>8.5141657453538855E-2</v>
      </c>
      <c r="V33" s="84">
        <f t="shared" si="28"/>
        <v>45.922529967072762</v>
      </c>
      <c r="X33" s="3">
        <f t="shared" si="29"/>
        <v>-1.2792695254985347</v>
      </c>
    </row>
    <row r="34" spans="2:25" x14ac:dyDescent="0.15">
      <c r="F34" t="s">
        <v>97</v>
      </c>
      <c r="G34" t="s">
        <v>98</v>
      </c>
      <c r="L34" s="5">
        <f t="shared" si="22"/>
        <v>6.0099999999999989</v>
      </c>
      <c r="M34" s="6">
        <f t="shared" si="23"/>
        <v>51.067704078772323</v>
      </c>
      <c r="N34" s="99">
        <f t="shared" si="24"/>
        <v>7.1724923609231099E-3</v>
      </c>
      <c r="O34" s="99">
        <f t="shared" si="25"/>
        <v>6.6614493919205991E-3</v>
      </c>
      <c r="P34" s="213">
        <f t="shared" si="26"/>
        <v>6.9169708764218549E-3</v>
      </c>
      <c r="R34">
        <f t="shared" si="14"/>
        <v>45.864993481918731</v>
      </c>
      <c r="S34" s="3">
        <f t="shared" si="27"/>
        <v>5.2027105968535921</v>
      </c>
      <c r="U34">
        <f t="shared" si="18"/>
        <v>4.2179050437111005</v>
      </c>
      <c r="V34" s="84">
        <f t="shared" si="28"/>
        <v>50.08289852562983</v>
      </c>
      <c r="X34" s="3">
        <f t="shared" si="29"/>
        <v>-0.9848055531424933</v>
      </c>
    </row>
    <row r="35" spans="2:25" x14ac:dyDescent="0.15">
      <c r="B35" s="2" t="s">
        <v>21</v>
      </c>
      <c r="C35" s="84">
        <f>MIN(H15,IF(C29&lt;3,H16,IF(C29&gt;10,C33,C32)))</f>
        <v>45.10544869741544</v>
      </c>
      <c r="D35" s="2" t="s">
        <v>31</v>
      </c>
      <c r="F35" s="5">
        <f>C35+10*LOG10(4/10)</f>
        <v>41.126048610695065</v>
      </c>
      <c r="G35" s="5">
        <f>C35+10*LOG10(4/2.5)</f>
        <v>47.14664852397469</v>
      </c>
      <c r="L35" s="5">
        <f t="shared" si="22"/>
        <v>4</v>
      </c>
      <c r="M35" s="6">
        <f t="shared" si="23"/>
        <v>39.056417756173836</v>
      </c>
      <c r="N35" s="99">
        <f t="shared" si="24"/>
        <v>4.9278837613219936E-4</v>
      </c>
      <c r="O35" s="99">
        <f t="shared" si="25"/>
        <v>4.4296968708834676E-4</v>
      </c>
      <c r="P35" s="213">
        <f t="shared" si="26"/>
        <v>4.6787903161027303E-4</v>
      </c>
      <c r="R35">
        <f t="shared" si="14"/>
        <v>40.67478296186755</v>
      </c>
      <c r="S35" s="3">
        <f t="shared" si="27"/>
        <v>-1.6183652056937134</v>
      </c>
      <c r="U35">
        <f t="shared" si="18"/>
        <v>-2.183568639354001</v>
      </c>
      <c r="V35" s="84">
        <f t="shared" si="28"/>
        <v>38.491214322513549</v>
      </c>
      <c r="X35" s="3">
        <f t="shared" si="29"/>
        <v>-0.56520343366028669</v>
      </c>
    </row>
    <row r="36" spans="2:25" x14ac:dyDescent="0.15">
      <c r="L36" s="5">
        <f t="shared" si="22"/>
        <v>3.9969999999999999</v>
      </c>
      <c r="M36" s="6">
        <f t="shared" si="23"/>
        <v>38.730135277951547</v>
      </c>
      <c r="N36" s="99">
        <f t="shared" si="24"/>
        <v>1.3625147628269466E-3</v>
      </c>
      <c r="O36" s="99">
        <f t="shared" si="25"/>
        <v>1.0676552993099922E-3</v>
      </c>
      <c r="P36" s="213">
        <f t="shared" si="26"/>
        <v>1.2150850310684693E-3</v>
      </c>
      <c r="R36">
        <f t="shared" si="14"/>
        <v>40.665218167670687</v>
      </c>
      <c r="S36" s="3">
        <f t="shared" si="27"/>
        <v>-1.9350828897191406</v>
      </c>
      <c r="U36">
        <f t="shared" si="18"/>
        <v>-1.4418797850995542</v>
      </c>
      <c r="V36" s="84">
        <f t="shared" si="28"/>
        <v>39.223338382571136</v>
      </c>
      <c r="X36" s="3">
        <f t="shared" si="29"/>
        <v>0.49320310461958883</v>
      </c>
    </row>
    <row r="37" spans="2:25" x14ac:dyDescent="0.15">
      <c r="L37" s="5">
        <f t="shared" si="22"/>
        <v>3.9940000000000007</v>
      </c>
      <c r="M37" s="6">
        <f t="shared" ref="M37:M38" si="30">AG20</f>
        <v>40.22421910685906</v>
      </c>
      <c r="N37" s="99">
        <f t="shared" ref="N37:N38" si="31">P20/M20^2</f>
        <v>2.7281016897684799E-3</v>
      </c>
      <c r="O37" s="99">
        <f t="shared" ref="O37:O38" si="32">V20/S20^2</f>
        <v>2.6951062824969426E-3</v>
      </c>
      <c r="P37" s="213">
        <f t="shared" ref="P37:P38" si="33">AVERAGE(N37:O37)</f>
        <v>2.711603986132711E-3</v>
      </c>
      <c r="R37">
        <f t="shared" si="14"/>
        <v>40.65564619179812</v>
      </c>
      <c r="S37" s="3">
        <f t="shared" ref="S37:S38" si="34">M37-R37</f>
        <v>-0.43142708493905957</v>
      </c>
      <c r="U37">
        <f t="shared" si="18"/>
        <v>4.3589322424331112E-2</v>
      </c>
      <c r="V37" s="84">
        <f t="shared" ref="V37:V38" si="35">R37+U37</f>
        <v>40.699235514222451</v>
      </c>
      <c r="X37" s="3">
        <f t="shared" ref="X37:X38" si="36">V37-M37</f>
        <v>0.47501640736339112</v>
      </c>
    </row>
    <row r="38" spans="2:25" x14ac:dyDescent="0.15">
      <c r="L38" s="5">
        <f t="shared" si="22"/>
        <v>3.9969999999999999</v>
      </c>
      <c r="M38" s="6">
        <f t="shared" si="30"/>
        <v>42.82591117655501</v>
      </c>
      <c r="N38" s="99">
        <f t="shared" si="31"/>
        <v>7.7822779068828021E-3</v>
      </c>
      <c r="O38" s="99">
        <f t="shared" si="32"/>
        <v>6.236246488487987E-3</v>
      </c>
      <c r="P38" s="213">
        <f t="shared" si="33"/>
        <v>7.0092621976853946E-3</v>
      </c>
      <c r="R38">
        <f t="shared" si="14"/>
        <v>40.665218167670687</v>
      </c>
      <c r="S38" s="3">
        <f t="shared" si="34"/>
        <v>2.1606930088843228</v>
      </c>
      <c r="U38">
        <f t="shared" si="18"/>
        <v>4.3095149135130271</v>
      </c>
      <c r="V38" s="84">
        <f t="shared" si="35"/>
        <v>44.974733081183714</v>
      </c>
      <c r="X38" s="3">
        <f t="shared" si="36"/>
        <v>2.1488219046287043</v>
      </c>
    </row>
    <row r="41" spans="2:25" x14ac:dyDescent="0.15">
      <c r="L41" t="s">
        <v>451</v>
      </c>
      <c r="U41" t="s">
        <v>452</v>
      </c>
    </row>
    <row r="42" spans="2:25" x14ac:dyDescent="0.15">
      <c r="L42" s="2">
        <f t="array" ref="L42:M42">LINEST(M23:M38,LN(L23:L38))</f>
        <v>12.748275934030902</v>
      </c>
      <c r="M42" s="2">
        <v>23.001919920520109</v>
      </c>
      <c r="S42" s="314" cm="1">
        <f t="array" ref="S42">AVERAGE(ABS(S23:S38))</f>
        <v>2.069555629219475</v>
      </c>
      <c r="U42" s="2">
        <f t="array" ref="U42:V42">LINEST(S23:S38,(P23:P38))</f>
        <v>992.61629964460951</v>
      </c>
      <c r="V42" s="2">
        <v>-2.6479929923922936</v>
      </c>
      <c r="X42" s="314" cm="1">
        <f t="array" ref="X42">AVERAGE(ABS(X23:X38))</f>
        <v>0.74609074314651602</v>
      </c>
      <c r="Y42" t="s">
        <v>31</v>
      </c>
    </row>
    <row r="44" spans="2:25" x14ac:dyDescent="0.15">
      <c r="U44" s="4" t="s">
        <v>22</v>
      </c>
      <c r="V44" s="4" t="s">
        <v>450</v>
      </c>
    </row>
    <row r="45" spans="2:25" x14ac:dyDescent="0.15">
      <c r="U45" s="4">
        <v>1</v>
      </c>
      <c r="V45" s="4">
        <v>-1</v>
      </c>
    </row>
    <row r="48" spans="2:25" x14ac:dyDescent="0.15">
      <c r="B48" s="2" t="s">
        <v>35</v>
      </c>
      <c r="C48" t="s">
        <v>36</v>
      </c>
    </row>
    <row r="49" spans="2:23" x14ac:dyDescent="0.15">
      <c r="B49" s="10"/>
      <c r="C49" s="43">
        <v>63</v>
      </c>
      <c r="D49" s="44">
        <v>125</v>
      </c>
      <c r="E49" s="44">
        <v>250</v>
      </c>
      <c r="F49" s="44">
        <v>500</v>
      </c>
      <c r="G49" s="44">
        <v>1000</v>
      </c>
      <c r="H49" s="44">
        <v>2000</v>
      </c>
      <c r="I49" s="44">
        <v>4000</v>
      </c>
      <c r="J49" s="45">
        <v>8000</v>
      </c>
      <c r="L49" s="43">
        <v>63</v>
      </c>
      <c r="M49" s="44">
        <v>125</v>
      </c>
      <c r="N49" s="44">
        <v>250</v>
      </c>
      <c r="O49" s="44">
        <v>500</v>
      </c>
      <c r="P49" s="44">
        <v>1000</v>
      </c>
      <c r="Q49" s="44">
        <v>2000</v>
      </c>
      <c r="R49" s="44">
        <v>4000</v>
      </c>
      <c r="S49" s="45">
        <v>8000</v>
      </c>
      <c r="T49" t="s">
        <v>70</v>
      </c>
      <c r="U49" t="s">
        <v>71</v>
      </c>
    </row>
    <row r="50" spans="2:23" x14ac:dyDescent="0.15">
      <c r="B50" s="74" t="s">
        <v>96</v>
      </c>
      <c r="C50" s="315">
        <f t="shared" ref="C50:J50" si="37">AI24</f>
        <v>11</v>
      </c>
      <c r="D50" s="315">
        <f t="shared" si="37"/>
        <v>10</v>
      </c>
      <c r="E50" s="315">
        <f t="shared" si="37"/>
        <v>5</v>
      </c>
      <c r="F50" s="315">
        <f t="shared" si="37"/>
        <v>-8</v>
      </c>
      <c r="G50" s="315">
        <f t="shared" si="37"/>
        <v>-11</v>
      </c>
      <c r="H50" s="315">
        <f t="shared" si="37"/>
        <v>-12</v>
      </c>
      <c r="I50" s="315">
        <f t="shared" si="37"/>
        <v>-21</v>
      </c>
      <c r="J50" s="315">
        <f t="shared" si="37"/>
        <v>-22</v>
      </c>
      <c r="K50" s="87" t="s">
        <v>42</v>
      </c>
      <c r="L50" s="86">
        <f>$C$35+C50</f>
        <v>56.10544869741544</v>
      </c>
      <c r="M50" s="86">
        <f t="shared" ref="M50:S50" si="38">$C$35+D50</f>
        <v>55.10544869741544</v>
      </c>
      <c r="N50" s="86">
        <f t="shared" si="38"/>
        <v>50.10544869741544</v>
      </c>
      <c r="O50" s="86">
        <f t="shared" si="38"/>
        <v>37.10544869741544</v>
      </c>
      <c r="P50" s="86">
        <f t="shared" si="38"/>
        <v>34.10544869741544</v>
      </c>
      <c r="Q50" s="86">
        <f t="shared" si="38"/>
        <v>33.10544869741544</v>
      </c>
      <c r="R50" s="86">
        <f t="shared" si="38"/>
        <v>24.10544869741544</v>
      </c>
      <c r="S50" s="86">
        <f t="shared" si="38"/>
        <v>23.10544869741544</v>
      </c>
      <c r="T50" s="5">
        <f t="array" ref="T50">10*LOG10(SUM(10^(L50:S50/10)))</f>
        <v>59.266326313676807</v>
      </c>
      <c r="U50" s="5">
        <f t="array" ref="U50">10*LOG10(SUM(10^((L50:S50+L52:S52)/10)))</f>
        <v>44.953200819997718</v>
      </c>
      <c r="W50" t="str">
        <f>IF(ABS(C35-U50)&lt;0.5,"OK","Tarkista laskenta!")</f>
        <v>OK</v>
      </c>
    </row>
    <row r="52" spans="2:23" x14ac:dyDescent="0.15">
      <c r="L52" s="73">
        <v>-26.2</v>
      </c>
      <c r="M52" s="73">
        <v>-16.100000000000001</v>
      </c>
      <c r="N52" s="73">
        <v>-8.6</v>
      </c>
      <c r="O52" s="73">
        <v>-3.2</v>
      </c>
      <c r="P52" s="73">
        <v>0</v>
      </c>
      <c r="Q52" s="73">
        <v>1.2</v>
      </c>
      <c r="R52" s="73">
        <v>1</v>
      </c>
      <c r="S52" s="73">
        <v>-1.1000000000000001</v>
      </c>
    </row>
  </sheetData>
  <mergeCells count="26"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4E7FD-C45C-4D5E-AAFE-2D57B1B183C1}">
  <dimension ref="C4:AC63"/>
  <sheetViews>
    <sheetView topLeftCell="H1" workbookViewId="0">
      <selection activeCell="R20" sqref="R20"/>
    </sheetView>
  </sheetViews>
  <sheetFormatPr baseColWidth="10" defaultColWidth="8.83203125" defaultRowHeight="13" x14ac:dyDescent="0.15"/>
  <cols>
    <col min="6" max="6" width="12.1640625" customWidth="1"/>
    <col min="7" max="7" width="7" customWidth="1"/>
    <col min="8" max="8" width="47" bestFit="1" customWidth="1"/>
    <col min="9" max="9" width="9.6640625" customWidth="1"/>
    <col min="11" max="11" width="5.83203125" customWidth="1"/>
    <col min="13" max="13" width="13.1640625" customWidth="1"/>
    <col min="14" max="14" width="9" bestFit="1" customWidth="1"/>
    <col min="15" max="15" width="23" bestFit="1" customWidth="1"/>
    <col min="16" max="16" width="12.5" bestFit="1" customWidth="1"/>
    <col min="17" max="17" width="13" bestFit="1" customWidth="1"/>
    <col min="18" max="18" width="9.5" bestFit="1" customWidth="1"/>
    <col min="19" max="19" width="9.33203125" bestFit="1" customWidth="1"/>
    <col min="20" max="20" width="9.83203125" bestFit="1" customWidth="1"/>
  </cols>
  <sheetData>
    <row r="4" spans="5:29" ht="14" thickBot="1" x14ac:dyDescent="0.2"/>
    <row r="5" spans="5:29" x14ac:dyDescent="0.1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" x14ac:dyDescent="0.15">
      <c r="H6" s="232" t="s">
        <v>485</v>
      </c>
      <c r="I6" s="457">
        <f>'R-series ALU'!E33</f>
        <v>9.7222222222222214</v>
      </c>
      <c r="J6" s="364" t="s">
        <v>72</v>
      </c>
      <c r="M6" s="232"/>
      <c r="AC6" s="364"/>
    </row>
    <row r="7" spans="5:29" x14ac:dyDescent="0.15">
      <c r="H7" s="232" t="s">
        <v>486</v>
      </c>
      <c r="I7" s="233">
        <f>I6*1.2*(I9-I8)</f>
        <v>221.66666666666666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15">
      <c r="E8" s="3"/>
      <c r="H8" s="232" t="s">
        <v>489</v>
      </c>
      <c r="I8" s="365">
        <f>'R-series ALU'!F86</f>
        <v>1</v>
      </c>
      <c r="J8" s="364" t="s">
        <v>230</v>
      </c>
      <c r="M8" s="234">
        <v>50</v>
      </c>
      <c r="N8" s="80">
        <v>4388.9688496702984</v>
      </c>
      <c r="O8" s="5">
        <v>0.29666666666665975</v>
      </c>
      <c r="AC8" s="364"/>
    </row>
    <row r="9" spans="5:29" x14ac:dyDescent="0.15">
      <c r="H9" s="232" t="s">
        <v>490</v>
      </c>
      <c r="I9" s="365">
        <f>'R-series ALU'!F87</f>
        <v>20</v>
      </c>
      <c r="J9" s="364" t="s">
        <v>230</v>
      </c>
      <c r="M9" s="234">
        <v>50</v>
      </c>
      <c r="N9" s="80">
        <v>5309.2365116979418</v>
      </c>
      <c r="O9" s="5">
        <v>-0.4704301075268873</v>
      </c>
      <c r="AC9" s="364"/>
    </row>
    <row r="10" spans="5:29" ht="14" thickBot="1" x14ac:dyDescent="0.2">
      <c r="H10" s="234" t="s">
        <v>491</v>
      </c>
      <c r="I10" s="365">
        <f>'R-series ALU'!F88</f>
        <v>50</v>
      </c>
      <c r="J10" s="364" t="s">
        <v>230</v>
      </c>
      <c r="M10" s="234">
        <v>50</v>
      </c>
      <c r="N10" s="80">
        <v>8494.7784187167072</v>
      </c>
      <c r="O10" s="5">
        <v>0.72365591397849016</v>
      </c>
      <c r="AC10" s="364"/>
    </row>
    <row r="11" spans="5:29" ht="14" thickBot="1" x14ac:dyDescent="0.2">
      <c r="H11" s="234" t="s">
        <v>492</v>
      </c>
      <c r="I11" s="365">
        <f>'R-series ALU'!F89</f>
        <v>30</v>
      </c>
      <c r="J11" s="364" t="s">
        <v>230</v>
      </c>
      <c r="M11" s="234">
        <v>50</v>
      </c>
      <c r="N11" s="80">
        <v>4388.9688496702984</v>
      </c>
      <c r="O11" s="5">
        <v>0.29666666666665975</v>
      </c>
      <c r="P11" t="s">
        <v>493</v>
      </c>
      <c r="Q11" s="366">
        <v>0.3</v>
      </c>
      <c r="AC11" s="364"/>
    </row>
    <row r="12" spans="5:29" x14ac:dyDescent="0.15">
      <c r="H12" s="232" t="s">
        <v>494</v>
      </c>
      <c r="I12" s="367">
        <f>$I$7/4186/(20)/1000/((12.5/2000)^2*PI())*0.0125/0.0000005729</f>
        <v>470.75230403721741</v>
      </c>
      <c r="J12" s="368" t="s">
        <v>393</v>
      </c>
      <c r="M12" s="234">
        <v>50</v>
      </c>
      <c r="N12" s="80">
        <v>3964.2299287344631</v>
      </c>
      <c r="O12" s="5">
        <v>0.41311827956988623</v>
      </c>
      <c r="AC12" s="364"/>
    </row>
    <row r="13" spans="5:29" ht="14" thickBot="1" x14ac:dyDescent="0.2">
      <c r="H13" s="369" t="s">
        <v>495</v>
      </c>
      <c r="I13" s="370">
        <f>I7/1000/($P$48)-$S$22</f>
        <v>3.1100157503288215</v>
      </c>
      <c r="J13" s="239" t="s">
        <v>496</v>
      </c>
      <c r="M13" s="234">
        <v>50</v>
      </c>
      <c r="N13" s="80">
        <v>3539.4910077986274</v>
      </c>
      <c r="O13" s="5">
        <v>-0.4704301075268873</v>
      </c>
      <c r="AC13" s="364"/>
    </row>
    <row r="14" spans="5:29" ht="14" thickBot="1" x14ac:dyDescent="0.2">
      <c r="M14" s="371">
        <v>50</v>
      </c>
      <c r="N14" s="257">
        <v>3114.7520868627926</v>
      </c>
      <c r="O14" s="209">
        <v>-0.85397849462366082</v>
      </c>
      <c r="P14" s="25"/>
      <c r="Q14" s="25"/>
      <c r="AC14" s="364"/>
    </row>
    <row r="15" spans="5:29" x14ac:dyDescent="0.15">
      <c r="H15" s="360" t="s">
        <v>497</v>
      </c>
      <c r="I15" s="372"/>
      <c r="J15" s="362"/>
      <c r="M15" s="234">
        <v>100</v>
      </c>
      <c r="N15" s="80">
        <v>7078.9820155972548</v>
      </c>
      <c r="O15" s="5">
        <v>0.89649814085133528</v>
      </c>
      <c r="AC15" s="364"/>
    </row>
    <row r="16" spans="5:29" x14ac:dyDescent="0.1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8707.1478791846239</v>
      </c>
      <c r="O16" s="5">
        <v>0.61512847549808924</v>
      </c>
      <c r="AC16" s="364"/>
    </row>
    <row r="17" spans="3:29" ht="14" thickBot="1" x14ac:dyDescent="0.2">
      <c r="C17" t="s">
        <v>532</v>
      </c>
      <c r="E17" t="b">
        <f>IF(I17&lt;I8,TRUE,FALSE)</f>
        <v>1</v>
      </c>
      <c r="F17" t="b">
        <f>IF(I17&gt;I16,TRUE,FALSE)</f>
        <v>0</v>
      </c>
      <c r="H17" s="234" t="s">
        <v>492</v>
      </c>
      <c r="I17" s="235">
        <f>(I13+AVERAGE(I8:I9))*2-I10</f>
        <v>-22.779968499342356</v>
      </c>
      <c r="J17" s="364" t="s">
        <v>230</v>
      </c>
      <c r="M17" s="234">
        <v>100</v>
      </c>
      <c r="N17" s="80">
        <v>13591.64546994673</v>
      </c>
      <c r="O17" s="5">
        <v>0.83375881014485387</v>
      </c>
      <c r="AC17" s="364"/>
    </row>
    <row r="18" spans="3:29" ht="16" thickBot="1" x14ac:dyDescent="0.2">
      <c r="E18" t="b">
        <f t="array" ref="E18">IF(ISERROR(I16:I22),TRUE,FALSE)</f>
        <v>0</v>
      </c>
      <c r="H18" s="234" t="s">
        <v>498</v>
      </c>
      <c r="I18" s="373">
        <f>I7/4186/(I16-I17)</f>
        <v>7.275943254249328E-4</v>
      </c>
      <c r="J18" s="364" t="s">
        <v>72</v>
      </c>
      <c r="M18" s="234">
        <v>100</v>
      </c>
      <c r="N18" s="80">
        <v>3822.6502884225179</v>
      </c>
      <c r="O18" s="5">
        <v>-4.9372606692935204</v>
      </c>
      <c r="P18" t="s">
        <v>493</v>
      </c>
      <c r="Q18" s="366">
        <f>IF($I$12&lt;6000,IF($I$12&lt;3500,-4.5,P20*$I$12+$Q$20),1)</f>
        <v>-4.5</v>
      </c>
      <c r="AC18" s="364"/>
    </row>
    <row r="19" spans="3:29" x14ac:dyDescent="0.15">
      <c r="E19" t="b">
        <f>IF(I18&lt;0,TRUE,IF(I19&gt;50,TRUE,FALSE))</f>
        <v>0</v>
      </c>
      <c r="H19" s="234" t="s">
        <v>499</v>
      </c>
      <c r="I19" s="235">
        <f>$O$62*I18^$M$62</f>
        <v>1.5984757318314553E-3</v>
      </c>
      <c r="J19" s="364" t="s">
        <v>500</v>
      </c>
      <c r="M19" s="234">
        <v>100</v>
      </c>
      <c r="N19" s="80">
        <v>7078.9820155972548</v>
      </c>
      <c r="O19" s="5">
        <v>0.89649814085133528</v>
      </c>
      <c r="AC19" s="364"/>
    </row>
    <row r="20" spans="3:29" x14ac:dyDescent="0.15">
      <c r="E20" t="b">
        <f>IF(I18&lt;0,TRUE,IF(I20&gt;50,TRUE,FALSE))</f>
        <v>0</v>
      </c>
      <c r="H20" s="234" t="s">
        <v>557</v>
      </c>
      <c r="I20" s="235">
        <f>((I18*3.6)/1)^2*100</f>
        <v>6.8609397909816965E-4</v>
      </c>
      <c r="J20" s="364" t="s">
        <v>500</v>
      </c>
      <c r="M20" s="234">
        <v>100</v>
      </c>
      <c r="N20" s="80">
        <v>6512.6634543494738</v>
      </c>
      <c r="O20" s="5">
        <v>1.1047782895832228</v>
      </c>
      <c r="P20" cm="1">
        <f t="array" ref="P20:Q20">LINEST(O18:O22,N18:N22)</f>
        <v>1.787327714179628E-3</v>
      </c>
      <c r="Q20">
        <v>-10.938996315284054</v>
      </c>
      <c r="S20" t="s">
        <v>488</v>
      </c>
      <c r="AC20" s="364"/>
    </row>
    <row r="21" spans="3:29" x14ac:dyDescent="0.15">
      <c r="E21" t="b">
        <f>IF(I22&lt;3000,TRUE,FALSE)</f>
        <v>1</v>
      </c>
      <c r="H21" s="234" t="s">
        <v>501</v>
      </c>
      <c r="I21" s="373">
        <f>I18/1000/((12.5/2000)^2*PI())</f>
        <v>5.9289719529979469E-3</v>
      </c>
      <c r="J21" s="364" t="s">
        <v>502</v>
      </c>
      <c r="M21" s="234">
        <v>100</v>
      </c>
      <c r="N21" s="80">
        <v>5663.1856124778033</v>
      </c>
      <c r="O21" s="5">
        <v>-0.58280148731893533</v>
      </c>
      <c r="AC21" s="364"/>
    </row>
    <row r="22" spans="3:29" ht="14" thickBot="1" x14ac:dyDescent="0.2">
      <c r="D22" s="2" t="s">
        <v>536</v>
      </c>
      <c r="E22" s="2" t="b">
        <f>IF(OR(E17,E18,F17,E21,E19,E20),TRUE,FALSE)</f>
        <v>1</v>
      </c>
      <c r="H22" s="369" t="s">
        <v>487</v>
      </c>
      <c r="I22" s="374">
        <f>I21*0.0125/0.0000005729</f>
        <v>129.36315135708563</v>
      </c>
      <c r="J22" s="375" t="s">
        <v>393</v>
      </c>
      <c r="M22" s="371">
        <v>100</v>
      </c>
      <c r="N22" s="257">
        <v>4955.2874109180793</v>
      </c>
      <c r="O22" s="209">
        <v>-1.0724513014040689</v>
      </c>
      <c r="P22" s="25"/>
      <c r="Q22" s="25"/>
      <c r="S22" s="32">
        <f>IF($I$6&lt;50,T24,IF($I$6&gt;300,$T$27,S31*I6^2+T31*I6+U31))</f>
        <v>0.3</v>
      </c>
      <c r="AC22" s="364"/>
    </row>
    <row r="23" spans="3:29" ht="14" thickBot="1" x14ac:dyDescent="0.2">
      <c r="M23" s="234">
        <v>200</v>
      </c>
      <c r="N23" s="80">
        <v>11184.791584643664</v>
      </c>
      <c r="O23" s="5">
        <v>1.4390129038334791</v>
      </c>
      <c r="AC23" s="364"/>
    </row>
    <row r="24" spans="3:29" x14ac:dyDescent="0.15">
      <c r="H24" s="360" t="s">
        <v>503</v>
      </c>
      <c r="I24" s="361"/>
      <c r="J24" s="362"/>
      <c r="M24" s="234">
        <v>200</v>
      </c>
      <c r="N24" s="80">
        <v>13804.014930414649</v>
      </c>
      <c r="O24" s="5">
        <v>1.3612131487237491</v>
      </c>
      <c r="S24" s="233">
        <v>50</v>
      </c>
      <c r="T24" s="376">
        <f>Q11</f>
        <v>0.3</v>
      </c>
      <c r="AC24" s="364"/>
    </row>
    <row r="25" spans="3:29" ht="14" thickBot="1" x14ac:dyDescent="0.2">
      <c r="C25" t="s">
        <v>532</v>
      </c>
      <c r="E25" t="b">
        <f>IF(I26&lt;I8,TRUE,FALSE)</f>
        <v>0</v>
      </c>
      <c r="F25" t="b">
        <f>IF(I26&gt;I25,TRUE,FALSE)</f>
        <v>1</v>
      </c>
      <c r="H25" s="234" t="s">
        <v>491</v>
      </c>
      <c r="I25" s="235">
        <f>(I13+AVERAGE(I8:I9))*2-I11</f>
        <v>-2.7799684993423561</v>
      </c>
      <c r="J25" s="364" t="s">
        <v>230</v>
      </c>
      <c r="M25" s="234">
        <v>200</v>
      </c>
      <c r="N25" s="80">
        <v>22511.162809599275</v>
      </c>
      <c r="O25" s="5">
        <v>2.7945276443439795</v>
      </c>
      <c r="S25" s="233">
        <v>100</v>
      </c>
      <c r="T25" s="376">
        <f>Q18</f>
        <v>-4.5</v>
      </c>
      <c r="AC25" s="364"/>
    </row>
    <row r="26" spans="3:29" ht="14" thickBot="1" x14ac:dyDescent="0.2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6158.7143535696114</v>
      </c>
      <c r="O26" s="5">
        <v>-4.338843364415558</v>
      </c>
      <c r="P26" t="s">
        <v>493</v>
      </c>
      <c r="Q26" s="366">
        <f>IF($I$12&lt;11200,IF($I$12&lt;6000,-4.5,P28*$I$12+$Q$28),1.4)</f>
        <v>-4.5</v>
      </c>
      <c r="S26" s="233">
        <v>200</v>
      </c>
      <c r="T26" s="376">
        <f>Q26</f>
        <v>-4.5</v>
      </c>
      <c r="AC26" s="364"/>
    </row>
    <row r="27" spans="3:29" ht="15" x14ac:dyDescent="0.15">
      <c r="H27" s="234" t="s">
        <v>498</v>
      </c>
      <c r="I27" s="373">
        <f>I7/4186/(I25-I26)</f>
        <v>-1.615446704464931E-3</v>
      </c>
      <c r="J27" s="364" t="s">
        <v>72</v>
      </c>
      <c r="M27" s="234">
        <v>200</v>
      </c>
      <c r="N27" s="80">
        <v>11184.791584643664</v>
      </c>
      <c r="O27" s="5">
        <v>1.4390129038334791</v>
      </c>
      <c r="S27" s="233">
        <v>300</v>
      </c>
      <c r="T27" s="376">
        <f>Q34</f>
        <v>-4.5</v>
      </c>
      <c r="AC27" s="364"/>
    </row>
    <row r="28" spans="3:29" x14ac:dyDescent="0.15">
      <c r="E28" t="b">
        <f>IF(I27&lt;0,TRUE,IF(I28&gt;50,TRUE,FALSE))</f>
        <v>1</v>
      </c>
      <c r="H28" s="234" t="s">
        <v>499</v>
      </c>
      <c r="I28" s="235" t="e">
        <f>$O$62*I27^$M$62</f>
        <v>#NUM!</v>
      </c>
      <c r="J28" s="364" t="s">
        <v>500</v>
      </c>
      <c r="M28" s="234">
        <v>200</v>
      </c>
      <c r="N28" s="80">
        <v>9910.5748218361587</v>
      </c>
      <c r="O28" s="5">
        <v>-0.11100122445134986</v>
      </c>
      <c r="P28" cm="1">
        <f t="array" ref="P28:Q28">LINEST(O26:O30,N26:N30)</f>
        <v>1.1045324592867574E-3</v>
      </c>
      <c r="Q28">
        <v>-11.031351040807914</v>
      </c>
      <c r="AC28" s="364"/>
    </row>
    <row r="29" spans="3:29" x14ac:dyDescent="0.15">
      <c r="E29" t="b">
        <f>IF(I27&lt;0,TRUE,IF(I29&gt;50,TRUE,FALSE))</f>
        <v>1</v>
      </c>
      <c r="H29" s="234" t="s">
        <v>557</v>
      </c>
      <c r="I29" s="235">
        <f>((I27*3.6)/1)^2*100</f>
        <v>3.3821297992367217E-3</v>
      </c>
      <c r="J29" s="364" t="s">
        <v>500</v>
      </c>
      <c r="M29" s="234">
        <v>200</v>
      </c>
      <c r="N29" s="80">
        <v>8494.7784187167072</v>
      </c>
      <c r="O29" s="5">
        <v>-2.1665724781011555</v>
      </c>
      <c r="S29" cm="1">
        <f t="array" ref="S29:T29">LINEST(T24:T27,S24:S27)</f>
        <v>-1.4644067796610174E-2</v>
      </c>
      <c r="T29">
        <v>-0.9203389830508466</v>
      </c>
      <c r="AC29" s="364"/>
    </row>
    <row r="30" spans="3:29" x14ac:dyDescent="0.15">
      <c r="E30" t="b">
        <f>IF(I31&lt;3000,TRUE,FALSE)</f>
        <v>1</v>
      </c>
      <c r="H30" s="234" t="s">
        <v>501</v>
      </c>
      <c r="I30" s="373">
        <f>I27/1000/((12.5/2000)^2*PI())</f>
        <v>-1.3163844009835826E-2</v>
      </c>
      <c r="J30" s="364" t="s">
        <v>502</v>
      </c>
      <c r="M30" s="371">
        <v>200</v>
      </c>
      <c r="N30" s="257">
        <v>7503.72093653309</v>
      </c>
      <c r="O30" s="209">
        <v>-2.2054723556560205</v>
      </c>
      <c r="P30" s="25"/>
      <c r="Q30" s="25"/>
      <c r="AC30" s="364"/>
    </row>
    <row r="31" spans="3:29" ht="14" thickBot="1" x14ac:dyDescent="0.2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-287.21949750907288</v>
      </c>
      <c r="J31" s="375" t="s">
        <v>393</v>
      </c>
      <c r="M31" s="234">
        <v>300</v>
      </c>
      <c r="N31" s="80">
        <v>14299.543671506455</v>
      </c>
      <c r="O31" s="5">
        <v>2.5297009951182972</v>
      </c>
      <c r="S31">
        <f t="array" ref="S31:U31">LINEST(T24:T27,S24:S27^{1,2})</f>
        <v>1.833165829145728E-4</v>
      </c>
      <c r="T31">
        <v>-7.9115577889447217E-2</v>
      </c>
      <c r="U31">
        <v>3.0256281407035157</v>
      </c>
      <c r="AC31" s="364"/>
    </row>
    <row r="32" spans="3:29" x14ac:dyDescent="0.15">
      <c r="M32" s="234">
        <v>300</v>
      </c>
      <c r="N32" s="80">
        <v>17626.665218837166</v>
      </c>
      <c r="O32" s="5">
        <v>2.2719325009388029</v>
      </c>
      <c r="AC32" s="364"/>
    </row>
    <row r="33" spans="9:29" ht="14" thickBot="1" x14ac:dyDescent="0.2">
      <c r="I33" s="213"/>
      <c r="M33" s="234">
        <v>300</v>
      </c>
      <c r="N33" s="80">
        <v>25909.074177085957</v>
      </c>
      <c r="O33" s="5">
        <v>-0.20978454750281017</v>
      </c>
      <c r="AC33" s="364"/>
    </row>
    <row r="34" spans="9:29" ht="14" thickBot="1" x14ac:dyDescent="0.2">
      <c r="M34" s="234">
        <v>300</v>
      </c>
      <c r="N34" s="80">
        <v>7645.3005768450357</v>
      </c>
      <c r="O34" s="5">
        <v>-4.4844630116410027</v>
      </c>
      <c r="P34" t="s">
        <v>493</v>
      </c>
      <c r="Q34" s="366">
        <f>IF($I$12&lt;14000,IF($I$12&lt;7800,-4.5,P36*$I$12+$Q$36),1.7)</f>
        <v>-4.5</v>
      </c>
      <c r="AC34" s="364"/>
    </row>
    <row r="35" spans="9:29" x14ac:dyDescent="0.15">
      <c r="M35" s="234">
        <v>300</v>
      </c>
      <c r="N35" s="80">
        <v>14299.543671506455</v>
      </c>
      <c r="O35" s="5">
        <v>2.5297009951182972</v>
      </c>
      <c r="AC35" s="364"/>
    </row>
    <row r="36" spans="9:29" x14ac:dyDescent="0.15">
      <c r="M36" s="234">
        <v>300</v>
      </c>
      <c r="N36" s="80">
        <v>12175.849066827279</v>
      </c>
      <c r="O36" s="5">
        <v>-0.93510608336461587</v>
      </c>
      <c r="P36" cm="1">
        <f t="array" ref="P36:Q36">LINEST(O34:O38,N34:N38)</f>
        <v>1.0013521659768705E-3</v>
      </c>
      <c r="Q36">
        <v>-12.355446785052449</v>
      </c>
      <c r="AC36" s="364"/>
    </row>
    <row r="37" spans="9:29" x14ac:dyDescent="0.15">
      <c r="M37" s="234">
        <v>300</v>
      </c>
      <c r="N37" s="80">
        <v>10760.052663707826</v>
      </c>
      <c r="O37" s="5">
        <v>-1.7449774690198936</v>
      </c>
      <c r="AC37" s="364"/>
    </row>
    <row r="38" spans="9:29" ht="14" thickBot="1" x14ac:dyDescent="0.2">
      <c r="M38" s="369">
        <v>300</v>
      </c>
      <c r="N38" s="377">
        <v>9202.676620276432</v>
      </c>
      <c r="O38" s="378">
        <v>-2.9858359932406984</v>
      </c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" thickBot="1" x14ac:dyDescent="0.2">
      <c r="M39" s="233"/>
    </row>
    <row r="40" spans="9:29" x14ac:dyDescent="0.1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15">
      <c r="M41" s="232"/>
      <c r="AC41" s="364"/>
    </row>
    <row r="42" spans="9:29" x14ac:dyDescent="0.15">
      <c r="M42" s="232" t="s">
        <v>485</v>
      </c>
      <c r="N42" t="s">
        <v>505</v>
      </c>
      <c r="P42" t="s">
        <v>506</v>
      </c>
      <c r="AC42" s="364"/>
    </row>
    <row r="43" spans="9:29" ht="14" thickBot="1" x14ac:dyDescent="0.2">
      <c r="M43" s="234">
        <v>50</v>
      </c>
      <c r="N43" s="99">
        <v>0.10403848305179553</v>
      </c>
      <c r="P43">
        <f t="array" ref="P43:Q43">LINEST(LN(N43:N46),LN(M43:M46))</f>
        <v>0.45113381931898666</v>
      </c>
      <c r="Q43">
        <v>-4.0232887808944744</v>
      </c>
      <c r="R43">
        <f>EXP(Q43)</f>
        <v>1.7894018555412273E-2</v>
      </c>
      <c r="AC43" s="364"/>
    </row>
    <row r="44" spans="9:29" ht="14" thickBot="1" x14ac:dyDescent="0.2">
      <c r="M44" s="234">
        <v>100</v>
      </c>
      <c r="N44" s="99">
        <v>0.14328085241730276</v>
      </c>
      <c r="P44" s="379">
        <f>R43*I6^(P43)</f>
        <v>4.9925488806864766E-2</v>
      </c>
      <c r="AC44" s="364"/>
    </row>
    <row r="45" spans="9:29" x14ac:dyDescent="0.15">
      <c r="M45" s="234">
        <v>200</v>
      </c>
      <c r="N45" s="99">
        <v>0.19780158360503025</v>
      </c>
      <c r="AC45" s="364"/>
    </row>
    <row r="46" spans="9:29" x14ac:dyDescent="0.15">
      <c r="M46" s="234">
        <v>300</v>
      </c>
      <c r="N46" s="99">
        <v>0.23202548533776235</v>
      </c>
      <c r="P46" t="s">
        <v>507</v>
      </c>
      <c r="AC46" s="364"/>
    </row>
    <row r="47" spans="9:29" ht="14" thickBot="1" x14ac:dyDescent="0.2">
      <c r="M47" s="232"/>
      <c r="P47">
        <f t="array" ref="P47:S47">LINEST(N43:N46,M43:M46^{1,2,3})</f>
        <v>2.3310361205440623E-9</v>
      </c>
      <c r="Q47">
        <v>-2.4134631450762083E-6</v>
      </c>
      <c r="R47">
        <v>1.1060737269620539E-3</v>
      </c>
      <c r="S47">
        <v>5.4477075051315327E-2</v>
      </c>
      <c r="AC47" s="364"/>
    </row>
    <row r="48" spans="9:29" ht="14" thickBot="1" x14ac:dyDescent="0.2">
      <c r="M48" s="232"/>
      <c r="P48" s="379">
        <f>P47*I6^3+Q47*I6^2+R47*I6+S47</f>
        <v>6.5004587338135245E-2</v>
      </c>
      <c r="AC48" s="364"/>
    </row>
    <row r="49" spans="13:29" x14ac:dyDescent="0.15">
      <c r="M49" s="232"/>
      <c r="AC49" s="364"/>
    </row>
    <row r="50" spans="13:29" x14ac:dyDescent="0.15">
      <c r="M50" s="232"/>
      <c r="O50" s="380"/>
      <c r="AC50" s="364"/>
    </row>
    <row r="51" spans="13:29" x14ac:dyDescent="0.15">
      <c r="M51" s="232"/>
      <c r="AC51" s="364"/>
    </row>
    <row r="52" spans="13:29" x14ac:dyDescent="0.15">
      <c r="M52" s="232"/>
      <c r="AC52" s="364"/>
    </row>
    <row r="53" spans="13:29" x14ac:dyDescent="0.15">
      <c r="M53" s="232"/>
      <c r="AC53" s="364"/>
    </row>
    <row r="54" spans="13:29" x14ac:dyDescent="0.15">
      <c r="M54" s="232"/>
      <c r="AC54" s="364"/>
    </row>
    <row r="55" spans="13:29" x14ac:dyDescent="0.15">
      <c r="M55" s="232"/>
      <c r="AC55" s="364"/>
    </row>
    <row r="56" spans="13:29" x14ac:dyDescent="0.15">
      <c r="M56" s="232"/>
      <c r="AC56" s="364"/>
    </row>
    <row r="57" spans="13:29" ht="14" thickBot="1" x14ac:dyDescent="0.2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" thickBot="1" x14ac:dyDescent="0.2"/>
    <row r="60" spans="13:29" x14ac:dyDescent="0.15">
      <c r="M60" s="303" t="s">
        <v>508</v>
      </c>
      <c r="N60" s="230"/>
      <c r="O60" s="230"/>
      <c r="P60" s="231"/>
    </row>
    <row r="61" spans="13:29" x14ac:dyDescent="0.15">
      <c r="M61" s="232"/>
      <c r="P61" s="364"/>
    </row>
    <row r="62" spans="13:29" x14ac:dyDescent="0.15">
      <c r="M62" s="381">
        <v>1.7870277953295908</v>
      </c>
      <c r="N62">
        <v>6.4739415400072904</v>
      </c>
      <c r="O62">
        <f>EXP(N62)</f>
        <v>648.03294752602937</v>
      </c>
      <c r="P62" s="364"/>
    </row>
    <row r="63" spans="13:29" ht="14" thickBot="1" x14ac:dyDescent="0.2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F8BD2-F132-4526-AFEC-CD1FBA525A56}">
  <dimension ref="A3:AK57"/>
  <sheetViews>
    <sheetView topLeftCell="A4" zoomScaleNormal="100" workbookViewId="0">
      <selection activeCell="B32" sqref="B32"/>
    </sheetView>
  </sheetViews>
  <sheetFormatPr baseColWidth="10" defaultColWidth="8.83203125" defaultRowHeight="13" x14ac:dyDescent="0.15"/>
  <cols>
    <col min="1" max="1" width="15.1640625" customWidth="1"/>
    <col min="2" max="2" width="22.6640625" customWidth="1"/>
    <col min="3" max="3" width="12.5" customWidth="1"/>
    <col min="5" max="5" width="8.83203125" customWidth="1"/>
    <col min="6" max="6" width="8.1640625" style="182" customWidth="1"/>
    <col min="7" max="7" width="16.5" style="182" customWidth="1"/>
    <col min="8" max="8" width="10.6640625" style="182" bestFit="1" customWidth="1"/>
    <col min="9" max="9" width="10.6640625" style="182" customWidth="1"/>
    <col min="10" max="11" width="8.1640625" style="182" customWidth="1"/>
    <col min="12" max="12" width="12.33203125" style="182" customWidth="1"/>
    <col min="13" max="13" width="8.1640625" style="182" customWidth="1"/>
    <col min="14" max="14" width="11.5" style="182" customWidth="1"/>
    <col min="15" max="15" width="15.6640625" style="182" customWidth="1"/>
    <col min="19" max="19" width="13.5" customWidth="1"/>
    <col min="20" max="20" width="12" customWidth="1"/>
  </cols>
  <sheetData>
    <row r="3" spans="1:37" x14ac:dyDescent="0.15">
      <c r="B3" s="2" t="s">
        <v>240</v>
      </c>
      <c r="F3" s="179">
        <f ca="1">C19</f>
        <v>-26</v>
      </c>
      <c r="G3" s="183"/>
      <c r="H3" s="179">
        <f>$C$12</f>
        <v>21</v>
      </c>
      <c r="I3" s="184">
        <f ca="1">MAX(J3:K3)</f>
        <v>-6.5</v>
      </c>
      <c r="J3" s="185">
        <f ca="1">IF(M3-$C$8*$C$10*(M3-F3)&lt;$C$11,$C$11,M3-$C$8*$C$10*(M3-F3))</f>
        <v>-6.5</v>
      </c>
      <c r="K3" s="185">
        <f ca="1">M3-P3*Q3*(M3-F3)</f>
        <v>-6.5</v>
      </c>
      <c r="L3" s="185">
        <f ca="1">M3-T3*(M3-F3)</f>
        <v>21</v>
      </c>
      <c r="M3" s="185">
        <f>$C$5</f>
        <v>21</v>
      </c>
      <c r="N3" s="185">
        <f ca="1">MIN(F3+R3/P3*(M3-F3),H3)</f>
        <v>1.5</v>
      </c>
      <c r="O3" s="186"/>
      <c r="P3" s="187">
        <f>$C$8</f>
        <v>1</v>
      </c>
      <c r="Q3" s="188">
        <f ca="1">MIN(R3/P3,(H3-F3)/(M3-F3))</f>
        <v>0.58510638297872342</v>
      </c>
      <c r="R3" s="189">
        <f ca="1">(M3-J3)/(M3-F3)</f>
        <v>0.58510638297872342</v>
      </c>
    </row>
    <row r="4" spans="1:37" ht="14" x14ac:dyDescent="0.15">
      <c r="B4" s="2" t="s">
        <v>241</v>
      </c>
      <c r="T4" s="190" t="s">
        <v>121</v>
      </c>
      <c r="U4" s="191">
        <f>SUM(U6:U50)</f>
        <v>4962.4166666666661</v>
      </c>
      <c r="V4" s="191">
        <f>SUM(V6:V50)</f>
        <v>4191.9072916666673</v>
      </c>
      <c r="W4" s="191">
        <f>SUM(W6:W50)</f>
        <v>4191.9072916666673</v>
      </c>
    </row>
    <row r="5" spans="1:37" ht="17" x14ac:dyDescent="0.15">
      <c r="B5" s="10" t="s">
        <v>228</v>
      </c>
      <c r="C5" s="248">
        <f>'C-series'!T27</f>
        <v>21</v>
      </c>
      <c r="D5" s="21" t="s">
        <v>230</v>
      </c>
      <c r="F5" s="192" t="s">
        <v>242</v>
      </c>
      <c r="G5" s="151" t="s">
        <v>208</v>
      </c>
      <c r="H5" s="192" t="s">
        <v>243</v>
      </c>
      <c r="I5" s="150" t="s">
        <v>244</v>
      </c>
      <c r="J5" s="150" t="s">
        <v>232</v>
      </c>
      <c r="K5" s="150" t="s">
        <v>245</v>
      </c>
      <c r="L5" s="150" t="s">
        <v>246</v>
      </c>
      <c r="M5" s="150" t="s">
        <v>247</v>
      </c>
      <c r="N5" s="150" t="s">
        <v>248</v>
      </c>
      <c r="O5" s="152" t="s">
        <v>249</v>
      </c>
      <c r="P5" s="150" t="s">
        <v>219</v>
      </c>
      <c r="Q5" s="192" t="s">
        <v>250</v>
      </c>
      <c r="R5" s="150" t="s">
        <v>251</v>
      </c>
      <c r="S5" s="192" t="s">
        <v>252</v>
      </c>
      <c r="T5" s="152" t="s">
        <v>253</v>
      </c>
      <c r="U5" s="150" t="s">
        <v>211</v>
      </c>
      <c r="V5" s="150" t="s">
        <v>212</v>
      </c>
      <c r="W5" s="152" t="s">
        <v>213</v>
      </c>
    </row>
    <row r="6" spans="1:37" x14ac:dyDescent="0.15">
      <c r="B6" s="12" t="s">
        <v>254</v>
      </c>
      <c r="C6" s="249">
        <f>'C-series'!T11</f>
        <v>450</v>
      </c>
      <c r="D6" s="24" t="s">
        <v>13</v>
      </c>
      <c r="F6" s="194">
        <v>-32</v>
      </c>
      <c r="G6" s="559">
        <f>SäädataC!Z12</f>
        <v>0</v>
      </c>
      <c r="H6" s="194">
        <f t="shared" ref="H6:H17" si="0">$C$12</f>
        <v>21</v>
      </c>
      <c r="I6" s="195">
        <f t="shared" ref="I6:I17" si="1">MAX(J6:K6)</f>
        <v>-6.5</v>
      </c>
      <c r="J6" s="196">
        <f t="shared" ref="J6:J50" si="2">IF(M6-$C$8*$C$10*(M6-F6)&lt;$C$11,$C$11,M6-$C$8*$C$10*(M6-F6))</f>
        <v>-6.5</v>
      </c>
      <c r="K6" s="196">
        <f t="shared" ref="K6:K17" si="3">M6-P6*Q6*(M6-F6)</f>
        <v>-6.5</v>
      </c>
      <c r="L6" s="196">
        <f t="shared" ref="L6:L17" si="4">M6-T6*(M6-F6)</f>
        <v>-24.208999999999996</v>
      </c>
      <c r="M6" s="182">
        <f t="shared" ref="M6:M50" si="5">$C$5</f>
        <v>21</v>
      </c>
      <c r="N6" s="196">
        <f>MIN(F6+R6/P6*(M6-F6),H6)</f>
        <v>-4.5</v>
      </c>
      <c r="O6" s="197">
        <f t="shared" ref="O6:O28" si="6">F6+S6/P6*(M6-F6)</f>
        <v>13.208999999999996</v>
      </c>
      <c r="P6" s="32">
        <f t="shared" ref="P6:P50" si="7">$C$8</f>
        <v>1</v>
      </c>
      <c r="Q6" s="198">
        <f t="shared" ref="Q6:Q20" si="8">MIN(R6/P6,(H6-F6)/(M6-F6))</f>
        <v>0.51886792452830188</v>
      </c>
      <c r="R6" s="199">
        <f t="shared" ref="R6:R20" si="9">(M6-J6)/(M6-F6)</f>
        <v>0.51886792452830188</v>
      </c>
      <c r="S6" s="198">
        <f t="shared" ref="S6:S50" si="10">$C$10</f>
        <v>0.85299999999999998</v>
      </c>
      <c r="T6" s="200">
        <f>S6*$C$8</f>
        <v>0.85299999999999998</v>
      </c>
      <c r="U6" s="201">
        <f>G6*(M6-F6)*365</f>
        <v>0</v>
      </c>
      <c r="V6" s="201">
        <f>G6*(N6-F6)*365</f>
        <v>0</v>
      </c>
      <c r="W6" s="202">
        <f>G6*(M6-J6)*365</f>
        <v>0</v>
      </c>
      <c r="Y6" s="5" t="e">
        <f t="shared" ref="Y6:Y49" si="11">$C$7/1000*1.2*1006*(M6-F6)*8760*(G6-G5)/1000</f>
        <v>#VALUE!</v>
      </c>
      <c r="Z6" s="5" t="e">
        <f t="shared" ref="Z6:Z49" si="12">1.2*1006*$C$7/1000*(M6-I6)/1000*(G6-G5)*8760</f>
        <v>#VALUE!</v>
      </c>
      <c r="AB6" t="s">
        <v>236</v>
      </c>
      <c r="AG6" s="110">
        <f>Y51</f>
        <v>64698.797520000015</v>
      </c>
      <c r="AH6" t="s">
        <v>237</v>
      </c>
    </row>
    <row r="7" spans="1:37" x14ac:dyDescent="0.15">
      <c r="B7" s="12" t="s">
        <v>255</v>
      </c>
      <c r="C7" s="249">
        <f>'C-series'!T12</f>
        <v>450</v>
      </c>
      <c r="D7" s="24" t="s">
        <v>13</v>
      </c>
      <c r="F7" s="194">
        <v>-31</v>
      </c>
      <c r="G7" s="559">
        <f>SäädataC!Z13</f>
        <v>0</v>
      </c>
      <c r="H7" s="194">
        <f t="shared" si="0"/>
        <v>21</v>
      </c>
      <c r="I7" s="195">
        <f t="shared" si="1"/>
        <v>-6.5</v>
      </c>
      <c r="J7" s="196">
        <f t="shared" si="2"/>
        <v>-6.5</v>
      </c>
      <c r="K7" s="196">
        <f t="shared" si="3"/>
        <v>-6.5</v>
      </c>
      <c r="L7" s="196">
        <f t="shared" si="4"/>
        <v>-23.356000000000002</v>
      </c>
      <c r="M7" s="182">
        <f t="shared" si="5"/>
        <v>21</v>
      </c>
      <c r="N7" s="196">
        <f t="shared" ref="N7:N50" si="13">MIN(F7+R7/P7*(M7-F7),H7)</f>
        <v>-3.5</v>
      </c>
      <c r="O7" s="197">
        <f t="shared" si="6"/>
        <v>13.356000000000002</v>
      </c>
      <c r="P7" s="32">
        <f t="shared" si="7"/>
        <v>1</v>
      </c>
      <c r="Q7" s="198">
        <f t="shared" si="8"/>
        <v>0.52884615384615385</v>
      </c>
      <c r="R7" s="199">
        <f t="shared" si="9"/>
        <v>0.52884615384615385</v>
      </c>
      <c r="S7" s="198">
        <f t="shared" si="10"/>
        <v>0.85299999999999998</v>
      </c>
      <c r="T7" s="200">
        <f t="shared" ref="T7:T50" si="14">S7*$C$8</f>
        <v>0.85299999999999998</v>
      </c>
      <c r="U7" s="108">
        <f>(G7-G6)*(M7-F7)*365</f>
        <v>0</v>
      </c>
      <c r="V7" s="108">
        <f>(G7-G6)*(N7-F7)*365</f>
        <v>0</v>
      </c>
      <c r="W7" s="203">
        <f>(G7-G6)*(M7-I7)*365</f>
        <v>0</v>
      </c>
      <c r="Y7" s="5">
        <f>$C$7/1000*1.2*1006*(M7-F7)*8760*(G7-G6)/1000</f>
        <v>0</v>
      </c>
      <c r="Z7" s="5">
        <f t="shared" si="12"/>
        <v>0</v>
      </c>
      <c r="AB7" t="s">
        <v>238</v>
      </c>
      <c r="AG7" s="110">
        <f>Z51</f>
        <v>54653.081211000004</v>
      </c>
      <c r="AH7" t="s">
        <v>237</v>
      </c>
      <c r="AJ7" t="s">
        <v>1270</v>
      </c>
    </row>
    <row r="8" spans="1:37" ht="17" x14ac:dyDescent="0.25">
      <c r="B8" s="12" t="s">
        <v>256</v>
      </c>
      <c r="C8" s="204">
        <f>'C-series'!T14</f>
        <v>1</v>
      </c>
      <c r="D8" s="24"/>
      <c r="F8" s="194">
        <v>-30</v>
      </c>
      <c r="G8" s="559">
        <f>SäädataC!Z14</f>
        <v>0</v>
      </c>
      <c r="H8" s="194">
        <f t="shared" si="0"/>
        <v>21</v>
      </c>
      <c r="I8" s="195">
        <f t="shared" si="1"/>
        <v>-6.5</v>
      </c>
      <c r="J8" s="196">
        <f t="shared" si="2"/>
        <v>-6.5</v>
      </c>
      <c r="K8" s="196">
        <f t="shared" si="3"/>
        <v>-6.5</v>
      </c>
      <c r="L8" s="196">
        <f t="shared" si="4"/>
        <v>-22.503</v>
      </c>
      <c r="M8" s="182">
        <f t="shared" si="5"/>
        <v>21</v>
      </c>
      <c r="N8" s="196">
        <f t="shared" si="13"/>
        <v>-2.5</v>
      </c>
      <c r="O8" s="197">
        <f t="shared" si="6"/>
        <v>13.503</v>
      </c>
      <c r="P8" s="32">
        <f t="shared" si="7"/>
        <v>1</v>
      </c>
      <c r="Q8" s="198">
        <f t="shared" si="8"/>
        <v>0.53921568627450978</v>
      </c>
      <c r="R8" s="199">
        <f t="shared" si="9"/>
        <v>0.53921568627450978</v>
      </c>
      <c r="S8" s="198">
        <f t="shared" si="10"/>
        <v>0.85299999999999998</v>
      </c>
      <c r="T8" s="200">
        <f t="shared" si="14"/>
        <v>0.85299999999999998</v>
      </c>
      <c r="U8" s="108">
        <f t="shared" ref="U8:U20" si="15">(G8-G7)*(M8-F8)*365</f>
        <v>0</v>
      </c>
      <c r="V8" s="108">
        <f t="shared" ref="V8:V50" si="16">(G8-G7)*(N8-F8)*365</f>
        <v>0</v>
      </c>
      <c r="W8" s="203">
        <f t="shared" ref="W8:W50" si="17">(G8-G7)*(M8-I8)*365</f>
        <v>0</v>
      </c>
      <c r="Y8" s="5">
        <f t="shared" si="11"/>
        <v>0</v>
      </c>
      <c r="Z8" s="5">
        <f t="shared" si="12"/>
        <v>0</v>
      </c>
      <c r="AB8" t="s">
        <v>1269</v>
      </c>
      <c r="AG8" s="110">
        <f>IF(ISNUMBER(AJ8),AJ8*8760/1000,"-")</f>
        <v>5299.8276575530017</v>
      </c>
      <c r="AH8" t="s">
        <v>237</v>
      </c>
      <c r="AJ8" s="110">
        <f>'C-series'!D50</f>
        <v>605.00315725490884</v>
      </c>
      <c r="AK8" t="s">
        <v>49</v>
      </c>
    </row>
    <row r="9" spans="1:37" x14ac:dyDescent="0.15">
      <c r="B9" s="12" t="s">
        <v>257</v>
      </c>
      <c r="C9" s="250">
        <f>'C-series'!T23</f>
        <v>0.85299999999999998</v>
      </c>
      <c r="D9" s="24"/>
      <c r="F9" s="194">
        <v>-29</v>
      </c>
      <c r="G9" s="559">
        <f>SäädataC!Z15</f>
        <v>0</v>
      </c>
      <c r="H9" s="194">
        <f t="shared" si="0"/>
        <v>21</v>
      </c>
      <c r="I9" s="195">
        <f t="shared" si="1"/>
        <v>-6.5</v>
      </c>
      <c r="J9" s="196">
        <f t="shared" si="2"/>
        <v>-6.5</v>
      </c>
      <c r="K9" s="196">
        <f t="shared" si="3"/>
        <v>-6.5000000000000036</v>
      </c>
      <c r="L9" s="196">
        <f t="shared" si="4"/>
        <v>-21.65</v>
      </c>
      <c r="M9" s="182">
        <f t="shared" si="5"/>
        <v>21</v>
      </c>
      <c r="N9" s="196">
        <f t="shared" si="13"/>
        <v>-1.4999999999999964</v>
      </c>
      <c r="O9" s="197">
        <f t="shared" si="6"/>
        <v>13.649999999999999</v>
      </c>
      <c r="P9" s="32">
        <f t="shared" si="7"/>
        <v>1</v>
      </c>
      <c r="Q9" s="198">
        <f t="shared" si="8"/>
        <v>0.55000000000000004</v>
      </c>
      <c r="R9" s="199">
        <f t="shared" si="9"/>
        <v>0.55000000000000004</v>
      </c>
      <c r="S9" s="198">
        <f t="shared" si="10"/>
        <v>0.85299999999999998</v>
      </c>
      <c r="T9" s="200">
        <f t="shared" si="14"/>
        <v>0.85299999999999998</v>
      </c>
      <c r="U9" s="108">
        <f t="shared" si="15"/>
        <v>0</v>
      </c>
      <c r="V9" s="108">
        <f t="shared" si="16"/>
        <v>0</v>
      </c>
      <c r="W9" s="203">
        <f t="shared" si="17"/>
        <v>0</v>
      </c>
      <c r="Y9" s="5">
        <f t="shared" si="11"/>
        <v>0</v>
      </c>
      <c r="Z9" s="5">
        <f t="shared" si="12"/>
        <v>0</v>
      </c>
    </row>
    <row r="10" spans="1:37" x14ac:dyDescent="0.15">
      <c r="B10" s="12" t="s">
        <v>258</v>
      </c>
      <c r="C10" s="205">
        <f>'C-series'!T24</f>
        <v>0.85299999999999998</v>
      </c>
      <c r="D10" s="24"/>
      <c r="F10" s="194">
        <v>-28</v>
      </c>
      <c r="G10" s="559">
        <f>SäädataC!Z16</f>
        <v>0</v>
      </c>
      <c r="H10" s="194">
        <f t="shared" si="0"/>
        <v>21</v>
      </c>
      <c r="I10" s="195">
        <f t="shared" si="1"/>
        <v>-6.4999999999999964</v>
      </c>
      <c r="J10" s="196">
        <f t="shared" si="2"/>
        <v>-6.5</v>
      </c>
      <c r="K10" s="196">
        <f t="shared" si="3"/>
        <v>-6.4999999999999964</v>
      </c>
      <c r="L10" s="196">
        <f t="shared" si="4"/>
        <v>-20.796999999999997</v>
      </c>
      <c r="M10" s="182">
        <f t="shared" si="5"/>
        <v>21</v>
      </c>
      <c r="N10" s="196">
        <f t="shared" si="13"/>
        <v>-0.50000000000000355</v>
      </c>
      <c r="O10" s="197">
        <f t="shared" si="6"/>
        <v>13.796999999999997</v>
      </c>
      <c r="P10" s="32">
        <f t="shared" si="7"/>
        <v>1</v>
      </c>
      <c r="Q10" s="198">
        <f t="shared" si="8"/>
        <v>0.56122448979591832</v>
      </c>
      <c r="R10" s="199">
        <f t="shared" si="9"/>
        <v>0.56122448979591832</v>
      </c>
      <c r="S10" s="198">
        <f t="shared" si="10"/>
        <v>0.85299999999999998</v>
      </c>
      <c r="T10" s="200">
        <f t="shared" si="14"/>
        <v>0.85299999999999998</v>
      </c>
      <c r="U10" s="108">
        <f t="shared" si="15"/>
        <v>0</v>
      </c>
      <c r="V10" s="108">
        <f t="shared" si="16"/>
        <v>0</v>
      </c>
      <c r="W10" s="203">
        <f t="shared" si="17"/>
        <v>0</v>
      </c>
      <c r="Y10" s="5">
        <f t="shared" si="11"/>
        <v>0</v>
      </c>
      <c r="Z10" s="5">
        <f t="shared" si="12"/>
        <v>0</v>
      </c>
    </row>
    <row r="11" spans="1:37" x14ac:dyDescent="0.15">
      <c r="B11" s="12" t="s">
        <v>259</v>
      </c>
      <c r="C11" s="193">
        <f>'C-series'!T28</f>
        <v>-6.5</v>
      </c>
      <c r="D11" s="24" t="s">
        <v>230</v>
      </c>
      <c r="F11" s="194">
        <v>-27</v>
      </c>
      <c r="G11" s="559">
        <f>SäädataC!Z17</f>
        <v>0</v>
      </c>
      <c r="H11" s="194">
        <f t="shared" si="0"/>
        <v>21</v>
      </c>
      <c r="I11" s="195">
        <f t="shared" si="1"/>
        <v>-6.5</v>
      </c>
      <c r="J11" s="196">
        <f t="shared" si="2"/>
        <v>-6.5</v>
      </c>
      <c r="K11" s="196">
        <f t="shared" si="3"/>
        <v>-6.5</v>
      </c>
      <c r="L11" s="196">
        <f t="shared" si="4"/>
        <v>-19.944000000000003</v>
      </c>
      <c r="M11" s="182">
        <f t="shared" si="5"/>
        <v>21</v>
      </c>
      <c r="N11" s="196">
        <f t="shared" si="13"/>
        <v>0.5</v>
      </c>
      <c r="O11" s="197">
        <f t="shared" si="6"/>
        <v>13.944000000000003</v>
      </c>
      <c r="P11" s="32">
        <f t="shared" si="7"/>
        <v>1</v>
      </c>
      <c r="Q11" s="198">
        <f t="shared" si="8"/>
        <v>0.57291666666666663</v>
      </c>
      <c r="R11" s="199">
        <f t="shared" si="9"/>
        <v>0.57291666666666663</v>
      </c>
      <c r="S11" s="198">
        <f t="shared" si="10"/>
        <v>0.85299999999999998</v>
      </c>
      <c r="T11" s="200">
        <f t="shared" si="14"/>
        <v>0.85299999999999998</v>
      </c>
      <c r="U11" s="108">
        <f t="shared" si="15"/>
        <v>0</v>
      </c>
      <c r="V11" s="108">
        <f t="shared" si="16"/>
        <v>0</v>
      </c>
      <c r="W11" s="203">
        <f t="shared" si="17"/>
        <v>0</v>
      </c>
      <c r="Y11" s="5">
        <f t="shared" si="11"/>
        <v>0</v>
      </c>
      <c r="Z11" s="5">
        <f t="shared" si="12"/>
        <v>0</v>
      </c>
      <c r="AB11" t="s">
        <v>1277</v>
      </c>
      <c r="AG11">
        <v>21</v>
      </c>
    </row>
    <row r="12" spans="1:37" x14ac:dyDescent="0.15">
      <c r="B12" s="12" t="s">
        <v>260</v>
      </c>
      <c r="C12" s="193">
        <f>C42</f>
        <v>21</v>
      </c>
      <c r="D12" s="24" t="s">
        <v>230</v>
      </c>
      <c r="F12" s="194">
        <v>-26</v>
      </c>
      <c r="G12" s="559">
        <f>SäädataC!Z18</f>
        <v>0</v>
      </c>
      <c r="H12" s="194">
        <f t="shared" si="0"/>
        <v>21</v>
      </c>
      <c r="I12" s="195">
        <f t="shared" si="1"/>
        <v>-6.5</v>
      </c>
      <c r="J12" s="196">
        <f t="shared" si="2"/>
        <v>-6.5</v>
      </c>
      <c r="K12" s="196">
        <f t="shared" si="3"/>
        <v>-6.5</v>
      </c>
      <c r="L12" s="196">
        <f t="shared" si="4"/>
        <v>-19.091000000000001</v>
      </c>
      <c r="M12" s="182">
        <f t="shared" si="5"/>
        <v>21</v>
      </c>
      <c r="N12" s="196">
        <f t="shared" si="13"/>
        <v>1.5</v>
      </c>
      <c r="O12" s="197">
        <f t="shared" si="6"/>
        <v>14.091000000000001</v>
      </c>
      <c r="P12" s="32">
        <f t="shared" si="7"/>
        <v>1</v>
      </c>
      <c r="Q12" s="198">
        <f t="shared" si="8"/>
        <v>0.58510638297872342</v>
      </c>
      <c r="R12" s="199">
        <f t="shared" si="9"/>
        <v>0.58510638297872342</v>
      </c>
      <c r="S12" s="198">
        <f t="shared" si="10"/>
        <v>0.85299999999999998</v>
      </c>
      <c r="T12" s="200">
        <f t="shared" si="14"/>
        <v>0.85299999999999998</v>
      </c>
      <c r="U12" s="108">
        <f t="shared" si="15"/>
        <v>0</v>
      </c>
      <c r="V12" s="108">
        <f t="shared" si="16"/>
        <v>0</v>
      </c>
      <c r="W12" s="203">
        <f t="shared" si="17"/>
        <v>0</v>
      </c>
      <c r="Y12" s="5">
        <f t="shared" si="11"/>
        <v>0</v>
      </c>
      <c r="Z12" s="5">
        <f t="shared" si="12"/>
        <v>0</v>
      </c>
      <c r="AB12" t="s">
        <v>1286</v>
      </c>
      <c r="AG12" s="3">
        <f>N54</f>
        <v>17.913</v>
      </c>
    </row>
    <row r="13" spans="1:37" x14ac:dyDescent="0.15">
      <c r="A13" s="2" t="s">
        <v>1191</v>
      </c>
      <c r="B13" s="658" t="s">
        <v>986</v>
      </c>
      <c r="C13" s="659">
        <f>E13</f>
        <v>1</v>
      </c>
      <c r="D13" s="660"/>
      <c r="E13" s="661">
        <v>1</v>
      </c>
      <c r="F13" s="194">
        <v>-25</v>
      </c>
      <c r="G13" s="559">
        <f>SäädataC!Z19</f>
        <v>0</v>
      </c>
      <c r="H13" s="194">
        <f t="shared" si="0"/>
        <v>21</v>
      </c>
      <c r="I13" s="195">
        <f t="shared" si="1"/>
        <v>-6.5</v>
      </c>
      <c r="J13" s="196">
        <f t="shared" si="2"/>
        <v>-6.5</v>
      </c>
      <c r="K13" s="196">
        <f t="shared" si="3"/>
        <v>-6.5</v>
      </c>
      <c r="L13" s="196">
        <f t="shared" si="4"/>
        <v>-18.238</v>
      </c>
      <c r="M13" s="182">
        <f t="shared" si="5"/>
        <v>21</v>
      </c>
      <c r="N13" s="196">
        <f t="shared" si="13"/>
        <v>2.5</v>
      </c>
      <c r="O13" s="197">
        <f t="shared" si="6"/>
        <v>14.238</v>
      </c>
      <c r="P13" s="32">
        <f t="shared" si="7"/>
        <v>1</v>
      </c>
      <c r="Q13" s="198">
        <f t="shared" si="8"/>
        <v>0.59782608695652173</v>
      </c>
      <c r="R13" s="199">
        <f t="shared" si="9"/>
        <v>0.59782608695652173</v>
      </c>
      <c r="S13" s="198">
        <f t="shared" si="10"/>
        <v>0.85299999999999998</v>
      </c>
      <c r="T13" s="200">
        <f t="shared" si="14"/>
        <v>0.85299999999999998</v>
      </c>
      <c r="U13" s="108">
        <f t="shared" si="15"/>
        <v>0</v>
      </c>
      <c r="V13" s="108">
        <f t="shared" si="16"/>
        <v>0</v>
      </c>
      <c r="W13" s="203">
        <f t="shared" si="17"/>
        <v>0</v>
      </c>
      <c r="Y13" s="5">
        <f t="shared" si="11"/>
        <v>0</v>
      </c>
      <c r="Z13" s="5">
        <f t="shared" si="12"/>
        <v>0</v>
      </c>
    </row>
    <row r="14" spans="1:37" x14ac:dyDescent="0.15">
      <c r="A14" s="2" t="s">
        <v>1190</v>
      </c>
      <c r="B14" s="658" t="s">
        <v>261</v>
      </c>
      <c r="C14" s="659">
        <f ca="1">IF(E14&lt;=COUNTA(Kuntalistaus),E14,COUNTA(Kuntalistaus))</f>
        <v>1</v>
      </c>
      <c r="D14" s="660"/>
      <c r="E14" s="662">
        <v>1</v>
      </c>
      <c r="F14" s="194">
        <v>-24</v>
      </c>
      <c r="G14" s="559">
        <f>SäädataC!Z20</f>
        <v>1.1415525114155251E-4</v>
      </c>
      <c r="H14" s="194">
        <f t="shared" si="0"/>
        <v>21</v>
      </c>
      <c r="I14" s="195">
        <f t="shared" si="1"/>
        <v>-6.5</v>
      </c>
      <c r="J14" s="196">
        <f t="shared" si="2"/>
        <v>-6.5</v>
      </c>
      <c r="K14" s="196">
        <f t="shared" si="3"/>
        <v>-6.5000000000000036</v>
      </c>
      <c r="L14" s="196">
        <f t="shared" si="4"/>
        <v>-17.384999999999998</v>
      </c>
      <c r="M14" s="182">
        <f t="shared" si="5"/>
        <v>21</v>
      </c>
      <c r="N14" s="196">
        <f t="shared" si="13"/>
        <v>3.5000000000000036</v>
      </c>
      <c r="O14" s="197">
        <f t="shared" si="6"/>
        <v>14.384999999999998</v>
      </c>
      <c r="P14" s="32">
        <f t="shared" si="7"/>
        <v>1</v>
      </c>
      <c r="Q14" s="198">
        <f t="shared" si="8"/>
        <v>0.61111111111111116</v>
      </c>
      <c r="R14" s="199">
        <f t="shared" si="9"/>
        <v>0.61111111111111116</v>
      </c>
      <c r="S14" s="198">
        <f t="shared" si="10"/>
        <v>0.85299999999999998</v>
      </c>
      <c r="T14" s="200">
        <f t="shared" si="14"/>
        <v>0.85299999999999998</v>
      </c>
      <c r="U14" s="108">
        <f t="shared" si="15"/>
        <v>1.875</v>
      </c>
      <c r="V14" s="108">
        <f t="shared" si="16"/>
        <v>1.1458333333333335</v>
      </c>
      <c r="W14" s="203">
        <f t="shared" si="17"/>
        <v>1.1458333333333333</v>
      </c>
      <c r="Y14" s="5">
        <f t="shared" si="11"/>
        <v>24.445799999999998</v>
      </c>
      <c r="Z14" s="5">
        <f t="shared" si="12"/>
        <v>14.9391</v>
      </c>
      <c r="AB14" t="s">
        <v>1272</v>
      </c>
      <c r="AG14" s="110">
        <f>1.2*C6*(AG11-AG12)</f>
        <v>1666.9799999999998</v>
      </c>
      <c r="AH14" t="s">
        <v>49</v>
      </c>
    </row>
    <row r="15" spans="1:37" x14ac:dyDescent="0.15">
      <c r="B15" s="12" t="s">
        <v>262</v>
      </c>
      <c r="C15" s="939">
        <f>'C-series'!T17</f>
        <v>0</v>
      </c>
      <c r="D15" s="24" t="s">
        <v>13</v>
      </c>
      <c r="F15" s="194">
        <v>-23</v>
      </c>
      <c r="G15" s="559">
        <f>SäädataC!Z21</f>
        <v>3.4246575342465754E-4</v>
      </c>
      <c r="H15" s="194">
        <f t="shared" si="0"/>
        <v>21</v>
      </c>
      <c r="I15" s="195">
        <f t="shared" si="1"/>
        <v>-6.5</v>
      </c>
      <c r="J15" s="196">
        <f t="shared" si="2"/>
        <v>-6.5</v>
      </c>
      <c r="K15" s="196">
        <f t="shared" si="3"/>
        <v>-6.5</v>
      </c>
      <c r="L15" s="196">
        <f t="shared" si="4"/>
        <v>-16.531999999999996</v>
      </c>
      <c r="M15" s="182">
        <f t="shared" si="5"/>
        <v>21</v>
      </c>
      <c r="N15" s="196">
        <f t="shared" si="13"/>
        <v>4.5</v>
      </c>
      <c r="O15" s="197">
        <f t="shared" si="6"/>
        <v>14.531999999999996</v>
      </c>
      <c r="P15" s="32">
        <f t="shared" si="7"/>
        <v>1</v>
      </c>
      <c r="Q15" s="198">
        <f t="shared" si="8"/>
        <v>0.625</v>
      </c>
      <c r="R15" s="199">
        <f t="shared" si="9"/>
        <v>0.625</v>
      </c>
      <c r="S15" s="198">
        <f t="shared" si="10"/>
        <v>0.85299999999999998</v>
      </c>
      <c r="T15" s="200">
        <f t="shared" si="14"/>
        <v>0.85299999999999998</v>
      </c>
      <c r="U15" s="108">
        <f t="shared" si="15"/>
        <v>3.6666666666666674</v>
      </c>
      <c r="V15" s="108">
        <f t="shared" si="16"/>
        <v>2.291666666666667</v>
      </c>
      <c r="W15" s="203">
        <f t="shared" si="17"/>
        <v>2.291666666666667</v>
      </c>
      <c r="Y15" s="5">
        <f t="shared" si="11"/>
        <v>47.805120000000009</v>
      </c>
      <c r="Z15" s="5">
        <f t="shared" si="12"/>
        <v>29.878200000000003</v>
      </c>
      <c r="AF15" t="s">
        <v>1276</v>
      </c>
      <c r="AG15" s="110">
        <f>IFERROR(IF(AG14&lt;=0,"-",AG14),"-")</f>
        <v>1666.9799999999998</v>
      </c>
      <c r="AH15" t="s">
        <v>49</v>
      </c>
    </row>
    <row r="16" spans="1:37" x14ac:dyDescent="0.15">
      <c r="B16" s="12" t="s">
        <v>263</v>
      </c>
      <c r="C16" s="939">
        <f>'C-series'!T18</f>
        <v>0</v>
      </c>
      <c r="D16" s="24" t="s">
        <v>264</v>
      </c>
      <c r="F16" s="194">
        <v>-22</v>
      </c>
      <c r="G16" s="559">
        <f>SäädataC!Z22</f>
        <v>5.7077625570776253E-4</v>
      </c>
      <c r="H16" s="194">
        <f t="shared" si="0"/>
        <v>21</v>
      </c>
      <c r="I16" s="195">
        <f t="shared" si="1"/>
        <v>-6.5</v>
      </c>
      <c r="J16" s="196">
        <f t="shared" si="2"/>
        <v>-6.5</v>
      </c>
      <c r="K16" s="196">
        <f t="shared" si="3"/>
        <v>-6.5</v>
      </c>
      <c r="L16" s="196">
        <f t="shared" si="4"/>
        <v>-15.679000000000002</v>
      </c>
      <c r="M16" s="182">
        <f t="shared" si="5"/>
        <v>21</v>
      </c>
      <c r="N16" s="196">
        <f t="shared" si="13"/>
        <v>5.5</v>
      </c>
      <c r="O16" s="197">
        <f t="shared" si="6"/>
        <v>14.679000000000002</v>
      </c>
      <c r="P16" s="32">
        <f t="shared" si="7"/>
        <v>1</v>
      </c>
      <c r="Q16" s="198">
        <f t="shared" si="8"/>
        <v>0.63953488372093026</v>
      </c>
      <c r="R16" s="199">
        <f t="shared" si="9"/>
        <v>0.63953488372093026</v>
      </c>
      <c r="S16" s="198">
        <f t="shared" si="10"/>
        <v>0.85299999999999998</v>
      </c>
      <c r="T16" s="200">
        <f t="shared" si="14"/>
        <v>0.85299999999999998</v>
      </c>
      <c r="U16" s="108">
        <f t="shared" si="15"/>
        <v>3.5833333333333326</v>
      </c>
      <c r="V16" s="108">
        <f t="shared" si="16"/>
        <v>2.2916666666666661</v>
      </c>
      <c r="W16" s="203">
        <f t="shared" si="17"/>
        <v>2.2916666666666661</v>
      </c>
      <c r="Y16" s="5">
        <f t="shared" si="11"/>
        <v>46.718639999999994</v>
      </c>
      <c r="Z16" s="5">
        <f t="shared" si="12"/>
        <v>29.878199999999996</v>
      </c>
    </row>
    <row r="17" spans="1:26" x14ac:dyDescent="0.15">
      <c r="B17" s="12" t="s">
        <v>265</v>
      </c>
      <c r="C17" s="4">
        <f>(24*C7+C16*C15)/24</f>
        <v>450</v>
      </c>
      <c r="D17" s="24" t="s">
        <v>13</v>
      </c>
      <c r="F17" s="194">
        <v>-21</v>
      </c>
      <c r="G17" s="559">
        <f>SäädataC!Z23</f>
        <v>1.1415525114155251E-3</v>
      </c>
      <c r="H17" s="194">
        <f t="shared" si="0"/>
        <v>21</v>
      </c>
      <c r="I17" s="195">
        <f t="shared" si="1"/>
        <v>-6.5</v>
      </c>
      <c r="J17" s="196">
        <f t="shared" si="2"/>
        <v>-6.5</v>
      </c>
      <c r="K17" s="196">
        <f t="shared" si="3"/>
        <v>-6.5</v>
      </c>
      <c r="L17" s="196">
        <f t="shared" si="4"/>
        <v>-14.826000000000001</v>
      </c>
      <c r="M17" s="182">
        <f t="shared" si="5"/>
        <v>21</v>
      </c>
      <c r="N17" s="196">
        <f t="shared" si="13"/>
        <v>6.5</v>
      </c>
      <c r="O17" s="197">
        <f t="shared" si="6"/>
        <v>14.826000000000001</v>
      </c>
      <c r="P17" s="32">
        <f t="shared" si="7"/>
        <v>1</v>
      </c>
      <c r="Q17" s="198">
        <f t="shared" si="8"/>
        <v>0.65476190476190477</v>
      </c>
      <c r="R17" s="199">
        <f t="shared" si="9"/>
        <v>0.65476190476190477</v>
      </c>
      <c r="S17" s="198">
        <f t="shared" si="10"/>
        <v>0.85299999999999998</v>
      </c>
      <c r="T17" s="200">
        <f t="shared" si="14"/>
        <v>0.85299999999999998</v>
      </c>
      <c r="U17" s="108">
        <f t="shared" si="15"/>
        <v>8.75</v>
      </c>
      <c r="V17" s="108">
        <f t="shared" si="16"/>
        <v>5.7291666666666661</v>
      </c>
      <c r="W17" s="203">
        <f t="shared" si="17"/>
        <v>5.7291666666666661</v>
      </c>
      <c r="Y17" s="5">
        <f t="shared" si="11"/>
        <v>114.0804</v>
      </c>
      <c r="Z17" s="5">
        <f t="shared" si="12"/>
        <v>74.695499999999996</v>
      </c>
    </row>
    <row r="18" spans="1:26" ht="17" x14ac:dyDescent="0.25">
      <c r="B18" s="14" t="s">
        <v>266</v>
      </c>
      <c r="C18" s="207">
        <f>'C-series'!T20</f>
        <v>1</v>
      </c>
      <c r="D18" s="26"/>
      <c r="F18" s="194">
        <v>-20</v>
      </c>
      <c r="G18" s="559">
        <f>SäädataC!Z24</f>
        <v>2.8538812785388126E-3</v>
      </c>
      <c r="H18" s="194">
        <f>$C$12</f>
        <v>21</v>
      </c>
      <c r="I18" s="195">
        <f>MAX(J18:K18)</f>
        <v>-6.5</v>
      </c>
      <c r="J18" s="196">
        <f t="shared" si="2"/>
        <v>-6.5</v>
      </c>
      <c r="K18" s="196">
        <f>M18-P18*Q18*(M18-F18)</f>
        <v>-6.5</v>
      </c>
      <c r="L18" s="196">
        <f>M18-T18*(M18-F18)</f>
        <v>-13.972999999999999</v>
      </c>
      <c r="M18" s="182">
        <f t="shared" si="5"/>
        <v>21</v>
      </c>
      <c r="N18" s="196">
        <f t="shared" si="13"/>
        <v>7.5</v>
      </c>
      <c r="O18" s="197">
        <f t="shared" si="6"/>
        <v>14.972999999999999</v>
      </c>
      <c r="P18" s="32">
        <f t="shared" si="7"/>
        <v>1</v>
      </c>
      <c r="Q18" s="198">
        <f t="shared" si="8"/>
        <v>0.67073170731707321</v>
      </c>
      <c r="R18" s="199">
        <f t="shared" si="9"/>
        <v>0.67073170731707321</v>
      </c>
      <c r="S18" s="198">
        <f t="shared" si="10"/>
        <v>0.85299999999999998</v>
      </c>
      <c r="T18" s="200">
        <f>S18*$C$8</f>
        <v>0.85299999999999998</v>
      </c>
      <c r="U18" s="108">
        <f t="shared" si="15"/>
        <v>25.625</v>
      </c>
      <c r="V18" s="108">
        <f>(G18-G17)*(N18-F18)*365</f>
        <v>17.187499999999996</v>
      </c>
      <c r="W18" s="203">
        <f>(G18-G17)*(M18-I18)*365</f>
        <v>17.187499999999996</v>
      </c>
      <c r="Y18" s="5">
        <f>$C$7/1000*1.2*1006*(M18-F18)*8760*(G18-G17)/1000</f>
        <v>334.0926</v>
      </c>
      <c r="Z18" s="5">
        <f t="shared" si="12"/>
        <v>224.08649999999997</v>
      </c>
    </row>
    <row r="19" spans="1:26" x14ac:dyDescent="0.15">
      <c r="A19" s="560" t="s">
        <v>987</v>
      </c>
      <c r="B19" s="10" t="s">
        <v>267</v>
      </c>
      <c r="C19" s="208">
        <f ca="1">IF(C14=1,-26,IF(C14=2,-29,IF(C14=3,-32,-38)))</f>
        <v>-26</v>
      </c>
      <c r="D19" s="21" t="s">
        <v>230</v>
      </c>
      <c r="F19" s="194">
        <v>-19</v>
      </c>
      <c r="G19" s="559">
        <f>SäädataC!Z25</f>
        <v>5.3652968036529683E-3</v>
      </c>
      <c r="H19" s="194">
        <f t="shared" ref="H19:H50" si="18">$H$17</f>
        <v>21</v>
      </c>
      <c r="I19" s="195">
        <f>MAX(J19:K19)</f>
        <v>-6.5</v>
      </c>
      <c r="J19" s="196">
        <f t="shared" si="2"/>
        <v>-6.5</v>
      </c>
      <c r="K19" s="196">
        <f t="shared" ref="K19:K50" si="19">M19-P19*Q19*(M19-F19)</f>
        <v>-6.5</v>
      </c>
      <c r="L19" s="196">
        <f t="shared" ref="L19:L50" si="20">M19-T19*(M19-F19)</f>
        <v>-13.119999999999997</v>
      </c>
      <c r="M19" s="182">
        <f t="shared" si="5"/>
        <v>21</v>
      </c>
      <c r="N19" s="196">
        <f t="shared" si="13"/>
        <v>8.5</v>
      </c>
      <c r="O19" s="197">
        <f t="shared" si="6"/>
        <v>15.119999999999997</v>
      </c>
      <c r="P19" s="32">
        <f t="shared" si="7"/>
        <v>1</v>
      </c>
      <c r="Q19" s="198">
        <f t="shared" si="8"/>
        <v>0.6875</v>
      </c>
      <c r="R19" s="199">
        <f t="shared" si="9"/>
        <v>0.6875</v>
      </c>
      <c r="S19" s="198">
        <f t="shared" si="10"/>
        <v>0.85299999999999998</v>
      </c>
      <c r="T19" s="200">
        <f t="shared" si="14"/>
        <v>0.85299999999999998</v>
      </c>
      <c r="U19" s="108">
        <f t="shared" si="15"/>
        <v>36.666666666666671</v>
      </c>
      <c r="V19" s="108">
        <f t="shared" si="16"/>
        <v>25.208333333333339</v>
      </c>
      <c r="W19" s="203">
        <f t="shared" si="17"/>
        <v>25.208333333333339</v>
      </c>
      <c r="Y19" s="5">
        <f t="shared" si="11"/>
        <v>478.05120000000005</v>
      </c>
      <c r="Z19" s="5">
        <f t="shared" si="12"/>
        <v>328.66020000000003</v>
      </c>
    </row>
    <row r="20" spans="1:26" x14ac:dyDescent="0.15">
      <c r="B20" s="14" t="s">
        <v>268</v>
      </c>
      <c r="C20" s="209">
        <f ca="1">N3</f>
        <v>1.5</v>
      </c>
      <c r="D20" s="26" t="s">
        <v>230</v>
      </c>
      <c r="F20" s="194">
        <v>-18</v>
      </c>
      <c r="G20" s="559">
        <f>SäädataC!Z26</f>
        <v>7.0776255707762558E-3</v>
      </c>
      <c r="H20" s="194">
        <f t="shared" si="18"/>
        <v>21</v>
      </c>
      <c r="I20" s="195">
        <f t="shared" ref="I20:I50" si="21">MAX(J20:K20)</f>
        <v>-6.5</v>
      </c>
      <c r="J20" s="196">
        <f t="shared" si="2"/>
        <v>-6.5</v>
      </c>
      <c r="K20" s="196">
        <f t="shared" si="19"/>
        <v>-6.5000000000000036</v>
      </c>
      <c r="L20" s="196">
        <f t="shared" si="20"/>
        <v>-12.266999999999996</v>
      </c>
      <c r="M20" s="182">
        <f t="shared" si="5"/>
        <v>21</v>
      </c>
      <c r="N20" s="196">
        <f t="shared" si="13"/>
        <v>9.5000000000000036</v>
      </c>
      <c r="O20" s="197">
        <f t="shared" si="6"/>
        <v>15.266999999999996</v>
      </c>
      <c r="P20" s="32">
        <f t="shared" si="7"/>
        <v>1</v>
      </c>
      <c r="Q20" s="198">
        <f t="shared" si="8"/>
        <v>0.70512820512820518</v>
      </c>
      <c r="R20" s="199">
        <f t="shared" si="9"/>
        <v>0.70512820512820518</v>
      </c>
      <c r="S20" s="198">
        <f t="shared" si="10"/>
        <v>0.85299999999999998</v>
      </c>
      <c r="T20" s="200">
        <f t="shared" si="14"/>
        <v>0.85299999999999998</v>
      </c>
      <c r="U20" s="108">
        <f t="shared" si="15"/>
        <v>24.374999999999996</v>
      </c>
      <c r="V20" s="108">
        <f t="shared" si="16"/>
        <v>17.1875</v>
      </c>
      <c r="W20" s="203">
        <f t="shared" si="17"/>
        <v>17.187499999999996</v>
      </c>
      <c r="Y20" s="5">
        <f t="shared" si="11"/>
        <v>317.79539999999997</v>
      </c>
      <c r="Z20" s="5">
        <f t="shared" si="12"/>
        <v>224.08649999999997</v>
      </c>
    </row>
    <row r="21" spans="1:26" x14ac:dyDescent="0.15">
      <c r="F21" s="194">
        <v>-17</v>
      </c>
      <c r="G21" s="559">
        <f>SäädataC!Z27</f>
        <v>9.2465753424657536E-3</v>
      </c>
      <c r="H21" s="194">
        <f t="shared" si="18"/>
        <v>21</v>
      </c>
      <c r="I21" s="195">
        <f t="shared" si="21"/>
        <v>-6.5</v>
      </c>
      <c r="J21" s="196">
        <f t="shared" si="2"/>
        <v>-6.5</v>
      </c>
      <c r="K21" s="196">
        <f t="shared" si="19"/>
        <v>-6.5</v>
      </c>
      <c r="L21" s="196">
        <f t="shared" si="20"/>
        <v>-11.414000000000001</v>
      </c>
      <c r="M21" s="182">
        <f t="shared" si="5"/>
        <v>21</v>
      </c>
      <c r="N21" s="196">
        <f t="shared" si="13"/>
        <v>10.5</v>
      </c>
      <c r="O21" s="197">
        <f t="shared" si="6"/>
        <v>15.414000000000001</v>
      </c>
      <c r="P21" s="32">
        <f t="shared" si="7"/>
        <v>1</v>
      </c>
      <c r="Q21" s="198">
        <f>MIN(R21/P21,(H21-F21)/(M21-F21))</f>
        <v>0.72368421052631582</v>
      </c>
      <c r="R21" s="199">
        <f>(M21-J21)/(M21-F21)</f>
        <v>0.72368421052631582</v>
      </c>
      <c r="S21" s="198">
        <f t="shared" si="10"/>
        <v>0.85299999999999998</v>
      </c>
      <c r="T21" s="200">
        <f t="shared" si="14"/>
        <v>0.85299999999999998</v>
      </c>
      <c r="U21" s="108">
        <f>(G21-G20)*(M21-F21)*365</f>
        <v>30.083333333333336</v>
      </c>
      <c r="V21" s="108">
        <f t="shared" si="16"/>
        <v>21.770833333333332</v>
      </c>
      <c r="W21" s="203">
        <f t="shared" si="17"/>
        <v>21.770833333333332</v>
      </c>
      <c r="Y21" s="5">
        <f t="shared" si="11"/>
        <v>392.21927999999997</v>
      </c>
      <c r="Z21" s="5">
        <f t="shared" si="12"/>
        <v>283.84290000000004</v>
      </c>
    </row>
    <row r="22" spans="1:26" x14ac:dyDescent="0.15">
      <c r="F22" s="194">
        <v>-16</v>
      </c>
      <c r="G22" s="559">
        <f>SäädataC!Z28</f>
        <v>1.1872146118721462E-2</v>
      </c>
      <c r="H22" s="194">
        <f t="shared" si="18"/>
        <v>21</v>
      </c>
      <c r="I22" s="195">
        <f t="shared" si="21"/>
        <v>-6.5</v>
      </c>
      <c r="J22" s="196">
        <f t="shared" si="2"/>
        <v>-6.5</v>
      </c>
      <c r="K22" s="196">
        <f t="shared" si="19"/>
        <v>-6.5</v>
      </c>
      <c r="L22" s="196">
        <f t="shared" si="20"/>
        <v>-10.561</v>
      </c>
      <c r="M22" s="182">
        <f t="shared" si="5"/>
        <v>21</v>
      </c>
      <c r="N22" s="196">
        <f t="shared" si="13"/>
        <v>11.5</v>
      </c>
      <c r="O22" s="197">
        <f t="shared" si="6"/>
        <v>15.561</v>
      </c>
      <c r="P22" s="4">
        <f t="shared" si="7"/>
        <v>1</v>
      </c>
      <c r="Q22" s="198">
        <f t="shared" ref="Q22:Q30" si="22">MIN(R22/P22,(H22-F22)/(M22-F22))</f>
        <v>0.7432432432432432</v>
      </c>
      <c r="R22" s="199">
        <f t="shared" ref="R22:R49" si="23">(M22-J22)/(M22-F22)</f>
        <v>0.7432432432432432</v>
      </c>
      <c r="S22" s="198">
        <f t="shared" si="10"/>
        <v>0.85299999999999998</v>
      </c>
      <c r="T22" s="200">
        <f t="shared" si="14"/>
        <v>0.85299999999999998</v>
      </c>
      <c r="U22" s="108">
        <f t="shared" ref="U22:U50" si="24">(G22-G21)*(M22-F22)*365</f>
        <v>35.458333333333336</v>
      </c>
      <c r="V22" s="108">
        <f>(G22-G21)*(N22-F22)*365</f>
        <v>26.354166666666668</v>
      </c>
      <c r="W22" s="203">
        <f>(G22-G21)*(M22-I22)*365</f>
        <v>26.354166666666668</v>
      </c>
      <c r="Y22" s="5">
        <f t="shared" si="11"/>
        <v>462.29724000000004</v>
      </c>
      <c r="Z22" s="5">
        <f t="shared" si="12"/>
        <v>343.59930000000003</v>
      </c>
    </row>
    <row r="23" spans="1:26" ht="14" thickBot="1" x14ac:dyDescent="0.2">
      <c r="F23" s="194">
        <v>-15</v>
      </c>
      <c r="G23" s="559">
        <f>SäädataC!Z29</f>
        <v>1.632420091324201E-2</v>
      </c>
      <c r="H23" s="194">
        <f t="shared" si="18"/>
        <v>21</v>
      </c>
      <c r="I23" s="195">
        <f t="shared" si="21"/>
        <v>-6.5</v>
      </c>
      <c r="J23" s="196">
        <f t="shared" si="2"/>
        <v>-6.5</v>
      </c>
      <c r="K23" s="196">
        <f t="shared" si="19"/>
        <v>-6.5</v>
      </c>
      <c r="L23" s="196">
        <f t="shared" si="20"/>
        <v>-9.7079999999999984</v>
      </c>
      <c r="M23" s="182">
        <f t="shared" si="5"/>
        <v>21</v>
      </c>
      <c r="N23" s="196">
        <f t="shared" si="13"/>
        <v>12.5</v>
      </c>
      <c r="O23" s="197">
        <f t="shared" si="6"/>
        <v>15.707999999999998</v>
      </c>
      <c r="P23" s="4">
        <f t="shared" si="7"/>
        <v>1</v>
      </c>
      <c r="Q23" s="198">
        <f t="shared" si="22"/>
        <v>0.76388888888888884</v>
      </c>
      <c r="R23" s="199">
        <f t="shared" si="23"/>
        <v>0.76388888888888884</v>
      </c>
      <c r="S23" s="198">
        <f t="shared" si="10"/>
        <v>0.85299999999999998</v>
      </c>
      <c r="T23" s="200">
        <f t="shared" si="14"/>
        <v>0.85299999999999998</v>
      </c>
      <c r="U23" s="108">
        <f t="shared" si="24"/>
        <v>58.500000000000014</v>
      </c>
      <c r="V23" s="108">
        <f t="shared" si="16"/>
        <v>44.687500000000007</v>
      </c>
      <c r="W23" s="203">
        <f t="shared" si="17"/>
        <v>44.687500000000007</v>
      </c>
      <c r="Y23" s="5">
        <f t="shared" si="11"/>
        <v>762.70896000000016</v>
      </c>
      <c r="Z23" s="5">
        <f t="shared" si="12"/>
        <v>582.62490000000014</v>
      </c>
    </row>
    <row r="24" spans="1:26" ht="14" thickBot="1" x14ac:dyDescent="0.2">
      <c r="B24" s="210" t="s">
        <v>269</v>
      </c>
      <c r="C24" s="211"/>
      <c r="D24" s="212">
        <f>IFERROR(MIN(V4*C18/U4,1),"-")</f>
        <v>0.84473101983240717</v>
      </c>
      <c r="F24" s="194">
        <v>-14</v>
      </c>
      <c r="G24" s="559">
        <f>SäädataC!Z30</f>
        <v>2.1917808219178082E-2</v>
      </c>
      <c r="H24" s="194">
        <f t="shared" si="18"/>
        <v>21</v>
      </c>
      <c r="I24" s="195">
        <f t="shared" si="21"/>
        <v>-6.5</v>
      </c>
      <c r="J24" s="196">
        <f t="shared" si="2"/>
        <v>-6.5</v>
      </c>
      <c r="K24" s="196">
        <f t="shared" si="19"/>
        <v>-6.5</v>
      </c>
      <c r="L24" s="196">
        <f t="shared" si="20"/>
        <v>-8.8550000000000004</v>
      </c>
      <c r="M24" s="182">
        <f t="shared" si="5"/>
        <v>21</v>
      </c>
      <c r="N24" s="196">
        <f t="shared" si="13"/>
        <v>13.5</v>
      </c>
      <c r="O24" s="197">
        <f t="shared" si="6"/>
        <v>15.855</v>
      </c>
      <c r="P24" s="4">
        <f t="shared" si="7"/>
        <v>1</v>
      </c>
      <c r="Q24" s="198">
        <f t="shared" si="22"/>
        <v>0.7857142857142857</v>
      </c>
      <c r="R24" s="199">
        <f t="shared" si="23"/>
        <v>0.7857142857142857</v>
      </c>
      <c r="S24" s="198">
        <f t="shared" si="10"/>
        <v>0.85299999999999998</v>
      </c>
      <c r="T24" s="200">
        <f t="shared" si="14"/>
        <v>0.85299999999999998</v>
      </c>
      <c r="U24" s="108">
        <f>(G24-G23)*(M24-F24)*365</f>
        <v>71.458333333333329</v>
      </c>
      <c r="V24" s="108">
        <f t="shared" si="16"/>
        <v>56.145833333333321</v>
      </c>
      <c r="W24" s="203">
        <f t="shared" si="17"/>
        <v>56.145833333333321</v>
      </c>
      <c r="Y24" s="5">
        <f t="shared" si="11"/>
        <v>931.65659999999991</v>
      </c>
      <c r="Z24" s="5">
        <f t="shared" si="12"/>
        <v>732.01589999999987</v>
      </c>
    </row>
    <row r="25" spans="1:26" x14ac:dyDescent="0.15">
      <c r="F25" s="194">
        <v>-13</v>
      </c>
      <c r="G25" s="559">
        <f>SäädataC!Z31</f>
        <v>2.8652968036529679E-2</v>
      </c>
      <c r="H25" s="194">
        <f t="shared" si="18"/>
        <v>21</v>
      </c>
      <c r="I25" s="195">
        <f t="shared" si="21"/>
        <v>-6.5</v>
      </c>
      <c r="J25" s="196">
        <f t="shared" si="2"/>
        <v>-6.5</v>
      </c>
      <c r="K25" s="196">
        <f t="shared" si="19"/>
        <v>-6.5</v>
      </c>
      <c r="L25" s="196">
        <f t="shared" si="20"/>
        <v>-8.0019999999999989</v>
      </c>
      <c r="M25" s="182">
        <f t="shared" si="5"/>
        <v>21</v>
      </c>
      <c r="N25" s="196">
        <f t="shared" si="13"/>
        <v>14.5</v>
      </c>
      <c r="O25" s="197">
        <f t="shared" si="6"/>
        <v>16.001999999999999</v>
      </c>
      <c r="P25" s="4">
        <f t="shared" si="7"/>
        <v>1</v>
      </c>
      <c r="Q25" s="198">
        <f t="shared" si="22"/>
        <v>0.80882352941176472</v>
      </c>
      <c r="R25" s="199">
        <f t="shared" si="23"/>
        <v>0.80882352941176472</v>
      </c>
      <c r="S25" s="198">
        <f t="shared" si="10"/>
        <v>0.85299999999999998</v>
      </c>
      <c r="T25" s="200">
        <f t="shared" si="14"/>
        <v>0.85299999999999998</v>
      </c>
      <c r="U25" s="108">
        <f t="shared" si="24"/>
        <v>83.583333333333314</v>
      </c>
      <c r="V25" s="108">
        <f t="shared" si="16"/>
        <v>67.604166666666657</v>
      </c>
      <c r="W25" s="203">
        <f t="shared" si="17"/>
        <v>67.604166666666657</v>
      </c>
      <c r="Y25" s="5">
        <f t="shared" si="11"/>
        <v>1089.7394399999996</v>
      </c>
      <c r="Z25" s="5">
        <f t="shared" si="12"/>
        <v>881.40689999999984</v>
      </c>
    </row>
    <row r="26" spans="1:26" x14ac:dyDescent="0.15">
      <c r="F26" s="194">
        <v>-12</v>
      </c>
      <c r="G26" s="559">
        <f>SäädataC!Z32</f>
        <v>3.4589041095890408E-2</v>
      </c>
      <c r="H26" s="194">
        <f t="shared" si="18"/>
        <v>21</v>
      </c>
      <c r="I26" s="195">
        <f t="shared" si="21"/>
        <v>-6.5</v>
      </c>
      <c r="J26" s="196">
        <f t="shared" si="2"/>
        <v>-6.5</v>
      </c>
      <c r="K26" s="196">
        <f t="shared" si="19"/>
        <v>-6.5</v>
      </c>
      <c r="L26" s="196">
        <f t="shared" si="20"/>
        <v>-7.1490000000000009</v>
      </c>
      <c r="M26" s="182">
        <f t="shared" si="5"/>
        <v>21</v>
      </c>
      <c r="N26" s="196">
        <f t="shared" si="13"/>
        <v>15.5</v>
      </c>
      <c r="O26" s="197">
        <f t="shared" si="6"/>
        <v>16.149000000000001</v>
      </c>
      <c r="P26" s="4">
        <f t="shared" si="7"/>
        <v>1</v>
      </c>
      <c r="Q26" s="198">
        <f t="shared" si="22"/>
        <v>0.83333333333333337</v>
      </c>
      <c r="R26" s="199">
        <f t="shared" si="23"/>
        <v>0.83333333333333337</v>
      </c>
      <c r="S26" s="198">
        <f t="shared" si="10"/>
        <v>0.85299999999999998</v>
      </c>
      <c r="T26" s="200">
        <f t="shared" si="14"/>
        <v>0.85299999999999998</v>
      </c>
      <c r="U26" s="108">
        <f t="shared" si="24"/>
        <v>71.499999999999972</v>
      </c>
      <c r="V26" s="108">
        <f t="shared" si="16"/>
        <v>59.583333333333307</v>
      </c>
      <c r="W26" s="203">
        <f t="shared" si="17"/>
        <v>59.583333333333307</v>
      </c>
      <c r="Y26" s="5">
        <f t="shared" si="11"/>
        <v>932.19983999999977</v>
      </c>
      <c r="Z26" s="5">
        <f t="shared" si="12"/>
        <v>776.83319999999969</v>
      </c>
    </row>
    <row r="27" spans="1:26" x14ac:dyDescent="0.15">
      <c r="F27" s="194">
        <v>-11</v>
      </c>
      <c r="G27" s="559">
        <f>SäädataC!Z33</f>
        <v>4.0639269406392696E-2</v>
      </c>
      <c r="H27" s="194">
        <f t="shared" si="18"/>
        <v>21</v>
      </c>
      <c r="I27" s="195">
        <f t="shared" si="21"/>
        <v>-6.2959999999999994</v>
      </c>
      <c r="J27" s="196">
        <f t="shared" si="2"/>
        <v>-6.2959999999999994</v>
      </c>
      <c r="K27" s="196">
        <f t="shared" si="19"/>
        <v>-6.2959999999999994</v>
      </c>
      <c r="L27" s="196">
        <f t="shared" si="20"/>
        <v>-6.2959999999999994</v>
      </c>
      <c r="M27" s="182">
        <f t="shared" si="5"/>
        <v>21</v>
      </c>
      <c r="N27" s="196">
        <f t="shared" si="13"/>
        <v>16.295999999999999</v>
      </c>
      <c r="O27" s="197">
        <f t="shared" si="6"/>
        <v>16.295999999999999</v>
      </c>
      <c r="P27" s="4">
        <f t="shared" si="7"/>
        <v>1</v>
      </c>
      <c r="Q27" s="198">
        <f t="shared" si="22"/>
        <v>0.85299999999999998</v>
      </c>
      <c r="R27" s="199">
        <f t="shared" si="23"/>
        <v>0.85299999999999998</v>
      </c>
      <c r="S27" s="198">
        <f t="shared" si="10"/>
        <v>0.85299999999999998</v>
      </c>
      <c r="T27" s="200">
        <f t="shared" si="14"/>
        <v>0.85299999999999998</v>
      </c>
      <c r="U27" s="108">
        <f t="shared" si="24"/>
        <v>70.666666666666728</v>
      </c>
      <c r="V27" s="108">
        <f t="shared" si="16"/>
        <v>60.278666666666723</v>
      </c>
      <c r="W27" s="203">
        <f t="shared" si="17"/>
        <v>60.278666666666723</v>
      </c>
      <c r="Y27" s="5">
        <f t="shared" si="11"/>
        <v>921.33504000000084</v>
      </c>
      <c r="Z27" s="5">
        <f t="shared" si="12"/>
        <v>785.89878912000074</v>
      </c>
    </row>
    <row r="28" spans="1:26" x14ac:dyDescent="0.15">
      <c r="F28" s="194">
        <v>-10</v>
      </c>
      <c r="G28" s="559">
        <f>SäädataC!Z34</f>
        <v>4.6575342465753428E-2</v>
      </c>
      <c r="H28" s="194">
        <f t="shared" si="18"/>
        <v>21</v>
      </c>
      <c r="I28" s="195">
        <f t="shared" si="21"/>
        <v>-5.4429999999999978</v>
      </c>
      <c r="J28" s="196">
        <f t="shared" si="2"/>
        <v>-5.4429999999999978</v>
      </c>
      <c r="K28" s="196">
        <f t="shared" si="19"/>
        <v>-5.4429999999999978</v>
      </c>
      <c r="L28" s="196">
        <f t="shared" si="20"/>
        <v>-5.4429999999999978</v>
      </c>
      <c r="M28" s="182">
        <f t="shared" si="5"/>
        <v>21</v>
      </c>
      <c r="N28" s="196">
        <f t="shared" si="13"/>
        <v>16.442999999999998</v>
      </c>
      <c r="O28" s="197">
        <f t="shared" si="6"/>
        <v>16.442999999999998</v>
      </c>
      <c r="P28" s="4">
        <f t="shared" si="7"/>
        <v>1</v>
      </c>
      <c r="Q28" s="198">
        <f t="shared" si="22"/>
        <v>0.85299999999999998</v>
      </c>
      <c r="R28" s="199">
        <f t="shared" si="23"/>
        <v>0.85299999999999998</v>
      </c>
      <c r="S28" s="198">
        <f t="shared" si="10"/>
        <v>0.85299999999999998</v>
      </c>
      <c r="T28" s="200">
        <f t="shared" si="14"/>
        <v>0.85299999999999998</v>
      </c>
      <c r="U28" s="108">
        <f t="shared" si="24"/>
        <v>67.166666666666686</v>
      </c>
      <c r="V28" s="108">
        <f t="shared" si="16"/>
        <v>57.293166666666679</v>
      </c>
      <c r="W28" s="203">
        <f t="shared" si="17"/>
        <v>57.293166666666679</v>
      </c>
      <c r="Y28" s="5">
        <f t="shared" si="11"/>
        <v>875.70288000000005</v>
      </c>
      <c r="Z28" s="5">
        <f t="shared" si="12"/>
        <v>746.97455664000017</v>
      </c>
    </row>
    <row r="29" spans="1:26" x14ac:dyDescent="0.15">
      <c r="F29" s="194">
        <v>-9</v>
      </c>
      <c r="G29" s="559">
        <f>SäädataC!Z35</f>
        <v>5.4680365296803653E-2</v>
      </c>
      <c r="H29" s="194">
        <f t="shared" si="18"/>
        <v>21</v>
      </c>
      <c r="I29" s="195">
        <f t="shared" si="21"/>
        <v>-4.59</v>
      </c>
      <c r="J29" s="196">
        <f t="shared" si="2"/>
        <v>-4.59</v>
      </c>
      <c r="K29" s="196">
        <f t="shared" si="19"/>
        <v>-4.59</v>
      </c>
      <c r="L29" s="196">
        <f t="shared" si="20"/>
        <v>-4.59</v>
      </c>
      <c r="M29" s="182">
        <f t="shared" si="5"/>
        <v>21</v>
      </c>
      <c r="N29" s="196">
        <f>MIN(F29+R29/P29*(M29-F29),H29)</f>
        <v>16.59</v>
      </c>
      <c r="O29" s="197">
        <f>F29+S29/P29*(M29-F29)</f>
        <v>16.59</v>
      </c>
      <c r="P29" s="4">
        <f t="shared" si="7"/>
        <v>1</v>
      </c>
      <c r="Q29" s="198">
        <f t="shared" si="22"/>
        <v>0.85299999999999998</v>
      </c>
      <c r="R29" s="199">
        <f t="shared" si="23"/>
        <v>0.85299999999999998</v>
      </c>
      <c r="S29" s="198">
        <f t="shared" si="10"/>
        <v>0.85299999999999998</v>
      </c>
      <c r="T29" s="200">
        <f t="shared" si="14"/>
        <v>0.85299999999999998</v>
      </c>
      <c r="U29" s="108">
        <f t="shared" si="24"/>
        <v>88.749999999999972</v>
      </c>
      <c r="V29" s="108">
        <f t="shared" si="16"/>
        <v>75.703749999999971</v>
      </c>
      <c r="W29" s="203">
        <f t="shared" si="17"/>
        <v>75.703749999999971</v>
      </c>
      <c r="Y29" s="5">
        <f t="shared" si="11"/>
        <v>1157.1011999999994</v>
      </c>
      <c r="Z29" s="5">
        <f t="shared" si="12"/>
        <v>987.00732359999949</v>
      </c>
    </row>
    <row r="30" spans="1:26" x14ac:dyDescent="0.15">
      <c r="F30" s="194">
        <v>-8</v>
      </c>
      <c r="G30" s="559">
        <f>SäädataC!Z36</f>
        <v>6.3356164383561647E-2</v>
      </c>
      <c r="H30" s="194">
        <f t="shared" si="18"/>
        <v>21</v>
      </c>
      <c r="I30" s="195">
        <f t="shared" si="21"/>
        <v>-3.7369999999999983</v>
      </c>
      <c r="J30" s="196">
        <f t="shared" si="2"/>
        <v>-3.7369999999999983</v>
      </c>
      <c r="K30" s="196">
        <f t="shared" si="19"/>
        <v>-3.7369999999999983</v>
      </c>
      <c r="L30" s="196">
        <f t="shared" si="20"/>
        <v>-3.7369999999999983</v>
      </c>
      <c r="M30" s="182">
        <f t="shared" si="5"/>
        <v>21</v>
      </c>
      <c r="N30" s="196">
        <f t="shared" si="13"/>
        <v>16.736999999999998</v>
      </c>
      <c r="O30" s="197">
        <f t="shared" ref="O30:O50" si="25">F30+S30/P30*(M30-F30)</f>
        <v>16.736999999999998</v>
      </c>
      <c r="P30" s="4">
        <f t="shared" si="7"/>
        <v>1</v>
      </c>
      <c r="Q30" s="198">
        <f t="shared" si="22"/>
        <v>0.85299999999999998</v>
      </c>
      <c r="R30" s="199">
        <f t="shared" si="23"/>
        <v>0.85299999999999998</v>
      </c>
      <c r="S30" s="198">
        <f t="shared" si="10"/>
        <v>0.85299999999999998</v>
      </c>
      <c r="T30" s="200">
        <f t="shared" si="14"/>
        <v>0.85299999999999998</v>
      </c>
      <c r="U30" s="108">
        <f t="shared" si="24"/>
        <v>91.833333333333371</v>
      </c>
      <c r="V30" s="108">
        <f t="shared" si="16"/>
        <v>78.333833333333359</v>
      </c>
      <c r="W30" s="203">
        <f t="shared" si="17"/>
        <v>78.333833333333359</v>
      </c>
      <c r="Y30" s="5">
        <f t="shared" si="11"/>
        <v>1197.3009600000005</v>
      </c>
      <c r="Z30" s="5">
        <f t="shared" si="12"/>
        <v>1021.2977188800004</v>
      </c>
    </row>
    <row r="31" spans="1:26" x14ac:dyDescent="0.15">
      <c r="B31" s="23" t="s">
        <v>1291</v>
      </c>
      <c r="C31" s="22"/>
      <c r="D31" s="21"/>
      <c r="F31" s="194">
        <v>-7</v>
      </c>
      <c r="G31" s="559">
        <f>SäädataC!Z37</f>
        <v>7.4999999999999997E-2</v>
      </c>
      <c r="H31" s="194">
        <f t="shared" si="18"/>
        <v>21</v>
      </c>
      <c r="I31" s="195">
        <f t="shared" si="21"/>
        <v>-2.8840000000000003</v>
      </c>
      <c r="J31" s="196">
        <f t="shared" si="2"/>
        <v>-2.8840000000000003</v>
      </c>
      <c r="K31" s="196">
        <f t="shared" si="19"/>
        <v>-2.8840000000000003</v>
      </c>
      <c r="L31" s="196">
        <f t="shared" si="20"/>
        <v>-2.8840000000000003</v>
      </c>
      <c r="M31" s="182">
        <f t="shared" si="5"/>
        <v>21</v>
      </c>
      <c r="N31" s="196">
        <f t="shared" si="13"/>
        <v>16.884</v>
      </c>
      <c r="O31" s="197">
        <f t="shared" si="25"/>
        <v>16.884</v>
      </c>
      <c r="P31" s="4">
        <f t="shared" si="7"/>
        <v>1</v>
      </c>
      <c r="Q31" s="198">
        <f>MIN(R31/P31,(H31-F31)/(M31-F31))</f>
        <v>0.85299999999999998</v>
      </c>
      <c r="R31" s="199">
        <f t="shared" si="23"/>
        <v>0.85299999999999998</v>
      </c>
      <c r="S31" s="198">
        <f t="shared" si="10"/>
        <v>0.85299999999999998</v>
      </c>
      <c r="T31" s="200">
        <f t="shared" si="14"/>
        <v>0.85299999999999998</v>
      </c>
      <c r="U31" s="108">
        <f t="shared" si="24"/>
        <v>118.99999999999994</v>
      </c>
      <c r="V31" s="108">
        <f t="shared" si="16"/>
        <v>101.50699999999993</v>
      </c>
      <c r="W31" s="203">
        <f t="shared" si="17"/>
        <v>101.50699999999993</v>
      </c>
      <c r="Y31" s="5">
        <f t="shared" si="11"/>
        <v>1551.4934399999993</v>
      </c>
      <c r="Z31" s="5">
        <f t="shared" si="12"/>
        <v>1323.4239043199993</v>
      </c>
    </row>
    <row r="32" spans="1:26" x14ac:dyDescent="0.15">
      <c r="B32" s="12" t="str" cm="1">
        <f t="array" ref="B32">INDEX(KirjastoC!D4:K200,148,KirjastoC!B4)</f>
        <v>Ei rajoitusta</v>
      </c>
      <c r="D32" s="24"/>
      <c r="F32" s="194">
        <v>-6</v>
      </c>
      <c r="G32" s="559">
        <f>SäädataC!Z38</f>
        <v>8.8470319634703198E-2</v>
      </c>
      <c r="H32" s="194">
        <f t="shared" si="18"/>
        <v>21</v>
      </c>
      <c r="I32" s="195">
        <f t="shared" si="21"/>
        <v>-2.0309999999999988</v>
      </c>
      <c r="J32" s="196">
        <f t="shared" si="2"/>
        <v>-2.0309999999999988</v>
      </c>
      <c r="K32" s="196">
        <f t="shared" si="19"/>
        <v>-2.0309999999999988</v>
      </c>
      <c r="L32" s="196">
        <f t="shared" si="20"/>
        <v>-2.0309999999999988</v>
      </c>
      <c r="M32" s="182">
        <f t="shared" si="5"/>
        <v>21</v>
      </c>
      <c r="N32" s="196">
        <f t="shared" si="13"/>
        <v>17.030999999999999</v>
      </c>
      <c r="O32" s="197">
        <f t="shared" si="25"/>
        <v>17.030999999999999</v>
      </c>
      <c r="P32" s="4">
        <f t="shared" si="7"/>
        <v>1</v>
      </c>
      <c r="Q32" s="198">
        <f t="shared" ref="Q32:Q34" si="26">MIN(R32/P32,(H32-F32)/(M32-F32))</f>
        <v>0.85299999999999998</v>
      </c>
      <c r="R32" s="199">
        <f t="shared" si="23"/>
        <v>0.85299999999999998</v>
      </c>
      <c r="S32" s="198">
        <f t="shared" si="10"/>
        <v>0.85299999999999998</v>
      </c>
      <c r="T32" s="200">
        <f t="shared" si="14"/>
        <v>0.85299999999999998</v>
      </c>
      <c r="U32" s="108">
        <f t="shared" si="24"/>
        <v>132.75000000000006</v>
      </c>
      <c r="V32" s="108">
        <f t="shared" si="16"/>
        <v>113.23575000000002</v>
      </c>
      <c r="W32" s="203">
        <f t="shared" si="17"/>
        <v>113.23575000000002</v>
      </c>
      <c r="Y32" s="5">
        <f t="shared" si="11"/>
        <v>1730.7626400000006</v>
      </c>
      <c r="Z32" s="5">
        <f t="shared" si="12"/>
        <v>1476.3405319200008</v>
      </c>
    </row>
    <row r="33" spans="2:26" x14ac:dyDescent="0.15">
      <c r="B33" s="12" t="str" cm="1">
        <f t="array" ref="B33">INDEX(KirjastoC!D4:K200,147,KirjastoC!B4)</f>
        <v>Rajoitettu</v>
      </c>
      <c r="D33" s="24"/>
      <c r="F33" s="194">
        <v>-5</v>
      </c>
      <c r="G33" s="559">
        <f>SäädataC!Z39</f>
        <v>0.10547945205479452</v>
      </c>
      <c r="H33" s="194">
        <f t="shared" si="18"/>
        <v>21</v>
      </c>
      <c r="I33" s="195">
        <f t="shared" si="21"/>
        <v>-1.1780000000000008</v>
      </c>
      <c r="J33" s="196">
        <f t="shared" si="2"/>
        <v>-1.1780000000000008</v>
      </c>
      <c r="K33" s="196">
        <f t="shared" si="19"/>
        <v>-1.1780000000000008</v>
      </c>
      <c r="L33" s="196">
        <f t="shared" si="20"/>
        <v>-1.1780000000000008</v>
      </c>
      <c r="M33" s="182">
        <f t="shared" si="5"/>
        <v>21</v>
      </c>
      <c r="N33" s="196">
        <f t="shared" si="13"/>
        <v>17.178000000000001</v>
      </c>
      <c r="O33" s="197">
        <f t="shared" si="25"/>
        <v>17.178000000000001</v>
      </c>
      <c r="P33" s="4">
        <f t="shared" si="7"/>
        <v>1</v>
      </c>
      <c r="Q33" s="198">
        <f t="shared" si="26"/>
        <v>0.85299999999999998</v>
      </c>
      <c r="R33" s="199">
        <f t="shared" si="23"/>
        <v>0.85299999999999998</v>
      </c>
      <c r="S33" s="198">
        <f t="shared" si="10"/>
        <v>0.85299999999999998</v>
      </c>
      <c r="T33" s="200">
        <f t="shared" si="14"/>
        <v>0.85299999999999998</v>
      </c>
      <c r="U33" s="108">
        <f t="shared" si="24"/>
        <v>161.41666666666663</v>
      </c>
      <c r="V33" s="108">
        <f t="shared" si="16"/>
        <v>137.68841666666663</v>
      </c>
      <c r="W33" s="203">
        <f t="shared" si="17"/>
        <v>137.68841666666663</v>
      </c>
      <c r="Y33" s="5">
        <f t="shared" si="11"/>
        <v>2104.5117599999994</v>
      </c>
      <c r="Z33" s="5">
        <f t="shared" si="12"/>
        <v>1795.1485312799998</v>
      </c>
    </row>
    <row r="34" spans="2:26" x14ac:dyDescent="0.15">
      <c r="B34" s="12" t="s">
        <v>21</v>
      </c>
      <c r="C34" s="95">
        <v>1</v>
      </c>
      <c r="D34" s="24"/>
      <c r="F34" s="194">
        <v>-4</v>
      </c>
      <c r="G34" s="559">
        <f>SäädataC!Z40</f>
        <v>0.12888127853881279</v>
      </c>
      <c r="H34" s="194">
        <f t="shared" si="18"/>
        <v>21</v>
      </c>
      <c r="I34" s="195">
        <f t="shared" si="21"/>
        <v>-0.32499999999999929</v>
      </c>
      <c r="J34" s="196">
        <f t="shared" si="2"/>
        <v>-0.32499999999999929</v>
      </c>
      <c r="K34" s="196">
        <f t="shared" si="19"/>
        <v>-0.32499999999999929</v>
      </c>
      <c r="L34" s="196">
        <f t="shared" si="20"/>
        <v>-0.32499999999999929</v>
      </c>
      <c r="M34" s="182">
        <f t="shared" si="5"/>
        <v>21</v>
      </c>
      <c r="N34" s="196">
        <f t="shared" si="13"/>
        <v>17.324999999999999</v>
      </c>
      <c r="O34" s="197">
        <f t="shared" si="25"/>
        <v>17.324999999999999</v>
      </c>
      <c r="P34" s="4">
        <f t="shared" si="7"/>
        <v>1</v>
      </c>
      <c r="Q34" s="198">
        <f t="shared" si="26"/>
        <v>0.85299999999999998</v>
      </c>
      <c r="R34" s="199">
        <f t="shared" si="23"/>
        <v>0.85299999999999998</v>
      </c>
      <c r="S34" s="198">
        <f t="shared" si="10"/>
        <v>0.85299999999999998</v>
      </c>
      <c r="T34" s="200">
        <f t="shared" si="14"/>
        <v>0.85299999999999998</v>
      </c>
      <c r="U34" s="108">
        <f t="shared" si="24"/>
        <v>213.54166666666671</v>
      </c>
      <c r="V34" s="108">
        <f t="shared" si="16"/>
        <v>182.15104166666669</v>
      </c>
      <c r="W34" s="203">
        <f t="shared" si="17"/>
        <v>182.15104166666669</v>
      </c>
      <c r="Y34" s="5">
        <f t="shared" si="11"/>
        <v>2784.1050000000005</v>
      </c>
      <c r="Z34" s="5">
        <f t="shared" si="12"/>
        <v>2374.8415650000002</v>
      </c>
    </row>
    <row r="35" spans="2:26" x14ac:dyDescent="0.15">
      <c r="B35" s="12"/>
      <c r="C35" s="628" t="str" cm="1">
        <f t="array" ref="C35">INDEX(B32:B33,C34)</f>
        <v>Ei rajoitusta</v>
      </c>
      <c r="D35" s="24"/>
      <c r="F35" s="194">
        <v>-3</v>
      </c>
      <c r="G35" s="559">
        <f>SäädataC!Z41</f>
        <v>0.15570776255707763</v>
      </c>
      <c r="H35" s="194">
        <f t="shared" si="18"/>
        <v>21</v>
      </c>
      <c r="I35" s="195">
        <f t="shared" si="21"/>
        <v>0.52799999999999869</v>
      </c>
      <c r="J35" s="196">
        <f t="shared" si="2"/>
        <v>0.52799999999999869</v>
      </c>
      <c r="K35" s="196">
        <f t="shared" si="19"/>
        <v>0.52799999999999869</v>
      </c>
      <c r="L35" s="196">
        <f t="shared" si="20"/>
        <v>0.52799999999999869</v>
      </c>
      <c r="M35" s="182">
        <f t="shared" si="5"/>
        <v>21</v>
      </c>
      <c r="N35" s="196">
        <f t="shared" si="13"/>
        <v>17.472000000000001</v>
      </c>
      <c r="O35" s="197">
        <f t="shared" si="25"/>
        <v>17.472000000000001</v>
      </c>
      <c r="P35" s="4">
        <f t="shared" si="7"/>
        <v>1</v>
      </c>
      <c r="Q35" s="198">
        <f>MIN(R35/P35,(H35-F35)/(M35-F35))</f>
        <v>0.85300000000000009</v>
      </c>
      <c r="R35" s="199">
        <f t="shared" si="23"/>
        <v>0.85300000000000009</v>
      </c>
      <c r="S35" s="198">
        <f t="shared" si="10"/>
        <v>0.85299999999999998</v>
      </c>
      <c r="T35" s="200">
        <f t="shared" si="14"/>
        <v>0.85299999999999998</v>
      </c>
      <c r="U35" s="108">
        <f t="shared" si="24"/>
        <v>235.00000000000006</v>
      </c>
      <c r="V35" s="108">
        <f t="shared" si="16"/>
        <v>200.45500000000007</v>
      </c>
      <c r="W35" s="203">
        <f t="shared" si="17"/>
        <v>200.45500000000007</v>
      </c>
      <c r="Y35" s="5">
        <f t="shared" si="11"/>
        <v>3063.8736000000008</v>
      </c>
      <c r="Z35" s="5">
        <f t="shared" si="12"/>
        <v>2613.4841808000006</v>
      </c>
    </row>
    <row r="36" spans="2:26" x14ac:dyDescent="0.15">
      <c r="B36" s="12"/>
      <c r="D36" s="24"/>
      <c r="F36" s="194">
        <v>-2</v>
      </c>
      <c r="G36" s="559">
        <f>SäädataC!Z42</f>
        <v>0.18424657534246575</v>
      </c>
      <c r="H36" s="194">
        <f t="shared" si="18"/>
        <v>21</v>
      </c>
      <c r="I36" s="195">
        <f t="shared" si="21"/>
        <v>1.3810000000000002</v>
      </c>
      <c r="J36" s="196">
        <f t="shared" si="2"/>
        <v>1.3810000000000002</v>
      </c>
      <c r="K36" s="196">
        <f t="shared" si="19"/>
        <v>1.3810000000000002</v>
      </c>
      <c r="L36" s="196">
        <f t="shared" si="20"/>
        <v>1.3810000000000002</v>
      </c>
      <c r="M36" s="182">
        <f t="shared" si="5"/>
        <v>21</v>
      </c>
      <c r="N36" s="196">
        <f t="shared" si="13"/>
        <v>17.619</v>
      </c>
      <c r="O36" s="197">
        <f t="shared" si="25"/>
        <v>17.619</v>
      </c>
      <c r="P36" s="4">
        <f t="shared" si="7"/>
        <v>1</v>
      </c>
      <c r="Q36" s="198">
        <f t="shared" ref="Q36:Q50" si="27">MIN(R36/P36,(H36-F36)/(M36-F36))</f>
        <v>0.85299999999999998</v>
      </c>
      <c r="R36" s="199">
        <f t="shared" si="23"/>
        <v>0.85299999999999998</v>
      </c>
      <c r="S36" s="198">
        <f t="shared" si="10"/>
        <v>0.85299999999999998</v>
      </c>
      <c r="T36" s="200">
        <f t="shared" si="14"/>
        <v>0.85299999999999998</v>
      </c>
      <c r="U36" s="108">
        <f t="shared" si="24"/>
        <v>239.58333333333323</v>
      </c>
      <c r="V36" s="108">
        <f t="shared" si="16"/>
        <v>204.36458333333323</v>
      </c>
      <c r="W36" s="203">
        <f t="shared" si="17"/>
        <v>204.36458333333323</v>
      </c>
      <c r="Y36" s="5">
        <f t="shared" si="11"/>
        <v>3123.6299999999987</v>
      </c>
      <c r="Z36" s="5">
        <f t="shared" si="12"/>
        <v>2664.4563899999985</v>
      </c>
    </row>
    <row r="37" spans="2:26" x14ac:dyDescent="0.15">
      <c r="B37" s="12" t="s">
        <v>1284</v>
      </c>
      <c r="C37" t="b">
        <f>IF(C34=2,TRUE,FALSE)</f>
        <v>0</v>
      </c>
      <c r="D37" s="24"/>
      <c r="F37" s="194">
        <v>-1</v>
      </c>
      <c r="G37" s="559">
        <f>SäädataC!Z43</f>
        <v>0.20924657534246574</v>
      </c>
      <c r="H37" s="194">
        <f t="shared" si="18"/>
        <v>21</v>
      </c>
      <c r="I37" s="195">
        <f t="shared" si="21"/>
        <v>2.2340000000000018</v>
      </c>
      <c r="J37" s="196">
        <f t="shared" si="2"/>
        <v>2.2340000000000018</v>
      </c>
      <c r="K37" s="196">
        <f t="shared" si="19"/>
        <v>2.2340000000000018</v>
      </c>
      <c r="L37" s="196">
        <f t="shared" si="20"/>
        <v>2.2340000000000018</v>
      </c>
      <c r="M37" s="182">
        <f t="shared" si="5"/>
        <v>21</v>
      </c>
      <c r="N37" s="196">
        <f t="shared" si="13"/>
        <v>17.765999999999998</v>
      </c>
      <c r="O37" s="197">
        <f t="shared" si="25"/>
        <v>17.765999999999998</v>
      </c>
      <c r="P37" s="4">
        <f t="shared" si="7"/>
        <v>1</v>
      </c>
      <c r="Q37" s="198">
        <f t="shared" si="27"/>
        <v>0.85299999999999987</v>
      </c>
      <c r="R37" s="199">
        <f t="shared" si="23"/>
        <v>0.85299999999999987</v>
      </c>
      <c r="S37" s="198">
        <f t="shared" si="10"/>
        <v>0.85299999999999998</v>
      </c>
      <c r="T37" s="200">
        <f t="shared" si="14"/>
        <v>0.85299999999999998</v>
      </c>
      <c r="U37" s="108">
        <f t="shared" si="24"/>
        <v>200.74999999999994</v>
      </c>
      <c r="V37" s="108">
        <f t="shared" si="16"/>
        <v>171.23974999999993</v>
      </c>
      <c r="W37" s="203">
        <f t="shared" si="17"/>
        <v>171.23974999999993</v>
      </c>
      <c r="Y37" s="5">
        <f t="shared" si="11"/>
        <v>2617.33032</v>
      </c>
      <c r="Z37" s="5">
        <f t="shared" si="12"/>
        <v>2232.5827629599994</v>
      </c>
    </row>
    <row r="38" spans="2:26" x14ac:dyDescent="0.15">
      <c r="B38" s="12" t="s">
        <v>1292</v>
      </c>
      <c r="C38" t="b">
        <f>IF(C37,FALSE,TRUE)</f>
        <v>1</v>
      </c>
      <c r="D38" s="24"/>
      <c r="F38" s="194">
        <v>0</v>
      </c>
      <c r="G38" s="559">
        <f>SäädataC!Z44</f>
        <v>0.24920091324200913</v>
      </c>
      <c r="H38" s="194">
        <f t="shared" si="18"/>
        <v>21</v>
      </c>
      <c r="I38" s="195">
        <f t="shared" si="21"/>
        <v>3.0869999999999997</v>
      </c>
      <c r="J38" s="196">
        <f t="shared" si="2"/>
        <v>3.0869999999999997</v>
      </c>
      <c r="K38" s="196">
        <f t="shared" si="19"/>
        <v>3.0869999999999997</v>
      </c>
      <c r="L38" s="196">
        <f t="shared" si="20"/>
        <v>3.0869999999999997</v>
      </c>
      <c r="M38" s="182">
        <f t="shared" si="5"/>
        <v>21</v>
      </c>
      <c r="N38" s="196">
        <f t="shared" si="13"/>
        <v>17.913</v>
      </c>
      <c r="O38" s="197">
        <f t="shared" si="25"/>
        <v>17.913</v>
      </c>
      <c r="P38" s="4">
        <f t="shared" si="7"/>
        <v>1</v>
      </c>
      <c r="Q38" s="198">
        <f t="shared" si="27"/>
        <v>0.85299999999999998</v>
      </c>
      <c r="R38" s="199">
        <f t="shared" si="23"/>
        <v>0.85299999999999998</v>
      </c>
      <c r="S38" s="198">
        <f t="shared" si="10"/>
        <v>0.85299999999999998</v>
      </c>
      <c r="T38" s="200">
        <f t="shared" si="14"/>
        <v>0.85299999999999998</v>
      </c>
      <c r="U38" s="108">
        <f t="shared" si="24"/>
        <v>306.25000000000011</v>
      </c>
      <c r="V38" s="108">
        <f t="shared" si="16"/>
        <v>261.2312500000001</v>
      </c>
      <c r="W38" s="203">
        <f t="shared" si="17"/>
        <v>261.2312500000001</v>
      </c>
      <c r="Y38" s="5">
        <f t="shared" si="11"/>
        <v>3992.8140000000012</v>
      </c>
      <c r="Z38" s="5">
        <f t="shared" si="12"/>
        <v>3405.8703420000011</v>
      </c>
    </row>
    <row r="39" spans="2:26" x14ac:dyDescent="0.15">
      <c r="B39" s="12"/>
      <c r="D39" s="24"/>
      <c r="F39" s="194">
        <v>1</v>
      </c>
      <c r="G39" s="559">
        <f>SäädataC!Z45</f>
        <v>0.30993150684931509</v>
      </c>
      <c r="H39" s="194">
        <f t="shared" si="18"/>
        <v>21</v>
      </c>
      <c r="I39" s="195">
        <f t="shared" si="21"/>
        <v>3.9400000000000013</v>
      </c>
      <c r="J39" s="196">
        <f t="shared" si="2"/>
        <v>3.9400000000000013</v>
      </c>
      <c r="K39" s="196">
        <f t="shared" si="19"/>
        <v>3.9400000000000013</v>
      </c>
      <c r="L39" s="196">
        <f t="shared" si="20"/>
        <v>3.9400000000000013</v>
      </c>
      <c r="M39" s="182">
        <f t="shared" si="5"/>
        <v>21</v>
      </c>
      <c r="N39" s="196">
        <f t="shared" si="13"/>
        <v>18.059999999999999</v>
      </c>
      <c r="O39" s="197">
        <f t="shared" si="25"/>
        <v>18.059999999999999</v>
      </c>
      <c r="P39" s="4">
        <f t="shared" si="7"/>
        <v>1</v>
      </c>
      <c r="Q39" s="198">
        <f t="shared" si="27"/>
        <v>0.85299999999999998</v>
      </c>
      <c r="R39" s="199">
        <f t="shared" si="23"/>
        <v>0.85299999999999998</v>
      </c>
      <c r="S39" s="198">
        <f t="shared" si="10"/>
        <v>0.85299999999999998</v>
      </c>
      <c r="T39" s="200">
        <f t="shared" si="14"/>
        <v>0.85299999999999998</v>
      </c>
      <c r="U39" s="108">
        <f t="shared" si="24"/>
        <v>443.33333333333343</v>
      </c>
      <c r="V39" s="108">
        <f t="shared" si="16"/>
        <v>378.16333333333341</v>
      </c>
      <c r="W39" s="203">
        <f t="shared" si="17"/>
        <v>378.16333333333341</v>
      </c>
      <c r="Y39" s="5">
        <f t="shared" si="11"/>
        <v>5780.0736000000015</v>
      </c>
      <c r="Z39" s="5">
        <f t="shared" si="12"/>
        <v>4930.4027808000019</v>
      </c>
    </row>
    <row r="40" spans="2:26" x14ac:dyDescent="0.15">
      <c r="B40" s="12" t="s">
        <v>228</v>
      </c>
      <c r="C40" s="5">
        <f>'C-series'!T27</f>
        <v>21</v>
      </c>
      <c r="D40" s="24"/>
      <c r="F40" s="194">
        <v>2</v>
      </c>
      <c r="G40" s="559">
        <f>SäädataC!Z46</f>
        <v>0.36917808219178083</v>
      </c>
      <c r="H40" s="194">
        <f t="shared" si="18"/>
        <v>21</v>
      </c>
      <c r="I40" s="195">
        <f t="shared" si="21"/>
        <v>4.7929999999999993</v>
      </c>
      <c r="J40" s="196">
        <f t="shared" si="2"/>
        <v>4.7929999999999993</v>
      </c>
      <c r="K40" s="196">
        <f t="shared" si="19"/>
        <v>4.7929999999999993</v>
      </c>
      <c r="L40" s="196">
        <f t="shared" si="20"/>
        <v>4.7929999999999993</v>
      </c>
      <c r="M40" s="182">
        <f t="shared" si="5"/>
        <v>21</v>
      </c>
      <c r="N40" s="196">
        <f t="shared" si="13"/>
        <v>18.207000000000001</v>
      </c>
      <c r="O40" s="197">
        <f t="shared" si="25"/>
        <v>18.207000000000001</v>
      </c>
      <c r="P40" s="4">
        <f t="shared" si="7"/>
        <v>1</v>
      </c>
      <c r="Q40" s="198">
        <f>MIN(R40/P40,(H40-F40)/(M40-F40))</f>
        <v>0.85300000000000009</v>
      </c>
      <c r="R40" s="199">
        <f t="shared" si="23"/>
        <v>0.85300000000000009</v>
      </c>
      <c r="S40" s="198">
        <f t="shared" si="10"/>
        <v>0.85299999999999998</v>
      </c>
      <c r="T40" s="200">
        <f t="shared" si="14"/>
        <v>0.85299999999999998</v>
      </c>
      <c r="U40" s="108">
        <f t="shared" si="24"/>
        <v>410.87499999999994</v>
      </c>
      <c r="V40" s="108">
        <f t="shared" si="16"/>
        <v>350.47637499999996</v>
      </c>
      <c r="W40" s="203">
        <f t="shared" si="17"/>
        <v>350.47637499999996</v>
      </c>
      <c r="Y40" s="5">
        <f t="shared" si="11"/>
        <v>5356.8896399999985</v>
      </c>
      <c r="Z40" s="5">
        <f t="shared" si="12"/>
        <v>4569.4268629199996</v>
      </c>
    </row>
    <row r="41" spans="2:26" x14ac:dyDescent="0.15">
      <c r="B41" s="12" t="s">
        <v>1290</v>
      </c>
      <c r="C41" s="5">
        <f>'C-series'!T30</f>
        <v>20</v>
      </c>
      <c r="D41" s="24"/>
      <c r="F41" s="194">
        <v>3</v>
      </c>
      <c r="G41" s="559">
        <f>SäädataC!Z47</f>
        <v>0.41598173515981735</v>
      </c>
      <c r="H41" s="194">
        <f t="shared" si="18"/>
        <v>21</v>
      </c>
      <c r="I41" s="195">
        <f t="shared" si="21"/>
        <v>5.6460000000000008</v>
      </c>
      <c r="J41" s="196">
        <f t="shared" si="2"/>
        <v>5.6460000000000008</v>
      </c>
      <c r="K41" s="196">
        <f t="shared" si="19"/>
        <v>5.6460000000000008</v>
      </c>
      <c r="L41" s="196">
        <f t="shared" si="20"/>
        <v>5.6460000000000008</v>
      </c>
      <c r="M41" s="182">
        <f t="shared" si="5"/>
        <v>21</v>
      </c>
      <c r="N41" s="196">
        <f t="shared" si="13"/>
        <v>18.353999999999999</v>
      </c>
      <c r="O41" s="197">
        <f t="shared" si="25"/>
        <v>18.353999999999999</v>
      </c>
      <c r="P41" s="4">
        <f t="shared" si="7"/>
        <v>1</v>
      </c>
      <c r="Q41" s="198">
        <f t="shared" si="27"/>
        <v>0.85299999999999998</v>
      </c>
      <c r="R41" s="199">
        <f t="shared" si="23"/>
        <v>0.85299999999999998</v>
      </c>
      <c r="S41" s="198">
        <f t="shared" si="10"/>
        <v>0.85299999999999998</v>
      </c>
      <c r="T41" s="200">
        <f t="shared" si="14"/>
        <v>0.85299999999999998</v>
      </c>
      <c r="U41" s="108">
        <f t="shared" si="24"/>
        <v>307.49999999999989</v>
      </c>
      <c r="V41" s="108">
        <f t="shared" si="16"/>
        <v>262.2974999999999</v>
      </c>
      <c r="W41" s="203">
        <f t="shared" si="17"/>
        <v>262.2974999999999</v>
      </c>
      <c r="Y41" s="5">
        <f t="shared" si="11"/>
        <v>4009.1111999999989</v>
      </c>
      <c r="Z41" s="5">
        <f t="shared" si="12"/>
        <v>3419.7718535999988</v>
      </c>
    </row>
    <row r="42" spans="2:26" x14ac:dyDescent="0.15">
      <c r="B42" s="14" t="s">
        <v>1289</v>
      </c>
      <c r="C42" s="617">
        <f>IF(C37,C41,C40)</f>
        <v>21</v>
      </c>
      <c r="D42" s="26"/>
      <c r="F42" s="194">
        <v>4</v>
      </c>
      <c r="G42" s="559">
        <f>SäädataC!Z48</f>
        <v>0.45079908675799085</v>
      </c>
      <c r="H42" s="194">
        <f t="shared" si="18"/>
        <v>21</v>
      </c>
      <c r="I42" s="195">
        <f t="shared" si="21"/>
        <v>6.4990000000000006</v>
      </c>
      <c r="J42" s="196">
        <f t="shared" si="2"/>
        <v>6.4990000000000006</v>
      </c>
      <c r="K42" s="196">
        <f t="shared" si="19"/>
        <v>6.4990000000000006</v>
      </c>
      <c r="L42" s="196">
        <f t="shared" si="20"/>
        <v>6.4990000000000006</v>
      </c>
      <c r="M42" s="182">
        <f t="shared" si="5"/>
        <v>21</v>
      </c>
      <c r="N42" s="196">
        <f t="shared" si="13"/>
        <v>18.500999999999998</v>
      </c>
      <c r="O42" s="197">
        <f t="shared" si="25"/>
        <v>18.500999999999998</v>
      </c>
      <c r="P42" s="4">
        <f t="shared" si="7"/>
        <v>1</v>
      </c>
      <c r="Q42" s="198">
        <f t="shared" si="27"/>
        <v>0.85299999999999998</v>
      </c>
      <c r="R42" s="199">
        <f t="shared" si="23"/>
        <v>0.85299999999999998</v>
      </c>
      <c r="S42" s="198">
        <f t="shared" si="10"/>
        <v>0.85299999999999998</v>
      </c>
      <c r="T42" s="200">
        <f t="shared" si="14"/>
        <v>0.85299999999999998</v>
      </c>
      <c r="U42" s="108">
        <f t="shared" si="24"/>
        <v>216.04166666666663</v>
      </c>
      <c r="V42" s="108">
        <f t="shared" si="16"/>
        <v>184.28354166666659</v>
      </c>
      <c r="W42" s="203">
        <f t="shared" si="17"/>
        <v>184.28354166666662</v>
      </c>
      <c r="Y42" s="5">
        <f t="shared" si="11"/>
        <v>2816.6993999999991</v>
      </c>
      <c r="Z42" s="5">
        <f t="shared" si="12"/>
        <v>2402.6445881999994</v>
      </c>
    </row>
    <row r="43" spans="2:26" x14ac:dyDescent="0.15">
      <c r="B43" s="12"/>
      <c r="D43" s="24"/>
      <c r="F43" s="194">
        <v>5</v>
      </c>
      <c r="G43" s="559">
        <f>SäädataC!Z49</f>
        <v>0.48413242009132418</v>
      </c>
      <c r="H43" s="194">
        <f t="shared" si="18"/>
        <v>21</v>
      </c>
      <c r="I43" s="195">
        <f t="shared" si="21"/>
        <v>7.3520000000000003</v>
      </c>
      <c r="J43" s="196">
        <f t="shared" si="2"/>
        <v>7.3520000000000003</v>
      </c>
      <c r="K43" s="196">
        <f t="shared" si="19"/>
        <v>7.3520000000000003</v>
      </c>
      <c r="L43" s="196">
        <f t="shared" si="20"/>
        <v>7.3520000000000003</v>
      </c>
      <c r="M43" s="182">
        <f t="shared" si="5"/>
        <v>21</v>
      </c>
      <c r="N43" s="196">
        <f t="shared" si="13"/>
        <v>18.648</v>
      </c>
      <c r="O43" s="197">
        <f t="shared" si="25"/>
        <v>18.648</v>
      </c>
      <c r="P43" s="4">
        <f t="shared" si="7"/>
        <v>1</v>
      </c>
      <c r="Q43" s="198">
        <f t="shared" si="27"/>
        <v>0.85299999999999998</v>
      </c>
      <c r="R43" s="199">
        <f t="shared" si="23"/>
        <v>0.85299999999999998</v>
      </c>
      <c r="S43" s="198">
        <f t="shared" si="10"/>
        <v>0.85299999999999998</v>
      </c>
      <c r="T43" s="200">
        <f t="shared" si="14"/>
        <v>0.85299999999999998</v>
      </c>
      <c r="U43" s="108">
        <f t="shared" si="24"/>
        <v>194.66666666666663</v>
      </c>
      <c r="V43" s="108">
        <f t="shared" si="16"/>
        <v>166.05066666666664</v>
      </c>
      <c r="W43" s="203">
        <f t="shared" si="17"/>
        <v>166.05066666666664</v>
      </c>
      <c r="Y43" s="5">
        <f t="shared" si="11"/>
        <v>2538.0172799999996</v>
      </c>
      <c r="Z43" s="5">
        <f t="shared" si="12"/>
        <v>2164.9287398399997</v>
      </c>
    </row>
    <row r="44" spans="2:26" x14ac:dyDescent="0.15">
      <c r="B44" s="12" t="s">
        <v>1293</v>
      </c>
      <c r="D44" s="24"/>
      <c r="F44" s="194">
        <v>6</v>
      </c>
      <c r="G44" s="559">
        <f>SäädataC!Z50</f>
        <v>0.51586757990867582</v>
      </c>
      <c r="H44" s="194">
        <f t="shared" si="18"/>
        <v>21</v>
      </c>
      <c r="I44" s="195">
        <f t="shared" si="21"/>
        <v>8.2050000000000001</v>
      </c>
      <c r="J44" s="196">
        <f t="shared" si="2"/>
        <v>8.2050000000000001</v>
      </c>
      <c r="K44" s="196">
        <f t="shared" si="19"/>
        <v>8.2050000000000001</v>
      </c>
      <c r="L44" s="196">
        <f t="shared" si="20"/>
        <v>8.2050000000000001</v>
      </c>
      <c r="M44" s="182">
        <f t="shared" si="5"/>
        <v>21</v>
      </c>
      <c r="N44" s="196">
        <f t="shared" si="13"/>
        <v>18.795000000000002</v>
      </c>
      <c r="O44" s="197">
        <f t="shared" si="25"/>
        <v>18.795000000000002</v>
      </c>
      <c r="P44" s="4">
        <f t="shared" si="7"/>
        <v>1</v>
      </c>
      <c r="Q44" s="198">
        <f t="shared" si="27"/>
        <v>0.85299999999999998</v>
      </c>
      <c r="R44" s="199">
        <f t="shared" si="23"/>
        <v>0.85299999999999998</v>
      </c>
      <c r="S44" s="198">
        <f t="shared" si="10"/>
        <v>0.85299999999999998</v>
      </c>
      <c r="T44" s="200">
        <f t="shared" si="14"/>
        <v>0.85299999999999998</v>
      </c>
      <c r="U44" s="108">
        <f t="shared" si="24"/>
        <v>173.75000000000026</v>
      </c>
      <c r="V44" s="108">
        <f t="shared" si="16"/>
        <v>148.20875000000024</v>
      </c>
      <c r="W44" s="203">
        <f t="shared" si="17"/>
        <v>148.20875000000021</v>
      </c>
      <c r="Y44" s="5">
        <f t="shared" si="11"/>
        <v>2265.3108000000029</v>
      </c>
      <c r="Z44" s="5">
        <f t="shared" si="12"/>
        <v>1932.3101124000025</v>
      </c>
    </row>
    <row r="45" spans="2:26" x14ac:dyDescent="0.15">
      <c r="B45" s="12" t="b">
        <f>IF(AND(KirjastoC!B4=1,C34=1),TRUE,FALSE)</f>
        <v>1</v>
      </c>
      <c r="D45" s="24"/>
      <c r="F45" s="194">
        <v>7</v>
      </c>
      <c r="G45" s="559">
        <f>SäädataC!Z51</f>
        <v>0.55331050228310508</v>
      </c>
      <c r="H45" s="194">
        <f t="shared" si="18"/>
        <v>21</v>
      </c>
      <c r="I45" s="195">
        <f t="shared" si="21"/>
        <v>9.0579999999999998</v>
      </c>
      <c r="J45" s="196">
        <f t="shared" si="2"/>
        <v>9.0579999999999998</v>
      </c>
      <c r="K45" s="196">
        <f t="shared" si="19"/>
        <v>9.0579999999999998</v>
      </c>
      <c r="L45" s="196">
        <f t="shared" si="20"/>
        <v>9.0579999999999998</v>
      </c>
      <c r="M45" s="182">
        <f t="shared" si="5"/>
        <v>21</v>
      </c>
      <c r="N45" s="196">
        <f t="shared" si="13"/>
        <v>18.942</v>
      </c>
      <c r="O45" s="197">
        <f t="shared" si="25"/>
        <v>18.942</v>
      </c>
      <c r="P45" s="4">
        <f t="shared" si="7"/>
        <v>1</v>
      </c>
      <c r="Q45" s="198">
        <f t="shared" si="27"/>
        <v>0.85299999999999998</v>
      </c>
      <c r="R45" s="199">
        <f t="shared" si="23"/>
        <v>0.85299999999999998</v>
      </c>
      <c r="S45" s="198">
        <f t="shared" si="10"/>
        <v>0.85299999999999998</v>
      </c>
      <c r="T45" s="200">
        <f t="shared" si="14"/>
        <v>0.85299999999999998</v>
      </c>
      <c r="U45" s="108">
        <f t="shared" si="24"/>
        <v>191.33333333333348</v>
      </c>
      <c r="V45" s="108">
        <f t="shared" si="16"/>
        <v>163.20733333333348</v>
      </c>
      <c r="W45" s="203">
        <f t="shared" si="17"/>
        <v>163.20733333333348</v>
      </c>
      <c r="Y45" s="5">
        <f t="shared" si="11"/>
        <v>2494.5580800000021</v>
      </c>
      <c r="Z45" s="5">
        <f t="shared" si="12"/>
        <v>2127.8580422400019</v>
      </c>
    </row>
    <row r="46" spans="2:26" x14ac:dyDescent="0.15">
      <c r="B46" s="1818" t="s">
        <v>1294</v>
      </c>
      <c r="C46" s="1819"/>
      <c r="D46" s="1820"/>
      <c r="F46" s="194">
        <v>8</v>
      </c>
      <c r="G46" s="559">
        <f>SäädataC!Z52</f>
        <v>0.58984018264840188</v>
      </c>
      <c r="H46" s="194">
        <f t="shared" si="18"/>
        <v>21</v>
      </c>
      <c r="I46" s="195">
        <f t="shared" si="21"/>
        <v>9.9109999999999996</v>
      </c>
      <c r="J46" s="196">
        <f t="shared" si="2"/>
        <v>9.9109999999999996</v>
      </c>
      <c r="K46" s="196">
        <f t="shared" si="19"/>
        <v>9.9109999999999996</v>
      </c>
      <c r="L46" s="196">
        <f t="shared" si="20"/>
        <v>9.9109999999999996</v>
      </c>
      <c r="M46" s="182">
        <f t="shared" si="5"/>
        <v>21</v>
      </c>
      <c r="N46" s="196">
        <f t="shared" si="13"/>
        <v>19.088999999999999</v>
      </c>
      <c r="O46" s="197">
        <f t="shared" si="25"/>
        <v>19.088999999999999</v>
      </c>
      <c r="P46" s="4">
        <f t="shared" si="7"/>
        <v>1</v>
      </c>
      <c r="Q46" s="198">
        <f t="shared" si="27"/>
        <v>0.85299999999999998</v>
      </c>
      <c r="R46" s="199">
        <f t="shared" si="23"/>
        <v>0.85299999999999998</v>
      </c>
      <c r="S46" s="198">
        <f t="shared" si="10"/>
        <v>0.85299999999999998</v>
      </c>
      <c r="T46" s="200">
        <f t="shared" si="14"/>
        <v>0.85299999999999998</v>
      </c>
      <c r="U46" s="108">
        <f t="shared" si="24"/>
        <v>173.33333333333331</v>
      </c>
      <c r="V46" s="108">
        <f t="shared" si="16"/>
        <v>147.85333333333332</v>
      </c>
      <c r="W46" s="203">
        <f t="shared" si="17"/>
        <v>147.85333333333332</v>
      </c>
      <c r="Y46" s="5">
        <f t="shared" si="11"/>
        <v>2259.8784000000001</v>
      </c>
      <c r="Z46" s="5">
        <f t="shared" si="12"/>
        <v>1927.6762752</v>
      </c>
    </row>
    <row r="47" spans="2:26" x14ac:dyDescent="0.15">
      <c r="B47" s="1821"/>
      <c r="C47" s="1719"/>
      <c r="D47" s="1822"/>
      <c r="F47" s="194">
        <v>9</v>
      </c>
      <c r="G47" s="559">
        <f>SäädataC!Z53</f>
        <v>0.61746575342465748</v>
      </c>
      <c r="H47" s="194">
        <f t="shared" si="18"/>
        <v>21</v>
      </c>
      <c r="I47" s="195">
        <f t="shared" si="21"/>
        <v>10.763999999999999</v>
      </c>
      <c r="J47" s="196">
        <f t="shared" si="2"/>
        <v>10.763999999999999</v>
      </c>
      <c r="K47" s="196">
        <f t="shared" si="19"/>
        <v>10.763999999999999</v>
      </c>
      <c r="L47" s="196">
        <f t="shared" si="20"/>
        <v>10.763999999999999</v>
      </c>
      <c r="M47" s="182">
        <f t="shared" si="5"/>
        <v>21</v>
      </c>
      <c r="N47" s="196">
        <f t="shared" si="13"/>
        <v>19.236000000000001</v>
      </c>
      <c r="O47" s="197">
        <f t="shared" si="25"/>
        <v>19.236000000000001</v>
      </c>
      <c r="P47" s="4">
        <f t="shared" si="7"/>
        <v>1</v>
      </c>
      <c r="Q47" s="198">
        <f t="shared" si="27"/>
        <v>0.85300000000000009</v>
      </c>
      <c r="R47" s="199">
        <f t="shared" si="23"/>
        <v>0.85300000000000009</v>
      </c>
      <c r="S47" s="198">
        <f t="shared" si="10"/>
        <v>0.85299999999999998</v>
      </c>
      <c r="T47" s="200">
        <f t="shared" si="14"/>
        <v>0.85299999999999998</v>
      </c>
      <c r="U47" s="108">
        <f t="shared" si="24"/>
        <v>120.99999999999955</v>
      </c>
      <c r="V47" s="108">
        <f t="shared" si="16"/>
        <v>103.21299999999961</v>
      </c>
      <c r="W47" s="203">
        <f t="shared" si="17"/>
        <v>103.21299999999961</v>
      </c>
      <c r="Y47" s="5">
        <f t="shared" si="11"/>
        <v>1577.5689599999941</v>
      </c>
      <c r="Z47" s="5">
        <f t="shared" si="12"/>
        <v>1345.6663228799948</v>
      </c>
    </row>
    <row r="48" spans="2:26" x14ac:dyDescent="0.15">
      <c r="B48" s="1821"/>
      <c r="C48" s="1719"/>
      <c r="D48" s="1822"/>
      <c r="F48" s="194">
        <v>10</v>
      </c>
      <c r="G48" s="559">
        <f>SäädataC!Z54</f>
        <v>0.64394977168949774</v>
      </c>
      <c r="H48" s="194">
        <f t="shared" si="18"/>
        <v>21</v>
      </c>
      <c r="I48" s="195">
        <f t="shared" si="21"/>
        <v>11.617000000000001</v>
      </c>
      <c r="J48" s="196">
        <f t="shared" si="2"/>
        <v>11.617000000000001</v>
      </c>
      <c r="K48" s="196">
        <f t="shared" si="19"/>
        <v>11.617000000000001</v>
      </c>
      <c r="L48" s="196">
        <f t="shared" si="20"/>
        <v>11.617000000000001</v>
      </c>
      <c r="M48" s="182">
        <f t="shared" si="5"/>
        <v>21</v>
      </c>
      <c r="N48" s="196">
        <f t="shared" si="13"/>
        <v>19.382999999999999</v>
      </c>
      <c r="O48" s="197">
        <f t="shared" si="25"/>
        <v>19.382999999999999</v>
      </c>
      <c r="P48" s="4">
        <f t="shared" si="7"/>
        <v>1</v>
      </c>
      <c r="Q48" s="198">
        <f t="shared" si="27"/>
        <v>0.85299999999999987</v>
      </c>
      <c r="R48" s="199">
        <f t="shared" si="23"/>
        <v>0.85299999999999987</v>
      </c>
      <c r="S48" s="198">
        <f t="shared" si="10"/>
        <v>0.85299999999999998</v>
      </c>
      <c r="T48" s="200">
        <f t="shared" si="14"/>
        <v>0.85299999999999998</v>
      </c>
      <c r="U48" s="108">
        <f t="shared" si="24"/>
        <v>106.33333333333364</v>
      </c>
      <c r="V48" s="108">
        <f t="shared" si="16"/>
        <v>90.702333333333584</v>
      </c>
      <c r="W48" s="203">
        <f t="shared" si="17"/>
        <v>90.702333333333584</v>
      </c>
      <c r="Y48" s="5">
        <f t="shared" si="11"/>
        <v>1386.3484800000042</v>
      </c>
      <c r="Z48" s="5">
        <f t="shared" si="12"/>
        <v>1182.5552534400033</v>
      </c>
    </row>
    <row r="49" spans="2:26" x14ac:dyDescent="0.15">
      <c r="B49" s="1821"/>
      <c r="C49" s="1719"/>
      <c r="D49" s="1822"/>
      <c r="F49" s="194">
        <v>11</v>
      </c>
      <c r="G49" s="559">
        <f>SäädataC!Z55</f>
        <v>0.67625570776255706</v>
      </c>
      <c r="H49" s="194">
        <f t="shared" si="18"/>
        <v>21</v>
      </c>
      <c r="I49" s="195">
        <f t="shared" si="21"/>
        <v>12.47</v>
      </c>
      <c r="J49" s="196">
        <f t="shared" si="2"/>
        <v>12.47</v>
      </c>
      <c r="K49" s="196">
        <f t="shared" si="19"/>
        <v>12.47</v>
      </c>
      <c r="L49" s="196">
        <f t="shared" si="20"/>
        <v>12.47</v>
      </c>
      <c r="M49" s="182">
        <f t="shared" si="5"/>
        <v>21</v>
      </c>
      <c r="N49" s="196">
        <f t="shared" si="13"/>
        <v>19.53</v>
      </c>
      <c r="O49" s="197">
        <f t="shared" si="25"/>
        <v>19.53</v>
      </c>
      <c r="P49" s="4">
        <f t="shared" si="7"/>
        <v>1</v>
      </c>
      <c r="Q49" s="198">
        <f t="shared" si="27"/>
        <v>0.85299999999999998</v>
      </c>
      <c r="R49" s="199">
        <f t="shared" si="23"/>
        <v>0.85299999999999998</v>
      </c>
      <c r="S49" s="198">
        <f t="shared" si="10"/>
        <v>0.85299999999999998</v>
      </c>
      <c r="T49" s="200">
        <f t="shared" si="14"/>
        <v>0.85299999999999998</v>
      </c>
      <c r="U49" s="108">
        <f t="shared" si="24"/>
        <v>117.9166666666665</v>
      </c>
      <c r="V49" s="108">
        <f t="shared" si="16"/>
        <v>100.58291666666655</v>
      </c>
      <c r="W49" s="203">
        <f t="shared" si="17"/>
        <v>100.58291666666652</v>
      </c>
      <c r="Y49" s="5">
        <f t="shared" si="11"/>
        <v>1537.3691999999978</v>
      </c>
      <c r="Z49" s="5">
        <f t="shared" si="12"/>
        <v>1311.3759275999982</v>
      </c>
    </row>
    <row r="50" spans="2:26" x14ac:dyDescent="0.15">
      <c r="B50" s="1821"/>
      <c r="C50" s="1719"/>
      <c r="D50" s="1822"/>
      <c r="F50" s="214">
        <v>12</v>
      </c>
      <c r="G50" s="559">
        <f>SäädataC!Z56</f>
        <v>0.71415525114155254</v>
      </c>
      <c r="H50" s="214">
        <f t="shared" si="18"/>
        <v>21</v>
      </c>
      <c r="I50" s="215">
        <f t="shared" si="21"/>
        <v>13.323</v>
      </c>
      <c r="J50" s="216">
        <f t="shared" si="2"/>
        <v>13.323</v>
      </c>
      <c r="K50" s="216">
        <f t="shared" si="19"/>
        <v>13.323</v>
      </c>
      <c r="L50" s="216">
        <f t="shared" si="20"/>
        <v>13.323</v>
      </c>
      <c r="M50" s="217">
        <f t="shared" si="5"/>
        <v>21</v>
      </c>
      <c r="N50" s="216">
        <f t="shared" si="13"/>
        <v>19.677</v>
      </c>
      <c r="O50" s="218">
        <f t="shared" si="25"/>
        <v>19.677</v>
      </c>
      <c r="P50" s="50">
        <f t="shared" si="7"/>
        <v>1</v>
      </c>
      <c r="Q50" s="219">
        <f t="shared" si="27"/>
        <v>0.85299999999999998</v>
      </c>
      <c r="R50" s="220">
        <f>(M50-J50)/(M50-F50)</f>
        <v>0.85299999999999998</v>
      </c>
      <c r="S50" s="219">
        <f t="shared" si="10"/>
        <v>0.85299999999999998</v>
      </c>
      <c r="T50" s="221">
        <f t="shared" si="14"/>
        <v>0.85299999999999998</v>
      </c>
      <c r="U50" s="222">
        <f t="shared" si="24"/>
        <v>124.50000000000016</v>
      </c>
      <c r="V50" s="222">
        <f t="shared" si="16"/>
        <v>106.19850000000012</v>
      </c>
      <c r="W50" s="223">
        <f t="shared" si="17"/>
        <v>106.19850000000012</v>
      </c>
      <c r="Y50" s="5">
        <f>$C$7/1000*1.2*1006*(M50-F50)*8760*(G50-G49)/1000</f>
        <v>1623.2011200000022</v>
      </c>
      <c r="Z50" s="5">
        <f>1.2*1006*$C$7/1000*(M50-I50)/1000*(G50-G49)*8760</f>
        <v>1384.5905553600016</v>
      </c>
    </row>
    <row r="51" spans="2:26" x14ac:dyDescent="0.15">
      <c r="B51" s="1823"/>
      <c r="C51" s="1824"/>
      <c r="D51" s="1825"/>
      <c r="Q51" s="224"/>
      <c r="R51" s="224"/>
      <c r="S51" s="224"/>
      <c r="Y51" s="646">
        <f>SUM(Y8:Y50)</f>
        <v>64698.797520000015</v>
      </c>
      <c r="Z51" s="646">
        <f>IFERROR(SUM(Z8:Z50),"-")</f>
        <v>54653.081211000004</v>
      </c>
    </row>
    <row r="52" spans="2:26" x14ac:dyDescent="0.15">
      <c r="B52" t="str">
        <f>IF(B45,B46,"")</f>
        <v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v>
      </c>
      <c r="F52" s="601" t="s">
        <v>1288</v>
      </c>
      <c r="Y52" s="104" t="s">
        <v>237</v>
      </c>
      <c r="Z52" s="104" t="s">
        <v>237</v>
      </c>
    </row>
    <row r="54" spans="2:26" x14ac:dyDescent="0.15">
      <c r="F54" s="196">
        <f>'C-series'!T39</f>
        <v>0</v>
      </c>
      <c r="K54" s="225"/>
      <c r="M54" s="226"/>
      <c r="N54" s="195">
        <f>IF(F54&lt;12,_xlfn.FORECAST.LINEAR(F54,L56:L57,K56:K57),N50)</f>
        <v>17.913</v>
      </c>
      <c r="Y54" s="227"/>
      <c r="Z54" s="224">
        <f>IFERROR(Z51/Y51,"-")</f>
        <v>0.84473101983240684</v>
      </c>
    </row>
    <row r="56" spans="2:26" x14ac:dyDescent="0.15">
      <c r="J56" s="182">
        <f>MATCH(F54,F6:F50,1)</f>
        <v>33</v>
      </c>
      <c r="K56" s="196" cm="1">
        <f t="array" ref="K56">INDEX(F6:F50,J56)</f>
        <v>0</v>
      </c>
      <c r="L56" s="195" cm="1">
        <f t="array" ref="L56">INDEX(N6:N50,J56)</f>
        <v>17.913</v>
      </c>
    </row>
    <row r="57" spans="2:26" x14ac:dyDescent="0.15">
      <c r="J57" s="746">
        <f>MATCH(F54,F6:F50,1)+1</f>
        <v>34</v>
      </c>
      <c r="K57" s="196" cm="1">
        <f t="array" ref="K57">INDEX(F6:F50,J57)</f>
        <v>1</v>
      </c>
      <c r="L57" s="195" cm="1">
        <f t="array" ref="L57">INDEX(N6:N50,J57)</f>
        <v>18.059999999999999</v>
      </c>
    </row>
  </sheetData>
  <mergeCells count="1">
    <mergeCell ref="B46:D5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1729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11</xdr:row>
                    <xdr:rowOff>152400</xdr:rowOff>
                  </from>
                  <to>
                    <xdr:col>4</xdr:col>
                    <xdr:colOff>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0" r:id="rId5" name="Drop Down 3">
              <controlPr defaultSize="0" autoLine="0" autoPict="0">
                <anchor moveWithCells="1">
                  <from>
                    <xdr:col>3</xdr:col>
                    <xdr:colOff>12700</xdr:colOff>
                    <xdr:row>13</xdr:row>
                    <xdr:rowOff>0</xdr:rowOff>
                  </from>
                  <to>
                    <xdr:col>4</xdr:col>
                    <xdr:colOff>38100</xdr:colOff>
                    <xdr:row>14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1DD7-C1BD-4F42-8B54-89E5A7280EF3}">
  <dimension ref="A1:V179"/>
  <sheetViews>
    <sheetView showGridLines="0" zoomScale="85" zoomScaleNormal="85" workbookViewId="0">
      <selection activeCell="B2" sqref="B2"/>
    </sheetView>
  </sheetViews>
  <sheetFormatPr baseColWidth="10" defaultColWidth="9.1640625" defaultRowHeight="15" x14ac:dyDescent="0.2"/>
  <cols>
    <col min="1" max="3" width="9.1640625" style="490"/>
    <col min="4" max="4" width="66.1640625" style="500" customWidth="1"/>
    <col min="5" max="11" width="61.5" style="490" customWidth="1"/>
    <col min="12" max="12" width="9.1640625" style="490"/>
    <col min="13" max="13" width="10.6640625" style="490" bestFit="1" customWidth="1"/>
    <col min="14" max="16384" width="9.1640625" style="490"/>
  </cols>
  <sheetData>
    <row r="1" spans="1:22" x14ac:dyDescent="0.2">
      <c r="A1" s="501" t="s">
        <v>106</v>
      </c>
      <c r="B1" s="1520" t="s">
        <v>2719</v>
      </c>
      <c r="H1" s="848" t="s">
        <v>2039</v>
      </c>
    </row>
    <row r="3" spans="1:22" ht="18" thickBot="1" x14ac:dyDescent="0.25">
      <c r="B3" s="501" t="s">
        <v>705</v>
      </c>
      <c r="D3" s="486" t="s">
        <v>706</v>
      </c>
      <c r="E3" s="487" t="s">
        <v>708</v>
      </c>
      <c r="F3" s="488" t="s">
        <v>709</v>
      </c>
      <c r="G3" s="489" t="s">
        <v>710</v>
      </c>
      <c r="H3" s="759" t="s">
        <v>1397</v>
      </c>
      <c r="I3" s="761" t="s">
        <v>1398</v>
      </c>
      <c r="J3" s="763" t="s">
        <v>1399</v>
      </c>
      <c r="K3" s="765" t="s">
        <v>1400</v>
      </c>
      <c r="M3" s="506" t="s">
        <v>727</v>
      </c>
      <c r="T3" s="755" t="s">
        <v>1358</v>
      </c>
    </row>
    <row r="4" spans="1:22" ht="16" x14ac:dyDescent="0.2">
      <c r="B4" s="587">
        <v>5</v>
      </c>
      <c r="C4" s="501">
        <v>1</v>
      </c>
      <c r="D4" s="985" t="str">
        <f>CONCATENATE("Versio ",B1)</f>
        <v>Versio 8.0</v>
      </c>
      <c r="E4" s="902" t="str">
        <f>CONCATENATE("Version ",B1)</f>
        <v>Version 8.0</v>
      </c>
      <c r="F4" s="507" t="str">
        <f>CONCATENATE("Version ",B1)</f>
        <v>Version 8.0</v>
      </c>
      <c r="G4" s="903" t="str">
        <f>CONCATENATE("Version ",B1)</f>
        <v>Version 8.0</v>
      </c>
      <c r="H4" s="904" t="str">
        <f>CONCATENATE("Wersja ",B1)</f>
        <v>Wersja 8.0</v>
      </c>
      <c r="I4" s="905" t="str">
        <f>CONCATENATE("Versioon ",B1)</f>
        <v>Versioon 8.0</v>
      </c>
      <c r="J4" s="906" t="str">
        <f>CONCATENATE("Versija ",B1)</f>
        <v>Versija 8.0</v>
      </c>
      <c r="K4" s="907" t="str">
        <f>CONCATENATE(B1," versija")</f>
        <v>8.0 versija</v>
      </c>
      <c r="M4" s="506"/>
    </row>
    <row r="5" spans="1:22" ht="16" x14ac:dyDescent="0.2">
      <c r="C5" s="501">
        <v>2</v>
      </c>
      <c r="D5" s="491" t="s">
        <v>301</v>
      </c>
      <c r="E5" s="492" t="s">
        <v>621</v>
      </c>
      <c r="F5" s="508" t="s">
        <v>731</v>
      </c>
      <c r="G5" s="493" t="s">
        <v>819</v>
      </c>
      <c r="H5" s="846" t="s">
        <v>2002</v>
      </c>
      <c r="I5" s="783" t="s">
        <v>1540</v>
      </c>
      <c r="J5" s="787" t="s">
        <v>1676</v>
      </c>
      <c r="K5" s="791" t="s">
        <v>1813</v>
      </c>
      <c r="M5" s="506" t="str" cm="1">
        <f t="array" ref="M5">INDEX(Kirjasto!D4:K130,18,Kirjasto!B4)</f>
        <v>Różnica ciśnień [Pa]</v>
      </c>
      <c r="T5" s="755" t="s">
        <v>1359</v>
      </c>
      <c r="V5" s="490" t="b">
        <f>IF(B4=1,TRUE,FALSE)</f>
        <v>0</v>
      </c>
    </row>
    <row r="6" spans="1:22" ht="16" x14ac:dyDescent="0.2">
      <c r="C6" s="501">
        <v>3</v>
      </c>
      <c r="D6" s="491" t="s">
        <v>338</v>
      </c>
      <c r="E6" s="492" t="s">
        <v>622</v>
      </c>
      <c r="F6" s="508" t="s">
        <v>623</v>
      </c>
      <c r="G6" s="493" t="s">
        <v>623</v>
      </c>
      <c r="H6" s="779" t="s">
        <v>1439</v>
      </c>
      <c r="I6" s="783" t="s">
        <v>1541</v>
      </c>
      <c r="J6" s="787" t="s">
        <v>1677</v>
      </c>
      <c r="K6" s="791" t="s">
        <v>1814</v>
      </c>
      <c r="M6" s="506" t="str" cm="1">
        <f t="array" ref="M6">INDEX(Kirjasto!D4:K130,19,Kirjasto!B4)</f>
        <v>Natężenie przepływu powietrza [dm³/s]</v>
      </c>
      <c r="T6" s="755" t="s">
        <v>1360</v>
      </c>
      <c r="V6" s="490" t="b">
        <f>IF(V5,FALSE,TRUE)</f>
        <v>1</v>
      </c>
    </row>
    <row r="7" spans="1:22" ht="16" x14ac:dyDescent="0.2">
      <c r="C7" s="501">
        <v>4</v>
      </c>
      <c r="D7" s="491" t="s">
        <v>339</v>
      </c>
      <c r="E7" s="492" t="s">
        <v>707</v>
      </c>
      <c r="F7" s="508" t="s">
        <v>790</v>
      </c>
      <c r="G7" s="493" t="s">
        <v>820</v>
      </c>
      <c r="H7" s="779" t="s">
        <v>1440</v>
      </c>
      <c r="I7" s="783" t="s">
        <v>1542</v>
      </c>
      <c r="J7" s="787" t="s">
        <v>1678</v>
      </c>
      <c r="K7" s="791" t="s">
        <v>1815</v>
      </c>
      <c r="M7" s="506" t="str" cm="1">
        <f t="array" ref="M7">INDEX(Kirjasto!D4:K135,132,Kirjasto!B4)</f>
        <v>Natężenie przepływu powietrza [m³/h]</v>
      </c>
    </row>
    <row r="8" spans="1:22" ht="16" x14ac:dyDescent="0.2">
      <c r="C8" s="501">
        <v>5</v>
      </c>
      <c r="D8" s="491" t="s">
        <v>337</v>
      </c>
      <c r="E8" s="492" t="s">
        <v>723</v>
      </c>
      <c r="F8" s="508" t="s">
        <v>732</v>
      </c>
      <c r="G8" s="493" t="s">
        <v>821</v>
      </c>
      <c r="H8" s="779" t="s">
        <v>1441</v>
      </c>
      <c r="I8" s="783" t="s">
        <v>1543</v>
      </c>
      <c r="J8" s="787" t="s">
        <v>1679</v>
      </c>
      <c r="K8" s="791" t="s">
        <v>1816</v>
      </c>
      <c r="M8" s="506" t="str" cm="1">
        <f t="array" ref="M8">INDEX(Kirjasto!D4:K130,91,Kirjasto!B4)</f>
        <v>Temperatura powietrza nawiewanego po LTO</v>
      </c>
    </row>
    <row r="9" spans="1:22" ht="32" x14ac:dyDescent="0.2">
      <c r="C9" s="501">
        <v>6</v>
      </c>
      <c r="D9" s="491" t="s">
        <v>624</v>
      </c>
      <c r="E9" s="513" t="s">
        <v>822</v>
      </c>
      <c r="F9" s="508" t="s">
        <v>1100</v>
      </c>
      <c r="G9" s="493" t="s">
        <v>823</v>
      </c>
      <c r="H9" s="779" t="s">
        <v>1442</v>
      </c>
      <c r="I9" s="783" t="s">
        <v>1544</v>
      </c>
      <c r="J9" s="787" t="s">
        <v>1680</v>
      </c>
      <c r="K9" s="791" t="s">
        <v>1817</v>
      </c>
      <c r="M9" s="490" t="str" cm="1">
        <f t="array" ref="M9">INDEX(Kirjasto!D4:K130,92,Kirjasto!B4)</f>
        <v>Temperatura powietrza nawiewanego [°C]</v>
      </c>
    </row>
    <row r="10" spans="1:22" ht="16" x14ac:dyDescent="0.2">
      <c r="C10" s="501">
        <v>7</v>
      </c>
      <c r="D10" s="491" t="s">
        <v>625</v>
      </c>
      <c r="E10" s="1014" t="s">
        <v>2149</v>
      </c>
      <c r="F10" s="508" t="s">
        <v>825</v>
      </c>
      <c r="G10" s="493" t="s">
        <v>826</v>
      </c>
      <c r="H10" s="846" t="s">
        <v>2003</v>
      </c>
      <c r="I10" s="783" t="s">
        <v>1545</v>
      </c>
      <c r="J10" s="787" t="s">
        <v>1681</v>
      </c>
      <c r="K10" s="791" t="s">
        <v>1818</v>
      </c>
      <c r="M10" s="490" t="str" cm="1">
        <f t="array" ref="M10">INDEX(Kirjasto!D4:K130,93,Kirjasto!B4)</f>
        <v>Temperatura powietrza zewnętrznego [°C]</v>
      </c>
    </row>
    <row r="11" spans="1:22" ht="16" x14ac:dyDescent="0.2">
      <c r="C11" s="501">
        <v>8</v>
      </c>
      <c r="D11" s="491" t="s">
        <v>626</v>
      </c>
      <c r="E11" s="492" t="s">
        <v>827</v>
      </c>
      <c r="F11" s="508" t="s">
        <v>733</v>
      </c>
      <c r="G11" s="493" t="s">
        <v>828</v>
      </c>
      <c r="H11" s="779" t="s">
        <v>1443</v>
      </c>
      <c r="I11" s="783" t="s">
        <v>1546</v>
      </c>
      <c r="J11" s="787" t="s">
        <v>1682</v>
      </c>
      <c r="K11" s="791" t="s">
        <v>1819</v>
      </c>
    </row>
    <row r="12" spans="1:22" ht="16" x14ac:dyDescent="0.2">
      <c r="C12" s="501">
        <v>9</v>
      </c>
      <c r="D12" s="752" t="s">
        <v>1337</v>
      </c>
      <c r="E12" s="753" t="s">
        <v>1344</v>
      </c>
      <c r="F12" s="508" t="s">
        <v>1345</v>
      </c>
      <c r="G12" s="754" t="s">
        <v>1349</v>
      </c>
      <c r="H12" s="779" t="s">
        <v>1444</v>
      </c>
      <c r="I12" s="783" t="s">
        <v>1547</v>
      </c>
      <c r="J12" s="787" t="s">
        <v>1683</v>
      </c>
      <c r="K12" s="791" t="s">
        <v>1820</v>
      </c>
      <c r="M12" s="506" t="str" cm="1">
        <f t="array" ref="M12">INDEX(Kirjasto!D4:K130,94,Kirjasto!B4)</f>
        <v>Temperatura zużytego powietrza</v>
      </c>
    </row>
    <row r="13" spans="1:22" ht="16" x14ac:dyDescent="0.2">
      <c r="C13" s="501">
        <v>10</v>
      </c>
      <c r="D13" s="837" t="s">
        <v>1337</v>
      </c>
      <c r="E13" s="838" t="s">
        <v>1344</v>
      </c>
      <c r="F13" s="508" t="s">
        <v>1345</v>
      </c>
      <c r="G13" s="839" t="s">
        <v>1349</v>
      </c>
      <c r="H13" s="779" t="s">
        <v>1444</v>
      </c>
      <c r="I13" s="783" t="s">
        <v>1547</v>
      </c>
      <c r="J13" s="787" t="s">
        <v>1683</v>
      </c>
      <c r="K13" s="791" t="s">
        <v>1820</v>
      </c>
      <c r="M13" s="490" t="str" cm="1">
        <f t="array" ref="M13">INDEX(Kirjasto!D4:K130,95,Kirjasto!B4)</f>
        <v>Temperatura zużytego powietrza [°C]</v>
      </c>
    </row>
    <row r="14" spans="1:22" ht="16" x14ac:dyDescent="0.2">
      <c r="C14" s="501">
        <v>11</v>
      </c>
      <c r="D14" s="752" t="s">
        <v>1335</v>
      </c>
      <c r="E14" s="753" t="s">
        <v>1343</v>
      </c>
      <c r="F14" s="508" t="s">
        <v>1347</v>
      </c>
      <c r="G14" s="754" t="s">
        <v>1351</v>
      </c>
      <c r="H14" s="779" t="s">
        <v>1446</v>
      </c>
      <c r="I14" s="783" t="s">
        <v>1549</v>
      </c>
      <c r="J14" s="787" t="s">
        <v>1685</v>
      </c>
      <c r="K14" s="791" t="s">
        <v>1822</v>
      </c>
      <c r="M14" s="490" t="str" cm="1">
        <f t="array" ref="M14">INDEX(Kirjasto!D4:K130,96,Kirjasto!B4)</f>
        <v>Temperatura powietrza zewnętrznego [°C]</v>
      </c>
    </row>
    <row r="15" spans="1:22" ht="16" x14ac:dyDescent="0.2">
      <c r="C15" s="501">
        <v>12</v>
      </c>
      <c r="D15" s="752" t="s">
        <v>1334</v>
      </c>
      <c r="E15" s="753" t="s">
        <v>1342</v>
      </c>
      <c r="F15" s="508" t="s">
        <v>1354</v>
      </c>
      <c r="G15" s="754" t="s">
        <v>1352</v>
      </c>
      <c r="H15" s="779" t="s">
        <v>1447</v>
      </c>
      <c r="I15" s="783" t="s">
        <v>1550</v>
      </c>
      <c r="J15" s="787" t="s">
        <v>1686</v>
      </c>
      <c r="K15" s="791" t="s">
        <v>1823</v>
      </c>
    </row>
    <row r="16" spans="1:22" ht="16" x14ac:dyDescent="0.2">
      <c r="C16" s="501">
        <v>13</v>
      </c>
      <c r="D16" s="752" t="s">
        <v>1338</v>
      </c>
      <c r="E16" s="753" t="s">
        <v>1341</v>
      </c>
      <c r="F16" s="508" t="s">
        <v>1348</v>
      </c>
      <c r="G16" s="754" t="s">
        <v>1353</v>
      </c>
      <c r="H16" s="779" t="s">
        <v>1448</v>
      </c>
      <c r="I16" s="783" t="s">
        <v>1551</v>
      </c>
      <c r="J16" s="787" t="s">
        <v>1687</v>
      </c>
      <c r="K16" s="791" t="s">
        <v>1824</v>
      </c>
      <c r="M16" s="490" t="str" cm="1">
        <f t="array" ref="M16">INDEX(Kirjasto!D4:K130,15,Kirjasto!B4)</f>
        <v>Gęstość powietrza: 1,2 kg/m³</v>
      </c>
    </row>
    <row r="17" spans="3:13" ht="16" x14ac:dyDescent="0.2">
      <c r="C17" s="501">
        <v>14</v>
      </c>
      <c r="D17" s="752" t="s">
        <v>1336</v>
      </c>
      <c r="E17" s="753" t="s">
        <v>1340</v>
      </c>
      <c r="F17" s="508" t="s">
        <v>1346</v>
      </c>
      <c r="G17" s="754" t="s">
        <v>1350</v>
      </c>
      <c r="H17" s="779" t="s">
        <v>1445</v>
      </c>
      <c r="I17" s="783" t="s">
        <v>1548</v>
      </c>
      <c r="J17" s="787" t="s">
        <v>1684</v>
      </c>
      <c r="K17" s="791" t="s">
        <v>1821</v>
      </c>
      <c r="M17" s="490" t="str" cm="1">
        <f t="array" ref="M17">INDEX(Kirjasto!D4:K130,16,Kirjasto!B4)</f>
        <v>Powietrze nawiewane</v>
      </c>
    </row>
    <row r="18" spans="3:13" ht="16" x14ac:dyDescent="0.2">
      <c r="C18" s="501">
        <v>15</v>
      </c>
      <c r="D18" s="491" t="s">
        <v>628</v>
      </c>
      <c r="E18" s="492" t="s">
        <v>829</v>
      </c>
      <c r="F18" s="508" t="s">
        <v>734</v>
      </c>
      <c r="G18" s="493" t="s">
        <v>830</v>
      </c>
      <c r="H18" s="779" t="s">
        <v>1449</v>
      </c>
      <c r="I18" s="783" t="s">
        <v>1552</v>
      </c>
      <c r="J18" s="787" t="s">
        <v>1688</v>
      </c>
      <c r="K18" s="791" t="s">
        <v>1825</v>
      </c>
      <c r="M18" s="490" t="str" cm="1">
        <f t="array" ref="M18">INDEX(Kirjasto!D4:K130,17,Kirjasto!B4)</f>
        <v>Powietrze wywiewane</v>
      </c>
    </row>
    <row r="19" spans="3:13" ht="16" x14ac:dyDescent="0.2">
      <c r="C19" s="501">
        <v>16</v>
      </c>
      <c r="D19" s="621" t="s">
        <v>311</v>
      </c>
      <c r="E19" s="622" t="s">
        <v>641</v>
      </c>
      <c r="F19" s="508" t="s">
        <v>747</v>
      </c>
      <c r="G19" s="493" t="s">
        <v>642</v>
      </c>
      <c r="H19" s="846" t="s">
        <v>2004</v>
      </c>
      <c r="I19" s="783" t="s">
        <v>1553</v>
      </c>
      <c r="J19" s="787" t="s">
        <v>1689</v>
      </c>
      <c r="K19" s="791" t="s">
        <v>1826</v>
      </c>
    </row>
    <row r="20" spans="3:13" ht="16" x14ac:dyDescent="0.2">
      <c r="C20" s="501">
        <v>17</v>
      </c>
      <c r="D20" s="621" t="s">
        <v>312</v>
      </c>
      <c r="E20" s="622" t="s">
        <v>645</v>
      </c>
      <c r="F20" s="508" t="s">
        <v>749</v>
      </c>
      <c r="G20" s="493" t="s">
        <v>646</v>
      </c>
      <c r="H20" s="846" t="s">
        <v>2005</v>
      </c>
      <c r="I20" s="783" t="s">
        <v>1950</v>
      </c>
      <c r="J20" s="787" t="s">
        <v>1951</v>
      </c>
      <c r="K20" s="791" t="s">
        <v>1952</v>
      </c>
      <c r="M20" s="490" t="str" cm="1">
        <f t="array" ref="M20">INDEX(Kirjasto!D4:K130,6,Kirjasto!B4)</f>
        <v xml:space="preserve">Obudowa tłumiąca dźwięk: "pakiet dB" (Uwaga! Wymaga ramy szafki) </v>
      </c>
    </row>
    <row r="21" spans="3:13" ht="16" x14ac:dyDescent="0.2">
      <c r="C21" s="501">
        <v>18</v>
      </c>
      <c r="D21" s="591" t="s">
        <v>629</v>
      </c>
      <c r="E21" s="592" t="s">
        <v>630</v>
      </c>
      <c r="F21" s="508" t="s">
        <v>735</v>
      </c>
      <c r="G21" s="593" t="s">
        <v>831</v>
      </c>
      <c r="H21" s="779" t="s">
        <v>1450</v>
      </c>
      <c r="I21" s="783" t="s">
        <v>1555</v>
      </c>
      <c r="J21" s="787" t="s">
        <v>1691</v>
      </c>
      <c r="K21" s="791" t="s">
        <v>1828</v>
      </c>
      <c r="M21" s="490" t="str" cm="1">
        <f t="array" ref="M21">INDEX(Kirjasto!D4:K130,7,Kirjasto!B4)</f>
        <v>Nagrzewnica wodna</v>
      </c>
    </row>
    <row r="22" spans="3:13" ht="16" x14ac:dyDescent="0.2">
      <c r="C22" s="501">
        <v>19</v>
      </c>
      <c r="D22" s="591" t="s">
        <v>631</v>
      </c>
      <c r="E22" s="592" t="s">
        <v>632</v>
      </c>
      <c r="F22" s="508" t="s">
        <v>736</v>
      </c>
      <c r="G22" s="593" t="s">
        <v>832</v>
      </c>
      <c r="H22" s="779" t="s">
        <v>1451</v>
      </c>
      <c r="I22" s="783" t="s">
        <v>1556</v>
      </c>
      <c r="J22" s="787" t="s">
        <v>1692</v>
      </c>
      <c r="K22" s="791" t="s">
        <v>1829</v>
      </c>
    </row>
    <row r="23" spans="3:13" ht="16" x14ac:dyDescent="0.2">
      <c r="C23" s="501">
        <v>20</v>
      </c>
      <c r="D23" s="491" t="s">
        <v>341</v>
      </c>
      <c r="E23" s="492" t="s">
        <v>712</v>
      </c>
      <c r="F23" s="508" t="s">
        <v>737</v>
      </c>
      <c r="G23" s="493" t="s">
        <v>833</v>
      </c>
      <c r="H23" s="779" t="s">
        <v>1452</v>
      </c>
      <c r="I23" s="783" t="s">
        <v>1557</v>
      </c>
      <c r="J23" s="787" t="s">
        <v>1693</v>
      </c>
      <c r="K23" s="791" t="s">
        <v>1830</v>
      </c>
    </row>
    <row r="24" spans="3:13" ht="16" x14ac:dyDescent="0.2">
      <c r="C24" s="501">
        <v>21</v>
      </c>
      <c r="D24" s="491" t="s">
        <v>303</v>
      </c>
      <c r="E24" s="492" t="s">
        <v>633</v>
      </c>
      <c r="F24" s="508" t="s">
        <v>738</v>
      </c>
      <c r="G24" s="493" t="s">
        <v>834</v>
      </c>
      <c r="H24" s="779" t="s">
        <v>1453</v>
      </c>
      <c r="I24" s="783" t="s">
        <v>1558</v>
      </c>
      <c r="J24" s="787" t="s">
        <v>1694</v>
      </c>
      <c r="K24" s="791" t="s">
        <v>1831</v>
      </c>
    </row>
    <row r="25" spans="3:13" ht="16" x14ac:dyDescent="0.2">
      <c r="C25" s="501">
        <v>22</v>
      </c>
      <c r="D25" s="491" t="s">
        <v>302</v>
      </c>
      <c r="E25" s="492" t="s">
        <v>634</v>
      </c>
      <c r="F25" s="508" t="s">
        <v>739</v>
      </c>
      <c r="G25" s="493" t="s">
        <v>831</v>
      </c>
      <c r="H25" s="779" t="s">
        <v>1454</v>
      </c>
      <c r="I25" s="783" t="s">
        <v>1559</v>
      </c>
      <c r="J25" s="787" t="s">
        <v>1695</v>
      </c>
      <c r="K25" s="791" t="s">
        <v>1832</v>
      </c>
    </row>
    <row r="26" spans="3:13" ht="16" x14ac:dyDescent="0.2">
      <c r="C26" s="501">
        <v>23</v>
      </c>
      <c r="D26" s="491" t="s">
        <v>635</v>
      </c>
      <c r="E26" s="492" t="s">
        <v>636</v>
      </c>
      <c r="F26" s="508" t="s">
        <v>1126</v>
      </c>
      <c r="G26" s="623" t="s">
        <v>1125</v>
      </c>
      <c r="H26" s="779" t="s">
        <v>1455</v>
      </c>
      <c r="I26" s="783" t="s">
        <v>1560</v>
      </c>
      <c r="J26" s="787" t="s">
        <v>1696</v>
      </c>
      <c r="K26" s="791" t="s">
        <v>1833</v>
      </c>
    </row>
    <row r="27" spans="3:13" ht="16" x14ac:dyDescent="0.2">
      <c r="C27" s="501">
        <v>24</v>
      </c>
      <c r="D27" s="491" t="s">
        <v>342</v>
      </c>
      <c r="E27" s="492" t="s">
        <v>711</v>
      </c>
      <c r="F27" s="508" t="s">
        <v>740</v>
      </c>
      <c r="G27" s="623" t="s">
        <v>1124</v>
      </c>
      <c r="H27" s="779" t="s">
        <v>1456</v>
      </c>
      <c r="I27" s="783" t="s">
        <v>1561</v>
      </c>
      <c r="J27" s="787" t="s">
        <v>1697</v>
      </c>
      <c r="K27" s="791" t="s">
        <v>1834</v>
      </c>
    </row>
    <row r="28" spans="3:13" ht="16" x14ac:dyDescent="0.2">
      <c r="C28" s="501">
        <v>25</v>
      </c>
      <c r="D28" s="491" t="s">
        <v>306</v>
      </c>
      <c r="E28" s="492" t="s">
        <v>637</v>
      </c>
      <c r="F28" s="508" t="s">
        <v>741</v>
      </c>
      <c r="G28" s="493" t="s">
        <v>835</v>
      </c>
      <c r="H28" s="846" t="s">
        <v>2010</v>
      </c>
      <c r="I28" s="783" t="s">
        <v>1562</v>
      </c>
      <c r="J28" s="787" t="s">
        <v>1698</v>
      </c>
      <c r="K28" s="791" t="s">
        <v>1835</v>
      </c>
    </row>
    <row r="29" spans="3:13" ht="16" x14ac:dyDescent="0.2">
      <c r="C29" s="501">
        <v>26</v>
      </c>
      <c r="D29" s="491" t="s">
        <v>304</v>
      </c>
      <c r="E29" s="492" t="s">
        <v>715</v>
      </c>
      <c r="F29" s="508" t="s">
        <v>742</v>
      </c>
      <c r="G29" s="493" t="s">
        <v>836</v>
      </c>
      <c r="H29" s="779" t="s">
        <v>1457</v>
      </c>
      <c r="I29" s="783" t="s">
        <v>1563</v>
      </c>
      <c r="J29" s="787" t="s">
        <v>1699</v>
      </c>
      <c r="K29" s="791" t="s">
        <v>1836</v>
      </c>
    </row>
    <row r="30" spans="3:13" ht="16" x14ac:dyDescent="0.2">
      <c r="C30" s="501">
        <v>27</v>
      </c>
      <c r="D30" s="491" t="s">
        <v>305</v>
      </c>
      <c r="E30" s="492" t="s">
        <v>713</v>
      </c>
      <c r="F30" s="508" t="s">
        <v>743</v>
      </c>
      <c r="G30" s="493" t="s">
        <v>837</v>
      </c>
      <c r="H30" s="846" t="s">
        <v>2011</v>
      </c>
      <c r="I30" s="783" t="s">
        <v>1564</v>
      </c>
      <c r="J30" s="787" t="s">
        <v>1700</v>
      </c>
      <c r="K30" s="791" t="s">
        <v>1837</v>
      </c>
    </row>
    <row r="31" spans="3:13" ht="16" x14ac:dyDescent="0.2">
      <c r="C31" s="501">
        <v>28</v>
      </c>
      <c r="D31" s="491" t="s">
        <v>307</v>
      </c>
      <c r="E31" s="492" t="s">
        <v>714</v>
      </c>
      <c r="F31" s="508" t="s">
        <v>744</v>
      </c>
      <c r="G31" s="493" t="s">
        <v>838</v>
      </c>
      <c r="H31" s="779" t="s">
        <v>1458</v>
      </c>
      <c r="I31" s="783" t="s">
        <v>1565</v>
      </c>
      <c r="J31" s="787" t="s">
        <v>1701</v>
      </c>
      <c r="K31" s="791" t="s">
        <v>1838</v>
      </c>
    </row>
    <row r="32" spans="3:13" ht="16" x14ac:dyDescent="0.2">
      <c r="C32" s="501">
        <v>29</v>
      </c>
      <c r="D32" s="491" t="s">
        <v>308</v>
      </c>
      <c r="E32" s="492" t="s">
        <v>638</v>
      </c>
      <c r="F32" s="508" t="s">
        <v>745</v>
      </c>
      <c r="G32" s="493" t="s">
        <v>839</v>
      </c>
      <c r="H32" s="779" t="s">
        <v>1459</v>
      </c>
      <c r="I32" s="783" t="s">
        <v>1566</v>
      </c>
      <c r="J32" s="787" t="s">
        <v>1702</v>
      </c>
      <c r="K32" s="791" t="s">
        <v>1839</v>
      </c>
    </row>
    <row r="33" spans="3:11" ht="16" x14ac:dyDescent="0.2">
      <c r="C33" s="501">
        <v>30</v>
      </c>
      <c r="D33" s="491" t="s">
        <v>76</v>
      </c>
      <c r="E33" s="492" t="s">
        <v>76</v>
      </c>
      <c r="F33" s="508" t="s">
        <v>76</v>
      </c>
      <c r="G33" s="493" t="s">
        <v>76</v>
      </c>
      <c r="H33" s="779" t="s">
        <v>76</v>
      </c>
      <c r="I33" s="783" t="s">
        <v>76</v>
      </c>
      <c r="J33" s="787" t="s">
        <v>76</v>
      </c>
      <c r="K33" s="791" t="s">
        <v>76</v>
      </c>
    </row>
    <row r="34" spans="3:11" ht="16" x14ac:dyDescent="0.2">
      <c r="C34" s="501">
        <v>31</v>
      </c>
      <c r="D34" s="491" t="s">
        <v>309</v>
      </c>
      <c r="E34" s="492" t="s">
        <v>639</v>
      </c>
      <c r="F34" s="508" t="s">
        <v>809</v>
      </c>
      <c r="G34" s="514" t="s">
        <v>840</v>
      </c>
      <c r="H34" s="779" t="s">
        <v>1460</v>
      </c>
      <c r="I34" s="783" t="s">
        <v>1567</v>
      </c>
      <c r="J34" s="787" t="s">
        <v>1703</v>
      </c>
      <c r="K34" s="791" t="s">
        <v>1840</v>
      </c>
    </row>
    <row r="35" spans="3:11" ht="16" x14ac:dyDescent="0.2">
      <c r="C35" s="501">
        <v>32</v>
      </c>
      <c r="D35" s="491" t="s">
        <v>310</v>
      </c>
      <c r="E35" s="492" t="s">
        <v>640</v>
      </c>
      <c r="F35" s="510" t="s">
        <v>746</v>
      </c>
      <c r="G35" s="493" t="s">
        <v>841</v>
      </c>
      <c r="H35" s="779" t="s">
        <v>1461</v>
      </c>
      <c r="I35" s="783" t="s">
        <v>1568</v>
      </c>
      <c r="J35" s="787" t="s">
        <v>1704</v>
      </c>
      <c r="K35" s="791" t="s">
        <v>1841</v>
      </c>
    </row>
    <row r="36" spans="3:11" ht="16" x14ac:dyDescent="0.2">
      <c r="C36" s="501">
        <v>33</v>
      </c>
      <c r="D36" s="491" t="s">
        <v>311</v>
      </c>
      <c r="E36" s="492" t="s">
        <v>641</v>
      </c>
      <c r="F36" s="508" t="s">
        <v>747</v>
      </c>
      <c r="G36" s="493" t="s">
        <v>642</v>
      </c>
      <c r="H36" s="846" t="s">
        <v>2014</v>
      </c>
      <c r="I36" s="783" t="s">
        <v>1553</v>
      </c>
      <c r="J36" s="787" t="s">
        <v>1689</v>
      </c>
      <c r="K36" s="791" t="s">
        <v>1826</v>
      </c>
    </row>
    <row r="37" spans="3:11" ht="16" x14ac:dyDescent="0.2">
      <c r="C37" s="501">
        <v>34</v>
      </c>
      <c r="D37" s="491" t="s">
        <v>544</v>
      </c>
      <c r="E37" s="492" t="s">
        <v>643</v>
      </c>
      <c r="F37" s="508" t="s">
        <v>748</v>
      </c>
      <c r="G37" s="493" t="s">
        <v>644</v>
      </c>
      <c r="H37" s="846" t="s">
        <v>2015</v>
      </c>
      <c r="I37" s="783" t="s">
        <v>1569</v>
      </c>
      <c r="J37" s="787" t="s">
        <v>1705</v>
      </c>
      <c r="K37" s="791" t="s">
        <v>1842</v>
      </c>
    </row>
    <row r="38" spans="3:11" ht="16" x14ac:dyDescent="0.2">
      <c r="C38" s="501">
        <v>35</v>
      </c>
      <c r="D38" s="491" t="s">
        <v>312</v>
      </c>
      <c r="E38" s="492" t="s">
        <v>645</v>
      </c>
      <c r="F38" s="508" t="s">
        <v>749</v>
      </c>
      <c r="G38" s="493" t="s">
        <v>646</v>
      </c>
      <c r="H38" s="846" t="s">
        <v>2016</v>
      </c>
      <c r="I38" s="783" t="s">
        <v>1554</v>
      </c>
      <c r="J38" s="787" t="s">
        <v>1690</v>
      </c>
      <c r="K38" s="791" t="s">
        <v>1827</v>
      </c>
    </row>
    <row r="39" spans="3:11" ht="16" x14ac:dyDescent="0.2">
      <c r="C39" s="501">
        <v>36</v>
      </c>
      <c r="D39" s="491" t="s">
        <v>280</v>
      </c>
      <c r="E39" s="492" t="s">
        <v>647</v>
      </c>
      <c r="F39" s="508" t="s">
        <v>750</v>
      </c>
      <c r="G39" s="493" t="s">
        <v>648</v>
      </c>
      <c r="H39" s="846" t="s">
        <v>2017</v>
      </c>
      <c r="I39" s="783" t="s">
        <v>1570</v>
      </c>
      <c r="J39" s="787" t="s">
        <v>1706</v>
      </c>
      <c r="K39" s="791" t="s">
        <v>1843</v>
      </c>
    </row>
    <row r="40" spans="3:11" ht="16" x14ac:dyDescent="0.2">
      <c r="C40" s="501">
        <v>37</v>
      </c>
      <c r="D40" s="491" t="s">
        <v>390</v>
      </c>
      <c r="E40" s="492" t="s">
        <v>649</v>
      </c>
      <c r="F40" s="508" t="s">
        <v>751</v>
      </c>
      <c r="G40" s="493" t="s">
        <v>842</v>
      </c>
      <c r="H40" s="846" t="s">
        <v>2018</v>
      </c>
      <c r="I40" s="783" t="s">
        <v>1571</v>
      </c>
      <c r="J40" s="787" t="s">
        <v>1707</v>
      </c>
      <c r="K40" s="791" t="s">
        <v>1844</v>
      </c>
    </row>
    <row r="41" spans="3:11" ht="18" x14ac:dyDescent="0.25">
      <c r="C41" s="501">
        <v>38</v>
      </c>
      <c r="D41" s="491" t="s">
        <v>650</v>
      </c>
      <c r="E41" s="492" t="s">
        <v>651</v>
      </c>
      <c r="F41" s="508" t="s">
        <v>752</v>
      </c>
      <c r="G41" s="514" t="s">
        <v>843</v>
      </c>
      <c r="H41" s="779" t="s">
        <v>1462</v>
      </c>
      <c r="I41" s="783" t="s">
        <v>1572</v>
      </c>
      <c r="J41" s="787" t="s">
        <v>1708</v>
      </c>
      <c r="K41" s="791" t="s">
        <v>1845</v>
      </c>
    </row>
    <row r="42" spans="3:11" ht="18" x14ac:dyDescent="0.25">
      <c r="C42" s="501">
        <v>39</v>
      </c>
      <c r="D42" s="491" t="s">
        <v>652</v>
      </c>
      <c r="E42" s="492" t="s">
        <v>652</v>
      </c>
      <c r="F42" s="508" t="s">
        <v>652</v>
      </c>
      <c r="G42" s="493" t="s">
        <v>652</v>
      </c>
      <c r="H42" s="779" t="s">
        <v>652</v>
      </c>
      <c r="I42" s="783" t="s">
        <v>652</v>
      </c>
      <c r="J42" s="787" t="s">
        <v>652</v>
      </c>
      <c r="K42" s="791" t="s">
        <v>652</v>
      </c>
    </row>
    <row r="43" spans="3:11" ht="18" x14ac:dyDescent="0.25">
      <c r="C43" s="501">
        <v>40</v>
      </c>
      <c r="D43" s="491" t="s">
        <v>653</v>
      </c>
      <c r="E43" s="492" t="s">
        <v>653</v>
      </c>
      <c r="F43" s="508" t="s">
        <v>653</v>
      </c>
      <c r="G43" s="493" t="s">
        <v>653</v>
      </c>
      <c r="H43" s="779" t="s">
        <v>653</v>
      </c>
      <c r="I43" s="783" t="s">
        <v>653</v>
      </c>
      <c r="J43" s="787" t="s">
        <v>653</v>
      </c>
      <c r="K43" s="791" t="s">
        <v>653</v>
      </c>
    </row>
    <row r="44" spans="3:11" ht="16" x14ac:dyDescent="0.2">
      <c r="C44" s="501">
        <v>41</v>
      </c>
      <c r="D44" s="491" t="s">
        <v>654</v>
      </c>
      <c r="E44" s="492" t="s">
        <v>655</v>
      </c>
      <c r="F44" s="508" t="s">
        <v>753</v>
      </c>
      <c r="G44" s="493" t="s">
        <v>844</v>
      </c>
      <c r="H44" s="846" t="s">
        <v>2019</v>
      </c>
      <c r="I44" s="783" t="s">
        <v>1573</v>
      </c>
      <c r="J44" s="787" t="s">
        <v>1709</v>
      </c>
      <c r="K44" s="791" t="s">
        <v>1846</v>
      </c>
    </row>
    <row r="45" spans="3:11" ht="16" x14ac:dyDescent="0.2">
      <c r="C45" s="501">
        <v>42</v>
      </c>
      <c r="D45" s="491" t="s">
        <v>96</v>
      </c>
      <c r="E45" s="492" t="s">
        <v>656</v>
      </c>
      <c r="F45" s="508" t="s">
        <v>754</v>
      </c>
      <c r="G45" s="493" t="s">
        <v>845</v>
      </c>
      <c r="H45" s="846" t="s">
        <v>2020</v>
      </c>
      <c r="I45" s="783" t="s">
        <v>1574</v>
      </c>
      <c r="J45" s="787" t="s">
        <v>1710</v>
      </c>
      <c r="K45" s="791" t="s">
        <v>1847</v>
      </c>
    </row>
    <row r="46" spans="3:11" ht="32" x14ac:dyDescent="0.2">
      <c r="C46" s="501">
        <v>43</v>
      </c>
      <c r="D46" s="491" t="s">
        <v>314</v>
      </c>
      <c r="E46" s="492" t="s">
        <v>846</v>
      </c>
      <c r="F46" s="508" t="s">
        <v>755</v>
      </c>
      <c r="G46" s="514" t="s">
        <v>847</v>
      </c>
      <c r="H46" s="779" t="s">
        <v>1463</v>
      </c>
      <c r="I46" s="783" t="s">
        <v>1575</v>
      </c>
      <c r="J46" s="787" t="s">
        <v>1711</v>
      </c>
      <c r="K46" s="791" t="s">
        <v>1848</v>
      </c>
    </row>
    <row r="47" spans="3:11" ht="32" x14ac:dyDescent="0.2">
      <c r="C47" s="501">
        <v>44</v>
      </c>
      <c r="D47" s="491" t="s">
        <v>791</v>
      </c>
      <c r="E47" s="494" t="s">
        <v>848</v>
      </c>
      <c r="F47" s="509" t="s">
        <v>849</v>
      </c>
      <c r="G47" s="514" t="s">
        <v>850</v>
      </c>
      <c r="H47" s="779" t="s">
        <v>1464</v>
      </c>
      <c r="I47" s="783" t="s">
        <v>1576</v>
      </c>
      <c r="J47" s="787" t="s">
        <v>1712</v>
      </c>
      <c r="K47" s="791" t="s">
        <v>1849</v>
      </c>
    </row>
    <row r="48" spans="3:11" ht="32" x14ac:dyDescent="0.2">
      <c r="C48" s="501">
        <v>45</v>
      </c>
      <c r="D48" s="491" t="s">
        <v>657</v>
      </c>
      <c r="E48" s="492" t="s">
        <v>658</v>
      </c>
      <c r="F48" s="508" t="s">
        <v>756</v>
      </c>
      <c r="G48" s="493" t="s">
        <v>851</v>
      </c>
      <c r="H48" s="779" t="s">
        <v>1465</v>
      </c>
      <c r="I48" s="783" t="s">
        <v>1577</v>
      </c>
      <c r="J48" s="787" t="s">
        <v>1713</v>
      </c>
      <c r="K48" s="791" t="s">
        <v>1850</v>
      </c>
    </row>
    <row r="49" spans="3:11" ht="32" x14ac:dyDescent="0.2">
      <c r="C49" s="501">
        <v>46</v>
      </c>
      <c r="D49" s="491" t="s">
        <v>659</v>
      </c>
      <c r="E49" s="494" t="s">
        <v>660</v>
      </c>
      <c r="F49" s="509" t="s">
        <v>757</v>
      </c>
      <c r="G49" s="515" t="s">
        <v>852</v>
      </c>
      <c r="H49" s="779" t="s">
        <v>1466</v>
      </c>
      <c r="I49" s="783" t="s">
        <v>1578</v>
      </c>
      <c r="J49" s="787" t="s">
        <v>1714</v>
      </c>
      <c r="K49" s="791" t="s">
        <v>1851</v>
      </c>
    </row>
    <row r="50" spans="3:11" ht="32" x14ac:dyDescent="0.2">
      <c r="C50" s="501">
        <v>47</v>
      </c>
      <c r="D50" s="491" t="s">
        <v>572</v>
      </c>
      <c r="E50" s="494" t="s">
        <v>718</v>
      </c>
      <c r="F50" s="509" t="s">
        <v>758</v>
      </c>
      <c r="G50" s="493" t="s">
        <v>853</v>
      </c>
      <c r="H50" s="779" t="s">
        <v>1467</v>
      </c>
      <c r="I50" s="783" t="s">
        <v>1579</v>
      </c>
      <c r="J50" s="787" t="s">
        <v>1715</v>
      </c>
      <c r="K50" s="791" t="s">
        <v>1852</v>
      </c>
    </row>
    <row r="51" spans="3:11" ht="16" x14ac:dyDescent="0.2">
      <c r="C51" s="501">
        <v>48</v>
      </c>
      <c r="D51" s="491" t="s">
        <v>315</v>
      </c>
      <c r="E51" s="492" t="s">
        <v>661</v>
      </c>
      <c r="F51" s="508" t="s">
        <v>759</v>
      </c>
      <c r="G51" s="493" t="s">
        <v>854</v>
      </c>
      <c r="H51" s="779" t="s">
        <v>1468</v>
      </c>
      <c r="I51" s="783" t="s">
        <v>1580</v>
      </c>
      <c r="J51" s="787" t="s">
        <v>1716</v>
      </c>
      <c r="K51" s="791" t="s">
        <v>1853</v>
      </c>
    </row>
    <row r="52" spans="3:11" ht="16" x14ac:dyDescent="0.2">
      <c r="C52" s="501">
        <v>49</v>
      </c>
      <c r="D52" s="491" t="s">
        <v>207</v>
      </c>
      <c r="E52" s="492" t="s">
        <v>719</v>
      </c>
      <c r="F52" s="508" t="s">
        <v>760</v>
      </c>
      <c r="G52" s="493" t="s">
        <v>855</v>
      </c>
      <c r="H52" s="779" t="s">
        <v>1469</v>
      </c>
      <c r="I52" s="783" t="s">
        <v>1581</v>
      </c>
      <c r="J52" s="787" t="s">
        <v>1717</v>
      </c>
      <c r="K52" s="791" t="s">
        <v>1854</v>
      </c>
    </row>
    <row r="53" spans="3:11" ht="16" x14ac:dyDescent="0.2">
      <c r="C53" s="501">
        <v>50</v>
      </c>
      <c r="D53" s="491" t="s">
        <v>316</v>
      </c>
      <c r="E53" s="492" t="s">
        <v>145</v>
      </c>
      <c r="F53" s="508" t="s">
        <v>761</v>
      </c>
      <c r="G53" s="493" t="s">
        <v>856</v>
      </c>
      <c r="H53" s="779" t="s">
        <v>1470</v>
      </c>
      <c r="I53" s="783" t="s">
        <v>1582</v>
      </c>
      <c r="J53" s="787" t="s">
        <v>1718</v>
      </c>
      <c r="K53" s="791" t="s">
        <v>1855</v>
      </c>
    </row>
    <row r="54" spans="3:11" ht="16" x14ac:dyDescent="0.2">
      <c r="C54" s="501">
        <v>51</v>
      </c>
      <c r="D54" s="491" t="s">
        <v>317</v>
      </c>
      <c r="E54" s="492" t="s">
        <v>146</v>
      </c>
      <c r="F54" s="508" t="s">
        <v>762</v>
      </c>
      <c r="G54" s="493" t="s">
        <v>857</v>
      </c>
      <c r="H54" s="779" t="s">
        <v>1471</v>
      </c>
      <c r="I54" s="783" t="s">
        <v>1583</v>
      </c>
      <c r="J54" s="787" t="s">
        <v>1719</v>
      </c>
      <c r="K54" s="791" t="s">
        <v>1856</v>
      </c>
    </row>
    <row r="55" spans="3:11" ht="16" x14ac:dyDescent="0.2">
      <c r="C55" s="501">
        <v>52</v>
      </c>
      <c r="D55" s="491" t="s">
        <v>318</v>
      </c>
      <c r="E55" s="492" t="s">
        <v>147</v>
      </c>
      <c r="F55" s="508" t="s">
        <v>763</v>
      </c>
      <c r="G55" s="493" t="s">
        <v>858</v>
      </c>
      <c r="H55" s="846" t="s">
        <v>2021</v>
      </c>
      <c r="I55" s="783" t="s">
        <v>1584</v>
      </c>
      <c r="J55" s="787" t="s">
        <v>1720</v>
      </c>
      <c r="K55" s="791" t="s">
        <v>1857</v>
      </c>
    </row>
    <row r="56" spans="3:11" ht="16" x14ac:dyDescent="0.2">
      <c r="C56" s="501">
        <v>53</v>
      </c>
      <c r="D56" s="491" t="s">
        <v>319</v>
      </c>
      <c r="E56" s="492" t="s">
        <v>148</v>
      </c>
      <c r="F56" s="508" t="s">
        <v>764</v>
      </c>
      <c r="G56" s="493" t="s">
        <v>859</v>
      </c>
      <c r="H56" s="779" t="s">
        <v>764</v>
      </c>
      <c r="I56" s="783" t="s">
        <v>1585</v>
      </c>
      <c r="J56" s="787" t="s">
        <v>1721</v>
      </c>
      <c r="K56" s="791" t="s">
        <v>1858</v>
      </c>
    </row>
    <row r="57" spans="3:11" ht="16" x14ac:dyDescent="0.2">
      <c r="C57" s="501">
        <v>54</v>
      </c>
      <c r="D57" s="491" t="s">
        <v>320</v>
      </c>
      <c r="E57" s="492" t="s">
        <v>662</v>
      </c>
      <c r="F57" s="508" t="s">
        <v>765</v>
      </c>
      <c r="G57" s="493" t="s">
        <v>860</v>
      </c>
      <c r="H57" s="779" t="s">
        <v>1472</v>
      </c>
      <c r="I57" s="783" t="s">
        <v>1586</v>
      </c>
      <c r="J57" s="787" t="s">
        <v>1722</v>
      </c>
      <c r="K57" s="791" t="s">
        <v>1859</v>
      </c>
    </row>
    <row r="58" spans="3:11" ht="96" x14ac:dyDescent="0.2">
      <c r="C58" s="501">
        <v>55</v>
      </c>
      <c r="D58" s="491" t="s">
        <v>336</v>
      </c>
      <c r="E58" s="494" t="s">
        <v>861</v>
      </c>
      <c r="F58" s="509" t="s">
        <v>862</v>
      </c>
      <c r="G58" s="515" t="s">
        <v>863</v>
      </c>
      <c r="H58" s="779" t="s">
        <v>1473</v>
      </c>
      <c r="I58" s="783" t="s">
        <v>1587</v>
      </c>
      <c r="J58" s="787" t="s">
        <v>1723</v>
      </c>
      <c r="K58" s="791" t="s">
        <v>1860</v>
      </c>
    </row>
    <row r="59" spans="3:11" ht="48" x14ac:dyDescent="0.2">
      <c r="C59" s="501">
        <v>56</v>
      </c>
      <c r="D59" s="491" t="s">
        <v>402</v>
      </c>
      <c r="E59" s="494" t="s">
        <v>864</v>
      </c>
      <c r="F59" s="509" t="s">
        <v>865</v>
      </c>
      <c r="G59" s="514" t="s">
        <v>866</v>
      </c>
      <c r="H59" s="779" t="s">
        <v>1474</v>
      </c>
      <c r="I59" s="783" t="s">
        <v>1588</v>
      </c>
      <c r="J59" s="787" t="s">
        <v>1724</v>
      </c>
      <c r="K59" s="791" t="s">
        <v>1861</v>
      </c>
    </row>
    <row r="60" spans="3:11" ht="16" x14ac:dyDescent="0.2">
      <c r="C60" s="501">
        <v>57</v>
      </c>
      <c r="D60" s="491" t="s">
        <v>322</v>
      </c>
      <c r="E60" s="492" t="s">
        <v>663</v>
      </c>
      <c r="F60" s="508" t="s">
        <v>766</v>
      </c>
      <c r="G60" s="493" t="s">
        <v>867</v>
      </c>
      <c r="H60" s="779" t="s">
        <v>1475</v>
      </c>
      <c r="I60" s="783" t="s">
        <v>1589</v>
      </c>
      <c r="J60" s="787" t="s">
        <v>1725</v>
      </c>
      <c r="K60" s="791" t="s">
        <v>1862</v>
      </c>
    </row>
    <row r="61" spans="3:11" ht="16" x14ac:dyDescent="0.2">
      <c r="C61" s="501">
        <v>58</v>
      </c>
      <c r="D61" s="491" t="s">
        <v>321</v>
      </c>
      <c r="E61" s="492" t="s">
        <v>186</v>
      </c>
      <c r="F61" s="508" t="s">
        <v>767</v>
      </c>
      <c r="G61" s="493" t="s">
        <v>868</v>
      </c>
      <c r="H61" s="779" t="s">
        <v>1476</v>
      </c>
      <c r="I61" s="783" t="s">
        <v>767</v>
      </c>
      <c r="J61" s="787" t="s">
        <v>1726</v>
      </c>
      <c r="K61" s="791" t="s">
        <v>1863</v>
      </c>
    </row>
    <row r="62" spans="3:11" x14ac:dyDescent="0.2">
      <c r="C62" s="501">
        <v>59</v>
      </c>
      <c r="D62" s="495" t="s">
        <v>323</v>
      </c>
      <c r="E62" s="492" t="s">
        <v>664</v>
      </c>
      <c r="F62" s="508" t="s">
        <v>768</v>
      </c>
      <c r="G62" s="493" t="s">
        <v>869</v>
      </c>
      <c r="H62" s="780" t="s">
        <v>1477</v>
      </c>
      <c r="I62" s="784" t="s">
        <v>1590</v>
      </c>
      <c r="J62" s="788" t="s">
        <v>1727</v>
      </c>
      <c r="K62" s="792" t="s">
        <v>1864</v>
      </c>
    </row>
    <row r="63" spans="3:11" x14ac:dyDescent="0.2">
      <c r="C63" s="501">
        <v>60</v>
      </c>
      <c r="D63" s="495" t="s">
        <v>324</v>
      </c>
      <c r="E63" s="492" t="s">
        <v>665</v>
      </c>
      <c r="F63" s="508" t="s">
        <v>769</v>
      </c>
      <c r="G63" s="493" t="s">
        <v>870</v>
      </c>
      <c r="H63" s="780" t="s">
        <v>1478</v>
      </c>
      <c r="I63" s="784" t="s">
        <v>1591</v>
      </c>
      <c r="J63" s="788" t="s">
        <v>1728</v>
      </c>
      <c r="K63" s="792" t="s">
        <v>1865</v>
      </c>
    </row>
    <row r="64" spans="3:11" x14ac:dyDescent="0.2">
      <c r="C64" s="501">
        <v>61</v>
      </c>
      <c r="D64" s="495" t="s">
        <v>330</v>
      </c>
      <c r="E64" s="492" t="s">
        <v>666</v>
      </c>
      <c r="F64" s="508" t="s">
        <v>770</v>
      </c>
      <c r="G64" s="493" t="s">
        <v>871</v>
      </c>
      <c r="H64" s="780" t="s">
        <v>1479</v>
      </c>
      <c r="I64" s="784" t="s">
        <v>1592</v>
      </c>
      <c r="J64" s="788" t="s">
        <v>1729</v>
      </c>
      <c r="K64" s="792" t="s">
        <v>1866</v>
      </c>
    </row>
    <row r="65" spans="3:11" x14ac:dyDescent="0.2">
      <c r="C65" s="501">
        <v>62</v>
      </c>
      <c r="D65" s="495" t="s">
        <v>329</v>
      </c>
      <c r="E65" s="492" t="s">
        <v>667</v>
      </c>
      <c r="F65" s="508" t="s">
        <v>771</v>
      </c>
      <c r="G65" s="493" t="s">
        <v>872</v>
      </c>
      <c r="H65" s="780" t="s">
        <v>1480</v>
      </c>
      <c r="I65" s="784" t="s">
        <v>1593</v>
      </c>
      <c r="J65" s="788" t="s">
        <v>1730</v>
      </c>
      <c r="K65" s="792" t="s">
        <v>1867</v>
      </c>
    </row>
    <row r="66" spans="3:11" x14ac:dyDescent="0.2">
      <c r="C66" s="501">
        <v>63</v>
      </c>
      <c r="D66" s="495" t="s">
        <v>331</v>
      </c>
      <c r="E66" s="492" t="s">
        <v>668</v>
      </c>
      <c r="F66" s="508" t="s">
        <v>772</v>
      </c>
      <c r="G66" s="493" t="s">
        <v>873</v>
      </c>
      <c r="H66" s="780" t="s">
        <v>1481</v>
      </c>
      <c r="I66" s="784" t="s">
        <v>1594</v>
      </c>
      <c r="J66" s="788" t="s">
        <v>1731</v>
      </c>
      <c r="K66" s="792" t="s">
        <v>1868</v>
      </c>
    </row>
    <row r="67" spans="3:11" x14ac:dyDescent="0.2">
      <c r="C67" s="501">
        <v>64</v>
      </c>
      <c r="D67" s="495" t="s">
        <v>332</v>
      </c>
      <c r="E67" s="492" t="s">
        <v>669</v>
      </c>
      <c r="F67" s="508" t="s">
        <v>773</v>
      </c>
      <c r="G67" s="493" t="s">
        <v>874</v>
      </c>
      <c r="H67" s="780" t="s">
        <v>1482</v>
      </c>
      <c r="I67" s="784" t="s">
        <v>1595</v>
      </c>
      <c r="J67" s="788" t="s">
        <v>1732</v>
      </c>
      <c r="K67" s="792" t="s">
        <v>1869</v>
      </c>
    </row>
    <row r="68" spans="3:11" x14ac:dyDescent="0.2">
      <c r="C68" s="501">
        <v>65</v>
      </c>
      <c r="D68" s="496" t="s">
        <v>325</v>
      </c>
      <c r="E68" s="492" t="s">
        <v>670</v>
      </c>
      <c r="F68" s="508" t="s">
        <v>774</v>
      </c>
      <c r="G68" s="493" t="s">
        <v>875</v>
      </c>
      <c r="H68" s="781" t="s">
        <v>1483</v>
      </c>
      <c r="I68" s="785" t="s">
        <v>1596</v>
      </c>
      <c r="J68" s="789" t="s">
        <v>1733</v>
      </c>
      <c r="K68" s="793" t="s">
        <v>1870</v>
      </c>
    </row>
    <row r="69" spans="3:11" x14ac:dyDescent="0.2">
      <c r="C69" s="501">
        <v>66</v>
      </c>
      <c r="D69" s="495" t="s">
        <v>326</v>
      </c>
      <c r="E69" s="492" t="s">
        <v>671</v>
      </c>
      <c r="F69" s="508" t="s">
        <v>775</v>
      </c>
      <c r="G69" s="493" t="s">
        <v>876</v>
      </c>
      <c r="H69" s="780" t="s">
        <v>1484</v>
      </c>
      <c r="I69" s="784" t="s">
        <v>1597</v>
      </c>
      <c r="J69" s="788" t="s">
        <v>1734</v>
      </c>
      <c r="K69" s="792" t="s">
        <v>1871</v>
      </c>
    </row>
    <row r="70" spans="3:11" x14ac:dyDescent="0.2">
      <c r="C70" s="501">
        <v>67</v>
      </c>
      <c r="D70" s="495" t="s">
        <v>327</v>
      </c>
      <c r="E70" s="492" t="s">
        <v>672</v>
      </c>
      <c r="F70" s="508" t="s">
        <v>776</v>
      </c>
      <c r="G70" s="493" t="s">
        <v>877</v>
      </c>
      <c r="H70" s="780" t="s">
        <v>1485</v>
      </c>
      <c r="I70" s="784" t="s">
        <v>1598</v>
      </c>
      <c r="J70" s="788" t="s">
        <v>1735</v>
      </c>
      <c r="K70" s="792" t="s">
        <v>1872</v>
      </c>
    </row>
    <row r="71" spans="3:11" x14ac:dyDescent="0.2">
      <c r="C71" s="501">
        <v>68</v>
      </c>
      <c r="D71" s="495" t="s">
        <v>328</v>
      </c>
      <c r="E71" s="492" t="s">
        <v>673</v>
      </c>
      <c r="F71" s="508" t="s">
        <v>777</v>
      </c>
      <c r="G71" s="493" t="s">
        <v>878</v>
      </c>
      <c r="H71" s="780" t="s">
        <v>1486</v>
      </c>
      <c r="I71" s="784" t="s">
        <v>1599</v>
      </c>
      <c r="J71" s="788" t="s">
        <v>1736</v>
      </c>
      <c r="K71" s="792" t="s">
        <v>1873</v>
      </c>
    </row>
    <row r="72" spans="3:11" x14ac:dyDescent="0.2">
      <c r="C72" s="501">
        <v>69</v>
      </c>
      <c r="D72" s="495" t="s">
        <v>333</v>
      </c>
      <c r="E72" s="492" t="s">
        <v>674</v>
      </c>
      <c r="F72" s="508" t="s">
        <v>778</v>
      </c>
      <c r="G72" s="493" t="s">
        <v>675</v>
      </c>
      <c r="H72" s="847" t="s">
        <v>2022</v>
      </c>
      <c r="I72" s="784" t="s">
        <v>1600</v>
      </c>
      <c r="J72" s="788" t="s">
        <v>1737</v>
      </c>
      <c r="K72" s="792" t="s">
        <v>1874</v>
      </c>
    </row>
    <row r="73" spans="3:11" x14ac:dyDescent="0.2">
      <c r="C73" s="501">
        <v>70</v>
      </c>
      <c r="D73" s="495" t="s">
        <v>334</v>
      </c>
      <c r="E73" s="492" t="s">
        <v>676</v>
      </c>
      <c r="F73" s="508" t="s">
        <v>779</v>
      </c>
      <c r="G73" s="493" t="s">
        <v>879</v>
      </c>
      <c r="H73" s="847" t="s">
        <v>2023</v>
      </c>
      <c r="I73" s="784" t="s">
        <v>1601</v>
      </c>
      <c r="J73" s="788" t="s">
        <v>1738</v>
      </c>
      <c r="K73" s="792" t="s">
        <v>1875</v>
      </c>
    </row>
    <row r="74" spans="3:11" x14ac:dyDescent="0.2">
      <c r="C74" s="501">
        <v>71</v>
      </c>
      <c r="D74" s="495" t="s">
        <v>335</v>
      </c>
      <c r="E74" s="492" t="s">
        <v>677</v>
      </c>
      <c r="F74" s="508" t="s">
        <v>780</v>
      </c>
      <c r="G74" s="493" t="s">
        <v>677</v>
      </c>
      <c r="H74" s="847" t="s">
        <v>2024</v>
      </c>
      <c r="I74" s="784" t="s">
        <v>1602</v>
      </c>
      <c r="J74" s="788" t="s">
        <v>1739</v>
      </c>
      <c r="K74" s="792" t="s">
        <v>1876</v>
      </c>
    </row>
    <row r="75" spans="3:11" ht="32" x14ac:dyDescent="0.2">
      <c r="C75" s="501">
        <v>72</v>
      </c>
      <c r="D75" s="491" t="s">
        <v>678</v>
      </c>
      <c r="E75" s="516" t="s">
        <v>880</v>
      </c>
      <c r="F75" s="508" t="s">
        <v>781</v>
      </c>
      <c r="G75" s="517" t="s">
        <v>881</v>
      </c>
      <c r="H75" s="779" t="s">
        <v>1487</v>
      </c>
      <c r="I75" s="783" t="s">
        <v>1603</v>
      </c>
      <c r="J75" s="787" t="s">
        <v>1740</v>
      </c>
      <c r="K75" s="791" t="s">
        <v>1877</v>
      </c>
    </row>
    <row r="76" spans="3:11" ht="32" x14ac:dyDescent="0.2">
      <c r="C76" s="501">
        <v>73</v>
      </c>
      <c r="D76" s="491" t="s">
        <v>205</v>
      </c>
      <c r="E76" s="494" t="s">
        <v>792</v>
      </c>
      <c r="F76" s="508" t="s">
        <v>782</v>
      </c>
      <c r="G76" s="493" t="s">
        <v>882</v>
      </c>
      <c r="H76" s="779" t="s">
        <v>1488</v>
      </c>
      <c r="I76" s="783" t="s">
        <v>1604</v>
      </c>
      <c r="J76" s="787" t="s">
        <v>1741</v>
      </c>
      <c r="K76" s="791" t="s">
        <v>1878</v>
      </c>
    </row>
    <row r="77" spans="3:11" ht="16" x14ac:dyDescent="0.2">
      <c r="C77" s="501">
        <v>74</v>
      </c>
      <c r="D77" s="497" t="s">
        <v>206</v>
      </c>
      <c r="E77" s="498" t="s">
        <v>679</v>
      </c>
      <c r="F77" s="624" t="s">
        <v>1134</v>
      </c>
      <c r="G77" s="518" t="s">
        <v>883</v>
      </c>
      <c r="H77" s="782" t="s">
        <v>1489</v>
      </c>
      <c r="I77" s="786" t="s">
        <v>1605</v>
      </c>
      <c r="J77" s="790" t="s">
        <v>1742</v>
      </c>
      <c r="K77" s="794" t="s">
        <v>1879</v>
      </c>
    </row>
    <row r="78" spans="3:11" ht="16" x14ac:dyDescent="0.2">
      <c r="C78" s="501">
        <v>75</v>
      </c>
      <c r="D78" s="491" t="s">
        <v>207</v>
      </c>
      <c r="E78" s="492" t="s">
        <v>719</v>
      </c>
      <c r="F78" s="508" t="s">
        <v>760</v>
      </c>
      <c r="G78" s="493" t="s">
        <v>855</v>
      </c>
      <c r="H78" s="779" t="s">
        <v>1469</v>
      </c>
      <c r="I78" s="783" t="s">
        <v>1581</v>
      </c>
      <c r="J78" s="787" t="s">
        <v>1717</v>
      </c>
      <c r="K78" s="791" t="s">
        <v>1854</v>
      </c>
    </row>
    <row r="79" spans="3:11" ht="16" x14ac:dyDescent="0.2">
      <c r="C79" s="501">
        <v>76</v>
      </c>
      <c r="D79" s="491" t="s">
        <v>214</v>
      </c>
      <c r="E79" s="492" t="s">
        <v>680</v>
      </c>
      <c r="F79" s="508" t="s">
        <v>783</v>
      </c>
      <c r="G79" s="493" t="s">
        <v>884</v>
      </c>
      <c r="H79" s="846" t="s">
        <v>2031</v>
      </c>
      <c r="I79" s="783" t="s">
        <v>1606</v>
      </c>
      <c r="J79" s="787" t="s">
        <v>1743</v>
      </c>
      <c r="K79" s="791" t="s">
        <v>1880</v>
      </c>
    </row>
    <row r="80" spans="3:11" ht="16" x14ac:dyDescent="0.2">
      <c r="C80" s="501">
        <v>77</v>
      </c>
      <c r="D80" s="491" t="s">
        <v>216</v>
      </c>
      <c r="E80" s="492" t="s">
        <v>681</v>
      </c>
      <c r="F80" s="508" t="s">
        <v>784</v>
      </c>
      <c r="G80" s="493" t="s">
        <v>885</v>
      </c>
      <c r="H80" s="846" t="s">
        <v>2032</v>
      </c>
      <c r="I80" s="783" t="s">
        <v>1607</v>
      </c>
      <c r="J80" s="787" t="s">
        <v>1744</v>
      </c>
      <c r="K80" s="791" t="s">
        <v>1881</v>
      </c>
    </row>
    <row r="81" spans="3:11" ht="32" x14ac:dyDescent="0.2">
      <c r="C81" s="501">
        <v>78</v>
      </c>
      <c r="D81" s="491" t="s">
        <v>218</v>
      </c>
      <c r="E81" s="492" t="s">
        <v>682</v>
      </c>
      <c r="F81" s="508" t="s">
        <v>886</v>
      </c>
      <c r="G81" s="514" t="s">
        <v>887</v>
      </c>
      <c r="H81" s="846" t="s">
        <v>2033</v>
      </c>
      <c r="I81" s="783" t="s">
        <v>1608</v>
      </c>
      <c r="J81" s="787" t="s">
        <v>1745</v>
      </c>
      <c r="K81" s="791" t="s">
        <v>1882</v>
      </c>
    </row>
    <row r="82" spans="3:11" ht="32" x14ac:dyDescent="0.2">
      <c r="C82" s="501">
        <v>79</v>
      </c>
      <c r="D82" s="491" t="s">
        <v>220</v>
      </c>
      <c r="E82" s="513" t="s">
        <v>888</v>
      </c>
      <c r="F82" s="509" t="s">
        <v>889</v>
      </c>
      <c r="G82" s="517" t="s">
        <v>890</v>
      </c>
      <c r="H82" s="846" t="s">
        <v>2034</v>
      </c>
      <c r="I82" s="783" t="s">
        <v>1609</v>
      </c>
      <c r="J82" s="787" t="s">
        <v>1746</v>
      </c>
      <c r="K82" s="791" t="s">
        <v>1883</v>
      </c>
    </row>
    <row r="83" spans="3:11" ht="16" x14ac:dyDescent="0.2">
      <c r="C83" s="501">
        <v>80</v>
      </c>
      <c r="D83" s="491" t="s">
        <v>222</v>
      </c>
      <c r="E83" s="513" t="s">
        <v>984</v>
      </c>
      <c r="F83" s="508" t="s">
        <v>891</v>
      </c>
      <c r="G83" s="517" t="s">
        <v>892</v>
      </c>
      <c r="H83" s="779" t="s">
        <v>1490</v>
      </c>
      <c r="I83" s="783" t="s">
        <v>1610</v>
      </c>
      <c r="J83" s="787" t="s">
        <v>1747</v>
      </c>
      <c r="K83" s="791" t="s">
        <v>1884</v>
      </c>
    </row>
    <row r="84" spans="3:11" ht="32" x14ac:dyDescent="0.2">
      <c r="C84" s="501">
        <v>81</v>
      </c>
      <c r="D84" s="491" t="s">
        <v>225</v>
      </c>
      <c r="E84" s="492" t="s">
        <v>683</v>
      </c>
      <c r="F84" s="508" t="s">
        <v>886</v>
      </c>
      <c r="G84" s="493" t="s">
        <v>893</v>
      </c>
      <c r="H84" s="846" t="s">
        <v>2035</v>
      </c>
      <c r="I84" s="783" t="s">
        <v>1611</v>
      </c>
      <c r="J84" s="787" t="s">
        <v>1748</v>
      </c>
      <c r="K84" s="791" t="s">
        <v>1885</v>
      </c>
    </row>
    <row r="85" spans="3:11" ht="32" x14ac:dyDescent="0.2">
      <c r="C85" s="501">
        <v>82</v>
      </c>
      <c r="D85" s="747" t="s">
        <v>1295</v>
      </c>
      <c r="E85" s="748" t="s">
        <v>1296</v>
      </c>
      <c r="F85" s="508" t="s">
        <v>1297</v>
      </c>
      <c r="G85" s="749" t="s">
        <v>1298</v>
      </c>
      <c r="H85" s="779" t="s">
        <v>1491</v>
      </c>
      <c r="I85" s="783" t="s">
        <v>1612</v>
      </c>
      <c r="J85" s="787" t="s">
        <v>1749</v>
      </c>
      <c r="K85" s="791" t="s">
        <v>1886</v>
      </c>
    </row>
    <row r="86" spans="3:11" ht="16" x14ac:dyDescent="0.2">
      <c r="C86" s="501">
        <v>83</v>
      </c>
      <c r="D86" s="491" t="s">
        <v>226</v>
      </c>
      <c r="E86" s="492" t="s">
        <v>894</v>
      </c>
      <c r="F86" s="508" t="s">
        <v>895</v>
      </c>
      <c r="G86" s="493" t="s">
        <v>896</v>
      </c>
      <c r="H86" s="779" t="s">
        <v>1492</v>
      </c>
      <c r="I86" s="783" t="s">
        <v>1613</v>
      </c>
      <c r="J86" s="787" t="s">
        <v>1750</v>
      </c>
      <c r="K86" s="791" t="s">
        <v>1887</v>
      </c>
    </row>
    <row r="87" spans="3:11" ht="16" x14ac:dyDescent="0.2">
      <c r="C87" s="501">
        <v>84</v>
      </c>
      <c r="D87" s="491" t="s">
        <v>227</v>
      </c>
      <c r="E87" s="492" t="s">
        <v>684</v>
      </c>
      <c r="F87" s="508" t="s">
        <v>785</v>
      </c>
      <c r="G87" s="493" t="s">
        <v>897</v>
      </c>
      <c r="H87" s="779" t="s">
        <v>1493</v>
      </c>
      <c r="I87" s="783" t="s">
        <v>1614</v>
      </c>
      <c r="J87" s="787" t="s">
        <v>1751</v>
      </c>
      <c r="K87" s="791" t="s">
        <v>1888</v>
      </c>
    </row>
    <row r="88" spans="3:11" ht="16" x14ac:dyDescent="0.2">
      <c r="C88" s="501">
        <v>85</v>
      </c>
      <c r="D88" s="735" t="s">
        <v>228</v>
      </c>
      <c r="E88" s="492" t="s">
        <v>685</v>
      </c>
      <c r="F88" s="508" t="s">
        <v>786</v>
      </c>
      <c r="G88" s="493" t="s">
        <v>898</v>
      </c>
      <c r="H88" s="779" t="s">
        <v>1494</v>
      </c>
      <c r="I88" s="783" t="s">
        <v>1615</v>
      </c>
      <c r="J88" s="787" t="s">
        <v>1752</v>
      </c>
      <c r="K88" s="791" t="s">
        <v>1889</v>
      </c>
    </row>
    <row r="89" spans="3:11" ht="16" x14ac:dyDescent="0.2">
      <c r="C89" s="501">
        <v>86</v>
      </c>
      <c r="D89" s="491" t="s">
        <v>231</v>
      </c>
      <c r="E89" s="492" t="s">
        <v>686</v>
      </c>
      <c r="F89" s="508" t="s">
        <v>787</v>
      </c>
      <c r="G89" s="493" t="s">
        <v>899</v>
      </c>
      <c r="H89" s="846" t="s">
        <v>2038</v>
      </c>
      <c r="I89" s="783" t="s">
        <v>1616</v>
      </c>
      <c r="J89" s="787" t="s">
        <v>1753</v>
      </c>
      <c r="K89" s="791" t="s">
        <v>1890</v>
      </c>
    </row>
    <row r="90" spans="3:11" ht="16" x14ac:dyDescent="0.2">
      <c r="C90" s="501">
        <v>87</v>
      </c>
      <c r="D90" s="735" t="s">
        <v>1282</v>
      </c>
      <c r="E90" s="748" t="s">
        <v>1316</v>
      </c>
      <c r="F90" s="508" t="s">
        <v>1317</v>
      </c>
      <c r="G90" s="750" t="s">
        <v>1318</v>
      </c>
      <c r="H90" s="779" t="s">
        <v>1495</v>
      </c>
      <c r="I90" s="783" t="s">
        <v>1617</v>
      </c>
      <c r="J90" s="787" t="s">
        <v>1754</v>
      </c>
      <c r="K90" s="791" t="s">
        <v>1891</v>
      </c>
    </row>
    <row r="91" spans="3:11" ht="16" x14ac:dyDescent="0.2">
      <c r="C91" s="501">
        <v>88</v>
      </c>
      <c r="D91" s="491" t="s">
        <v>234</v>
      </c>
      <c r="E91" s="492" t="s">
        <v>722</v>
      </c>
      <c r="F91" s="508" t="s">
        <v>788</v>
      </c>
      <c r="G91" s="493" t="s">
        <v>900</v>
      </c>
      <c r="H91" s="779" t="s">
        <v>1496</v>
      </c>
      <c r="I91" s="783" t="s">
        <v>1618</v>
      </c>
      <c r="J91" s="787" t="s">
        <v>1755</v>
      </c>
      <c r="K91" s="791" t="s">
        <v>1892</v>
      </c>
    </row>
    <row r="92" spans="3:11" ht="16" x14ac:dyDescent="0.2">
      <c r="C92" s="501">
        <v>89</v>
      </c>
      <c r="D92" s="491" t="s">
        <v>236</v>
      </c>
      <c r="E92" s="492" t="s">
        <v>687</v>
      </c>
      <c r="F92" s="510" t="s">
        <v>789</v>
      </c>
      <c r="G92" s="493" t="s">
        <v>901</v>
      </c>
      <c r="H92" s="779" t="s">
        <v>1497</v>
      </c>
      <c r="I92" s="783" t="s">
        <v>1619</v>
      </c>
      <c r="J92" s="787" t="s">
        <v>1756</v>
      </c>
      <c r="K92" s="791" t="s">
        <v>1893</v>
      </c>
    </row>
    <row r="93" spans="3:11" ht="16" x14ac:dyDescent="0.2">
      <c r="C93" s="501">
        <v>90</v>
      </c>
      <c r="D93" s="491" t="s">
        <v>238</v>
      </c>
      <c r="E93" s="492" t="s">
        <v>902</v>
      </c>
      <c r="F93" s="508" t="s">
        <v>799</v>
      </c>
      <c r="G93" s="493" t="s">
        <v>903</v>
      </c>
      <c r="H93" s="779" t="s">
        <v>1498</v>
      </c>
      <c r="I93" s="783" t="s">
        <v>1620</v>
      </c>
      <c r="J93" s="787" t="s">
        <v>1757</v>
      </c>
      <c r="K93" s="791" t="s">
        <v>1894</v>
      </c>
    </row>
    <row r="94" spans="3:11" ht="16" x14ac:dyDescent="0.2">
      <c r="C94" s="501">
        <v>91</v>
      </c>
      <c r="D94" s="491" t="s">
        <v>688</v>
      </c>
      <c r="E94" s="492" t="s">
        <v>904</v>
      </c>
      <c r="F94" s="508" t="s">
        <v>800</v>
      </c>
      <c r="G94" s="493" t="s">
        <v>905</v>
      </c>
      <c r="H94" s="779" t="s">
        <v>1499</v>
      </c>
      <c r="I94" s="783" t="s">
        <v>1621</v>
      </c>
      <c r="J94" s="787" t="s">
        <v>1758</v>
      </c>
      <c r="K94" s="791" t="s">
        <v>1895</v>
      </c>
    </row>
    <row r="95" spans="3:11" ht="16" x14ac:dyDescent="0.2">
      <c r="C95" s="501">
        <v>92</v>
      </c>
      <c r="D95" s="491" t="s">
        <v>689</v>
      </c>
      <c r="E95" s="492" t="s">
        <v>690</v>
      </c>
      <c r="F95" s="508" t="s">
        <v>801</v>
      </c>
      <c r="G95" s="493" t="s">
        <v>906</v>
      </c>
      <c r="H95" s="779" t="s">
        <v>1500</v>
      </c>
      <c r="I95" s="783" t="s">
        <v>1622</v>
      </c>
      <c r="J95" s="787" t="s">
        <v>1759</v>
      </c>
      <c r="K95" s="791" t="s">
        <v>1896</v>
      </c>
    </row>
    <row r="96" spans="3:11" ht="16" x14ac:dyDescent="0.2">
      <c r="C96" s="501">
        <v>93</v>
      </c>
      <c r="D96" s="491" t="s">
        <v>691</v>
      </c>
      <c r="E96" s="492" t="s">
        <v>692</v>
      </c>
      <c r="F96" s="508" t="s">
        <v>802</v>
      </c>
      <c r="G96" s="493" t="s">
        <v>907</v>
      </c>
      <c r="H96" s="779" t="s">
        <v>1501</v>
      </c>
      <c r="I96" s="783" t="s">
        <v>1623</v>
      </c>
      <c r="J96" s="787" t="s">
        <v>1760</v>
      </c>
      <c r="K96" s="791" t="s">
        <v>1897</v>
      </c>
    </row>
    <row r="97" spans="3:11" ht="16" x14ac:dyDescent="0.2">
      <c r="C97" s="501">
        <v>94</v>
      </c>
      <c r="D97" s="491" t="s">
        <v>209</v>
      </c>
      <c r="E97" s="492" t="s">
        <v>693</v>
      </c>
      <c r="F97" s="508" t="s">
        <v>803</v>
      </c>
      <c r="G97" s="493" t="s">
        <v>908</v>
      </c>
      <c r="H97" s="779" t="s">
        <v>1502</v>
      </c>
      <c r="I97" s="783" t="s">
        <v>1624</v>
      </c>
      <c r="J97" s="787" t="s">
        <v>1761</v>
      </c>
      <c r="K97" s="791" t="s">
        <v>1898</v>
      </c>
    </row>
    <row r="98" spans="3:11" ht="16" x14ac:dyDescent="0.2">
      <c r="C98" s="501">
        <v>95</v>
      </c>
      <c r="D98" s="491" t="s">
        <v>694</v>
      </c>
      <c r="E98" s="492" t="s">
        <v>695</v>
      </c>
      <c r="F98" s="508" t="s">
        <v>804</v>
      </c>
      <c r="G98" s="493" t="s">
        <v>909</v>
      </c>
      <c r="H98" s="779" t="s">
        <v>1503</v>
      </c>
      <c r="I98" s="783" t="s">
        <v>1625</v>
      </c>
      <c r="J98" s="787" t="s">
        <v>1762</v>
      </c>
      <c r="K98" s="791" t="s">
        <v>1899</v>
      </c>
    </row>
    <row r="99" spans="3:11" ht="16" x14ac:dyDescent="0.2">
      <c r="C99" s="501">
        <v>96</v>
      </c>
      <c r="D99" s="491" t="s">
        <v>691</v>
      </c>
      <c r="E99" s="492" t="s">
        <v>692</v>
      </c>
      <c r="F99" s="508" t="s">
        <v>802</v>
      </c>
      <c r="G99" s="493" t="s">
        <v>907</v>
      </c>
      <c r="H99" s="779" t="s">
        <v>1501</v>
      </c>
      <c r="I99" s="783" t="s">
        <v>1623</v>
      </c>
      <c r="J99" s="787" t="s">
        <v>1760</v>
      </c>
      <c r="K99" s="791" t="s">
        <v>1897</v>
      </c>
    </row>
    <row r="100" spans="3:11" ht="16" x14ac:dyDescent="0.2">
      <c r="C100" s="501">
        <v>97</v>
      </c>
      <c r="D100" s="491" t="s">
        <v>208</v>
      </c>
      <c r="E100" s="513" t="s">
        <v>696</v>
      </c>
      <c r="F100" s="508" t="s">
        <v>910</v>
      </c>
      <c r="G100" s="493" t="s">
        <v>911</v>
      </c>
      <c r="H100" s="779" t="s">
        <v>1504</v>
      </c>
      <c r="I100" s="783" t="s">
        <v>1626</v>
      </c>
      <c r="J100" s="787" t="s">
        <v>1763</v>
      </c>
      <c r="K100" s="791" t="s">
        <v>1900</v>
      </c>
    </row>
    <row r="101" spans="3:11" ht="16" x14ac:dyDescent="0.2">
      <c r="C101" s="501">
        <v>98</v>
      </c>
      <c r="D101" s="491" t="s">
        <v>209</v>
      </c>
      <c r="E101" s="492" t="s">
        <v>693</v>
      </c>
      <c r="F101" s="508" t="s">
        <v>982</v>
      </c>
      <c r="G101" s="556" t="s">
        <v>978</v>
      </c>
      <c r="H101" s="779" t="s">
        <v>1502</v>
      </c>
      <c r="I101" s="783" t="s">
        <v>1624</v>
      </c>
      <c r="J101" s="787" t="s">
        <v>1761</v>
      </c>
      <c r="K101" s="791" t="s">
        <v>1898</v>
      </c>
    </row>
    <row r="102" spans="3:11" ht="16" x14ac:dyDescent="0.2">
      <c r="C102" s="501">
        <v>99</v>
      </c>
      <c r="D102" s="491" t="s">
        <v>210</v>
      </c>
      <c r="E102" s="492" t="s">
        <v>697</v>
      </c>
      <c r="F102" s="508" t="s">
        <v>983</v>
      </c>
      <c r="G102" s="556" t="s">
        <v>979</v>
      </c>
      <c r="H102" s="779" t="s">
        <v>1505</v>
      </c>
      <c r="I102" s="783" t="s">
        <v>1627</v>
      </c>
      <c r="J102" s="787" t="s">
        <v>1764</v>
      </c>
      <c r="K102" s="791" t="s">
        <v>1901</v>
      </c>
    </row>
    <row r="103" spans="3:11" ht="16" x14ac:dyDescent="0.2">
      <c r="C103" s="501">
        <v>100</v>
      </c>
      <c r="D103" s="491" t="s">
        <v>239</v>
      </c>
      <c r="E103" s="492" t="s">
        <v>121</v>
      </c>
      <c r="F103" s="510" t="s">
        <v>912</v>
      </c>
      <c r="G103" s="493" t="s">
        <v>698</v>
      </c>
      <c r="H103" s="779" t="s">
        <v>1506</v>
      </c>
      <c r="I103" s="783" t="s">
        <v>1628</v>
      </c>
      <c r="J103" s="787" t="s">
        <v>1765</v>
      </c>
      <c r="K103" s="791" t="s">
        <v>1902</v>
      </c>
    </row>
    <row r="104" spans="3:11" ht="27.75" customHeight="1" x14ac:dyDescent="0.2">
      <c r="C104" s="501">
        <v>101</v>
      </c>
      <c r="D104" s="491" t="s">
        <v>793</v>
      </c>
      <c r="E104" s="494" t="s">
        <v>796</v>
      </c>
      <c r="F104" s="508" t="s">
        <v>913</v>
      </c>
      <c r="G104" s="499" t="s">
        <v>914</v>
      </c>
      <c r="H104" s="779" t="s">
        <v>1507</v>
      </c>
      <c r="I104" s="783" t="s">
        <v>1629</v>
      </c>
      <c r="J104" s="787" t="s">
        <v>1766</v>
      </c>
      <c r="K104" s="791" t="s">
        <v>1903</v>
      </c>
    </row>
    <row r="105" spans="3:11" ht="30" customHeight="1" x14ac:dyDescent="0.2">
      <c r="C105" s="501">
        <v>102</v>
      </c>
      <c r="D105" s="491" t="s">
        <v>699</v>
      </c>
      <c r="E105" s="494" t="s">
        <v>795</v>
      </c>
      <c r="F105" s="508" t="s">
        <v>915</v>
      </c>
      <c r="G105" s="499" t="s">
        <v>916</v>
      </c>
      <c r="H105" s="779" t="s">
        <v>1508</v>
      </c>
      <c r="I105" s="783" t="s">
        <v>1630</v>
      </c>
      <c r="J105" s="787" t="s">
        <v>1767</v>
      </c>
      <c r="K105" s="791" t="s">
        <v>1904</v>
      </c>
    </row>
    <row r="106" spans="3:11" ht="32" x14ac:dyDescent="0.2">
      <c r="C106" s="501">
        <v>103</v>
      </c>
      <c r="D106" s="491" t="s">
        <v>700</v>
      </c>
      <c r="E106" s="494" t="s">
        <v>794</v>
      </c>
      <c r="F106" s="508" t="s">
        <v>917</v>
      </c>
      <c r="G106" s="499" t="s">
        <v>918</v>
      </c>
      <c r="H106" s="779" t="s">
        <v>1509</v>
      </c>
      <c r="I106" s="783" t="s">
        <v>1631</v>
      </c>
      <c r="J106" s="787" t="s">
        <v>1768</v>
      </c>
      <c r="K106" s="791" t="s">
        <v>1905</v>
      </c>
    </row>
    <row r="107" spans="3:11" ht="16" x14ac:dyDescent="0.2">
      <c r="C107" s="501">
        <v>104</v>
      </c>
      <c r="D107" s="491" t="s">
        <v>538</v>
      </c>
      <c r="E107" s="492" t="s">
        <v>919</v>
      </c>
      <c r="F107" s="508" t="s">
        <v>805</v>
      </c>
      <c r="G107" s="514" t="s">
        <v>920</v>
      </c>
      <c r="H107" s="846" t="s">
        <v>2025</v>
      </c>
      <c r="I107" s="783" t="s">
        <v>1632</v>
      </c>
      <c r="J107" s="787" t="s">
        <v>1769</v>
      </c>
      <c r="K107" s="791" t="s">
        <v>1906</v>
      </c>
    </row>
    <row r="108" spans="3:11" ht="16" x14ac:dyDescent="0.2">
      <c r="C108" s="501">
        <v>105</v>
      </c>
      <c r="D108" s="491" t="s">
        <v>626</v>
      </c>
      <c r="E108" s="492" t="s">
        <v>627</v>
      </c>
      <c r="F108" s="508" t="s">
        <v>733</v>
      </c>
      <c r="G108" s="514" t="s">
        <v>828</v>
      </c>
      <c r="H108" s="779" t="s">
        <v>1443</v>
      </c>
      <c r="I108" s="783" t="s">
        <v>1546</v>
      </c>
      <c r="J108" s="787" t="s">
        <v>1682</v>
      </c>
      <c r="K108" s="791" t="s">
        <v>1819</v>
      </c>
    </row>
    <row r="109" spans="3:11" ht="16" x14ac:dyDescent="0.2">
      <c r="C109" s="501">
        <v>106</v>
      </c>
      <c r="D109" s="491" t="s">
        <v>510</v>
      </c>
      <c r="E109" s="492" t="s">
        <v>797</v>
      </c>
      <c r="F109" s="508" t="s">
        <v>806</v>
      </c>
      <c r="G109" s="493" t="s">
        <v>921</v>
      </c>
      <c r="H109" s="779" t="s">
        <v>1510</v>
      </c>
      <c r="I109" s="783" t="s">
        <v>1633</v>
      </c>
      <c r="J109" s="787" t="s">
        <v>1770</v>
      </c>
      <c r="K109" s="791" t="s">
        <v>1907</v>
      </c>
    </row>
    <row r="110" spans="3:11" ht="16" x14ac:dyDescent="0.2">
      <c r="C110" s="501">
        <v>107</v>
      </c>
      <c r="D110" s="491" t="s">
        <v>620</v>
      </c>
      <c r="E110" s="492" t="s">
        <v>922</v>
      </c>
      <c r="F110" s="508" t="s">
        <v>923</v>
      </c>
      <c r="G110" s="493" t="s">
        <v>924</v>
      </c>
      <c r="H110" s="779" t="s">
        <v>1511</v>
      </c>
      <c r="I110" s="783" t="s">
        <v>1634</v>
      </c>
      <c r="J110" s="787" t="s">
        <v>1771</v>
      </c>
      <c r="K110" s="791" t="s">
        <v>1908</v>
      </c>
    </row>
    <row r="111" spans="3:11" ht="16" x14ac:dyDescent="0.2">
      <c r="C111" s="501">
        <v>108</v>
      </c>
      <c r="D111" s="491" t="s">
        <v>489</v>
      </c>
      <c r="E111" s="492" t="s">
        <v>925</v>
      </c>
      <c r="F111" s="508" t="s">
        <v>926</v>
      </c>
      <c r="G111" s="493" t="s">
        <v>927</v>
      </c>
      <c r="H111" s="846" t="s">
        <v>2026</v>
      </c>
      <c r="I111" s="783" t="s">
        <v>1635</v>
      </c>
      <c r="J111" s="787" t="s">
        <v>1772</v>
      </c>
      <c r="K111" s="791" t="s">
        <v>1909</v>
      </c>
    </row>
    <row r="112" spans="3:11" ht="16" x14ac:dyDescent="0.2">
      <c r="C112" s="501">
        <v>109</v>
      </c>
      <c r="D112" s="491" t="s">
        <v>490</v>
      </c>
      <c r="E112" s="492" t="s">
        <v>928</v>
      </c>
      <c r="F112" s="508" t="s">
        <v>929</v>
      </c>
      <c r="G112" s="493" t="s">
        <v>930</v>
      </c>
      <c r="H112" s="846" t="s">
        <v>2027</v>
      </c>
      <c r="I112" s="783" t="s">
        <v>1636</v>
      </c>
      <c r="J112" s="787" t="s">
        <v>1773</v>
      </c>
      <c r="K112" s="791" t="s">
        <v>1910</v>
      </c>
    </row>
    <row r="113" spans="3:11" ht="16" x14ac:dyDescent="0.2">
      <c r="C113" s="501">
        <v>110</v>
      </c>
      <c r="D113" s="491" t="s">
        <v>491</v>
      </c>
      <c r="E113" s="492" t="s">
        <v>931</v>
      </c>
      <c r="F113" s="508" t="s">
        <v>808</v>
      </c>
      <c r="G113" s="493" t="s">
        <v>932</v>
      </c>
      <c r="H113" s="779" t="s">
        <v>1512</v>
      </c>
      <c r="I113" s="783" t="s">
        <v>1637</v>
      </c>
      <c r="J113" s="787" t="s">
        <v>1774</v>
      </c>
      <c r="K113" s="791" t="s">
        <v>1911</v>
      </c>
    </row>
    <row r="114" spans="3:11" ht="16" x14ac:dyDescent="0.2">
      <c r="C114" s="501">
        <v>111</v>
      </c>
      <c r="D114" s="491" t="s">
        <v>492</v>
      </c>
      <c r="E114" s="492" t="s">
        <v>933</v>
      </c>
      <c r="F114" s="508" t="s">
        <v>807</v>
      </c>
      <c r="G114" s="493" t="s">
        <v>934</v>
      </c>
      <c r="H114" s="779" t="s">
        <v>1513</v>
      </c>
      <c r="I114" s="783" t="s">
        <v>1638</v>
      </c>
      <c r="J114" s="787" t="s">
        <v>1775</v>
      </c>
      <c r="K114" s="791" t="s">
        <v>1912</v>
      </c>
    </row>
    <row r="115" spans="3:11" ht="16" x14ac:dyDescent="0.2">
      <c r="C115" s="501">
        <v>112</v>
      </c>
      <c r="D115" s="491" t="s">
        <v>511</v>
      </c>
      <c r="E115" s="492" t="s">
        <v>701</v>
      </c>
      <c r="F115" s="508" t="s">
        <v>810</v>
      </c>
      <c r="G115" s="493" t="s">
        <v>935</v>
      </c>
      <c r="H115" s="779" t="s">
        <v>1514</v>
      </c>
      <c r="I115" s="783" t="s">
        <v>1639</v>
      </c>
      <c r="J115" s="787" t="s">
        <v>1776</v>
      </c>
      <c r="K115" s="791" t="s">
        <v>1913</v>
      </c>
    </row>
    <row r="116" spans="3:11" ht="16" x14ac:dyDescent="0.2">
      <c r="C116" s="501">
        <v>113</v>
      </c>
      <c r="D116" s="491" t="s">
        <v>512</v>
      </c>
      <c r="E116" s="492" t="s">
        <v>702</v>
      </c>
      <c r="F116" s="508" t="s">
        <v>811</v>
      </c>
      <c r="G116" s="493" t="s">
        <v>936</v>
      </c>
      <c r="H116" s="779" t="s">
        <v>1515</v>
      </c>
      <c r="I116" s="783" t="s">
        <v>1640</v>
      </c>
      <c r="J116" s="787" t="s">
        <v>1777</v>
      </c>
      <c r="K116" s="791" t="s">
        <v>1914</v>
      </c>
    </row>
    <row r="117" spans="3:11" ht="32" x14ac:dyDescent="0.2">
      <c r="C117" s="501">
        <v>114</v>
      </c>
      <c r="D117" s="491" t="s">
        <v>798</v>
      </c>
      <c r="E117" s="516" t="s">
        <v>937</v>
      </c>
      <c r="F117" s="519" t="s">
        <v>938</v>
      </c>
      <c r="G117" s="515" t="s">
        <v>939</v>
      </c>
      <c r="H117" s="779" t="s">
        <v>1516</v>
      </c>
      <c r="I117" s="783" t="s">
        <v>1641</v>
      </c>
      <c r="J117" s="787" t="s">
        <v>1778</v>
      </c>
      <c r="K117" s="791" t="s">
        <v>1915</v>
      </c>
    </row>
    <row r="118" spans="3:11" ht="16" x14ac:dyDescent="0.2">
      <c r="C118" s="501">
        <v>115</v>
      </c>
      <c r="D118" s="491" t="s">
        <v>497</v>
      </c>
      <c r="E118" s="492" t="s">
        <v>940</v>
      </c>
      <c r="F118" s="508" t="s">
        <v>812</v>
      </c>
      <c r="G118" s="556" t="s">
        <v>981</v>
      </c>
      <c r="H118" s="846" t="s">
        <v>2028</v>
      </c>
      <c r="I118" s="783" t="s">
        <v>1642</v>
      </c>
      <c r="J118" s="787" t="s">
        <v>1779</v>
      </c>
      <c r="K118" s="791" t="s">
        <v>1916</v>
      </c>
    </row>
    <row r="119" spans="3:11" ht="16" x14ac:dyDescent="0.2">
      <c r="C119" s="501">
        <v>116</v>
      </c>
      <c r="D119" s="491" t="s">
        <v>503</v>
      </c>
      <c r="E119" s="492" t="s">
        <v>941</v>
      </c>
      <c r="F119" s="508" t="s">
        <v>813</v>
      </c>
      <c r="G119" s="556" t="s">
        <v>980</v>
      </c>
      <c r="H119" s="846" t="s">
        <v>2029</v>
      </c>
      <c r="I119" s="783" t="s">
        <v>1643</v>
      </c>
      <c r="J119" s="787" t="s">
        <v>1780</v>
      </c>
      <c r="K119" s="791" t="s">
        <v>1917</v>
      </c>
    </row>
    <row r="120" spans="3:11" ht="16" x14ac:dyDescent="0.2">
      <c r="C120" s="501">
        <v>117</v>
      </c>
      <c r="D120" s="491" t="s">
        <v>491</v>
      </c>
      <c r="E120" s="492" t="s">
        <v>931</v>
      </c>
      <c r="F120" s="508" t="s">
        <v>808</v>
      </c>
      <c r="G120" s="493" t="s">
        <v>942</v>
      </c>
      <c r="H120" s="779" t="s">
        <v>1512</v>
      </c>
      <c r="I120" s="783" t="s">
        <v>1637</v>
      </c>
      <c r="J120" s="787" t="s">
        <v>1774</v>
      </c>
      <c r="K120" s="791" t="s">
        <v>1911</v>
      </c>
    </row>
    <row r="121" spans="3:11" ht="16" x14ac:dyDescent="0.2">
      <c r="C121" s="501">
        <v>118</v>
      </c>
      <c r="D121" s="491" t="s">
        <v>492</v>
      </c>
      <c r="E121" s="492" t="s">
        <v>933</v>
      </c>
      <c r="F121" s="508" t="s">
        <v>807</v>
      </c>
      <c r="G121" s="493" t="s">
        <v>943</v>
      </c>
      <c r="H121" s="779" t="s">
        <v>1513</v>
      </c>
      <c r="I121" s="783" t="s">
        <v>1638</v>
      </c>
      <c r="J121" s="787" t="s">
        <v>1775</v>
      </c>
      <c r="K121" s="791" t="s">
        <v>1912</v>
      </c>
    </row>
    <row r="122" spans="3:11" ht="16" x14ac:dyDescent="0.2">
      <c r="C122" s="501">
        <v>119</v>
      </c>
      <c r="D122" s="491" t="s">
        <v>498</v>
      </c>
      <c r="E122" s="492" t="s">
        <v>703</v>
      </c>
      <c r="F122" s="508" t="s">
        <v>814</v>
      </c>
      <c r="G122" s="493" t="s">
        <v>944</v>
      </c>
      <c r="H122" s="779" t="s">
        <v>1517</v>
      </c>
      <c r="I122" s="783" t="s">
        <v>1644</v>
      </c>
      <c r="J122" s="787" t="s">
        <v>1781</v>
      </c>
      <c r="K122" s="791" t="s">
        <v>1918</v>
      </c>
    </row>
    <row r="123" spans="3:11" ht="16" x14ac:dyDescent="0.2">
      <c r="C123" s="501">
        <v>120</v>
      </c>
      <c r="D123" s="491" t="s">
        <v>514</v>
      </c>
      <c r="E123" s="492" t="s">
        <v>945</v>
      </c>
      <c r="F123" s="508" t="s">
        <v>946</v>
      </c>
      <c r="G123" s="493" t="s">
        <v>947</v>
      </c>
      <c r="H123" s="846" t="s">
        <v>2030</v>
      </c>
      <c r="I123" s="783" t="s">
        <v>1645</v>
      </c>
      <c r="J123" s="787" t="s">
        <v>1782</v>
      </c>
      <c r="K123" s="791" t="s">
        <v>1919</v>
      </c>
    </row>
    <row r="124" spans="3:11" ht="16" x14ac:dyDescent="0.2">
      <c r="C124" s="501">
        <v>121</v>
      </c>
      <c r="D124" s="491" t="s">
        <v>556</v>
      </c>
      <c r="E124" s="492" t="s">
        <v>704</v>
      </c>
      <c r="F124" s="508" t="s">
        <v>948</v>
      </c>
      <c r="G124" s="493" t="s">
        <v>949</v>
      </c>
      <c r="H124" s="779" t="s">
        <v>1518</v>
      </c>
      <c r="I124" s="783" t="s">
        <v>1646</v>
      </c>
      <c r="J124" s="787" t="s">
        <v>1783</v>
      </c>
      <c r="K124" s="791" t="s">
        <v>1920</v>
      </c>
    </row>
    <row r="125" spans="3:11" ht="16" x14ac:dyDescent="0.2">
      <c r="C125" s="501">
        <v>122</v>
      </c>
      <c r="D125" s="491" t="s">
        <v>501</v>
      </c>
      <c r="E125" s="492" t="s">
        <v>950</v>
      </c>
      <c r="F125" s="508" t="s">
        <v>815</v>
      </c>
      <c r="G125" s="514" t="s">
        <v>951</v>
      </c>
      <c r="H125" s="779" t="s">
        <v>1519</v>
      </c>
      <c r="I125" s="783" t="s">
        <v>1647</v>
      </c>
      <c r="J125" s="787" t="s">
        <v>1784</v>
      </c>
      <c r="K125" s="791" t="s">
        <v>1921</v>
      </c>
    </row>
    <row r="126" spans="3:11" ht="16" x14ac:dyDescent="0.2">
      <c r="C126" s="501">
        <v>123</v>
      </c>
      <c r="D126" s="752" t="s">
        <v>1339</v>
      </c>
      <c r="E126" s="753" t="s">
        <v>1355</v>
      </c>
      <c r="F126" s="508" t="s">
        <v>1356</v>
      </c>
      <c r="G126" s="754" t="s">
        <v>1357</v>
      </c>
      <c r="H126" s="779" t="s">
        <v>1520</v>
      </c>
      <c r="I126" s="783" t="s">
        <v>1648</v>
      </c>
      <c r="J126" s="787" t="s">
        <v>1785</v>
      </c>
      <c r="K126" s="791" t="s">
        <v>1922</v>
      </c>
    </row>
    <row r="127" spans="3:11" ht="16" x14ac:dyDescent="0.2">
      <c r="C127" s="501">
        <v>124</v>
      </c>
      <c r="D127" s="491" t="s">
        <v>720</v>
      </c>
      <c r="E127" s="522" t="s">
        <v>716</v>
      </c>
      <c r="F127" s="508" t="s">
        <v>973</v>
      </c>
      <c r="G127" s="521" t="s">
        <v>972</v>
      </c>
      <c r="H127" s="779" t="s">
        <v>1521</v>
      </c>
      <c r="I127" s="783" t="s">
        <v>1649</v>
      </c>
      <c r="J127" s="787" t="s">
        <v>1786</v>
      </c>
      <c r="K127" s="791" t="s">
        <v>1923</v>
      </c>
    </row>
    <row r="128" spans="3:11" ht="16" x14ac:dyDescent="0.2">
      <c r="C128" s="501">
        <v>125</v>
      </c>
      <c r="D128" s="491" t="s">
        <v>717</v>
      </c>
      <c r="E128" s="513" t="s">
        <v>952</v>
      </c>
      <c r="F128" s="508" t="s">
        <v>953</v>
      </c>
      <c r="G128" s="493" t="s">
        <v>954</v>
      </c>
      <c r="H128" s="779" t="s">
        <v>1522</v>
      </c>
      <c r="I128" s="783" t="s">
        <v>1650</v>
      </c>
      <c r="J128" s="787" t="s">
        <v>1787</v>
      </c>
      <c r="K128" s="791" t="s">
        <v>1924</v>
      </c>
    </row>
    <row r="129" spans="3:11" ht="32" x14ac:dyDescent="0.2">
      <c r="C129" s="501">
        <v>126</v>
      </c>
      <c r="D129" s="491" t="s">
        <v>724</v>
      </c>
      <c r="E129" s="492" t="s">
        <v>955</v>
      </c>
      <c r="F129" s="511" t="s">
        <v>956</v>
      </c>
      <c r="G129" s="493" t="s">
        <v>957</v>
      </c>
      <c r="H129" s="779" t="s">
        <v>1523</v>
      </c>
      <c r="I129" s="783" t="s">
        <v>1651</v>
      </c>
      <c r="J129" s="787" t="s">
        <v>1788</v>
      </c>
      <c r="K129" s="791" t="s">
        <v>1925</v>
      </c>
    </row>
    <row r="130" spans="3:11" ht="16" x14ac:dyDescent="0.2">
      <c r="C130" s="501">
        <v>127</v>
      </c>
      <c r="D130" s="491" t="s">
        <v>725</v>
      </c>
      <c r="E130" s="492" t="s">
        <v>726</v>
      </c>
      <c r="F130" s="511" t="s">
        <v>816</v>
      </c>
      <c r="G130" s="493" t="s">
        <v>958</v>
      </c>
      <c r="H130" s="779" t="s">
        <v>1524</v>
      </c>
      <c r="I130" s="783" t="s">
        <v>1652</v>
      </c>
      <c r="J130" s="787" t="s">
        <v>1789</v>
      </c>
      <c r="K130" s="791" t="s">
        <v>1926</v>
      </c>
    </row>
    <row r="131" spans="3:11" ht="16" x14ac:dyDescent="0.2">
      <c r="C131" s="501">
        <v>128</v>
      </c>
      <c r="D131" s="491" t="s">
        <v>728</v>
      </c>
      <c r="E131" s="492" t="s">
        <v>729</v>
      </c>
      <c r="F131" s="511" t="s">
        <v>817</v>
      </c>
      <c r="G131" s="493" t="s">
        <v>959</v>
      </c>
      <c r="H131" s="779" t="s">
        <v>1525</v>
      </c>
      <c r="I131" s="783" t="s">
        <v>1653</v>
      </c>
      <c r="J131" s="787" t="s">
        <v>1790</v>
      </c>
      <c r="K131" s="791" t="s">
        <v>1927</v>
      </c>
    </row>
    <row r="132" spans="3:11" ht="32" x14ac:dyDescent="0.2">
      <c r="C132" s="501">
        <v>129</v>
      </c>
      <c r="D132" s="491" t="s">
        <v>392</v>
      </c>
      <c r="E132" s="494" t="s">
        <v>730</v>
      </c>
      <c r="F132" s="520" t="s">
        <v>818</v>
      </c>
      <c r="G132" s="514" t="s">
        <v>960</v>
      </c>
      <c r="H132" s="779" t="s">
        <v>1526</v>
      </c>
      <c r="I132" s="783" t="s">
        <v>1654</v>
      </c>
      <c r="J132" s="787" t="s">
        <v>1791</v>
      </c>
      <c r="K132" s="791" t="s">
        <v>1928</v>
      </c>
    </row>
    <row r="133" spans="3:11" ht="16" x14ac:dyDescent="0.2">
      <c r="C133" s="501">
        <v>130</v>
      </c>
      <c r="D133" s="491" t="s">
        <v>961</v>
      </c>
      <c r="E133" s="492" t="s">
        <v>962</v>
      </c>
      <c r="F133" s="511" t="s">
        <v>963</v>
      </c>
      <c r="G133" s="493" t="s">
        <v>964</v>
      </c>
      <c r="H133" s="779" t="s">
        <v>1527</v>
      </c>
      <c r="I133" s="783" t="s">
        <v>1655</v>
      </c>
      <c r="J133" s="787" t="s">
        <v>1792</v>
      </c>
      <c r="K133" s="791" t="s">
        <v>1929</v>
      </c>
    </row>
    <row r="134" spans="3:11" ht="16" x14ac:dyDescent="0.2">
      <c r="C134" s="501">
        <v>131</v>
      </c>
      <c r="D134" s="491" t="s">
        <v>965</v>
      </c>
      <c r="E134" s="492" t="s">
        <v>966</v>
      </c>
      <c r="F134" s="511" t="s">
        <v>967</v>
      </c>
      <c r="G134" s="493" t="s">
        <v>968</v>
      </c>
      <c r="H134" s="779" t="s">
        <v>1528</v>
      </c>
      <c r="I134" s="783" t="s">
        <v>1656</v>
      </c>
      <c r="J134" s="787" t="s">
        <v>1793</v>
      </c>
      <c r="K134" s="791" t="s">
        <v>1930</v>
      </c>
    </row>
    <row r="135" spans="3:11" ht="16" x14ac:dyDescent="0.2">
      <c r="C135" s="501">
        <v>132</v>
      </c>
      <c r="D135" s="591" t="s">
        <v>1102</v>
      </c>
      <c r="E135" s="656" t="s">
        <v>1192</v>
      </c>
      <c r="F135" s="508" t="s">
        <v>1193</v>
      </c>
      <c r="G135" s="657" t="s">
        <v>1194</v>
      </c>
      <c r="H135" s="779" t="s">
        <v>1529</v>
      </c>
      <c r="I135" s="783" t="s">
        <v>1657</v>
      </c>
      <c r="J135" s="787" t="s">
        <v>1794</v>
      </c>
      <c r="K135" s="791" t="s">
        <v>1931</v>
      </c>
    </row>
    <row r="136" spans="3:11" ht="16" x14ac:dyDescent="0.2">
      <c r="C136" s="501">
        <v>133</v>
      </c>
      <c r="D136" s="621" t="s">
        <v>1109</v>
      </c>
      <c r="E136" s="622" t="s">
        <v>1123</v>
      </c>
      <c r="F136" s="508" t="s">
        <v>1127</v>
      </c>
      <c r="G136" s="623" t="s">
        <v>1128</v>
      </c>
      <c r="H136" s="779" t="s">
        <v>1530</v>
      </c>
      <c r="I136" s="783" t="s">
        <v>1658</v>
      </c>
      <c r="J136" s="787" t="s">
        <v>1795</v>
      </c>
      <c r="K136" s="791" t="s">
        <v>1932</v>
      </c>
    </row>
    <row r="137" spans="3:11" ht="16" x14ac:dyDescent="0.2">
      <c r="C137" s="501">
        <v>134</v>
      </c>
      <c r="D137" s="621" t="s">
        <v>1130</v>
      </c>
      <c r="E137" s="622" t="s">
        <v>1129</v>
      </c>
      <c r="F137" s="508" t="s">
        <v>1131</v>
      </c>
      <c r="G137" s="623" t="s">
        <v>1132</v>
      </c>
      <c r="H137" s="846" t="s">
        <v>2006</v>
      </c>
      <c r="I137" s="783" t="s">
        <v>1659</v>
      </c>
      <c r="J137" s="787" t="s">
        <v>1796</v>
      </c>
      <c r="K137" s="791" t="s">
        <v>1933</v>
      </c>
    </row>
    <row r="138" spans="3:11" ht="32" x14ac:dyDescent="0.2">
      <c r="C138" s="501">
        <v>135</v>
      </c>
      <c r="D138" s="621" t="s">
        <v>1112</v>
      </c>
      <c r="E138" s="626" t="s">
        <v>1141</v>
      </c>
      <c r="F138" s="508" t="s">
        <v>1142</v>
      </c>
      <c r="G138" s="623" t="s">
        <v>1133</v>
      </c>
      <c r="H138" s="846" t="s">
        <v>2007</v>
      </c>
      <c r="I138" s="783" t="s">
        <v>1660</v>
      </c>
      <c r="J138" s="787" t="s">
        <v>1797</v>
      </c>
      <c r="K138" s="791" t="s">
        <v>1934</v>
      </c>
    </row>
    <row r="139" spans="3:11" ht="16" x14ac:dyDescent="0.2">
      <c r="C139" s="501">
        <v>136</v>
      </c>
      <c r="D139" s="621" t="s">
        <v>1113</v>
      </c>
      <c r="E139" s="622" t="s">
        <v>1135</v>
      </c>
      <c r="F139" s="508" t="s">
        <v>1143</v>
      </c>
      <c r="G139" s="623" t="s">
        <v>1136</v>
      </c>
      <c r="H139" s="846" t="s">
        <v>2008</v>
      </c>
      <c r="I139" s="783" t="s">
        <v>1661</v>
      </c>
      <c r="J139" s="787" t="s">
        <v>1798</v>
      </c>
      <c r="K139" s="791" t="s">
        <v>1935</v>
      </c>
    </row>
    <row r="140" spans="3:11" ht="16" x14ac:dyDescent="0.2">
      <c r="C140" s="501">
        <v>137</v>
      </c>
      <c r="D140" s="621" t="s">
        <v>1122</v>
      </c>
      <c r="E140" s="622" t="s">
        <v>1137</v>
      </c>
      <c r="F140" s="508" t="s">
        <v>1144</v>
      </c>
      <c r="G140" s="623" t="s">
        <v>1138</v>
      </c>
      <c r="H140" s="846" t="s">
        <v>2009</v>
      </c>
      <c r="I140" s="783" t="s">
        <v>1662</v>
      </c>
      <c r="J140" s="787" t="s">
        <v>1799</v>
      </c>
      <c r="K140" s="791" t="s">
        <v>1936</v>
      </c>
    </row>
    <row r="141" spans="3:11" ht="16" x14ac:dyDescent="0.2">
      <c r="C141" s="501">
        <v>138</v>
      </c>
      <c r="D141" s="621" t="s">
        <v>1108</v>
      </c>
      <c r="E141" s="622" t="s">
        <v>1139</v>
      </c>
      <c r="F141" s="508" t="s">
        <v>1145</v>
      </c>
      <c r="G141" s="623" t="s">
        <v>1140</v>
      </c>
      <c r="H141" s="846" t="s">
        <v>2013</v>
      </c>
      <c r="I141" s="783" t="s">
        <v>1663</v>
      </c>
      <c r="J141" s="787" t="s">
        <v>1800</v>
      </c>
      <c r="K141" s="791" t="s">
        <v>1937</v>
      </c>
    </row>
    <row r="142" spans="3:11" ht="16" x14ac:dyDescent="0.2">
      <c r="C142" s="501">
        <v>139</v>
      </c>
      <c r="D142" s="641" t="s">
        <v>1162</v>
      </c>
      <c r="E142" s="642" t="s">
        <v>1163</v>
      </c>
      <c r="F142" s="508" t="s">
        <v>1164</v>
      </c>
      <c r="G142" s="643" t="s">
        <v>1165</v>
      </c>
      <c r="H142" s="779" t="s">
        <v>1531</v>
      </c>
      <c r="I142" s="783" t="s">
        <v>1664</v>
      </c>
      <c r="J142" s="787" t="s">
        <v>1801</v>
      </c>
      <c r="K142" s="791" t="s">
        <v>1938</v>
      </c>
    </row>
    <row r="143" spans="3:11" ht="16" x14ac:dyDescent="0.2">
      <c r="C143" s="501">
        <v>140</v>
      </c>
      <c r="D143" s="491" t="s">
        <v>205</v>
      </c>
      <c r="E143" s="651" t="s">
        <v>362</v>
      </c>
      <c r="F143" s="624" t="s">
        <v>362</v>
      </c>
      <c r="G143" s="652" t="s">
        <v>362</v>
      </c>
      <c r="H143" s="779" t="s">
        <v>1488</v>
      </c>
      <c r="I143" s="783" t="s">
        <v>1604</v>
      </c>
      <c r="J143" s="787" t="s">
        <v>1741</v>
      </c>
      <c r="K143" s="791" t="s">
        <v>1878</v>
      </c>
    </row>
    <row r="144" spans="3:11" ht="96" x14ac:dyDescent="0.2">
      <c r="C144" s="501">
        <v>141</v>
      </c>
      <c r="D144" s="653" t="s">
        <v>336</v>
      </c>
      <c r="E144" s="654" t="s">
        <v>1171</v>
      </c>
      <c r="F144" s="509" t="s">
        <v>1172</v>
      </c>
      <c r="G144" s="515" t="s">
        <v>1173</v>
      </c>
      <c r="H144" s="779" t="s">
        <v>1473</v>
      </c>
      <c r="I144" s="783" t="s">
        <v>1587</v>
      </c>
      <c r="J144" s="787" t="s">
        <v>1723</v>
      </c>
      <c r="K144" s="791" t="s">
        <v>1860</v>
      </c>
    </row>
    <row r="145" spans="3:11" ht="16" x14ac:dyDescent="0.2">
      <c r="C145" s="501">
        <v>142</v>
      </c>
      <c r="D145" s="653" t="s">
        <v>1186</v>
      </c>
      <c r="E145" s="656" t="s">
        <v>1187</v>
      </c>
      <c r="F145" s="511" t="s">
        <v>1188</v>
      </c>
      <c r="G145" s="657" t="s">
        <v>1189</v>
      </c>
      <c r="H145" s="846" t="s">
        <v>2037</v>
      </c>
      <c r="I145" s="783" t="s">
        <v>1665</v>
      </c>
      <c r="J145" s="787" t="s">
        <v>1802</v>
      </c>
      <c r="K145" s="791" t="s">
        <v>1939</v>
      </c>
    </row>
    <row r="146" spans="3:11" ht="32" x14ac:dyDescent="0.2">
      <c r="C146" s="501">
        <v>143</v>
      </c>
      <c r="D146" s="665" t="s">
        <v>1199</v>
      </c>
      <c r="E146" s="666" t="s">
        <v>1200</v>
      </c>
      <c r="F146" s="511" t="s">
        <v>1208</v>
      </c>
      <c r="G146" s="667" t="s">
        <v>1201</v>
      </c>
      <c r="H146" s="846" t="s">
        <v>2012</v>
      </c>
      <c r="I146" s="783" t="s">
        <v>1666</v>
      </c>
      <c r="J146" s="787" t="s">
        <v>1803</v>
      </c>
      <c r="K146" s="791" t="s">
        <v>1940</v>
      </c>
    </row>
    <row r="147" spans="3:11" ht="16" x14ac:dyDescent="0.2">
      <c r="C147" s="501">
        <v>144</v>
      </c>
      <c r="D147" s="747" t="s">
        <v>1306</v>
      </c>
      <c r="E147" s="748" t="s">
        <v>1303</v>
      </c>
      <c r="F147" s="511" t="s">
        <v>1304</v>
      </c>
      <c r="G147" s="749" t="s">
        <v>1305</v>
      </c>
      <c r="H147" s="846" t="s">
        <v>2036</v>
      </c>
      <c r="I147" s="783" t="s">
        <v>1667</v>
      </c>
      <c r="J147" s="787" t="s">
        <v>1804</v>
      </c>
      <c r="K147" s="791" t="s">
        <v>1941</v>
      </c>
    </row>
    <row r="148" spans="3:11" ht="16" x14ac:dyDescent="0.2">
      <c r="C148" s="501">
        <v>145</v>
      </c>
      <c r="D148" s="747" t="s">
        <v>1299</v>
      </c>
      <c r="E148" s="748" t="s">
        <v>1300</v>
      </c>
      <c r="F148" s="511" t="s">
        <v>1301</v>
      </c>
      <c r="G148" s="749" t="s">
        <v>1302</v>
      </c>
      <c r="H148" s="779" t="s">
        <v>1532</v>
      </c>
      <c r="I148" s="783" t="s">
        <v>1668</v>
      </c>
      <c r="J148" s="787" t="s">
        <v>1805</v>
      </c>
      <c r="K148" s="791" t="s">
        <v>1942</v>
      </c>
    </row>
    <row r="149" spans="3:11" ht="16" x14ac:dyDescent="0.2">
      <c r="C149" s="501">
        <v>146</v>
      </c>
      <c r="D149" s="747" t="s">
        <v>1278</v>
      </c>
      <c r="E149" s="748" t="s">
        <v>1308</v>
      </c>
      <c r="F149" s="511" t="s">
        <v>1309</v>
      </c>
      <c r="G149" s="749" t="s">
        <v>1310</v>
      </c>
      <c r="H149" s="779" t="s">
        <v>1533</v>
      </c>
      <c r="I149" s="783" t="s">
        <v>1669</v>
      </c>
      <c r="J149" s="787" t="s">
        <v>1806</v>
      </c>
      <c r="K149" s="791" t="s">
        <v>1943</v>
      </c>
    </row>
    <row r="150" spans="3:11" ht="16" x14ac:dyDescent="0.2">
      <c r="C150" s="501">
        <v>147</v>
      </c>
      <c r="D150" s="747" t="s">
        <v>1283</v>
      </c>
      <c r="E150" s="748" t="s">
        <v>1307</v>
      </c>
      <c r="F150" s="511" t="s">
        <v>1311</v>
      </c>
      <c r="G150" s="749" t="s">
        <v>1315</v>
      </c>
      <c r="H150" s="779" t="s">
        <v>1534</v>
      </c>
      <c r="I150" s="783" t="s">
        <v>1670</v>
      </c>
      <c r="J150" s="787" t="s">
        <v>1807</v>
      </c>
      <c r="K150" s="791" t="s">
        <v>1944</v>
      </c>
    </row>
    <row r="151" spans="3:11" ht="16" x14ac:dyDescent="0.2">
      <c r="C151" s="501">
        <v>148</v>
      </c>
      <c r="D151" s="747" t="s">
        <v>1279</v>
      </c>
      <c r="E151" s="748" t="s">
        <v>1312</v>
      </c>
      <c r="F151" s="511" t="s">
        <v>1313</v>
      </c>
      <c r="G151" s="749" t="s">
        <v>1314</v>
      </c>
      <c r="H151" s="779" t="s">
        <v>1535</v>
      </c>
      <c r="I151" s="783" t="s">
        <v>1671</v>
      </c>
      <c r="J151" s="787" t="s">
        <v>1808</v>
      </c>
      <c r="K151" s="791" t="s">
        <v>1945</v>
      </c>
    </row>
    <row r="152" spans="3:11" ht="16" x14ac:dyDescent="0.2">
      <c r="C152" s="501">
        <v>149</v>
      </c>
      <c r="D152" s="747" t="s">
        <v>1271</v>
      </c>
      <c r="E152" s="748" t="s">
        <v>1319</v>
      </c>
      <c r="F152" s="511" t="s">
        <v>1320</v>
      </c>
      <c r="G152" s="749" t="s">
        <v>1321</v>
      </c>
      <c r="H152" s="779" t="s">
        <v>1536</v>
      </c>
      <c r="I152" s="783" t="s">
        <v>1672</v>
      </c>
      <c r="J152" s="787" t="s">
        <v>1809</v>
      </c>
      <c r="K152" s="791" t="s">
        <v>1946</v>
      </c>
    </row>
    <row r="153" spans="3:11" ht="16" x14ac:dyDescent="0.2">
      <c r="C153" s="501">
        <v>150</v>
      </c>
      <c r="D153" s="747" t="s">
        <v>1287</v>
      </c>
      <c r="E153" s="748" t="s">
        <v>1322</v>
      </c>
      <c r="F153" s="511" t="s">
        <v>1323</v>
      </c>
      <c r="G153" s="749" t="s">
        <v>1324</v>
      </c>
      <c r="H153" s="779" t="s">
        <v>1537</v>
      </c>
      <c r="I153" s="783" t="s">
        <v>1673</v>
      </c>
      <c r="J153" s="787" t="s">
        <v>1810</v>
      </c>
      <c r="K153" s="791" t="s">
        <v>1947</v>
      </c>
    </row>
    <row r="154" spans="3:11" ht="16" x14ac:dyDescent="0.2">
      <c r="C154" s="501">
        <v>151</v>
      </c>
      <c r="D154" s="747" t="s">
        <v>1325</v>
      </c>
      <c r="E154" s="748" t="s">
        <v>1326</v>
      </c>
      <c r="F154" s="511" t="s">
        <v>1327</v>
      </c>
      <c r="G154" s="749" t="s">
        <v>1328</v>
      </c>
      <c r="H154" s="779" t="s">
        <v>1538</v>
      </c>
      <c r="I154" s="783" t="s">
        <v>1674</v>
      </c>
      <c r="J154" s="787" t="s">
        <v>1811</v>
      </c>
      <c r="K154" s="791" t="s">
        <v>1948</v>
      </c>
    </row>
    <row r="155" spans="3:11" ht="16" x14ac:dyDescent="0.2">
      <c r="C155" s="501">
        <v>152</v>
      </c>
      <c r="D155" s="747" t="s">
        <v>1273</v>
      </c>
      <c r="E155" s="748" t="s">
        <v>1329</v>
      </c>
      <c r="F155" s="511" t="s">
        <v>1330</v>
      </c>
      <c r="G155" s="749" t="s">
        <v>1331</v>
      </c>
      <c r="H155" s="779" t="s">
        <v>1539</v>
      </c>
      <c r="I155" s="783" t="s">
        <v>1675</v>
      </c>
      <c r="J155" s="787" t="s">
        <v>1812</v>
      </c>
      <c r="K155" s="791" t="s">
        <v>1949</v>
      </c>
    </row>
    <row r="156" spans="3:11" ht="16" x14ac:dyDescent="0.2">
      <c r="C156" s="501">
        <v>153</v>
      </c>
      <c r="D156" s="1372" t="s">
        <v>224</v>
      </c>
      <c r="E156" s="1376" t="s">
        <v>2648</v>
      </c>
      <c r="F156" s="508" t="s">
        <v>2649</v>
      </c>
      <c r="G156" s="1381" t="s">
        <v>2649</v>
      </c>
      <c r="H156" s="1382" t="s">
        <v>2649</v>
      </c>
      <c r="I156" s="1383" t="s">
        <v>2649</v>
      </c>
      <c r="J156" s="1384" t="s">
        <v>2649</v>
      </c>
      <c r="K156" s="1385" t="s">
        <v>2649</v>
      </c>
    </row>
    <row r="157" spans="3:11" x14ac:dyDescent="0.2">
      <c r="C157" s="501">
        <v>154</v>
      </c>
      <c r="D157" s="752"/>
      <c r="E157" s="753"/>
      <c r="F157" s="508"/>
      <c r="G157" s="754"/>
      <c r="H157" s="760"/>
      <c r="I157" s="762"/>
      <c r="J157" s="764"/>
      <c r="K157" s="766"/>
    </row>
    <row r="158" spans="3:11" x14ac:dyDescent="0.2">
      <c r="C158" s="501">
        <v>155</v>
      </c>
      <c r="D158" s="752"/>
      <c r="E158" s="753"/>
      <c r="F158" s="508"/>
      <c r="G158" s="754"/>
      <c r="H158" s="760"/>
      <c r="I158" s="762"/>
      <c r="J158" s="764"/>
      <c r="K158" s="766"/>
    </row>
    <row r="159" spans="3:11" x14ac:dyDescent="0.2">
      <c r="C159" s="501">
        <v>156</v>
      </c>
      <c r="D159" s="752"/>
      <c r="E159" s="753"/>
      <c r="F159" s="508"/>
      <c r="G159" s="754"/>
      <c r="H159" s="760"/>
      <c r="I159" s="762"/>
      <c r="J159" s="764"/>
      <c r="K159" s="766"/>
    </row>
    <row r="160" spans="3:11" x14ac:dyDescent="0.2">
      <c r="C160" s="501">
        <v>157</v>
      </c>
      <c r="D160" s="752"/>
      <c r="E160" s="753"/>
      <c r="F160" s="508"/>
      <c r="G160" s="754"/>
      <c r="H160" s="760"/>
      <c r="I160" s="762"/>
      <c r="J160" s="764"/>
      <c r="K160" s="766"/>
    </row>
    <row r="161" spans="3:11" x14ac:dyDescent="0.2">
      <c r="C161" s="501">
        <v>158</v>
      </c>
      <c r="D161" s="752"/>
      <c r="E161" s="753"/>
      <c r="F161" s="508"/>
      <c r="G161" s="754"/>
      <c r="H161" s="760"/>
      <c r="I161" s="762"/>
      <c r="J161" s="764"/>
      <c r="K161" s="766"/>
    </row>
    <row r="162" spans="3:11" x14ac:dyDescent="0.2">
      <c r="C162" s="501">
        <v>159</v>
      </c>
      <c r="D162" s="752"/>
      <c r="E162" s="753"/>
      <c r="F162" s="508"/>
      <c r="G162" s="754"/>
      <c r="H162" s="760"/>
      <c r="I162" s="762"/>
      <c r="J162" s="764"/>
      <c r="K162" s="766"/>
    </row>
    <row r="163" spans="3:11" x14ac:dyDescent="0.2">
      <c r="C163" s="501">
        <v>160</v>
      </c>
      <c r="D163" s="752"/>
      <c r="E163" s="753"/>
      <c r="F163" s="508"/>
      <c r="G163" s="754"/>
      <c r="H163" s="760"/>
      <c r="I163" s="762"/>
      <c r="J163" s="764"/>
      <c r="K163" s="766"/>
    </row>
    <row r="164" spans="3:11" x14ac:dyDescent="0.2">
      <c r="C164" s="501">
        <v>161</v>
      </c>
      <c r="D164" s="752"/>
      <c r="E164" s="753"/>
      <c r="F164" s="508"/>
      <c r="G164" s="754"/>
      <c r="H164" s="760"/>
      <c r="I164" s="762"/>
      <c r="J164" s="764"/>
      <c r="K164" s="766"/>
    </row>
    <row r="165" spans="3:11" x14ac:dyDescent="0.2">
      <c r="C165" s="501">
        <v>162</v>
      </c>
      <c r="D165" s="752"/>
      <c r="E165" s="753"/>
      <c r="F165" s="508"/>
      <c r="G165" s="754"/>
      <c r="H165" s="760"/>
      <c r="I165" s="762"/>
      <c r="J165" s="764"/>
      <c r="K165" s="766"/>
    </row>
    <row r="166" spans="3:11" x14ac:dyDescent="0.2">
      <c r="C166" s="501">
        <v>163</v>
      </c>
      <c r="D166" s="752"/>
      <c r="E166" s="753"/>
      <c r="F166" s="508"/>
      <c r="G166" s="754"/>
      <c r="H166" s="760"/>
      <c r="I166" s="762"/>
      <c r="J166" s="764"/>
      <c r="K166" s="766"/>
    </row>
    <row r="167" spans="3:11" x14ac:dyDescent="0.2">
      <c r="C167" s="501">
        <v>164</v>
      </c>
      <c r="D167" s="752"/>
      <c r="E167" s="753"/>
      <c r="F167" s="508"/>
      <c r="G167" s="754"/>
      <c r="H167" s="760"/>
      <c r="I167" s="762"/>
      <c r="J167" s="764"/>
      <c r="K167" s="766"/>
    </row>
    <row r="168" spans="3:11" x14ac:dyDescent="0.2">
      <c r="C168" s="501">
        <v>165</v>
      </c>
      <c r="D168" s="752"/>
      <c r="E168" s="753"/>
      <c r="F168" s="508"/>
      <c r="G168" s="754"/>
      <c r="H168" s="760"/>
      <c r="I168" s="762"/>
      <c r="J168" s="764"/>
      <c r="K168" s="766"/>
    </row>
    <row r="169" spans="3:11" x14ac:dyDescent="0.2">
      <c r="C169" s="501">
        <v>166</v>
      </c>
      <c r="D169" s="752"/>
      <c r="E169" s="753"/>
      <c r="F169" s="508"/>
      <c r="G169" s="754"/>
      <c r="H169" s="760"/>
      <c r="I169" s="762"/>
      <c r="J169" s="764"/>
      <c r="K169" s="766"/>
    </row>
    <row r="170" spans="3:11" x14ac:dyDescent="0.2">
      <c r="C170" s="501">
        <v>167</v>
      </c>
      <c r="D170" s="752"/>
      <c r="E170" s="753"/>
      <c r="F170" s="508"/>
      <c r="G170" s="754"/>
      <c r="H170" s="760"/>
      <c r="I170" s="762"/>
      <c r="J170" s="764"/>
      <c r="K170" s="766"/>
    </row>
    <row r="171" spans="3:11" x14ac:dyDescent="0.2">
      <c r="C171" s="501">
        <v>168</v>
      </c>
      <c r="D171" s="752"/>
      <c r="E171" s="753"/>
      <c r="F171" s="508"/>
      <c r="G171" s="754"/>
      <c r="H171" s="760"/>
      <c r="I171" s="762"/>
      <c r="J171" s="764"/>
      <c r="K171" s="766"/>
    </row>
    <row r="172" spans="3:11" x14ac:dyDescent="0.2">
      <c r="C172" s="501">
        <v>169</v>
      </c>
      <c r="D172" s="752"/>
      <c r="E172" s="753"/>
      <c r="F172" s="508"/>
      <c r="G172" s="754"/>
      <c r="H172" s="760"/>
      <c r="I172" s="762"/>
      <c r="J172" s="764"/>
      <c r="K172" s="766"/>
    </row>
    <row r="173" spans="3:11" x14ac:dyDescent="0.2">
      <c r="C173" s="501">
        <v>170</v>
      </c>
      <c r="D173" s="752"/>
      <c r="E173" s="753"/>
      <c r="F173" s="508"/>
      <c r="G173" s="754"/>
      <c r="H173" s="760"/>
      <c r="I173" s="762"/>
      <c r="J173" s="764"/>
      <c r="K173" s="766"/>
    </row>
    <row r="174" spans="3:11" x14ac:dyDescent="0.2">
      <c r="C174" s="501">
        <v>171</v>
      </c>
      <c r="D174" s="752"/>
      <c r="E174" s="753"/>
      <c r="F174" s="508"/>
      <c r="G174" s="754"/>
      <c r="H174" s="760"/>
      <c r="I174" s="762"/>
      <c r="J174" s="764"/>
      <c r="K174" s="766"/>
    </row>
    <row r="175" spans="3:11" x14ac:dyDescent="0.2">
      <c r="C175" s="501">
        <v>172</v>
      </c>
      <c r="D175" s="752"/>
      <c r="E175" s="753"/>
      <c r="F175" s="508"/>
      <c r="G175" s="754"/>
      <c r="H175" s="760"/>
      <c r="I175" s="762"/>
      <c r="J175" s="764"/>
      <c r="K175" s="766"/>
    </row>
    <row r="176" spans="3:11" x14ac:dyDescent="0.2">
      <c r="C176" s="501">
        <v>173</v>
      </c>
      <c r="D176" s="752"/>
      <c r="E176" s="753"/>
      <c r="F176" s="508"/>
      <c r="G176" s="754"/>
      <c r="H176" s="760"/>
      <c r="I176" s="762"/>
      <c r="J176" s="764"/>
      <c r="K176" s="766"/>
    </row>
    <row r="177" spans="3:11" x14ac:dyDescent="0.2">
      <c r="C177" s="501">
        <v>174</v>
      </c>
      <c r="D177" s="752"/>
      <c r="E177" s="753"/>
      <c r="F177" s="508"/>
      <c r="G177" s="754"/>
      <c r="H177" s="760"/>
      <c r="I177" s="762"/>
      <c r="J177" s="764"/>
      <c r="K177" s="766"/>
    </row>
    <row r="178" spans="3:11" x14ac:dyDescent="0.2">
      <c r="C178" s="501">
        <v>175</v>
      </c>
      <c r="D178" s="752"/>
      <c r="E178" s="753"/>
      <c r="F178" s="508"/>
      <c r="G178" s="754"/>
      <c r="H178" s="760"/>
      <c r="I178" s="762"/>
      <c r="J178" s="764"/>
      <c r="K178" s="766"/>
    </row>
    <row r="179" spans="3:11" x14ac:dyDescent="0.2">
      <c r="C179" s="501">
        <v>176</v>
      </c>
      <c r="D179" s="752"/>
      <c r="E179" s="753"/>
      <c r="F179" s="508"/>
      <c r="G179" s="754"/>
      <c r="H179" s="760"/>
      <c r="I179" s="762"/>
      <c r="J179" s="764"/>
      <c r="K179" s="766"/>
    </row>
  </sheetData>
  <phoneticPr fontId="96" type="noConversion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0C781-A665-499B-9988-C9D00386C793}">
  <dimension ref="A1:V225"/>
  <sheetViews>
    <sheetView showGridLines="0" zoomScale="70" zoomScaleNormal="70" workbookViewId="0">
      <selection activeCell="B2" sqref="B2"/>
    </sheetView>
  </sheetViews>
  <sheetFormatPr baseColWidth="10" defaultColWidth="9.1640625" defaultRowHeight="15" x14ac:dyDescent="0.2"/>
  <cols>
    <col min="1" max="3" width="9.1640625" style="490"/>
    <col min="4" max="4" width="66.1640625" style="500" customWidth="1"/>
    <col min="5" max="11" width="61.5" style="490" customWidth="1"/>
    <col min="12" max="12" width="9.1640625" style="490"/>
    <col min="13" max="13" width="10.6640625" style="490" bestFit="1" customWidth="1"/>
    <col min="14" max="16384" width="9.1640625" style="490"/>
  </cols>
  <sheetData>
    <row r="1" spans="1:22" x14ac:dyDescent="0.2">
      <c r="A1" s="501" t="s">
        <v>106</v>
      </c>
      <c r="B1" s="1094" t="str">
        <f>Kirjasto!B1</f>
        <v>8.0</v>
      </c>
      <c r="H1" s="848" t="s">
        <v>2039</v>
      </c>
    </row>
    <row r="3" spans="1:22" ht="18" thickBot="1" x14ac:dyDescent="0.25">
      <c r="B3" s="501" t="s">
        <v>705</v>
      </c>
      <c r="D3" s="486" t="s">
        <v>706</v>
      </c>
      <c r="E3" s="487" t="s">
        <v>708</v>
      </c>
      <c r="F3" s="488" t="s">
        <v>709</v>
      </c>
      <c r="G3" s="489" t="s">
        <v>710</v>
      </c>
      <c r="H3" s="759" t="s">
        <v>1397</v>
      </c>
      <c r="I3" s="761" t="s">
        <v>1398</v>
      </c>
      <c r="J3" s="763" t="s">
        <v>1399</v>
      </c>
      <c r="K3" s="765" t="s">
        <v>1400</v>
      </c>
      <c r="M3" s="506" t="s">
        <v>727</v>
      </c>
      <c r="T3" s="755" t="s">
        <v>1358</v>
      </c>
    </row>
    <row r="4" spans="1:22" ht="16" x14ac:dyDescent="0.2">
      <c r="B4" s="587">
        <v>1</v>
      </c>
      <c r="C4" s="501">
        <v>1</v>
      </c>
      <c r="D4" s="985" t="str">
        <f>CONCATENATE("Versio ",B1)</f>
        <v>Versio 8.0</v>
      </c>
      <c r="E4" s="902" t="str">
        <f>CONCATENATE("Version ",B1)</f>
        <v>Version 8.0</v>
      </c>
      <c r="F4" s="507" t="str">
        <f>CONCATENATE("Version ",B1)</f>
        <v>Version 8.0</v>
      </c>
      <c r="G4" s="903" t="str">
        <f>CONCATENATE("Version ",B1)</f>
        <v>Version 8.0</v>
      </c>
      <c r="H4" s="904" t="str">
        <f>CONCATENATE("Wersja ",B1)</f>
        <v>Wersja 8.0</v>
      </c>
      <c r="I4" s="905" t="str">
        <f>CONCATENATE("Versioon ",B1)</f>
        <v>Versioon 8.0</v>
      </c>
      <c r="J4" s="906" t="str">
        <f>CONCATENATE("Versija ",B1)</f>
        <v>Versija 8.0</v>
      </c>
      <c r="K4" s="907" t="str">
        <f>CONCATENATE(B1," versija")</f>
        <v>8.0 versija</v>
      </c>
      <c r="M4" s="506"/>
    </row>
    <row r="5" spans="1:22" ht="16" x14ac:dyDescent="0.2">
      <c r="C5" s="501">
        <v>2</v>
      </c>
      <c r="D5" s="969" t="s">
        <v>2097</v>
      </c>
      <c r="E5" s="970" t="s">
        <v>2098</v>
      </c>
      <c r="F5" s="508" t="s">
        <v>731</v>
      </c>
      <c r="G5" s="493" t="s">
        <v>819</v>
      </c>
      <c r="H5" s="846" t="s">
        <v>2002</v>
      </c>
      <c r="I5" s="783" t="s">
        <v>1540</v>
      </c>
      <c r="J5" s="787" t="s">
        <v>1676</v>
      </c>
      <c r="K5" s="791" t="s">
        <v>1813</v>
      </c>
      <c r="M5" s="506" t="str" cm="1">
        <f t="array" ref="M5">INDEX(KirjastoC!D4:K130,18,KirjastoC!B4)</f>
        <v>Paine-ero [Pa]</v>
      </c>
      <c r="T5" s="755" t="s">
        <v>1359</v>
      </c>
      <c r="V5" s="490" t="b">
        <f>IF(B4=1,TRUE,FALSE)</f>
        <v>1</v>
      </c>
    </row>
    <row r="6" spans="1:22" ht="16" x14ac:dyDescent="0.2">
      <c r="C6" s="501">
        <v>3</v>
      </c>
      <c r="D6" s="491" t="s">
        <v>338</v>
      </c>
      <c r="E6" s="492" t="s">
        <v>622</v>
      </c>
      <c r="F6" s="508" t="s">
        <v>623</v>
      </c>
      <c r="G6" s="493" t="s">
        <v>623</v>
      </c>
      <c r="H6" s="779" t="s">
        <v>1439</v>
      </c>
      <c r="I6" s="783" t="s">
        <v>1541</v>
      </c>
      <c r="J6" s="787" t="s">
        <v>1677</v>
      </c>
      <c r="K6" s="791" t="s">
        <v>1814</v>
      </c>
      <c r="M6" s="506" t="str" cm="1">
        <f t="array" ref="M6">INDEX(KirjastoC!D4:K130,19,KirjastoC!B4)</f>
        <v>Ilman tilavuusvirta [dm³/s]</v>
      </c>
      <c r="T6" s="755" t="s">
        <v>1360</v>
      </c>
      <c r="V6" s="490" t="b">
        <f>IF(V5,FALSE,TRUE)</f>
        <v>0</v>
      </c>
    </row>
    <row r="7" spans="1:22" ht="16" x14ac:dyDescent="0.2">
      <c r="C7" s="501">
        <v>4</v>
      </c>
      <c r="D7" s="491" t="s">
        <v>339</v>
      </c>
      <c r="E7" s="492" t="s">
        <v>707</v>
      </c>
      <c r="F7" s="508" t="s">
        <v>790</v>
      </c>
      <c r="G7" s="493" t="s">
        <v>820</v>
      </c>
      <c r="H7" s="779" t="s">
        <v>1440</v>
      </c>
      <c r="I7" s="783" t="s">
        <v>1542</v>
      </c>
      <c r="J7" s="787" t="s">
        <v>1678</v>
      </c>
      <c r="K7" s="791" t="s">
        <v>1815</v>
      </c>
      <c r="M7" s="506" t="str" cm="1">
        <f t="array" ref="M7">INDEX(KirjastoC!D4:K135,132,KirjastoC!B4)</f>
        <v>Ilman tilavuusvirta [m³/h]</v>
      </c>
    </row>
    <row r="8" spans="1:22" ht="32" x14ac:dyDescent="0.2">
      <c r="C8" s="501">
        <v>5</v>
      </c>
      <c r="D8" s="976" t="s">
        <v>2099</v>
      </c>
      <c r="E8" s="1081" t="s">
        <v>2202</v>
      </c>
      <c r="F8" s="508" t="s">
        <v>2203</v>
      </c>
      <c r="G8" s="1082" t="s">
        <v>2204</v>
      </c>
      <c r="H8" s="1083" t="s">
        <v>2205</v>
      </c>
      <c r="I8" s="1084" t="s">
        <v>2206</v>
      </c>
      <c r="J8" s="1085" t="s">
        <v>2208</v>
      </c>
      <c r="K8" s="1086" t="s">
        <v>2207</v>
      </c>
      <c r="M8" s="506" t="str" cm="1">
        <f t="array" ref="M8">INDEX(KirjastoC!D4:K130,91,KirjastoC!B4)</f>
        <v>Tuloilman lämpötila LTO:n jälkeen</v>
      </c>
    </row>
    <row r="9" spans="1:22" ht="32" x14ac:dyDescent="0.2">
      <c r="C9" s="501">
        <v>6</v>
      </c>
      <c r="D9" s="491" t="s">
        <v>624</v>
      </c>
      <c r="E9" s="513" t="s">
        <v>822</v>
      </c>
      <c r="F9" s="508" t="s">
        <v>1100</v>
      </c>
      <c r="G9" s="493" t="s">
        <v>823</v>
      </c>
      <c r="H9" s="779" t="s">
        <v>1442</v>
      </c>
      <c r="I9" s="783" t="s">
        <v>1544</v>
      </c>
      <c r="J9" s="787" t="s">
        <v>1680</v>
      </c>
      <c r="K9" s="791" t="s">
        <v>1817</v>
      </c>
      <c r="M9" s="490" t="str" cm="1">
        <f t="array" ref="M9">INDEX(KirjastoC!D4:K130,92,KirjastoC!B4)</f>
        <v>Tuloilman lämpötila [°C]</v>
      </c>
    </row>
    <row r="10" spans="1:22" ht="16" x14ac:dyDescent="0.2">
      <c r="C10" s="501">
        <v>7</v>
      </c>
      <c r="D10" s="491" t="s">
        <v>625</v>
      </c>
      <c r="E10" s="492" t="s">
        <v>824</v>
      </c>
      <c r="F10" s="508" t="s">
        <v>825</v>
      </c>
      <c r="G10" s="493" t="s">
        <v>826</v>
      </c>
      <c r="H10" s="846" t="s">
        <v>2003</v>
      </c>
      <c r="I10" s="783" t="s">
        <v>1545</v>
      </c>
      <c r="J10" s="787" t="s">
        <v>1681</v>
      </c>
      <c r="K10" s="791" t="s">
        <v>1818</v>
      </c>
      <c r="M10" s="490" t="str" cm="1">
        <f t="array" ref="M10">INDEX(KirjastoC!D4:K130,93,KirjastoC!B4)</f>
        <v>Ulkoilman lämpötila [°C]</v>
      </c>
    </row>
    <row r="11" spans="1:22" ht="16" x14ac:dyDescent="0.2">
      <c r="C11" s="501">
        <v>8</v>
      </c>
      <c r="D11" s="491" t="s">
        <v>626</v>
      </c>
      <c r="E11" s="492" t="s">
        <v>827</v>
      </c>
      <c r="F11" s="508" t="s">
        <v>733</v>
      </c>
      <c r="G11" s="493" t="s">
        <v>828</v>
      </c>
      <c r="H11" s="779" t="s">
        <v>1443</v>
      </c>
      <c r="I11" s="783" t="s">
        <v>1546</v>
      </c>
      <c r="J11" s="787" t="s">
        <v>1682</v>
      </c>
      <c r="K11" s="791" t="s">
        <v>1819</v>
      </c>
    </row>
    <row r="12" spans="1:22" ht="16" x14ac:dyDescent="0.2">
      <c r="C12" s="501">
        <v>9</v>
      </c>
      <c r="D12" s="752" t="s">
        <v>1337</v>
      </c>
      <c r="E12" s="753" t="s">
        <v>1344</v>
      </c>
      <c r="F12" s="508" t="s">
        <v>1345</v>
      </c>
      <c r="G12" s="754" t="s">
        <v>1349</v>
      </c>
      <c r="H12" s="779" t="s">
        <v>1444</v>
      </c>
      <c r="I12" s="783" t="s">
        <v>1547</v>
      </c>
      <c r="J12" s="787" t="s">
        <v>1683</v>
      </c>
      <c r="K12" s="791" t="s">
        <v>1820</v>
      </c>
      <c r="M12" s="506" t="str" cm="1">
        <f t="array" ref="M12">INDEX(KirjastoC!D4:K130,94,KirjastoC!B4)</f>
        <v>Jäteilman lämpötila</v>
      </c>
    </row>
    <row r="13" spans="1:22" ht="16" x14ac:dyDescent="0.2">
      <c r="C13" s="501">
        <v>10</v>
      </c>
      <c r="D13" s="837" t="s">
        <v>1337</v>
      </c>
      <c r="E13" s="838" t="s">
        <v>1344</v>
      </c>
      <c r="F13" s="508" t="s">
        <v>1345</v>
      </c>
      <c r="G13" s="839" t="s">
        <v>1349</v>
      </c>
      <c r="H13" s="779" t="s">
        <v>1444</v>
      </c>
      <c r="I13" s="783" t="s">
        <v>1547</v>
      </c>
      <c r="J13" s="787" t="s">
        <v>1683</v>
      </c>
      <c r="K13" s="791" t="s">
        <v>1820</v>
      </c>
      <c r="M13" s="490" t="str" cm="1">
        <f t="array" ref="M13">INDEX(KirjastoC!D4:K130,95,KirjastoC!B4)</f>
        <v>Jäteilman lämpötila [°C]</v>
      </c>
    </row>
    <row r="14" spans="1:22" ht="16" x14ac:dyDescent="0.2">
      <c r="C14" s="501">
        <v>11</v>
      </c>
      <c r="D14" s="752" t="s">
        <v>1335</v>
      </c>
      <c r="E14" s="753" t="s">
        <v>1343</v>
      </c>
      <c r="F14" s="508" t="s">
        <v>1347</v>
      </c>
      <c r="G14" s="754" t="s">
        <v>1351</v>
      </c>
      <c r="H14" s="779" t="s">
        <v>1446</v>
      </c>
      <c r="I14" s="783" t="s">
        <v>1549</v>
      </c>
      <c r="J14" s="787" t="s">
        <v>1685</v>
      </c>
      <c r="K14" s="791" t="s">
        <v>1822</v>
      </c>
      <c r="M14" s="490" t="str" cm="1">
        <f t="array" ref="M14">INDEX(KirjastoC!D4:K130,96,KirjastoC!B4)</f>
        <v>Ulkoilman lämpötila [°C]</v>
      </c>
    </row>
    <row r="15" spans="1:22" ht="16" x14ac:dyDescent="0.2">
      <c r="C15" s="501">
        <v>12</v>
      </c>
      <c r="D15" s="752" t="s">
        <v>1334</v>
      </c>
      <c r="E15" s="753" t="s">
        <v>1342</v>
      </c>
      <c r="F15" s="508" t="s">
        <v>1354</v>
      </c>
      <c r="G15" s="754" t="s">
        <v>1352</v>
      </c>
      <c r="H15" s="779" t="s">
        <v>1447</v>
      </c>
      <c r="I15" s="783" t="s">
        <v>1550</v>
      </c>
      <c r="J15" s="787" t="s">
        <v>1686</v>
      </c>
      <c r="K15" s="791" t="s">
        <v>1823</v>
      </c>
    </row>
    <row r="16" spans="1:22" ht="16" x14ac:dyDescent="0.2">
      <c r="C16" s="501">
        <v>13</v>
      </c>
      <c r="D16" s="752" t="s">
        <v>1338</v>
      </c>
      <c r="E16" s="753" t="s">
        <v>1341</v>
      </c>
      <c r="F16" s="508" t="s">
        <v>1348</v>
      </c>
      <c r="G16" s="754" t="s">
        <v>1353</v>
      </c>
      <c r="H16" s="779" t="s">
        <v>1448</v>
      </c>
      <c r="I16" s="783" t="s">
        <v>1551</v>
      </c>
      <c r="J16" s="787" t="s">
        <v>1687</v>
      </c>
      <c r="K16" s="791" t="s">
        <v>1824</v>
      </c>
      <c r="M16" s="490" t="str" cm="1">
        <f t="array" ref="M16">INDEX(KirjastoC!D4:K130,15,KirjastoC!B4)</f>
        <v>Ilman tiheys: 1,2 kg/m³</v>
      </c>
    </row>
    <row r="17" spans="3:13" ht="16" x14ac:dyDescent="0.2">
      <c r="C17" s="501">
        <v>14</v>
      </c>
      <c r="D17" s="752" t="s">
        <v>1336</v>
      </c>
      <c r="E17" s="753" t="s">
        <v>1340</v>
      </c>
      <c r="F17" s="508" t="s">
        <v>1346</v>
      </c>
      <c r="G17" s="754" t="s">
        <v>1350</v>
      </c>
      <c r="H17" s="779" t="s">
        <v>1445</v>
      </c>
      <c r="I17" s="783" t="s">
        <v>1548</v>
      </c>
      <c r="J17" s="787" t="s">
        <v>1684</v>
      </c>
      <c r="K17" s="791" t="s">
        <v>1821</v>
      </c>
      <c r="M17" s="490" t="str" cm="1">
        <f t="array" ref="M17">INDEX(KirjastoC!D4:K130,16,KirjastoC!B4)</f>
        <v>Tuloilma</v>
      </c>
    </row>
    <row r="18" spans="3:13" ht="16" x14ac:dyDescent="0.2">
      <c r="C18" s="501">
        <v>15</v>
      </c>
      <c r="D18" s="491" t="s">
        <v>628</v>
      </c>
      <c r="E18" s="492" t="s">
        <v>829</v>
      </c>
      <c r="F18" s="508" t="s">
        <v>734</v>
      </c>
      <c r="G18" s="493" t="s">
        <v>830</v>
      </c>
      <c r="H18" s="779" t="s">
        <v>1449</v>
      </c>
      <c r="I18" s="783" t="s">
        <v>1552</v>
      </c>
      <c r="J18" s="787" t="s">
        <v>1688</v>
      </c>
      <c r="K18" s="791" t="s">
        <v>1825</v>
      </c>
      <c r="M18" s="490" t="str" cm="1">
        <f t="array" ref="M18">INDEX(KirjastoC!D4:K130,17,KirjastoC!B4)</f>
        <v>Poistoilma</v>
      </c>
    </row>
    <row r="19" spans="3:13" ht="16" x14ac:dyDescent="0.2">
      <c r="C19" s="501">
        <v>16</v>
      </c>
      <c r="D19" s="621" t="s">
        <v>311</v>
      </c>
      <c r="E19" s="622" t="s">
        <v>641</v>
      </c>
      <c r="F19" s="508" t="s">
        <v>747</v>
      </c>
      <c r="G19" s="493" t="s">
        <v>642</v>
      </c>
      <c r="H19" s="846" t="s">
        <v>2004</v>
      </c>
      <c r="I19" s="783" t="s">
        <v>1553</v>
      </c>
      <c r="J19" s="787" t="s">
        <v>1689</v>
      </c>
      <c r="K19" s="791" t="s">
        <v>1826</v>
      </c>
    </row>
    <row r="20" spans="3:13" ht="16" x14ac:dyDescent="0.2">
      <c r="C20" s="501">
        <v>17</v>
      </c>
      <c r="D20" s="621" t="s">
        <v>312</v>
      </c>
      <c r="E20" s="622" t="s">
        <v>645</v>
      </c>
      <c r="F20" s="508" t="s">
        <v>749</v>
      </c>
      <c r="G20" s="493" t="s">
        <v>646</v>
      </c>
      <c r="H20" s="846" t="s">
        <v>2005</v>
      </c>
      <c r="I20" s="783" t="s">
        <v>1950</v>
      </c>
      <c r="J20" s="787" t="s">
        <v>1951</v>
      </c>
      <c r="K20" s="791" t="s">
        <v>1952</v>
      </c>
      <c r="M20" s="490" t="str" cm="1">
        <f t="array" ref="M20">INDEX(KirjastoC!D4:K130,6,KirjastoC!B4)</f>
        <v xml:space="preserve">Äänenvaimennuskotelo: 'dB-paketti' (Huom! Vaatii kaappirungon) </v>
      </c>
    </row>
    <row r="21" spans="3:13" ht="16" x14ac:dyDescent="0.2">
      <c r="C21" s="501">
        <v>18</v>
      </c>
      <c r="D21" s="591" t="s">
        <v>629</v>
      </c>
      <c r="E21" s="592" t="s">
        <v>630</v>
      </c>
      <c r="F21" s="508" t="s">
        <v>735</v>
      </c>
      <c r="G21" s="593" t="s">
        <v>831</v>
      </c>
      <c r="H21" s="779" t="s">
        <v>1450</v>
      </c>
      <c r="I21" s="783" t="s">
        <v>1555</v>
      </c>
      <c r="J21" s="787" t="s">
        <v>1691</v>
      </c>
      <c r="K21" s="791" t="s">
        <v>1828</v>
      </c>
      <c r="M21" s="490" t="str" cm="1">
        <f t="array" ref="M21">INDEX(KirjastoC!D4:K130,7,KirjastoC!B4)</f>
        <v>Vesikiertoinen lämmityspatteri</v>
      </c>
    </row>
    <row r="22" spans="3:13" ht="16" x14ac:dyDescent="0.2">
      <c r="C22" s="501">
        <v>19</v>
      </c>
      <c r="D22" s="591" t="s">
        <v>631</v>
      </c>
      <c r="E22" s="592" t="s">
        <v>632</v>
      </c>
      <c r="F22" s="508" t="s">
        <v>736</v>
      </c>
      <c r="G22" s="593" t="s">
        <v>832</v>
      </c>
      <c r="H22" s="779" t="s">
        <v>1451</v>
      </c>
      <c r="I22" s="783" t="s">
        <v>1556</v>
      </c>
      <c r="J22" s="787" t="s">
        <v>1692</v>
      </c>
      <c r="K22" s="791" t="s">
        <v>1829</v>
      </c>
    </row>
    <row r="23" spans="3:13" ht="16" x14ac:dyDescent="0.2">
      <c r="C23" s="501">
        <v>20</v>
      </c>
      <c r="D23" s="491" t="s">
        <v>341</v>
      </c>
      <c r="E23" s="492" t="s">
        <v>712</v>
      </c>
      <c r="F23" s="508" t="s">
        <v>737</v>
      </c>
      <c r="G23" s="493" t="s">
        <v>833</v>
      </c>
      <c r="H23" s="779" t="s">
        <v>1452</v>
      </c>
      <c r="I23" s="783" t="s">
        <v>1557</v>
      </c>
      <c r="J23" s="787" t="s">
        <v>1693</v>
      </c>
      <c r="K23" s="791" t="s">
        <v>1830</v>
      </c>
    </row>
    <row r="24" spans="3:13" ht="16" x14ac:dyDescent="0.2">
      <c r="C24" s="501">
        <v>21</v>
      </c>
      <c r="D24" s="491" t="s">
        <v>303</v>
      </c>
      <c r="E24" s="492" t="s">
        <v>633</v>
      </c>
      <c r="F24" s="508" t="s">
        <v>738</v>
      </c>
      <c r="G24" s="493" t="s">
        <v>834</v>
      </c>
      <c r="H24" s="779" t="s">
        <v>1453</v>
      </c>
      <c r="I24" s="783" t="s">
        <v>1558</v>
      </c>
      <c r="J24" s="787" t="s">
        <v>1694</v>
      </c>
      <c r="K24" s="791" t="s">
        <v>1831</v>
      </c>
    </row>
    <row r="25" spans="3:13" ht="16" x14ac:dyDescent="0.2">
      <c r="C25" s="501">
        <v>22</v>
      </c>
      <c r="D25" s="491" t="s">
        <v>302</v>
      </c>
      <c r="E25" s="492" t="s">
        <v>634</v>
      </c>
      <c r="F25" s="508" t="s">
        <v>739</v>
      </c>
      <c r="G25" s="493" t="s">
        <v>831</v>
      </c>
      <c r="H25" s="779" t="s">
        <v>1454</v>
      </c>
      <c r="I25" s="783" t="s">
        <v>1559</v>
      </c>
      <c r="J25" s="787" t="s">
        <v>1695</v>
      </c>
      <c r="K25" s="791" t="s">
        <v>1832</v>
      </c>
    </row>
    <row r="26" spans="3:13" ht="16" x14ac:dyDescent="0.2">
      <c r="C26" s="501">
        <v>23</v>
      </c>
      <c r="D26" s="491" t="s">
        <v>635</v>
      </c>
      <c r="E26" s="492" t="s">
        <v>636</v>
      </c>
      <c r="F26" s="508" t="s">
        <v>1126</v>
      </c>
      <c r="G26" s="623" t="s">
        <v>1125</v>
      </c>
      <c r="H26" s="779" t="s">
        <v>1455</v>
      </c>
      <c r="I26" s="783" t="s">
        <v>1560</v>
      </c>
      <c r="J26" s="787" t="s">
        <v>1696</v>
      </c>
      <c r="K26" s="791" t="s">
        <v>1833</v>
      </c>
    </row>
    <row r="27" spans="3:13" ht="16" x14ac:dyDescent="0.2">
      <c r="C27" s="501">
        <v>24</v>
      </c>
      <c r="D27" s="491" t="s">
        <v>342</v>
      </c>
      <c r="E27" s="492" t="s">
        <v>711</v>
      </c>
      <c r="F27" s="508" t="s">
        <v>740</v>
      </c>
      <c r="G27" s="623" t="s">
        <v>1124</v>
      </c>
      <c r="H27" s="779" t="s">
        <v>1456</v>
      </c>
      <c r="I27" s="783" t="s">
        <v>1561</v>
      </c>
      <c r="J27" s="787" t="s">
        <v>1697</v>
      </c>
      <c r="K27" s="791" t="s">
        <v>1834</v>
      </c>
    </row>
    <row r="28" spans="3:13" ht="16" x14ac:dyDescent="0.2">
      <c r="C28" s="501">
        <v>25</v>
      </c>
      <c r="D28" s="491" t="s">
        <v>306</v>
      </c>
      <c r="E28" s="492" t="s">
        <v>637</v>
      </c>
      <c r="F28" s="508" t="s">
        <v>741</v>
      </c>
      <c r="G28" s="493" t="s">
        <v>835</v>
      </c>
      <c r="H28" s="846" t="s">
        <v>2010</v>
      </c>
      <c r="I28" s="783" t="s">
        <v>1562</v>
      </c>
      <c r="J28" s="787" t="s">
        <v>1698</v>
      </c>
      <c r="K28" s="791" t="s">
        <v>1835</v>
      </c>
    </row>
    <row r="29" spans="3:13" ht="16" x14ac:dyDescent="0.2">
      <c r="C29" s="501">
        <v>26</v>
      </c>
      <c r="D29" s="491" t="s">
        <v>304</v>
      </c>
      <c r="E29" s="492" t="s">
        <v>715</v>
      </c>
      <c r="F29" s="508" t="s">
        <v>742</v>
      </c>
      <c r="G29" s="493" t="s">
        <v>836</v>
      </c>
      <c r="H29" s="779" t="s">
        <v>1457</v>
      </c>
      <c r="I29" s="783" t="s">
        <v>1563</v>
      </c>
      <c r="J29" s="787" t="s">
        <v>1699</v>
      </c>
      <c r="K29" s="791" t="s">
        <v>1836</v>
      </c>
    </row>
    <row r="30" spans="3:13" ht="16" x14ac:dyDescent="0.2">
      <c r="C30" s="501">
        <v>27</v>
      </c>
      <c r="D30" s="491" t="s">
        <v>305</v>
      </c>
      <c r="E30" s="492" t="s">
        <v>713</v>
      </c>
      <c r="F30" s="508" t="s">
        <v>743</v>
      </c>
      <c r="G30" s="493" t="s">
        <v>837</v>
      </c>
      <c r="H30" s="846" t="s">
        <v>2011</v>
      </c>
      <c r="I30" s="783" t="s">
        <v>1564</v>
      </c>
      <c r="J30" s="787" t="s">
        <v>1700</v>
      </c>
      <c r="K30" s="791" t="s">
        <v>1837</v>
      </c>
    </row>
    <row r="31" spans="3:13" ht="16" x14ac:dyDescent="0.2">
      <c r="C31" s="501">
        <v>28</v>
      </c>
      <c r="D31" s="491" t="s">
        <v>307</v>
      </c>
      <c r="E31" s="492" t="s">
        <v>714</v>
      </c>
      <c r="F31" s="508" t="s">
        <v>744</v>
      </c>
      <c r="G31" s="493" t="s">
        <v>838</v>
      </c>
      <c r="H31" s="779" t="s">
        <v>1458</v>
      </c>
      <c r="I31" s="783" t="s">
        <v>1565</v>
      </c>
      <c r="J31" s="787" t="s">
        <v>1701</v>
      </c>
      <c r="K31" s="791" t="s">
        <v>1838</v>
      </c>
    </row>
    <row r="32" spans="3:13" ht="16" x14ac:dyDescent="0.2">
      <c r="C32" s="501">
        <v>29</v>
      </c>
      <c r="D32" s="491" t="s">
        <v>308</v>
      </c>
      <c r="E32" s="492" t="s">
        <v>638</v>
      </c>
      <c r="F32" s="508" t="s">
        <v>745</v>
      </c>
      <c r="G32" s="493" t="s">
        <v>839</v>
      </c>
      <c r="H32" s="779" t="s">
        <v>1459</v>
      </c>
      <c r="I32" s="783" t="s">
        <v>1566</v>
      </c>
      <c r="J32" s="787" t="s">
        <v>1702</v>
      </c>
      <c r="K32" s="791" t="s">
        <v>1839</v>
      </c>
    </row>
    <row r="33" spans="3:11" ht="16" x14ac:dyDescent="0.2">
      <c r="C33" s="501">
        <v>30</v>
      </c>
      <c r="D33" s="491" t="s">
        <v>76</v>
      </c>
      <c r="E33" s="492" t="s">
        <v>76</v>
      </c>
      <c r="F33" s="508" t="s">
        <v>76</v>
      </c>
      <c r="G33" s="493" t="s">
        <v>76</v>
      </c>
      <c r="H33" s="779" t="s">
        <v>76</v>
      </c>
      <c r="I33" s="783" t="s">
        <v>76</v>
      </c>
      <c r="J33" s="787" t="s">
        <v>76</v>
      </c>
      <c r="K33" s="791" t="s">
        <v>76</v>
      </c>
    </row>
    <row r="34" spans="3:11" ht="16" x14ac:dyDescent="0.2">
      <c r="C34" s="501">
        <v>31</v>
      </c>
      <c r="D34" s="491" t="s">
        <v>309</v>
      </c>
      <c r="E34" s="492" t="s">
        <v>639</v>
      </c>
      <c r="F34" s="508" t="s">
        <v>809</v>
      </c>
      <c r="G34" s="514" t="s">
        <v>840</v>
      </c>
      <c r="H34" s="779" t="s">
        <v>1460</v>
      </c>
      <c r="I34" s="783" t="s">
        <v>1567</v>
      </c>
      <c r="J34" s="787" t="s">
        <v>1703</v>
      </c>
      <c r="K34" s="791" t="s">
        <v>1840</v>
      </c>
    </row>
    <row r="35" spans="3:11" ht="16" x14ac:dyDescent="0.2">
      <c r="C35" s="501">
        <v>32</v>
      </c>
      <c r="D35" s="491" t="s">
        <v>310</v>
      </c>
      <c r="E35" s="492" t="s">
        <v>640</v>
      </c>
      <c r="F35" s="510" t="s">
        <v>746</v>
      </c>
      <c r="G35" s="493" t="s">
        <v>841</v>
      </c>
      <c r="H35" s="779" t="s">
        <v>1461</v>
      </c>
      <c r="I35" s="783" t="s">
        <v>1568</v>
      </c>
      <c r="J35" s="787" t="s">
        <v>1704</v>
      </c>
      <c r="K35" s="791" t="s">
        <v>1841</v>
      </c>
    </row>
    <row r="36" spans="3:11" ht="16" x14ac:dyDescent="0.2">
      <c r="C36" s="501">
        <v>33</v>
      </c>
      <c r="D36" s="491" t="s">
        <v>311</v>
      </c>
      <c r="E36" s="492" t="s">
        <v>641</v>
      </c>
      <c r="F36" s="508" t="s">
        <v>747</v>
      </c>
      <c r="G36" s="493" t="s">
        <v>642</v>
      </c>
      <c r="H36" s="846" t="s">
        <v>2014</v>
      </c>
      <c r="I36" s="783" t="s">
        <v>1553</v>
      </c>
      <c r="J36" s="787" t="s">
        <v>1689</v>
      </c>
      <c r="K36" s="791" t="s">
        <v>1826</v>
      </c>
    </row>
    <row r="37" spans="3:11" ht="16" x14ac:dyDescent="0.2">
      <c r="C37" s="501">
        <v>34</v>
      </c>
      <c r="D37" s="491" t="s">
        <v>544</v>
      </c>
      <c r="E37" s="492" t="s">
        <v>643</v>
      </c>
      <c r="F37" s="508" t="s">
        <v>748</v>
      </c>
      <c r="G37" s="493" t="s">
        <v>644</v>
      </c>
      <c r="H37" s="846" t="s">
        <v>2015</v>
      </c>
      <c r="I37" s="783" t="s">
        <v>1569</v>
      </c>
      <c r="J37" s="787" t="s">
        <v>1705</v>
      </c>
      <c r="K37" s="791" t="s">
        <v>1842</v>
      </c>
    </row>
    <row r="38" spans="3:11" ht="16" x14ac:dyDescent="0.2">
      <c r="C38" s="501">
        <v>35</v>
      </c>
      <c r="D38" s="491" t="s">
        <v>312</v>
      </c>
      <c r="E38" s="492" t="s">
        <v>645</v>
      </c>
      <c r="F38" s="508" t="s">
        <v>749</v>
      </c>
      <c r="G38" s="493" t="s">
        <v>646</v>
      </c>
      <c r="H38" s="846" t="s">
        <v>2016</v>
      </c>
      <c r="I38" s="783" t="s">
        <v>1554</v>
      </c>
      <c r="J38" s="787" t="s">
        <v>1690</v>
      </c>
      <c r="K38" s="791" t="s">
        <v>1827</v>
      </c>
    </row>
    <row r="39" spans="3:11" ht="16" x14ac:dyDescent="0.2">
      <c r="C39" s="501">
        <v>36</v>
      </c>
      <c r="D39" s="491" t="s">
        <v>280</v>
      </c>
      <c r="E39" s="492" t="s">
        <v>647</v>
      </c>
      <c r="F39" s="508" t="s">
        <v>750</v>
      </c>
      <c r="G39" s="493" t="s">
        <v>648</v>
      </c>
      <c r="H39" s="846" t="s">
        <v>2017</v>
      </c>
      <c r="I39" s="783" t="s">
        <v>1570</v>
      </c>
      <c r="J39" s="787" t="s">
        <v>1706</v>
      </c>
      <c r="K39" s="791" t="s">
        <v>1843</v>
      </c>
    </row>
    <row r="40" spans="3:11" ht="16" x14ac:dyDescent="0.2">
      <c r="C40" s="501">
        <v>37</v>
      </c>
      <c r="D40" s="491" t="s">
        <v>390</v>
      </c>
      <c r="E40" s="492" t="s">
        <v>649</v>
      </c>
      <c r="F40" s="508" t="s">
        <v>751</v>
      </c>
      <c r="G40" s="493" t="s">
        <v>842</v>
      </c>
      <c r="H40" s="846" t="s">
        <v>2018</v>
      </c>
      <c r="I40" s="783" t="s">
        <v>1571</v>
      </c>
      <c r="J40" s="787" t="s">
        <v>1707</v>
      </c>
      <c r="K40" s="791" t="s">
        <v>1844</v>
      </c>
    </row>
    <row r="41" spans="3:11" ht="18" x14ac:dyDescent="0.25">
      <c r="C41" s="501">
        <v>38</v>
      </c>
      <c r="D41" s="491" t="s">
        <v>650</v>
      </c>
      <c r="E41" s="492" t="s">
        <v>651</v>
      </c>
      <c r="F41" s="508" t="s">
        <v>752</v>
      </c>
      <c r="G41" s="514" t="s">
        <v>843</v>
      </c>
      <c r="H41" s="779" t="s">
        <v>1462</v>
      </c>
      <c r="I41" s="783" t="s">
        <v>1572</v>
      </c>
      <c r="J41" s="787" t="s">
        <v>1708</v>
      </c>
      <c r="K41" s="791" t="s">
        <v>1845</v>
      </c>
    </row>
    <row r="42" spans="3:11" ht="18" x14ac:dyDescent="0.25">
      <c r="C42" s="501">
        <v>39</v>
      </c>
      <c r="D42" s="491" t="s">
        <v>652</v>
      </c>
      <c r="E42" s="492" t="s">
        <v>652</v>
      </c>
      <c r="F42" s="508" t="s">
        <v>652</v>
      </c>
      <c r="G42" s="493" t="s">
        <v>652</v>
      </c>
      <c r="H42" s="779" t="s">
        <v>652</v>
      </c>
      <c r="I42" s="783" t="s">
        <v>652</v>
      </c>
      <c r="J42" s="787" t="s">
        <v>652</v>
      </c>
      <c r="K42" s="791" t="s">
        <v>652</v>
      </c>
    </row>
    <row r="43" spans="3:11" ht="18" x14ac:dyDescent="0.25">
      <c r="C43" s="501">
        <v>40</v>
      </c>
      <c r="D43" s="491" t="s">
        <v>653</v>
      </c>
      <c r="E43" s="492" t="s">
        <v>653</v>
      </c>
      <c r="F43" s="508" t="s">
        <v>653</v>
      </c>
      <c r="G43" s="493" t="s">
        <v>653</v>
      </c>
      <c r="H43" s="779" t="s">
        <v>653</v>
      </c>
      <c r="I43" s="783" t="s">
        <v>653</v>
      </c>
      <c r="J43" s="787" t="s">
        <v>653</v>
      </c>
      <c r="K43" s="791" t="s">
        <v>653</v>
      </c>
    </row>
    <row r="44" spans="3:11" ht="16" x14ac:dyDescent="0.2">
      <c r="C44" s="501">
        <v>41</v>
      </c>
      <c r="D44" s="491" t="s">
        <v>654</v>
      </c>
      <c r="E44" s="492" t="s">
        <v>655</v>
      </c>
      <c r="F44" s="508" t="s">
        <v>753</v>
      </c>
      <c r="G44" s="493" t="s">
        <v>844</v>
      </c>
      <c r="H44" s="846" t="s">
        <v>2019</v>
      </c>
      <c r="I44" s="783" t="s">
        <v>1573</v>
      </c>
      <c r="J44" s="787" t="s">
        <v>1709</v>
      </c>
      <c r="K44" s="791" t="s">
        <v>1846</v>
      </c>
    </row>
    <row r="45" spans="3:11" ht="16" x14ac:dyDescent="0.2">
      <c r="C45" s="501">
        <v>42</v>
      </c>
      <c r="D45" s="491" t="s">
        <v>96</v>
      </c>
      <c r="E45" s="492" t="s">
        <v>656</v>
      </c>
      <c r="F45" s="508" t="s">
        <v>754</v>
      </c>
      <c r="G45" s="493" t="s">
        <v>845</v>
      </c>
      <c r="H45" s="846" t="s">
        <v>2020</v>
      </c>
      <c r="I45" s="783" t="s">
        <v>1574</v>
      </c>
      <c r="J45" s="787" t="s">
        <v>1710</v>
      </c>
      <c r="K45" s="791" t="s">
        <v>1847</v>
      </c>
    </row>
    <row r="46" spans="3:11" ht="32" x14ac:dyDescent="0.2">
      <c r="C46" s="501">
        <v>43</v>
      </c>
      <c r="D46" s="491" t="s">
        <v>314</v>
      </c>
      <c r="E46" s="492" t="s">
        <v>846</v>
      </c>
      <c r="F46" s="508" t="s">
        <v>755</v>
      </c>
      <c r="G46" s="514" t="s">
        <v>847</v>
      </c>
      <c r="H46" s="779" t="s">
        <v>1463</v>
      </c>
      <c r="I46" s="783" t="s">
        <v>1575</v>
      </c>
      <c r="J46" s="787" t="s">
        <v>1711</v>
      </c>
      <c r="K46" s="791" t="s">
        <v>1848</v>
      </c>
    </row>
    <row r="47" spans="3:11" ht="32" x14ac:dyDescent="0.2">
      <c r="C47" s="501">
        <v>44</v>
      </c>
      <c r="D47" s="491" t="s">
        <v>791</v>
      </c>
      <c r="E47" s="494" t="s">
        <v>848</v>
      </c>
      <c r="F47" s="509" t="s">
        <v>849</v>
      </c>
      <c r="G47" s="514" t="s">
        <v>850</v>
      </c>
      <c r="H47" s="779" t="s">
        <v>1464</v>
      </c>
      <c r="I47" s="783" t="s">
        <v>1576</v>
      </c>
      <c r="J47" s="787" t="s">
        <v>1712</v>
      </c>
      <c r="K47" s="791" t="s">
        <v>1849</v>
      </c>
    </row>
    <row r="48" spans="3:11" ht="32" x14ac:dyDescent="0.2">
      <c r="C48" s="501">
        <v>45</v>
      </c>
      <c r="D48" s="491" t="s">
        <v>657</v>
      </c>
      <c r="E48" s="492" t="s">
        <v>658</v>
      </c>
      <c r="F48" s="508" t="s">
        <v>756</v>
      </c>
      <c r="G48" s="493" t="s">
        <v>851</v>
      </c>
      <c r="H48" s="779" t="s">
        <v>1465</v>
      </c>
      <c r="I48" s="783" t="s">
        <v>1577</v>
      </c>
      <c r="J48" s="787" t="s">
        <v>1713</v>
      </c>
      <c r="K48" s="791" t="s">
        <v>1850</v>
      </c>
    </row>
    <row r="49" spans="3:11" ht="32" x14ac:dyDescent="0.2">
      <c r="C49" s="501">
        <v>46</v>
      </c>
      <c r="D49" s="491" t="s">
        <v>659</v>
      </c>
      <c r="E49" s="494" t="s">
        <v>660</v>
      </c>
      <c r="F49" s="509" t="s">
        <v>757</v>
      </c>
      <c r="G49" s="515" t="s">
        <v>852</v>
      </c>
      <c r="H49" s="779" t="s">
        <v>1466</v>
      </c>
      <c r="I49" s="783" t="s">
        <v>1578</v>
      </c>
      <c r="J49" s="787" t="s">
        <v>1714</v>
      </c>
      <c r="K49" s="791" t="s">
        <v>1851</v>
      </c>
    </row>
    <row r="50" spans="3:11" ht="32" x14ac:dyDescent="0.2">
      <c r="C50" s="501">
        <v>47</v>
      </c>
      <c r="D50" s="491" t="s">
        <v>572</v>
      </c>
      <c r="E50" s="494" t="s">
        <v>718</v>
      </c>
      <c r="F50" s="509" t="s">
        <v>758</v>
      </c>
      <c r="G50" s="493" t="s">
        <v>853</v>
      </c>
      <c r="H50" s="779" t="s">
        <v>1467</v>
      </c>
      <c r="I50" s="783" t="s">
        <v>1579</v>
      </c>
      <c r="J50" s="787" t="s">
        <v>1715</v>
      </c>
      <c r="K50" s="791" t="s">
        <v>1852</v>
      </c>
    </row>
    <row r="51" spans="3:11" ht="16" x14ac:dyDescent="0.2">
      <c r="C51" s="501">
        <v>48</v>
      </c>
      <c r="D51" s="491" t="s">
        <v>315</v>
      </c>
      <c r="E51" s="492" t="s">
        <v>661</v>
      </c>
      <c r="F51" s="508" t="s">
        <v>759</v>
      </c>
      <c r="G51" s="493" t="s">
        <v>854</v>
      </c>
      <c r="H51" s="779" t="s">
        <v>1468</v>
      </c>
      <c r="I51" s="783" t="s">
        <v>1580</v>
      </c>
      <c r="J51" s="787" t="s">
        <v>1716</v>
      </c>
      <c r="K51" s="791" t="s">
        <v>1853</v>
      </c>
    </row>
    <row r="52" spans="3:11" ht="16" x14ac:dyDescent="0.2">
      <c r="C52" s="501">
        <v>49</v>
      </c>
      <c r="D52" s="491" t="s">
        <v>207</v>
      </c>
      <c r="E52" s="492" t="s">
        <v>719</v>
      </c>
      <c r="F52" s="508" t="s">
        <v>760</v>
      </c>
      <c r="G52" s="493" t="s">
        <v>855</v>
      </c>
      <c r="H52" s="779" t="s">
        <v>1469</v>
      </c>
      <c r="I52" s="783" t="s">
        <v>1581</v>
      </c>
      <c r="J52" s="787" t="s">
        <v>1717</v>
      </c>
      <c r="K52" s="791" t="s">
        <v>1854</v>
      </c>
    </row>
    <row r="53" spans="3:11" ht="16" x14ac:dyDescent="0.2">
      <c r="C53" s="501">
        <v>50</v>
      </c>
      <c r="D53" s="491" t="s">
        <v>316</v>
      </c>
      <c r="E53" s="492" t="s">
        <v>145</v>
      </c>
      <c r="F53" s="508" t="s">
        <v>761</v>
      </c>
      <c r="G53" s="493" t="s">
        <v>856</v>
      </c>
      <c r="H53" s="779" t="s">
        <v>1470</v>
      </c>
      <c r="I53" s="783" t="s">
        <v>1582</v>
      </c>
      <c r="J53" s="787" t="s">
        <v>1718</v>
      </c>
      <c r="K53" s="791" t="s">
        <v>1855</v>
      </c>
    </row>
    <row r="54" spans="3:11" ht="16" x14ac:dyDescent="0.2">
      <c r="C54" s="501">
        <v>51</v>
      </c>
      <c r="D54" s="491" t="s">
        <v>317</v>
      </c>
      <c r="E54" s="492" t="s">
        <v>146</v>
      </c>
      <c r="F54" s="508" t="s">
        <v>762</v>
      </c>
      <c r="G54" s="493" t="s">
        <v>857</v>
      </c>
      <c r="H54" s="779" t="s">
        <v>1471</v>
      </c>
      <c r="I54" s="783" t="s">
        <v>1583</v>
      </c>
      <c r="J54" s="787" t="s">
        <v>1719</v>
      </c>
      <c r="K54" s="791" t="s">
        <v>1856</v>
      </c>
    </row>
    <row r="55" spans="3:11" ht="16" x14ac:dyDescent="0.2">
      <c r="C55" s="501">
        <v>52</v>
      </c>
      <c r="D55" s="491" t="s">
        <v>318</v>
      </c>
      <c r="E55" s="492" t="s">
        <v>147</v>
      </c>
      <c r="F55" s="508" t="s">
        <v>763</v>
      </c>
      <c r="G55" s="493" t="s">
        <v>858</v>
      </c>
      <c r="H55" s="846" t="s">
        <v>2021</v>
      </c>
      <c r="I55" s="783" t="s">
        <v>1584</v>
      </c>
      <c r="J55" s="787" t="s">
        <v>1720</v>
      </c>
      <c r="K55" s="791" t="s">
        <v>1857</v>
      </c>
    </row>
    <row r="56" spans="3:11" ht="16" x14ac:dyDescent="0.2">
      <c r="C56" s="501">
        <v>53</v>
      </c>
      <c r="D56" s="491" t="s">
        <v>319</v>
      </c>
      <c r="E56" s="492" t="s">
        <v>148</v>
      </c>
      <c r="F56" s="508" t="s">
        <v>764</v>
      </c>
      <c r="G56" s="493" t="s">
        <v>859</v>
      </c>
      <c r="H56" s="779" t="s">
        <v>764</v>
      </c>
      <c r="I56" s="783" t="s">
        <v>1585</v>
      </c>
      <c r="J56" s="787" t="s">
        <v>1721</v>
      </c>
      <c r="K56" s="791" t="s">
        <v>1858</v>
      </c>
    </row>
    <row r="57" spans="3:11" ht="16" x14ac:dyDescent="0.2">
      <c r="C57" s="501">
        <v>54</v>
      </c>
      <c r="D57" s="491" t="s">
        <v>320</v>
      </c>
      <c r="E57" s="492" t="s">
        <v>662</v>
      </c>
      <c r="F57" s="508" t="s">
        <v>765</v>
      </c>
      <c r="G57" s="493" t="s">
        <v>860</v>
      </c>
      <c r="H57" s="779" t="s">
        <v>1472</v>
      </c>
      <c r="I57" s="783" t="s">
        <v>1586</v>
      </c>
      <c r="J57" s="787" t="s">
        <v>1722</v>
      </c>
      <c r="K57" s="791" t="s">
        <v>1859</v>
      </c>
    </row>
    <row r="58" spans="3:11" ht="96" x14ac:dyDescent="0.2">
      <c r="C58" s="501">
        <v>55</v>
      </c>
      <c r="D58" s="491" t="s">
        <v>336</v>
      </c>
      <c r="E58" s="494" t="s">
        <v>861</v>
      </c>
      <c r="F58" s="509" t="s">
        <v>862</v>
      </c>
      <c r="G58" s="515" t="s">
        <v>863</v>
      </c>
      <c r="H58" s="779" t="s">
        <v>1473</v>
      </c>
      <c r="I58" s="783" t="s">
        <v>1587</v>
      </c>
      <c r="J58" s="787" t="s">
        <v>1723</v>
      </c>
      <c r="K58" s="791" t="s">
        <v>1860</v>
      </c>
    </row>
    <row r="59" spans="3:11" ht="48" x14ac:dyDescent="0.2">
      <c r="C59" s="501">
        <v>56</v>
      </c>
      <c r="D59" s="491" t="s">
        <v>402</v>
      </c>
      <c r="E59" s="1369" t="s">
        <v>2603</v>
      </c>
      <c r="F59" s="509" t="s">
        <v>865</v>
      </c>
      <c r="G59" s="514" t="s">
        <v>866</v>
      </c>
      <c r="H59" s="779" t="s">
        <v>1474</v>
      </c>
      <c r="I59" s="783" t="s">
        <v>1588</v>
      </c>
      <c r="J59" s="787" t="s">
        <v>1724</v>
      </c>
      <c r="K59" s="791" t="s">
        <v>1861</v>
      </c>
    </row>
    <row r="60" spans="3:11" ht="16" x14ac:dyDescent="0.2">
      <c r="C60" s="501">
        <v>57</v>
      </c>
      <c r="D60" s="491" t="s">
        <v>322</v>
      </c>
      <c r="E60" s="492" t="s">
        <v>663</v>
      </c>
      <c r="F60" s="508" t="s">
        <v>766</v>
      </c>
      <c r="G60" s="493" t="s">
        <v>867</v>
      </c>
      <c r="H60" s="779" t="s">
        <v>1475</v>
      </c>
      <c r="I60" s="783" t="s">
        <v>1589</v>
      </c>
      <c r="J60" s="787" t="s">
        <v>1725</v>
      </c>
      <c r="K60" s="791" t="s">
        <v>1862</v>
      </c>
    </row>
    <row r="61" spans="3:11" ht="16" x14ac:dyDescent="0.2">
      <c r="C61" s="501">
        <v>58</v>
      </c>
      <c r="D61" s="491" t="s">
        <v>321</v>
      </c>
      <c r="E61" s="492" t="s">
        <v>186</v>
      </c>
      <c r="F61" s="508" t="s">
        <v>767</v>
      </c>
      <c r="G61" s="493" t="s">
        <v>868</v>
      </c>
      <c r="H61" s="779" t="s">
        <v>1476</v>
      </c>
      <c r="I61" s="783" t="s">
        <v>767</v>
      </c>
      <c r="J61" s="787" t="s">
        <v>1726</v>
      </c>
      <c r="K61" s="791" t="s">
        <v>1863</v>
      </c>
    </row>
    <row r="62" spans="3:11" x14ac:dyDescent="0.2">
      <c r="C62" s="501">
        <v>59</v>
      </c>
      <c r="D62" s="495" t="s">
        <v>323</v>
      </c>
      <c r="E62" s="492" t="s">
        <v>664</v>
      </c>
      <c r="F62" s="508" t="s">
        <v>768</v>
      </c>
      <c r="G62" s="493" t="s">
        <v>869</v>
      </c>
      <c r="H62" s="780" t="s">
        <v>1477</v>
      </c>
      <c r="I62" s="784" t="s">
        <v>1590</v>
      </c>
      <c r="J62" s="788" t="s">
        <v>1727</v>
      </c>
      <c r="K62" s="792" t="s">
        <v>1864</v>
      </c>
    </row>
    <row r="63" spans="3:11" x14ac:dyDescent="0.2">
      <c r="C63" s="501">
        <v>60</v>
      </c>
      <c r="D63" s="495" t="s">
        <v>324</v>
      </c>
      <c r="E63" s="492" t="s">
        <v>665</v>
      </c>
      <c r="F63" s="508" t="s">
        <v>769</v>
      </c>
      <c r="G63" s="493" t="s">
        <v>870</v>
      </c>
      <c r="H63" s="780" t="s">
        <v>1478</v>
      </c>
      <c r="I63" s="784" t="s">
        <v>1591</v>
      </c>
      <c r="J63" s="788" t="s">
        <v>1728</v>
      </c>
      <c r="K63" s="792" t="s">
        <v>1865</v>
      </c>
    </row>
    <row r="64" spans="3:11" x14ac:dyDescent="0.2">
      <c r="C64" s="501">
        <v>61</v>
      </c>
      <c r="D64" s="495" t="s">
        <v>330</v>
      </c>
      <c r="E64" s="492" t="s">
        <v>666</v>
      </c>
      <c r="F64" s="508" t="s">
        <v>770</v>
      </c>
      <c r="G64" s="493" t="s">
        <v>871</v>
      </c>
      <c r="H64" s="780" t="s">
        <v>1479</v>
      </c>
      <c r="I64" s="784" t="s">
        <v>1592</v>
      </c>
      <c r="J64" s="788" t="s">
        <v>1729</v>
      </c>
      <c r="K64" s="792" t="s">
        <v>1866</v>
      </c>
    </row>
    <row r="65" spans="3:11" x14ac:dyDescent="0.2">
      <c r="C65" s="501">
        <v>62</v>
      </c>
      <c r="D65" s="495" t="s">
        <v>329</v>
      </c>
      <c r="E65" s="492" t="s">
        <v>667</v>
      </c>
      <c r="F65" s="508" t="s">
        <v>771</v>
      </c>
      <c r="G65" s="493" t="s">
        <v>872</v>
      </c>
      <c r="H65" s="780" t="s">
        <v>1480</v>
      </c>
      <c r="I65" s="784" t="s">
        <v>1593</v>
      </c>
      <c r="J65" s="788" t="s">
        <v>1730</v>
      </c>
      <c r="K65" s="792" t="s">
        <v>1867</v>
      </c>
    </row>
    <row r="66" spans="3:11" x14ac:dyDescent="0.2">
      <c r="C66" s="501">
        <v>63</v>
      </c>
      <c r="D66" s="495" t="s">
        <v>331</v>
      </c>
      <c r="E66" s="492" t="s">
        <v>668</v>
      </c>
      <c r="F66" s="508" t="s">
        <v>772</v>
      </c>
      <c r="G66" s="493" t="s">
        <v>873</v>
      </c>
      <c r="H66" s="780" t="s">
        <v>1481</v>
      </c>
      <c r="I66" s="784" t="s">
        <v>1594</v>
      </c>
      <c r="J66" s="788" t="s">
        <v>1731</v>
      </c>
      <c r="K66" s="792" t="s">
        <v>1868</v>
      </c>
    </row>
    <row r="67" spans="3:11" x14ac:dyDescent="0.2">
      <c r="C67" s="501">
        <v>64</v>
      </c>
      <c r="D67" s="495" t="s">
        <v>332</v>
      </c>
      <c r="E67" s="492" t="s">
        <v>669</v>
      </c>
      <c r="F67" s="508" t="s">
        <v>773</v>
      </c>
      <c r="G67" s="493" t="s">
        <v>874</v>
      </c>
      <c r="H67" s="780" t="s">
        <v>1482</v>
      </c>
      <c r="I67" s="784" t="s">
        <v>1595</v>
      </c>
      <c r="J67" s="788" t="s">
        <v>1732</v>
      </c>
      <c r="K67" s="792" t="s">
        <v>1869</v>
      </c>
    </row>
    <row r="68" spans="3:11" x14ac:dyDescent="0.2">
      <c r="C68" s="501">
        <v>65</v>
      </c>
      <c r="D68" s="496" t="s">
        <v>325</v>
      </c>
      <c r="E68" s="492" t="s">
        <v>670</v>
      </c>
      <c r="F68" s="508" t="s">
        <v>774</v>
      </c>
      <c r="G68" s="493" t="s">
        <v>875</v>
      </c>
      <c r="H68" s="781" t="s">
        <v>1483</v>
      </c>
      <c r="I68" s="785" t="s">
        <v>1596</v>
      </c>
      <c r="J68" s="789" t="s">
        <v>1733</v>
      </c>
      <c r="K68" s="793" t="s">
        <v>1870</v>
      </c>
    </row>
    <row r="69" spans="3:11" x14ac:dyDescent="0.2">
      <c r="C69" s="501">
        <v>66</v>
      </c>
      <c r="D69" s="495" t="s">
        <v>326</v>
      </c>
      <c r="E69" s="492" t="s">
        <v>671</v>
      </c>
      <c r="F69" s="508" t="s">
        <v>775</v>
      </c>
      <c r="G69" s="493" t="s">
        <v>876</v>
      </c>
      <c r="H69" s="780" t="s">
        <v>1484</v>
      </c>
      <c r="I69" s="784" t="s">
        <v>1597</v>
      </c>
      <c r="J69" s="788" t="s">
        <v>1734</v>
      </c>
      <c r="K69" s="792" t="s">
        <v>1871</v>
      </c>
    </row>
    <row r="70" spans="3:11" x14ac:dyDescent="0.2">
      <c r="C70" s="501">
        <v>67</v>
      </c>
      <c r="D70" s="495" t="s">
        <v>327</v>
      </c>
      <c r="E70" s="492" t="s">
        <v>672</v>
      </c>
      <c r="F70" s="508" t="s">
        <v>776</v>
      </c>
      <c r="G70" s="493" t="s">
        <v>877</v>
      </c>
      <c r="H70" s="780" t="s">
        <v>1485</v>
      </c>
      <c r="I70" s="784" t="s">
        <v>1598</v>
      </c>
      <c r="J70" s="788" t="s">
        <v>1735</v>
      </c>
      <c r="K70" s="792" t="s">
        <v>1872</v>
      </c>
    </row>
    <row r="71" spans="3:11" x14ac:dyDescent="0.2">
      <c r="C71" s="501">
        <v>68</v>
      </c>
      <c r="D71" s="495" t="s">
        <v>328</v>
      </c>
      <c r="E71" s="492" t="s">
        <v>673</v>
      </c>
      <c r="F71" s="508" t="s">
        <v>777</v>
      </c>
      <c r="G71" s="493" t="s">
        <v>878</v>
      </c>
      <c r="H71" s="780" t="s">
        <v>1486</v>
      </c>
      <c r="I71" s="784" t="s">
        <v>1599</v>
      </c>
      <c r="J71" s="788" t="s">
        <v>1736</v>
      </c>
      <c r="K71" s="792" t="s">
        <v>1873</v>
      </c>
    </row>
    <row r="72" spans="3:11" x14ac:dyDescent="0.2">
      <c r="C72" s="501">
        <v>69</v>
      </c>
      <c r="D72" s="495" t="s">
        <v>333</v>
      </c>
      <c r="E72" s="492" t="s">
        <v>674</v>
      </c>
      <c r="F72" s="508" t="s">
        <v>778</v>
      </c>
      <c r="G72" s="493" t="s">
        <v>675</v>
      </c>
      <c r="H72" s="847" t="s">
        <v>2022</v>
      </c>
      <c r="I72" s="784" t="s">
        <v>1600</v>
      </c>
      <c r="J72" s="788" t="s">
        <v>1737</v>
      </c>
      <c r="K72" s="792" t="s">
        <v>1874</v>
      </c>
    </row>
    <row r="73" spans="3:11" x14ac:dyDescent="0.2">
      <c r="C73" s="501">
        <v>70</v>
      </c>
      <c r="D73" s="495" t="s">
        <v>334</v>
      </c>
      <c r="E73" s="492" t="s">
        <v>676</v>
      </c>
      <c r="F73" s="508" t="s">
        <v>779</v>
      </c>
      <c r="G73" s="493" t="s">
        <v>879</v>
      </c>
      <c r="H73" s="847" t="s">
        <v>2023</v>
      </c>
      <c r="I73" s="784" t="s">
        <v>1601</v>
      </c>
      <c r="J73" s="788" t="s">
        <v>1738</v>
      </c>
      <c r="K73" s="792" t="s">
        <v>1875</v>
      </c>
    </row>
    <row r="74" spans="3:11" x14ac:dyDescent="0.2">
      <c r="C74" s="501">
        <v>71</v>
      </c>
      <c r="D74" s="495" t="s">
        <v>335</v>
      </c>
      <c r="E74" s="492" t="s">
        <v>677</v>
      </c>
      <c r="F74" s="508" t="s">
        <v>780</v>
      </c>
      <c r="G74" s="493" t="s">
        <v>677</v>
      </c>
      <c r="H74" s="847" t="s">
        <v>2024</v>
      </c>
      <c r="I74" s="784" t="s">
        <v>1602</v>
      </c>
      <c r="J74" s="788" t="s">
        <v>1739</v>
      </c>
      <c r="K74" s="792" t="s">
        <v>1876</v>
      </c>
    </row>
    <row r="75" spans="3:11" ht="32" x14ac:dyDescent="0.2">
      <c r="C75" s="501">
        <v>72</v>
      </c>
      <c r="D75" s="491" t="s">
        <v>678</v>
      </c>
      <c r="E75" s="516" t="s">
        <v>880</v>
      </c>
      <c r="F75" s="508" t="s">
        <v>781</v>
      </c>
      <c r="G75" s="517" t="s">
        <v>881</v>
      </c>
      <c r="H75" s="779" t="s">
        <v>1487</v>
      </c>
      <c r="I75" s="783" t="s">
        <v>1603</v>
      </c>
      <c r="J75" s="787" t="s">
        <v>1740</v>
      </c>
      <c r="K75" s="791" t="s">
        <v>1877</v>
      </c>
    </row>
    <row r="76" spans="3:11" ht="32" x14ac:dyDescent="0.2">
      <c r="C76" s="501">
        <v>73</v>
      </c>
      <c r="D76" s="491" t="s">
        <v>205</v>
      </c>
      <c r="E76" s="494" t="s">
        <v>792</v>
      </c>
      <c r="F76" s="508" t="s">
        <v>782</v>
      </c>
      <c r="G76" s="493" t="s">
        <v>882</v>
      </c>
      <c r="H76" s="779" t="s">
        <v>1488</v>
      </c>
      <c r="I76" s="783" t="s">
        <v>1604</v>
      </c>
      <c r="J76" s="787" t="s">
        <v>1741</v>
      </c>
      <c r="K76" s="791" t="s">
        <v>1878</v>
      </c>
    </row>
    <row r="77" spans="3:11" ht="16" x14ac:dyDescent="0.2">
      <c r="C77" s="501">
        <v>74</v>
      </c>
      <c r="D77" s="497" t="s">
        <v>206</v>
      </c>
      <c r="E77" s="498" t="s">
        <v>679</v>
      </c>
      <c r="F77" s="624" t="s">
        <v>1134</v>
      </c>
      <c r="G77" s="518" t="s">
        <v>883</v>
      </c>
      <c r="H77" s="782" t="s">
        <v>1489</v>
      </c>
      <c r="I77" s="786" t="s">
        <v>1605</v>
      </c>
      <c r="J77" s="790" t="s">
        <v>1742</v>
      </c>
      <c r="K77" s="794" t="s">
        <v>1879</v>
      </c>
    </row>
    <row r="78" spans="3:11" ht="16" x14ac:dyDescent="0.2">
      <c r="C78" s="501">
        <v>75</v>
      </c>
      <c r="D78" s="491" t="s">
        <v>207</v>
      </c>
      <c r="E78" s="492" t="s">
        <v>719</v>
      </c>
      <c r="F78" s="508" t="s">
        <v>760</v>
      </c>
      <c r="G78" s="493" t="s">
        <v>855</v>
      </c>
      <c r="H78" s="779" t="s">
        <v>1469</v>
      </c>
      <c r="I78" s="783" t="s">
        <v>1581</v>
      </c>
      <c r="J78" s="787" t="s">
        <v>1717</v>
      </c>
      <c r="K78" s="791" t="s">
        <v>1854</v>
      </c>
    </row>
    <row r="79" spans="3:11" ht="16" x14ac:dyDescent="0.2">
      <c r="C79" s="501">
        <v>76</v>
      </c>
      <c r="D79" s="491" t="s">
        <v>214</v>
      </c>
      <c r="E79" s="492" t="s">
        <v>680</v>
      </c>
      <c r="F79" s="508" t="s">
        <v>783</v>
      </c>
      <c r="G79" s="493" t="s">
        <v>884</v>
      </c>
      <c r="H79" s="846" t="s">
        <v>2031</v>
      </c>
      <c r="I79" s="783" t="s">
        <v>1606</v>
      </c>
      <c r="J79" s="787" t="s">
        <v>1743</v>
      </c>
      <c r="K79" s="791" t="s">
        <v>1880</v>
      </c>
    </row>
    <row r="80" spans="3:11" ht="16" x14ac:dyDescent="0.2">
      <c r="C80" s="501">
        <v>77</v>
      </c>
      <c r="D80" s="491" t="s">
        <v>216</v>
      </c>
      <c r="E80" s="492" t="s">
        <v>681</v>
      </c>
      <c r="F80" s="508" t="s">
        <v>784</v>
      </c>
      <c r="G80" s="493" t="s">
        <v>885</v>
      </c>
      <c r="H80" s="846" t="s">
        <v>2032</v>
      </c>
      <c r="I80" s="783" t="s">
        <v>1607</v>
      </c>
      <c r="J80" s="787" t="s">
        <v>1744</v>
      </c>
      <c r="K80" s="791" t="s">
        <v>1881</v>
      </c>
    </row>
    <row r="81" spans="3:11" ht="32" x14ac:dyDescent="0.2">
      <c r="C81" s="501">
        <v>78</v>
      </c>
      <c r="D81" s="491" t="s">
        <v>218</v>
      </c>
      <c r="E81" s="492" t="s">
        <v>682</v>
      </c>
      <c r="F81" s="508" t="s">
        <v>886</v>
      </c>
      <c r="G81" s="514" t="s">
        <v>887</v>
      </c>
      <c r="H81" s="846" t="s">
        <v>2033</v>
      </c>
      <c r="I81" s="783" t="s">
        <v>1608</v>
      </c>
      <c r="J81" s="787" t="s">
        <v>1745</v>
      </c>
      <c r="K81" s="791" t="s">
        <v>1882</v>
      </c>
    </row>
    <row r="82" spans="3:11" ht="32" x14ac:dyDescent="0.2">
      <c r="C82" s="501">
        <v>79</v>
      </c>
      <c r="D82" s="491" t="s">
        <v>220</v>
      </c>
      <c r="E82" s="513" t="s">
        <v>888</v>
      </c>
      <c r="F82" s="509" t="s">
        <v>889</v>
      </c>
      <c r="G82" s="517" t="s">
        <v>890</v>
      </c>
      <c r="H82" s="846" t="s">
        <v>2034</v>
      </c>
      <c r="I82" s="783" t="s">
        <v>1609</v>
      </c>
      <c r="J82" s="787" t="s">
        <v>1746</v>
      </c>
      <c r="K82" s="791" t="s">
        <v>1883</v>
      </c>
    </row>
    <row r="83" spans="3:11" ht="16" x14ac:dyDescent="0.2">
      <c r="C83" s="501">
        <v>80</v>
      </c>
      <c r="D83" s="491" t="s">
        <v>222</v>
      </c>
      <c r="E83" s="513" t="s">
        <v>984</v>
      </c>
      <c r="F83" s="508" t="s">
        <v>891</v>
      </c>
      <c r="G83" s="517" t="s">
        <v>892</v>
      </c>
      <c r="H83" s="779" t="s">
        <v>1490</v>
      </c>
      <c r="I83" s="783" t="s">
        <v>1610</v>
      </c>
      <c r="J83" s="787" t="s">
        <v>1747</v>
      </c>
      <c r="K83" s="791" t="s">
        <v>1884</v>
      </c>
    </row>
    <row r="84" spans="3:11" ht="32" x14ac:dyDescent="0.2">
      <c r="C84" s="501">
        <v>81</v>
      </c>
      <c r="D84" s="491" t="s">
        <v>225</v>
      </c>
      <c r="E84" s="492" t="s">
        <v>683</v>
      </c>
      <c r="F84" s="508" t="s">
        <v>886</v>
      </c>
      <c r="G84" s="493" t="s">
        <v>893</v>
      </c>
      <c r="H84" s="846" t="s">
        <v>2035</v>
      </c>
      <c r="I84" s="783" t="s">
        <v>1611</v>
      </c>
      <c r="J84" s="787" t="s">
        <v>1748</v>
      </c>
      <c r="K84" s="791" t="s">
        <v>1885</v>
      </c>
    </row>
    <row r="85" spans="3:11" ht="32" x14ac:dyDescent="0.2">
      <c r="C85" s="501">
        <v>82</v>
      </c>
      <c r="D85" s="747" t="s">
        <v>1295</v>
      </c>
      <c r="E85" s="748" t="s">
        <v>1296</v>
      </c>
      <c r="F85" s="508" t="s">
        <v>1297</v>
      </c>
      <c r="G85" s="749" t="s">
        <v>1298</v>
      </c>
      <c r="H85" s="779" t="s">
        <v>1491</v>
      </c>
      <c r="I85" s="783" t="s">
        <v>1612</v>
      </c>
      <c r="J85" s="787" t="s">
        <v>1749</v>
      </c>
      <c r="K85" s="791" t="s">
        <v>1886</v>
      </c>
    </row>
    <row r="86" spans="3:11" ht="16" x14ac:dyDescent="0.2">
      <c r="C86" s="501">
        <v>83</v>
      </c>
      <c r="D86" s="491" t="s">
        <v>226</v>
      </c>
      <c r="E86" s="492" t="s">
        <v>894</v>
      </c>
      <c r="F86" s="508" t="s">
        <v>895</v>
      </c>
      <c r="G86" s="493" t="s">
        <v>896</v>
      </c>
      <c r="H86" s="779" t="s">
        <v>1492</v>
      </c>
      <c r="I86" s="783" t="s">
        <v>1613</v>
      </c>
      <c r="J86" s="787" t="s">
        <v>1750</v>
      </c>
      <c r="K86" s="791" t="s">
        <v>1887</v>
      </c>
    </row>
    <row r="87" spans="3:11" ht="16" x14ac:dyDescent="0.2">
      <c r="C87" s="501">
        <v>84</v>
      </c>
      <c r="D87" s="491" t="s">
        <v>227</v>
      </c>
      <c r="E87" s="492" t="s">
        <v>684</v>
      </c>
      <c r="F87" s="508" t="s">
        <v>785</v>
      </c>
      <c r="G87" s="493" t="s">
        <v>897</v>
      </c>
      <c r="H87" s="779" t="s">
        <v>1493</v>
      </c>
      <c r="I87" s="783" t="s">
        <v>1614</v>
      </c>
      <c r="J87" s="787" t="s">
        <v>1751</v>
      </c>
      <c r="K87" s="791" t="s">
        <v>1888</v>
      </c>
    </row>
    <row r="88" spans="3:11" ht="16" x14ac:dyDescent="0.2">
      <c r="C88" s="501">
        <v>85</v>
      </c>
      <c r="D88" s="735" t="s">
        <v>228</v>
      </c>
      <c r="E88" s="492" t="s">
        <v>685</v>
      </c>
      <c r="F88" s="508" t="s">
        <v>786</v>
      </c>
      <c r="G88" s="493" t="s">
        <v>898</v>
      </c>
      <c r="H88" s="779" t="s">
        <v>1494</v>
      </c>
      <c r="I88" s="783" t="s">
        <v>1615</v>
      </c>
      <c r="J88" s="787" t="s">
        <v>1752</v>
      </c>
      <c r="K88" s="791" t="s">
        <v>1889</v>
      </c>
    </row>
    <row r="89" spans="3:11" ht="16" x14ac:dyDescent="0.2">
      <c r="C89" s="501">
        <v>86</v>
      </c>
      <c r="D89" s="491" t="s">
        <v>231</v>
      </c>
      <c r="E89" s="492" t="s">
        <v>686</v>
      </c>
      <c r="F89" s="508" t="s">
        <v>787</v>
      </c>
      <c r="G89" s="493" t="s">
        <v>899</v>
      </c>
      <c r="H89" s="846" t="s">
        <v>2038</v>
      </c>
      <c r="I89" s="783" t="s">
        <v>1616</v>
      </c>
      <c r="J89" s="787" t="s">
        <v>1753</v>
      </c>
      <c r="K89" s="791" t="s">
        <v>1890</v>
      </c>
    </row>
    <row r="90" spans="3:11" ht="16" x14ac:dyDescent="0.2">
      <c r="C90" s="501">
        <v>87</v>
      </c>
      <c r="D90" s="735" t="s">
        <v>1282</v>
      </c>
      <c r="E90" s="748" t="s">
        <v>1316</v>
      </c>
      <c r="F90" s="508" t="s">
        <v>1317</v>
      </c>
      <c r="G90" s="750" t="s">
        <v>1318</v>
      </c>
      <c r="H90" s="779" t="s">
        <v>1495</v>
      </c>
      <c r="I90" s="783" t="s">
        <v>1617</v>
      </c>
      <c r="J90" s="787" t="s">
        <v>1754</v>
      </c>
      <c r="K90" s="791" t="s">
        <v>1891</v>
      </c>
    </row>
    <row r="91" spans="3:11" ht="16" x14ac:dyDescent="0.2">
      <c r="C91" s="501">
        <v>88</v>
      </c>
      <c r="D91" s="491" t="s">
        <v>234</v>
      </c>
      <c r="E91" s="492" t="s">
        <v>722</v>
      </c>
      <c r="F91" s="508" t="s">
        <v>788</v>
      </c>
      <c r="G91" s="493" t="s">
        <v>900</v>
      </c>
      <c r="H91" s="779" t="s">
        <v>1496</v>
      </c>
      <c r="I91" s="783" t="s">
        <v>1618</v>
      </c>
      <c r="J91" s="787" t="s">
        <v>1755</v>
      </c>
      <c r="K91" s="791" t="s">
        <v>1892</v>
      </c>
    </row>
    <row r="92" spans="3:11" ht="16" x14ac:dyDescent="0.2">
      <c r="C92" s="501">
        <v>89</v>
      </c>
      <c r="D92" s="491" t="s">
        <v>236</v>
      </c>
      <c r="E92" s="492" t="s">
        <v>687</v>
      </c>
      <c r="F92" s="510" t="s">
        <v>789</v>
      </c>
      <c r="G92" s="493" t="s">
        <v>901</v>
      </c>
      <c r="H92" s="779" t="s">
        <v>1497</v>
      </c>
      <c r="I92" s="783" t="s">
        <v>1619</v>
      </c>
      <c r="J92" s="787" t="s">
        <v>1756</v>
      </c>
      <c r="K92" s="791" t="s">
        <v>1893</v>
      </c>
    </row>
    <row r="93" spans="3:11" ht="16" x14ac:dyDescent="0.2">
      <c r="C93" s="501">
        <v>90</v>
      </c>
      <c r="D93" s="491" t="s">
        <v>238</v>
      </c>
      <c r="E93" s="492" t="s">
        <v>902</v>
      </c>
      <c r="F93" s="508" t="s">
        <v>799</v>
      </c>
      <c r="G93" s="493" t="s">
        <v>903</v>
      </c>
      <c r="H93" s="779" t="s">
        <v>1498</v>
      </c>
      <c r="I93" s="783" t="s">
        <v>1620</v>
      </c>
      <c r="J93" s="787" t="s">
        <v>1757</v>
      </c>
      <c r="K93" s="791" t="s">
        <v>1894</v>
      </c>
    </row>
    <row r="94" spans="3:11" ht="16" x14ac:dyDescent="0.2">
      <c r="C94" s="501">
        <v>91</v>
      </c>
      <c r="D94" s="491" t="s">
        <v>688</v>
      </c>
      <c r="E94" s="492" t="s">
        <v>904</v>
      </c>
      <c r="F94" s="508" t="s">
        <v>800</v>
      </c>
      <c r="G94" s="493" t="s">
        <v>905</v>
      </c>
      <c r="H94" s="779" t="s">
        <v>1499</v>
      </c>
      <c r="I94" s="783" t="s">
        <v>1621</v>
      </c>
      <c r="J94" s="787" t="s">
        <v>1758</v>
      </c>
      <c r="K94" s="791" t="s">
        <v>1895</v>
      </c>
    </row>
    <row r="95" spans="3:11" ht="16" x14ac:dyDescent="0.2">
      <c r="C95" s="501">
        <v>92</v>
      </c>
      <c r="D95" s="491" t="s">
        <v>689</v>
      </c>
      <c r="E95" s="492" t="s">
        <v>690</v>
      </c>
      <c r="F95" s="508" t="s">
        <v>801</v>
      </c>
      <c r="G95" s="493" t="s">
        <v>906</v>
      </c>
      <c r="H95" s="779" t="s">
        <v>1500</v>
      </c>
      <c r="I95" s="783" t="s">
        <v>1622</v>
      </c>
      <c r="J95" s="787" t="s">
        <v>1759</v>
      </c>
      <c r="K95" s="791" t="s">
        <v>1896</v>
      </c>
    </row>
    <row r="96" spans="3:11" ht="16" x14ac:dyDescent="0.2">
      <c r="C96" s="501">
        <v>93</v>
      </c>
      <c r="D96" s="491" t="s">
        <v>691</v>
      </c>
      <c r="E96" s="492" t="s">
        <v>692</v>
      </c>
      <c r="F96" s="508" t="s">
        <v>802</v>
      </c>
      <c r="G96" s="493" t="s">
        <v>907</v>
      </c>
      <c r="H96" s="779" t="s">
        <v>1501</v>
      </c>
      <c r="I96" s="783" t="s">
        <v>1623</v>
      </c>
      <c r="J96" s="787" t="s">
        <v>1760</v>
      </c>
      <c r="K96" s="791" t="s">
        <v>1897</v>
      </c>
    </row>
    <row r="97" spans="3:11" ht="16" x14ac:dyDescent="0.2">
      <c r="C97" s="501">
        <v>94</v>
      </c>
      <c r="D97" s="491" t="s">
        <v>209</v>
      </c>
      <c r="E97" s="492" t="s">
        <v>693</v>
      </c>
      <c r="F97" s="508" t="s">
        <v>803</v>
      </c>
      <c r="G97" s="493" t="s">
        <v>908</v>
      </c>
      <c r="H97" s="779" t="s">
        <v>1502</v>
      </c>
      <c r="I97" s="783" t="s">
        <v>1624</v>
      </c>
      <c r="J97" s="787" t="s">
        <v>1761</v>
      </c>
      <c r="K97" s="791" t="s">
        <v>1898</v>
      </c>
    </row>
    <row r="98" spans="3:11" ht="16" x14ac:dyDescent="0.2">
      <c r="C98" s="501">
        <v>95</v>
      </c>
      <c r="D98" s="491" t="s">
        <v>694</v>
      </c>
      <c r="E98" s="492" t="s">
        <v>695</v>
      </c>
      <c r="F98" s="508" t="s">
        <v>804</v>
      </c>
      <c r="G98" s="493" t="s">
        <v>909</v>
      </c>
      <c r="H98" s="779" t="s">
        <v>1503</v>
      </c>
      <c r="I98" s="783" t="s">
        <v>1625</v>
      </c>
      <c r="J98" s="787" t="s">
        <v>1762</v>
      </c>
      <c r="K98" s="791" t="s">
        <v>1899</v>
      </c>
    </row>
    <row r="99" spans="3:11" ht="16" x14ac:dyDescent="0.2">
      <c r="C99" s="501">
        <v>96</v>
      </c>
      <c r="D99" s="491" t="s">
        <v>691</v>
      </c>
      <c r="E99" s="492" t="s">
        <v>692</v>
      </c>
      <c r="F99" s="508" t="s">
        <v>802</v>
      </c>
      <c r="G99" s="493" t="s">
        <v>907</v>
      </c>
      <c r="H99" s="779" t="s">
        <v>1501</v>
      </c>
      <c r="I99" s="783" t="s">
        <v>1623</v>
      </c>
      <c r="J99" s="787" t="s">
        <v>1760</v>
      </c>
      <c r="K99" s="791" t="s">
        <v>1897</v>
      </c>
    </row>
    <row r="100" spans="3:11" ht="16" x14ac:dyDescent="0.2">
      <c r="C100" s="501">
        <v>97</v>
      </c>
      <c r="D100" s="491" t="s">
        <v>208</v>
      </c>
      <c r="E100" s="513" t="s">
        <v>696</v>
      </c>
      <c r="F100" s="508" t="s">
        <v>910</v>
      </c>
      <c r="G100" s="493" t="s">
        <v>911</v>
      </c>
      <c r="H100" s="779" t="s">
        <v>1504</v>
      </c>
      <c r="I100" s="783" t="s">
        <v>1626</v>
      </c>
      <c r="J100" s="787" t="s">
        <v>1763</v>
      </c>
      <c r="K100" s="791" t="s">
        <v>1900</v>
      </c>
    </row>
    <row r="101" spans="3:11" ht="16" x14ac:dyDescent="0.2">
      <c r="C101" s="501">
        <v>98</v>
      </c>
      <c r="D101" s="491" t="s">
        <v>209</v>
      </c>
      <c r="E101" s="492" t="s">
        <v>693</v>
      </c>
      <c r="F101" s="508" t="s">
        <v>982</v>
      </c>
      <c r="G101" s="556" t="s">
        <v>978</v>
      </c>
      <c r="H101" s="779" t="s">
        <v>1502</v>
      </c>
      <c r="I101" s="783" t="s">
        <v>1624</v>
      </c>
      <c r="J101" s="787" t="s">
        <v>1761</v>
      </c>
      <c r="K101" s="791" t="s">
        <v>1898</v>
      </c>
    </row>
    <row r="102" spans="3:11" ht="16" x14ac:dyDescent="0.2">
      <c r="C102" s="501">
        <v>99</v>
      </c>
      <c r="D102" s="491" t="s">
        <v>210</v>
      </c>
      <c r="E102" s="492" t="s">
        <v>697</v>
      </c>
      <c r="F102" s="508" t="s">
        <v>983</v>
      </c>
      <c r="G102" s="556" t="s">
        <v>979</v>
      </c>
      <c r="H102" s="779" t="s">
        <v>1505</v>
      </c>
      <c r="I102" s="783" t="s">
        <v>1627</v>
      </c>
      <c r="J102" s="787" t="s">
        <v>1764</v>
      </c>
      <c r="K102" s="791" t="s">
        <v>1901</v>
      </c>
    </row>
    <row r="103" spans="3:11" ht="16" x14ac:dyDescent="0.2">
      <c r="C103" s="501">
        <v>100</v>
      </c>
      <c r="D103" s="491" t="s">
        <v>239</v>
      </c>
      <c r="E103" s="492" t="s">
        <v>121</v>
      </c>
      <c r="F103" s="510" t="s">
        <v>912</v>
      </c>
      <c r="G103" s="493" t="s">
        <v>698</v>
      </c>
      <c r="H103" s="779" t="s">
        <v>1506</v>
      </c>
      <c r="I103" s="783" t="s">
        <v>1628</v>
      </c>
      <c r="J103" s="787" t="s">
        <v>1765</v>
      </c>
      <c r="K103" s="791" t="s">
        <v>1902</v>
      </c>
    </row>
    <row r="104" spans="3:11" ht="27.75" customHeight="1" x14ac:dyDescent="0.2">
      <c r="C104" s="501">
        <v>101</v>
      </c>
      <c r="D104" s="491" t="s">
        <v>793</v>
      </c>
      <c r="E104" s="494" t="s">
        <v>796</v>
      </c>
      <c r="F104" s="508" t="s">
        <v>913</v>
      </c>
      <c r="G104" s="499" t="s">
        <v>914</v>
      </c>
      <c r="H104" s="779" t="s">
        <v>1507</v>
      </c>
      <c r="I104" s="783" t="s">
        <v>1629</v>
      </c>
      <c r="J104" s="787" t="s">
        <v>1766</v>
      </c>
      <c r="K104" s="791" t="s">
        <v>1903</v>
      </c>
    </row>
    <row r="105" spans="3:11" ht="30" customHeight="1" x14ac:dyDescent="0.2">
      <c r="C105" s="501">
        <v>102</v>
      </c>
      <c r="D105" s="491" t="s">
        <v>699</v>
      </c>
      <c r="E105" s="494" t="s">
        <v>795</v>
      </c>
      <c r="F105" s="508" t="s">
        <v>915</v>
      </c>
      <c r="G105" s="499" t="s">
        <v>916</v>
      </c>
      <c r="H105" s="779" t="s">
        <v>1508</v>
      </c>
      <c r="I105" s="783" t="s">
        <v>1630</v>
      </c>
      <c r="J105" s="787" t="s">
        <v>1767</v>
      </c>
      <c r="K105" s="791" t="s">
        <v>1904</v>
      </c>
    </row>
    <row r="106" spans="3:11" ht="32" x14ac:dyDescent="0.2">
      <c r="C106" s="501">
        <v>103</v>
      </c>
      <c r="D106" s="491" t="s">
        <v>700</v>
      </c>
      <c r="E106" s="494" t="s">
        <v>794</v>
      </c>
      <c r="F106" s="508" t="s">
        <v>917</v>
      </c>
      <c r="G106" s="499" t="s">
        <v>918</v>
      </c>
      <c r="H106" s="779" t="s">
        <v>1509</v>
      </c>
      <c r="I106" s="783" t="s">
        <v>1631</v>
      </c>
      <c r="J106" s="787" t="s">
        <v>1768</v>
      </c>
      <c r="K106" s="791" t="s">
        <v>1905</v>
      </c>
    </row>
    <row r="107" spans="3:11" ht="16" x14ac:dyDescent="0.2">
      <c r="C107" s="501">
        <v>104</v>
      </c>
      <c r="D107" s="491" t="s">
        <v>538</v>
      </c>
      <c r="E107" s="1368" t="s">
        <v>2610</v>
      </c>
      <c r="F107" s="508" t="s">
        <v>805</v>
      </c>
      <c r="G107" s="514" t="s">
        <v>920</v>
      </c>
      <c r="H107" s="846" t="s">
        <v>2025</v>
      </c>
      <c r="I107" s="783" t="s">
        <v>1632</v>
      </c>
      <c r="J107" s="787" t="s">
        <v>1769</v>
      </c>
      <c r="K107" s="791" t="s">
        <v>1906</v>
      </c>
    </row>
    <row r="108" spans="3:11" ht="16" x14ac:dyDescent="0.2">
      <c r="C108" s="501">
        <v>105</v>
      </c>
      <c r="D108" s="491" t="s">
        <v>626</v>
      </c>
      <c r="E108" s="492" t="s">
        <v>627</v>
      </c>
      <c r="F108" s="508" t="s">
        <v>733</v>
      </c>
      <c r="G108" s="514" t="s">
        <v>828</v>
      </c>
      <c r="H108" s="779" t="s">
        <v>1443</v>
      </c>
      <c r="I108" s="783" t="s">
        <v>1546</v>
      </c>
      <c r="J108" s="787" t="s">
        <v>1682</v>
      </c>
      <c r="K108" s="791" t="s">
        <v>1819</v>
      </c>
    </row>
    <row r="109" spans="3:11" ht="16" x14ac:dyDescent="0.2">
      <c r="C109" s="501">
        <v>106</v>
      </c>
      <c r="D109" s="491" t="s">
        <v>510</v>
      </c>
      <c r="E109" s="492" t="s">
        <v>797</v>
      </c>
      <c r="F109" s="508" t="s">
        <v>806</v>
      </c>
      <c r="G109" s="493" t="s">
        <v>921</v>
      </c>
      <c r="H109" s="779" t="s">
        <v>1510</v>
      </c>
      <c r="I109" s="783" t="s">
        <v>1633</v>
      </c>
      <c r="J109" s="787" t="s">
        <v>1770</v>
      </c>
      <c r="K109" s="791" t="s">
        <v>1907</v>
      </c>
    </row>
    <row r="110" spans="3:11" ht="16" x14ac:dyDescent="0.2">
      <c r="C110" s="501">
        <v>107</v>
      </c>
      <c r="D110" s="491" t="s">
        <v>620</v>
      </c>
      <c r="E110" s="492" t="s">
        <v>922</v>
      </c>
      <c r="F110" s="508" t="s">
        <v>923</v>
      </c>
      <c r="G110" s="493" t="s">
        <v>924</v>
      </c>
      <c r="H110" s="779" t="s">
        <v>1511</v>
      </c>
      <c r="I110" s="783" t="s">
        <v>1634</v>
      </c>
      <c r="J110" s="787" t="s">
        <v>1771</v>
      </c>
      <c r="K110" s="791" t="s">
        <v>1908</v>
      </c>
    </row>
    <row r="111" spans="3:11" ht="16" x14ac:dyDescent="0.2">
      <c r="C111" s="501">
        <v>108</v>
      </c>
      <c r="D111" s="491" t="s">
        <v>489</v>
      </c>
      <c r="E111" s="492" t="s">
        <v>925</v>
      </c>
      <c r="F111" s="508" t="s">
        <v>926</v>
      </c>
      <c r="G111" s="493" t="s">
        <v>927</v>
      </c>
      <c r="H111" s="846" t="s">
        <v>2026</v>
      </c>
      <c r="I111" s="783" t="s">
        <v>1635</v>
      </c>
      <c r="J111" s="787" t="s">
        <v>1772</v>
      </c>
      <c r="K111" s="791" t="s">
        <v>1909</v>
      </c>
    </row>
    <row r="112" spans="3:11" ht="16" x14ac:dyDescent="0.2">
      <c r="C112" s="501">
        <v>109</v>
      </c>
      <c r="D112" s="491" t="s">
        <v>490</v>
      </c>
      <c r="E112" s="492" t="s">
        <v>928</v>
      </c>
      <c r="F112" s="508" t="s">
        <v>929</v>
      </c>
      <c r="G112" s="493" t="s">
        <v>930</v>
      </c>
      <c r="H112" s="846" t="s">
        <v>2027</v>
      </c>
      <c r="I112" s="783" t="s">
        <v>1636</v>
      </c>
      <c r="J112" s="787" t="s">
        <v>1773</v>
      </c>
      <c r="K112" s="791" t="s">
        <v>1910</v>
      </c>
    </row>
    <row r="113" spans="3:11" ht="16" x14ac:dyDescent="0.2">
      <c r="C113" s="501">
        <v>110</v>
      </c>
      <c r="D113" s="491" t="s">
        <v>491</v>
      </c>
      <c r="E113" s="492" t="s">
        <v>931</v>
      </c>
      <c r="F113" s="508" t="s">
        <v>808</v>
      </c>
      <c r="G113" s="493" t="s">
        <v>932</v>
      </c>
      <c r="H113" s="779" t="s">
        <v>1512</v>
      </c>
      <c r="I113" s="783" t="s">
        <v>1637</v>
      </c>
      <c r="J113" s="787" t="s">
        <v>1774</v>
      </c>
      <c r="K113" s="791" t="s">
        <v>1911</v>
      </c>
    </row>
    <row r="114" spans="3:11" ht="16" x14ac:dyDescent="0.2">
      <c r="C114" s="501">
        <v>111</v>
      </c>
      <c r="D114" s="491" t="s">
        <v>492</v>
      </c>
      <c r="E114" s="492" t="s">
        <v>933</v>
      </c>
      <c r="F114" s="508" t="s">
        <v>807</v>
      </c>
      <c r="G114" s="493" t="s">
        <v>934</v>
      </c>
      <c r="H114" s="779" t="s">
        <v>1513</v>
      </c>
      <c r="I114" s="783" t="s">
        <v>1638</v>
      </c>
      <c r="J114" s="787" t="s">
        <v>1775</v>
      </c>
      <c r="K114" s="791" t="s">
        <v>1912</v>
      </c>
    </row>
    <row r="115" spans="3:11" ht="16" x14ac:dyDescent="0.2">
      <c r="C115" s="501">
        <v>112</v>
      </c>
      <c r="D115" s="491" t="s">
        <v>511</v>
      </c>
      <c r="E115" s="492" t="s">
        <v>701</v>
      </c>
      <c r="F115" s="508" t="s">
        <v>810</v>
      </c>
      <c r="G115" s="493" t="s">
        <v>935</v>
      </c>
      <c r="H115" s="779" t="s">
        <v>1514</v>
      </c>
      <c r="I115" s="783" t="s">
        <v>1639</v>
      </c>
      <c r="J115" s="787" t="s">
        <v>1776</v>
      </c>
      <c r="K115" s="791" t="s">
        <v>1913</v>
      </c>
    </row>
    <row r="116" spans="3:11" ht="16" x14ac:dyDescent="0.2">
      <c r="C116" s="501">
        <v>113</v>
      </c>
      <c r="D116" s="491" t="s">
        <v>512</v>
      </c>
      <c r="E116" s="492" t="s">
        <v>702</v>
      </c>
      <c r="F116" s="508" t="s">
        <v>811</v>
      </c>
      <c r="G116" s="493" t="s">
        <v>936</v>
      </c>
      <c r="H116" s="779" t="s">
        <v>1515</v>
      </c>
      <c r="I116" s="783" t="s">
        <v>1640</v>
      </c>
      <c r="J116" s="787" t="s">
        <v>1777</v>
      </c>
      <c r="K116" s="791" t="s">
        <v>1914</v>
      </c>
    </row>
    <row r="117" spans="3:11" ht="32" x14ac:dyDescent="0.2">
      <c r="C117" s="501">
        <v>114</v>
      </c>
      <c r="D117" s="491" t="s">
        <v>798</v>
      </c>
      <c r="E117" s="516" t="s">
        <v>937</v>
      </c>
      <c r="F117" s="519" t="s">
        <v>938</v>
      </c>
      <c r="G117" s="515" t="s">
        <v>939</v>
      </c>
      <c r="H117" s="779" t="s">
        <v>1516</v>
      </c>
      <c r="I117" s="783" t="s">
        <v>1641</v>
      </c>
      <c r="J117" s="787" t="s">
        <v>1778</v>
      </c>
      <c r="K117" s="791" t="s">
        <v>1915</v>
      </c>
    </row>
    <row r="118" spans="3:11" ht="16" x14ac:dyDescent="0.2">
      <c r="C118" s="501">
        <v>115</v>
      </c>
      <c r="D118" s="491" t="s">
        <v>497</v>
      </c>
      <c r="E118" s="492" t="s">
        <v>940</v>
      </c>
      <c r="F118" s="508" t="s">
        <v>812</v>
      </c>
      <c r="G118" s="556" t="s">
        <v>981</v>
      </c>
      <c r="H118" s="846" t="s">
        <v>2028</v>
      </c>
      <c r="I118" s="783" t="s">
        <v>1642</v>
      </c>
      <c r="J118" s="787" t="s">
        <v>1779</v>
      </c>
      <c r="K118" s="791" t="s">
        <v>1916</v>
      </c>
    </row>
    <row r="119" spans="3:11" ht="16" x14ac:dyDescent="0.2">
      <c r="C119" s="501">
        <v>116</v>
      </c>
      <c r="D119" s="491" t="s">
        <v>503</v>
      </c>
      <c r="E119" s="492" t="s">
        <v>941</v>
      </c>
      <c r="F119" s="508" t="s">
        <v>813</v>
      </c>
      <c r="G119" s="556" t="s">
        <v>980</v>
      </c>
      <c r="H119" s="846" t="s">
        <v>2029</v>
      </c>
      <c r="I119" s="783" t="s">
        <v>1643</v>
      </c>
      <c r="J119" s="787" t="s">
        <v>1780</v>
      </c>
      <c r="K119" s="791" t="s">
        <v>1917</v>
      </c>
    </row>
    <row r="120" spans="3:11" ht="16" x14ac:dyDescent="0.2">
      <c r="C120" s="501">
        <v>117</v>
      </c>
      <c r="D120" s="491" t="s">
        <v>491</v>
      </c>
      <c r="E120" s="492" t="s">
        <v>931</v>
      </c>
      <c r="F120" s="508" t="s">
        <v>808</v>
      </c>
      <c r="G120" s="493" t="s">
        <v>942</v>
      </c>
      <c r="H120" s="779" t="s">
        <v>1512</v>
      </c>
      <c r="I120" s="783" t="s">
        <v>1637</v>
      </c>
      <c r="J120" s="787" t="s">
        <v>1774</v>
      </c>
      <c r="K120" s="791" t="s">
        <v>1911</v>
      </c>
    </row>
    <row r="121" spans="3:11" ht="16" x14ac:dyDescent="0.2">
      <c r="C121" s="501">
        <v>118</v>
      </c>
      <c r="D121" s="491" t="s">
        <v>492</v>
      </c>
      <c r="E121" s="492" t="s">
        <v>933</v>
      </c>
      <c r="F121" s="508" t="s">
        <v>807</v>
      </c>
      <c r="G121" s="493" t="s">
        <v>943</v>
      </c>
      <c r="H121" s="779" t="s">
        <v>1513</v>
      </c>
      <c r="I121" s="783" t="s">
        <v>1638</v>
      </c>
      <c r="J121" s="787" t="s">
        <v>1775</v>
      </c>
      <c r="K121" s="791" t="s">
        <v>1912</v>
      </c>
    </row>
    <row r="122" spans="3:11" ht="16" x14ac:dyDescent="0.2">
      <c r="C122" s="501">
        <v>119</v>
      </c>
      <c r="D122" s="491" t="s">
        <v>498</v>
      </c>
      <c r="E122" s="492" t="s">
        <v>703</v>
      </c>
      <c r="F122" s="508" t="s">
        <v>814</v>
      </c>
      <c r="G122" s="493" t="s">
        <v>944</v>
      </c>
      <c r="H122" s="779" t="s">
        <v>1517</v>
      </c>
      <c r="I122" s="783" t="s">
        <v>1644</v>
      </c>
      <c r="J122" s="787" t="s">
        <v>1781</v>
      </c>
      <c r="K122" s="791" t="s">
        <v>1918</v>
      </c>
    </row>
    <row r="123" spans="3:11" ht="16" x14ac:dyDescent="0.2">
      <c r="C123" s="501">
        <v>120</v>
      </c>
      <c r="D123" s="491" t="s">
        <v>514</v>
      </c>
      <c r="E123" s="492" t="s">
        <v>945</v>
      </c>
      <c r="F123" s="508" t="s">
        <v>946</v>
      </c>
      <c r="G123" s="493" t="s">
        <v>947</v>
      </c>
      <c r="H123" s="846" t="s">
        <v>2030</v>
      </c>
      <c r="I123" s="783" t="s">
        <v>1645</v>
      </c>
      <c r="J123" s="787" t="s">
        <v>1782</v>
      </c>
      <c r="K123" s="791" t="s">
        <v>1919</v>
      </c>
    </row>
    <row r="124" spans="3:11" ht="16" x14ac:dyDescent="0.2">
      <c r="C124" s="501">
        <v>121</v>
      </c>
      <c r="D124" s="1372" t="s">
        <v>2631</v>
      </c>
      <c r="E124" s="1376" t="s">
        <v>2632</v>
      </c>
      <c r="F124" s="508" t="s">
        <v>948</v>
      </c>
      <c r="G124" s="493" t="s">
        <v>949</v>
      </c>
      <c r="H124" s="779" t="s">
        <v>1518</v>
      </c>
      <c r="I124" s="783" t="s">
        <v>1646</v>
      </c>
      <c r="J124" s="787" t="s">
        <v>1783</v>
      </c>
      <c r="K124" s="791" t="s">
        <v>1920</v>
      </c>
    </row>
    <row r="125" spans="3:11" ht="32" x14ac:dyDescent="0.2">
      <c r="C125" s="501">
        <v>122</v>
      </c>
      <c r="D125" s="1367" t="s">
        <v>2480</v>
      </c>
      <c r="E125" s="1369" t="s">
        <v>2611</v>
      </c>
      <c r="F125" s="508" t="s">
        <v>815</v>
      </c>
      <c r="G125" s="514" t="s">
        <v>951</v>
      </c>
      <c r="H125" s="779" t="s">
        <v>1519</v>
      </c>
      <c r="I125" s="783" t="s">
        <v>1647</v>
      </c>
      <c r="J125" s="787" t="s">
        <v>1784</v>
      </c>
      <c r="K125" s="791" t="s">
        <v>1921</v>
      </c>
    </row>
    <row r="126" spans="3:11" ht="16" x14ac:dyDescent="0.2">
      <c r="C126" s="501">
        <v>123</v>
      </c>
      <c r="D126" s="752" t="s">
        <v>1339</v>
      </c>
      <c r="E126" s="753" t="s">
        <v>1355</v>
      </c>
      <c r="F126" s="508" t="s">
        <v>1356</v>
      </c>
      <c r="G126" s="754" t="s">
        <v>1357</v>
      </c>
      <c r="H126" s="779" t="s">
        <v>1520</v>
      </c>
      <c r="I126" s="783" t="s">
        <v>1648</v>
      </c>
      <c r="J126" s="787" t="s">
        <v>1785</v>
      </c>
      <c r="K126" s="791" t="s">
        <v>1922</v>
      </c>
    </row>
    <row r="127" spans="3:11" ht="16" x14ac:dyDescent="0.2">
      <c r="C127" s="501">
        <v>124</v>
      </c>
      <c r="D127" s="491" t="s">
        <v>720</v>
      </c>
      <c r="E127" s="522" t="s">
        <v>716</v>
      </c>
      <c r="F127" s="508" t="s">
        <v>973</v>
      </c>
      <c r="G127" s="521" t="s">
        <v>972</v>
      </c>
      <c r="H127" s="779" t="s">
        <v>1521</v>
      </c>
      <c r="I127" s="783" t="s">
        <v>1649</v>
      </c>
      <c r="J127" s="787" t="s">
        <v>1786</v>
      </c>
      <c r="K127" s="791" t="s">
        <v>1923</v>
      </c>
    </row>
    <row r="128" spans="3:11" ht="16" x14ac:dyDescent="0.2">
      <c r="C128" s="501">
        <v>125</v>
      </c>
      <c r="D128" s="491" t="s">
        <v>717</v>
      </c>
      <c r="E128" s="513" t="s">
        <v>952</v>
      </c>
      <c r="F128" s="508" t="s">
        <v>953</v>
      </c>
      <c r="G128" s="493" t="s">
        <v>954</v>
      </c>
      <c r="H128" s="779" t="s">
        <v>1522</v>
      </c>
      <c r="I128" s="783" t="s">
        <v>1650</v>
      </c>
      <c r="J128" s="787" t="s">
        <v>1787</v>
      </c>
      <c r="K128" s="791" t="s">
        <v>1924</v>
      </c>
    </row>
    <row r="129" spans="3:11" ht="32" x14ac:dyDescent="0.2">
      <c r="C129" s="501">
        <v>126</v>
      </c>
      <c r="D129" s="491" t="s">
        <v>724</v>
      </c>
      <c r="E129" s="492" t="s">
        <v>955</v>
      </c>
      <c r="F129" s="511" t="s">
        <v>956</v>
      </c>
      <c r="G129" s="493" t="s">
        <v>957</v>
      </c>
      <c r="H129" s="779" t="s">
        <v>1523</v>
      </c>
      <c r="I129" s="783" t="s">
        <v>1651</v>
      </c>
      <c r="J129" s="787" t="s">
        <v>1788</v>
      </c>
      <c r="K129" s="791" t="s">
        <v>1925</v>
      </c>
    </row>
    <row r="130" spans="3:11" ht="16" x14ac:dyDescent="0.2">
      <c r="C130" s="501">
        <v>127</v>
      </c>
      <c r="D130" s="491" t="s">
        <v>725</v>
      </c>
      <c r="E130" s="1368" t="s">
        <v>2607</v>
      </c>
      <c r="F130" s="511" t="s">
        <v>816</v>
      </c>
      <c r="G130" s="493" t="s">
        <v>958</v>
      </c>
      <c r="H130" s="779" t="s">
        <v>1524</v>
      </c>
      <c r="I130" s="783" t="s">
        <v>1652</v>
      </c>
      <c r="J130" s="787" t="s">
        <v>1789</v>
      </c>
      <c r="K130" s="791" t="s">
        <v>1926</v>
      </c>
    </row>
    <row r="131" spans="3:11" ht="16" x14ac:dyDescent="0.2">
      <c r="C131" s="501">
        <v>128</v>
      </c>
      <c r="D131" s="491" t="s">
        <v>728</v>
      </c>
      <c r="E131" s="492" t="s">
        <v>729</v>
      </c>
      <c r="F131" s="511" t="s">
        <v>817</v>
      </c>
      <c r="G131" s="493" t="s">
        <v>959</v>
      </c>
      <c r="H131" s="779" t="s">
        <v>1525</v>
      </c>
      <c r="I131" s="783" t="s">
        <v>1653</v>
      </c>
      <c r="J131" s="787" t="s">
        <v>1790</v>
      </c>
      <c r="K131" s="791" t="s">
        <v>1927</v>
      </c>
    </row>
    <row r="132" spans="3:11" ht="32" x14ac:dyDescent="0.2">
      <c r="C132" s="501">
        <v>129</v>
      </c>
      <c r="D132" s="491" t="s">
        <v>392</v>
      </c>
      <c r="E132" s="494" t="s">
        <v>730</v>
      </c>
      <c r="F132" s="520" t="s">
        <v>818</v>
      </c>
      <c r="G132" s="514" t="s">
        <v>960</v>
      </c>
      <c r="H132" s="779" t="s">
        <v>1526</v>
      </c>
      <c r="I132" s="783" t="s">
        <v>1654</v>
      </c>
      <c r="J132" s="787" t="s">
        <v>1791</v>
      </c>
      <c r="K132" s="791" t="s">
        <v>1928</v>
      </c>
    </row>
    <row r="133" spans="3:11" ht="16" x14ac:dyDescent="0.2">
      <c r="C133" s="501">
        <v>130</v>
      </c>
      <c r="D133" s="491" t="s">
        <v>961</v>
      </c>
      <c r="E133" s="492" t="s">
        <v>962</v>
      </c>
      <c r="F133" s="511" t="s">
        <v>963</v>
      </c>
      <c r="G133" s="493" t="s">
        <v>964</v>
      </c>
      <c r="H133" s="779" t="s">
        <v>1527</v>
      </c>
      <c r="I133" s="783" t="s">
        <v>1655</v>
      </c>
      <c r="J133" s="787" t="s">
        <v>1792</v>
      </c>
      <c r="K133" s="791" t="s">
        <v>1929</v>
      </c>
    </row>
    <row r="134" spans="3:11" ht="16" x14ac:dyDescent="0.2">
      <c r="C134" s="501">
        <v>131</v>
      </c>
      <c r="D134" s="491" t="s">
        <v>965</v>
      </c>
      <c r="E134" s="492" t="s">
        <v>966</v>
      </c>
      <c r="F134" s="511" t="s">
        <v>967</v>
      </c>
      <c r="G134" s="493" t="s">
        <v>968</v>
      </c>
      <c r="H134" s="779" t="s">
        <v>1528</v>
      </c>
      <c r="I134" s="783" t="s">
        <v>1656</v>
      </c>
      <c r="J134" s="787" t="s">
        <v>1793</v>
      </c>
      <c r="K134" s="791" t="s">
        <v>1930</v>
      </c>
    </row>
    <row r="135" spans="3:11" ht="16" x14ac:dyDescent="0.2">
      <c r="C135" s="501">
        <v>132</v>
      </c>
      <c r="D135" s="591" t="s">
        <v>1102</v>
      </c>
      <c r="E135" s="656" t="s">
        <v>1192</v>
      </c>
      <c r="F135" s="508" t="s">
        <v>1193</v>
      </c>
      <c r="G135" s="657" t="s">
        <v>1194</v>
      </c>
      <c r="H135" s="779" t="s">
        <v>1529</v>
      </c>
      <c r="I135" s="783" t="s">
        <v>1657</v>
      </c>
      <c r="J135" s="787" t="s">
        <v>1794</v>
      </c>
      <c r="K135" s="791" t="s">
        <v>1931</v>
      </c>
    </row>
    <row r="136" spans="3:11" ht="16" x14ac:dyDescent="0.2">
      <c r="C136" s="501">
        <v>133</v>
      </c>
      <c r="D136" s="621" t="s">
        <v>1109</v>
      </c>
      <c r="E136" s="622" t="s">
        <v>1123</v>
      </c>
      <c r="F136" s="508" t="s">
        <v>1127</v>
      </c>
      <c r="G136" s="623" t="s">
        <v>1128</v>
      </c>
      <c r="H136" s="779" t="s">
        <v>1530</v>
      </c>
      <c r="I136" s="783" t="s">
        <v>1658</v>
      </c>
      <c r="J136" s="787" t="s">
        <v>1795</v>
      </c>
      <c r="K136" s="791" t="s">
        <v>1932</v>
      </c>
    </row>
    <row r="137" spans="3:11" ht="16" x14ac:dyDescent="0.2">
      <c r="C137" s="501">
        <v>134</v>
      </c>
      <c r="D137" s="621" t="s">
        <v>1130</v>
      </c>
      <c r="E137" s="622" t="s">
        <v>1129</v>
      </c>
      <c r="F137" s="508" t="s">
        <v>1131</v>
      </c>
      <c r="G137" s="623" t="s">
        <v>1132</v>
      </c>
      <c r="H137" s="846" t="s">
        <v>2006</v>
      </c>
      <c r="I137" s="783" t="s">
        <v>1659</v>
      </c>
      <c r="J137" s="787" t="s">
        <v>1796</v>
      </c>
      <c r="K137" s="791" t="s">
        <v>1933</v>
      </c>
    </row>
    <row r="138" spans="3:11" ht="32" x14ac:dyDescent="0.2">
      <c r="C138" s="501">
        <v>135</v>
      </c>
      <c r="D138" s="621" t="s">
        <v>1112</v>
      </c>
      <c r="E138" s="626" t="s">
        <v>1141</v>
      </c>
      <c r="F138" s="508" t="s">
        <v>1142</v>
      </c>
      <c r="G138" s="623" t="s">
        <v>1133</v>
      </c>
      <c r="H138" s="846" t="s">
        <v>2007</v>
      </c>
      <c r="I138" s="783" t="s">
        <v>1660</v>
      </c>
      <c r="J138" s="787" t="s">
        <v>1797</v>
      </c>
      <c r="K138" s="791" t="s">
        <v>1934</v>
      </c>
    </row>
    <row r="139" spans="3:11" ht="16" x14ac:dyDescent="0.2">
      <c r="C139" s="501">
        <v>136</v>
      </c>
      <c r="D139" s="621" t="s">
        <v>1113</v>
      </c>
      <c r="E139" s="622" t="s">
        <v>1135</v>
      </c>
      <c r="F139" s="508" t="s">
        <v>1143</v>
      </c>
      <c r="G139" s="623" t="s">
        <v>1136</v>
      </c>
      <c r="H139" s="846" t="s">
        <v>2008</v>
      </c>
      <c r="I139" s="783" t="s">
        <v>1661</v>
      </c>
      <c r="J139" s="787" t="s">
        <v>1798</v>
      </c>
      <c r="K139" s="791" t="s">
        <v>1935</v>
      </c>
    </row>
    <row r="140" spans="3:11" ht="16" x14ac:dyDescent="0.2">
      <c r="C140" s="501">
        <v>137</v>
      </c>
      <c r="D140" s="621" t="s">
        <v>1122</v>
      </c>
      <c r="E140" s="622" t="s">
        <v>1137</v>
      </c>
      <c r="F140" s="508" t="s">
        <v>1144</v>
      </c>
      <c r="G140" s="623" t="s">
        <v>1138</v>
      </c>
      <c r="H140" s="846" t="s">
        <v>2009</v>
      </c>
      <c r="I140" s="783" t="s">
        <v>1662</v>
      </c>
      <c r="J140" s="787" t="s">
        <v>1799</v>
      </c>
      <c r="K140" s="791" t="s">
        <v>1936</v>
      </c>
    </row>
    <row r="141" spans="3:11" ht="16" x14ac:dyDescent="0.2">
      <c r="C141" s="501">
        <v>138</v>
      </c>
      <c r="D141" s="621" t="s">
        <v>1108</v>
      </c>
      <c r="E141" s="622" t="s">
        <v>1139</v>
      </c>
      <c r="F141" s="508" t="s">
        <v>1145</v>
      </c>
      <c r="G141" s="623" t="s">
        <v>1140</v>
      </c>
      <c r="H141" s="846" t="s">
        <v>2013</v>
      </c>
      <c r="I141" s="783" t="s">
        <v>1663</v>
      </c>
      <c r="J141" s="787" t="s">
        <v>1800</v>
      </c>
      <c r="K141" s="791" t="s">
        <v>1937</v>
      </c>
    </row>
    <row r="142" spans="3:11" ht="16" x14ac:dyDescent="0.2">
      <c r="C142" s="501">
        <v>139</v>
      </c>
      <c r="D142" s="641" t="s">
        <v>1162</v>
      </c>
      <c r="E142" s="642" t="s">
        <v>1163</v>
      </c>
      <c r="F142" s="508" t="s">
        <v>1164</v>
      </c>
      <c r="G142" s="643" t="s">
        <v>1165</v>
      </c>
      <c r="H142" s="779" t="s">
        <v>1531</v>
      </c>
      <c r="I142" s="783" t="s">
        <v>1664</v>
      </c>
      <c r="J142" s="787" t="s">
        <v>1801</v>
      </c>
      <c r="K142" s="791" t="s">
        <v>1938</v>
      </c>
    </row>
    <row r="143" spans="3:11" ht="16" x14ac:dyDescent="0.2">
      <c r="C143" s="501">
        <v>140</v>
      </c>
      <c r="D143" s="491" t="s">
        <v>205</v>
      </c>
      <c r="E143" s="651" t="s">
        <v>362</v>
      </c>
      <c r="F143" s="624" t="s">
        <v>362</v>
      </c>
      <c r="G143" s="652" t="s">
        <v>362</v>
      </c>
      <c r="H143" s="779" t="s">
        <v>1488</v>
      </c>
      <c r="I143" s="783" t="s">
        <v>1604</v>
      </c>
      <c r="J143" s="787" t="s">
        <v>1741</v>
      </c>
      <c r="K143" s="791" t="s">
        <v>1878</v>
      </c>
    </row>
    <row r="144" spans="3:11" ht="96" x14ac:dyDescent="0.2">
      <c r="C144" s="501">
        <v>141</v>
      </c>
      <c r="D144" s="653" t="s">
        <v>336</v>
      </c>
      <c r="E144" s="654" t="s">
        <v>1171</v>
      </c>
      <c r="F144" s="509" t="s">
        <v>1172</v>
      </c>
      <c r="G144" s="515" t="s">
        <v>1173</v>
      </c>
      <c r="H144" s="779" t="s">
        <v>1473</v>
      </c>
      <c r="I144" s="783" t="s">
        <v>1587</v>
      </c>
      <c r="J144" s="787" t="s">
        <v>1723</v>
      </c>
      <c r="K144" s="791" t="s">
        <v>1860</v>
      </c>
    </row>
    <row r="145" spans="3:11" ht="16" x14ac:dyDescent="0.2">
      <c r="C145" s="501">
        <v>142</v>
      </c>
      <c r="D145" s="653" t="s">
        <v>1186</v>
      </c>
      <c r="E145" s="656" t="s">
        <v>1187</v>
      </c>
      <c r="F145" s="511" t="s">
        <v>1188</v>
      </c>
      <c r="G145" s="657" t="s">
        <v>1189</v>
      </c>
      <c r="H145" s="846" t="s">
        <v>2037</v>
      </c>
      <c r="I145" s="783" t="s">
        <v>1665</v>
      </c>
      <c r="J145" s="787" t="s">
        <v>1802</v>
      </c>
      <c r="K145" s="791" t="s">
        <v>1939</v>
      </c>
    </row>
    <row r="146" spans="3:11" ht="32" x14ac:dyDescent="0.2">
      <c r="C146" s="501">
        <v>143</v>
      </c>
      <c r="D146" s="665" t="s">
        <v>1199</v>
      </c>
      <c r="E146" s="666" t="s">
        <v>1200</v>
      </c>
      <c r="F146" s="511" t="s">
        <v>1208</v>
      </c>
      <c r="G146" s="667" t="s">
        <v>1201</v>
      </c>
      <c r="H146" s="846" t="s">
        <v>2012</v>
      </c>
      <c r="I146" s="783" t="s">
        <v>1666</v>
      </c>
      <c r="J146" s="787" t="s">
        <v>1803</v>
      </c>
      <c r="K146" s="791" t="s">
        <v>1940</v>
      </c>
    </row>
    <row r="147" spans="3:11" ht="16" x14ac:dyDescent="0.2">
      <c r="C147" s="501">
        <v>144</v>
      </c>
      <c r="D147" s="747" t="s">
        <v>1306</v>
      </c>
      <c r="E147" s="748" t="s">
        <v>1303</v>
      </c>
      <c r="F147" s="511" t="s">
        <v>1304</v>
      </c>
      <c r="G147" s="749" t="s">
        <v>1305</v>
      </c>
      <c r="H147" s="846" t="s">
        <v>2036</v>
      </c>
      <c r="I147" s="783" t="s">
        <v>1667</v>
      </c>
      <c r="J147" s="787" t="s">
        <v>1804</v>
      </c>
      <c r="K147" s="791" t="s">
        <v>1941</v>
      </c>
    </row>
    <row r="148" spans="3:11" ht="16" x14ac:dyDescent="0.2">
      <c r="C148" s="501">
        <v>145</v>
      </c>
      <c r="D148" s="747" t="s">
        <v>1299</v>
      </c>
      <c r="E148" s="748" t="s">
        <v>1300</v>
      </c>
      <c r="F148" s="511" t="s">
        <v>1301</v>
      </c>
      <c r="G148" s="749" t="s">
        <v>1302</v>
      </c>
      <c r="H148" s="779" t="s">
        <v>1532</v>
      </c>
      <c r="I148" s="783" t="s">
        <v>1668</v>
      </c>
      <c r="J148" s="787" t="s">
        <v>1805</v>
      </c>
      <c r="K148" s="791" t="s">
        <v>1942</v>
      </c>
    </row>
    <row r="149" spans="3:11" ht="16" x14ac:dyDescent="0.2">
      <c r="C149" s="501">
        <v>146</v>
      </c>
      <c r="D149" s="747" t="s">
        <v>1278</v>
      </c>
      <c r="E149" s="748" t="s">
        <v>1308</v>
      </c>
      <c r="F149" s="511" t="s">
        <v>1309</v>
      </c>
      <c r="G149" s="749" t="s">
        <v>1310</v>
      </c>
      <c r="H149" s="779" t="s">
        <v>1533</v>
      </c>
      <c r="I149" s="783" t="s">
        <v>1669</v>
      </c>
      <c r="J149" s="787" t="s">
        <v>1806</v>
      </c>
      <c r="K149" s="791" t="s">
        <v>1943</v>
      </c>
    </row>
    <row r="150" spans="3:11" ht="16" x14ac:dyDescent="0.2">
      <c r="C150" s="501">
        <v>147</v>
      </c>
      <c r="D150" s="747" t="s">
        <v>1283</v>
      </c>
      <c r="E150" s="748" t="s">
        <v>1307</v>
      </c>
      <c r="F150" s="511" t="s">
        <v>1311</v>
      </c>
      <c r="G150" s="749" t="s">
        <v>1315</v>
      </c>
      <c r="H150" s="779" t="s">
        <v>1534</v>
      </c>
      <c r="I150" s="783" t="s">
        <v>1670</v>
      </c>
      <c r="J150" s="787" t="s">
        <v>1807</v>
      </c>
      <c r="K150" s="791" t="s">
        <v>1944</v>
      </c>
    </row>
    <row r="151" spans="3:11" ht="16" x14ac:dyDescent="0.2">
      <c r="C151" s="501">
        <v>148</v>
      </c>
      <c r="D151" s="747" t="s">
        <v>1279</v>
      </c>
      <c r="E151" s="748" t="s">
        <v>1312</v>
      </c>
      <c r="F151" s="511" t="s">
        <v>1313</v>
      </c>
      <c r="G151" s="749" t="s">
        <v>1314</v>
      </c>
      <c r="H151" s="779" t="s">
        <v>1535</v>
      </c>
      <c r="I151" s="783" t="s">
        <v>1671</v>
      </c>
      <c r="J151" s="787" t="s">
        <v>1808</v>
      </c>
      <c r="K151" s="791" t="s">
        <v>1945</v>
      </c>
    </row>
    <row r="152" spans="3:11" ht="16" x14ac:dyDescent="0.2">
      <c r="C152" s="501">
        <v>149</v>
      </c>
      <c r="D152" s="747" t="s">
        <v>1271</v>
      </c>
      <c r="E152" s="748" t="s">
        <v>1319</v>
      </c>
      <c r="F152" s="511" t="s">
        <v>1320</v>
      </c>
      <c r="G152" s="749" t="s">
        <v>1321</v>
      </c>
      <c r="H152" s="779" t="s">
        <v>1536</v>
      </c>
      <c r="I152" s="783" t="s">
        <v>1672</v>
      </c>
      <c r="J152" s="787" t="s">
        <v>1809</v>
      </c>
      <c r="K152" s="791" t="s">
        <v>1946</v>
      </c>
    </row>
    <row r="153" spans="3:11" ht="16" x14ac:dyDescent="0.2">
      <c r="C153" s="501">
        <v>150</v>
      </c>
      <c r="D153" s="747" t="s">
        <v>1287</v>
      </c>
      <c r="E153" s="748" t="s">
        <v>1322</v>
      </c>
      <c r="F153" s="511" t="s">
        <v>1323</v>
      </c>
      <c r="G153" s="749" t="s">
        <v>1324</v>
      </c>
      <c r="H153" s="779" t="s">
        <v>1537</v>
      </c>
      <c r="I153" s="783" t="s">
        <v>1673</v>
      </c>
      <c r="J153" s="787" t="s">
        <v>1810</v>
      </c>
      <c r="K153" s="791" t="s">
        <v>1947</v>
      </c>
    </row>
    <row r="154" spans="3:11" ht="16" x14ac:dyDescent="0.2">
      <c r="C154" s="501">
        <v>151</v>
      </c>
      <c r="D154" s="747" t="s">
        <v>1325</v>
      </c>
      <c r="E154" s="748" t="s">
        <v>1326</v>
      </c>
      <c r="F154" s="511" t="s">
        <v>1327</v>
      </c>
      <c r="G154" s="749" t="s">
        <v>1328</v>
      </c>
      <c r="H154" s="779" t="s">
        <v>1538</v>
      </c>
      <c r="I154" s="783" t="s">
        <v>1674</v>
      </c>
      <c r="J154" s="787" t="s">
        <v>1811</v>
      </c>
      <c r="K154" s="791" t="s">
        <v>1948</v>
      </c>
    </row>
    <row r="155" spans="3:11" ht="16" x14ac:dyDescent="0.2">
      <c r="C155" s="501">
        <v>152</v>
      </c>
      <c r="D155" s="747" t="s">
        <v>1273</v>
      </c>
      <c r="E155" s="748" t="s">
        <v>1329</v>
      </c>
      <c r="F155" s="511" t="s">
        <v>1330</v>
      </c>
      <c r="G155" s="749" t="s">
        <v>1331</v>
      </c>
      <c r="H155" s="779" t="s">
        <v>1539</v>
      </c>
      <c r="I155" s="783" t="s">
        <v>1675</v>
      </c>
      <c r="J155" s="787" t="s">
        <v>1812</v>
      </c>
      <c r="K155" s="791" t="s">
        <v>1949</v>
      </c>
    </row>
    <row r="156" spans="3:11" ht="16" x14ac:dyDescent="0.2">
      <c r="C156" s="501">
        <v>153</v>
      </c>
      <c r="D156" s="752" t="s">
        <v>2112</v>
      </c>
      <c r="E156" s="1368" t="s">
        <v>2628</v>
      </c>
      <c r="F156" s="508"/>
      <c r="G156" s="754"/>
      <c r="H156" s="760"/>
      <c r="I156" s="762"/>
      <c r="J156" s="764"/>
      <c r="K156" s="766"/>
    </row>
    <row r="157" spans="3:11" ht="16" x14ac:dyDescent="0.2">
      <c r="C157" s="501">
        <v>154</v>
      </c>
      <c r="D157" s="752" t="s">
        <v>2113</v>
      </c>
      <c r="E157" s="1368" t="s">
        <v>2567</v>
      </c>
      <c r="F157" s="508"/>
      <c r="G157" s="754"/>
      <c r="H157" s="760"/>
      <c r="I157" s="762"/>
      <c r="J157" s="764"/>
      <c r="K157" s="766"/>
    </row>
    <row r="158" spans="3:11" ht="16" x14ac:dyDescent="0.2">
      <c r="C158" s="501">
        <v>155</v>
      </c>
      <c r="D158" s="752" t="s">
        <v>2161</v>
      </c>
      <c r="E158" s="1368" t="s">
        <v>2568</v>
      </c>
      <c r="F158" s="508"/>
      <c r="G158" s="754"/>
      <c r="H158" s="760"/>
      <c r="I158" s="762"/>
      <c r="J158" s="764"/>
      <c r="K158" s="766"/>
    </row>
    <row r="159" spans="3:11" ht="16" x14ac:dyDescent="0.2">
      <c r="C159" s="501">
        <v>156</v>
      </c>
      <c r="D159" s="1367" t="s">
        <v>2162</v>
      </c>
      <c r="E159" s="1368" t="s">
        <v>2569</v>
      </c>
      <c r="F159" s="508"/>
      <c r="G159" s="754"/>
      <c r="H159" s="760"/>
      <c r="I159" s="762"/>
      <c r="J159" s="764"/>
      <c r="K159" s="766"/>
    </row>
    <row r="160" spans="3:11" ht="16" x14ac:dyDescent="0.2">
      <c r="C160" s="501">
        <v>157</v>
      </c>
      <c r="D160" s="752" t="s">
        <v>2153</v>
      </c>
      <c r="E160" s="1368" t="s">
        <v>2570</v>
      </c>
      <c r="F160" s="508"/>
      <c r="G160" s="754"/>
      <c r="H160" s="760"/>
      <c r="I160" s="762"/>
      <c r="J160" s="764"/>
      <c r="K160" s="766"/>
    </row>
    <row r="161" spans="3:11" ht="16" x14ac:dyDescent="0.2">
      <c r="C161" s="501">
        <v>158</v>
      </c>
      <c r="D161" s="1367" t="s">
        <v>2154</v>
      </c>
      <c r="E161" s="1368" t="s">
        <v>2571</v>
      </c>
      <c r="F161" s="508"/>
      <c r="G161" s="754"/>
      <c r="H161" s="760"/>
      <c r="I161" s="762"/>
      <c r="J161" s="764"/>
      <c r="K161" s="766"/>
    </row>
    <row r="162" spans="3:11" ht="16" x14ac:dyDescent="0.2">
      <c r="C162" s="501">
        <v>159</v>
      </c>
      <c r="D162" s="1367" t="s">
        <v>2155</v>
      </c>
      <c r="E162" s="1368" t="s">
        <v>2572</v>
      </c>
      <c r="F162" s="508"/>
      <c r="G162" s="754"/>
      <c r="H162" s="760"/>
      <c r="I162" s="762"/>
      <c r="J162" s="764"/>
      <c r="K162" s="766"/>
    </row>
    <row r="163" spans="3:11" ht="16" x14ac:dyDescent="0.2">
      <c r="C163" s="501">
        <v>160</v>
      </c>
      <c r="D163" s="1367" t="s">
        <v>2156</v>
      </c>
      <c r="E163" s="1368" t="s">
        <v>2573</v>
      </c>
      <c r="F163" s="508"/>
      <c r="G163" s="754"/>
      <c r="H163" s="760"/>
      <c r="I163" s="762"/>
      <c r="J163" s="764"/>
      <c r="K163" s="766"/>
    </row>
    <row r="164" spans="3:11" ht="16" x14ac:dyDescent="0.2">
      <c r="C164" s="501">
        <v>161</v>
      </c>
      <c r="D164" s="1367" t="s">
        <v>2157</v>
      </c>
      <c r="E164" s="1368" t="s">
        <v>2574</v>
      </c>
      <c r="F164" s="508"/>
      <c r="G164" s="754"/>
      <c r="H164" s="760"/>
      <c r="I164" s="762"/>
      <c r="J164" s="764"/>
      <c r="K164" s="766"/>
    </row>
    <row r="165" spans="3:11" ht="16" x14ac:dyDescent="0.2">
      <c r="C165" s="501">
        <v>162</v>
      </c>
      <c r="D165" s="1367" t="s">
        <v>2152</v>
      </c>
      <c r="E165" s="1368" t="s">
        <v>2575</v>
      </c>
      <c r="F165" s="508"/>
      <c r="G165" s="754"/>
      <c r="H165" s="760"/>
      <c r="I165" s="762"/>
      <c r="J165" s="764"/>
      <c r="K165" s="766"/>
    </row>
    <row r="166" spans="3:11" ht="16" x14ac:dyDescent="0.2">
      <c r="C166" s="501">
        <v>163</v>
      </c>
      <c r="D166" s="1367" t="s">
        <v>2163</v>
      </c>
      <c r="E166" s="1368" t="s">
        <v>2576</v>
      </c>
      <c r="F166" s="508"/>
      <c r="G166" s="754"/>
      <c r="H166" s="760"/>
      <c r="I166" s="762"/>
      <c r="J166" s="764"/>
      <c r="K166" s="766"/>
    </row>
    <row r="167" spans="3:11" ht="16" x14ac:dyDescent="0.2">
      <c r="C167" s="501">
        <v>164</v>
      </c>
      <c r="D167" s="1367" t="s">
        <v>2164</v>
      </c>
      <c r="E167" s="1368" t="s">
        <v>2577</v>
      </c>
      <c r="F167" s="508"/>
      <c r="G167" s="754"/>
      <c r="H167" s="760"/>
      <c r="I167" s="762"/>
      <c r="J167" s="764"/>
      <c r="K167" s="766"/>
    </row>
    <row r="168" spans="3:11" ht="16" x14ac:dyDescent="0.2">
      <c r="C168" s="501">
        <v>165</v>
      </c>
      <c r="D168" s="1367" t="s">
        <v>2165</v>
      </c>
      <c r="E168" s="1368" t="s">
        <v>2578</v>
      </c>
      <c r="F168" s="508"/>
      <c r="G168" s="754"/>
      <c r="H168" s="760"/>
      <c r="I168" s="762"/>
      <c r="J168" s="764"/>
      <c r="K168" s="766"/>
    </row>
    <row r="169" spans="3:11" ht="16" x14ac:dyDescent="0.2">
      <c r="C169" s="501">
        <v>166</v>
      </c>
      <c r="D169" s="1367" t="s">
        <v>2166</v>
      </c>
      <c r="E169" s="1368" t="s">
        <v>2579</v>
      </c>
      <c r="F169" s="508"/>
      <c r="G169" s="754"/>
      <c r="H169" s="760"/>
      <c r="I169" s="762"/>
      <c r="J169" s="764"/>
      <c r="K169" s="766"/>
    </row>
    <row r="170" spans="3:11" ht="16" x14ac:dyDescent="0.2">
      <c r="C170" s="501">
        <v>167</v>
      </c>
      <c r="D170" s="752" t="s">
        <v>1959</v>
      </c>
      <c r="E170" s="1368" t="s">
        <v>2580</v>
      </c>
      <c r="F170" s="508"/>
      <c r="G170" s="754"/>
      <c r="H170" s="760"/>
      <c r="I170" s="762"/>
      <c r="J170" s="764"/>
      <c r="K170" s="766"/>
    </row>
    <row r="171" spans="3:11" ht="16" x14ac:dyDescent="0.2">
      <c r="C171" s="501">
        <v>168</v>
      </c>
      <c r="D171" s="752" t="s">
        <v>1960</v>
      </c>
      <c r="E171" s="1368" t="s">
        <v>2581</v>
      </c>
      <c r="F171" s="508"/>
      <c r="G171" s="754"/>
      <c r="H171" s="760"/>
      <c r="I171" s="762"/>
      <c r="J171" s="764"/>
      <c r="K171" s="766"/>
    </row>
    <row r="172" spans="3:11" ht="16" x14ac:dyDescent="0.2">
      <c r="C172" s="501">
        <v>169</v>
      </c>
      <c r="D172" s="752" t="s">
        <v>2566</v>
      </c>
      <c r="E172" s="1368" t="s">
        <v>2594</v>
      </c>
      <c r="F172" s="508"/>
      <c r="G172" s="754"/>
      <c r="H172" s="760"/>
      <c r="I172" s="762"/>
      <c r="J172" s="764"/>
      <c r="K172" s="766"/>
    </row>
    <row r="173" spans="3:11" ht="16" x14ac:dyDescent="0.2">
      <c r="C173" s="501">
        <v>170</v>
      </c>
      <c r="D173" s="1367" t="s">
        <v>2595</v>
      </c>
      <c r="E173" s="1368" t="s">
        <v>2582</v>
      </c>
      <c r="F173" s="508"/>
      <c r="G173" s="754"/>
      <c r="H173" s="760"/>
      <c r="I173" s="762"/>
      <c r="J173" s="764"/>
      <c r="K173" s="766"/>
    </row>
    <row r="174" spans="3:11" ht="16" x14ac:dyDescent="0.2">
      <c r="C174" s="501">
        <v>171</v>
      </c>
      <c r="D174" s="752" t="s">
        <v>2050</v>
      </c>
      <c r="E174" s="1368" t="s">
        <v>2583</v>
      </c>
      <c r="F174" s="508"/>
      <c r="G174" s="754"/>
      <c r="H174" s="760"/>
      <c r="I174" s="762"/>
      <c r="J174" s="764"/>
      <c r="K174" s="766"/>
    </row>
    <row r="175" spans="3:11" ht="16" x14ac:dyDescent="0.2">
      <c r="C175" s="501">
        <v>172</v>
      </c>
      <c r="D175" s="752" t="s">
        <v>2051</v>
      </c>
      <c r="E175" s="1368" t="s">
        <v>2584</v>
      </c>
      <c r="F175" s="508"/>
      <c r="G175" s="754"/>
      <c r="H175" s="760"/>
      <c r="I175" s="762"/>
      <c r="J175" s="764"/>
      <c r="K175" s="766"/>
    </row>
    <row r="176" spans="3:11" ht="16" x14ac:dyDescent="0.2">
      <c r="C176" s="501">
        <v>173</v>
      </c>
      <c r="D176" s="752" t="s">
        <v>2052</v>
      </c>
      <c r="E176" s="1368" t="s">
        <v>2596</v>
      </c>
      <c r="F176" s="508"/>
      <c r="G176" s="754"/>
      <c r="H176" s="760"/>
      <c r="I176" s="762"/>
      <c r="J176" s="764"/>
      <c r="K176" s="766"/>
    </row>
    <row r="177" spans="3:11" ht="16" x14ac:dyDescent="0.2">
      <c r="C177" s="501">
        <v>174</v>
      </c>
      <c r="D177" s="752" t="s">
        <v>2053</v>
      </c>
      <c r="E177" s="1368" t="s">
        <v>2585</v>
      </c>
      <c r="F177" s="508"/>
      <c r="G177" s="754"/>
      <c r="H177" s="760"/>
      <c r="I177" s="762"/>
      <c r="J177" s="764"/>
      <c r="K177" s="766"/>
    </row>
    <row r="178" spans="3:11" ht="16" x14ac:dyDescent="0.2">
      <c r="C178" s="501">
        <v>175</v>
      </c>
      <c r="D178" s="752" t="s">
        <v>2054</v>
      </c>
      <c r="E178" s="1368" t="s">
        <v>2597</v>
      </c>
      <c r="F178" s="508"/>
      <c r="G178" s="754"/>
      <c r="H178" s="760"/>
      <c r="I178" s="762"/>
      <c r="J178" s="764"/>
      <c r="K178" s="766"/>
    </row>
    <row r="179" spans="3:11" ht="16" x14ac:dyDescent="0.2">
      <c r="C179" s="501">
        <v>176</v>
      </c>
      <c r="D179" s="752" t="s">
        <v>2055</v>
      </c>
      <c r="E179" s="1368" t="s">
        <v>2586</v>
      </c>
      <c r="F179" s="508"/>
      <c r="G179" s="754"/>
      <c r="H179" s="760"/>
      <c r="I179" s="762"/>
      <c r="J179" s="764"/>
      <c r="K179" s="766"/>
    </row>
    <row r="180" spans="3:11" ht="16" x14ac:dyDescent="0.2">
      <c r="C180" s="501">
        <v>177</v>
      </c>
      <c r="D180" s="752" t="s">
        <v>2056</v>
      </c>
      <c r="E180" s="1368" t="s">
        <v>2587</v>
      </c>
      <c r="F180" s="508"/>
      <c r="G180" s="754"/>
      <c r="H180" s="760"/>
      <c r="I180" s="762"/>
      <c r="J180" s="764"/>
      <c r="K180" s="766"/>
    </row>
    <row r="181" spans="3:11" ht="16" x14ac:dyDescent="0.2">
      <c r="C181" s="501">
        <v>178</v>
      </c>
      <c r="D181" s="752" t="s">
        <v>2057</v>
      </c>
      <c r="E181" s="1368" t="s">
        <v>2598</v>
      </c>
      <c r="F181" s="508"/>
      <c r="G181" s="754"/>
      <c r="H181" s="760"/>
      <c r="I181" s="762"/>
      <c r="J181" s="764"/>
      <c r="K181" s="766"/>
    </row>
    <row r="182" spans="3:11" ht="16" x14ac:dyDescent="0.2">
      <c r="C182" s="501">
        <v>179</v>
      </c>
      <c r="D182" s="752" t="s">
        <v>2058</v>
      </c>
      <c r="E182" s="1368" t="s">
        <v>2599</v>
      </c>
      <c r="F182" s="508"/>
      <c r="G182" s="754"/>
      <c r="H182" s="760"/>
      <c r="I182" s="762"/>
      <c r="J182" s="764"/>
      <c r="K182" s="766"/>
    </row>
    <row r="183" spans="3:11" ht="16" x14ac:dyDescent="0.2">
      <c r="C183" s="501">
        <v>180</v>
      </c>
      <c r="D183" s="752" t="s">
        <v>2059</v>
      </c>
      <c r="E183" s="1368" t="s">
        <v>2600</v>
      </c>
      <c r="F183" s="508"/>
      <c r="G183" s="754"/>
      <c r="H183" s="760"/>
      <c r="I183" s="762"/>
      <c r="J183" s="764"/>
      <c r="K183" s="766"/>
    </row>
    <row r="184" spans="3:11" ht="16" x14ac:dyDescent="0.2">
      <c r="C184" s="501">
        <v>181</v>
      </c>
      <c r="D184" s="752" t="s">
        <v>2060</v>
      </c>
      <c r="E184" s="1368" t="s">
        <v>2588</v>
      </c>
      <c r="F184" s="508"/>
      <c r="G184" s="754"/>
      <c r="H184" s="760"/>
      <c r="I184" s="762"/>
      <c r="J184" s="764"/>
      <c r="K184" s="766"/>
    </row>
    <row r="185" spans="3:11" ht="16" x14ac:dyDescent="0.2">
      <c r="C185" s="501">
        <v>182</v>
      </c>
      <c r="D185" s="752" t="s">
        <v>1993</v>
      </c>
      <c r="E185" s="1368" t="s">
        <v>2589</v>
      </c>
      <c r="F185" s="508"/>
      <c r="G185" s="754"/>
      <c r="H185" s="760"/>
      <c r="I185" s="762"/>
      <c r="J185" s="764"/>
      <c r="K185" s="766"/>
    </row>
    <row r="186" spans="3:11" ht="16" x14ac:dyDescent="0.2">
      <c r="C186" s="501">
        <v>183</v>
      </c>
      <c r="D186" s="752" t="s">
        <v>1995</v>
      </c>
      <c r="E186" s="1368" t="s">
        <v>2590</v>
      </c>
      <c r="F186" s="508"/>
      <c r="G186" s="754"/>
      <c r="H186" s="760"/>
      <c r="I186" s="762"/>
      <c r="J186" s="764"/>
      <c r="K186" s="766"/>
    </row>
    <row r="187" spans="3:11" ht="16" x14ac:dyDescent="0.2">
      <c r="C187" s="501">
        <v>184</v>
      </c>
      <c r="D187" s="752" t="s">
        <v>1996</v>
      </c>
      <c r="E187" s="1368" t="s">
        <v>2591</v>
      </c>
      <c r="F187" s="508"/>
      <c r="G187" s="754"/>
      <c r="H187" s="760"/>
      <c r="I187" s="762"/>
      <c r="J187" s="764"/>
      <c r="K187" s="766"/>
    </row>
    <row r="188" spans="3:11" ht="16" x14ac:dyDescent="0.2">
      <c r="C188" s="501">
        <v>185</v>
      </c>
      <c r="D188" s="752" t="s">
        <v>2001</v>
      </c>
      <c r="E188" s="1368" t="s">
        <v>2592</v>
      </c>
      <c r="F188" s="508"/>
      <c r="G188" s="754"/>
      <c r="H188" s="760"/>
      <c r="I188" s="762"/>
      <c r="J188" s="764"/>
      <c r="K188" s="766"/>
    </row>
    <row r="189" spans="3:11" ht="16" x14ac:dyDescent="0.2">
      <c r="C189" s="501">
        <v>186</v>
      </c>
      <c r="D189" s="1372" t="s">
        <v>2646</v>
      </c>
      <c r="E189" s="1376" t="s">
        <v>2647</v>
      </c>
      <c r="F189" s="508"/>
      <c r="G189" s="754"/>
      <c r="H189" s="760"/>
      <c r="I189" s="762"/>
      <c r="J189" s="764"/>
      <c r="K189" s="766"/>
    </row>
    <row r="190" spans="3:11" ht="16" x14ac:dyDescent="0.2">
      <c r="C190" s="501">
        <v>187</v>
      </c>
      <c r="D190" s="752" t="s">
        <v>2167</v>
      </c>
      <c r="E190" s="1368" t="s">
        <v>2601</v>
      </c>
      <c r="F190" s="508"/>
      <c r="G190" s="754"/>
      <c r="H190" s="760"/>
      <c r="I190" s="762"/>
      <c r="J190" s="764"/>
      <c r="K190" s="766"/>
    </row>
    <row r="191" spans="3:11" ht="16" x14ac:dyDescent="0.2">
      <c r="C191" s="501">
        <v>188</v>
      </c>
      <c r="D191" s="752" t="s">
        <v>2168</v>
      </c>
      <c r="E191" s="1368" t="s">
        <v>2602</v>
      </c>
      <c r="F191" s="508"/>
      <c r="G191" s="754"/>
      <c r="H191" s="760"/>
      <c r="I191" s="762"/>
      <c r="J191" s="764"/>
      <c r="K191" s="766"/>
    </row>
    <row r="192" spans="3:11" ht="16" x14ac:dyDescent="0.2">
      <c r="C192" s="501">
        <v>189</v>
      </c>
      <c r="D192" s="1367" t="s">
        <v>2608</v>
      </c>
      <c r="E192" s="1368" t="s">
        <v>2609</v>
      </c>
      <c r="F192" s="508"/>
      <c r="G192" s="754"/>
      <c r="H192" s="760"/>
      <c r="I192" s="762"/>
      <c r="J192" s="764"/>
      <c r="K192" s="766"/>
    </row>
    <row r="193" spans="3:11" ht="16" x14ac:dyDescent="0.2">
      <c r="C193" s="501">
        <v>190</v>
      </c>
      <c r="D193" s="752" t="s">
        <v>2452</v>
      </c>
      <c r="E193" s="1368" t="s">
        <v>2614</v>
      </c>
      <c r="F193" s="508"/>
      <c r="G193" s="754"/>
      <c r="H193" s="760"/>
      <c r="I193" s="762"/>
      <c r="J193" s="764"/>
      <c r="K193" s="766"/>
    </row>
    <row r="194" spans="3:11" ht="16" x14ac:dyDescent="0.2">
      <c r="C194" s="501">
        <v>191</v>
      </c>
      <c r="D194" s="1367" t="s">
        <v>2457</v>
      </c>
      <c r="E194" s="1368" t="s">
        <v>2615</v>
      </c>
      <c r="F194" s="508"/>
      <c r="G194" s="754"/>
      <c r="H194" s="760"/>
      <c r="I194" s="762"/>
      <c r="J194" s="764"/>
      <c r="K194" s="766"/>
    </row>
    <row r="195" spans="3:11" ht="16" x14ac:dyDescent="0.2">
      <c r="C195" s="501">
        <v>192</v>
      </c>
      <c r="D195" s="752" t="s">
        <v>2482</v>
      </c>
      <c r="E195" s="1368" t="s">
        <v>2616</v>
      </c>
      <c r="F195" s="508"/>
      <c r="G195" s="754"/>
      <c r="H195" s="760"/>
      <c r="I195" s="762"/>
      <c r="J195" s="764"/>
      <c r="K195" s="766"/>
    </row>
    <row r="196" spans="3:11" ht="16" x14ac:dyDescent="0.2">
      <c r="C196" s="501">
        <v>193</v>
      </c>
      <c r="D196" s="1367" t="s">
        <v>2481</v>
      </c>
      <c r="E196" s="1368" t="s">
        <v>2617</v>
      </c>
      <c r="F196" s="508"/>
      <c r="G196" s="754"/>
      <c r="H196" s="760"/>
      <c r="I196" s="762"/>
      <c r="J196" s="764"/>
      <c r="K196" s="766"/>
    </row>
    <row r="197" spans="3:11" ht="16" x14ac:dyDescent="0.2">
      <c r="C197" s="501">
        <v>194</v>
      </c>
      <c r="D197" s="752" t="s">
        <v>497</v>
      </c>
      <c r="E197" s="1368" t="s">
        <v>2612</v>
      </c>
      <c r="F197" s="508"/>
      <c r="G197" s="754"/>
      <c r="H197" s="760"/>
      <c r="I197" s="762"/>
      <c r="J197" s="764"/>
      <c r="K197" s="766"/>
    </row>
    <row r="198" spans="3:11" ht="16" x14ac:dyDescent="0.2">
      <c r="C198" s="501">
        <v>195</v>
      </c>
      <c r="D198" s="1367" t="s">
        <v>503</v>
      </c>
      <c r="E198" s="1368" t="s">
        <v>2613</v>
      </c>
      <c r="F198" s="508"/>
      <c r="G198" s="754"/>
      <c r="H198" s="760"/>
      <c r="I198" s="762"/>
      <c r="J198" s="764"/>
      <c r="K198" s="766"/>
    </row>
    <row r="199" spans="3:11" ht="16" x14ac:dyDescent="0.2">
      <c r="C199" s="501">
        <v>196</v>
      </c>
      <c r="D199" s="752" t="s">
        <v>2618</v>
      </c>
      <c r="E199" s="1368" t="s">
        <v>2620</v>
      </c>
      <c r="F199" s="508"/>
      <c r="G199" s="754"/>
      <c r="H199" s="760"/>
      <c r="I199" s="762"/>
      <c r="J199" s="764"/>
      <c r="K199" s="766"/>
    </row>
    <row r="200" spans="3:11" ht="16" x14ac:dyDescent="0.2">
      <c r="C200" s="501">
        <v>197</v>
      </c>
      <c r="D200" s="1367" t="s">
        <v>2619</v>
      </c>
      <c r="E200" s="1368" t="s">
        <v>2621</v>
      </c>
      <c r="F200" s="508"/>
      <c r="G200" s="754"/>
      <c r="H200" s="760"/>
      <c r="I200" s="762"/>
      <c r="J200" s="764"/>
      <c r="K200" s="766"/>
    </row>
    <row r="201" spans="3:11" ht="16" x14ac:dyDescent="0.2">
      <c r="C201" s="501">
        <v>198</v>
      </c>
      <c r="D201" s="1367" t="s">
        <v>2622</v>
      </c>
      <c r="E201" s="1368" t="s">
        <v>2623</v>
      </c>
      <c r="F201" s="508"/>
      <c r="G201" s="754"/>
      <c r="H201" s="760"/>
      <c r="I201" s="762"/>
      <c r="J201" s="764"/>
      <c r="K201" s="766"/>
    </row>
    <row r="202" spans="3:11" ht="16" x14ac:dyDescent="0.2">
      <c r="C202" s="501">
        <v>199</v>
      </c>
      <c r="D202" s="752" t="s">
        <v>2624</v>
      </c>
      <c r="E202" s="1368" t="s">
        <v>2625</v>
      </c>
      <c r="F202" s="508"/>
      <c r="G202" s="754"/>
      <c r="H202" s="760"/>
      <c r="I202" s="762"/>
      <c r="J202" s="764"/>
      <c r="K202" s="766"/>
    </row>
    <row r="203" spans="3:11" ht="16" x14ac:dyDescent="0.2">
      <c r="C203" s="501">
        <v>200</v>
      </c>
      <c r="D203" s="1367" t="s">
        <v>2626</v>
      </c>
      <c r="E203" s="1368" t="s">
        <v>2627</v>
      </c>
      <c r="F203" s="508"/>
      <c r="G203" s="754"/>
      <c r="H203" s="760"/>
      <c r="I203" s="762"/>
      <c r="J203" s="764"/>
      <c r="K203" s="766"/>
    </row>
    <row r="204" spans="3:11" ht="48" customHeight="1" x14ac:dyDescent="0.2">
      <c r="C204" s="501">
        <v>201</v>
      </c>
      <c r="D204" s="1374" t="s">
        <v>2629</v>
      </c>
      <c r="E204" s="1375" t="s">
        <v>2630</v>
      </c>
      <c r="F204" s="508"/>
      <c r="G204" s="754"/>
      <c r="H204" s="760"/>
      <c r="I204" s="762"/>
      <c r="J204" s="764"/>
      <c r="K204" s="766"/>
    </row>
    <row r="205" spans="3:11" ht="16" x14ac:dyDescent="0.2">
      <c r="C205" s="501">
        <v>202</v>
      </c>
      <c r="D205" s="1372" t="s">
        <v>2642</v>
      </c>
      <c r="E205" s="1376" t="s">
        <v>2639</v>
      </c>
      <c r="F205" s="508"/>
      <c r="G205" s="754"/>
      <c r="H205" s="760"/>
      <c r="I205" s="762"/>
      <c r="J205" s="764"/>
      <c r="K205" s="766"/>
    </row>
    <row r="206" spans="3:11" ht="32" x14ac:dyDescent="0.2">
      <c r="C206" s="501">
        <v>203</v>
      </c>
      <c r="D206" s="1390" t="s">
        <v>2652</v>
      </c>
      <c r="E206" s="1391" t="s">
        <v>2654</v>
      </c>
      <c r="F206" s="508"/>
      <c r="G206" s="754"/>
      <c r="H206" s="760"/>
      <c r="I206" s="762"/>
      <c r="J206" s="764"/>
      <c r="K206" s="766"/>
    </row>
    <row r="207" spans="3:11" ht="32" x14ac:dyDescent="0.2">
      <c r="C207" s="501">
        <v>204</v>
      </c>
      <c r="D207" s="1390" t="s">
        <v>2653</v>
      </c>
      <c r="E207" s="1391" t="s">
        <v>2655</v>
      </c>
      <c r="F207" s="508"/>
      <c r="G207" s="754"/>
      <c r="H207" s="760"/>
      <c r="I207" s="762"/>
      <c r="J207" s="764"/>
      <c r="K207" s="766"/>
    </row>
    <row r="208" spans="3:11" ht="32" x14ac:dyDescent="0.2">
      <c r="C208" s="501">
        <v>205</v>
      </c>
      <c r="D208" s="1390" t="s">
        <v>2651</v>
      </c>
      <c r="E208" s="1391" t="s">
        <v>2656</v>
      </c>
      <c r="F208" s="508"/>
      <c r="G208" s="754"/>
      <c r="H208" s="760"/>
      <c r="I208" s="762"/>
      <c r="J208" s="764"/>
      <c r="K208" s="766"/>
    </row>
    <row r="209" spans="3:11" ht="32" x14ac:dyDescent="0.2">
      <c r="C209" s="501">
        <v>206</v>
      </c>
      <c r="D209" s="1390" t="s">
        <v>2650</v>
      </c>
      <c r="E209" s="1391" t="s">
        <v>2657</v>
      </c>
      <c r="F209" s="508"/>
      <c r="G209" s="754"/>
      <c r="H209" s="760"/>
      <c r="I209" s="762"/>
      <c r="J209" s="764"/>
      <c r="K209" s="766"/>
    </row>
    <row r="210" spans="3:11" ht="16" x14ac:dyDescent="0.2">
      <c r="C210" s="501">
        <v>207</v>
      </c>
      <c r="D210" s="1372" t="s">
        <v>2643</v>
      </c>
      <c r="E210" s="1376" t="s">
        <v>2640</v>
      </c>
      <c r="F210" s="508"/>
      <c r="G210" s="754"/>
      <c r="H210" s="760"/>
      <c r="I210" s="762"/>
      <c r="J210" s="764"/>
      <c r="K210" s="766"/>
    </row>
    <row r="211" spans="3:11" ht="32" x14ac:dyDescent="0.2">
      <c r="C211" s="501">
        <v>208</v>
      </c>
      <c r="D211" s="1390" t="s">
        <v>2660</v>
      </c>
      <c r="E211" s="1391" t="s">
        <v>2658</v>
      </c>
      <c r="F211" s="508"/>
      <c r="G211" s="754"/>
      <c r="H211" s="760"/>
      <c r="I211" s="762"/>
      <c r="J211" s="764"/>
      <c r="K211" s="766"/>
    </row>
    <row r="212" spans="3:11" ht="32" x14ac:dyDescent="0.2">
      <c r="C212" s="501">
        <v>209</v>
      </c>
      <c r="D212" s="1390" t="s">
        <v>2661</v>
      </c>
      <c r="E212" s="1391" t="s">
        <v>2659</v>
      </c>
      <c r="F212" s="508"/>
      <c r="G212" s="754"/>
      <c r="H212" s="760"/>
      <c r="I212" s="762"/>
      <c r="J212" s="764"/>
      <c r="K212" s="766"/>
    </row>
    <row r="213" spans="3:11" ht="32" x14ac:dyDescent="0.2">
      <c r="C213" s="501">
        <v>210</v>
      </c>
      <c r="D213" s="1390" t="s">
        <v>2663</v>
      </c>
      <c r="E213" s="1391" t="s">
        <v>2664</v>
      </c>
      <c r="F213" s="508"/>
      <c r="G213" s="754"/>
      <c r="H213" s="760"/>
      <c r="I213" s="762"/>
      <c r="J213" s="764"/>
      <c r="K213" s="766"/>
    </row>
    <row r="214" spans="3:11" ht="32" x14ac:dyDescent="0.2">
      <c r="C214" s="501">
        <v>211</v>
      </c>
      <c r="D214" s="1390" t="s">
        <v>2662</v>
      </c>
      <c r="E214" s="1391" t="s">
        <v>2665</v>
      </c>
      <c r="F214" s="508"/>
      <c r="G214" s="754"/>
      <c r="H214" s="760"/>
      <c r="I214" s="762"/>
      <c r="J214" s="764"/>
      <c r="K214" s="766"/>
    </row>
    <row r="215" spans="3:11" ht="16" x14ac:dyDescent="0.2">
      <c r="C215" s="501">
        <v>212</v>
      </c>
      <c r="D215" s="1372" t="s">
        <v>224</v>
      </c>
      <c r="E215" s="1376" t="s">
        <v>2648</v>
      </c>
      <c r="F215" s="508"/>
      <c r="G215" s="754"/>
      <c r="H215" s="760"/>
      <c r="I215" s="762"/>
      <c r="J215" s="764"/>
      <c r="K215" s="766"/>
    </row>
    <row r="216" spans="3:11" x14ac:dyDescent="0.2">
      <c r="C216" s="501">
        <v>213</v>
      </c>
      <c r="D216" s="752"/>
      <c r="E216" s="753"/>
      <c r="F216" s="508"/>
      <c r="G216" s="754"/>
      <c r="H216" s="760"/>
      <c r="I216" s="762"/>
      <c r="J216" s="764"/>
      <c r="K216" s="766"/>
    </row>
    <row r="217" spans="3:11" x14ac:dyDescent="0.2">
      <c r="C217" s="501">
        <v>214</v>
      </c>
      <c r="D217" s="752"/>
      <c r="E217" s="753"/>
      <c r="F217" s="508"/>
      <c r="G217" s="754"/>
      <c r="H217" s="760"/>
      <c r="I217" s="762"/>
      <c r="J217" s="764"/>
      <c r="K217" s="766"/>
    </row>
    <row r="218" spans="3:11" x14ac:dyDescent="0.2">
      <c r="C218" s="501">
        <v>215</v>
      </c>
      <c r="D218" s="752"/>
      <c r="E218" s="753"/>
      <c r="F218" s="508"/>
      <c r="G218" s="754"/>
      <c r="H218" s="760"/>
      <c r="I218" s="762"/>
      <c r="J218" s="764"/>
      <c r="K218" s="766"/>
    </row>
    <row r="219" spans="3:11" x14ac:dyDescent="0.2">
      <c r="C219" s="501">
        <v>216</v>
      </c>
      <c r="D219" s="752"/>
      <c r="E219" s="753"/>
      <c r="F219" s="508"/>
      <c r="G219" s="754"/>
      <c r="H219" s="760"/>
      <c r="I219" s="762"/>
      <c r="J219" s="764"/>
      <c r="K219" s="766"/>
    </row>
    <row r="220" spans="3:11" x14ac:dyDescent="0.2">
      <c r="C220" s="501">
        <v>217</v>
      </c>
      <c r="D220" s="752"/>
      <c r="E220" s="753"/>
      <c r="F220" s="508"/>
      <c r="G220" s="754"/>
      <c r="H220" s="760"/>
      <c r="I220" s="762"/>
      <c r="J220" s="764"/>
      <c r="K220" s="766"/>
    </row>
    <row r="221" spans="3:11" x14ac:dyDescent="0.2">
      <c r="C221" s="501">
        <v>218</v>
      </c>
      <c r="D221" s="752"/>
      <c r="E221" s="753"/>
      <c r="F221" s="508"/>
      <c r="G221" s="754"/>
      <c r="H221" s="760"/>
      <c r="I221" s="762"/>
      <c r="J221" s="764"/>
      <c r="K221" s="766"/>
    </row>
    <row r="222" spans="3:11" x14ac:dyDescent="0.2">
      <c r="C222" s="501">
        <v>219</v>
      </c>
      <c r="D222" s="752"/>
      <c r="E222" s="753"/>
      <c r="F222" s="508"/>
      <c r="G222" s="754"/>
      <c r="H222" s="760"/>
      <c r="I222" s="762"/>
      <c r="J222" s="764"/>
      <c r="K222" s="766"/>
    </row>
    <row r="223" spans="3:11" x14ac:dyDescent="0.2">
      <c r="C223" s="501">
        <v>220</v>
      </c>
      <c r="D223" s="752"/>
      <c r="E223" s="753"/>
      <c r="F223" s="508"/>
      <c r="G223" s="754"/>
      <c r="H223" s="760"/>
      <c r="I223" s="762"/>
      <c r="J223" s="764"/>
      <c r="K223" s="766"/>
    </row>
    <row r="224" spans="3:11" x14ac:dyDescent="0.2">
      <c r="C224" s="501">
        <v>221</v>
      </c>
      <c r="D224" s="752"/>
      <c r="E224" s="753"/>
      <c r="F224" s="508"/>
      <c r="G224" s="754"/>
      <c r="H224" s="760"/>
      <c r="I224" s="762"/>
      <c r="J224" s="764"/>
      <c r="K224" s="766"/>
    </row>
    <row r="225" spans="3:11" x14ac:dyDescent="0.2">
      <c r="C225" s="501">
        <v>222</v>
      </c>
      <c r="D225" s="752"/>
      <c r="E225" s="753"/>
      <c r="F225" s="508"/>
      <c r="G225" s="754"/>
      <c r="H225" s="760"/>
      <c r="I225" s="762"/>
      <c r="J225" s="764"/>
      <c r="K225" s="766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CA156-5957-4C42-B9C5-8E9E631D9977}">
  <sheetPr codeName="Taul2"/>
  <dimension ref="A2:DN65"/>
  <sheetViews>
    <sheetView topLeftCell="W1" zoomScale="85" zoomScaleNormal="85" workbookViewId="0">
      <selection activeCell="BH50" sqref="BH50"/>
    </sheetView>
  </sheetViews>
  <sheetFormatPr baseColWidth="10" defaultColWidth="8.83203125" defaultRowHeight="13" x14ac:dyDescent="0.15"/>
  <cols>
    <col min="3" max="3" width="13.33203125" customWidth="1"/>
    <col min="14" max="15" width="10.1640625" customWidth="1"/>
    <col min="16" max="23" width="8" customWidth="1"/>
    <col min="24" max="24" width="14.33203125" customWidth="1"/>
    <col min="25" max="25" width="8" customWidth="1"/>
    <col min="26" max="28" width="7" customWidth="1"/>
    <col min="29" max="29" width="8.5" customWidth="1"/>
    <col min="30" max="55" width="7" customWidth="1"/>
    <col min="90" max="90" width="23.1640625" customWidth="1"/>
    <col min="91" max="91" width="10.5" bestFit="1" customWidth="1"/>
    <col min="96" max="96" width="11.33203125" customWidth="1"/>
    <col min="97" max="97" width="9.6640625" bestFit="1" customWidth="1"/>
    <col min="115" max="115" width="12.6640625" customWidth="1"/>
  </cols>
  <sheetData>
    <row r="2" spans="2:115" x14ac:dyDescent="0.15">
      <c r="BB2" t="s">
        <v>359</v>
      </c>
      <c r="BD2" t="b">
        <v>0</v>
      </c>
      <c r="BE2" t="s">
        <v>182</v>
      </c>
      <c r="DG2" s="2" t="s">
        <v>1281</v>
      </c>
    </row>
    <row r="3" spans="2:115" ht="14" x14ac:dyDescent="0.15">
      <c r="AC3" s="83" t="s">
        <v>1167</v>
      </c>
      <c r="BB3" t="s">
        <v>2713</v>
      </c>
      <c r="BD3" t="b">
        <f>IF(OR($C$6=1,$C$6=2,$C$6=6,$C$6=7),TRUE,FALSE)</f>
        <v>1</v>
      </c>
      <c r="BF3" t="s">
        <v>576</v>
      </c>
      <c r="DG3" s="10" t="s">
        <v>1175</v>
      </c>
      <c r="DH3" s="22"/>
      <c r="DI3" s="22"/>
      <c r="DJ3" s="22"/>
      <c r="DK3" s="21">
        <v>1</v>
      </c>
    </row>
    <row r="4" spans="2:115" x14ac:dyDescent="0.15">
      <c r="C4" t="s">
        <v>115</v>
      </c>
      <c r="W4" t="s">
        <v>610</v>
      </c>
      <c r="AC4" s="2" t="s">
        <v>1160</v>
      </c>
      <c r="AI4" s="2" t="s">
        <v>1166</v>
      </c>
      <c r="BB4" t="s">
        <v>21</v>
      </c>
      <c r="BD4" t="b">
        <f>IF(AND(BD2,BD3),TRUE,FALSE)</f>
        <v>0</v>
      </c>
      <c r="DG4" s="12" t="b">
        <f>AC7</f>
        <v>0</v>
      </c>
      <c r="DH4" t="str">
        <f>AD7</f>
        <v>Suomi</v>
      </c>
      <c r="DK4" s="24" cm="1">
        <f t="array" ref="DK4">INDEX(DK10:DK14,DK3)</f>
        <v>21</v>
      </c>
    </row>
    <row r="5" spans="2:115" ht="14" thickBot="1" x14ac:dyDescent="0.2">
      <c r="C5" t="s">
        <v>116</v>
      </c>
      <c r="W5" s="484">
        <v>2</v>
      </c>
      <c r="AC5" s="484">
        <f>Kirjasto!B4</f>
        <v>5</v>
      </c>
      <c r="AD5" t="s">
        <v>1159</v>
      </c>
      <c r="AI5" t="s">
        <v>1168</v>
      </c>
      <c r="AK5" t="str">
        <f>IF($AC$7,Kirjasto!M7,Kirjasto!M6)</f>
        <v>Natężenie przepływu powietrza [dm³/s]</v>
      </c>
      <c r="DG5" s="12" t="b">
        <f>AC8</f>
        <v>1</v>
      </c>
      <c r="DH5" t="str">
        <f>AD8</f>
        <v>Muut kielet</v>
      </c>
      <c r="DK5" s="24"/>
    </row>
    <row r="6" spans="2:115" ht="14" thickBot="1" x14ac:dyDescent="0.2">
      <c r="C6" s="302">
        <f>W7</f>
        <v>1</v>
      </c>
      <c r="D6" t="s">
        <v>612</v>
      </c>
      <c r="W6" t="s">
        <v>613</v>
      </c>
      <c r="AI6" t="s">
        <v>1169</v>
      </c>
      <c r="AK6" t="str">
        <f>IF(AC7,Kirjasto!M6,Kirjasto!M7)</f>
        <v>Natężenie przepływu powietrza [m³/h]</v>
      </c>
      <c r="BD6" t="s">
        <v>183</v>
      </c>
      <c r="DG6" s="12"/>
      <c r="DK6" s="24"/>
    </row>
    <row r="7" spans="2:115" x14ac:dyDescent="0.15">
      <c r="W7" s="484" cm="1">
        <f t="array" ref="W7">INDEX(Y12:Y18,W5)</f>
        <v>1</v>
      </c>
      <c r="AC7" s="484" t="b">
        <f>IF(AC5=1,TRUE,FALSE)</f>
        <v>0</v>
      </c>
      <c r="AD7" t="s">
        <v>988</v>
      </c>
      <c r="BD7" s="104">
        <v>63</v>
      </c>
      <c r="BE7" s="104">
        <v>125</v>
      </c>
      <c r="BF7" s="104">
        <v>250</v>
      </c>
      <c r="BG7" s="104">
        <v>500</v>
      </c>
      <c r="BH7" s="104">
        <v>1000</v>
      </c>
      <c r="BI7" s="104">
        <v>2000</v>
      </c>
      <c r="BJ7" s="104">
        <v>4000</v>
      </c>
      <c r="BK7" s="104">
        <v>8000</v>
      </c>
      <c r="DG7" s="12"/>
      <c r="DK7" s="24"/>
    </row>
    <row r="8" spans="2:115" ht="14" thickBot="1" x14ac:dyDescent="0.2">
      <c r="C8" s="2" t="s">
        <v>123</v>
      </c>
      <c r="AC8" s="484" t="b">
        <f>IF(AC5=1,FALSE,TRUE)</f>
        <v>1</v>
      </c>
      <c r="AD8" t="s">
        <v>1161</v>
      </c>
      <c r="AI8" s="2" t="s">
        <v>123</v>
      </c>
      <c r="BC8" t="s">
        <v>184</v>
      </c>
      <c r="BD8" s="4">
        <v>8</v>
      </c>
      <c r="BE8" s="4">
        <v>3</v>
      </c>
      <c r="BF8" s="4">
        <v>5</v>
      </c>
      <c r="BG8" s="4">
        <v>4</v>
      </c>
      <c r="BH8" s="4">
        <v>3</v>
      </c>
      <c r="BI8" s="4">
        <v>3</v>
      </c>
      <c r="BJ8" s="4">
        <v>5</v>
      </c>
      <c r="BK8" s="4">
        <v>3</v>
      </c>
      <c r="CW8" s="2" t="s">
        <v>1149</v>
      </c>
      <c r="DA8" s="2" t="s">
        <v>1170</v>
      </c>
      <c r="DG8" s="12" t="s">
        <v>1176</v>
      </c>
      <c r="DK8" s="24"/>
    </row>
    <row r="9" spans="2:115" ht="14" x14ac:dyDescent="0.15">
      <c r="C9" s="465" t="s">
        <v>7</v>
      </c>
      <c r="D9" s="361"/>
      <c r="E9" s="361"/>
      <c r="F9" s="361"/>
      <c r="G9" s="361"/>
      <c r="H9" s="361"/>
      <c r="I9" s="361"/>
      <c r="J9" s="362"/>
      <c r="N9" s="465" t="s">
        <v>8</v>
      </c>
      <c r="O9" s="361"/>
      <c r="P9" s="361"/>
      <c r="Q9" s="361"/>
      <c r="R9" s="361"/>
      <c r="S9" s="361"/>
      <c r="T9" s="361"/>
      <c r="U9" s="362"/>
      <c r="W9" t="s">
        <v>609</v>
      </c>
      <c r="AI9" s="465" t="s">
        <v>7</v>
      </c>
      <c r="AJ9" s="361"/>
      <c r="AK9" s="361"/>
      <c r="AL9" s="361"/>
      <c r="AM9" s="361"/>
      <c r="AN9" s="361"/>
      <c r="AO9" s="361"/>
      <c r="AP9" s="362"/>
      <c r="AR9" s="465" t="s">
        <v>8</v>
      </c>
      <c r="AS9" s="361"/>
      <c r="AT9" s="361"/>
      <c r="AU9" s="361"/>
      <c r="AV9" s="361"/>
      <c r="AW9" s="361"/>
      <c r="AX9" s="361"/>
      <c r="AY9" s="362"/>
      <c r="BB9" t="s">
        <v>185</v>
      </c>
      <c r="BC9" s="73">
        <v>-26.2</v>
      </c>
      <c r="BD9" s="73">
        <v>-16.100000000000001</v>
      </c>
      <c r="BE9" s="73">
        <v>-8.6</v>
      </c>
      <c r="BF9" s="73">
        <v>-3.2</v>
      </c>
      <c r="BG9" s="73">
        <v>0</v>
      </c>
      <c r="BH9" s="73">
        <v>1.2</v>
      </c>
      <c r="BI9" s="73">
        <v>1</v>
      </c>
      <c r="BJ9" s="73">
        <v>-1.1000000000000001</v>
      </c>
      <c r="CR9" s="83" t="s">
        <v>1110</v>
      </c>
      <c r="CW9" s="278" t="s">
        <v>311</v>
      </c>
      <c r="CX9" s="628" t="s">
        <v>13</v>
      </c>
      <c r="CY9" s="628" t="s">
        <v>14</v>
      </c>
      <c r="DA9" s="278" t="s">
        <v>311</v>
      </c>
      <c r="DB9" s="628" t="s">
        <v>13</v>
      </c>
      <c r="DC9" s="628" t="s">
        <v>14</v>
      </c>
      <c r="DG9" s="458" t="s">
        <v>988</v>
      </c>
      <c r="DH9" s="4" t="s">
        <v>1177</v>
      </c>
      <c r="DJ9" t="s">
        <v>21</v>
      </c>
      <c r="DK9" s="24" t="s">
        <v>1178</v>
      </c>
    </row>
    <row r="10" spans="2:115" x14ac:dyDescent="0.15">
      <c r="C10" s="304" t="str">
        <f>Puhallinkäyräpisteet!V5</f>
        <v>10 V</v>
      </c>
      <c r="D10" s="24">
        <f>Puhallinkäyräpisteet!W5</f>
        <v>0</v>
      </c>
      <c r="E10" s="305" t="str">
        <f>Puhallinkäyräpisteet!X5</f>
        <v>7,5 V</v>
      </c>
      <c r="F10" s="24">
        <f>Puhallinkäyräpisteet!Y5</f>
        <v>0</v>
      </c>
      <c r="G10" s="305" t="str">
        <f>Puhallinkäyräpisteet!Z5</f>
        <v>5 V</v>
      </c>
      <c r="H10" s="24">
        <f>Puhallinkäyräpisteet!AA5</f>
        <v>0</v>
      </c>
      <c r="I10" s="305" t="str">
        <f>Puhallinkäyräpisteet!AB5</f>
        <v>3 V</v>
      </c>
      <c r="J10" s="364">
        <f>Puhallinkäyräpisteet!AC5</f>
        <v>0</v>
      </c>
      <c r="N10" s="304" t="str">
        <f>Puhallinkäyräpisteet!AE5</f>
        <v>10 V</v>
      </c>
      <c r="O10" s="24">
        <f>Puhallinkäyräpisteet!AF5</f>
        <v>0</v>
      </c>
      <c r="P10" s="305" t="str">
        <f>Puhallinkäyräpisteet!AG5</f>
        <v>7,5 V</v>
      </c>
      <c r="Q10" s="24">
        <f>Puhallinkäyräpisteet!AH5</f>
        <v>0</v>
      </c>
      <c r="R10" s="305" t="str">
        <f>Puhallinkäyräpisteet!AI5</f>
        <v>5 V</v>
      </c>
      <c r="S10" s="24">
        <f>Puhallinkäyräpisteet!AJ5</f>
        <v>0</v>
      </c>
      <c r="T10" s="305" t="str">
        <f>Puhallinkäyräpisteet!AK5</f>
        <v>3 V</v>
      </c>
      <c r="U10" s="364">
        <f>Puhallinkäyräpisteet!AL5</f>
        <v>0</v>
      </c>
      <c r="AC10" t="str">
        <f>IF(AC7,"dm³/s","m³/h")</f>
        <v>m³/h</v>
      </c>
      <c r="AI10" s="304" t="str">
        <f>C10</f>
        <v>10 V</v>
      </c>
      <c r="AJ10" s="24"/>
      <c r="AK10" s="305" t="str">
        <f>E10</f>
        <v>7,5 V</v>
      </c>
      <c r="AL10" s="24"/>
      <c r="AM10" s="305" t="str">
        <f>G10</f>
        <v>5 V</v>
      </c>
      <c r="AN10" s="24"/>
      <c r="AO10" s="305" t="str">
        <f>I10</f>
        <v>3 V</v>
      </c>
      <c r="AP10" s="364"/>
      <c r="AR10" s="304" t="str">
        <f>N10</f>
        <v>10 V</v>
      </c>
      <c r="AS10" s="24"/>
      <c r="AT10" s="305" t="str">
        <f>P10</f>
        <v>7,5 V</v>
      </c>
      <c r="AU10" s="24"/>
      <c r="AV10" s="305" t="str">
        <f>R10</f>
        <v>5 V</v>
      </c>
      <c r="AW10" s="24"/>
      <c r="AX10" s="305" t="str">
        <f>T10</f>
        <v>3 V</v>
      </c>
      <c r="AY10" s="364"/>
      <c r="CR10" t="s">
        <v>1119</v>
      </c>
      <c r="CW10" s="95" t="s">
        <v>1152</v>
      </c>
      <c r="CX10" s="279">
        <v>1</v>
      </c>
      <c r="CY10" s="645">
        <f>CY11/(CX11^2)*CX10^2</f>
        <v>0.84636734693877558</v>
      </c>
      <c r="DA10" s="95" t="s">
        <v>1152</v>
      </c>
      <c r="DB10" s="279">
        <f>IF($AC$7,CX10,CX10*3.6)</f>
        <v>3.6</v>
      </c>
      <c r="DC10" s="279">
        <f>CY10</f>
        <v>0.84636734693877558</v>
      </c>
      <c r="DG10" s="458">
        <v>17</v>
      </c>
      <c r="DH10" s="4">
        <v>21</v>
      </c>
      <c r="DJ10" s="740">
        <f>IF($DG$4,DG10,DH10)</f>
        <v>21</v>
      </c>
      <c r="DK10" s="153">
        <f>DJ10</f>
        <v>21</v>
      </c>
    </row>
    <row r="11" spans="2:115" ht="14" thickBot="1" x14ac:dyDescent="0.2">
      <c r="B11" s="594" t="str">
        <f>IF($AC$7,"10V m³/h","10V dm³/s")</f>
        <v>10V dm³/s</v>
      </c>
      <c r="C11" s="306" t="str">
        <f>Puhallinkäyräpisteet!V6</f>
        <v>Pa</v>
      </c>
      <c r="D11" s="462" t="str">
        <f>Puhallinkäyräpisteet!W6</f>
        <v>l/s</v>
      </c>
      <c r="E11" s="307" t="str">
        <f>Puhallinkäyräpisteet!X6</f>
        <v>Pa</v>
      </c>
      <c r="F11" s="462" t="str">
        <f>Puhallinkäyräpisteet!Y6</f>
        <v>l/s</v>
      </c>
      <c r="G11" s="307" t="str">
        <f>Puhallinkäyräpisteet!Z6</f>
        <v>Pa</v>
      </c>
      <c r="H11" s="462" t="str">
        <f>Puhallinkäyräpisteet!AA6</f>
        <v>l/s</v>
      </c>
      <c r="I11" s="307" t="str">
        <f>Puhallinkäyräpisteet!AB6</f>
        <v>Pa</v>
      </c>
      <c r="J11" s="239" t="str">
        <f>Puhallinkäyräpisteet!AC6</f>
        <v>l/s</v>
      </c>
      <c r="M11" s="594" t="str">
        <f>IF($AC$7,"10V m³/h","10V dm³/s")</f>
        <v>10V dm³/s</v>
      </c>
      <c r="N11" s="306" t="str">
        <f>Puhallinkäyräpisteet!AE6</f>
        <v>Pa</v>
      </c>
      <c r="O11" s="462" t="str">
        <f>Puhallinkäyräpisteet!AF6</f>
        <v>l/s</v>
      </c>
      <c r="P11" s="307" t="str">
        <f>Puhallinkäyräpisteet!AG6</f>
        <v>Pa</v>
      </c>
      <c r="Q11" s="462" t="str">
        <f>Puhallinkäyräpisteet!AH6</f>
        <v>l/s</v>
      </c>
      <c r="R11" s="307" t="str">
        <f>Puhallinkäyräpisteet!AI6</f>
        <v>Pa</v>
      </c>
      <c r="S11" s="462" t="str">
        <f>Puhallinkäyräpisteet!AJ6</f>
        <v>l/s</v>
      </c>
      <c r="T11" s="307" t="str">
        <f>Puhallinkäyräpisteet!AK6</f>
        <v>Pa</v>
      </c>
      <c r="U11" s="239" t="str">
        <f>Puhallinkäyräpisteet!AL6</f>
        <v>l/s</v>
      </c>
      <c r="W11" t="s">
        <v>610</v>
      </c>
      <c r="Y11" t="s">
        <v>611</v>
      </c>
      <c r="AC11" t="str">
        <f>IF(AC8,"dm³/s","m³/h")</f>
        <v>dm³/s</v>
      </c>
      <c r="AI11" s="306" t="str">
        <f>C11</f>
        <v>Pa</v>
      </c>
      <c r="AJ11" s="462" t="str">
        <f>AC10</f>
        <v>m³/h</v>
      </c>
      <c r="AK11" s="307" t="str">
        <f t="shared" ref="AK11:AO18" si="0">E11</f>
        <v>Pa</v>
      </c>
      <c r="AL11" s="462" t="str">
        <f>AC10</f>
        <v>m³/h</v>
      </c>
      <c r="AM11" s="307" t="str">
        <f t="shared" si="0"/>
        <v>Pa</v>
      </c>
      <c r="AN11" s="462" t="str">
        <f>AC10</f>
        <v>m³/h</v>
      </c>
      <c r="AO11" s="307" t="str">
        <f t="shared" si="0"/>
        <v>Pa</v>
      </c>
      <c r="AP11" s="239" t="str">
        <f>AC10</f>
        <v>m³/h</v>
      </c>
      <c r="AR11" s="306" t="str">
        <f>N11</f>
        <v>Pa</v>
      </c>
      <c r="AS11" s="462" t="str">
        <f>$AC$10</f>
        <v>m³/h</v>
      </c>
      <c r="AT11" s="307" t="str">
        <f t="shared" ref="AT11:AX18" si="1">P11</f>
        <v>Pa</v>
      </c>
      <c r="AU11" s="462" t="str">
        <f>$AC$10</f>
        <v>m³/h</v>
      </c>
      <c r="AV11" s="307" t="str">
        <f t="shared" si="1"/>
        <v>Pa</v>
      </c>
      <c r="AW11" s="462" t="str">
        <f>$AC$10</f>
        <v>m³/h</v>
      </c>
      <c r="AX11" s="307" t="str">
        <f t="shared" si="1"/>
        <v>Pa</v>
      </c>
      <c r="AY11" s="239" t="str">
        <f>$AC$10</f>
        <v>m³/h</v>
      </c>
      <c r="CR11" s="618">
        <f>'R-series ALU'!M40</f>
        <v>0.2</v>
      </c>
      <c r="CW11" s="95" t="s">
        <v>1150</v>
      </c>
      <c r="CX11" s="279">
        <f>'R-series ALU'!E33</f>
        <v>9.7222222222222214</v>
      </c>
      <c r="CY11" s="344">
        <f>'R-series ALU'!E39</f>
        <v>80</v>
      </c>
      <c r="DA11" s="95" t="s">
        <v>1150</v>
      </c>
      <c r="DB11" s="279">
        <f t="shared" ref="DB11:DB12" si="2">IF($AC$7,CX11,CX11*3.6)</f>
        <v>35</v>
      </c>
      <c r="DC11" s="279">
        <f t="shared" ref="DC11:DC12" si="3">CY11</f>
        <v>80</v>
      </c>
      <c r="DG11" s="458">
        <v>18</v>
      </c>
      <c r="DH11" s="4">
        <v>22</v>
      </c>
      <c r="DJ11" s="740">
        <f t="shared" ref="DJ11:DJ14" si="4">IF($DG$4,DG11,DH11)</f>
        <v>22</v>
      </c>
      <c r="DK11" s="153">
        <f t="shared" ref="DK11:DK14" si="5">DJ11</f>
        <v>22</v>
      </c>
    </row>
    <row r="12" spans="2:115" x14ac:dyDescent="0.15">
      <c r="B12" s="595">
        <f>IF($AC$7,D12*3.6,D12)</f>
        <v>109.72216307386144</v>
      </c>
      <c r="C12" s="304">
        <f>Puhallinkäyräpisteet!V7</f>
        <v>25</v>
      </c>
      <c r="D12" s="463">
        <f>Puhallinkäyräpisteet!W7</f>
        <v>109.72216307386144</v>
      </c>
      <c r="E12" s="305">
        <f>Puhallinkäyräpisteet!X7</f>
        <v>20</v>
      </c>
      <c r="F12" s="463">
        <f>Puhallinkäyräpisteet!Y7</f>
        <v>96.507952803164471</v>
      </c>
      <c r="G12" s="305">
        <f>Puhallinkäyräpisteet!Z7</f>
        <v>12</v>
      </c>
      <c r="H12" s="463">
        <f>Puhallinkäyräpisteet!AA7</f>
        <v>59.097603965649029</v>
      </c>
      <c r="I12" s="305">
        <f>Puhallinkäyräpisteet!AB7</f>
        <v>10</v>
      </c>
      <c r="J12" s="460">
        <f>Puhallinkäyräpisteet!AC7</f>
        <v>24.856065562361952</v>
      </c>
      <c r="M12" s="595">
        <f>IF($AC$7,O12*3.6,O12)</f>
        <v>116.53439357132875</v>
      </c>
      <c r="N12" s="304">
        <f>Puhallinkäyräpisteet!AE7</f>
        <v>25</v>
      </c>
      <c r="O12" s="463">
        <f>Puhallinkäyräpisteet!AF7</f>
        <v>116.53439357132875</v>
      </c>
      <c r="P12" s="305">
        <f>Puhallinkäyräpisteet!AG7</f>
        <v>24</v>
      </c>
      <c r="Q12" s="463">
        <f>Puhallinkäyräpisteet!AH7</f>
        <v>112.6869797142791</v>
      </c>
      <c r="R12" s="305">
        <f>Puhallinkäyräpisteet!AI7</f>
        <v>17</v>
      </c>
      <c r="S12" s="463">
        <f>Puhallinkäyräpisteet!AJ7</f>
        <v>72.284594299567686</v>
      </c>
      <c r="T12" s="305">
        <f>Puhallinkäyräpisteet!AK7</f>
        <v>10</v>
      </c>
      <c r="U12" s="460">
        <f>Puhallinkäyräpisteet!AL7</f>
        <v>36.100405459595137</v>
      </c>
      <c r="W12" s="483">
        <v>1</v>
      </c>
      <c r="X12" s="483" t="s">
        <v>2670</v>
      </c>
      <c r="Y12" s="483">
        <v>7</v>
      </c>
      <c r="AI12" s="304">
        <f>C12</f>
        <v>25</v>
      </c>
      <c r="AJ12" s="463">
        <f>IF($AC$7,D12,D12*3.6)</f>
        <v>394.99978706590116</v>
      </c>
      <c r="AK12" s="305">
        <f t="shared" si="0"/>
        <v>20</v>
      </c>
      <c r="AL12" s="463">
        <f>IF($AC$7,F12,F12*3.6)</f>
        <v>347.42863009139211</v>
      </c>
      <c r="AM12" s="305">
        <f t="shared" si="0"/>
        <v>12</v>
      </c>
      <c r="AN12" s="463">
        <f>IF($AC$7,H12,H12*3.6)</f>
        <v>212.75137427633652</v>
      </c>
      <c r="AO12" s="305">
        <f t="shared" si="0"/>
        <v>10</v>
      </c>
      <c r="AP12" s="460">
        <f>IF($AC$7,J12,J12*3.6)</f>
        <v>89.481836024503025</v>
      </c>
      <c r="AR12" s="304">
        <f>N12</f>
        <v>25</v>
      </c>
      <c r="AS12" s="463">
        <f>IF($AC$7,O12,O12*3.6)</f>
        <v>419.52381685678353</v>
      </c>
      <c r="AT12" s="305">
        <f t="shared" si="1"/>
        <v>24</v>
      </c>
      <c r="AU12" s="463">
        <f>IF($AC$7,Q12,Q12*3.6)</f>
        <v>405.67312697140477</v>
      </c>
      <c r="AV12" s="305">
        <f t="shared" si="1"/>
        <v>17</v>
      </c>
      <c r="AW12" s="463">
        <f>IF($AC$7,S12,S12*3.6)</f>
        <v>260.22453947844366</v>
      </c>
      <c r="AX12" s="305">
        <f t="shared" si="1"/>
        <v>10</v>
      </c>
      <c r="AY12" s="460">
        <f>IF($AC$7,U12,U12*3.6)</f>
        <v>129.96145965454249</v>
      </c>
      <c r="BC12" s="104">
        <v>63</v>
      </c>
      <c r="BD12" s="104">
        <v>125</v>
      </c>
      <c r="BE12" s="104">
        <v>250</v>
      </c>
      <c r="BF12" s="104">
        <v>500</v>
      </c>
      <c r="BG12" s="104">
        <v>1000</v>
      </c>
      <c r="BH12" s="104">
        <v>2000</v>
      </c>
      <c r="BI12" s="104">
        <v>4000</v>
      </c>
      <c r="BJ12" s="104">
        <v>8000</v>
      </c>
      <c r="BK12" s="104" t="s">
        <v>70</v>
      </c>
      <c r="BL12" s="104" t="s">
        <v>27</v>
      </c>
      <c r="BM12" t="s">
        <v>97</v>
      </c>
      <c r="BN12" t="s">
        <v>98</v>
      </c>
      <c r="CW12" s="95" t="s">
        <v>1151</v>
      </c>
      <c r="CX12" s="279">
        <f>CR16</f>
        <v>11.666666666666666</v>
      </c>
      <c r="CY12" s="279">
        <f>CR17</f>
        <v>115.19999999999999</v>
      </c>
      <c r="DA12" s="95" t="s">
        <v>1151</v>
      </c>
      <c r="DB12" s="279">
        <f t="shared" si="2"/>
        <v>42</v>
      </c>
      <c r="DC12" s="279">
        <f t="shared" si="3"/>
        <v>115.19999999999999</v>
      </c>
      <c r="DG12" s="458">
        <v>19</v>
      </c>
      <c r="DH12" s="4">
        <v>23</v>
      </c>
      <c r="DJ12" s="740">
        <f t="shared" si="4"/>
        <v>23</v>
      </c>
      <c r="DK12" s="153">
        <f t="shared" si="5"/>
        <v>23</v>
      </c>
    </row>
    <row r="13" spans="2:115" x14ac:dyDescent="0.15">
      <c r="B13" s="595">
        <f t="shared" ref="B13:B18" si="6">IF($AC$7,D13*3.6,D13)</f>
        <v>96.04968080608154</v>
      </c>
      <c r="C13" s="304">
        <f>Puhallinkäyräpisteet!V8</f>
        <v>120</v>
      </c>
      <c r="D13" s="463">
        <f>Puhallinkäyräpisteet!W8</f>
        <v>96.04968080608154</v>
      </c>
      <c r="E13" s="305">
        <f>Puhallinkäyräpisteet!X8</f>
        <v>100</v>
      </c>
      <c r="F13" s="463">
        <f>Puhallinkäyräpisteet!Y8</f>
        <v>83.332352890524646</v>
      </c>
      <c r="G13" s="305">
        <f>Puhallinkäyräpisteet!Z8</f>
        <v>40</v>
      </c>
      <c r="H13" s="463">
        <f>Puhallinkäyräpisteet!AA8</f>
        <v>51.041257936006687</v>
      </c>
      <c r="I13" s="305">
        <f>Puhallinkäyräpisteet!AB8</f>
        <v>20</v>
      </c>
      <c r="J13" s="460">
        <f>Puhallinkäyräpisteet!AC8</f>
        <v>20.145468303465908</v>
      </c>
      <c r="M13" s="595">
        <f t="shared" ref="M13:M18" si="7">IF($AC$7,O13*3.6,O13)</f>
        <v>106.04294190771634</v>
      </c>
      <c r="N13" s="304">
        <f>Puhallinkäyräpisteet!AE8</f>
        <v>120</v>
      </c>
      <c r="O13" s="463">
        <f>Puhallinkäyräpisteet!AF8</f>
        <v>106.04294190771634</v>
      </c>
      <c r="P13" s="305">
        <f>Puhallinkäyräpisteet!AG8</f>
        <v>100</v>
      </c>
      <c r="Q13" s="463">
        <f>Puhallinkäyräpisteet!AH8</f>
        <v>101.16251296817727</v>
      </c>
      <c r="R13" s="305">
        <f>Puhallinkäyräpisteet!AI8</f>
        <v>40</v>
      </c>
      <c r="S13" s="463">
        <f>Puhallinkäyräpisteet!AJ8</f>
        <v>65.038512656650866</v>
      </c>
      <c r="T13" s="305">
        <f>Puhallinkäyräpisteet!AK8</f>
        <v>20</v>
      </c>
      <c r="U13" s="460">
        <f>Puhallinkäyräpisteet!AL8</f>
        <v>30.228941518656235</v>
      </c>
      <c r="W13" s="483">
        <v>2</v>
      </c>
      <c r="X13" s="483" t="s">
        <v>115</v>
      </c>
      <c r="Y13" s="483">
        <v>1</v>
      </c>
      <c r="AC13" t="str">
        <f>IF(AC7,"Mitoituspisteen tilavuusvirrat m³/h","Mitoituspisteen tilavuusvirrat dm³/s")</f>
        <v>Mitoituspisteen tilavuusvirrat dm³/s</v>
      </c>
      <c r="AI13" s="304">
        <f t="shared" ref="AI13:AI18" si="8">C13</f>
        <v>120</v>
      </c>
      <c r="AJ13" s="463">
        <f t="shared" ref="AJ13:AP18" si="9">IF($AC$7,D13,D13*3.6)</f>
        <v>345.77885090189358</v>
      </c>
      <c r="AK13" s="305">
        <f t="shared" si="0"/>
        <v>100</v>
      </c>
      <c r="AL13" s="463">
        <f t="shared" si="9"/>
        <v>299.99647040588872</v>
      </c>
      <c r="AM13" s="305">
        <f t="shared" si="0"/>
        <v>40</v>
      </c>
      <c r="AN13" s="463">
        <f t="shared" si="9"/>
        <v>183.74852856962409</v>
      </c>
      <c r="AO13" s="305">
        <f t="shared" si="0"/>
        <v>20</v>
      </c>
      <c r="AP13" s="460">
        <f t="shared" si="9"/>
        <v>72.523685892477275</v>
      </c>
      <c r="AR13" s="304">
        <f t="shared" ref="AR13:AR18" si="10">N13</f>
        <v>120</v>
      </c>
      <c r="AS13" s="463">
        <f t="shared" ref="AS13:AY18" si="11">IF($AC$7,O13,O13*3.6)</f>
        <v>381.75459086777886</v>
      </c>
      <c r="AT13" s="305">
        <f t="shared" si="1"/>
        <v>100</v>
      </c>
      <c r="AU13" s="463">
        <f t="shared" si="11"/>
        <v>364.18504668543818</v>
      </c>
      <c r="AV13" s="305">
        <f t="shared" si="1"/>
        <v>40</v>
      </c>
      <c r="AW13" s="463">
        <f t="shared" si="11"/>
        <v>234.13864556394313</v>
      </c>
      <c r="AX13" s="305">
        <f t="shared" si="1"/>
        <v>20</v>
      </c>
      <c r="AY13" s="460">
        <f t="shared" si="11"/>
        <v>108.82418946716246</v>
      </c>
      <c r="BB13" s="129" t="str">
        <f>C23</f>
        <v>Model 60</v>
      </c>
      <c r="BC13" s="80" t="e">
        <f t="shared" ref="BC13:BJ14" si="12">BD23-BD$8</f>
        <v>#VALUE!</v>
      </c>
      <c r="BD13" s="80" t="e">
        <f t="shared" si="12"/>
        <v>#VALUE!</v>
      </c>
      <c r="BE13" s="80" t="e">
        <f t="shared" si="12"/>
        <v>#VALUE!</v>
      </c>
      <c r="BF13" s="80" t="e">
        <f t="shared" si="12"/>
        <v>#VALUE!</v>
      </c>
      <c r="BG13" s="80" t="e">
        <f t="shared" si="12"/>
        <v>#VALUE!</v>
      </c>
      <c r="BH13" s="80" t="e">
        <f t="shared" si="12"/>
        <v>#VALUE!</v>
      </c>
      <c r="BI13" s="80" t="e">
        <f t="shared" si="12"/>
        <v>#VALUE!</v>
      </c>
      <c r="BJ13" s="80" t="e">
        <f t="shared" si="12"/>
        <v>#VALUE!</v>
      </c>
      <c r="BK13" s="1518" t="e">
        <f t="array" ref="BK13">10*LOG10(SUM(10^(BC13:BJ13/10)))</f>
        <v>#VALUE!</v>
      </c>
      <c r="BL13" s="1518" t="e">
        <f t="array" ref="BL13">10*LOG10(SUM(10^((BC13:BJ13+BC9:BJ9)/10)))</f>
        <v>#VALUE!</v>
      </c>
      <c r="BM13" s="1518" t="e">
        <f>BL13+10*LOG10(4/10)</f>
        <v>#VALUE!</v>
      </c>
      <c r="BN13" s="1518" t="e">
        <f>BL13+10*LOG10(4/2.5)</f>
        <v>#VALUE!</v>
      </c>
      <c r="CR13" t="s">
        <v>1118</v>
      </c>
      <c r="CW13" s="278" t="s">
        <v>312</v>
      </c>
      <c r="CX13" s="628" t="s">
        <v>13</v>
      </c>
      <c r="CY13" s="628" t="s">
        <v>14</v>
      </c>
      <c r="DA13" s="278" t="s">
        <v>312</v>
      </c>
      <c r="DB13" s="628" t="s">
        <v>13</v>
      </c>
      <c r="DC13" s="646" t="s">
        <v>14</v>
      </c>
      <c r="DG13" s="458">
        <v>20</v>
      </c>
      <c r="DH13" s="4">
        <v>24</v>
      </c>
      <c r="DJ13" s="740">
        <f t="shared" si="4"/>
        <v>24</v>
      </c>
      <c r="DK13" s="153">
        <f t="shared" si="5"/>
        <v>24</v>
      </c>
    </row>
    <row r="14" spans="2:115" x14ac:dyDescent="0.15">
      <c r="B14" s="595">
        <f t="shared" si="6"/>
        <v>84.980913804604299</v>
      </c>
      <c r="C14" s="304">
        <f>Puhallinkäyräpisteet!V9</f>
        <v>190</v>
      </c>
      <c r="D14" s="463">
        <f>Puhallinkäyräpisteet!W9</f>
        <v>84.980913804604299</v>
      </c>
      <c r="E14" s="305">
        <f>Puhallinkäyräpisteet!X9</f>
        <v>150</v>
      </c>
      <c r="F14" s="463">
        <f>Puhallinkäyräpisteet!Y9</f>
        <v>74.171084186129335</v>
      </c>
      <c r="G14" s="305">
        <f>Puhallinkäyräpisteet!Z9</f>
        <v>60</v>
      </c>
      <c r="H14" s="463">
        <f>Puhallinkäyräpisteet!AA9</f>
        <v>44.852206368094706</v>
      </c>
      <c r="I14" s="305">
        <f>Puhallinkäyräpisteet!AB9</f>
        <v>30</v>
      </c>
      <c r="J14" s="460">
        <f>Puhallinkäyräpisteet!AC9</f>
        <v>15.25167922255933</v>
      </c>
      <c r="M14" s="595">
        <f t="shared" si="7"/>
        <v>97.229113962616722</v>
      </c>
      <c r="N14" s="304">
        <f>Puhallinkäyräpisteet!AE9</f>
        <v>190</v>
      </c>
      <c r="O14" s="463">
        <f>Puhallinkäyräpisteet!AF9</f>
        <v>97.229113962616722</v>
      </c>
      <c r="P14" s="305">
        <f>Puhallinkäyräpisteet!AG9</f>
        <v>150</v>
      </c>
      <c r="Q14" s="463">
        <f>Puhallinkäyräpisteet!AH9</f>
        <v>92.618224317416534</v>
      </c>
      <c r="R14" s="305">
        <f>Puhallinkäyräpisteet!AI9</f>
        <v>60</v>
      </c>
      <c r="S14" s="463">
        <f>Puhallinkäyräpisteet!AJ9</f>
        <v>58.173257245729815</v>
      </c>
      <c r="T14" s="305">
        <f>Puhallinkäyräpisteet!AK9</f>
        <v>30</v>
      </c>
      <c r="U14" s="460">
        <f>Puhallinkäyräpisteet!AL9</f>
        <v>23.211710481821601</v>
      </c>
      <c r="W14" s="483">
        <v>3</v>
      </c>
      <c r="X14" s="483" t="s">
        <v>116</v>
      </c>
      <c r="Y14" s="483">
        <v>2</v>
      </c>
      <c r="AC14" t="s">
        <v>7</v>
      </c>
      <c r="AD14" t="s">
        <v>8</v>
      </c>
      <c r="AI14" s="304">
        <f t="shared" si="8"/>
        <v>190</v>
      </c>
      <c r="AJ14" s="463">
        <f t="shared" si="9"/>
        <v>305.9312896965755</v>
      </c>
      <c r="AK14" s="305">
        <f t="shared" si="0"/>
        <v>150</v>
      </c>
      <c r="AL14" s="463">
        <f t="shared" si="9"/>
        <v>267.01590307006563</v>
      </c>
      <c r="AM14" s="305">
        <f t="shared" si="0"/>
        <v>60</v>
      </c>
      <c r="AN14" s="463">
        <f t="shared" si="9"/>
        <v>161.46794292514093</v>
      </c>
      <c r="AO14" s="305">
        <f t="shared" si="0"/>
        <v>30</v>
      </c>
      <c r="AP14" s="460">
        <f t="shared" si="9"/>
        <v>54.906045201213587</v>
      </c>
      <c r="AR14" s="304">
        <f t="shared" si="10"/>
        <v>190</v>
      </c>
      <c r="AS14" s="463">
        <f t="shared" si="11"/>
        <v>350.02481026542023</v>
      </c>
      <c r="AT14" s="305">
        <f t="shared" si="1"/>
        <v>150</v>
      </c>
      <c r="AU14" s="463">
        <f t="shared" si="11"/>
        <v>333.42560754269954</v>
      </c>
      <c r="AV14" s="305">
        <f t="shared" si="1"/>
        <v>60</v>
      </c>
      <c r="AW14" s="463">
        <f t="shared" si="11"/>
        <v>209.42372608462733</v>
      </c>
      <c r="AX14" s="305">
        <f t="shared" si="1"/>
        <v>30</v>
      </c>
      <c r="AY14" s="460">
        <f t="shared" si="11"/>
        <v>83.562157734557772</v>
      </c>
      <c r="BB14" s="129" t="str">
        <f t="shared" ref="BB14:BB15" si="13">C24</f>
        <v>Model 100</v>
      </c>
      <c r="BC14" s="80" t="e">
        <f t="shared" si="12"/>
        <v>#VALUE!</v>
      </c>
      <c r="BD14" s="80" t="e">
        <f t="shared" si="12"/>
        <v>#VALUE!</v>
      </c>
      <c r="BE14" s="80" t="e">
        <f t="shared" si="12"/>
        <v>#VALUE!</v>
      </c>
      <c r="BF14" s="80" t="e">
        <f t="shared" si="12"/>
        <v>#VALUE!</v>
      </c>
      <c r="BG14" s="80" t="e">
        <f t="shared" si="12"/>
        <v>#VALUE!</v>
      </c>
      <c r="BH14" s="80" t="e">
        <f t="shared" si="12"/>
        <v>#VALUE!</v>
      </c>
      <c r="BI14" s="80" t="e">
        <f t="shared" si="12"/>
        <v>#VALUE!</v>
      </c>
      <c r="BJ14" s="80" t="e">
        <f t="shared" si="12"/>
        <v>#VALUE!</v>
      </c>
      <c r="BK14" s="1518" t="e">
        <f t="array" ref="BK14">10*LOG10(SUM(10^(BC14:BJ14/10)))</f>
        <v>#VALUE!</v>
      </c>
      <c r="BL14" s="1518" t="e">
        <f t="array" ref="BL14">10*LOG10(SUM(10^((BC14:BJ14+BC9:BJ9)/10)))</f>
        <v>#VALUE!</v>
      </c>
      <c r="BM14" s="1518" t="e">
        <f>BL14+10*LOG10(4/10)</f>
        <v>#VALUE!</v>
      </c>
      <c r="BN14" s="1518" t="e">
        <f>BL14+10*LOG10(4/2.5)</f>
        <v>#VALUE!</v>
      </c>
      <c r="BT14" s="2" t="s">
        <v>395</v>
      </c>
      <c r="BW14" t="s">
        <v>394</v>
      </c>
      <c r="CR14" t="s">
        <v>1120</v>
      </c>
      <c r="CW14" s="95" t="s">
        <v>1152</v>
      </c>
      <c r="CX14" s="279">
        <v>2</v>
      </c>
      <c r="CY14" s="344">
        <f>CY15/(CX15^2)*CX14^2</f>
        <v>4.2318367346938777</v>
      </c>
      <c r="DA14" s="95" t="s">
        <v>1152</v>
      </c>
      <c r="DB14" s="279">
        <f>IF($AC$7,CX14,CX14*3.6)</f>
        <v>7.2</v>
      </c>
      <c r="DC14" s="279">
        <f>CY14</f>
        <v>4.2318367346938777</v>
      </c>
      <c r="DG14" s="47">
        <v>21</v>
      </c>
      <c r="DH14" s="50">
        <v>25</v>
      </c>
      <c r="DI14" s="25"/>
      <c r="DJ14" s="741">
        <f t="shared" si="4"/>
        <v>25</v>
      </c>
      <c r="DK14" s="48">
        <f t="shared" si="5"/>
        <v>25</v>
      </c>
    </row>
    <row r="15" spans="2:115" x14ac:dyDescent="0.15">
      <c r="B15" s="595">
        <f t="shared" si="6"/>
        <v>74.605902678236006</v>
      </c>
      <c r="C15" s="304">
        <f>Puhallinkäyräpisteet!V10</f>
        <v>250</v>
      </c>
      <c r="D15" s="463">
        <f>Puhallinkäyräpisteet!W10</f>
        <v>74.605902678236006</v>
      </c>
      <c r="E15" s="305">
        <f>Puhallinkäyräpisteet!X10</f>
        <v>200</v>
      </c>
      <c r="F15" s="463">
        <f>Puhallinkäyräpisteet!Y10</f>
        <v>64.022740261473061</v>
      </c>
      <c r="G15" s="305">
        <f>Puhallinkäyräpisteet!Z10</f>
        <v>80</v>
      </c>
      <c r="H15" s="463">
        <f>Puhallinkäyräpisteet!AA10</f>
        <v>38.211558072303703</v>
      </c>
      <c r="I15" s="305">
        <f>Puhallinkäyräpisteet!AB10</f>
        <v>35</v>
      </c>
      <c r="J15" s="460">
        <f>Puhallinkäyräpisteet!AC10</f>
        <v>12.729029407613163</v>
      </c>
      <c r="M15" s="595">
        <f t="shared" si="7"/>
        <v>88.57761083726021</v>
      </c>
      <c r="N15" s="304">
        <f>Puhallinkäyräpisteet!AE10</f>
        <v>250</v>
      </c>
      <c r="O15" s="463">
        <f>Puhallinkäyräpisteet!AF10</f>
        <v>88.57761083726021</v>
      </c>
      <c r="P15" s="305">
        <f>Puhallinkäyräpisteet!AG10</f>
        <v>200</v>
      </c>
      <c r="Q15" s="463">
        <f>Puhallinkäyräpisteet!AH10</f>
        <v>82.962402646329451</v>
      </c>
      <c r="R15" s="305">
        <f>Puhallinkäyräpisteet!AI10</f>
        <v>80</v>
      </c>
      <c r="S15" s="463">
        <f>Puhallinkäyräpisteet!AJ10</f>
        <v>50.616285442767648</v>
      </c>
      <c r="T15" s="305">
        <f>Puhallinkäyräpisteet!AK10</f>
        <v>35</v>
      </c>
      <c r="U15" s="460">
        <f>Puhallinkäyräpisteet!AL10</f>
        <v>18.983097435077962</v>
      </c>
      <c r="W15" s="483">
        <v>4</v>
      </c>
      <c r="X15" s="483" t="s">
        <v>585</v>
      </c>
      <c r="Y15" s="483">
        <v>6</v>
      </c>
      <c r="AC15" s="4">
        <f>IF($AC$7,'R-series ALU'!E37*3.6,'R-series ALU'!E37/3.6)</f>
        <v>9.7222222222222214</v>
      </c>
      <c r="AD15" s="4">
        <f>IF($AC$7,'R-series ALU'!G37*3.6,'R-series ALU'!G37/3.6)</f>
        <v>9.7222222222222214</v>
      </c>
      <c r="AI15" s="304">
        <f t="shared" si="8"/>
        <v>250</v>
      </c>
      <c r="AJ15" s="463">
        <f t="shared" si="9"/>
        <v>268.58124964164961</v>
      </c>
      <c r="AK15" s="305">
        <f t="shared" si="0"/>
        <v>200</v>
      </c>
      <c r="AL15" s="463">
        <f t="shared" si="9"/>
        <v>230.48186494130303</v>
      </c>
      <c r="AM15" s="305">
        <f t="shared" si="0"/>
        <v>80</v>
      </c>
      <c r="AN15" s="463">
        <f t="shared" si="9"/>
        <v>137.56160906029334</v>
      </c>
      <c r="AO15" s="305">
        <f t="shared" si="0"/>
        <v>35</v>
      </c>
      <c r="AP15" s="460">
        <f t="shared" si="9"/>
        <v>45.824505867407389</v>
      </c>
      <c r="AR15" s="304">
        <f t="shared" si="10"/>
        <v>250</v>
      </c>
      <c r="AS15" s="463">
        <f t="shared" si="11"/>
        <v>318.87939901413677</v>
      </c>
      <c r="AT15" s="305">
        <f t="shared" si="1"/>
        <v>200</v>
      </c>
      <c r="AU15" s="463">
        <f t="shared" si="11"/>
        <v>298.66464952678604</v>
      </c>
      <c r="AV15" s="305">
        <f t="shared" si="1"/>
        <v>80</v>
      </c>
      <c r="AW15" s="463">
        <f t="shared" si="11"/>
        <v>182.21862759396353</v>
      </c>
      <c r="AX15" s="305">
        <f t="shared" si="1"/>
        <v>35</v>
      </c>
      <c r="AY15" s="460">
        <f t="shared" si="11"/>
        <v>68.339150766280667</v>
      </c>
      <c r="BB15" s="91" t="str">
        <f t="shared" si="13"/>
        <v>Model 150</v>
      </c>
      <c r="BC15" s="271" t="e">
        <f>BD25</f>
        <v>#VALUE!</v>
      </c>
      <c r="BD15" s="271" t="e">
        <f t="shared" ref="BD15:BJ15" si="14">BE25</f>
        <v>#VALUE!</v>
      </c>
      <c r="BE15" s="271" t="e">
        <f t="shared" si="14"/>
        <v>#VALUE!</v>
      </c>
      <c r="BF15" s="271" t="e">
        <f t="shared" si="14"/>
        <v>#VALUE!</v>
      </c>
      <c r="BG15" s="271" t="e">
        <f t="shared" si="14"/>
        <v>#VALUE!</v>
      </c>
      <c r="BH15" s="271" t="e">
        <f t="shared" si="14"/>
        <v>#VALUE!</v>
      </c>
      <c r="BI15" s="271" t="e">
        <f t="shared" si="14"/>
        <v>#VALUE!</v>
      </c>
      <c r="BJ15" s="271" t="e">
        <f t="shared" si="14"/>
        <v>#VALUE!</v>
      </c>
      <c r="BK15" s="1518" t="e">
        <f t="array" ref="BK15">10*LOG10(SUM(10^(BC15:BJ15/10)))</f>
        <v>#VALUE!</v>
      </c>
      <c r="BL15" s="1518" t="e">
        <f t="array" ref="BL15">10*LOG10(SUM(10^((BC15:BJ15+BC9:BJ9)/10)))</f>
        <v>#VALUE!</v>
      </c>
      <c r="BM15" s="1518" t="e">
        <f>BL15+10*LOG10(4/10)</f>
        <v>#VALUE!</v>
      </c>
      <c r="BN15" s="1518" t="e">
        <f>BL15+10*LOG10(4/2.5)</f>
        <v>#VALUE!</v>
      </c>
      <c r="BO15" s="272" t="s">
        <v>358</v>
      </c>
      <c r="BT15" t="b">
        <v>0</v>
      </c>
      <c r="BW15" t="str" cm="1">
        <f t="array" ref="BW15">CONCATENATE(INDEX(Kirjasto!D4:K125,37,Kirjasto!B4),"*")</f>
        <v>Bypass okapu kuchennego*</v>
      </c>
      <c r="BY15" t="str" cm="1">
        <f t="array" ref="BY15">INDEX(Kirjasto!D4:K135,129,Kirjasto!B4)</f>
        <v>* Uwaga: W przypadku korzystania z okapu kuchennego całkowity przepływ powietrza wylotowego jest wyższy niż wartość znamionowa wejścia.</v>
      </c>
      <c r="CR15" t="s">
        <v>7</v>
      </c>
      <c r="CS15" t="s">
        <v>8</v>
      </c>
      <c r="CW15" s="96" t="s">
        <v>1150</v>
      </c>
      <c r="CX15" s="279">
        <f>'R-series ALU'!G33</f>
        <v>9.7222222222222214</v>
      </c>
      <c r="CY15" s="344">
        <f>'R-series ALU'!G39</f>
        <v>100</v>
      </c>
      <c r="DA15" s="96" t="s">
        <v>1150</v>
      </c>
      <c r="DB15" s="279">
        <f t="shared" ref="DB15:DB16" si="15">IF($AC$7,CX15,CX15*3.6)</f>
        <v>35</v>
      </c>
      <c r="DC15" s="279">
        <f t="shared" ref="DC15:DC16" si="16">CY15</f>
        <v>100</v>
      </c>
    </row>
    <row r="16" spans="2:115" x14ac:dyDescent="0.15">
      <c r="B16" s="595">
        <f t="shared" si="6"/>
        <v>61.093720132549571</v>
      </c>
      <c r="C16" s="304">
        <f>Puhallinkäyräpisteet!V11</f>
        <v>320</v>
      </c>
      <c r="D16" s="463">
        <f>Puhallinkäyräpisteet!W11</f>
        <v>61.093720132549571</v>
      </c>
      <c r="E16" s="305">
        <f>Puhallinkäyräpisteet!X11</f>
        <v>250</v>
      </c>
      <c r="F16" s="463">
        <f>Puhallinkäyräpisteet!Y11</f>
        <v>52.476744908244925</v>
      </c>
      <c r="G16" s="305">
        <f>Puhallinkäyräpisteet!Z11</f>
        <v>100</v>
      </c>
      <c r="H16" s="463">
        <f>Puhallinkäyräpisteet!AA11</f>
        <v>31.003142403936327</v>
      </c>
      <c r="I16" s="305">
        <f>Puhallinkäyräpisteet!AB11</f>
        <v>40</v>
      </c>
      <c r="J16" s="460">
        <f>Puhallinkäyräpisteet!AC11</f>
        <v>10.151502560183829</v>
      </c>
      <c r="M16" s="595">
        <f t="shared" si="7"/>
        <v>76.366556139312408</v>
      </c>
      <c r="N16" s="304">
        <f>Puhallinkäyräpisteet!AE11</f>
        <v>320</v>
      </c>
      <c r="O16" s="463">
        <f>Puhallinkäyräpisteet!AF11</f>
        <v>76.366556139312408</v>
      </c>
      <c r="P16" s="305">
        <f>Puhallinkäyräpisteet!AG11</f>
        <v>250</v>
      </c>
      <c r="Q16" s="463">
        <f>Puhallinkäyräpisteet!AH11</f>
        <v>71.599428630662572</v>
      </c>
      <c r="R16" s="305">
        <f>Puhallinkäyräpisteet!AI11</f>
        <v>100</v>
      </c>
      <c r="S16" s="463">
        <f>Puhallinkäyräpisteet!AJ11</f>
        <v>42.103641313068522</v>
      </c>
      <c r="T16" s="305">
        <f>Puhallinkäyräpisteet!AK11</f>
        <v>43</v>
      </c>
      <c r="U16" s="460">
        <f>Puhallinkäyräpisteet!AL11</f>
        <v>10.086604002383522</v>
      </c>
      <c r="W16" s="483">
        <v>5</v>
      </c>
      <c r="X16" s="483" t="s">
        <v>129</v>
      </c>
      <c r="Y16" s="483">
        <v>3</v>
      </c>
      <c r="AI16" s="304">
        <f t="shared" si="8"/>
        <v>320</v>
      </c>
      <c r="AJ16" s="463">
        <f t="shared" si="9"/>
        <v>219.93739247717846</v>
      </c>
      <c r="AK16" s="305">
        <f t="shared" si="0"/>
        <v>250</v>
      </c>
      <c r="AL16" s="463">
        <f t="shared" si="9"/>
        <v>188.91628166968172</v>
      </c>
      <c r="AM16" s="305">
        <f t="shared" si="0"/>
        <v>100</v>
      </c>
      <c r="AN16" s="463">
        <f t="shared" si="9"/>
        <v>111.61131265417077</v>
      </c>
      <c r="AO16" s="305">
        <f t="shared" si="0"/>
        <v>40</v>
      </c>
      <c r="AP16" s="460">
        <f t="shared" si="9"/>
        <v>36.545409216661788</v>
      </c>
      <c r="AR16" s="304">
        <f t="shared" si="10"/>
        <v>320</v>
      </c>
      <c r="AS16" s="463">
        <f t="shared" si="11"/>
        <v>274.91960210152467</v>
      </c>
      <c r="AT16" s="305">
        <f t="shared" si="1"/>
        <v>250</v>
      </c>
      <c r="AU16" s="463">
        <f t="shared" si="11"/>
        <v>257.75794307038529</v>
      </c>
      <c r="AV16" s="305">
        <f t="shared" si="1"/>
        <v>100</v>
      </c>
      <c r="AW16" s="463">
        <f t="shared" si="11"/>
        <v>151.57310872704667</v>
      </c>
      <c r="AX16" s="305">
        <f t="shared" si="1"/>
        <v>43</v>
      </c>
      <c r="AY16" s="460">
        <f t="shared" si="11"/>
        <v>36.311774408580682</v>
      </c>
      <c r="BB16" s="129" t="s">
        <v>561</v>
      </c>
      <c r="BC16" s="299" t="e">
        <f>BD26</f>
        <v>#VALUE!</v>
      </c>
      <c r="BD16" s="299" t="e">
        <f t="shared" ref="BD16:BN17" si="17">BE26</f>
        <v>#VALUE!</v>
      </c>
      <c r="BE16" s="299" t="e">
        <f t="shared" si="17"/>
        <v>#VALUE!</v>
      </c>
      <c r="BF16" s="299" t="e">
        <f t="shared" si="17"/>
        <v>#VALUE!</v>
      </c>
      <c r="BG16" s="299" t="e">
        <f t="shared" si="17"/>
        <v>#VALUE!</v>
      </c>
      <c r="BH16" s="299" t="e">
        <f t="shared" si="17"/>
        <v>#VALUE!</v>
      </c>
      <c r="BI16" s="299" t="e">
        <f t="shared" si="17"/>
        <v>#VALUE!</v>
      </c>
      <c r="BJ16" s="299" t="e">
        <f t="shared" si="17"/>
        <v>#VALUE!</v>
      </c>
      <c r="BK16" s="1518" t="e">
        <f t="shared" si="17"/>
        <v>#VALUE!</v>
      </c>
      <c r="BL16" s="1518" t="e">
        <f t="shared" si="17"/>
        <v>#VALUE!</v>
      </c>
      <c r="BM16" s="1518" t="e">
        <f t="shared" si="17"/>
        <v>#VALUE!</v>
      </c>
      <c r="BN16" s="1518" t="e">
        <f t="shared" si="17"/>
        <v>#VALUE!</v>
      </c>
      <c r="BO16" s="286" t="s">
        <v>577</v>
      </c>
      <c r="BW16" t="str" cm="1">
        <f t="array" ref="BW16">INDEX(Kirjasto!D4:K125,37,Kirjasto!B4)</f>
        <v>Bypass okapu kuchennego</v>
      </c>
      <c r="BY16" t="str" cm="1">
        <f t="array" ref="BY16">CONCATENATE("* ",INDEX(Kirjasto!D4:K125,8,Kirjasto!B4))</f>
        <v>* Niedostępne w tym modelu</v>
      </c>
      <c r="CR16" s="609">
        <f>(1+CR11)*'R-series ALU'!E33</f>
        <v>11.666666666666666</v>
      </c>
      <c r="CS16" s="609">
        <f>(1+CR11)*'R-series ALU'!G33</f>
        <v>11.666666666666666</v>
      </c>
      <c r="CT16" t="s">
        <v>13</v>
      </c>
      <c r="CW16" s="95" t="s">
        <v>1151</v>
      </c>
      <c r="CX16" s="279">
        <f>CS16</f>
        <v>11.666666666666666</v>
      </c>
      <c r="CY16" s="279">
        <f>CS17</f>
        <v>143.99999999999997</v>
      </c>
      <c r="DA16" s="95" t="s">
        <v>1151</v>
      </c>
      <c r="DB16" s="279">
        <f t="shared" si="15"/>
        <v>42</v>
      </c>
      <c r="DC16" s="279">
        <f t="shared" si="16"/>
        <v>143.99999999999997</v>
      </c>
    </row>
    <row r="17" spans="1:118" x14ac:dyDescent="0.15">
      <c r="B17" s="595">
        <f t="shared" si="6"/>
        <v>45.335354941275455</v>
      </c>
      <c r="C17" s="304">
        <f>Puhallinkäyräpisteet!V12</f>
        <v>390</v>
      </c>
      <c r="D17" s="463">
        <f>Puhallinkäyräpisteet!W12</f>
        <v>45.335354941275455</v>
      </c>
      <c r="E17" s="305">
        <f>Puhallinkäyräpisteet!X12</f>
        <v>300</v>
      </c>
      <c r="F17" s="463">
        <f>Puhallinkäyräpisteet!Y12</f>
        <v>38.721346925604863</v>
      </c>
      <c r="G17" s="305">
        <f>Puhallinkäyräpisteet!Z12</f>
        <v>125</v>
      </c>
      <c r="H17" s="463">
        <f>Puhallinkäyräpisteet!AA12</f>
        <v>20.915466815294725</v>
      </c>
      <c r="I17" s="305"/>
      <c r="J17" s="460"/>
      <c r="M17" s="595">
        <f t="shared" si="7"/>
        <v>58.980839057652446</v>
      </c>
      <c r="N17" s="304">
        <f>Puhallinkäyräpisteet!AE12</f>
        <v>390</v>
      </c>
      <c r="O17" s="463">
        <f>Puhallinkäyräpisteet!AF12</f>
        <v>58.980839057652446</v>
      </c>
      <c r="P17" s="305">
        <f>Puhallinkäyräpisteet!AG12</f>
        <v>300</v>
      </c>
      <c r="Q17" s="463">
        <f>Puhallinkäyräpisteet!AH12</f>
        <v>57.073060803556054</v>
      </c>
      <c r="R17" s="305">
        <f>Puhallinkäyräpisteet!AI12</f>
        <v>140</v>
      </c>
      <c r="S17" s="463">
        <f>Puhallinkäyräpisteet!AJ12</f>
        <v>19.574933517601881</v>
      </c>
      <c r="T17" s="305"/>
      <c r="U17" s="460"/>
      <c r="W17" s="483">
        <v>6</v>
      </c>
      <c r="X17" s="483" t="s">
        <v>561</v>
      </c>
      <c r="Y17" s="483">
        <v>4</v>
      </c>
      <c r="AI17" s="304">
        <f t="shared" si="8"/>
        <v>390</v>
      </c>
      <c r="AJ17" s="463">
        <f t="shared" si="9"/>
        <v>163.20727778859165</v>
      </c>
      <c r="AK17" s="305">
        <f t="shared" si="0"/>
        <v>300</v>
      </c>
      <c r="AL17" s="463">
        <f t="shared" si="9"/>
        <v>139.39684893217751</v>
      </c>
      <c r="AM17" s="305">
        <f t="shared" si="0"/>
        <v>125</v>
      </c>
      <c r="AN17" s="463">
        <f t="shared" si="9"/>
        <v>75.29568053506101</v>
      </c>
      <c r="AO17" s="305"/>
      <c r="AP17" s="460"/>
      <c r="AR17" s="304">
        <f t="shared" si="10"/>
        <v>390</v>
      </c>
      <c r="AS17" s="463">
        <f t="shared" si="11"/>
        <v>212.33102060754882</v>
      </c>
      <c r="AT17" s="305">
        <f t="shared" si="1"/>
        <v>300</v>
      </c>
      <c r="AU17" s="463">
        <f t="shared" si="11"/>
        <v>205.46301889280178</v>
      </c>
      <c r="AV17" s="305">
        <f t="shared" si="1"/>
        <v>140</v>
      </c>
      <c r="AW17" s="463">
        <f t="shared" si="11"/>
        <v>70.46976066336677</v>
      </c>
      <c r="AX17" s="305"/>
      <c r="AY17" s="460"/>
      <c r="BB17" s="129" t="s">
        <v>560</v>
      </c>
      <c r="BC17" s="299" t="e">
        <f>BD27</f>
        <v>#VALUE!</v>
      </c>
      <c r="BD17" s="299" t="e">
        <f t="shared" si="17"/>
        <v>#VALUE!</v>
      </c>
      <c r="BE17" s="299" t="e">
        <f t="shared" si="17"/>
        <v>#VALUE!</v>
      </c>
      <c r="BF17" s="299" t="e">
        <f t="shared" si="17"/>
        <v>#VALUE!</v>
      </c>
      <c r="BG17" s="299" t="e">
        <f t="shared" si="17"/>
        <v>#VALUE!</v>
      </c>
      <c r="BH17" s="299" t="e">
        <f t="shared" si="17"/>
        <v>#VALUE!</v>
      </c>
      <c r="BI17" s="299" t="e">
        <f t="shared" si="17"/>
        <v>#VALUE!</v>
      </c>
      <c r="BJ17" s="299" t="e">
        <f t="shared" si="17"/>
        <v>#VALUE!</v>
      </c>
      <c r="BK17" s="1518" t="e">
        <f t="shared" si="17"/>
        <v>#VALUE!</v>
      </c>
      <c r="BL17" s="1518" t="e">
        <f>BM27</f>
        <v>#VALUE!</v>
      </c>
      <c r="BM17" s="1518" t="e">
        <f t="shared" si="17"/>
        <v>#VALUE!</v>
      </c>
      <c r="BN17" s="1518" t="e">
        <f t="shared" si="17"/>
        <v>#VALUE!</v>
      </c>
      <c r="BO17" s="286" t="s">
        <v>578</v>
      </c>
      <c r="BV17" s="2" t="s">
        <v>21</v>
      </c>
      <c r="BW17" s="2" t="str">
        <f>IF(BT15,BW15,BW16)</f>
        <v>Bypass okapu kuchennego</v>
      </c>
      <c r="BY17" s="2" t="str">
        <f>IF(BT15,IF(OR($C$6=3,$C$6=4,$C$6=5),BY16,BY15),"")</f>
        <v/>
      </c>
      <c r="CR17" s="609">
        <f>('R-series ALU'!E39/'R-series ALU'!E33^2)*Tulokset!CR16^2</f>
        <v>115.19999999999999</v>
      </c>
      <c r="CS17" s="609">
        <f>('R-series ALU'!G39/'R-series ALU'!G33^2)*Tulokset!CS16^2</f>
        <v>143.99999999999997</v>
      </c>
      <c r="CT17" t="s">
        <v>14</v>
      </c>
      <c r="DN17" t="s">
        <v>1333</v>
      </c>
    </row>
    <row r="18" spans="1:118" ht="14" thickBot="1" x14ac:dyDescent="0.2">
      <c r="B18" s="595">
        <f t="shared" si="6"/>
        <v>40.227692796254239</v>
      </c>
      <c r="C18" s="306">
        <f>Puhallinkäyräpisteet!V13</f>
        <v>410</v>
      </c>
      <c r="D18" s="464">
        <f>Puhallinkäyräpisteet!W13</f>
        <v>40.227692796254239</v>
      </c>
      <c r="E18" s="307">
        <f>Puhallinkäyräpisteet!X13</f>
        <v>315</v>
      </c>
      <c r="F18" s="464">
        <f>Puhallinkäyräpisteet!Y13</f>
        <v>33.921064483256508</v>
      </c>
      <c r="G18" s="307"/>
      <c r="H18" s="464"/>
      <c r="I18" s="307"/>
      <c r="J18" s="461"/>
      <c r="M18" s="595">
        <f t="shared" si="7"/>
        <v>44.277754454596312</v>
      </c>
      <c r="N18" s="306">
        <f>Puhallinkäyräpisteet!AE13</f>
        <v>422</v>
      </c>
      <c r="O18" s="464">
        <f>Puhallinkäyräpisteet!AF13</f>
        <v>44.277754454596312</v>
      </c>
      <c r="P18" s="307">
        <f>Puhallinkäyräpisteet!AG13</f>
        <v>340</v>
      </c>
      <c r="Q18" s="464">
        <f>Puhallinkäyräpisteet!AH13</f>
        <v>39.254349206872753</v>
      </c>
      <c r="R18" s="307"/>
      <c r="S18" s="464"/>
      <c r="T18" s="307"/>
      <c r="U18" s="461"/>
      <c r="W18" s="483">
        <v>7</v>
      </c>
      <c r="X18" s="483" t="s">
        <v>560</v>
      </c>
      <c r="Y18" s="483">
        <v>5</v>
      </c>
      <c r="AI18" s="306">
        <f t="shared" si="8"/>
        <v>410</v>
      </c>
      <c r="AJ18" s="464">
        <f t="shared" si="9"/>
        <v>144.81969406651527</v>
      </c>
      <c r="AK18" s="307">
        <f t="shared" si="0"/>
        <v>315</v>
      </c>
      <c r="AL18" s="464">
        <f t="shared" si="9"/>
        <v>122.11583213972344</v>
      </c>
      <c r="AM18" s="307"/>
      <c r="AN18" s="464"/>
      <c r="AO18" s="307"/>
      <c r="AP18" s="461"/>
      <c r="AR18" s="306">
        <f t="shared" si="10"/>
        <v>422</v>
      </c>
      <c r="AS18" s="464">
        <f t="shared" si="11"/>
        <v>159.39991603654673</v>
      </c>
      <c r="AT18" s="307">
        <f t="shared" si="1"/>
        <v>340</v>
      </c>
      <c r="AU18" s="464">
        <f t="shared" si="11"/>
        <v>141.31565714474192</v>
      </c>
      <c r="AV18" s="307"/>
      <c r="AW18" s="464"/>
      <c r="AX18" s="307"/>
      <c r="AY18" s="461"/>
      <c r="BB18" s="129" t="s">
        <v>585</v>
      </c>
      <c r="BC18" s="80" t="e">
        <f>BD28-BD$8</f>
        <v>#VALUE!</v>
      </c>
      <c r="BD18" s="80" t="e">
        <f t="shared" ref="BD18:BJ18" si="18">BE28-BE$8</f>
        <v>#VALUE!</v>
      </c>
      <c r="BE18" s="80" t="e">
        <f t="shared" si="18"/>
        <v>#VALUE!</v>
      </c>
      <c r="BF18" s="80" t="e">
        <f t="shared" si="18"/>
        <v>#VALUE!</v>
      </c>
      <c r="BG18" s="80" t="e">
        <f t="shared" si="18"/>
        <v>#VALUE!</v>
      </c>
      <c r="BH18" s="80" t="e">
        <f t="shared" si="18"/>
        <v>#VALUE!</v>
      </c>
      <c r="BI18" s="80" t="e">
        <f t="shared" si="18"/>
        <v>#VALUE!</v>
      </c>
      <c r="BJ18" s="80" t="e">
        <f t="shared" si="18"/>
        <v>#VALUE!</v>
      </c>
      <c r="BK18" s="1518" t="e">
        <f t="array" ref="BK18">10*LOG10(SUM(10^(BC18:BJ18/10)))</f>
        <v>#VALUE!</v>
      </c>
      <c r="BL18" s="1518" t="e" cm="1">
        <f t="array" ref="BL18">10*LOG10(SUM(10^((BC18:BJ18+BC9:BJ9)/10)))</f>
        <v>#VALUE!</v>
      </c>
      <c r="BM18" s="1518" t="e">
        <f>BL18+10*LOG10(4/10)</f>
        <v>#VALUE!</v>
      </c>
      <c r="BN18" s="1518" t="e">
        <f>BL18+10*LOG10(4/2.5)</f>
        <v>#VALUE!</v>
      </c>
      <c r="CM18" t="s">
        <v>513</v>
      </c>
      <c r="DN18" t="b">
        <f>D41</f>
        <v>0</v>
      </c>
    </row>
    <row r="19" spans="1:118" x14ac:dyDescent="0.15">
      <c r="BB19" s="129" t="s">
        <v>2670</v>
      </c>
      <c r="BC19" s="80" t="e">
        <f>BD29-BD8</f>
        <v>#VALUE!</v>
      </c>
      <c r="BD19" s="80" t="e">
        <f>BE29-BE8</f>
        <v>#VALUE!</v>
      </c>
      <c r="BE19" s="80" t="e">
        <f t="shared" ref="BE19:BJ19" si="19">BF29-BF8</f>
        <v>#VALUE!</v>
      </c>
      <c r="BF19" s="80" t="e">
        <f t="shared" si="19"/>
        <v>#VALUE!</v>
      </c>
      <c r="BG19" s="80" t="e">
        <f t="shared" si="19"/>
        <v>#VALUE!</v>
      </c>
      <c r="BH19" s="80" t="e">
        <f t="shared" si="19"/>
        <v>#VALUE!</v>
      </c>
      <c r="BI19" s="80" t="e">
        <f t="shared" si="19"/>
        <v>#VALUE!</v>
      </c>
      <c r="BJ19" s="80" t="e">
        <f t="shared" si="19"/>
        <v>#VALUE!</v>
      </c>
      <c r="BK19" s="1518" t="e">
        <f t="array" ref="BK19">10*LOG10(SUM(10^(BC19:BJ19/10)))</f>
        <v>#VALUE!</v>
      </c>
      <c r="BL19" s="1518" t="e" cm="1">
        <f t="array" ref="BL19">10*LOG10(SUM(10^((BC19:BJ19+BC9:BJ9)/10)))</f>
        <v>#VALUE!</v>
      </c>
      <c r="BM19" s="1518" t="e">
        <f>BL19+10*LOG10(4/10)</f>
        <v>#VALUE!</v>
      </c>
      <c r="BN19" s="1518" t="e">
        <f>BL19+10*LOG10(4/2.5)</f>
        <v>#VALUE!</v>
      </c>
      <c r="CM19" t="b">
        <f>D41</f>
        <v>0</v>
      </c>
      <c r="CR19" s="4">
        <f>IF($AC$7,CR16,CR16*3.6)</f>
        <v>42</v>
      </c>
      <c r="CS19" s="4">
        <f>IF($AC$7,CS16,CS16*3.6)</f>
        <v>42</v>
      </c>
      <c r="CT19" s="4" t="str">
        <f>IF(AC7,"dm³/s","m³/h")</f>
        <v>m³/h</v>
      </c>
    </row>
    <row r="20" spans="1:118" x14ac:dyDescent="0.15">
      <c r="O20" s="420" t="s">
        <v>1265</v>
      </c>
      <c r="P20" t="s">
        <v>118</v>
      </c>
      <c r="CR20" s="5">
        <f>IF($AC$7,CR16*3.6,CR16)</f>
        <v>11.666666666666666</v>
      </c>
      <c r="CS20" s="5">
        <f>IF($AC$7,CS16*3.6,CS16)</f>
        <v>11.666666666666666</v>
      </c>
      <c r="CT20" s="4" t="str">
        <f t="shared" ref="CT20" si="20">IF(AC8,"dm³/s","m³/h")</f>
        <v>dm³/s</v>
      </c>
      <c r="CV20" s="2" t="s">
        <v>1111</v>
      </c>
      <c r="CX20" s="2" t="s">
        <v>117</v>
      </c>
      <c r="CZ20" s="2" t="s">
        <v>79</v>
      </c>
    </row>
    <row r="21" spans="1:118" x14ac:dyDescent="0.15">
      <c r="D21" s="2" t="s">
        <v>44</v>
      </c>
      <c r="G21" s="2" t="s">
        <v>58</v>
      </c>
      <c r="J21" s="2" t="s">
        <v>73</v>
      </c>
      <c r="O21" s="420" t="s">
        <v>187</v>
      </c>
      <c r="P21" s="2" t="s">
        <v>29</v>
      </c>
      <c r="Z21" s="2" t="s">
        <v>26</v>
      </c>
      <c r="AJ21" s="2" t="s">
        <v>55</v>
      </c>
      <c r="AT21" s="2" t="s">
        <v>56</v>
      </c>
      <c r="BD21" s="2" t="s">
        <v>96</v>
      </c>
      <c r="BT21" s="2" t="s">
        <v>390</v>
      </c>
      <c r="CI21" t="s">
        <v>530</v>
      </c>
      <c r="CJ21" t="s">
        <v>531</v>
      </c>
      <c r="CL21" s="2" t="s">
        <v>568</v>
      </c>
      <c r="CM21" s="2" t="s">
        <v>566</v>
      </c>
      <c r="CT21" s="4"/>
      <c r="CV21" s="4" t="s">
        <v>7</v>
      </c>
      <c r="CW21" s="4" t="s">
        <v>8</v>
      </c>
      <c r="CX21" s="4" t="s">
        <v>7</v>
      </c>
      <c r="CY21" s="4" t="s">
        <v>8</v>
      </c>
      <c r="CZ21" s="4" t="s">
        <v>7</v>
      </c>
      <c r="DA21" s="4" t="s">
        <v>8</v>
      </c>
      <c r="DG21" s="2" t="s">
        <v>1267</v>
      </c>
      <c r="DN21" t="s">
        <v>1274</v>
      </c>
    </row>
    <row r="22" spans="1:118" x14ac:dyDescent="0.15">
      <c r="D22" s="2" t="s">
        <v>117</v>
      </c>
      <c r="E22" s="2" t="s">
        <v>18</v>
      </c>
      <c r="F22" s="2" t="s">
        <v>54</v>
      </c>
      <c r="G22" s="2" t="s">
        <v>117</v>
      </c>
      <c r="H22" s="2" t="s">
        <v>18</v>
      </c>
      <c r="I22" s="2" t="s">
        <v>54</v>
      </c>
      <c r="J22" s="2" t="s">
        <v>54</v>
      </c>
      <c r="K22" s="2" t="s">
        <v>124</v>
      </c>
      <c r="L22" s="2" t="s">
        <v>75</v>
      </c>
      <c r="M22" s="2" t="s">
        <v>203</v>
      </c>
      <c r="N22" s="2" t="s">
        <v>202</v>
      </c>
      <c r="O22" s="420" t="s">
        <v>188</v>
      </c>
      <c r="P22" s="104">
        <v>63</v>
      </c>
      <c r="Q22" s="104">
        <v>125</v>
      </c>
      <c r="R22" s="104">
        <v>250</v>
      </c>
      <c r="S22" s="104">
        <v>500</v>
      </c>
      <c r="T22" s="104">
        <v>1000</v>
      </c>
      <c r="U22" s="104">
        <v>2000</v>
      </c>
      <c r="V22" s="104">
        <v>4000</v>
      </c>
      <c r="W22" s="104">
        <v>8000</v>
      </c>
      <c r="X22" s="104" t="s">
        <v>70</v>
      </c>
      <c r="Y22" s="104" t="s">
        <v>27</v>
      </c>
      <c r="Z22" s="104">
        <v>63</v>
      </c>
      <c r="AA22" s="104">
        <v>125</v>
      </c>
      <c r="AB22" s="104">
        <v>250</v>
      </c>
      <c r="AC22" s="104">
        <v>500</v>
      </c>
      <c r="AD22" s="104">
        <v>1000</v>
      </c>
      <c r="AE22" s="104">
        <v>2000</v>
      </c>
      <c r="AF22" s="104">
        <v>4000</v>
      </c>
      <c r="AG22" s="104">
        <v>8000</v>
      </c>
      <c r="AH22" s="104" t="s">
        <v>70</v>
      </c>
      <c r="AI22" s="104" t="s">
        <v>27</v>
      </c>
      <c r="AJ22" s="104">
        <v>63</v>
      </c>
      <c r="AK22" s="104">
        <v>125</v>
      </c>
      <c r="AL22" s="104">
        <v>250</v>
      </c>
      <c r="AM22" s="104">
        <v>500</v>
      </c>
      <c r="AN22" s="104">
        <v>1000</v>
      </c>
      <c r="AO22" s="104">
        <v>2000</v>
      </c>
      <c r="AP22" s="104">
        <v>4000</v>
      </c>
      <c r="AQ22" s="104">
        <v>8000</v>
      </c>
      <c r="AR22" s="104" t="s">
        <v>70</v>
      </c>
      <c r="AS22" s="104" t="s">
        <v>27</v>
      </c>
      <c r="AT22" s="104">
        <v>63</v>
      </c>
      <c r="AU22" s="104">
        <v>125</v>
      </c>
      <c r="AV22" s="104">
        <v>250</v>
      </c>
      <c r="AW22" s="104">
        <v>500</v>
      </c>
      <c r="AX22" s="104">
        <v>1000</v>
      </c>
      <c r="AY22" s="104">
        <v>2000</v>
      </c>
      <c r="AZ22" s="104">
        <v>4000</v>
      </c>
      <c r="BA22" s="104">
        <v>8000</v>
      </c>
      <c r="BB22" s="104" t="s">
        <v>70</v>
      </c>
      <c r="BC22" s="104" t="s">
        <v>27</v>
      </c>
      <c r="BD22" s="104">
        <v>63</v>
      </c>
      <c r="BE22" s="104">
        <v>125</v>
      </c>
      <c r="BF22" s="104">
        <v>250</v>
      </c>
      <c r="BG22" s="104">
        <v>500</v>
      </c>
      <c r="BH22" s="104">
        <v>1000</v>
      </c>
      <c r="BI22" s="104">
        <v>2000</v>
      </c>
      <c r="BJ22" s="104">
        <v>4000</v>
      </c>
      <c r="BK22" s="104">
        <v>8000</v>
      </c>
      <c r="BL22" s="104" t="s">
        <v>70</v>
      </c>
      <c r="BM22" s="104" t="s">
        <v>27</v>
      </c>
      <c r="BN22" t="s">
        <v>97</v>
      </c>
      <c r="BO22" t="s">
        <v>98</v>
      </c>
      <c r="BT22" s="104">
        <v>63</v>
      </c>
      <c r="BU22" s="104">
        <v>125</v>
      </c>
      <c r="BV22" s="104">
        <v>250</v>
      </c>
      <c r="BW22" s="104">
        <v>500</v>
      </c>
      <c r="BX22" s="104">
        <v>1000</v>
      </c>
      <c r="BY22" s="104">
        <v>2000</v>
      </c>
      <c r="BZ22" s="104">
        <v>4000</v>
      </c>
      <c r="CA22" s="104">
        <v>8000</v>
      </c>
      <c r="CB22" s="104" t="s">
        <v>70</v>
      </c>
      <c r="CC22" s="104" t="s">
        <v>27</v>
      </c>
      <c r="CI22" s="39" t="s">
        <v>393</v>
      </c>
      <c r="CJ22" s="39" t="s">
        <v>393</v>
      </c>
      <c r="CL22" t="s">
        <v>569</v>
      </c>
      <c r="CM22" t="str" cm="1">
        <f t="array" ref="CM22">INDEX(Kirjasto!D4:K125,9,Kirjasto!B4)</f>
        <v>Wtyczka 230 V, 50 Hz, 10 A, maks. 1165 W</v>
      </c>
      <c r="CR22" t="str">
        <f t="shared" ref="CR22:CR27" si="21">C23</f>
        <v>Model 60</v>
      </c>
      <c r="CV22" s="619">
        <f>'Laskenta tulopuoli 60'!AI34</f>
        <v>1.4144437569758121</v>
      </c>
      <c r="CW22" s="619">
        <f>'Laskenta poistopuoli 60'!AI34</f>
        <v>1.049820949983387</v>
      </c>
      <c r="CX22" s="4" t="b">
        <f>'Laskenta tulopuoli 60'!AL34</f>
        <v>1</v>
      </c>
      <c r="CY22" s="4" t="b">
        <f>'Laskenta poistopuoli 60'!AL34</f>
        <v>1</v>
      </c>
      <c r="CZ22" s="5">
        <f>'Laskenta tulopuoli 60'!AL36</f>
        <v>4.5183366733697019</v>
      </c>
      <c r="DA22" s="5">
        <f>'Laskenta poistopuoli 60'!AL36</f>
        <v>4.9396270673499627</v>
      </c>
      <c r="DK22" s="4" t="s">
        <v>1256</v>
      </c>
      <c r="DL22" s="4" t="s">
        <v>1259</v>
      </c>
      <c r="DN22" t="s">
        <v>1275</v>
      </c>
    </row>
    <row r="23" spans="1:118" x14ac:dyDescent="0.15">
      <c r="A23" s="483">
        <v>1</v>
      </c>
      <c r="C23" t="s">
        <v>115</v>
      </c>
      <c r="D23" t="b">
        <f>'Laskenta tulopuoli 60'!W10</f>
        <v>0</v>
      </c>
      <c r="E23" s="32">
        <f>'Laskenta tulopuoli 60'!W9</f>
        <v>3.8473908736238056</v>
      </c>
      <c r="F23" s="5">
        <f>'Laskenta tulopuoli 60'!W14</f>
        <v>7.8979895296863347</v>
      </c>
      <c r="G23" t="b">
        <f>'Laskenta poistopuoli 60'!W10</f>
        <v>0</v>
      </c>
      <c r="H23" s="32">
        <f>'Laskenta poistopuoli 60'!W9</f>
        <v>4.1995662556104829</v>
      </c>
      <c r="I23" s="5">
        <f>'Laskenta poistopuoli 60'!W14</f>
        <v>12.469232172648836</v>
      </c>
      <c r="J23" s="4">
        <v>4.4000000000000004</v>
      </c>
      <c r="K23" s="5">
        <f t="shared" ref="K23:K29" si="22">F23+I23+J23</f>
        <v>24.767221702335171</v>
      </c>
      <c r="L23" s="32">
        <f>K23/MAX('R-series ALU'!$E$33,'R-series ALU'!$G$33)</f>
        <v>2.5474856608116179</v>
      </c>
      <c r="M23" s="4">
        <f>90*0.7</f>
        <v>62.999999999999993</v>
      </c>
      <c r="N23" s="99">
        <v>1.1864630512155652</v>
      </c>
      <c r="O23" s="843">
        <v>0.79500000000000004</v>
      </c>
      <c r="P23" s="80">
        <f>'Laskenta tulopuoli 60'!$AF$44</f>
        <v>78.161782851882833</v>
      </c>
      <c r="Q23" s="80">
        <f>'Laskenta tulopuoli 60'!$AG$44</f>
        <v>61.16178285188284</v>
      </c>
      <c r="R23" s="80">
        <f>'Laskenta tulopuoli 60'!$AH$44</f>
        <v>57.16178285188284</v>
      </c>
      <c r="S23" s="80">
        <f>'Laskenta tulopuoli 60'!$AI$44</f>
        <v>54.16178285188284</v>
      </c>
      <c r="T23" s="80">
        <f>'Laskenta tulopuoli 60'!$AJ$44</f>
        <v>48.16178285188284</v>
      </c>
      <c r="U23" s="80">
        <f>'Laskenta tulopuoli 60'!$AK$44</f>
        <v>46.16178285188284</v>
      </c>
      <c r="V23" s="80">
        <f>'Laskenta tulopuoli 60'!$AL$44</f>
        <v>41.16178285188284</v>
      </c>
      <c r="W23" s="80">
        <f>'Laskenta tulopuoli 60'!$AM$44</f>
        <v>33.16178285188284</v>
      </c>
      <c r="X23" s="80">
        <f>'Laskenta tulopuoli 60'!$AN$44</f>
        <v>78.305892215560576</v>
      </c>
      <c r="Y23" s="108">
        <f>'Laskenta tulopuoli 60'!$W$6</f>
        <v>57.16178285188284</v>
      </c>
      <c r="Z23" s="80">
        <f>'Laskenta tulopuoli 60'!$AF$43</f>
        <v>66.889485128061381</v>
      </c>
      <c r="AA23" s="80">
        <f>'Laskenta tulopuoli 60'!$AG$43</f>
        <v>49.889485128061388</v>
      </c>
      <c r="AB23" s="80">
        <f>'Laskenta tulopuoli 60'!$AH$43</f>
        <v>46.889485128061388</v>
      </c>
      <c r="AC23" s="80">
        <f>'Laskenta tulopuoli 60'!$AI$43</f>
        <v>37.889485128061388</v>
      </c>
      <c r="AD23" s="80">
        <f>'Laskenta tulopuoli 60'!$AJ$43</f>
        <v>27.889485128061388</v>
      </c>
      <c r="AE23" s="80">
        <f>'Laskenta tulopuoli 60'!$AK$43</f>
        <v>21.889485128061388</v>
      </c>
      <c r="AF23" s="80">
        <f>'Laskenta tulopuoli 60'!$AL$43</f>
        <v>13.889485128061388</v>
      </c>
      <c r="AG23" s="80">
        <f>'Laskenta tulopuoli 60'!$AM$43</f>
        <v>10.889485128061388</v>
      </c>
      <c r="AH23" s="80">
        <f>'Laskenta tulopuoli 60'!$AN$43</f>
        <v>67.023657814562256</v>
      </c>
      <c r="AI23" s="108">
        <f>'Laskenta tulopuoli 60'!$W$5</f>
        <v>43.889485128061388</v>
      </c>
      <c r="AJ23" s="80">
        <f>'Laskenta poistopuoli 60'!$AF$43</f>
        <v>71.455699056189331</v>
      </c>
      <c r="AK23" s="80">
        <f>'Laskenta poistopuoli 60'!$AG$43</f>
        <v>52.455699056189331</v>
      </c>
      <c r="AL23" s="80">
        <f>'Laskenta poistopuoli 60'!$AH$43</f>
        <v>47.455699056189331</v>
      </c>
      <c r="AM23" s="80">
        <f>'Laskenta poistopuoli 60'!$AI$43</f>
        <v>44.455699056189331</v>
      </c>
      <c r="AN23" s="80">
        <f>'Laskenta poistopuoli 60'!$AJ$43</f>
        <v>38.455699056189331</v>
      </c>
      <c r="AO23" s="80">
        <f>'Laskenta poistopuoli 60'!$AK$43</f>
        <v>31.455699056189331</v>
      </c>
      <c r="AP23" s="80">
        <f>'Laskenta poistopuoli 60'!$AL$43</f>
        <v>22.455699056189331</v>
      </c>
      <c r="AQ23" s="80">
        <f>'Laskenta poistopuoli 60'!$AM$43</f>
        <v>16.455699056189331</v>
      </c>
      <c r="AR23" s="80">
        <f>'Laskenta poistopuoli 60'!$AN$43</f>
        <v>71.538218750310392</v>
      </c>
      <c r="AS23" s="108">
        <f>'Laskenta poistopuoli 60'!$W$5</f>
        <v>48.455699056189331</v>
      </c>
      <c r="AT23" s="80">
        <f>'Laskenta poistopuoli 60'!$AF$44</f>
        <v>79.042661505607697</v>
      </c>
      <c r="AU23" s="80">
        <f>'Laskenta poistopuoli 60'!$AG$44</f>
        <v>63.042661505607697</v>
      </c>
      <c r="AV23" s="80">
        <f>'Laskenta poistopuoli 60'!$AH$44</f>
        <v>61.042661505607697</v>
      </c>
      <c r="AW23" s="80">
        <f>'Laskenta poistopuoli 60'!$AI$44</f>
        <v>54.042661505607697</v>
      </c>
      <c r="AX23" s="80">
        <f>'Laskenta poistopuoli 60'!$AJ$44</f>
        <v>51.042661505607697</v>
      </c>
      <c r="AY23" s="80">
        <f>'Laskenta poistopuoli 60'!$AK$44</f>
        <v>49.042661505607697</v>
      </c>
      <c r="AZ23" s="80">
        <f>'Laskenta poistopuoli 60'!$AL$44</f>
        <v>44.042661505607697</v>
      </c>
      <c r="BA23" s="80">
        <f>'Laskenta poistopuoli 60'!$AM$44</f>
        <v>40.042661505607697</v>
      </c>
      <c r="BB23" s="80">
        <f>'Laskenta poistopuoli 60'!$AN$44</f>
        <v>79.24277987037533</v>
      </c>
      <c r="BC23" s="108">
        <f>'Laskenta poistopuoli 60'!$W$6</f>
        <v>59.042661505607697</v>
      </c>
      <c r="BD23" s="80" t="e">
        <f>'Laskenta vaipan läpi 60'!L39</f>
        <v>#VALUE!</v>
      </c>
      <c r="BE23" s="80" t="e">
        <f>'Laskenta vaipan läpi 60'!M39</f>
        <v>#VALUE!</v>
      </c>
      <c r="BF23" s="80" t="e">
        <f>'Laskenta vaipan läpi 60'!N39</f>
        <v>#VALUE!</v>
      </c>
      <c r="BG23" s="80" t="e">
        <f>'Laskenta vaipan läpi 60'!O39</f>
        <v>#VALUE!</v>
      </c>
      <c r="BH23" s="80" t="e">
        <f>'Laskenta vaipan läpi 60'!P39</f>
        <v>#VALUE!</v>
      </c>
      <c r="BI23" s="80" t="e">
        <f>'Laskenta vaipan läpi 60'!Q39</f>
        <v>#VALUE!</v>
      </c>
      <c r="BJ23" s="80" t="e">
        <f>'Laskenta vaipan läpi 60'!R39</f>
        <v>#VALUE!</v>
      </c>
      <c r="BK23" s="80" t="e">
        <f>'Laskenta vaipan läpi 60'!S39</f>
        <v>#VALUE!</v>
      </c>
      <c r="BL23" s="80" t="e">
        <f>'Laskenta vaipan läpi 60'!T39</f>
        <v>#VALUE!</v>
      </c>
      <c r="BM23" s="108" t="e">
        <f>'Laskenta vaipan läpi 60'!C35</f>
        <v>#VALUE!</v>
      </c>
      <c r="BN23" s="80" t="e">
        <f>BM23+10*LOG10(4/10)</f>
        <v>#VALUE!</v>
      </c>
      <c r="BO23" s="80" t="e">
        <f>BM23+10*LOG10(4/2.5)</f>
        <v>#VALUE!</v>
      </c>
      <c r="BS23" t="s">
        <v>115</v>
      </c>
      <c r="BT23" s="80" t="e">
        <f>'Laskenta keittiöohitus'!C32</f>
        <v>#VALUE!</v>
      </c>
      <c r="BU23" s="80" t="e">
        <f>'Laskenta keittiöohitus'!D32</f>
        <v>#VALUE!</v>
      </c>
      <c r="BV23" s="80" t="e">
        <f>'Laskenta keittiöohitus'!E32</f>
        <v>#VALUE!</v>
      </c>
      <c r="BW23" s="80" t="e">
        <f>'Laskenta keittiöohitus'!F32</f>
        <v>#VALUE!</v>
      </c>
      <c r="BX23" s="80" t="e">
        <f>'Laskenta keittiöohitus'!G32</f>
        <v>#VALUE!</v>
      </c>
      <c r="BY23" s="80" t="e">
        <f>'Laskenta keittiöohitus'!H32</f>
        <v>#VALUE!</v>
      </c>
      <c r="BZ23" s="80" t="e">
        <f>'Laskenta keittiöohitus'!I32</f>
        <v>#VALUE!</v>
      </c>
      <c r="CA23" s="80" t="e">
        <f>'Laskenta keittiöohitus'!J32</f>
        <v>#VALUE!</v>
      </c>
      <c r="CB23" s="80" t="e">
        <f>'Laskenta keittiöohitus'!K32</f>
        <v>#VALUE!</v>
      </c>
      <c r="CC23" s="80" t="e">
        <f>'Laskenta keittiöohitus'!D27</f>
        <v>#VALUE!</v>
      </c>
      <c r="CI23" s="39" t="s">
        <v>393</v>
      </c>
      <c r="CJ23" s="39" t="s">
        <v>393</v>
      </c>
      <c r="CL23" t="s">
        <v>570</v>
      </c>
      <c r="CM23" t="str" cm="1">
        <f t="array" ref="CM23">INDEX(Kirjasto!D4:K125,10,Kirjasto!B4)</f>
        <v>Wtyczka 230 V, 50 Hz, 10 A, maks. 1165 W</v>
      </c>
      <c r="CR23" t="str">
        <f t="shared" si="21"/>
        <v>Model 100</v>
      </c>
      <c r="CV23" s="619">
        <f>'Laskenta tulopuoli 100'!AL34</f>
        <v>1.3706906770867513</v>
      </c>
      <c r="CW23" s="619">
        <f>'Laskenta poistopuoli 100'!AL34</f>
        <v>1.143398263621092</v>
      </c>
      <c r="CX23" s="4" t="b">
        <f>'Laskenta tulopuoli 100'!AO34</f>
        <v>1</v>
      </c>
      <c r="CY23" s="4" t="b">
        <f>'Laskenta poistopuoli 100'!AO34</f>
        <v>1</v>
      </c>
      <c r="CZ23" s="5">
        <f>'Laskenta tulopuoli 100'!AO36</f>
        <v>4.7284844381637399</v>
      </c>
      <c r="DA23" s="5">
        <f>'Laskenta poistopuoli 100'!AO36</f>
        <v>4.9364473342684976</v>
      </c>
      <c r="DG23" s="483">
        <v>1</v>
      </c>
      <c r="DI23" t="s">
        <v>115</v>
      </c>
      <c r="DK23" s="619">
        <f>'Kojeet ja kennon hyötysuhde'!N4</f>
        <v>0.79799999999999993</v>
      </c>
      <c r="DL23" s="619">
        <f>'Kojeet ja kennon hyötysuhde'!O4</f>
        <v>0.8175</v>
      </c>
      <c r="DN23">
        <v>920</v>
      </c>
    </row>
    <row r="24" spans="1:118" x14ac:dyDescent="0.15">
      <c r="A24" s="483">
        <v>2</v>
      </c>
      <c r="C24" t="s">
        <v>116</v>
      </c>
      <c r="D24" t="b">
        <f>'Laskenta tulopuoli 100'!$W$10</f>
        <v>0</v>
      </c>
      <c r="E24" s="32">
        <f>'Laskenta tulopuoli 100'!$W$9</f>
        <v>4.0821565766948957</v>
      </c>
      <c r="F24" s="5">
        <f>'Laskenta tulopuoli 100'!$W$14</f>
        <v>9.2113362390253641</v>
      </c>
      <c r="G24" t="b">
        <f>'Laskenta poistopuoli 100'!$W$10</f>
        <v>0</v>
      </c>
      <c r="H24" s="32">
        <f>'Laskenta poistopuoli 100'!$W$9</f>
        <v>4.1943650372768522</v>
      </c>
      <c r="I24" s="5">
        <f>'Laskenta poistopuoli 100'!$W$14</f>
        <v>9.0913459749100589</v>
      </c>
      <c r="J24" s="4">
        <v>4.4000000000000004</v>
      </c>
      <c r="K24" s="5">
        <f t="shared" si="22"/>
        <v>22.702682213935425</v>
      </c>
      <c r="L24" s="32">
        <f>K24/MAX('R-series ALU'!$E$33,'R-series ALU'!$G$33)</f>
        <v>2.3351330277190723</v>
      </c>
      <c r="M24" s="4">
        <f>90*0.7</f>
        <v>62.999999999999993</v>
      </c>
      <c r="N24" s="99">
        <v>1.2159469045764615</v>
      </c>
      <c r="O24" s="843">
        <v>0.82499999999999996</v>
      </c>
      <c r="P24" s="80">
        <f>'Laskenta tulopuoli 100'!$AF$44</f>
        <v>77.340607439168366</v>
      </c>
      <c r="Q24" s="80">
        <f>'Laskenta tulopuoli 100'!$AG$44</f>
        <v>62.340607439168373</v>
      </c>
      <c r="R24" s="80">
        <f>'Laskenta tulopuoli 100'!$AH$44</f>
        <v>54.340607439168373</v>
      </c>
      <c r="S24" s="80">
        <f>'Laskenta tulopuoli 100'!$AI$44</f>
        <v>51.340607439168373</v>
      </c>
      <c r="T24" s="80">
        <f>'Laskenta tulopuoli 100'!$AJ$44</f>
        <v>45.340607439168373</v>
      </c>
      <c r="U24" s="80">
        <f>'Laskenta tulopuoli 100'!$AK$44</f>
        <v>43.340607439168373</v>
      </c>
      <c r="V24" s="80">
        <f>'Laskenta tulopuoli 100'!$AL$44</f>
        <v>37.340607439168373</v>
      </c>
      <c r="W24" s="80">
        <f>'Laskenta tulopuoli 100'!$AM$44</f>
        <v>27.340607439168373</v>
      </c>
      <c r="X24" s="80">
        <f>'Laskenta tulopuoli 100'!$AN$44</f>
        <v>77.51213330740724</v>
      </c>
      <c r="Y24" s="108">
        <f>'Laskenta tulopuoli 100'!$W$6</f>
        <v>55.340607439168373</v>
      </c>
      <c r="Z24" s="80">
        <f>'Laskenta tulopuoli 100'!$AF$43</f>
        <v>66.076916167602548</v>
      </c>
      <c r="AA24" s="80">
        <f>'Laskenta tulopuoli 100'!$AG$43</f>
        <v>55.076916167602555</v>
      </c>
      <c r="AB24" s="80">
        <f>'Laskenta tulopuoli 100'!$AH$43</f>
        <v>48.076916167602555</v>
      </c>
      <c r="AC24" s="80">
        <f>'Laskenta tulopuoli 100'!$AI$43</f>
        <v>37.076916167602555</v>
      </c>
      <c r="AD24" s="80">
        <f>'Laskenta tulopuoli 100'!$AJ$43</f>
        <v>25.076916167602555</v>
      </c>
      <c r="AE24" s="80">
        <f>'Laskenta tulopuoli 100'!$AK$43</f>
        <v>19.076916167602555</v>
      </c>
      <c r="AF24" s="80">
        <f>'Laskenta tulopuoli 100'!$AL$43</f>
        <v>11.076916167602555</v>
      </c>
      <c r="AG24" s="80">
        <f>'Laskenta tulopuoli 100'!$AM$43</f>
        <v>6.0769161676025547</v>
      </c>
      <c r="AH24" s="80">
        <f>'Laskenta tulopuoli 100'!$AN$43</f>
        <v>66.477573741024713</v>
      </c>
      <c r="AI24" s="108">
        <f>'Laskenta tulopuoli 100'!$W$5</f>
        <v>45.076916167602555</v>
      </c>
      <c r="AJ24" s="80">
        <f>'Laskenta poistopuoli 100'!$AF$43</f>
        <v>61.156389206413884</v>
      </c>
      <c r="AK24" s="80">
        <f>'Laskenta poistopuoli 100'!$AG$43</f>
        <v>52.156389206413884</v>
      </c>
      <c r="AL24" s="80">
        <f>'Laskenta poistopuoli 100'!$AH$43</f>
        <v>45.156389206413884</v>
      </c>
      <c r="AM24" s="80">
        <f>'Laskenta poistopuoli 100'!$AI$43</f>
        <v>37.156389206413884</v>
      </c>
      <c r="AN24" s="80">
        <f>'Laskenta poistopuoli 100'!$AJ$43</f>
        <v>29.156389206413884</v>
      </c>
      <c r="AO24" s="80">
        <f>'Laskenta poistopuoli 100'!$AK$43</f>
        <v>23.156389206413884</v>
      </c>
      <c r="AP24" s="80">
        <f>'Laskenta poistopuoli 100'!$AL$43</f>
        <v>13.156389206413884</v>
      </c>
      <c r="AQ24" s="80">
        <f>'Laskenta poistopuoli 100'!$AM$43</f>
        <v>8.1563892064138841</v>
      </c>
      <c r="AR24" s="80">
        <f>'Laskenta poistopuoli 100'!$AN$43</f>
        <v>61.785226571158482</v>
      </c>
      <c r="AS24" s="108">
        <f>'Laskenta poistopuoli 100'!$W$5</f>
        <v>42.156389206413884</v>
      </c>
      <c r="AT24" s="80">
        <f>'Laskenta poistopuoli 100'!$AF$44</f>
        <v>79.498415680781292</v>
      </c>
      <c r="AU24" s="80">
        <f>'Laskenta poistopuoli 100'!$AG$44</f>
        <v>63.498415680781292</v>
      </c>
      <c r="AV24" s="80">
        <f>'Laskenta poistopuoli 100'!$AH$44</f>
        <v>60.498415680781292</v>
      </c>
      <c r="AW24" s="80">
        <f>'Laskenta poistopuoli 100'!$AI$44</f>
        <v>53.498415680781292</v>
      </c>
      <c r="AX24" s="80">
        <f>'Laskenta poistopuoli 100'!$AJ$44</f>
        <v>48.498415680781292</v>
      </c>
      <c r="AY24" s="80">
        <f>'Laskenta poistopuoli 100'!$AK$44</f>
        <v>46.498415680781292</v>
      </c>
      <c r="AZ24" s="80">
        <f>'Laskenta poistopuoli 100'!$AL$44</f>
        <v>39.498415680781292</v>
      </c>
      <c r="BA24" s="80">
        <f>'Laskenta poistopuoli 100'!$AM$44</f>
        <v>35.498415680781292</v>
      </c>
      <c r="BB24" s="80">
        <f>'Laskenta poistopuoli 100'!$AN$44</f>
        <v>79.675656089368914</v>
      </c>
      <c r="BC24" s="108">
        <f>'Laskenta poistopuoli 100'!$W$6</f>
        <v>57.498415680781292</v>
      </c>
      <c r="BD24" s="80" t="e">
        <f>'Laskenta vaipan läpi 100'!$L$39</f>
        <v>#VALUE!</v>
      </c>
      <c r="BE24" s="80" t="e">
        <f>'Laskenta vaipan läpi 100'!$M$39</f>
        <v>#VALUE!</v>
      </c>
      <c r="BF24" s="80" t="e">
        <f>'Laskenta vaipan läpi 100'!$N$39</f>
        <v>#VALUE!</v>
      </c>
      <c r="BG24" s="80" t="e">
        <f>'Laskenta vaipan läpi 100'!$O$39</f>
        <v>#VALUE!</v>
      </c>
      <c r="BH24" s="80" t="e">
        <f>'Laskenta vaipan läpi 100'!$P$39</f>
        <v>#VALUE!</v>
      </c>
      <c r="BI24" s="80" t="e">
        <f>'Laskenta vaipan läpi 100'!$Q$39</f>
        <v>#VALUE!</v>
      </c>
      <c r="BJ24" s="80" t="e">
        <f>'Laskenta vaipan läpi 100'!$R$39</f>
        <v>#VALUE!</v>
      </c>
      <c r="BK24" s="80" t="e">
        <f>'Laskenta vaipan läpi 100'!$S$39</f>
        <v>#VALUE!</v>
      </c>
      <c r="BL24" s="80" t="e">
        <f>'Laskenta vaipan läpi 100'!$T$39</f>
        <v>#VALUE!</v>
      </c>
      <c r="BM24" s="108" t="e">
        <f>'Laskenta vaipan läpi 100'!$C$35</f>
        <v>#VALUE!</v>
      </c>
      <c r="BN24" s="80" t="e">
        <f t="shared" ref="BN24" si="23">BM24+10*LOG10(4/10)</f>
        <v>#VALUE!</v>
      </c>
      <c r="BO24" s="80" t="e">
        <f t="shared" ref="BO24" si="24">BM24+10*LOG10(4/2.5)</f>
        <v>#VALUE!</v>
      </c>
      <c r="BS24" t="s">
        <v>116</v>
      </c>
      <c r="BT24" s="80" t="e">
        <f>BT23</f>
        <v>#VALUE!</v>
      </c>
      <c r="BU24" s="80" t="e">
        <f t="shared" ref="BU24:CC24" si="25">BU23</f>
        <v>#VALUE!</v>
      </c>
      <c r="BV24" s="80" t="e">
        <f t="shared" si="25"/>
        <v>#VALUE!</v>
      </c>
      <c r="BW24" s="80" t="e">
        <f t="shared" si="25"/>
        <v>#VALUE!</v>
      </c>
      <c r="BX24" s="80" t="e">
        <f t="shared" si="25"/>
        <v>#VALUE!</v>
      </c>
      <c r="BY24" s="80" t="e">
        <f t="shared" si="25"/>
        <v>#VALUE!</v>
      </c>
      <c r="BZ24" s="80" t="e">
        <f t="shared" si="25"/>
        <v>#VALUE!</v>
      </c>
      <c r="CA24" s="80" t="e">
        <f t="shared" si="25"/>
        <v>#VALUE!</v>
      </c>
      <c r="CB24" s="80" t="e">
        <f t="shared" si="25"/>
        <v>#VALUE!</v>
      </c>
      <c r="CC24" s="80" t="e">
        <f t="shared" si="25"/>
        <v>#VALUE!</v>
      </c>
      <c r="CI24" s="39" t="s">
        <v>393</v>
      </c>
      <c r="CJ24" s="39" t="s">
        <v>393</v>
      </c>
      <c r="CL24" t="s">
        <v>571</v>
      </c>
      <c r="CM24" t="str" cm="1">
        <f t="array" ref="CM24">INDEX(Kirjasto!D4:K125,11,Kirjasto!B4)</f>
        <v>Wtyczka 230 V, 50 Hz, 16 A, maks. 2200 W</v>
      </c>
      <c r="CR24" t="str">
        <f t="shared" si="21"/>
        <v>Model 150</v>
      </c>
      <c r="CV24" s="619">
        <f>'Laskenta tulopuoli 150'!AL34</f>
        <v>2.5190072984969345</v>
      </c>
      <c r="CW24" s="619">
        <f>'Laskenta poistopuoli 150'!AL34</f>
        <v>3.0771853531323341</v>
      </c>
      <c r="CX24" s="4" t="b">
        <f>'Laskenta tulopuoli 150'!AO34</f>
        <v>1</v>
      </c>
      <c r="CY24" s="4" t="b">
        <f>'Laskenta poistopuoli 150'!AO34</f>
        <v>1</v>
      </c>
      <c r="CZ24" s="5">
        <f>'Laskenta tulopuoli 150'!AO36</f>
        <v>3.3033240555632419</v>
      </c>
      <c r="DA24" s="5">
        <f>'Laskenta poistopuoli 150'!AO36</f>
        <v>3.4766305731407185</v>
      </c>
      <c r="DG24" s="483">
        <v>2</v>
      </c>
      <c r="DI24" t="s">
        <v>116</v>
      </c>
      <c r="DK24" s="619" t="str">
        <f>'Kojeet ja kennon hyötysuhde'!N5</f>
        <v>-</v>
      </c>
      <c r="DL24" s="619" t="str">
        <f>'Kojeet ja kennon hyötysuhde'!O5</f>
        <v>-</v>
      </c>
      <c r="DN24">
        <v>920</v>
      </c>
    </row>
    <row r="25" spans="1:118" ht="14" thickBot="1" x14ac:dyDescent="0.2">
      <c r="A25" s="483">
        <v>3</v>
      </c>
      <c r="C25" t="s">
        <v>129</v>
      </c>
      <c r="D25" s="4" t="b">
        <f>'Laskenta tulopuoli 150'!$W$13</f>
        <v>0</v>
      </c>
      <c r="E25" s="32">
        <f>'Laskenta tulopuoli 150'!$W$12</f>
        <v>2.8824088389005178</v>
      </c>
      <c r="F25" s="5">
        <f>'Laskenta tulopuoli 150'!$W$16</f>
        <v>19.377188683385015</v>
      </c>
      <c r="G25" s="4" t="b">
        <f>'Laskenta poistopuoli 150'!$W$13</f>
        <v>0</v>
      </c>
      <c r="H25" s="32">
        <f>'Laskenta poistopuoli 150'!$W$12</f>
        <v>2.9824772534881201</v>
      </c>
      <c r="I25" s="5">
        <f>'Laskenta poistopuoli 150'!$W$16</f>
        <v>5.4141664971775789</v>
      </c>
      <c r="J25" s="4">
        <v>4.4000000000000004</v>
      </c>
      <c r="K25" s="5">
        <f t="shared" si="22"/>
        <v>29.191355180562596</v>
      </c>
      <c r="L25" s="32">
        <f>K25/MAX('R-series ALU'!$E$33,'R-series ALU'!$G$33)</f>
        <v>3.0025393900007242</v>
      </c>
      <c r="M25" s="4">
        <f>160*0.7</f>
        <v>112</v>
      </c>
      <c r="N25" s="99">
        <v>1.1878622810630028</v>
      </c>
      <c r="O25" s="844">
        <v>0.79500000000000004</v>
      </c>
      <c r="P25" s="80">
        <f>'Laskenta tulopuoli 150'!$AH$43</f>
        <v>33.895332744273119</v>
      </c>
      <c r="Q25" s="80">
        <f>'Laskenta tulopuoli 150'!$AI$43</f>
        <v>32.936880191103704</v>
      </c>
      <c r="R25" s="80">
        <f>'Laskenta tulopuoli 150'!$AJ$43</f>
        <v>28.319805117609796</v>
      </c>
      <c r="S25" s="80">
        <f>'Laskenta tulopuoli 150'!$AK$43</f>
        <v>18.487949343829992</v>
      </c>
      <c r="T25" s="80">
        <f>'Laskenta tulopuoli 150'!$AL$43</f>
        <v>9.4251111316101461</v>
      </c>
      <c r="U25" s="80">
        <f>'Laskenta tulopuoli 150'!$AM$43</f>
        <v>8.9964197841307811</v>
      </c>
      <c r="V25" s="80">
        <f>'Laskenta tulopuoli 150'!$AN$43</f>
        <v>-1.1225343061435495</v>
      </c>
      <c r="W25" s="80">
        <f>'Laskenta tulopuoli 150'!$AO$43</f>
        <v>-5.9482226885534182</v>
      </c>
      <c r="X25" s="80">
        <f>'Laskenta tulopuoli 150'!$AP$43</f>
        <v>37.148358902869148</v>
      </c>
      <c r="Y25" s="108">
        <f>'Laskenta tulopuoli 150'!$AQ$43</f>
        <v>23.055407889517923</v>
      </c>
      <c r="Z25" s="80">
        <f>'Laskenta tulopuoli 150'!$AH$42</f>
        <v>54.240633426596993</v>
      </c>
      <c r="AA25" s="80">
        <f>'Laskenta tulopuoli 150'!$AI$42</f>
        <v>47.521107062399842</v>
      </c>
      <c r="AB25" s="80">
        <f>'Laskenta tulopuoli 150'!$AJ$42</f>
        <v>41.98924772402642</v>
      </c>
      <c r="AC25" s="80">
        <f>'Laskenta tulopuoli 150'!$AK$42</f>
        <v>32.423903019267186</v>
      </c>
      <c r="AD25" s="80">
        <f>'Laskenta tulopuoli 150'!$AL$42</f>
        <v>17.902229726064071</v>
      </c>
      <c r="AE25" s="80">
        <f>'Laskenta tulopuoli 150'!$AM$42</f>
        <v>13.151937083450925</v>
      </c>
      <c r="AF25" s="80">
        <f>'Laskenta tulopuoli 150'!$AN$42</f>
        <v>6.8903183134925357</v>
      </c>
      <c r="AG25" s="80">
        <f>'Laskenta tulopuoli 150'!$AO$42</f>
        <v>1.8903183134925357</v>
      </c>
      <c r="AH25" s="80">
        <f>'Laskenta tulopuoli 150'!$AP$42</f>
        <v>55.310358346037347</v>
      </c>
      <c r="AI25" s="108">
        <f>'Laskenta tulopuoli 150'!$AQ$42</f>
        <v>37.108774414448867</v>
      </c>
      <c r="AJ25" s="80">
        <f>'Laskenta poistopuoli 150'!$AH$42</f>
        <v>64.917548440679255</v>
      </c>
      <c r="AK25" s="80">
        <f>'Laskenta poistopuoli 150'!$AI$42</f>
        <v>64.721068277137675</v>
      </c>
      <c r="AL25" s="80">
        <f>'Laskenta poistopuoli 150'!$AJ$42</f>
        <v>60.054034395885132</v>
      </c>
      <c r="AM25" s="80">
        <f>'Laskenta poistopuoli 150'!$AK$42</f>
        <v>45.496169973629449</v>
      </c>
      <c r="AN25" s="80">
        <f>'Laskenta poistopuoli 150'!$AL$42</f>
        <v>34.918333515709904</v>
      </c>
      <c r="AO25" s="80">
        <f>'Laskenta poistopuoli 150'!$AM$42</f>
        <v>28.502592113003274</v>
      </c>
      <c r="AP25" s="80">
        <f>'Laskenta poistopuoli 150'!$AN$42</f>
        <v>23.608140520354468</v>
      </c>
      <c r="AQ25" s="80">
        <f>'Laskenta poistopuoli 150'!$AO$42</f>
        <v>19.608140520354468</v>
      </c>
      <c r="AR25" s="80">
        <f>'Laskenta poistopuoli 150'!$AP$42</f>
        <v>68.525087000288181</v>
      </c>
      <c r="AS25" s="108">
        <f>'Laskenta poistopuoli 150'!$AQ$42</f>
        <v>53.826835282266387</v>
      </c>
      <c r="AT25" s="80">
        <f>'Laskenta poistopuoli 150'!$AH$43</f>
        <v>53.955686982924348</v>
      </c>
      <c r="AU25" s="80">
        <f>'Laskenta poistopuoli 150'!$AI$43</f>
        <v>53.759009022764957</v>
      </c>
      <c r="AV25" s="80">
        <f>'Laskenta poistopuoli 150'!$AJ$43</f>
        <v>52.791185095990912</v>
      </c>
      <c r="AW25" s="80">
        <f>'Laskenta poistopuoli 150'!$AK$43</f>
        <v>41.668919659631143</v>
      </c>
      <c r="AX25" s="80">
        <f>'Laskenta poistopuoli 150'!$AL$43</f>
        <v>31.680800581746738</v>
      </c>
      <c r="AY25" s="80">
        <f>'Laskenta poistopuoli 150'!$AM$43</f>
        <v>30.733028408460562</v>
      </c>
      <c r="AZ25" s="80">
        <f>'Laskenta poistopuoli 150'!$AN$43</f>
        <v>21.282198248991122</v>
      </c>
      <c r="BA25" s="80">
        <f>'Laskenta poistopuoli 150'!$AO$43</f>
        <v>15.427651419434511</v>
      </c>
      <c r="BB25" s="80">
        <f>'Laskenta poistopuoli 150'!$AP$43</f>
        <v>58.413216055258658</v>
      </c>
      <c r="BC25" s="108">
        <f>'Laskenta poistopuoli 150'!$AQ$43</f>
        <v>46.328349905636315</v>
      </c>
      <c r="BD25" s="80" t="e">
        <f>'Laskenta vaipan läpi 150'!$L$39</f>
        <v>#VALUE!</v>
      </c>
      <c r="BE25" s="80" t="e">
        <f>'Laskenta vaipan läpi 150'!$M$39</f>
        <v>#VALUE!</v>
      </c>
      <c r="BF25" s="80" t="e">
        <f>'Laskenta vaipan läpi 150'!$N$39</f>
        <v>#VALUE!</v>
      </c>
      <c r="BG25" s="80" t="e">
        <f>'Laskenta vaipan läpi 150'!$O$39</f>
        <v>#VALUE!</v>
      </c>
      <c r="BH25" s="80" t="e">
        <f>'Laskenta vaipan läpi 150'!$P$39</f>
        <v>#VALUE!</v>
      </c>
      <c r="BI25" s="80" t="e">
        <f>'Laskenta vaipan läpi 150'!$Q$39</f>
        <v>#VALUE!</v>
      </c>
      <c r="BJ25" s="80" t="e">
        <f>'Laskenta vaipan läpi 150'!$R$39</f>
        <v>#VALUE!</v>
      </c>
      <c r="BK25" s="80" t="e">
        <f>'Laskenta vaipan läpi 150'!$S$39</f>
        <v>#VALUE!</v>
      </c>
      <c r="BL25" s="80" t="e">
        <f>'Laskenta vaipan läpi 150'!$T$39</f>
        <v>#VALUE!</v>
      </c>
      <c r="BM25" s="108" t="e">
        <f>'Laskenta vaipan läpi 150'!$C$35</f>
        <v>#VALUE!</v>
      </c>
      <c r="BN25" s="80" t="e">
        <f>BM25+10*LOG10(4/10)</f>
        <v>#VALUE!</v>
      </c>
      <c r="BO25" s="80" t="e">
        <f>BM25+10*LOG10(4/2.5)</f>
        <v>#VALUE!</v>
      </c>
      <c r="BS25" t="s">
        <v>129</v>
      </c>
      <c r="BT25" s="4" t="s">
        <v>393</v>
      </c>
      <c r="BU25" s="4" t="s">
        <v>393</v>
      </c>
      <c r="BV25" s="4" t="s">
        <v>393</v>
      </c>
      <c r="BW25" s="4" t="s">
        <v>393</v>
      </c>
      <c r="BX25" s="4" t="s">
        <v>393</v>
      </c>
      <c r="BY25" s="4" t="s">
        <v>393</v>
      </c>
      <c r="BZ25" s="4" t="s">
        <v>393</v>
      </c>
      <c r="CA25" s="4" t="s">
        <v>393</v>
      </c>
      <c r="CB25" s="4" t="s">
        <v>393</v>
      </c>
      <c r="CC25" s="4" t="s">
        <v>393</v>
      </c>
      <c r="CI25" s="39" t="s">
        <v>393</v>
      </c>
      <c r="CJ25" s="39" t="s">
        <v>393</v>
      </c>
      <c r="CL25" t="str">
        <f>IF($CM$19,"Airfi-Model 250 Water","Airfi-Model 250 Electric")</f>
        <v>Airfi-Model 250 Electric</v>
      </c>
      <c r="CM25" t="str" cm="1">
        <f t="array" ref="CM25">IF(CM19,INDEX(Kirjasto!D4:K129,123,Kirjasto!B4),INDEX(Kirjasto!D4:K129,12,Kirjasto!B4))</f>
        <v>Wtyczka 230 V, 50 Hz, 16 A, maks. 3500 W</v>
      </c>
      <c r="CR25" t="str">
        <f t="shared" si="21"/>
        <v>Model 250</v>
      </c>
      <c r="CV25" s="619">
        <f>'Laskenta tulopuoli 250'!AP34</f>
        <v>1.1273859860294206</v>
      </c>
      <c r="CW25" s="619">
        <f>'Laskenta poistopuoli 250'!AP34</f>
        <v>0.91320200649799355</v>
      </c>
      <c r="CX25" s="4" t="b">
        <f>'Laskenta tulopuoli 250'!AS34</f>
        <v>1</v>
      </c>
      <c r="CY25" s="4" t="b">
        <f>'Laskenta poistopuoli 250'!AS34</f>
        <v>1</v>
      </c>
      <c r="CZ25" s="5">
        <f>'Laskenta tulopuoli 250'!AS36</f>
        <v>4.4229623345634375</v>
      </c>
      <c r="DA25" s="5">
        <f>'Laskenta poistopuoli 250'!AS36</f>
        <v>4.9254283930252125</v>
      </c>
      <c r="DG25" s="483">
        <v>3</v>
      </c>
      <c r="DI25" t="s">
        <v>129</v>
      </c>
      <c r="DK25" s="619" t="str">
        <f>'Kojeet ja kennon hyötysuhde'!N6</f>
        <v>-</v>
      </c>
      <c r="DL25" s="619" t="str">
        <f>'Kojeet ja kennon hyötysuhde'!O6</f>
        <v>-</v>
      </c>
      <c r="DN25">
        <f>2*920</f>
        <v>1840</v>
      </c>
    </row>
    <row r="26" spans="1:118" ht="14" thickBot="1" x14ac:dyDescent="0.2">
      <c r="A26" s="483">
        <v>4</v>
      </c>
      <c r="C26" t="s">
        <v>561</v>
      </c>
      <c r="D26" s="4" t="b">
        <f>'Laskenta tulopuoli 250'!$W$10</f>
        <v>0</v>
      </c>
      <c r="E26" s="32">
        <f>'Laskenta tulopuoli 250'!$W$9</f>
        <v>3.7513739428936064</v>
      </c>
      <c r="F26" s="5">
        <f>'Laskenta tulopuoli 250'!$W$14</f>
        <v>18.046839796085074</v>
      </c>
      <c r="G26" s="4" t="b">
        <f>'Laskenta poistopuoli 250'!$W$10</f>
        <v>0</v>
      </c>
      <c r="H26" s="32">
        <f>'Laskenta poistopuoli 250'!$W$9</f>
        <v>4.2277239687228612</v>
      </c>
      <c r="I26" s="5">
        <f>'Laskenta poistopuoli 250'!$W$14</f>
        <v>16.849582822181617</v>
      </c>
      <c r="J26" s="301">
        <v>4.4000000000000004</v>
      </c>
      <c r="K26" s="5">
        <f t="shared" si="22"/>
        <v>39.296422618266689</v>
      </c>
      <c r="L26" s="32">
        <f>K26/MAX('R-series ALU'!$E$33,'R-series ALU'!$G$33)</f>
        <v>4.0419177550217169</v>
      </c>
      <c r="M26" s="426">
        <f>250*0.7</f>
        <v>175</v>
      </c>
      <c r="N26" s="301">
        <v>1.0567749967474349</v>
      </c>
      <c r="O26" s="845">
        <f>'Kojeet ja kennon hyötysuhde'!M7</f>
        <v>0.79500000000000004</v>
      </c>
      <c r="P26" s="80">
        <f>'Laskenta tulopuoli 250'!$AF$44</f>
        <v>58.528035704291518</v>
      </c>
      <c r="Q26" s="80">
        <f>'Laskenta tulopuoli 250'!$AG$44</f>
        <v>60.528035704291518</v>
      </c>
      <c r="R26" s="80">
        <f>'Laskenta tulopuoli 250'!$AH$44</f>
        <v>51.528035704291518</v>
      </c>
      <c r="S26" s="80">
        <f>'Laskenta tulopuoli 250'!$AI$44</f>
        <v>48.528035704291518</v>
      </c>
      <c r="T26" s="80">
        <f>'Laskenta tulopuoli 250'!$AJ$44</f>
        <v>47.528035704291518</v>
      </c>
      <c r="U26" s="80">
        <f>'Laskenta tulopuoli 250'!$AK$44</f>
        <v>42.528035704291518</v>
      </c>
      <c r="V26" s="80">
        <f>'Laskenta tulopuoli 250'!$AL$44</f>
        <v>38.528035704291518</v>
      </c>
      <c r="W26" s="80">
        <f>'Laskenta tulopuoli 250'!$AM$44</f>
        <v>36.528035704291518</v>
      </c>
      <c r="X26" s="80">
        <f>'Laskenta tulopuoli 250'!$AN$44</f>
        <v>63.306886106070337</v>
      </c>
      <c r="Y26" s="108">
        <f>'Laskenta tulopuoli 250'!$W$6</f>
        <v>52.528035704291518</v>
      </c>
      <c r="Z26" s="80">
        <f>'Laskenta tulopuoli 250'!$AF$43</f>
        <v>50.349541902898544</v>
      </c>
      <c r="AA26" s="80">
        <f>'Laskenta tulopuoli 250'!$AG$43</f>
        <v>48.349541902898544</v>
      </c>
      <c r="AB26" s="80">
        <f>'Laskenta tulopuoli 250'!$AH$43</f>
        <v>36.349541902898544</v>
      </c>
      <c r="AC26" s="80">
        <f>'Laskenta tulopuoli 250'!$AI$43</f>
        <v>30.349541902898544</v>
      </c>
      <c r="AD26" s="80">
        <f>'Laskenta tulopuoli 250'!$AJ$43</f>
        <v>26.349541902898544</v>
      </c>
      <c r="AE26" s="80">
        <f>'Laskenta tulopuoli 250'!$AK$43</f>
        <v>21.349541902898544</v>
      </c>
      <c r="AF26" s="80">
        <f>'Laskenta tulopuoli 250'!$AL$43</f>
        <v>11.349541902898544</v>
      </c>
      <c r="AG26" s="80">
        <f>'Laskenta tulopuoli 250'!$AM$43</f>
        <v>6.3495419028985438</v>
      </c>
      <c r="AH26" s="80">
        <f>'Laskenta tulopuoli 250'!$AN$43</f>
        <v>52.61856517370223</v>
      </c>
      <c r="AI26" s="108">
        <f>'Laskenta tulopuoli 250'!$W$5</f>
        <v>35.349541902898544</v>
      </c>
      <c r="AJ26" s="80">
        <f>'Laskenta poistopuoli 250'!$AF$43</f>
        <v>53.624498211409062</v>
      </c>
      <c r="AK26" s="80">
        <f>'Laskenta poistopuoli 250'!$AG$43</f>
        <v>50.624498211409062</v>
      </c>
      <c r="AL26" s="80">
        <f>'Laskenta poistopuoli 250'!$AH$43</f>
        <v>37.624498211409062</v>
      </c>
      <c r="AM26" s="80">
        <f>'Laskenta poistopuoli 250'!$AI$43</f>
        <v>33.624498211409062</v>
      </c>
      <c r="AN26" s="80">
        <f>'Laskenta poistopuoli 250'!$AJ$43</f>
        <v>28.624498211409062</v>
      </c>
      <c r="AO26" s="80">
        <f>'Laskenta poistopuoli 250'!$AK$43</f>
        <v>23.624498211409062</v>
      </c>
      <c r="AP26" s="80">
        <f>'Laskenta poistopuoli 250'!$AL$43</f>
        <v>14.624498211409062</v>
      </c>
      <c r="AQ26" s="80">
        <f>'Laskenta poistopuoli 250'!$AM$43</f>
        <v>5.6244982114090618</v>
      </c>
      <c r="AR26" s="80">
        <f>'Laskenta poistopuoli 250'!$AN$43</f>
        <v>55.50142566656028</v>
      </c>
      <c r="AS26" s="108">
        <f>'Laskenta poistopuoli 250'!$W$5</f>
        <v>37.624498211409062</v>
      </c>
      <c r="AT26" s="80">
        <f>'Laskenta poistopuoli 250'!$AF$44</f>
        <v>57.871294227436977</v>
      </c>
      <c r="AU26" s="80">
        <f>'Laskenta poistopuoli 250'!$AG$44</f>
        <v>57.871294227436977</v>
      </c>
      <c r="AV26" s="80">
        <f>'Laskenta poistopuoli 250'!$AH$44</f>
        <v>48.871294227436977</v>
      </c>
      <c r="AW26" s="80">
        <f>'Laskenta poistopuoli 250'!$AI$44</f>
        <v>45.871294227436977</v>
      </c>
      <c r="AX26" s="80">
        <f>'Laskenta poistopuoli 250'!$AJ$44</f>
        <v>44.871294227436977</v>
      </c>
      <c r="AY26" s="80">
        <f>'Laskenta poistopuoli 250'!$AK$44</f>
        <v>39.871294227436977</v>
      </c>
      <c r="AZ26" s="80">
        <f>'Laskenta poistopuoli 250'!$AL$44</f>
        <v>35.871294227436977</v>
      </c>
      <c r="BA26" s="80">
        <f>'Laskenta poistopuoli 250'!$AM$44</f>
        <v>33.871294227436977</v>
      </c>
      <c r="BB26" s="80">
        <f>'Laskenta poistopuoli 250'!$AN$44</f>
        <v>61.422449053821531</v>
      </c>
      <c r="BC26" s="108">
        <f>'Laskenta poistopuoli 250'!$W$6</f>
        <v>49.871294227436977</v>
      </c>
      <c r="BD26" s="299" t="e">
        <f>'Laskenta vaipan läpi 250'!$L$39</f>
        <v>#VALUE!</v>
      </c>
      <c r="BE26" s="299" t="e">
        <f>'Laskenta vaipan läpi 250'!$M$39</f>
        <v>#VALUE!</v>
      </c>
      <c r="BF26" s="299" t="e">
        <f>'Laskenta vaipan läpi 250'!$N$39</f>
        <v>#VALUE!</v>
      </c>
      <c r="BG26" s="299" t="e">
        <f>'Laskenta vaipan läpi 250'!$O$39</f>
        <v>#VALUE!</v>
      </c>
      <c r="BH26" s="299" t="e">
        <f>'Laskenta vaipan läpi 250'!$P$39</f>
        <v>#VALUE!</v>
      </c>
      <c r="BI26" s="299" t="e">
        <f>'Laskenta vaipan läpi 250'!$Q$39</f>
        <v>#VALUE!</v>
      </c>
      <c r="BJ26" s="299" t="e">
        <f>'Laskenta vaipan läpi 250'!$R$39</f>
        <v>#VALUE!</v>
      </c>
      <c r="BK26" s="299" t="e">
        <f>'Laskenta vaipan läpi 250'!$S$39</f>
        <v>#VALUE!</v>
      </c>
      <c r="BL26" s="299" t="e">
        <f>'Laskenta vaipan läpi 250'!$T$39</f>
        <v>#VALUE!</v>
      </c>
      <c r="BM26" s="300" t="e">
        <f>'Laskenta vaipan läpi 250'!$C$35</f>
        <v>#VALUE!</v>
      </c>
      <c r="BN26" s="80" t="e">
        <f>BM26+10*LOG10(4/10)</f>
        <v>#VALUE!</v>
      </c>
      <c r="BO26" s="80" t="e">
        <f>BM26+10*LOG10(4/2.5)</f>
        <v>#VALUE!</v>
      </c>
      <c r="BS26" t="s">
        <v>561</v>
      </c>
      <c r="BT26" s="4" t="s">
        <v>393</v>
      </c>
      <c r="BU26" s="4" t="s">
        <v>393</v>
      </c>
      <c r="BV26" s="4" t="s">
        <v>393</v>
      </c>
      <c r="BW26" s="4" t="s">
        <v>393</v>
      </c>
      <c r="BX26" s="4" t="s">
        <v>393</v>
      </c>
      <c r="BY26" s="4" t="s">
        <v>393</v>
      </c>
      <c r="BZ26" s="4" t="s">
        <v>393</v>
      </c>
      <c r="CA26" s="4" t="s">
        <v>393</v>
      </c>
      <c r="CB26" s="4" t="s">
        <v>393</v>
      </c>
      <c r="CC26" s="4" t="s">
        <v>393</v>
      </c>
      <c r="CI26">
        <f>'Laskenta tulopuoli 350'!$AN$18</f>
        <v>74.321061604495114</v>
      </c>
      <c r="CJ26">
        <f>'Laskenta tulopuoli 350'!$AN$14</f>
        <v>1267.6333333333332</v>
      </c>
      <c r="CL26" t="str">
        <f>IF($CM$19,"Airfi-Model 350 Water","Airfi-Model 350 Electric")</f>
        <v>Airfi-Model 350 Electric</v>
      </c>
      <c r="CM26" t="str" cm="1">
        <f t="array" ref="CM26">IF(CM19,INDEX(Kirjasto!D4:K129,123,Kirjasto!B4),INDEX(Kirjasto!D4:K129,13,Kirjasto!B4))</f>
        <v>Wtyczka 400 VAC, 50 Hz, 3 x 16 A, maks. 8250 W</v>
      </c>
      <c r="CR26" t="str">
        <f t="shared" si="21"/>
        <v>Model 350</v>
      </c>
      <c r="CV26" s="619">
        <f>'Laskenta tulopuoli 350'!AO34</f>
        <v>1.8705809183285229</v>
      </c>
      <c r="CW26" s="619">
        <f>'Laskenta poistopuoli 350'!AO34</f>
        <v>1.4697525235152074</v>
      </c>
      <c r="CX26" s="4" t="b">
        <f>'Laskenta tulopuoli 350'!AR34</f>
        <v>1</v>
      </c>
      <c r="CY26" s="4" t="b">
        <f>'Laskenta poistopuoli 350'!AR34</f>
        <v>1</v>
      </c>
      <c r="CZ26" s="5">
        <f>'Laskenta tulopuoli 350'!AR36</f>
        <v>4.4229623345634375</v>
      </c>
      <c r="DA26" s="5">
        <f>'Laskenta poistopuoli 350'!AR36</f>
        <v>4.9254283930252125</v>
      </c>
      <c r="DG26" s="483">
        <v>4</v>
      </c>
      <c r="DI26" t="s">
        <v>561</v>
      </c>
      <c r="DK26" s="619" t="str">
        <f>'Kojeet ja kennon hyötysuhde'!N7</f>
        <v>-</v>
      </c>
      <c r="DL26" s="619" t="str">
        <f>'Kojeet ja kennon hyötysuhde'!O7</f>
        <v>-</v>
      </c>
      <c r="DN26" s="39">
        <f>IF($DN$18,"-",2380)</f>
        <v>2380</v>
      </c>
    </row>
    <row r="27" spans="1:118" ht="14" thickBot="1" x14ac:dyDescent="0.2">
      <c r="A27" s="483">
        <v>5</v>
      </c>
      <c r="C27" t="s">
        <v>560</v>
      </c>
      <c r="D27" s="4" t="b">
        <f>'Laskenta tulopuoli 350'!$W$10</f>
        <v>0</v>
      </c>
      <c r="E27" s="32">
        <f>'Laskenta tulopuoli 350'!$W$9</f>
        <v>3.7513739428936064</v>
      </c>
      <c r="F27" s="5">
        <f>'Laskenta tulopuoli 350'!$W$14</f>
        <v>18.046839796085074</v>
      </c>
      <c r="G27" s="4" t="b">
        <f>'Laskenta poistopuoli 350'!$W$10</f>
        <v>0</v>
      </c>
      <c r="H27" s="32">
        <f>'Laskenta poistopuoli 350'!$W$9</f>
        <v>4.2277239687228612</v>
      </c>
      <c r="I27" s="5">
        <f>'Laskenta poistopuoli 350'!$W$14</f>
        <v>16.849582822181617</v>
      </c>
      <c r="J27" s="301">
        <v>4.4000000000000004</v>
      </c>
      <c r="K27" s="5">
        <f t="shared" si="22"/>
        <v>39.296422618266689</v>
      </c>
      <c r="L27" s="32">
        <f>K27/MAX('R-series ALU'!$E$33,'R-series ALU'!$G$33)</f>
        <v>4.0419177550217169</v>
      </c>
      <c r="M27" s="426">
        <f>1000/3.6*0.7</f>
        <v>194.44444444444443</v>
      </c>
      <c r="N27" s="301">
        <v>1.1717822676463812</v>
      </c>
      <c r="O27" s="845">
        <f>'Kojeet ja kennon hyötysuhde'!M8</f>
        <v>0.79500000000000004</v>
      </c>
      <c r="P27" s="80">
        <f>'Laskenta tulopuoli 350'!$AF$44</f>
        <v>58.528035704291518</v>
      </c>
      <c r="Q27" s="80">
        <f>'Laskenta tulopuoli 350'!$AG$44</f>
        <v>60.528035704291518</v>
      </c>
      <c r="R27" s="80">
        <f>'Laskenta tulopuoli 350'!$AH$44</f>
        <v>51.528035704291518</v>
      </c>
      <c r="S27" s="80">
        <f>'Laskenta tulopuoli 350'!$AI$44</f>
        <v>48.528035704291518</v>
      </c>
      <c r="T27" s="80">
        <f>'Laskenta tulopuoli 350'!$AJ$44</f>
        <v>47.528035704291518</v>
      </c>
      <c r="U27" s="80">
        <f>'Laskenta tulopuoli 350'!$AK$44</f>
        <v>42.528035704291518</v>
      </c>
      <c r="V27" s="80">
        <f>'Laskenta tulopuoli 350'!$AL$44</f>
        <v>38.528035704291518</v>
      </c>
      <c r="W27" s="80">
        <f>'Laskenta tulopuoli 350'!$AM$44</f>
        <v>36.528035704291518</v>
      </c>
      <c r="X27" s="80">
        <f>'Laskenta tulopuoli 350'!$AN$44</f>
        <v>63.306886106070337</v>
      </c>
      <c r="Y27" s="108">
        <f>'Laskenta tulopuoli 350'!$W$6</f>
        <v>52.528035704291518</v>
      </c>
      <c r="Z27" s="80">
        <f>'Laskenta tulopuoli 350'!$AF$43</f>
        <v>50.349541902898544</v>
      </c>
      <c r="AA27" s="80">
        <f>'Laskenta tulopuoli 350'!$AG$43</f>
        <v>48.349541902898544</v>
      </c>
      <c r="AB27" s="80">
        <f>'Laskenta tulopuoli 350'!$AH$43</f>
        <v>36.349541902898544</v>
      </c>
      <c r="AC27" s="80">
        <f>'Laskenta tulopuoli 350'!$AI$43</f>
        <v>30.349541902898544</v>
      </c>
      <c r="AD27" s="80">
        <f>'Laskenta tulopuoli 350'!$AJ$43</f>
        <v>26.349541902898544</v>
      </c>
      <c r="AE27" s="80">
        <f>'Laskenta tulopuoli 350'!$AK$43</f>
        <v>21.349541902898544</v>
      </c>
      <c r="AF27" s="80">
        <f>'Laskenta tulopuoli 350'!$AL$43</f>
        <v>11.349541902898544</v>
      </c>
      <c r="AG27" s="80">
        <f>'Laskenta tulopuoli 350'!$AM$43</f>
        <v>6.3495419028985438</v>
      </c>
      <c r="AH27" s="80">
        <f>'Laskenta tulopuoli 350'!$AN$43</f>
        <v>52.61856517370223</v>
      </c>
      <c r="AI27" s="108">
        <f>'Laskenta tulopuoli 350'!$W$5</f>
        <v>35.349541902898544</v>
      </c>
      <c r="AJ27" s="80">
        <f>'Laskenta poistopuoli 350'!$AF$43</f>
        <v>53.624498211409062</v>
      </c>
      <c r="AK27" s="80">
        <f>'Laskenta poistopuoli 350'!$AG$43</f>
        <v>50.624498211409062</v>
      </c>
      <c r="AL27" s="80">
        <f>'Laskenta poistopuoli 350'!$AH$43</f>
        <v>37.624498211409062</v>
      </c>
      <c r="AM27" s="80">
        <f>'Laskenta poistopuoli 350'!$AI$43</f>
        <v>33.624498211409062</v>
      </c>
      <c r="AN27" s="80">
        <f>'Laskenta poistopuoli 350'!$AJ$43</f>
        <v>28.624498211409062</v>
      </c>
      <c r="AO27" s="80">
        <f>'Laskenta poistopuoli 350'!$AK$43</f>
        <v>23.624498211409062</v>
      </c>
      <c r="AP27" s="80">
        <f>'Laskenta poistopuoli 350'!$AL$43</f>
        <v>14.624498211409062</v>
      </c>
      <c r="AQ27" s="80">
        <f>'Laskenta poistopuoli 350'!$AM$43</f>
        <v>5.6244982114090618</v>
      </c>
      <c r="AR27" s="80">
        <f>'Laskenta poistopuoli 350'!$AN$43</f>
        <v>55.50142566656028</v>
      </c>
      <c r="AS27" s="108">
        <f>'Laskenta poistopuoli 350'!$W$5</f>
        <v>37.624498211409062</v>
      </c>
      <c r="AT27" s="80">
        <f>'Laskenta poistopuoli 350'!$AF$44</f>
        <v>57.871294227436977</v>
      </c>
      <c r="AU27" s="80">
        <f>'Laskenta poistopuoli 350'!$AG$44</f>
        <v>57.871294227436977</v>
      </c>
      <c r="AV27" s="80">
        <f>'Laskenta poistopuoli 350'!$AH$44</f>
        <v>48.871294227436977</v>
      </c>
      <c r="AW27" s="80">
        <f>'Laskenta poistopuoli 350'!$AI$44</f>
        <v>45.871294227436977</v>
      </c>
      <c r="AX27" s="80">
        <f>'Laskenta poistopuoli 350'!$AJ$44</f>
        <v>44.871294227436977</v>
      </c>
      <c r="AY27" s="80">
        <f>'Laskenta poistopuoli 350'!$AK$44</f>
        <v>39.871294227436977</v>
      </c>
      <c r="AZ27" s="80">
        <f>'Laskenta poistopuoli 350'!$AL$44</f>
        <v>35.871294227436977</v>
      </c>
      <c r="BA27" s="80">
        <f>'Laskenta poistopuoli 350'!$AM$44</f>
        <v>33.871294227436977</v>
      </c>
      <c r="BB27" s="80">
        <f>'Laskenta poistopuoli 350'!$AN$44</f>
        <v>61.422449053821531</v>
      </c>
      <c r="BC27" s="108">
        <f>'Laskenta poistopuoli 350'!$W$6</f>
        <v>49.871294227436977</v>
      </c>
      <c r="BD27" s="299" t="e">
        <f>'Laskenta vaipan läpi 350'!$L$39</f>
        <v>#VALUE!</v>
      </c>
      <c r="BE27" s="299" t="e">
        <f>'Laskenta vaipan läpi 350'!$M$39</f>
        <v>#VALUE!</v>
      </c>
      <c r="BF27" s="299" t="e">
        <f>'Laskenta vaipan läpi 350'!$N$39</f>
        <v>#VALUE!</v>
      </c>
      <c r="BG27" s="299" t="e">
        <f>'Laskenta vaipan läpi 350'!$O$39</f>
        <v>#VALUE!</v>
      </c>
      <c r="BH27" s="299" t="e">
        <f>'Laskenta vaipan läpi 350'!$P$39</f>
        <v>#VALUE!</v>
      </c>
      <c r="BI27" s="299" t="e">
        <f>'Laskenta vaipan läpi 350'!$Q$39</f>
        <v>#VALUE!</v>
      </c>
      <c r="BJ27" s="299" t="e">
        <f>'Laskenta vaipan läpi 350'!$R$39</f>
        <v>#VALUE!</v>
      </c>
      <c r="BK27" s="299" t="e">
        <f>'Laskenta vaipan läpi 350'!$S$39</f>
        <v>#VALUE!</v>
      </c>
      <c r="BL27" s="299" t="e">
        <f>'Laskenta vaipan läpi 350'!$T$39</f>
        <v>#VALUE!</v>
      </c>
      <c r="BM27" s="300" t="e">
        <f>'Laskenta vaipan läpi 350'!$C$35</f>
        <v>#VALUE!</v>
      </c>
      <c r="BN27" s="80" t="e">
        <f>BM27+10*LOG10(4/10)</f>
        <v>#VALUE!</v>
      </c>
      <c r="BO27" s="80" t="e">
        <f>BM27+10*LOG10(4/2.5)</f>
        <v>#VALUE!</v>
      </c>
      <c r="BS27" t="s">
        <v>560</v>
      </c>
      <c r="BT27" s="4" t="s">
        <v>393</v>
      </c>
      <c r="BU27" s="4" t="s">
        <v>393</v>
      </c>
      <c r="BV27" s="4" t="s">
        <v>393</v>
      </c>
      <c r="BW27" s="4" t="s">
        <v>393</v>
      </c>
      <c r="BX27" s="4" t="s">
        <v>393</v>
      </c>
      <c r="BY27" s="4" t="s">
        <v>393</v>
      </c>
      <c r="BZ27" s="4" t="s">
        <v>393</v>
      </c>
      <c r="CA27" s="4" t="s">
        <v>393</v>
      </c>
      <c r="CB27" s="4" t="s">
        <v>393</v>
      </c>
      <c r="CC27" s="4" t="s">
        <v>393</v>
      </c>
      <c r="CI27" s="39" t="s">
        <v>393</v>
      </c>
      <c r="CJ27" s="39" t="s">
        <v>393</v>
      </c>
      <c r="CL27" t="s">
        <v>587</v>
      </c>
      <c r="CM27" t="str" cm="1">
        <f t="array" ref="CM27">INDEX(Kirjasto!D4:K125,14,Kirjasto!B4)</f>
        <v>Wtyczka 230 V, 50 Hz, 10 A, maks. 1255 W</v>
      </c>
      <c r="CR27" t="str">
        <f t="shared" si="21"/>
        <v>Model 130</v>
      </c>
      <c r="CV27" s="619">
        <f>'Laskenta tulopuoli 130'!$AS$34</f>
        <v>1.4101359450747566</v>
      </c>
      <c r="CW27" s="619">
        <f>'Laskenta poistopuoli 130'!$AS$34</f>
        <v>0.91673910212069809</v>
      </c>
      <c r="CX27" s="4" t="b">
        <f>'Laskenta tulopuoli 130'!$AV$34</f>
        <v>1</v>
      </c>
      <c r="CY27" s="4" t="b">
        <f>'Laskenta poistopuoli 130'!$AV$34</f>
        <v>1</v>
      </c>
      <c r="CZ27" s="5">
        <f>'Laskenta tulopuoli 130'!$AV$36</f>
        <v>4.4511971881273702</v>
      </c>
      <c r="DA27" s="5">
        <f>'Laskenta poistopuoli 130'!$AV$36</f>
        <v>4.9813251997846519</v>
      </c>
      <c r="DG27" s="483">
        <v>5</v>
      </c>
      <c r="DI27" t="s">
        <v>560</v>
      </c>
      <c r="DK27" s="619" t="str">
        <f>'Kojeet ja kennon hyötysuhde'!N8</f>
        <v>-</v>
      </c>
      <c r="DL27" s="619" t="str">
        <f>'Kojeet ja kennon hyötysuhde'!O8</f>
        <v>-</v>
      </c>
      <c r="DN27" s="39">
        <f>IF($DN$18,"-",3*2380)</f>
        <v>7140</v>
      </c>
    </row>
    <row r="28" spans="1:118" x14ac:dyDescent="0.15">
      <c r="A28" s="483">
        <v>6</v>
      </c>
      <c r="C28" t="s">
        <v>585</v>
      </c>
      <c r="D28" t="b">
        <f>'Laskenta tulopuoli 130'!$W$10</f>
        <v>0</v>
      </c>
      <c r="E28" s="32">
        <f>'Laskenta tulopuoli 130'!$W$9</f>
        <v>3.7119815086198944</v>
      </c>
      <c r="F28" s="5">
        <f>'Laskenta tulopuoli 130'!$W$14</f>
        <v>10.476141320035765</v>
      </c>
      <c r="G28" t="b">
        <f>'Laskenta poistopuoli 130'!$W$10</f>
        <v>0</v>
      </c>
      <c r="H28" s="32">
        <f>'Laskenta poistopuoli 130'!$W$9</f>
        <v>4.0101274764904495</v>
      </c>
      <c r="I28" s="5">
        <f>'Laskenta poistopuoli 130'!$W$14</f>
        <v>10.866355056765862</v>
      </c>
      <c r="J28" s="4">
        <v>4.4000000000000004</v>
      </c>
      <c r="K28" s="5">
        <f t="shared" si="22"/>
        <v>25.742496376801626</v>
      </c>
      <c r="L28" s="32">
        <f>K28/MAX('R-series ALU'!$E$33,'R-series ALU'!$G$33)</f>
        <v>2.6477996273281672</v>
      </c>
      <c r="M28" s="4">
        <f>130*0.7</f>
        <v>91</v>
      </c>
      <c r="N28" s="99">
        <v>1.5171246730812864</v>
      </c>
      <c r="O28" s="843">
        <v>0.77500000000000002</v>
      </c>
      <c r="P28" s="80">
        <f>'Laskenta tulopuoli 130'!$AF$44</f>
        <v>63.3524243495241</v>
      </c>
      <c r="Q28" s="80">
        <f>'Laskenta tulopuoli 130'!$AG$44</f>
        <v>62.3524243495241</v>
      </c>
      <c r="R28" s="80">
        <f>'Laskenta tulopuoli 130'!$AH$44</f>
        <v>55.3524243495241</v>
      </c>
      <c r="S28" s="80">
        <f>'Laskenta tulopuoli 130'!$AI$44</f>
        <v>50.3524243495241</v>
      </c>
      <c r="T28" s="80">
        <f>'Laskenta tulopuoli 130'!$AJ$44</f>
        <v>45.3524243495241</v>
      </c>
      <c r="U28" s="80">
        <f>'Laskenta tulopuoli 130'!$AK$44</f>
        <v>44.3524243495241</v>
      </c>
      <c r="V28" s="80">
        <f>'Laskenta tulopuoli 130'!$AL$44</f>
        <v>38.3524243495241</v>
      </c>
      <c r="W28" s="80">
        <f>'Laskenta tulopuoli 130'!$AM$44</f>
        <v>28.3524243495241</v>
      </c>
      <c r="X28" s="80">
        <f>'Laskenta tulopuoli 130'!$AN$44</f>
        <v>66.43775469081254</v>
      </c>
      <c r="Y28" s="108">
        <f>'Laskenta tulopuoli 130'!$W$6</f>
        <v>53.3524243495241</v>
      </c>
      <c r="Z28" s="80">
        <f>'Laskenta tulopuoli 130'!$AF$43</f>
        <v>54.802249477385189</v>
      </c>
      <c r="AA28" s="80">
        <f>'Laskenta tulopuoli 130'!$AG$43</f>
        <v>51.802249477385189</v>
      </c>
      <c r="AB28" s="80">
        <f>'Laskenta tulopuoli 130'!$AH$43</f>
        <v>44.802249477385189</v>
      </c>
      <c r="AC28" s="80">
        <f>'Laskenta tulopuoli 130'!$AI$43</f>
        <v>37.802249477385189</v>
      </c>
      <c r="AD28" s="80">
        <f>'Laskenta tulopuoli 130'!$AJ$43</f>
        <v>29.802249477385189</v>
      </c>
      <c r="AE28" s="80">
        <f>'Laskenta tulopuoli 130'!$AK$43</f>
        <v>23.802249477385189</v>
      </c>
      <c r="AF28" s="80">
        <f>'Laskenta tulopuoli 130'!$AL$43</f>
        <v>15.802249477385189</v>
      </c>
      <c r="AG28" s="80">
        <f>'Laskenta tulopuoli 130'!$AM$43</f>
        <v>6.8022494773851889</v>
      </c>
      <c r="AH28" s="80">
        <f>'Laskenta tulopuoli 130'!$AN$43</f>
        <v>56.911419703852189</v>
      </c>
      <c r="AI28" s="108">
        <f>'Laskenta tulopuoli 130'!$W$5</f>
        <v>40.802249477385189</v>
      </c>
      <c r="AJ28" s="80">
        <f>'Laskenta poistopuoli 130'!$AF$43</f>
        <v>52.55210182060717</v>
      </c>
      <c r="AK28" s="80">
        <f>'Laskenta poistopuoli 130'!$AG$43</f>
        <v>50.55210182060717</v>
      </c>
      <c r="AL28" s="80">
        <f>'Laskenta poistopuoli 130'!$AH$43</f>
        <v>43.55210182060717</v>
      </c>
      <c r="AM28" s="80">
        <f>'Laskenta poistopuoli 130'!$AI$43</f>
        <v>38.55210182060717</v>
      </c>
      <c r="AN28" s="80">
        <f>'Laskenta poistopuoli 130'!$AJ$43</f>
        <v>35.55210182060717</v>
      </c>
      <c r="AO28" s="80">
        <f>'Laskenta poistopuoli 130'!$AK$43</f>
        <v>28.55210182060717</v>
      </c>
      <c r="AP28" s="80">
        <f>'Laskenta poistopuoli 130'!$AL$43</f>
        <v>17.55210182060717</v>
      </c>
      <c r="AQ28" s="80">
        <f>'Laskenta poistopuoli 130'!$AM$43</f>
        <v>9.5521018206071702</v>
      </c>
      <c r="AR28" s="80">
        <f>'Laskenta poistopuoli 130'!$AN$43</f>
        <v>55.155107416653777</v>
      </c>
      <c r="AS28" s="108">
        <f>'Laskenta poistopuoli 130'!$W$5</f>
        <v>41.55210182060717</v>
      </c>
      <c r="AT28" s="80">
        <f>'Laskenta poistopuoli 130'!$AF$44</f>
        <v>66.878098091357003</v>
      </c>
      <c r="AU28" s="80">
        <f>'Laskenta poistopuoli 130'!$AG$44</f>
        <v>64.878098091357003</v>
      </c>
      <c r="AV28" s="80">
        <f>'Laskenta poistopuoli 130'!$AH$44</f>
        <v>60.878098091357003</v>
      </c>
      <c r="AW28" s="80">
        <f>'Laskenta poistopuoli 130'!$AI$44</f>
        <v>54.878098091357003</v>
      </c>
      <c r="AX28" s="80">
        <f>'Laskenta poistopuoli 130'!$AJ$44</f>
        <v>50.878098091357003</v>
      </c>
      <c r="AY28" s="80">
        <f>'Laskenta poistopuoli 130'!$AK$44</f>
        <v>48.878098091357003</v>
      </c>
      <c r="AZ28" s="80">
        <f>'Laskenta poistopuoli 130'!$AL$44</f>
        <v>41.878098091357003</v>
      </c>
      <c r="BA28" s="80">
        <f>'Laskenta poistopuoli 130'!$AM$44</f>
        <v>31.878098091357003</v>
      </c>
      <c r="BB28" s="80">
        <f>'Laskenta poistopuoli 130'!$AN$44</f>
        <v>69.865947949988765</v>
      </c>
      <c r="BC28" s="108">
        <f>'Laskenta poistopuoli 130'!$W$6</f>
        <v>57.878098091357003</v>
      </c>
      <c r="BD28" s="80" t="e">
        <f>'Laskenta vaipan läpi 130'!$L$39</f>
        <v>#VALUE!</v>
      </c>
      <c r="BE28" s="80" t="e">
        <f>'Laskenta vaipan läpi 130'!$M$39</f>
        <v>#VALUE!</v>
      </c>
      <c r="BF28" s="80" t="e">
        <f>'Laskenta vaipan läpi 130'!$N$39</f>
        <v>#VALUE!</v>
      </c>
      <c r="BG28" s="80" t="e">
        <f>'Laskenta vaipan läpi 130'!$O$39</f>
        <v>#VALUE!</v>
      </c>
      <c r="BH28" s="80" t="e">
        <f>'Laskenta vaipan läpi 130'!$P$39</f>
        <v>#VALUE!</v>
      </c>
      <c r="BI28" s="80" t="e">
        <f>'Laskenta vaipan läpi 130'!$Q$39</f>
        <v>#VALUE!</v>
      </c>
      <c r="BJ28" s="80" t="e">
        <f>'Laskenta vaipan läpi 130'!$R$39</f>
        <v>#VALUE!</v>
      </c>
      <c r="BK28" s="80" t="e">
        <f>'Laskenta vaipan läpi 130'!$S$39</f>
        <v>#VALUE!</v>
      </c>
      <c r="BL28" s="80" t="e">
        <f>'Laskenta vaipan läpi 130'!$T$39</f>
        <v>#VALUE!</v>
      </c>
      <c r="BM28" s="108" t="e">
        <f>'Laskenta vaipan läpi 130'!$C$35</f>
        <v>#VALUE!</v>
      </c>
      <c r="BN28" s="80" t="e">
        <f t="shared" ref="BN28" si="26">BM28+10*LOG10(4/10)</f>
        <v>#VALUE!</v>
      </c>
      <c r="BO28" s="80" t="e">
        <f t="shared" ref="BO28" si="27">BM28+10*LOG10(4/2.5)</f>
        <v>#VALUE!</v>
      </c>
      <c r="BS28" t="s">
        <v>585</v>
      </c>
      <c r="BT28" s="485" t="e">
        <f>BT23</f>
        <v>#VALUE!</v>
      </c>
      <c r="BU28" s="485" t="e">
        <f t="shared" ref="BU28:CC28" si="28">BU23</f>
        <v>#VALUE!</v>
      </c>
      <c r="BV28" s="485" t="e">
        <f t="shared" si="28"/>
        <v>#VALUE!</v>
      </c>
      <c r="BW28" s="485" t="e">
        <f t="shared" si="28"/>
        <v>#VALUE!</v>
      </c>
      <c r="BX28" s="485" t="e">
        <f t="shared" si="28"/>
        <v>#VALUE!</v>
      </c>
      <c r="BY28" s="485" t="e">
        <f t="shared" si="28"/>
        <v>#VALUE!</v>
      </c>
      <c r="BZ28" s="485" t="e">
        <f t="shared" si="28"/>
        <v>#VALUE!</v>
      </c>
      <c r="CA28" s="485" t="e">
        <f t="shared" si="28"/>
        <v>#VALUE!</v>
      </c>
      <c r="CB28" s="485" t="e">
        <f t="shared" si="28"/>
        <v>#VALUE!</v>
      </c>
      <c r="CC28" s="485" t="e">
        <f t="shared" si="28"/>
        <v>#VALUE!</v>
      </c>
      <c r="CI28" s="39" t="s">
        <v>393</v>
      </c>
      <c r="CJ28" s="39" t="s">
        <v>393</v>
      </c>
      <c r="CL28" t="s">
        <v>2672</v>
      </c>
      <c r="CM28" t="str" cm="1">
        <f t="array" ref="CM28">INDEX(Kirjasto!D4:K500,9,Kirjasto!B4)</f>
        <v>Wtyczka 230 V, 50 Hz, 10 A, maks. 1165 W</v>
      </c>
      <c r="CR28" t="s">
        <v>2670</v>
      </c>
      <c r="CV28" s="619">
        <f>'Laskenta tulopuoli 53mini'!$AS$34</f>
        <v>1.6760163819310541</v>
      </c>
      <c r="CW28" s="619">
        <f>'Laskenta poistopuoli 53mini'!$AS$34</f>
        <v>1.736505861373709</v>
      </c>
      <c r="CX28" s="4" t="b">
        <f>'Laskenta tulopuoli 53mini'!$AV$34</f>
        <v>1</v>
      </c>
      <c r="CY28" s="4" t="b">
        <f>'Laskenta poistopuoli 53mini'!$AV$34</f>
        <v>1</v>
      </c>
      <c r="CZ28" s="5">
        <f>'Laskenta tulopuoli 53mini'!$AV$36</f>
        <v>4.5570977403935098</v>
      </c>
      <c r="DA28" s="5">
        <f>'Laskenta poistopuoli 53mini'!$AV$36</f>
        <v>5.0650498006182492</v>
      </c>
      <c r="DG28" s="483">
        <v>6</v>
      </c>
      <c r="DI28" t="s">
        <v>585</v>
      </c>
      <c r="DK28" s="619" t="str">
        <f>'Kojeet ja kennon hyötysuhde'!N9</f>
        <v>-</v>
      </c>
      <c r="DL28" s="619" t="str">
        <f>'Kojeet ja kennon hyötysuhde'!O9</f>
        <v>-</v>
      </c>
      <c r="DN28">
        <v>920</v>
      </c>
    </row>
    <row r="29" spans="1:118" ht="15" x14ac:dyDescent="0.2">
      <c r="A29" s="483">
        <v>7</v>
      </c>
      <c r="C29" t="s">
        <v>2670</v>
      </c>
      <c r="D29" t="b">
        <f>'Laskenta tulopuoli 53mini'!$W$10</f>
        <v>0</v>
      </c>
      <c r="E29" s="32">
        <f>'Laskenta tulopuoli 53mini'!$W$9</f>
        <v>3.8732271670147895</v>
      </c>
      <c r="F29" s="5">
        <f>'Laskenta tulopuoli 53mini'!$W$14</f>
        <v>10.030011429004201</v>
      </c>
      <c r="G29" t="b">
        <f>'Laskenta poistopuoli 53mini'!$W$10</f>
        <v>0</v>
      </c>
      <c r="H29" s="32">
        <f>'Laskenta poistopuoli 53mini'!$W$9</f>
        <v>4.2224887892319165</v>
      </c>
      <c r="I29" s="5">
        <f>'Laskenta poistopuoli 53mini'!$W$14</f>
        <v>9.8753865152497227</v>
      </c>
      <c r="J29" s="1423">
        <v>4.4000000000000004</v>
      </c>
      <c r="K29" s="5">
        <f t="shared" si="22"/>
        <v>24.305397944253926</v>
      </c>
      <c r="L29" s="32">
        <f>K29/MAX('R-series ALU'!$E$33,'R-series ALU'!$G$33)</f>
        <v>2.4999837885518326</v>
      </c>
      <c r="M29" s="1463">
        <v>63</v>
      </c>
      <c r="N29" s="1464">
        <v>1.4430000000000001</v>
      </c>
      <c r="O29" s="1465">
        <v>0.79700000000000004</v>
      </c>
      <c r="P29" s="80">
        <f>'Laskenta tulopuoli 53mini'!$AG$51</f>
        <v>68.390620981661087</v>
      </c>
      <c r="Q29" s="80">
        <f>'Laskenta tulopuoli 53mini'!$AH$51</f>
        <v>62.390620981661087</v>
      </c>
      <c r="R29" s="80">
        <f>'Laskenta tulopuoli 53mini'!$AI$51</f>
        <v>57.390620981661087</v>
      </c>
      <c r="S29" s="80">
        <f>'Laskenta tulopuoli 53mini'!$AJ$51</f>
        <v>50.390620981661087</v>
      </c>
      <c r="T29" s="80">
        <f>'Laskenta tulopuoli 53mini'!$AK$51</f>
        <v>48.390620981661087</v>
      </c>
      <c r="U29" s="80">
        <f>'Laskenta tulopuoli 53mini'!$AL$51</f>
        <v>42.390620981661087</v>
      </c>
      <c r="V29" s="80">
        <f>'Laskenta tulopuoli 53mini'!$AM$51</f>
        <v>33.390620981661087</v>
      </c>
      <c r="W29" s="80">
        <f>'Laskenta tulopuoli 53mini'!$AN$51</f>
        <v>20.390620981661087</v>
      </c>
      <c r="X29" s="80">
        <f>'Laskenta tulopuoli 53mini'!$AO$51</f>
        <v>69.723820035769251</v>
      </c>
      <c r="Y29" s="108">
        <f>'Laskenta tulopuoli 53mini'!$W$6</f>
        <v>54.390620981661087</v>
      </c>
      <c r="Z29" s="80">
        <f>'Laskenta tulopuoli 53mini'!$AG$45</f>
        <v>60.188273100099721</v>
      </c>
      <c r="AA29" s="80">
        <f>'Laskenta tulopuoli 53mini'!$AH$45</f>
        <v>54.188273100099721</v>
      </c>
      <c r="AB29" s="80">
        <f>'Laskenta tulopuoli 53mini'!$AI$45</f>
        <v>44.188273100099721</v>
      </c>
      <c r="AC29" s="80">
        <f>'Laskenta tulopuoli 53mini'!$AJ$45</f>
        <v>34.188273100099721</v>
      </c>
      <c r="AD29" s="80">
        <f>'Laskenta tulopuoli 53mini'!$AK$45</f>
        <v>24.188273100099721</v>
      </c>
      <c r="AE29" s="80">
        <f>'Laskenta tulopuoli 53mini'!$AL$45</f>
        <v>17.188273100099721</v>
      </c>
      <c r="AF29" s="80">
        <f>'Laskenta tulopuoli 53mini'!$AM$45</f>
        <v>12.188273100099721</v>
      </c>
      <c r="AG29" s="80">
        <f>'Laskenta tulopuoli 53mini'!$AN$45</f>
        <v>17.188273100099721</v>
      </c>
      <c r="AH29" s="80">
        <f>'Laskenta tulopuoli 53mini'!$AO$45</f>
        <v>61.257612347593096</v>
      </c>
      <c r="AI29" s="108">
        <f>'Laskenta tulopuoli 53mini'!$W$5</f>
        <v>41.188273100099721</v>
      </c>
      <c r="AJ29" s="80">
        <f>'Laskenta poistopuoli 53mini'!$AG$45</f>
        <v>62.048070361263228</v>
      </c>
      <c r="AK29" s="80">
        <f>'Laskenta poistopuoli 53mini'!$AH$45</f>
        <v>59.048070361263228</v>
      </c>
      <c r="AL29" s="80">
        <f>'Laskenta poistopuoli 53mini'!$AI$45</f>
        <v>50.048070361263228</v>
      </c>
      <c r="AM29" s="80">
        <f>'Laskenta poistopuoli 53mini'!$AJ$45</f>
        <v>38.048070361263228</v>
      </c>
      <c r="AN29" s="80">
        <f>'Laskenta poistopuoli 53mini'!$AK$45</f>
        <v>34.048070361263228</v>
      </c>
      <c r="AO29" s="80">
        <f>'Laskenta poistopuoli 53mini'!$AL$45</f>
        <v>20.048070361263228</v>
      </c>
      <c r="AP29" s="80">
        <f>'Laskenta poistopuoli 53mini'!$AM$45</f>
        <v>14.048070361263228</v>
      </c>
      <c r="AQ29" s="80">
        <f>'Laskenta poistopuoli 53mini'!$AN$45</f>
        <v>20.048070361263228</v>
      </c>
      <c r="AR29" s="80">
        <f>'Laskenta poistopuoli 53mini'!$AO$45</f>
        <v>64.007041915769051</v>
      </c>
      <c r="AS29" s="108">
        <f>'Laskenta poistopuoli 53mini'!$W$5</f>
        <v>46.048070361263228</v>
      </c>
      <c r="AT29" s="80">
        <f>'Laskenta poistopuoli 53mini'!$AG$51</f>
        <v>72.732711914755939</v>
      </c>
      <c r="AU29" s="80">
        <f>'Laskenta poistopuoli 53mini'!$AH$51</f>
        <v>67.732711914755939</v>
      </c>
      <c r="AV29" s="80">
        <f>'Laskenta poistopuoli 53mini'!$AI$51</f>
        <v>62.732711914755939</v>
      </c>
      <c r="AW29" s="80">
        <f>'Laskenta poistopuoli 53mini'!$AJ$51</f>
        <v>57.732711914755939</v>
      </c>
      <c r="AX29" s="80">
        <f>'Laskenta poistopuoli 53mini'!$AK$51</f>
        <v>55.732711914755939</v>
      </c>
      <c r="AY29" s="80">
        <f>'Laskenta poistopuoli 53mini'!$AL$51</f>
        <v>48.732711914755939</v>
      </c>
      <c r="AZ29" s="80">
        <f>'Laskenta poistopuoli 53mini'!$AM$51</f>
        <v>39.732711914755939</v>
      </c>
      <c r="BA29" s="80">
        <f>'Laskenta poistopuoli 53mini'!$AN$51</f>
        <v>28.732711914755939</v>
      </c>
      <c r="BB29" s="80">
        <f>'Laskenta poistopuoli 53mini'!$AO$51</f>
        <v>74.412749473658124</v>
      </c>
      <c r="BC29" s="108">
        <f>'Laskenta poistopuoli 53mini'!$W$6</f>
        <v>60.732711914755939</v>
      </c>
      <c r="BD29" s="80" t="e">
        <f>'Laskenta vaipan läpi 53mini'!$L$41</f>
        <v>#VALUE!</v>
      </c>
      <c r="BE29" s="80" t="e">
        <f>'Laskenta vaipan läpi 53mini'!$M$41</f>
        <v>#VALUE!</v>
      </c>
      <c r="BF29" s="80" t="e">
        <f>'Laskenta vaipan läpi 53mini'!$N$41</f>
        <v>#VALUE!</v>
      </c>
      <c r="BG29" s="80" t="e">
        <f>'Laskenta vaipan läpi 53mini'!$O$41</f>
        <v>#VALUE!</v>
      </c>
      <c r="BH29" s="80" t="e">
        <f>'Laskenta vaipan läpi 53mini'!$P$41</f>
        <v>#VALUE!</v>
      </c>
      <c r="BI29" s="80" t="e">
        <f>'Laskenta vaipan läpi 53mini'!$Q$41</f>
        <v>#VALUE!</v>
      </c>
      <c r="BJ29" s="80" t="e">
        <f>'Laskenta vaipan läpi 53mini'!$R$41</f>
        <v>#VALUE!</v>
      </c>
      <c r="BK29" s="80" t="e">
        <f>'Laskenta vaipan läpi 53mini'!$S$41</f>
        <v>#VALUE!</v>
      </c>
      <c r="BL29" s="80" t="e">
        <f>'Laskenta vaipan läpi 53mini'!$T$41</f>
        <v>#VALUE!</v>
      </c>
      <c r="BM29" s="108" t="e">
        <f>'Laskenta vaipan läpi 53mini'!$C$37</f>
        <v>#VALUE!</v>
      </c>
      <c r="BN29" s="80" t="e">
        <f t="shared" ref="BN29" si="29">BM29+10*LOG10(4/10)</f>
        <v>#VALUE!</v>
      </c>
      <c r="BO29" s="80" t="e">
        <f t="shared" ref="BO29" si="30">BM29+10*LOG10(4/2.5)</f>
        <v>#VALUE!</v>
      </c>
      <c r="BS29" t="s">
        <v>2670</v>
      </c>
      <c r="BT29" s="80" t="e">
        <f>'Laskenta keittiöohitus 53mini'!C16</f>
        <v>#VALUE!</v>
      </c>
      <c r="BU29" s="80" t="e">
        <f>'Laskenta keittiöohitus 53mini'!D16</f>
        <v>#VALUE!</v>
      </c>
      <c r="BV29" s="80" t="e">
        <f>'Laskenta keittiöohitus 53mini'!E16</f>
        <v>#VALUE!</v>
      </c>
      <c r="BW29" s="80" t="e">
        <f>'Laskenta keittiöohitus 53mini'!F16</f>
        <v>#VALUE!</v>
      </c>
      <c r="BX29" s="80" t="e">
        <f>'Laskenta keittiöohitus 53mini'!G16</f>
        <v>#VALUE!</v>
      </c>
      <c r="BY29" s="80" t="e">
        <f>'Laskenta keittiöohitus 53mini'!H16</f>
        <v>#VALUE!</v>
      </c>
      <c r="BZ29" s="80" t="e">
        <f>'Laskenta keittiöohitus 53mini'!I16</f>
        <v>#VALUE!</v>
      </c>
      <c r="CA29" s="80" t="e">
        <f>'Laskenta keittiöohitus 53mini'!J16</f>
        <v>#VALUE!</v>
      </c>
      <c r="CB29" s="80" t="e">
        <f>'Laskenta keittiöohitus 53mini'!K16</f>
        <v>#VALUE!</v>
      </c>
      <c r="CC29" s="80" t="e">
        <f>'Laskenta keittiöohitus 53mini'!L16</f>
        <v>#VALUE!</v>
      </c>
      <c r="DG29" s="483">
        <v>7</v>
      </c>
      <c r="DI29" t="s">
        <v>2669</v>
      </c>
      <c r="DK29" s="619" t="str">
        <f>'Kojeet ja kennon hyötysuhde'!N10</f>
        <v>-</v>
      </c>
      <c r="DL29" s="619" t="str">
        <f>'Kojeet ja kennon hyötysuhde'!O10</f>
        <v>-</v>
      </c>
      <c r="DN29" s="1436">
        <v>920</v>
      </c>
    </row>
    <row r="30" spans="1:118" x14ac:dyDescent="0.15">
      <c r="O30" s="317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BD30" s="80"/>
      <c r="BE30" s="80"/>
      <c r="BF30" s="80"/>
      <c r="BG30" s="80"/>
      <c r="BH30" s="80"/>
      <c r="BI30" s="80"/>
      <c r="BJ30" s="80"/>
      <c r="BK30" s="80"/>
      <c r="BL30" s="80"/>
      <c r="BM30" s="108"/>
      <c r="BN30" s="80"/>
      <c r="BO30" s="80"/>
    </row>
    <row r="31" spans="1:118" x14ac:dyDescent="0.15">
      <c r="O31" s="734" t="s">
        <v>426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118" x14ac:dyDescent="0.15">
      <c r="O32" s="2" t="s">
        <v>1266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3:118" x14ac:dyDescent="0.15">
      <c r="O33" s="272" t="s">
        <v>1953</v>
      </c>
      <c r="BD33" t="s">
        <v>586</v>
      </c>
    </row>
    <row r="34" spans="3:118" x14ac:dyDescent="0.15">
      <c r="D34" s="2" t="s">
        <v>44</v>
      </c>
      <c r="G34" s="2" t="s">
        <v>58</v>
      </c>
      <c r="J34" s="2" t="s">
        <v>73</v>
      </c>
      <c r="P34" s="2" t="s">
        <v>29</v>
      </c>
      <c r="Z34" s="2" t="s">
        <v>26</v>
      </c>
      <c r="AJ34" s="2" t="s">
        <v>55</v>
      </c>
      <c r="AT34" s="2" t="s">
        <v>56</v>
      </c>
      <c r="BD34" s="2" t="s">
        <v>96</v>
      </c>
      <c r="BT34" s="2" t="s">
        <v>390</v>
      </c>
      <c r="CR34" s="2" t="s">
        <v>1121</v>
      </c>
      <c r="CV34" s="2" t="s">
        <v>1111</v>
      </c>
      <c r="CX34" s="2" t="s">
        <v>117</v>
      </c>
      <c r="CZ34" s="2" t="s">
        <v>79</v>
      </c>
      <c r="DC34" t="s">
        <v>1157</v>
      </c>
    </row>
    <row r="35" spans="3:118" x14ac:dyDescent="0.15">
      <c r="D35" s="2" t="s">
        <v>117</v>
      </c>
      <c r="E35" s="2" t="s">
        <v>18</v>
      </c>
      <c r="F35" s="2" t="s">
        <v>54</v>
      </c>
      <c r="G35" s="2" t="s">
        <v>117</v>
      </c>
      <c r="H35" s="2" t="s">
        <v>18</v>
      </c>
      <c r="I35" s="2" t="s">
        <v>54</v>
      </c>
      <c r="J35" s="2" t="s">
        <v>54</v>
      </c>
      <c r="K35" s="2" t="s">
        <v>121</v>
      </c>
      <c r="L35" s="2" t="s">
        <v>75</v>
      </c>
      <c r="M35" s="2" t="s">
        <v>203</v>
      </c>
      <c r="N35" s="2" t="s">
        <v>202</v>
      </c>
      <c r="O35" s="2" t="s">
        <v>189</v>
      </c>
      <c r="P35" s="104">
        <v>63</v>
      </c>
      <c r="Q35" s="104">
        <v>125</v>
      </c>
      <c r="R35" s="104">
        <v>250</v>
      </c>
      <c r="S35" s="104">
        <v>500</v>
      </c>
      <c r="T35" s="104">
        <v>1000</v>
      </c>
      <c r="U35" s="104">
        <v>2000</v>
      </c>
      <c r="V35" s="104">
        <v>4000</v>
      </c>
      <c r="W35" s="104">
        <v>8000</v>
      </c>
      <c r="X35" s="104" t="s">
        <v>70</v>
      </c>
      <c r="Y35" s="104" t="s">
        <v>27</v>
      </c>
      <c r="Z35" s="104">
        <v>63</v>
      </c>
      <c r="AA35" s="104">
        <v>125</v>
      </c>
      <c r="AB35" s="104">
        <v>250</v>
      </c>
      <c r="AC35" s="104">
        <v>500</v>
      </c>
      <c r="AD35" s="104">
        <v>1000</v>
      </c>
      <c r="AE35" s="104">
        <v>2000</v>
      </c>
      <c r="AF35" s="104">
        <v>4000</v>
      </c>
      <c r="AG35" s="104">
        <v>8000</v>
      </c>
      <c r="AH35" s="104" t="s">
        <v>70</v>
      </c>
      <c r="AI35" s="104" t="s">
        <v>27</v>
      </c>
      <c r="AJ35" s="104">
        <v>63</v>
      </c>
      <c r="AK35" s="104">
        <v>125</v>
      </c>
      <c r="AL35" s="104">
        <v>250</v>
      </c>
      <c r="AM35" s="104">
        <v>500</v>
      </c>
      <c r="AN35" s="104">
        <v>1000</v>
      </c>
      <c r="AO35" s="104">
        <v>2000</v>
      </c>
      <c r="AP35" s="104">
        <v>4000</v>
      </c>
      <c r="AQ35" s="104">
        <v>8000</v>
      </c>
      <c r="AR35" s="104" t="s">
        <v>70</v>
      </c>
      <c r="AS35" s="104" t="s">
        <v>27</v>
      </c>
      <c r="AT35" s="104">
        <v>63</v>
      </c>
      <c r="AU35" s="104">
        <v>125</v>
      </c>
      <c r="AV35" s="104">
        <v>250</v>
      </c>
      <c r="AW35" s="104">
        <v>500</v>
      </c>
      <c r="AX35" s="104">
        <v>1000</v>
      </c>
      <c r="AY35" s="104">
        <v>2000</v>
      </c>
      <c r="AZ35" s="104">
        <v>4000</v>
      </c>
      <c r="BA35" s="104">
        <v>8000</v>
      </c>
      <c r="BB35" s="104" t="s">
        <v>70</v>
      </c>
      <c r="BC35" s="104" t="s">
        <v>27</v>
      </c>
      <c r="BD35" s="104">
        <v>63</v>
      </c>
      <c r="BE35" s="104">
        <v>125</v>
      </c>
      <c r="BF35" s="104">
        <v>250</v>
      </c>
      <c r="BG35" s="104">
        <v>500</v>
      </c>
      <c r="BH35" s="104">
        <v>1000</v>
      </c>
      <c r="BI35" s="104">
        <v>2000</v>
      </c>
      <c r="BJ35" s="104">
        <v>4000</v>
      </c>
      <c r="BK35" s="104">
        <v>8000</v>
      </c>
      <c r="BL35" s="104" t="s">
        <v>70</v>
      </c>
      <c r="BM35" s="104" t="s">
        <v>27</v>
      </c>
      <c r="BN35" t="s">
        <v>97</v>
      </c>
      <c r="BO35" t="s">
        <v>98</v>
      </c>
      <c r="BQ35" s="2" t="s">
        <v>166</v>
      </c>
      <c r="BR35" s="2" t="s">
        <v>186</v>
      </c>
      <c r="BT35" s="104">
        <v>63</v>
      </c>
      <c r="BU35" s="104">
        <v>125</v>
      </c>
      <c r="BV35" s="104">
        <v>250</v>
      </c>
      <c r="BW35" s="104">
        <v>500</v>
      </c>
      <c r="BX35" s="104">
        <v>1000</v>
      </c>
      <c r="BY35" s="104">
        <v>2000</v>
      </c>
      <c r="BZ35" s="104">
        <v>4000</v>
      </c>
      <c r="CA35" s="104">
        <v>8000</v>
      </c>
      <c r="CB35" s="104" t="s">
        <v>70</v>
      </c>
      <c r="CC35" s="104" t="s">
        <v>27</v>
      </c>
      <c r="CI35" s="104" t="s">
        <v>530</v>
      </c>
      <c r="CJ35" s="104" t="s">
        <v>531</v>
      </c>
      <c r="CM35" s="241" t="str">
        <f>CM21</f>
        <v>Sähkönsyöttö, teksti</v>
      </c>
      <c r="CR35" t="s">
        <v>7</v>
      </c>
      <c r="CS35" t="s">
        <v>8</v>
      </c>
      <c r="CT35" t="s">
        <v>7</v>
      </c>
      <c r="CU35" t="s">
        <v>8</v>
      </c>
      <c r="CV35" t="s">
        <v>7</v>
      </c>
      <c r="CW35" t="s">
        <v>8</v>
      </c>
      <c r="CX35" t="s">
        <v>7</v>
      </c>
      <c r="CY35" t="s">
        <v>8</v>
      </c>
      <c r="CZ35" t="s">
        <v>7</v>
      </c>
      <c r="DA35" t="s">
        <v>8</v>
      </c>
      <c r="DK35" s="4" t="s">
        <v>1256</v>
      </c>
      <c r="DL35" s="4" t="s">
        <v>1259</v>
      </c>
    </row>
    <row r="36" spans="3:118" x14ac:dyDescent="0.15">
      <c r="C36" t="s">
        <v>21</v>
      </c>
      <c r="D36" t="b">
        <f>INDEX(D23:D29,$C$6)</f>
        <v>0</v>
      </c>
      <c r="E36" s="5">
        <f t="shared" ref="E36:BC36" si="31">INDEX(E23:E29,$C$6)</f>
        <v>3.8473908736238056</v>
      </c>
      <c r="F36" s="5">
        <f t="shared" si="31"/>
        <v>7.8979895296863347</v>
      </c>
      <c r="G36" s="5" t="b">
        <f t="shared" si="31"/>
        <v>0</v>
      </c>
      <c r="H36" s="5">
        <f t="shared" si="31"/>
        <v>4.1995662556104829</v>
      </c>
      <c r="I36" s="5">
        <f t="shared" si="31"/>
        <v>12.469232172648836</v>
      </c>
      <c r="J36" s="5">
        <f t="shared" si="31"/>
        <v>4.4000000000000004</v>
      </c>
      <c r="K36" s="5">
        <f t="shared" si="31"/>
        <v>24.767221702335171</v>
      </c>
      <c r="L36" s="5">
        <f t="shared" si="31"/>
        <v>2.5474856608116179</v>
      </c>
      <c r="M36" s="5">
        <f t="shared" si="31"/>
        <v>62.999999999999993</v>
      </c>
      <c r="N36" s="5">
        <f t="shared" si="31"/>
        <v>1.1864630512155652</v>
      </c>
      <c r="O36" s="5">
        <f t="shared" si="31"/>
        <v>0.79500000000000004</v>
      </c>
      <c r="P36" s="80">
        <f t="shared" si="31"/>
        <v>78.161782851882833</v>
      </c>
      <c r="Q36" s="80">
        <f t="shared" si="31"/>
        <v>61.16178285188284</v>
      </c>
      <c r="R36" s="80">
        <f t="shared" si="31"/>
        <v>57.16178285188284</v>
      </c>
      <c r="S36" s="80">
        <f t="shared" si="31"/>
        <v>54.16178285188284</v>
      </c>
      <c r="T36" s="80">
        <f t="shared" si="31"/>
        <v>48.16178285188284</v>
      </c>
      <c r="U36" s="80">
        <f t="shared" si="31"/>
        <v>46.16178285188284</v>
      </c>
      <c r="V36" s="80">
        <f t="shared" si="31"/>
        <v>41.16178285188284</v>
      </c>
      <c r="W36" s="80">
        <f t="shared" si="31"/>
        <v>33.16178285188284</v>
      </c>
      <c r="X36" s="80">
        <f t="shared" si="31"/>
        <v>78.305892215560576</v>
      </c>
      <c r="Y36" s="80">
        <f t="shared" si="31"/>
        <v>57.16178285188284</v>
      </c>
      <c r="Z36" s="80">
        <f t="shared" si="31"/>
        <v>66.889485128061381</v>
      </c>
      <c r="AA36" s="80">
        <f t="shared" si="31"/>
        <v>49.889485128061388</v>
      </c>
      <c r="AB36" s="80">
        <f t="shared" si="31"/>
        <v>46.889485128061388</v>
      </c>
      <c r="AC36" s="80">
        <f t="shared" si="31"/>
        <v>37.889485128061388</v>
      </c>
      <c r="AD36" s="80">
        <f t="shared" si="31"/>
        <v>27.889485128061388</v>
      </c>
      <c r="AE36" s="80">
        <f t="shared" si="31"/>
        <v>21.889485128061388</v>
      </c>
      <c r="AF36" s="80">
        <f t="shared" si="31"/>
        <v>13.889485128061388</v>
      </c>
      <c r="AG36" s="80">
        <f t="shared" si="31"/>
        <v>10.889485128061388</v>
      </c>
      <c r="AH36" s="80">
        <f t="shared" si="31"/>
        <v>67.023657814562256</v>
      </c>
      <c r="AI36" s="80">
        <f t="shared" si="31"/>
        <v>43.889485128061388</v>
      </c>
      <c r="AJ36" s="80">
        <f t="shared" si="31"/>
        <v>71.455699056189331</v>
      </c>
      <c r="AK36" s="80">
        <f t="shared" si="31"/>
        <v>52.455699056189331</v>
      </c>
      <c r="AL36" s="80">
        <f t="shared" si="31"/>
        <v>47.455699056189331</v>
      </c>
      <c r="AM36" s="80">
        <f t="shared" si="31"/>
        <v>44.455699056189331</v>
      </c>
      <c r="AN36" s="80">
        <f t="shared" si="31"/>
        <v>38.455699056189331</v>
      </c>
      <c r="AO36" s="80">
        <f t="shared" si="31"/>
        <v>31.455699056189331</v>
      </c>
      <c r="AP36" s="80">
        <f t="shared" si="31"/>
        <v>22.455699056189331</v>
      </c>
      <c r="AQ36" s="80">
        <f t="shared" si="31"/>
        <v>16.455699056189331</v>
      </c>
      <c r="AR36" s="80">
        <f t="shared" si="31"/>
        <v>71.538218750310392</v>
      </c>
      <c r="AS36" s="80">
        <f t="shared" si="31"/>
        <v>48.455699056189331</v>
      </c>
      <c r="AT36" s="80">
        <f t="shared" si="31"/>
        <v>79.042661505607697</v>
      </c>
      <c r="AU36" s="80">
        <f t="shared" si="31"/>
        <v>63.042661505607697</v>
      </c>
      <c r="AV36" s="80">
        <f t="shared" si="31"/>
        <v>61.042661505607697</v>
      </c>
      <c r="AW36" s="80">
        <f t="shared" si="31"/>
        <v>54.042661505607697</v>
      </c>
      <c r="AX36" s="80">
        <f t="shared" si="31"/>
        <v>51.042661505607697</v>
      </c>
      <c r="AY36" s="80">
        <f t="shared" si="31"/>
        <v>49.042661505607697</v>
      </c>
      <c r="AZ36" s="80">
        <f t="shared" si="31"/>
        <v>44.042661505607697</v>
      </c>
      <c r="BA36" s="80">
        <f t="shared" si="31"/>
        <v>40.042661505607697</v>
      </c>
      <c r="BB36" s="80">
        <f t="shared" si="31"/>
        <v>79.24277987037533</v>
      </c>
      <c r="BC36" s="80">
        <f t="shared" si="31"/>
        <v>59.042661505607697</v>
      </c>
      <c r="BD36" s="459" t="e" cm="1">
        <f t="array" ref="BD36">IF($BD$4,INDEX(BC13:BC19,$C$6),INDEX(BD23:BD29,$C$6))</f>
        <v>#VALUE!</v>
      </c>
      <c r="BE36" s="459" t="e" cm="1">
        <f t="array" ref="BE36">IF($BD$4,INDEX(BD13:BD19,$C$6),INDEX(BE23:BE29,$C$6))</f>
        <v>#VALUE!</v>
      </c>
      <c r="BF36" s="459" t="e" cm="1">
        <f t="array" ref="BF36">IF($BD$4,INDEX(BE13:BE19,$C$6),INDEX(BF23:BF29,$C$6))</f>
        <v>#VALUE!</v>
      </c>
      <c r="BG36" s="459" t="e" cm="1">
        <f t="array" ref="BG36">IF($BD$4,INDEX(BF13:BF19,$C$6),INDEX(BG23:BG29,$C$6))</f>
        <v>#VALUE!</v>
      </c>
      <c r="BH36" s="459" t="e" cm="1">
        <f t="array" ref="BH36">IF($BD$4,INDEX(BG13:BG19,$C$6),INDEX(BH23:BH29,$C$6))</f>
        <v>#VALUE!</v>
      </c>
      <c r="BI36" s="459" t="e" cm="1">
        <f t="array" ref="BI36">IF($BD$4,INDEX(BH13:BH19,$C$6),INDEX(BI23:BI29,$C$6))</f>
        <v>#VALUE!</v>
      </c>
      <c r="BJ36" s="459" t="e" cm="1">
        <f t="array" ref="BJ36">IF($BD$4,INDEX(BI13:BI19,$C$6),INDEX(BJ23:BJ29,$C$6))</f>
        <v>#VALUE!</v>
      </c>
      <c r="BK36" s="459" t="e" cm="1">
        <f t="array" ref="BK36">IF($BD$4,INDEX(BJ13:BJ19,$C$6),INDEX(BK23:BK29,$C$6))</f>
        <v>#VALUE!</v>
      </c>
      <c r="BL36" s="459" t="e" cm="1">
        <f t="array" ref="BL36">IF($BD$4,INDEX(BK13:BK19,$C$6),INDEX(BL23:BL29,$C$6))</f>
        <v>#VALUE!</v>
      </c>
      <c r="BM36" s="459" t="e" cm="1">
        <f t="array" ref="BM36">IF($BD$4,INDEX(BL13:BL19,$C$6),INDEX(BM23:BM29,$C$6))</f>
        <v>#VALUE!</v>
      </c>
      <c r="BN36" s="459" t="e" cm="1">
        <f t="array" ref="BN36">IF($BD$4,INDEX(BM13:BM19,$C$6),INDEX(BN23:BN29,$C$6))</f>
        <v>#VALUE!</v>
      </c>
      <c r="BO36" s="869" t="e" cm="1">
        <f t="array" ref="BO36">IF($BD$4,INDEX(BN13:BN19,$C$6),INDEX(BO23:BO29,$C$6))</f>
        <v>#VALUE!</v>
      </c>
      <c r="BQ36" s="5">
        <f>'SEC-laskenta'!M5</f>
        <v>-39.949203661680336</v>
      </c>
      <c r="BR36" s="5" t="str">
        <f>'SEC-laskenta'!T5</f>
        <v>A</v>
      </c>
      <c r="BT36" s="80" t="e" cm="1">
        <f t="array" ref="BT36">INDEX(BT23:BT29,$C$6)</f>
        <v>#VALUE!</v>
      </c>
      <c r="BU36" s="80" t="e" cm="1">
        <f t="array" ref="BU36">INDEX(BU23:BU29,$C$6)</f>
        <v>#VALUE!</v>
      </c>
      <c r="BV36" s="80" t="e" cm="1">
        <f t="array" ref="BV36">INDEX(BV23:BV29,$C$6)</f>
        <v>#VALUE!</v>
      </c>
      <c r="BW36" s="80" t="e" cm="1">
        <f t="array" ref="BW36">INDEX(BW23:BW29,$C$6)</f>
        <v>#VALUE!</v>
      </c>
      <c r="BX36" s="80" t="e" cm="1">
        <f t="array" ref="BX36">INDEX(BX23:BX29,$C$6)</f>
        <v>#VALUE!</v>
      </c>
      <c r="BY36" s="80" t="e" cm="1">
        <f t="array" ref="BY36">INDEX(BY23:BY29,$C$6)</f>
        <v>#VALUE!</v>
      </c>
      <c r="BZ36" s="80" t="e" cm="1">
        <f t="array" ref="BZ36">INDEX(BZ23:BZ29,$C$6)</f>
        <v>#VALUE!</v>
      </c>
      <c r="CA36" s="80" t="e" cm="1">
        <f t="array" ref="CA36">INDEX(CA23:CA29,$C$6)</f>
        <v>#VALUE!</v>
      </c>
      <c r="CB36" s="80" t="e" cm="1">
        <f t="array" ref="CB36">INDEX(CB23:CB29,$C$6)</f>
        <v>#VALUE!</v>
      </c>
      <c r="CC36" s="80" t="e" cm="1">
        <f t="array" ref="CC36">INDEX(CC23:CC29,$C$6)</f>
        <v>#VALUE!</v>
      </c>
      <c r="CI36" s="32" t="str" cm="1">
        <f t="array" ref="CI36">INDEX(CI22:CI28,$C$6)</f>
        <v>-</v>
      </c>
      <c r="CJ36" s="32" t="str" cm="1">
        <f t="array" ref="CJ36">INDEX(CJ22:CJ28,$C$6)</f>
        <v>-</v>
      </c>
      <c r="CL36" s="376" t="str" cm="1">
        <f t="array" ref="CL36">INDEX(CL22:CL28,$C$6)</f>
        <v>Airfi-Model 60 Electric</v>
      </c>
      <c r="CM36" s="376" t="str" cm="1">
        <f t="array" ref="CM36">INDEX(CM22:CM28,$C$6)</f>
        <v>Wtyczka 230 V, 50 Hz, 10 A, maks. 1165 W</v>
      </c>
      <c r="CR36" s="110">
        <f>CR19</f>
        <v>42</v>
      </c>
      <c r="CS36" s="110">
        <f>CS19</f>
        <v>42</v>
      </c>
      <c r="CT36" s="110">
        <f>CR17</f>
        <v>115.19999999999999</v>
      </c>
      <c r="CU36" s="110">
        <f>CS17</f>
        <v>143.99999999999997</v>
      </c>
      <c r="CV36" s="615" cm="1">
        <f t="array" ref="CV36">INDEX(CV22:CV28,$C$6)</f>
        <v>1.4144437569758121</v>
      </c>
      <c r="CW36" s="615" cm="1">
        <f t="array" ref="CW36">INDEX(CW22:CW28,$C$6)</f>
        <v>1.049820949983387</v>
      </c>
      <c r="CX36" s="615" t="b" cm="1">
        <f t="array" ref="CX36">IF($DC$36,INDEX(CX22:CX28,$C$6),FALSE)</f>
        <v>1</v>
      </c>
      <c r="CY36" s="615" t="b" cm="1">
        <f t="array" ref="CY36">IF(DC36,INDEX(CY22:CY28,$C$6),FALSE)</f>
        <v>1</v>
      </c>
      <c r="CZ36" s="620" cm="1">
        <f t="array" ref="CZ36">INDEX(CZ22:CZ28,$C$6)</f>
        <v>4.5183366733697019</v>
      </c>
      <c r="DA36" s="620" cm="1">
        <f t="array" ref="DA36">INDEX(DA22:DA28,$C$6)</f>
        <v>4.9396270673499627</v>
      </c>
      <c r="DC36" t="b">
        <f>IF(CR11&gt;=0,TRUE,FALSE)</f>
        <v>1</v>
      </c>
      <c r="DG36" t="s">
        <v>21</v>
      </c>
      <c r="DI36" t="str">
        <f>INDEX(DI23:DI29,$C$6)</f>
        <v>Model 60</v>
      </c>
      <c r="DK36">
        <f>INDEX(DK23:DK29,$C$6)</f>
        <v>0.79799999999999993</v>
      </c>
      <c r="DL36">
        <f>INDEX(DL23:DL29,$C$6)</f>
        <v>0.8175</v>
      </c>
      <c r="DN36">
        <f>INDEX(DN23:DN29,$C$6)</f>
        <v>920</v>
      </c>
    </row>
    <row r="37" spans="3:118" x14ac:dyDescent="0.15">
      <c r="E37" s="5"/>
      <c r="F37" s="5"/>
      <c r="H37" s="5"/>
      <c r="I37" s="5"/>
      <c r="K37" s="5"/>
      <c r="L37" s="5"/>
      <c r="M37" s="5"/>
      <c r="N37" s="5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CI37" s="314"/>
      <c r="CJ37" s="314"/>
      <c r="CL37" s="376"/>
      <c r="CM37" s="376"/>
      <c r="CR37" s="3">
        <f>CR20</f>
        <v>11.666666666666666</v>
      </c>
      <c r="CS37" s="3">
        <f>CS20</f>
        <v>11.666666666666666</v>
      </c>
    </row>
    <row r="38" spans="3:118" x14ac:dyDescent="0.15">
      <c r="C38" t="s">
        <v>120</v>
      </c>
      <c r="D38" t="str" cm="1">
        <f t="array" ref="D38">IF(D36,"",INDEX(Kirjasto!D4:K125,23,Kirjasto!B4))</f>
        <v>Nie w obszarze użytkowania</v>
      </c>
      <c r="E38" s="5" t="str">
        <f>IF($D$36,E36,"-")</f>
        <v>-</v>
      </c>
      <c r="F38" s="5" t="str">
        <f>IF($D$36,F36,"-")</f>
        <v>-</v>
      </c>
      <c r="G38" t="str" cm="1">
        <f t="array" ref="G38">IF(G36,"",INDEX(Kirjasto!D4:K125,23,Kirjasto!B4))</f>
        <v>Nie w obszarze użytkowania</v>
      </c>
      <c r="H38" s="5" t="str">
        <f>IF($G$36,H36,"-")</f>
        <v>-</v>
      </c>
      <c r="I38" s="5" t="str">
        <f>IF($G$36,I36,"-")</f>
        <v>-</v>
      </c>
      <c r="K38" s="5" t="str">
        <f>IF(AND($D$36,$G$36),K36,"-")</f>
        <v>-</v>
      </c>
      <c r="L38" s="5" t="str">
        <f>IF(AND(D36,G36),L36,"-")</f>
        <v>-</v>
      </c>
      <c r="M38" s="5">
        <f>M36</f>
        <v>62.999999999999993</v>
      </c>
      <c r="N38" s="5">
        <f>N36</f>
        <v>1.1864630512155652</v>
      </c>
      <c r="O38" s="32">
        <f>O36</f>
        <v>0.79500000000000004</v>
      </c>
      <c r="P38" s="80" t="str">
        <f>IF($D$36,P36,"-")</f>
        <v>-</v>
      </c>
      <c r="Q38" s="80" t="str">
        <f t="shared" ref="Q38:Y38" si="32">IF($D$36,Q36,"-")</f>
        <v>-</v>
      </c>
      <c r="R38" s="80" t="str">
        <f t="shared" si="32"/>
        <v>-</v>
      </c>
      <c r="S38" s="80" t="str">
        <f t="shared" si="32"/>
        <v>-</v>
      </c>
      <c r="T38" s="80" t="str">
        <f t="shared" si="32"/>
        <v>-</v>
      </c>
      <c r="U38" s="80" t="str">
        <f t="shared" si="32"/>
        <v>-</v>
      </c>
      <c r="V38" s="80" t="str">
        <f t="shared" si="32"/>
        <v>-</v>
      </c>
      <c r="W38" s="80" t="str">
        <f t="shared" si="32"/>
        <v>-</v>
      </c>
      <c r="X38" s="80" t="str">
        <f t="shared" si="32"/>
        <v>-</v>
      </c>
      <c r="Y38" s="80" t="str">
        <f t="shared" si="32"/>
        <v>-</v>
      </c>
      <c r="Z38" s="80" t="str">
        <f>IF($D$36,Z36,"-")</f>
        <v>-</v>
      </c>
      <c r="AA38" s="80" t="str">
        <f t="shared" ref="AA38" si="33">IF($D$36,AA36,"-")</f>
        <v>-</v>
      </c>
      <c r="AB38" s="80" t="str">
        <f t="shared" ref="AB38" si="34">IF($D$36,AB36,"-")</f>
        <v>-</v>
      </c>
      <c r="AC38" s="80" t="str">
        <f t="shared" ref="AC38" si="35">IF($D$36,AC36,"-")</f>
        <v>-</v>
      </c>
      <c r="AD38" s="80" t="str">
        <f t="shared" ref="AD38" si="36">IF($D$36,AD36,"-")</f>
        <v>-</v>
      </c>
      <c r="AE38" s="80" t="str">
        <f t="shared" ref="AE38" si="37">IF($D$36,AE36,"-")</f>
        <v>-</v>
      </c>
      <c r="AF38" s="80" t="str">
        <f t="shared" ref="AF38" si="38">IF($D$36,AF36,"-")</f>
        <v>-</v>
      </c>
      <c r="AG38" s="80" t="str">
        <f t="shared" ref="AG38" si="39">IF($D$36,AG36,"-")</f>
        <v>-</v>
      </c>
      <c r="AH38" s="80" t="str">
        <f t="shared" ref="AH38" si="40">IF($D$36,AH36,"-")</f>
        <v>-</v>
      </c>
      <c r="AI38" s="80" t="str">
        <f t="shared" ref="AI38" si="41">IF($D$36,AI36,"-")</f>
        <v>-</v>
      </c>
      <c r="AJ38" s="80" t="str">
        <f>IF($G$36,AJ36,"-")</f>
        <v>-</v>
      </c>
      <c r="AK38" s="80" t="str">
        <f t="shared" ref="AK38:BC38" si="42">IF($G$36,AK36,"-")</f>
        <v>-</v>
      </c>
      <c r="AL38" s="80" t="str">
        <f t="shared" si="42"/>
        <v>-</v>
      </c>
      <c r="AM38" s="80" t="str">
        <f t="shared" si="42"/>
        <v>-</v>
      </c>
      <c r="AN38" s="80" t="str">
        <f t="shared" si="42"/>
        <v>-</v>
      </c>
      <c r="AO38" s="80" t="str">
        <f t="shared" si="42"/>
        <v>-</v>
      </c>
      <c r="AP38" s="80" t="str">
        <f t="shared" si="42"/>
        <v>-</v>
      </c>
      <c r="AQ38" s="80" t="str">
        <f t="shared" si="42"/>
        <v>-</v>
      </c>
      <c r="AR38" s="80" t="str">
        <f t="shared" si="42"/>
        <v>-</v>
      </c>
      <c r="AS38" s="80" t="str">
        <f t="shared" si="42"/>
        <v>-</v>
      </c>
      <c r="AT38" s="80" t="str">
        <f t="shared" si="42"/>
        <v>-</v>
      </c>
      <c r="AU38" s="80" t="str">
        <f t="shared" si="42"/>
        <v>-</v>
      </c>
      <c r="AV38" s="80" t="str">
        <f t="shared" si="42"/>
        <v>-</v>
      </c>
      <c r="AW38" s="80" t="str">
        <f t="shared" si="42"/>
        <v>-</v>
      </c>
      <c r="AX38" s="80" t="str">
        <f t="shared" si="42"/>
        <v>-</v>
      </c>
      <c r="AY38" s="80" t="str">
        <f t="shared" si="42"/>
        <v>-</v>
      </c>
      <c r="AZ38" s="80" t="str">
        <f t="shared" si="42"/>
        <v>-</v>
      </c>
      <c r="BA38" s="80" t="str">
        <f t="shared" si="42"/>
        <v>-</v>
      </c>
      <c r="BB38" s="80" t="str">
        <f t="shared" si="42"/>
        <v>-</v>
      </c>
      <c r="BC38" s="80" t="str">
        <f t="shared" si="42"/>
        <v>-</v>
      </c>
      <c r="BD38" s="80" t="str">
        <f>IF(AND($D$36,$G$36),BD36,"-")</f>
        <v>-</v>
      </c>
      <c r="BE38" s="80" t="str">
        <f t="shared" ref="BE38:BK38" si="43">IF(AND($D$36,$G$36),BE36,"-")</f>
        <v>-</v>
      </c>
      <c r="BF38" s="80" t="str">
        <f t="shared" si="43"/>
        <v>-</v>
      </c>
      <c r="BG38" s="80" t="str">
        <f t="shared" si="43"/>
        <v>-</v>
      </c>
      <c r="BH38" s="80" t="str">
        <f t="shared" si="43"/>
        <v>-</v>
      </c>
      <c r="BI38" s="80" t="str">
        <f t="shared" si="43"/>
        <v>-</v>
      </c>
      <c r="BJ38" s="80" t="str">
        <f t="shared" si="43"/>
        <v>-</v>
      </c>
      <c r="BK38" s="80" t="str">
        <f t="shared" si="43"/>
        <v>-</v>
      </c>
      <c r="BL38" s="80" t="str">
        <f>IF(AND($D$36,$G$36),BL36,"-")</f>
        <v>-</v>
      </c>
      <c r="BM38" s="108" t="str">
        <f t="shared" ref="BM38" si="44">IF(AND($D$36,$G$36),BM36,"-")</f>
        <v>-</v>
      </c>
      <c r="BN38" s="80" t="str">
        <f t="shared" ref="BN38" si="45">IF(AND($D$36,$G$36),BN36,"-")</f>
        <v>-</v>
      </c>
      <c r="BO38" s="80" t="str">
        <f t="shared" ref="BO38" si="46">IF(AND($D$36,$G$36),BO36,"-")</f>
        <v>-</v>
      </c>
      <c r="BQ38" s="5">
        <f>BQ36</f>
        <v>-39.949203661680336</v>
      </c>
      <c r="BR38" s="5" t="str">
        <f>BR36</f>
        <v>A</v>
      </c>
      <c r="BT38" s="4" t="str">
        <f t="shared" ref="BT38:CC38" si="47">IF(AND($BT$15,$G$36),BT36,"-")</f>
        <v>-</v>
      </c>
      <c r="BU38" s="4" t="str">
        <f t="shared" si="47"/>
        <v>-</v>
      </c>
      <c r="BV38" s="4" t="str">
        <f t="shared" si="47"/>
        <v>-</v>
      </c>
      <c r="BW38" s="4" t="str">
        <f t="shared" si="47"/>
        <v>-</v>
      </c>
      <c r="BX38" s="4" t="str">
        <f t="shared" si="47"/>
        <v>-</v>
      </c>
      <c r="BY38" s="4" t="str">
        <f t="shared" si="47"/>
        <v>-</v>
      </c>
      <c r="BZ38" s="4" t="str">
        <f t="shared" si="47"/>
        <v>-</v>
      </c>
      <c r="CA38" s="4" t="str">
        <f t="shared" si="47"/>
        <v>-</v>
      </c>
      <c r="CB38" s="80" t="str">
        <f t="shared" si="47"/>
        <v>-</v>
      </c>
      <c r="CC38" s="80" t="str">
        <f t="shared" si="47"/>
        <v>-</v>
      </c>
      <c r="CI38" s="32" t="str">
        <f t="shared" ref="CI38:CJ38" si="48">IF(AND($D$36,$G$36),CI36,"-")</f>
        <v>-</v>
      </c>
      <c r="CJ38" s="32" t="str">
        <f t="shared" si="48"/>
        <v>-</v>
      </c>
      <c r="CL38" s="376" t="str">
        <f>CL36</f>
        <v>Airfi-Model 60 Electric</v>
      </c>
      <c r="CM38" s="376" t="str" cm="1">
        <f t="array" ref="CM38">CONCATENATE(INDEX(Kirjasto!D4:K129,124,Kirjasto!B4),CM36)</f>
        <v>Zasilanie elektryczne: Wtyczka 230 V, 50 Hz, 10 A, maks. 1165 W</v>
      </c>
      <c r="CR38" s="620" t="str">
        <f>IF(AND($CX$36,$D$36),CR36,"-")</f>
        <v>-</v>
      </c>
      <c r="CS38" s="620" t="str">
        <f>IF(AND($CY$36,$G$36),CS36,"-")</f>
        <v>-</v>
      </c>
      <c r="CT38" s="620" t="str">
        <f>IF(AND($CX$36,$D$36),CT36,"-")</f>
        <v>-</v>
      </c>
      <c r="CU38" s="620" t="str">
        <f>IF(AND($CY$36,$G$36),CU36,"-")</f>
        <v>-</v>
      </c>
      <c r="CV38" s="615" t="str">
        <f>IF(AND($D$36),CV36,"-")</f>
        <v>-</v>
      </c>
      <c r="CW38" s="615" t="str">
        <f>IF(AND($G$36),CW36,"-")</f>
        <v>-</v>
      </c>
      <c r="CX38" t="str" cm="1">
        <f t="array" ref="CX38">IF(AND(CX36,CY36),"",INDEX(Kirjasto!D4:K150,139,Kirjasto!B4))</f>
        <v/>
      </c>
      <c r="CZ38" s="620" t="str">
        <f>IF(AND($CX$36,$D$36),CZ36,"-")</f>
        <v>-</v>
      </c>
      <c r="DA38" s="620" t="str">
        <f>IF(AND($CY$36,$G$36),DA36,"-")</f>
        <v>-</v>
      </c>
      <c r="DG38" t="s">
        <v>120</v>
      </c>
      <c r="DK38">
        <f>DK36</f>
        <v>0.79799999999999993</v>
      </c>
      <c r="DL38">
        <f>DL36</f>
        <v>0.8175</v>
      </c>
      <c r="DN38">
        <f>DN36</f>
        <v>920</v>
      </c>
    </row>
    <row r="39" spans="3:118" x14ac:dyDescent="0.15">
      <c r="C39" t="s">
        <v>119</v>
      </c>
      <c r="CR39" s="620" t="str">
        <f>IF(AND($CX$36,D36),CR37,"-")</f>
        <v>-</v>
      </c>
      <c r="CS39" s="620" t="str">
        <f>IF(AND($CY$36,$G$36),CS37,"-")</f>
        <v>-</v>
      </c>
    </row>
    <row r="40" spans="3:118" x14ac:dyDescent="0.15">
      <c r="D40" s="2" t="s">
        <v>513</v>
      </c>
      <c r="G40">
        <v>1</v>
      </c>
      <c r="H40">
        <v>2</v>
      </c>
      <c r="I40">
        <v>3</v>
      </c>
      <c r="J40">
        <v>4</v>
      </c>
      <c r="K40">
        <v>5</v>
      </c>
      <c r="L40">
        <v>6</v>
      </c>
      <c r="M40">
        <v>7</v>
      </c>
    </row>
    <row r="41" spans="3:118" x14ac:dyDescent="0.15">
      <c r="C41" t="s">
        <v>567</v>
      </c>
      <c r="D41" t="b">
        <v>0</v>
      </c>
      <c r="J41" t="s">
        <v>561</v>
      </c>
      <c r="K41" t="s">
        <v>560</v>
      </c>
      <c r="O41" t="s">
        <v>120</v>
      </c>
      <c r="T41" s="2" t="s">
        <v>173</v>
      </c>
    </row>
    <row r="42" spans="3:118" x14ac:dyDescent="0.15">
      <c r="D42" s="10" t="s">
        <v>491</v>
      </c>
      <c r="E42" s="22"/>
      <c r="F42" s="22"/>
      <c r="G42" s="449" t="s">
        <v>393</v>
      </c>
      <c r="H42" s="449" t="s">
        <v>393</v>
      </c>
      <c r="I42" s="449" t="s">
        <v>393</v>
      </c>
      <c r="J42" s="21">
        <f>'Laskenta vesipatteri 250'!$I$16</f>
        <v>50</v>
      </c>
      <c r="K42" s="21">
        <f>'Laskenta vesipatteri 350'!$I$16</f>
        <v>50</v>
      </c>
      <c r="L42" s="1515" t="s">
        <v>393</v>
      </c>
      <c r="M42" s="1515" t="s">
        <v>393</v>
      </c>
      <c r="O42" t="str" cm="1">
        <f t="array" ref="O42">INDEX(G42:M42,1,$C$6)</f>
        <v>-</v>
      </c>
      <c r="P42" t="str">
        <f t="shared" ref="P42:P47" si="49">IF($O$48,"-",O42)</f>
        <v>-</v>
      </c>
      <c r="R42" t="s">
        <v>120</v>
      </c>
      <c r="T42" s="39" t="str">
        <f>IF(AND(D36,G36),L36/3.6,"-")</f>
        <v>-</v>
      </c>
    </row>
    <row r="43" spans="3:118" x14ac:dyDescent="0.15">
      <c r="D43" s="12" t="s">
        <v>492</v>
      </c>
      <c r="G43" s="39" t="s">
        <v>393</v>
      </c>
      <c r="H43" s="39" t="s">
        <v>393</v>
      </c>
      <c r="I43" s="39" t="s">
        <v>393</v>
      </c>
      <c r="J43" s="24">
        <f>'Laskenta vesipatteri 250'!$I$17</f>
        <v>-16.299864914831616</v>
      </c>
      <c r="K43" s="24">
        <f>'Laskenta vesipatteri 350'!$I$17</f>
        <v>-22.779968499342356</v>
      </c>
      <c r="L43" s="1516" t="s">
        <v>393</v>
      </c>
      <c r="M43" s="1516" t="s">
        <v>393</v>
      </c>
      <c r="O43" t="str" cm="1">
        <f t="array" ref="O43">INDEX(G43:M43,1,$C$6)</f>
        <v>-</v>
      </c>
      <c r="P43" t="str">
        <f t="shared" si="49"/>
        <v>-</v>
      </c>
    </row>
    <row r="44" spans="3:118" x14ac:dyDescent="0.15">
      <c r="D44" s="12" t="s">
        <v>498</v>
      </c>
      <c r="G44" s="39" t="s">
        <v>393</v>
      </c>
      <c r="H44" s="39" t="s">
        <v>393</v>
      </c>
      <c r="I44" s="39" t="s">
        <v>393</v>
      </c>
      <c r="J44" s="24">
        <f>'Laskenta vesipatteri 250'!$I$18</f>
        <v>7.9870889861919942E-4</v>
      </c>
      <c r="K44" s="24">
        <f>'Laskenta vesipatteri 350'!$I$18</f>
        <v>7.275943254249328E-4</v>
      </c>
      <c r="L44" s="1516" t="s">
        <v>393</v>
      </c>
      <c r="M44" s="1516" t="s">
        <v>393</v>
      </c>
      <c r="O44" t="str" cm="1">
        <f t="array" ref="O44">INDEX(G44:M44,1,$C$6)</f>
        <v>-</v>
      </c>
      <c r="P44" t="str">
        <f t="shared" si="49"/>
        <v>-</v>
      </c>
    </row>
    <row r="45" spans="3:118" ht="12.75" customHeight="1" x14ac:dyDescent="0.15">
      <c r="D45" s="12" t="s">
        <v>553</v>
      </c>
      <c r="G45" s="39" t="s">
        <v>393</v>
      </c>
      <c r="H45" s="39" t="s">
        <v>393</v>
      </c>
      <c r="I45" s="39" t="s">
        <v>393</v>
      </c>
      <c r="J45" s="24">
        <f>'Laskenta vesipatteri 250'!$I$19</f>
        <v>2.677660654366646E-3</v>
      </c>
      <c r="K45" s="24">
        <f>'Laskenta vesipatteri 350'!$I$19</f>
        <v>1.5984757318314553E-3</v>
      </c>
      <c r="L45" s="1516" t="s">
        <v>393</v>
      </c>
      <c r="M45" s="1516" t="s">
        <v>393</v>
      </c>
      <c r="O45" t="str" cm="1">
        <f t="array" ref="O45">INDEX(G45:M45,1,$C$6)</f>
        <v>-</v>
      </c>
      <c r="P45" t="str">
        <f t="shared" si="49"/>
        <v>-</v>
      </c>
    </row>
    <row r="46" spans="3:118" ht="12.75" customHeight="1" x14ac:dyDescent="0.15">
      <c r="D46" s="12" t="s">
        <v>554</v>
      </c>
      <c r="G46" s="39" t="s">
        <v>393</v>
      </c>
      <c r="H46" s="39" t="s">
        <v>393</v>
      </c>
      <c r="I46" s="39" t="s">
        <v>393</v>
      </c>
      <c r="J46" s="24">
        <f>'Laskenta vesipatteri 250'!$I$20</f>
        <v>8.2676493253460901E-4</v>
      </c>
      <c r="K46" s="24">
        <f>'Laskenta vesipatteri 350'!$I$20</f>
        <v>6.8609397909816965E-4</v>
      </c>
      <c r="L46" s="1516" t="s">
        <v>393</v>
      </c>
      <c r="M46" s="1516" t="s">
        <v>393</v>
      </c>
      <c r="O46" t="str" cm="1">
        <f t="array" ref="O46">INDEX(G46:M46,1,$C$6)</f>
        <v>-</v>
      </c>
      <c r="P46" t="str">
        <f t="shared" si="49"/>
        <v>-</v>
      </c>
    </row>
    <row r="47" spans="3:118" x14ac:dyDescent="0.15">
      <c r="D47" s="14" t="s">
        <v>501</v>
      </c>
      <c r="E47" s="25"/>
      <c r="F47" s="25"/>
      <c r="G47" s="450" t="s">
        <v>393</v>
      </c>
      <c r="H47" s="450" t="s">
        <v>393</v>
      </c>
      <c r="I47" s="450" t="s">
        <v>393</v>
      </c>
      <c r="J47" s="26">
        <f>'Laskenta vesipatteri 250'!$I$21</f>
        <v>6.5084656285045294E-3</v>
      </c>
      <c r="K47" s="26">
        <f>'Laskenta vesipatteri 350'!$I$21</f>
        <v>5.9289719529979469E-3</v>
      </c>
      <c r="L47" s="1517" t="s">
        <v>393</v>
      </c>
      <c r="M47" s="1517" t="s">
        <v>393</v>
      </c>
      <c r="O47" t="str" cm="1">
        <f t="array" ref="O47">INDEX(G47:M47,1,$C$6)</f>
        <v>-</v>
      </c>
      <c r="P47" t="str">
        <f t="shared" si="49"/>
        <v>-</v>
      </c>
    </row>
    <row r="48" spans="3:118" x14ac:dyDescent="0.15">
      <c r="F48" t="s">
        <v>537</v>
      </c>
      <c r="H48" s="39"/>
      <c r="J48" t="b">
        <f>'Laskenta vesipatteri 250'!$E$22</f>
        <v>1</v>
      </c>
      <c r="K48" t="b">
        <f>'Laskenta vesipatteri 350'!$E$22</f>
        <v>1</v>
      </c>
      <c r="O48" cm="1">
        <f t="array" ref="O48">INDEX(G48:M48,1,$C$6)</f>
        <v>0</v>
      </c>
    </row>
    <row r="49" spans="4:16" x14ac:dyDescent="0.15">
      <c r="D49" s="389" t="s">
        <v>491</v>
      </c>
      <c r="E49" s="22"/>
      <c r="F49" s="22"/>
      <c r="G49" s="449" t="s">
        <v>393</v>
      </c>
      <c r="H49" s="449" t="s">
        <v>393</v>
      </c>
      <c r="I49" s="449" t="s">
        <v>393</v>
      </c>
      <c r="J49" s="21">
        <f>'Laskenta vesipatteri 250'!$I$25</f>
        <v>3.7001350851683839</v>
      </c>
      <c r="K49" s="21">
        <f>'Laskenta vesipatteri 350'!$I$25</f>
        <v>-2.7799684993423561</v>
      </c>
      <c r="L49" s="1515" t="s">
        <v>393</v>
      </c>
      <c r="M49" s="1515" t="s">
        <v>393</v>
      </c>
      <c r="O49" t="str" cm="1">
        <f t="array" ref="O49">INDEX(G49:M49,1,$C$6)</f>
        <v>-</v>
      </c>
      <c r="P49" t="str">
        <f t="shared" ref="P49:P54" si="50">IF($O$55,"-",O49)</f>
        <v>-</v>
      </c>
    </row>
    <row r="50" spans="4:16" x14ac:dyDescent="0.15">
      <c r="D50" s="390" t="s">
        <v>492</v>
      </c>
      <c r="G50" s="39" t="s">
        <v>393</v>
      </c>
      <c r="H50" s="39" t="s">
        <v>393</v>
      </c>
      <c r="I50" s="39" t="s">
        <v>393</v>
      </c>
      <c r="J50" s="24">
        <f>'Laskenta vesipatteri 250'!$I$26</f>
        <v>30</v>
      </c>
      <c r="K50" s="24">
        <f>'Laskenta vesipatteri 350'!$I$26</f>
        <v>30</v>
      </c>
      <c r="L50" s="1516" t="s">
        <v>393</v>
      </c>
      <c r="M50" s="1516" t="s">
        <v>393</v>
      </c>
      <c r="O50" t="str" cm="1">
        <f t="array" ref="O50">INDEX(G50:M50,1,$C$6)</f>
        <v>-</v>
      </c>
      <c r="P50" t="str">
        <f t="shared" si="50"/>
        <v>-</v>
      </c>
    </row>
    <row r="51" spans="4:16" x14ac:dyDescent="0.15">
      <c r="D51" s="390" t="s">
        <v>498</v>
      </c>
      <c r="G51" s="39" t="s">
        <v>393</v>
      </c>
      <c r="H51" s="39" t="s">
        <v>393</v>
      </c>
      <c r="I51" s="39" t="s">
        <v>393</v>
      </c>
      <c r="J51" s="24">
        <f>'Laskenta vesipatteri 250'!$I$27</f>
        <v>-2.0134815238105532E-3</v>
      </c>
      <c r="K51" s="24">
        <f>'Laskenta vesipatteri 350'!$I$27</f>
        <v>-1.615446704464931E-3</v>
      </c>
      <c r="L51" s="1516" t="s">
        <v>393</v>
      </c>
      <c r="M51" s="1516" t="s">
        <v>393</v>
      </c>
      <c r="O51" t="str" cm="1">
        <f t="array" ref="O51">INDEX(G51:M51,1,$C$6)</f>
        <v>-</v>
      </c>
      <c r="P51" t="str">
        <f t="shared" si="50"/>
        <v>-</v>
      </c>
    </row>
    <row r="52" spans="4:16" x14ac:dyDescent="0.15">
      <c r="D52" s="390" t="s">
        <v>553</v>
      </c>
      <c r="G52" s="39" t="s">
        <v>393</v>
      </c>
      <c r="H52" s="39" t="s">
        <v>393</v>
      </c>
      <c r="I52" s="39" t="s">
        <v>393</v>
      </c>
      <c r="J52" s="24" t="e">
        <f>'Laskenta vesipatteri 250'!$I$28</f>
        <v>#NUM!</v>
      </c>
      <c r="K52" s="24" t="e">
        <f>'Laskenta vesipatteri 350'!$I$28</f>
        <v>#NUM!</v>
      </c>
      <c r="L52" s="1516" t="s">
        <v>393</v>
      </c>
      <c r="M52" s="1516" t="s">
        <v>393</v>
      </c>
      <c r="O52" t="str" cm="1">
        <f t="array" ref="O52">INDEX(G52:M52,1,$C$6)</f>
        <v>-</v>
      </c>
      <c r="P52" t="str">
        <f t="shared" si="50"/>
        <v>-</v>
      </c>
    </row>
    <row r="53" spans="4:16" x14ac:dyDescent="0.15">
      <c r="D53" s="390" t="s">
        <v>555</v>
      </c>
      <c r="G53" s="39" t="s">
        <v>393</v>
      </c>
      <c r="H53" s="39" t="s">
        <v>393</v>
      </c>
      <c r="I53" s="39" t="s">
        <v>393</v>
      </c>
      <c r="J53" s="24">
        <f>'Laskenta vesipatteri 250'!$I$29</f>
        <v>5.2541237693575016E-3</v>
      </c>
      <c r="K53" s="24">
        <f>'Laskenta vesipatteri 350'!$I$29</f>
        <v>3.3821297992367217E-3</v>
      </c>
      <c r="L53" s="1516" t="s">
        <v>393</v>
      </c>
      <c r="M53" s="1516" t="s">
        <v>393</v>
      </c>
      <c r="O53" t="str" cm="1">
        <f t="array" ref="O53">INDEX(G53:M53,1,$C$6)</f>
        <v>-</v>
      </c>
      <c r="P53" t="str">
        <f t="shared" si="50"/>
        <v>-</v>
      </c>
    </row>
    <row r="54" spans="4:16" x14ac:dyDescent="0.15">
      <c r="D54" s="391" t="s">
        <v>501</v>
      </c>
      <c r="E54" s="25"/>
      <c r="F54" s="25"/>
      <c r="G54" s="450" t="s">
        <v>393</v>
      </c>
      <c r="H54" s="450" t="s">
        <v>393</v>
      </c>
      <c r="I54" s="450" t="s">
        <v>393</v>
      </c>
      <c r="J54" s="26">
        <f>'Laskenta vesipatteri 250'!$I$30</f>
        <v>-1.6407323511738944E-2</v>
      </c>
      <c r="K54" s="26">
        <f>'Laskenta vesipatteri 350'!$I$30</f>
        <v>-1.3163844009835826E-2</v>
      </c>
      <c r="L54" s="1517" t="s">
        <v>393</v>
      </c>
      <c r="M54" s="1517" t="s">
        <v>393</v>
      </c>
      <c r="O54" t="str" cm="1">
        <f t="array" ref="O54">INDEX(G54:M54,1,$C$6)</f>
        <v>-</v>
      </c>
      <c r="P54" t="str">
        <f t="shared" si="50"/>
        <v>-</v>
      </c>
    </row>
    <row r="55" spans="4:16" x14ac:dyDescent="0.15">
      <c r="F55" t="s">
        <v>537</v>
      </c>
      <c r="J55" t="b">
        <f>'Laskenta vesipatteri 250'!$E$31</f>
        <v>1</v>
      </c>
      <c r="K55" t="b">
        <f>'Laskenta vesipatteri 350'!$E$31</f>
        <v>1</v>
      </c>
      <c r="O55" t="b" cm="1">
        <f t="array" ref="O55">IF(D41,INDEX(G55:M55,1,$C$6),TRUE)</f>
        <v>1</v>
      </c>
    </row>
    <row r="56" spans="4:16" x14ac:dyDescent="0.15">
      <c r="D56" s="233" t="s">
        <v>486</v>
      </c>
    </row>
    <row r="57" spans="4:16" x14ac:dyDescent="0.15">
      <c r="D57">
        <f>'Laskenta vesipatteri 350'!$I$7</f>
        <v>221.66666666666666</v>
      </c>
    </row>
    <row r="58" spans="4:16" x14ac:dyDescent="0.15">
      <c r="D58" s="2" t="str">
        <f>IF(OR($C$6=4,$C$6=5),D57,"-")</f>
        <v>-</v>
      </c>
    </row>
    <row r="59" spans="4:16" x14ac:dyDescent="0.15">
      <c r="M59" s="2" t="s">
        <v>565</v>
      </c>
    </row>
    <row r="60" spans="4:16" x14ac:dyDescent="0.15">
      <c r="M60" s="10" t="str" cm="1">
        <f t="array" ref="M60">IF(O48,INDEX(Kirjasto!D4:K130,127,Kirjasto!B4),"")</f>
        <v/>
      </c>
      <c r="N60" s="22"/>
      <c r="O60" s="22"/>
      <c r="P60" s="21"/>
    </row>
    <row r="61" spans="4:16" x14ac:dyDescent="0.15">
      <c r="M61" s="14" t="str" cm="1">
        <f t="array" ref="M61">IF(O55,INDEX(Kirjasto!D4:K130,127,Kirjasto!B4),"")</f>
        <v>Nie w obszarze użytkowania. Sprawdź wartości wymiarowe</v>
      </c>
      <c r="N61" s="25"/>
      <c r="O61" s="25"/>
      <c r="P61" s="26"/>
    </row>
    <row r="63" spans="4:16" x14ac:dyDescent="0.15">
      <c r="M63" s="10" t="str" cm="1">
        <f t="array" ref="M63">IF(OR($C$6=4,$C$6=5),IF('Laskenta tulopuoli 350'!AU14,"",INDEX(Kirjasto!D4:K129,126,Kirjasto!B4)),INDEX(Kirjasto!D4:K125,105,Kirjasto!B4))</f>
        <v>Niedostępne w tym modelu</v>
      </c>
      <c r="N63" s="22"/>
      <c r="O63" s="22"/>
      <c r="P63" s="21"/>
    </row>
    <row r="64" spans="4:16" x14ac:dyDescent="0.15">
      <c r="M64" s="10" t="str">
        <f>IF(OR($C$6=4,$C$6=5),M60,"")</f>
        <v/>
      </c>
      <c r="N64" s="22"/>
      <c r="O64" s="22"/>
      <c r="P64" s="21"/>
    </row>
    <row r="65" spans="13:16" x14ac:dyDescent="0.15">
      <c r="M65" s="14" t="str">
        <f>IF(OR($C$6=4,$C$6=5),M61,"")</f>
        <v/>
      </c>
      <c r="N65" s="25"/>
      <c r="O65" s="25"/>
      <c r="P65" s="26"/>
    </row>
  </sheetData>
  <phoneticPr fontId="96" type="noConversion"/>
  <pageMargins left="0.7" right="0.7" top="0.75" bottom="0.75" header="0.3" footer="0.3"/>
  <pageSetup paperSize="9" orientation="portrait" r:id="rId1"/>
  <ignoredErrors>
    <ignoredError sqref="AW11 AJ11 AL11 AN11 AS11 AU11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autoLine="0" autoPict="0">
                <anchor moveWithCells="1">
                  <from>
                    <xdr:col>4</xdr:col>
                    <xdr:colOff>152400</xdr:colOff>
                    <xdr:row>3</xdr:row>
                    <xdr:rowOff>12700</xdr:rowOff>
                  </from>
                  <to>
                    <xdr:col>11</xdr:col>
                    <xdr:colOff>152400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Drop Down 2">
              <controlPr defaultSize="0" autoLine="0" autoPict="0">
                <anchor moveWithCells="1">
                  <from>
                    <xdr:col>116</xdr:col>
                    <xdr:colOff>88900</xdr:colOff>
                    <xdr:row>3</xdr:row>
                    <xdr:rowOff>12700</xdr:rowOff>
                  </from>
                  <to>
                    <xdr:col>117</xdr:col>
                    <xdr:colOff>50800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B1584-F52D-46A4-BE47-708819FFC834}">
  <dimension ref="A2:EZ65"/>
  <sheetViews>
    <sheetView topLeftCell="CR1" zoomScaleNormal="100" workbookViewId="0">
      <selection activeCell="DX27" sqref="DX27"/>
    </sheetView>
  </sheetViews>
  <sheetFormatPr baseColWidth="10" defaultColWidth="8.83203125" defaultRowHeight="13" x14ac:dyDescent="0.15"/>
  <cols>
    <col min="3" max="3" width="13.33203125" customWidth="1"/>
    <col min="14" max="15" width="10.1640625" customWidth="1"/>
    <col min="16" max="23" width="8" customWidth="1"/>
    <col min="24" max="24" width="18.1640625" customWidth="1"/>
    <col min="25" max="25" width="8" customWidth="1"/>
    <col min="26" max="28" width="7" customWidth="1"/>
    <col min="29" max="29" width="8.5" customWidth="1"/>
    <col min="30" max="55" width="7" customWidth="1"/>
    <col min="90" max="90" width="30.33203125" customWidth="1"/>
    <col min="91" max="91" width="10.5" bestFit="1" customWidth="1"/>
    <col min="96" max="96" width="11.33203125" customWidth="1"/>
    <col min="97" max="97" width="9.6640625" bestFit="1" customWidth="1"/>
    <col min="115" max="115" width="12.6640625" customWidth="1"/>
  </cols>
  <sheetData>
    <row r="2" spans="2:115" x14ac:dyDescent="0.15">
      <c r="M2" t="s">
        <v>2722</v>
      </c>
      <c r="W2" t="s">
        <v>2723</v>
      </c>
      <c r="BB2" t="s">
        <v>359</v>
      </c>
      <c r="BD2" t="b">
        <v>0</v>
      </c>
      <c r="BE2" t="s">
        <v>182</v>
      </c>
      <c r="DG2" s="2" t="s">
        <v>1281</v>
      </c>
    </row>
    <row r="3" spans="2:115" ht="14" x14ac:dyDescent="0.15">
      <c r="W3" s="1533">
        <v>2</v>
      </c>
      <c r="AC3" s="83" t="s">
        <v>1167</v>
      </c>
      <c r="BB3" t="s">
        <v>2713</v>
      </c>
      <c r="BD3" t="b">
        <f>IF(OR($C$6=1,$C$6=2,$C$6=6,$C$6=7),TRUE,FALSE)</f>
        <v>1</v>
      </c>
      <c r="BF3" t="s">
        <v>576</v>
      </c>
      <c r="DG3" s="10" t="s">
        <v>1175</v>
      </c>
      <c r="DH3" s="22"/>
      <c r="DI3" s="22"/>
      <c r="DJ3" s="22"/>
      <c r="DK3" s="21">
        <v>1</v>
      </c>
    </row>
    <row r="4" spans="2:115" x14ac:dyDescent="0.15">
      <c r="C4" t="s">
        <v>115</v>
      </c>
      <c r="W4" t="s">
        <v>610</v>
      </c>
      <c r="AC4" s="2" t="s">
        <v>1160</v>
      </c>
      <c r="AI4" s="2" t="s">
        <v>1166</v>
      </c>
      <c r="BB4" t="s">
        <v>21</v>
      </c>
      <c r="BD4" t="b">
        <f>IF(AND(BD2,BD3),TRUE,FALSE)</f>
        <v>0</v>
      </c>
      <c r="DG4" s="12" t="b">
        <f>AC7</f>
        <v>0</v>
      </c>
      <c r="DH4" t="str">
        <f>AD7</f>
        <v>Suomi</v>
      </c>
      <c r="DK4" s="24" cm="1">
        <f t="array" ref="DK4">INDEX(DK10:DK14,DK3)</f>
        <v>21</v>
      </c>
    </row>
    <row r="5" spans="2:115" ht="14" thickBot="1" x14ac:dyDescent="0.2">
      <c r="C5" t="s">
        <v>116</v>
      </c>
      <c r="W5" s="484">
        <v>4</v>
      </c>
      <c r="X5" t="s">
        <v>2724</v>
      </c>
      <c r="AC5" s="484">
        <f>Kirjasto_ENT!B4</f>
        <v>2</v>
      </c>
      <c r="AD5" t="s">
        <v>1159</v>
      </c>
      <c r="AI5" t="s">
        <v>1168</v>
      </c>
      <c r="AK5" t="str">
        <f>IF($AC$7,Kirjasto_ENT!M7,Kirjasto_ENT!M6)</f>
        <v>Air volume flow [dm³/s]</v>
      </c>
      <c r="DG5" s="12" t="b">
        <f>AC8</f>
        <v>1</v>
      </c>
      <c r="DH5" t="str">
        <f>AD8</f>
        <v>Muut kielet</v>
      </c>
      <c r="DK5" s="24"/>
    </row>
    <row r="6" spans="2:115" ht="14" thickBot="1" x14ac:dyDescent="0.2">
      <c r="C6" s="1534">
        <f>W7</f>
        <v>1</v>
      </c>
      <c r="D6" t="s">
        <v>2725</v>
      </c>
      <c r="W6" t="s">
        <v>613</v>
      </c>
      <c r="AI6" t="s">
        <v>1169</v>
      </c>
      <c r="AK6" t="str">
        <f>IF(AC7,Kirjasto_ENT!M6,Kirjasto_ENT!M7)</f>
        <v>Air volume flow [m³/h]</v>
      </c>
      <c r="BD6" t="s">
        <v>183</v>
      </c>
      <c r="DG6" s="12"/>
      <c r="DK6" s="24"/>
    </row>
    <row r="7" spans="2:115" ht="14" x14ac:dyDescent="0.15">
      <c r="W7" s="1533">
        <f>INDEX(Y12:Y18,MATCH(W3,AA12:AA18,0))</f>
        <v>1</v>
      </c>
      <c r="X7" t="s">
        <v>2726</v>
      </c>
      <c r="AC7" s="484" t="b">
        <f>IF(AC5=1,TRUE,FALSE)</f>
        <v>0</v>
      </c>
      <c r="AD7" t="s">
        <v>988</v>
      </c>
      <c r="BD7" s="104">
        <v>63</v>
      </c>
      <c r="BE7" s="104">
        <v>125</v>
      </c>
      <c r="BF7" s="104">
        <v>250</v>
      </c>
      <c r="BG7" s="104">
        <v>500</v>
      </c>
      <c r="BH7" s="104">
        <v>1000</v>
      </c>
      <c r="BI7" s="104">
        <v>2000</v>
      </c>
      <c r="BJ7" s="104">
        <v>4000</v>
      </c>
      <c r="BK7" s="104">
        <v>8000</v>
      </c>
      <c r="DG7" s="12"/>
      <c r="DK7" s="24"/>
    </row>
    <row r="8" spans="2:115" ht="14" thickBot="1" x14ac:dyDescent="0.2">
      <c r="C8" s="2" t="s">
        <v>123</v>
      </c>
      <c r="AC8" s="484" t="b">
        <f>IF(AC5=1,FALSE,TRUE)</f>
        <v>1</v>
      </c>
      <c r="AD8" t="s">
        <v>1161</v>
      </c>
      <c r="AI8" s="2" t="s">
        <v>123</v>
      </c>
      <c r="BC8" t="s">
        <v>184</v>
      </c>
      <c r="BD8" s="4">
        <v>8</v>
      </c>
      <c r="BE8" s="4">
        <v>3</v>
      </c>
      <c r="BF8" s="4">
        <v>5</v>
      </c>
      <c r="BG8" s="4">
        <v>4</v>
      </c>
      <c r="BH8" s="4">
        <v>3</v>
      </c>
      <c r="BI8" s="4">
        <v>3</v>
      </c>
      <c r="BJ8" s="4">
        <v>5</v>
      </c>
      <c r="BK8" s="4">
        <v>3</v>
      </c>
      <c r="CW8" s="2" t="s">
        <v>1149</v>
      </c>
      <c r="DA8" s="2" t="s">
        <v>1170</v>
      </c>
      <c r="DG8" s="12" t="s">
        <v>1176</v>
      </c>
      <c r="DK8" s="24"/>
    </row>
    <row r="9" spans="2:115" ht="14" x14ac:dyDescent="0.15">
      <c r="C9" s="465" t="s">
        <v>7</v>
      </c>
      <c r="D9" s="361"/>
      <c r="E9" s="361"/>
      <c r="F9" s="361"/>
      <c r="G9" s="361"/>
      <c r="H9" s="361"/>
      <c r="I9" s="361"/>
      <c r="J9" s="362"/>
      <c r="N9" s="465" t="s">
        <v>8</v>
      </c>
      <c r="O9" s="361"/>
      <c r="P9" s="361"/>
      <c r="Q9" s="361"/>
      <c r="R9" s="361"/>
      <c r="S9" s="361"/>
      <c r="T9" s="361"/>
      <c r="U9" s="362"/>
      <c r="W9" t="s">
        <v>609</v>
      </c>
      <c r="AI9" s="465" t="s">
        <v>7</v>
      </c>
      <c r="AJ9" s="361"/>
      <c r="AK9" s="361"/>
      <c r="AL9" s="361"/>
      <c r="AM9" s="361"/>
      <c r="AN9" s="361"/>
      <c r="AO9" s="361"/>
      <c r="AP9" s="362"/>
      <c r="AR9" s="465" t="s">
        <v>8</v>
      </c>
      <c r="AS9" s="361"/>
      <c r="AT9" s="361"/>
      <c r="AU9" s="361"/>
      <c r="AV9" s="361"/>
      <c r="AW9" s="361"/>
      <c r="AX9" s="361"/>
      <c r="AY9" s="362"/>
      <c r="BB9" t="s">
        <v>185</v>
      </c>
      <c r="BC9" s="73">
        <v>-26.2</v>
      </c>
      <c r="BD9" s="73">
        <v>-16.100000000000001</v>
      </c>
      <c r="BE9" s="73">
        <v>-8.6</v>
      </c>
      <c r="BF9" s="73">
        <v>-3.2</v>
      </c>
      <c r="BG9" s="73">
        <v>0</v>
      </c>
      <c r="BH9" s="73">
        <v>1.2</v>
      </c>
      <c r="BI9" s="73">
        <v>1</v>
      </c>
      <c r="BJ9" s="73">
        <v>-1.1000000000000001</v>
      </c>
      <c r="CR9" s="83" t="s">
        <v>1110</v>
      </c>
      <c r="CW9" s="278" t="s">
        <v>311</v>
      </c>
      <c r="CX9" s="628" t="s">
        <v>13</v>
      </c>
      <c r="CY9" s="628" t="s">
        <v>14</v>
      </c>
      <c r="DA9" s="278" t="s">
        <v>311</v>
      </c>
      <c r="DB9" s="628" t="s">
        <v>13</v>
      </c>
      <c r="DC9" s="628" t="s">
        <v>14</v>
      </c>
      <c r="DG9" s="458" t="s">
        <v>988</v>
      </c>
      <c r="DH9" s="4" t="s">
        <v>1177</v>
      </c>
      <c r="DJ9" t="s">
        <v>21</v>
      </c>
      <c r="DK9" s="24" t="s">
        <v>1178</v>
      </c>
    </row>
    <row r="10" spans="2:115" x14ac:dyDescent="0.15">
      <c r="C10" s="304" t="str">
        <f>Puhallinkäyräpisteet_ENT!V5</f>
        <v>10 V</v>
      </c>
      <c r="D10" s="24">
        <f>Puhallinkäyräpisteet_ENT!W5</f>
        <v>0</v>
      </c>
      <c r="E10" s="305" t="str">
        <f>Puhallinkäyräpisteet_ENT!X5</f>
        <v>7,5 V</v>
      </c>
      <c r="F10" s="24">
        <f>Puhallinkäyräpisteet_ENT!Y5</f>
        <v>0</v>
      </c>
      <c r="G10" s="305" t="str">
        <f>Puhallinkäyräpisteet_ENT!Z5</f>
        <v>5 V</v>
      </c>
      <c r="H10" s="24">
        <f>Puhallinkäyräpisteet_ENT!AA5</f>
        <v>0</v>
      </c>
      <c r="I10" s="305" t="str">
        <f>Puhallinkäyräpisteet_ENT!AB5</f>
        <v>3 V</v>
      </c>
      <c r="J10" s="364">
        <f>Puhallinkäyräpisteet_ENT!AC5</f>
        <v>0</v>
      </c>
      <c r="N10" s="304" t="str">
        <f>Puhallinkäyräpisteet_ENT!AE5</f>
        <v>10 V</v>
      </c>
      <c r="O10" s="24">
        <f>Puhallinkäyräpisteet_ENT!AF5</f>
        <v>0</v>
      </c>
      <c r="P10" s="305" t="str">
        <f>Puhallinkäyräpisteet_ENT!AG5</f>
        <v>7,5 V</v>
      </c>
      <c r="Q10" s="24">
        <f>Puhallinkäyräpisteet_ENT!AH5</f>
        <v>0</v>
      </c>
      <c r="R10" s="305" t="str">
        <f>Puhallinkäyräpisteet_ENT!AI5</f>
        <v>5 V</v>
      </c>
      <c r="S10" s="24">
        <f>Puhallinkäyräpisteet_ENT!AJ5</f>
        <v>0</v>
      </c>
      <c r="T10" s="305" t="str">
        <f>Puhallinkäyräpisteet_ENT!AK5</f>
        <v>3 V</v>
      </c>
      <c r="U10" s="364">
        <f>Puhallinkäyräpisteet_ENT!AL5</f>
        <v>0</v>
      </c>
      <c r="AC10" t="str">
        <f>IF(AC7,"dm³/s","m³/h")</f>
        <v>m³/h</v>
      </c>
      <c r="AI10" s="304" t="str">
        <f>C10</f>
        <v>10 V</v>
      </c>
      <c r="AJ10" s="24"/>
      <c r="AK10" s="305" t="str">
        <f>E10</f>
        <v>7,5 V</v>
      </c>
      <c r="AL10" s="24"/>
      <c r="AM10" s="305" t="str">
        <f>G10</f>
        <v>5 V</v>
      </c>
      <c r="AN10" s="24"/>
      <c r="AO10" s="305" t="str">
        <f>I10</f>
        <v>3 V</v>
      </c>
      <c r="AP10" s="364"/>
      <c r="AR10" s="304" t="str">
        <f>N10</f>
        <v>10 V</v>
      </c>
      <c r="AS10" s="24"/>
      <c r="AT10" s="305" t="str">
        <f>P10</f>
        <v>7,5 V</v>
      </c>
      <c r="AU10" s="24"/>
      <c r="AV10" s="305" t="str">
        <f>R10</f>
        <v>5 V</v>
      </c>
      <c r="AW10" s="24"/>
      <c r="AX10" s="305" t="str">
        <f>T10</f>
        <v>3 V</v>
      </c>
      <c r="AY10" s="364"/>
      <c r="CR10" t="s">
        <v>1119</v>
      </c>
      <c r="CW10" s="95" t="s">
        <v>1152</v>
      </c>
      <c r="CX10" s="279">
        <v>1</v>
      </c>
      <c r="CY10" s="645">
        <f>CY11/(CX11^2)*CX10^2</f>
        <v>6.2207999999999999E-2</v>
      </c>
      <c r="DA10" s="95" t="s">
        <v>1152</v>
      </c>
      <c r="DB10" s="279">
        <f>IF($AC$7,CX10,CX10*3.6)</f>
        <v>3.6</v>
      </c>
      <c r="DC10" s="279">
        <f>CY10</f>
        <v>6.2207999999999999E-2</v>
      </c>
      <c r="DG10" s="458">
        <v>17</v>
      </c>
      <c r="DH10" s="4">
        <v>21</v>
      </c>
      <c r="DJ10" s="740">
        <f>IF($DG$4,DG10,DH10)</f>
        <v>21</v>
      </c>
      <c r="DK10" s="153">
        <f>DJ10</f>
        <v>21</v>
      </c>
    </row>
    <row r="11" spans="2:115" ht="14" thickBot="1" x14ac:dyDescent="0.2">
      <c r="B11" s="594" t="str">
        <f>IF($AC$7,"10V m³/h","10V dm³/s")</f>
        <v>10V dm³/s</v>
      </c>
      <c r="C11" s="306" t="str">
        <f>Puhallinkäyräpisteet_ENT!V6</f>
        <v>Pa</v>
      </c>
      <c r="D11" s="462" t="str">
        <f>Puhallinkäyräpisteet_ENT!W6</f>
        <v>l/s</v>
      </c>
      <c r="E11" s="307" t="str">
        <f>Puhallinkäyräpisteet_ENT!X6</f>
        <v>Pa</v>
      </c>
      <c r="F11" s="462" t="str">
        <f>Puhallinkäyräpisteet_ENT!Y6</f>
        <v>l/s</v>
      </c>
      <c r="G11" s="307" t="str">
        <f>Puhallinkäyräpisteet_ENT!Z6</f>
        <v>Pa</v>
      </c>
      <c r="H11" s="462" t="str">
        <f>Puhallinkäyräpisteet_ENT!AA6</f>
        <v>l/s</v>
      </c>
      <c r="I11" s="307" t="str">
        <f>Puhallinkäyräpisteet_ENT!AB6</f>
        <v>Pa</v>
      </c>
      <c r="J11" s="239" t="str">
        <f>Puhallinkäyräpisteet_ENT!AC6</f>
        <v>l/s</v>
      </c>
      <c r="M11" s="594" t="str">
        <f>IF($AC$7,"10V m³/h","10V dm³/s")</f>
        <v>10V dm³/s</v>
      </c>
      <c r="N11" s="306" t="str">
        <f>Puhallinkäyräpisteet_ENT!AE6</f>
        <v>Pa</v>
      </c>
      <c r="O11" s="462" t="str">
        <f>Puhallinkäyräpisteet_ENT!AF6</f>
        <v>l/s</v>
      </c>
      <c r="P11" s="307" t="str">
        <f>Puhallinkäyräpisteet_ENT!AG6</f>
        <v>Pa</v>
      </c>
      <c r="Q11" s="462" t="str">
        <f>Puhallinkäyräpisteet_ENT!AH6</f>
        <v>l/s</v>
      </c>
      <c r="R11" s="307" t="str">
        <f>Puhallinkäyräpisteet_ENT!AI6</f>
        <v>Pa</v>
      </c>
      <c r="S11" s="462" t="str">
        <f>Puhallinkäyräpisteet_ENT!AJ6</f>
        <v>l/s</v>
      </c>
      <c r="T11" s="307" t="str">
        <f>Puhallinkäyräpisteet_ENT!AK6</f>
        <v>Pa</v>
      </c>
      <c r="U11" s="239" t="str">
        <f>Puhallinkäyräpisteet_ENT!AL6</f>
        <v>l/s</v>
      </c>
      <c r="W11" t="s">
        <v>610</v>
      </c>
      <c r="Y11" t="s">
        <v>611</v>
      </c>
      <c r="AA11" t="s">
        <v>2727</v>
      </c>
      <c r="AC11" t="str">
        <f>IF(AC8,"dm³/s","m³/h")</f>
        <v>dm³/s</v>
      </c>
      <c r="AI11" s="306" t="str">
        <f>C11</f>
        <v>Pa</v>
      </c>
      <c r="AJ11" s="462" t="str">
        <f>AC10</f>
        <v>m³/h</v>
      </c>
      <c r="AK11" s="307" t="str">
        <f t="shared" ref="AK11:AO18" si="0">E11</f>
        <v>Pa</v>
      </c>
      <c r="AL11" s="462" t="str">
        <f>AC10</f>
        <v>m³/h</v>
      </c>
      <c r="AM11" s="307" t="str">
        <f t="shared" si="0"/>
        <v>Pa</v>
      </c>
      <c r="AN11" s="462" t="str">
        <f>AC10</f>
        <v>m³/h</v>
      </c>
      <c r="AO11" s="307" t="str">
        <f t="shared" si="0"/>
        <v>Pa</v>
      </c>
      <c r="AP11" s="239" t="str">
        <f>AC10</f>
        <v>m³/h</v>
      </c>
      <c r="AR11" s="306" t="str">
        <f>N11</f>
        <v>Pa</v>
      </c>
      <c r="AS11" s="462" t="str">
        <f>$AC$10</f>
        <v>m³/h</v>
      </c>
      <c r="AT11" s="307" t="str">
        <f t="shared" ref="AT11:AX18" si="1">P11</f>
        <v>Pa</v>
      </c>
      <c r="AU11" s="462" t="str">
        <f>$AC$10</f>
        <v>m³/h</v>
      </c>
      <c r="AV11" s="307" t="str">
        <f t="shared" si="1"/>
        <v>Pa</v>
      </c>
      <c r="AW11" s="462" t="str">
        <f>$AC$10</f>
        <v>m³/h</v>
      </c>
      <c r="AX11" s="307" t="str">
        <f t="shared" si="1"/>
        <v>Pa</v>
      </c>
      <c r="AY11" s="239" t="str">
        <f>$AC$10</f>
        <v>m³/h</v>
      </c>
      <c r="CR11" s="618">
        <f>'R-series ENT'!M40</f>
        <v>0.2</v>
      </c>
      <c r="CW11" s="95" t="s">
        <v>1150</v>
      </c>
      <c r="CX11" s="279">
        <f>'R-series ENT'!E33</f>
        <v>34.722222222222221</v>
      </c>
      <c r="CY11" s="344">
        <f>'R-series ENT'!E39</f>
        <v>75</v>
      </c>
      <c r="DA11" s="95" t="s">
        <v>1150</v>
      </c>
      <c r="DB11" s="279">
        <f t="shared" ref="DB11:DB12" si="2">IF($AC$7,CX11,CX11*3.6)</f>
        <v>125</v>
      </c>
      <c r="DC11" s="279">
        <f t="shared" ref="DC11:DC12" si="3">CY11</f>
        <v>75</v>
      </c>
      <c r="DG11" s="458">
        <v>18</v>
      </c>
      <c r="DH11" s="4">
        <v>22</v>
      </c>
      <c r="DJ11" s="740">
        <f t="shared" ref="DJ11:DJ14" si="4">IF($DG$4,DG11,DH11)</f>
        <v>22</v>
      </c>
      <c r="DK11" s="153">
        <f t="shared" ref="DK11:DK14" si="5">DJ11</f>
        <v>22</v>
      </c>
    </row>
    <row r="12" spans="2:115" ht="14" x14ac:dyDescent="0.15">
      <c r="B12" s="595">
        <f>IF($AC$7,D12*3.6,D12)</f>
        <v>105.26808093221356</v>
      </c>
      <c r="C12" s="304">
        <f>Puhallinkäyräpisteet_ENT!V7</f>
        <v>25</v>
      </c>
      <c r="D12" s="463">
        <f>Puhallinkäyräpisteet_ENT!W7</f>
        <v>105.26808093221356</v>
      </c>
      <c r="E12" s="305">
        <f>Puhallinkäyräpisteet_ENT!X7</f>
        <v>20</v>
      </c>
      <c r="F12" s="463">
        <f>Puhallinkäyräpisteet_ENT!Y7</f>
        <v>92.28328004472813</v>
      </c>
      <c r="G12" s="305">
        <f>Puhallinkäyräpisteet_ENT!Z7</f>
        <v>10</v>
      </c>
      <c r="H12" s="463">
        <f>Puhallinkäyräpisteet_ENT!AA7</f>
        <v>55.763696891943106</v>
      </c>
      <c r="I12" s="305">
        <f>Puhallinkäyräpisteet_ENT!AB7</f>
        <v>8</v>
      </c>
      <c r="J12" s="460">
        <f>Puhallinkäyräpisteet_ENT!AC7</f>
        <v>23.449319019710408</v>
      </c>
      <c r="M12" s="595">
        <f>IF($AC$7,O12*3.6,O12)</f>
        <v>112.80414235212891</v>
      </c>
      <c r="N12" s="304">
        <f>Puhallinkäyräpisteet_ENT!AE7</f>
        <v>25</v>
      </c>
      <c r="O12" s="463">
        <f>Puhallinkäyräpisteet_ENT!AF7</f>
        <v>112.80414235212891</v>
      </c>
      <c r="P12" s="305">
        <f>Puhallinkäyräpisteet_ENT!AG7</f>
        <v>24</v>
      </c>
      <c r="Q12" s="463">
        <f>Puhallinkäyräpisteet_ENT!AH7</f>
        <v>107.85190341399138</v>
      </c>
      <c r="R12" s="305">
        <f>Puhallinkäyräpisteet_ENT!AI7</f>
        <v>13</v>
      </c>
      <c r="S12" s="463">
        <f>Puhallinkäyräpisteet_ENT!AJ7</f>
        <v>68.004206299119801</v>
      </c>
      <c r="T12" s="305">
        <f>Puhallinkäyräpisteet_ENT!AK7</f>
        <v>8</v>
      </c>
      <c r="U12" s="460">
        <f>Puhallinkäyräpisteet_ENT!AL7</f>
        <v>33.03961500314464</v>
      </c>
      <c r="W12" s="483">
        <v>1</v>
      </c>
      <c r="X12" s="483" t="s">
        <v>2728</v>
      </c>
      <c r="Y12" s="483">
        <v>7</v>
      </c>
      <c r="AA12" s="1535">
        <v>1</v>
      </c>
      <c r="AI12" s="304">
        <f>C12</f>
        <v>25</v>
      </c>
      <c r="AJ12" s="463">
        <f>IF($AC$7,D12,D12*3.6)</f>
        <v>378.96509135596887</v>
      </c>
      <c r="AK12" s="305">
        <f t="shared" si="0"/>
        <v>20</v>
      </c>
      <c r="AL12" s="463">
        <f>IF($AC$7,F12,F12*3.6)</f>
        <v>332.21980816102126</v>
      </c>
      <c r="AM12" s="305">
        <f t="shared" si="0"/>
        <v>10</v>
      </c>
      <c r="AN12" s="463">
        <f>IF($AC$7,H12,H12*3.6)</f>
        <v>200.74930881099519</v>
      </c>
      <c r="AO12" s="305">
        <f t="shared" si="0"/>
        <v>8</v>
      </c>
      <c r="AP12" s="460">
        <f>IF($AC$7,J12,J12*3.6)</f>
        <v>84.41754847095747</v>
      </c>
      <c r="AR12" s="304">
        <f>N12</f>
        <v>25</v>
      </c>
      <c r="AS12" s="463">
        <f>IF($AC$7,O12,O12*3.6)</f>
        <v>406.09491246766407</v>
      </c>
      <c r="AT12" s="305">
        <f t="shared" si="1"/>
        <v>24</v>
      </c>
      <c r="AU12" s="463">
        <f>IF($AC$7,Q12,Q12*3.6)</f>
        <v>388.266852290369</v>
      </c>
      <c r="AV12" s="305">
        <f t="shared" si="1"/>
        <v>13</v>
      </c>
      <c r="AW12" s="463">
        <f>IF($AC$7,S12,S12*3.6)</f>
        <v>244.8151426768313</v>
      </c>
      <c r="AX12" s="305">
        <f t="shared" si="1"/>
        <v>8</v>
      </c>
      <c r="AY12" s="460">
        <f>IF($AC$7,U12,U12*3.6)</f>
        <v>118.9426140113207</v>
      </c>
      <c r="BC12" s="104">
        <v>63</v>
      </c>
      <c r="BD12" s="104">
        <v>125</v>
      </c>
      <c r="BE12" s="104">
        <v>250</v>
      </c>
      <c r="BF12" s="104">
        <v>500</v>
      </c>
      <c r="BG12" s="104">
        <v>1000</v>
      </c>
      <c r="BH12" s="104">
        <v>2000</v>
      </c>
      <c r="BI12" s="104">
        <v>4000</v>
      </c>
      <c r="BJ12" s="104">
        <v>8000</v>
      </c>
      <c r="BK12" s="104" t="s">
        <v>70</v>
      </c>
      <c r="BL12" s="104" t="s">
        <v>27</v>
      </c>
      <c r="BM12" t="s">
        <v>97</v>
      </c>
      <c r="BN12" t="s">
        <v>98</v>
      </c>
      <c r="CW12" s="95" t="s">
        <v>1151</v>
      </c>
      <c r="CX12" s="279">
        <f>CR16</f>
        <v>41.666666666666664</v>
      </c>
      <c r="CY12" s="279">
        <f>CR17</f>
        <v>107.99999999999999</v>
      </c>
      <c r="DA12" s="95" t="s">
        <v>1151</v>
      </c>
      <c r="DB12" s="279">
        <f t="shared" si="2"/>
        <v>150</v>
      </c>
      <c r="DC12" s="279">
        <f t="shared" si="3"/>
        <v>107.99999999999999</v>
      </c>
      <c r="DG12" s="458">
        <v>19</v>
      </c>
      <c r="DH12" s="4">
        <v>23</v>
      </c>
      <c r="DJ12" s="740">
        <f t="shared" si="4"/>
        <v>23</v>
      </c>
      <c r="DK12" s="153">
        <f t="shared" si="5"/>
        <v>23</v>
      </c>
    </row>
    <row r="13" spans="2:115" ht="14" x14ac:dyDescent="0.15">
      <c r="B13" s="595">
        <f t="shared" ref="B13:B18" si="6">IF($AC$7,D13*3.6,D13)</f>
        <v>91.962861509951423</v>
      </c>
      <c r="C13" s="304">
        <f>Puhallinkäyräpisteet_ENT!V8</f>
        <v>120</v>
      </c>
      <c r="D13" s="463">
        <f>Puhallinkäyräpisteet_ENT!W8</f>
        <v>91.962861509951423</v>
      </c>
      <c r="E13" s="305">
        <f>Puhallinkäyräpisteet_ENT!X8</f>
        <v>100</v>
      </c>
      <c r="F13" s="463">
        <f>Puhallinkäyräpisteet_ENT!Y8</f>
        <v>79.435729930187975</v>
      </c>
      <c r="G13" s="305">
        <f>Puhallinkäyräpisteet_ENT!Z8</f>
        <v>40</v>
      </c>
      <c r="H13" s="463">
        <f>Puhallinkäyräpisteet_ENT!AA8</f>
        <v>47.566017805685647</v>
      </c>
      <c r="I13" s="305">
        <f>Puhallinkäyräpisteet_ENT!AB8</f>
        <v>20</v>
      </c>
      <c r="J13" s="460">
        <f>Puhallinkäyräpisteet_ENT!AC8</f>
        <v>18.291755745789882</v>
      </c>
      <c r="M13" s="595">
        <f t="shared" ref="M13:M18" si="7">IF($AC$7,O13*3.6,O13)</f>
        <v>102.30954363902759</v>
      </c>
      <c r="N13" s="304">
        <f>Puhallinkäyräpisteet_ENT!AE8</f>
        <v>120</v>
      </c>
      <c r="O13" s="463">
        <f>Puhallinkäyräpisteet_ENT!AF8</f>
        <v>102.30954363902759</v>
      </c>
      <c r="P13" s="305">
        <f>Puhallinkäyräpisteet_ENT!AG8</f>
        <v>100</v>
      </c>
      <c r="Q13" s="463">
        <f>Puhallinkäyräpisteet_ENT!AH8</f>
        <v>96.433525303653425</v>
      </c>
      <c r="R13" s="305">
        <f>Puhallinkäyräpisteet_ENT!AI8</f>
        <v>40</v>
      </c>
      <c r="S13" s="463">
        <f>Puhallinkäyräpisteet_ENT!AJ8</f>
        <v>59.892207421150687</v>
      </c>
      <c r="T13" s="305">
        <f>Puhallinkäyräpisteet_ENT!AK8</f>
        <v>20</v>
      </c>
      <c r="U13" s="460">
        <f>Puhallinkäyräpisteet_ENT!AL8</f>
        <v>26.39211753991631</v>
      </c>
      <c r="W13" s="483">
        <v>2</v>
      </c>
      <c r="X13" s="483" t="s">
        <v>2729</v>
      </c>
      <c r="Y13" s="483">
        <v>1</v>
      </c>
      <c r="AA13" s="1535">
        <v>2</v>
      </c>
      <c r="AC13" t="str">
        <f>IF(AC7,"Mitoituspisteen tilavuusvirrat m³/h","Mitoituspisteen tilavuusvirrat dm³/s")</f>
        <v>Mitoituspisteen tilavuusvirrat dm³/s</v>
      </c>
      <c r="AI13" s="304">
        <f t="shared" ref="AI13:AI18" si="8">C13</f>
        <v>120</v>
      </c>
      <c r="AJ13" s="463">
        <f t="shared" ref="AJ13:AP18" si="9">IF($AC$7,D13,D13*3.6)</f>
        <v>331.06630143582515</v>
      </c>
      <c r="AK13" s="305">
        <f t="shared" si="0"/>
        <v>100</v>
      </c>
      <c r="AL13" s="463">
        <f t="shared" si="9"/>
        <v>285.96862774867674</v>
      </c>
      <c r="AM13" s="305">
        <f t="shared" si="0"/>
        <v>40</v>
      </c>
      <c r="AN13" s="463">
        <f t="shared" si="9"/>
        <v>171.23766410046832</v>
      </c>
      <c r="AO13" s="305">
        <f t="shared" si="0"/>
        <v>20</v>
      </c>
      <c r="AP13" s="460">
        <f t="shared" si="9"/>
        <v>65.850320684843581</v>
      </c>
      <c r="AR13" s="304">
        <f t="shared" ref="AR13:AR18" si="10">N13</f>
        <v>120</v>
      </c>
      <c r="AS13" s="463">
        <f t="shared" ref="AS13:AY18" si="11">IF($AC$7,O13,O13*3.6)</f>
        <v>368.31435710049936</v>
      </c>
      <c r="AT13" s="305">
        <f t="shared" si="1"/>
        <v>100</v>
      </c>
      <c r="AU13" s="463">
        <f t="shared" si="11"/>
        <v>347.16069109315237</v>
      </c>
      <c r="AV13" s="305">
        <f t="shared" si="1"/>
        <v>40</v>
      </c>
      <c r="AW13" s="463">
        <f t="shared" si="11"/>
        <v>215.61194671614248</v>
      </c>
      <c r="AX13" s="305">
        <f t="shared" si="1"/>
        <v>20</v>
      </c>
      <c r="AY13" s="460">
        <f t="shared" si="11"/>
        <v>95.011623143698714</v>
      </c>
      <c r="BB13" s="129" t="str">
        <f>C23</f>
        <v>Model 60ENT</v>
      </c>
      <c r="BC13" s="80">
        <f t="shared" ref="BC13:BJ14" si="12">BD23-BD$8</f>
        <v>42.344332156454733</v>
      </c>
      <c r="BD13" s="80">
        <f t="shared" si="12"/>
        <v>43.344332156454733</v>
      </c>
      <c r="BE13" s="80">
        <f t="shared" si="12"/>
        <v>36.344332156454733</v>
      </c>
      <c r="BF13" s="80">
        <f t="shared" si="12"/>
        <v>28.344332156454733</v>
      </c>
      <c r="BG13" s="80">
        <f t="shared" si="12"/>
        <v>21.344332156454733</v>
      </c>
      <c r="BH13" s="80">
        <f t="shared" si="12"/>
        <v>15.344332156454733</v>
      </c>
      <c r="BI13" s="80">
        <f t="shared" si="12"/>
        <v>6.3443321564547333</v>
      </c>
      <c r="BJ13" s="80">
        <f t="shared" si="12"/>
        <v>7.3443321564547333</v>
      </c>
      <c r="BK13" s="1518">
        <f t="array" ref="BK13">10*LOG10(SUM(10^(BC13:BJ13/10)))</f>
        <v>46.42746247074794</v>
      </c>
      <c r="BL13" s="1518">
        <f t="array" ref="BL13">10*LOG10(SUM(10^((BC13:BJ13+BC9:BJ9)/10)))</f>
        <v>32.263913397376029</v>
      </c>
      <c r="BM13" s="1518">
        <f>BL13+10*LOG10(4/10)</f>
        <v>28.284513310655655</v>
      </c>
      <c r="BN13" s="1518">
        <f>BL13+10*LOG10(4/2.5)</f>
        <v>34.30511322393528</v>
      </c>
      <c r="CR13" t="s">
        <v>1118</v>
      </c>
      <c r="CW13" s="278" t="s">
        <v>312</v>
      </c>
      <c r="CX13" s="628" t="s">
        <v>13</v>
      </c>
      <c r="CY13" s="628" t="s">
        <v>14</v>
      </c>
      <c r="DA13" s="278" t="s">
        <v>312</v>
      </c>
      <c r="DB13" s="628" t="s">
        <v>13</v>
      </c>
      <c r="DC13" s="646" t="s">
        <v>14</v>
      </c>
      <c r="DG13" s="458">
        <v>20</v>
      </c>
      <c r="DH13" s="4">
        <v>24</v>
      </c>
      <c r="DJ13" s="740">
        <f t="shared" si="4"/>
        <v>24</v>
      </c>
      <c r="DK13" s="153">
        <f t="shared" si="5"/>
        <v>24</v>
      </c>
    </row>
    <row r="14" spans="2:115" ht="14" x14ac:dyDescent="0.15">
      <c r="B14" s="595">
        <f t="shared" si="6"/>
        <v>81.202962921026909</v>
      </c>
      <c r="C14" s="304">
        <f>Puhallinkäyräpisteet_ENT!V9</f>
        <v>190</v>
      </c>
      <c r="D14" s="463">
        <f>Puhallinkäyräpisteet_ENT!W9</f>
        <v>81.202962921026909</v>
      </c>
      <c r="E14" s="305">
        <f>Puhallinkäyräpisteet_ENT!X9</f>
        <v>150</v>
      </c>
      <c r="F14" s="463">
        <f>Puhallinkäyräpisteet_ENT!Y9</f>
        <v>70.512999015413541</v>
      </c>
      <c r="G14" s="305">
        <f>Puhallinkäyräpisteet_ENT!Z9</f>
        <v>60</v>
      </c>
      <c r="H14" s="463">
        <f>Puhallinkäyräpisteet_ENT!AA9</f>
        <v>41.687978895362349</v>
      </c>
      <c r="I14" s="305">
        <f>Puhallinkäyräpisteet_ENT!AB9</f>
        <v>30</v>
      </c>
      <c r="J14" s="460">
        <f>Puhallinkäyräpisteet_ENT!AC9</f>
        <v>13.819633588455394</v>
      </c>
      <c r="M14" s="595">
        <f t="shared" si="7"/>
        <v>93.466153966574225</v>
      </c>
      <c r="N14" s="304">
        <f>Puhallinkäyräpisteet_ENT!AE9</f>
        <v>190</v>
      </c>
      <c r="O14" s="463">
        <f>Puhallinkäyräpisteet_ENT!AF9</f>
        <v>93.466153966574225</v>
      </c>
      <c r="P14" s="305">
        <f>Puhallinkäyräpisteet_ENT!AG9</f>
        <v>150</v>
      </c>
      <c r="Q14" s="463">
        <f>Puhallinkäyräpisteet_ENT!AH9</f>
        <v>87.95448303233907</v>
      </c>
      <c r="R14" s="305">
        <f>Puhallinkäyräpisteet_ENT!AI9</f>
        <v>60</v>
      </c>
      <c r="S14" s="463">
        <f>Puhallinkäyräpisteet_ENT!AJ9</f>
        <v>53.313493809492236</v>
      </c>
      <c r="T14" s="305">
        <f>Puhallinkäyräpisteet_ENT!AK9</f>
        <v>30</v>
      </c>
      <c r="U14" s="460">
        <f>Puhallinkäyräpisteet_ENT!AL9</f>
        <v>19.739311494193096</v>
      </c>
      <c r="W14" s="483">
        <v>3</v>
      </c>
      <c r="X14" s="483" t="s">
        <v>116</v>
      </c>
      <c r="Y14" s="483">
        <v>2</v>
      </c>
      <c r="AA14" s="1535" t="s">
        <v>2730</v>
      </c>
      <c r="AC14" t="s">
        <v>7</v>
      </c>
      <c r="AD14" t="s">
        <v>8</v>
      </c>
      <c r="AI14" s="304">
        <f t="shared" si="8"/>
        <v>190</v>
      </c>
      <c r="AJ14" s="463">
        <f t="shared" si="9"/>
        <v>292.33066651569686</v>
      </c>
      <c r="AK14" s="305">
        <f t="shared" si="0"/>
        <v>150</v>
      </c>
      <c r="AL14" s="463">
        <f t="shared" si="9"/>
        <v>253.84679645548874</v>
      </c>
      <c r="AM14" s="305">
        <f t="shared" si="0"/>
        <v>60</v>
      </c>
      <c r="AN14" s="463">
        <f t="shared" si="9"/>
        <v>150.07672402330445</v>
      </c>
      <c r="AO14" s="305">
        <f t="shared" si="0"/>
        <v>30</v>
      </c>
      <c r="AP14" s="460">
        <f t="shared" si="9"/>
        <v>49.750680918439421</v>
      </c>
      <c r="AR14" s="304">
        <f t="shared" si="10"/>
        <v>190</v>
      </c>
      <c r="AS14" s="463">
        <f t="shared" si="11"/>
        <v>336.47815427966719</v>
      </c>
      <c r="AT14" s="305">
        <f t="shared" si="1"/>
        <v>150</v>
      </c>
      <c r="AU14" s="463">
        <f t="shared" si="11"/>
        <v>316.63613891642063</v>
      </c>
      <c r="AV14" s="305">
        <f t="shared" si="1"/>
        <v>60</v>
      </c>
      <c r="AW14" s="463">
        <f t="shared" si="11"/>
        <v>191.92857771417206</v>
      </c>
      <c r="AX14" s="305">
        <f t="shared" si="1"/>
        <v>30</v>
      </c>
      <c r="AY14" s="460">
        <f t="shared" si="11"/>
        <v>71.061521379095154</v>
      </c>
      <c r="BB14" s="129" t="str">
        <f t="shared" ref="BB14:BB15" si="13">C24</f>
        <v>Model 100</v>
      </c>
      <c r="BC14" s="80">
        <f t="shared" si="12"/>
        <v>43.439637794117878</v>
      </c>
      <c r="BD14" s="80">
        <f t="shared" si="12"/>
        <v>43.439637794117878</v>
      </c>
      <c r="BE14" s="80">
        <f t="shared" si="12"/>
        <v>36.439637794117878</v>
      </c>
      <c r="BF14" s="80">
        <f t="shared" si="12"/>
        <v>27.439637794117878</v>
      </c>
      <c r="BG14" s="80">
        <f t="shared" si="12"/>
        <v>19.439637794117878</v>
      </c>
      <c r="BH14" s="80">
        <f t="shared" si="12"/>
        <v>13.439637794117878</v>
      </c>
      <c r="BI14" s="80">
        <f t="shared" si="12"/>
        <v>5.4396377941178784</v>
      </c>
      <c r="BJ14" s="80">
        <f t="shared" si="12"/>
        <v>3.4396377941178784</v>
      </c>
      <c r="BK14" s="1518">
        <f t="array" ref="BK14">10*LOG10(SUM(10^(BC14:BJ14/10)))</f>
        <v>46.922461786954422</v>
      </c>
      <c r="BL14" s="1518">
        <f t="array" ref="BL14">10*LOG10(SUM(10^((BC14:BJ14+BC9:BJ9)/10)))</f>
        <v>32.018227367825396</v>
      </c>
      <c r="BM14" s="1518">
        <f>BL14+10*LOG10(4/10)</f>
        <v>28.038827281105021</v>
      </c>
      <c r="BN14" s="1518">
        <f>BL14+10*LOG10(4/2.5)</f>
        <v>34.059427194384646</v>
      </c>
      <c r="BT14" s="2" t="s">
        <v>395</v>
      </c>
      <c r="BW14" t="s">
        <v>394</v>
      </c>
      <c r="CR14" t="s">
        <v>1120</v>
      </c>
      <c r="CW14" s="95" t="s">
        <v>1152</v>
      </c>
      <c r="CX14" s="279">
        <v>2</v>
      </c>
      <c r="CY14" s="344">
        <f>CY15/(CX15^2)*CX14^2</f>
        <v>0.29859839999999999</v>
      </c>
      <c r="DA14" s="95" t="s">
        <v>1152</v>
      </c>
      <c r="DB14" s="279">
        <f>IF($AC$7,CX14,CX14*3.6)</f>
        <v>7.2</v>
      </c>
      <c r="DC14" s="279">
        <f>CY14</f>
        <v>0.29859839999999999</v>
      </c>
      <c r="DG14" s="47">
        <v>21</v>
      </c>
      <c r="DH14" s="50">
        <v>25</v>
      </c>
      <c r="DI14" s="25"/>
      <c r="DJ14" s="741">
        <f t="shared" si="4"/>
        <v>25</v>
      </c>
      <c r="DK14" s="48">
        <f t="shared" si="5"/>
        <v>25</v>
      </c>
    </row>
    <row r="15" spans="2:115" ht="14" x14ac:dyDescent="0.15">
      <c r="B15" s="595">
        <f t="shared" si="6"/>
        <v>71.129807185062404</v>
      </c>
      <c r="C15" s="304">
        <f>Puhallinkäyräpisteet_ENT!V10</f>
        <v>250</v>
      </c>
      <c r="D15" s="463">
        <f>Puhallinkäyräpisteet_ENT!W10</f>
        <v>71.129807185062404</v>
      </c>
      <c r="E15" s="305">
        <f>Puhallinkäyräpisteet_ENT!X10</f>
        <v>200</v>
      </c>
      <c r="F15" s="463">
        <f>Puhallinkäyräpisteet_ENT!Y10</f>
        <v>60.642675332748922</v>
      </c>
      <c r="G15" s="305">
        <f>Puhallinkäyräpisteet_ENT!Z10</f>
        <v>80</v>
      </c>
      <c r="H15" s="463">
        <f>Puhallinkäyräpisteet_ENT!AA10</f>
        <v>35.399229865105674</v>
      </c>
      <c r="I15" s="305">
        <f>Puhallinkäyräpisteet_ENT!AB10</f>
        <v>35</v>
      </c>
      <c r="J15" s="460">
        <f>Puhallinkäyräpisteet_ENT!AC10</f>
        <v>11.5179687754458</v>
      </c>
      <c r="M15" s="595">
        <f t="shared" si="7"/>
        <v>84.749359155674398</v>
      </c>
      <c r="N15" s="304">
        <f>Puhallinkäyräpisteet_ENT!AE10</f>
        <v>250</v>
      </c>
      <c r="O15" s="463">
        <f>Puhallinkäyräpisteet_ENT!AF10</f>
        <v>84.749359155674398</v>
      </c>
      <c r="P15" s="305">
        <f>Puhallinkäyräpisteet_ENT!AG10</f>
        <v>200</v>
      </c>
      <c r="Q15" s="463">
        <f>Puhallinkäyräpisteet_ENT!AH10</f>
        <v>78.352266317306643</v>
      </c>
      <c r="R15" s="305">
        <f>Puhallinkäyräpisteet_ENT!AI10</f>
        <v>80</v>
      </c>
      <c r="S15" s="463">
        <f>Puhallinkäyräpisteet_ENT!AJ10</f>
        <v>46.091391635961443</v>
      </c>
      <c r="T15" s="305">
        <f>Puhallinkäyräpisteet_ENT!AK10</f>
        <v>35</v>
      </c>
      <c r="U15" s="460">
        <f>Puhallinkäyräpisteet_ENT!AL10</f>
        <v>15.777519598102133</v>
      </c>
      <c r="W15" s="483">
        <v>4</v>
      </c>
      <c r="X15" s="483" t="s">
        <v>2731</v>
      </c>
      <c r="Y15" s="483">
        <v>6</v>
      </c>
      <c r="AA15" s="1535">
        <v>3</v>
      </c>
      <c r="AC15" s="4">
        <f>IF($AC$7,'R-series ENT'!E37*3.6,'R-series ENT'!E37/3.6)</f>
        <v>34.722222222222221</v>
      </c>
      <c r="AD15" s="4">
        <f>IF($AC$7,'R-series ENT'!G37*3.6,'R-series ENT'!G37/3.6)</f>
        <v>34.722222222222221</v>
      </c>
      <c r="AI15" s="304">
        <f t="shared" si="8"/>
        <v>250</v>
      </c>
      <c r="AJ15" s="463">
        <f t="shared" si="9"/>
        <v>256.06730586622467</v>
      </c>
      <c r="AK15" s="305">
        <f t="shared" si="0"/>
        <v>200</v>
      </c>
      <c r="AL15" s="463">
        <f t="shared" si="9"/>
        <v>218.31363119789611</v>
      </c>
      <c r="AM15" s="305">
        <f t="shared" si="0"/>
        <v>80</v>
      </c>
      <c r="AN15" s="463">
        <f t="shared" si="9"/>
        <v>127.43722751438042</v>
      </c>
      <c r="AO15" s="305">
        <f t="shared" si="0"/>
        <v>35</v>
      </c>
      <c r="AP15" s="460">
        <f t="shared" si="9"/>
        <v>41.464687591604878</v>
      </c>
      <c r="AR15" s="304">
        <f t="shared" si="10"/>
        <v>250</v>
      </c>
      <c r="AS15" s="463">
        <f t="shared" si="11"/>
        <v>305.09769296042782</v>
      </c>
      <c r="AT15" s="305">
        <f t="shared" si="1"/>
        <v>200</v>
      </c>
      <c r="AU15" s="463">
        <f t="shared" si="11"/>
        <v>282.06815874230392</v>
      </c>
      <c r="AV15" s="305">
        <f t="shared" si="1"/>
        <v>80</v>
      </c>
      <c r="AW15" s="463">
        <f t="shared" si="11"/>
        <v>165.92900988946121</v>
      </c>
      <c r="AX15" s="305">
        <f t="shared" si="1"/>
        <v>35</v>
      </c>
      <c r="AY15" s="460">
        <f t="shared" si="11"/>
        <v>56.799070553167681</v>
      </c>
      <c r="BB15" s="91" t="str">
        <f t="shared" si="13"/>
        <v>Model 150ENT</v>
      </c>
      <c r="BC15" s="271">
        <f>BD25</f>
        <v>49.902359784083586</v>
      </c>
      <c r="BD15" s="271">
        <f t="shared" ref="BD15:BN17" si="14">BE25</f>
        <v>44.902359784083586</v>
      </c>
      <c r="BE15" s="271">
        <f t="shared" si="14"/>
        <v>44.902359784083586</v>
      </c>
      <c r="BF15" s="271">
        <f t="shared" si="14"/>
        <v>34.902359784083586</v>
      </c>
      <c r="BG15" s="271">
        <f t="shared" si="14"/>
        <v>22.902359784083586</v>
      </c>
      <c r="BH15" s="271">
        <f t="shared" si="14"/>
        <v>20.902359784083586</v>
      </c>
      <c r="BI15" s="271">
        <f t="shared" si="14"/>
        <v>15.902359784083586</v>
      </c>
      <c r="BJ15" s="271">
        <f t="shared" si="14"/>
        <v>14.902359784083586</v>
      </c>
      <c r="BK15" s="1518">
        <f t="array" ref="BK15">10*LOG10(SUM(10^(BC15:BJ15/10)))</f>
        <v>52.124442179289602</v>
      </c>
      <c r="BL15" s="1518">
        <f t="array" ref="BL15">10*LOG10(SUM(10^((BC15:BJ15+BC9:BJ9)/10)))</f>
        <v>38.556361388701625</v>
      </c>
      <c r="BM15" s="1518">
        <f>BL15+10*LOG10(4/10)</f>
        <v>34.57696130198125</v>
      </c>
      <c r="BN15" s="1518">
        <f>BL15+10*LOG10(4/2.5)</f>
        <v>40.597561215260875</v>
      </c>
      <c r="BO15" s="272" t="s">
        <v>358</v>
      </c>
      <c r="BT15" t="b">
        <v>0</v>
      </c>
      <c r="BW15" t="str" cm="1">
        <f t="array" ref="BW15">CONCATENATE(INDEX(Kirjasto_ENT!D4:K125,37,Kirjasto_ENT!B4),"*")</f>
        <v>Kitchen bypass*</v>
      </c>
      <c r="BY15" t="str" cm="1">
        <f t="array" ref="BY15">INDEX(Kirjasto_ENT!D4:K135,129,Kirjasto_ENT!B4)</f>
        <v>* With kitchen bypass, the total extract air volume flow is larger than the inserted value</v>
      </c>
      <c r="CR15" t="s">
        <v>7</v>
      </c>
      <c r="CS15" t="s">
        <v>8</v>
      </c>
      <c r="CW15" s="96" t="s">
        <v>1150</v>
      </c>
      <c r="CX15" s="279">
        <f>'R-series ENT'!G33</f>
        <v>34.722222222222221</v>
      </c>
      <c r="CY15" s="344">
        <f>'R-series ENT'!G39</f>
        <v>90</v>
      </c>
      <c r="DA15" s="96" t="s">
        <v>1150</v>
      </c>
      <c r="DB15" s="279">
        <f t="shared" ref="DB15:DB16" si="15">IF($AC$7,CX15,CX15*3.6)</f>
        <v>125</v>
      </c>
      <c r="DC15" s="279">
        <f t="shared" ref="DC15:DC16" si="16">CY15</f>
        <v>90</v>
      </c>
    </row>
    <row r="16" spans="2:115" ht="14" x14ac:dyDescent="0.15">
      <c r="B16" s="595">
        <f t="shared" si="6"/>
        <v>58.035074833885083</v>
      </c>
      <c r="C16" s="304">
        <f>Puhallinkäyräpisteet_ENT!V11</f>
        <v>320</v>
      </c>
      <c r="D16" s="463">
        <f>Puhallinkäyräpisteet_ENT!W11</f>
        <v>58.035074833885083</v>
      </c>
      <c r="E16" s="305">
        <f>Puhallinkäyräpisteet_ENT!X11</f>
        <v>250</v>
      </c>
      <c r="F16" s="463">
        <f>Puhallinkäyräpisteet_ENT!Y11</f>
        <v>49.437913155445834</v>
      </c>
      <c r="G16" s="305">
        <f>Puhallinkäyräpisteet_ENT!Z11</f>
        <v>100</v>
      </c>
      <c r="H16" s="463">
        <f>Puhallinkäyräpisteet_ENT!AA11</f>
        <v>28.599362859180573</v>
      </c>
      <c r="I16" s="305">
        <f>Puhallinkäyräpisteet_ENT!AB11</f>
        <v>40</v>
      </c>
      <c r="J16" s="460">
        <f>Puhallinkäyräpisteet_ENT!AC11</f>
        <v>9.1689881805203886</v>
      </c>
      <c r="M16" s="595">
        <f t="shared" si="7"/>
        <v>72.341229155244577</v>
      </c>
      <c r="N16" s="304">
        <f>Puhallinkäyräpisteet_ENT!AE11</f>
        <v>320</v>
      </c>
      <c r="O16" s="463">
        <f>Puhallinkäyräpisteet_ENT!AF11</f>
        <v>72.341229155244577</v>
      </c>
      <c r="P16" s="305">
        <f>Puhallinkäyräpisteet_ENT!AG11</f>
        <v>250</v>
      </c>
      <c r="Q16" s="463">
        <f>Puhallinkäyräpisteet_ENT!AH11</f>
        <v>67.009582209175775</v>
      </c>
      <c r="R16" s="305">
        <f>Puhallinkäyräpisteet_ENT!AI11</f>
        <v>100</v>
      </c>
      <c r="S16" s="463">
        <f>Puhallinkäyräpisteet_ENT!AJ11</f>
        <v>37.98948241846751</v>
      </c>
      <c r="T16" s="305">
        <f>Puhallinkäyräpisteet_ENT!AK11</f>
        <v>41</v>
      </c>
      <c r="U16" s="460">
        <f>Puhallinkäyräpisteet_ENT!AL11</f>
        <v>10.014958659989722</v>
      </c>
      <c r="W16" s="483">
        <v>5</v>
      </c>
      <c r="X16" s="483" t="s">
        <v>2732</v>
      </c>
      <c r="Y16" s="483">
        <v>3</v>
      </c>
      <c r="AA16" s="1535">
        <v>4</v>
      </c>
      <c r="AI16" s="304">
        <f t="shared" si="8"/>
        <v>320</v>
      </c>
      <c r="AJ16" s="463">
        <f t="shared" si="9"/>
        <v>208.9262694019863</v>
      </c>
      <c r="AK16" s="305">
        <f t="shared" si="0"/>
        <v>250</v>
      </c>
      <c r="AL16" s="463">
        <f t="shared" si="9"/>
        <v>177.97648735960502</v>
      </c>
      <c r="AM16" s="305">
        <f t="shared" si="0"/>
        <v>100</v>
      </c>
      <c r="AN16" s="463">
        <f t="shared" si="9"/>
        <v>102.95770629305007</v>
      </c>
      <c r="AO16" s="305">
        <f t="shared" si="0"/>
        <v>40</v>
      </c>
      <c r="AP16" s="460">
        <f t="shared" si="9"/>
        <v>33.008357449873401</v>
      </c>
      <c r="AR16" s="304">
        <f t="shared" si="10"/>
        <v>320</v>
      </c>
      <c r="AS16" s="463">
        <f t="shared" si="11"/>
        <v>260.4284249588805</v>
      </c>
      <c r="AT16" s="305">
        <f t="shared" si="1"/>
        <v>250</v>
      </c>
      <c r="AU16" s="463">
        <f t="shared" si="11"/>
        <v>241.23449595303279</v>
      </c>
      <c r="AV16" s="305">
        <f t="shared" si="1"/>
        <v>100</v>
      </c>
      <c r="AW16" s="463">
        <f t="shared" si="11"/>
        <v>136.76213670648303</v>
      </c>
      <c r="AX16" s="305">
        <f t="shared" si="1"/>
        <v>41</v>
      </c>
      <c r="AY16" s="460">
        <f t="shared" si="11"/>
        <v>36.053851175962997</v>
      </c>
      <c r="BB16" s="129" t="s">
        <v>561</v>
      </c>
      <c r="BC16" s="299">
        <f>BD26</f>
        <v>54.730926658601518</v>
      </c>
      <c r="BD16" s="299">
        <f t="shared" si="14"/>
        <v>48.730926658601518</v>
      </c>
      <c r="BE16" s="299">
        <f t="shared" si="14"/>
        <v>39.730926658601518</v>
      </c>
      <c r="BF16" s="299">
        <f t="shared" si="14"/>
        <v>26.730926658601518</v>
      </c>
      <c r="BG16" s="299">
        <f t="shared" si="14"/>
        <v>22.730926658601518</v>
      </c>
      <c r="BH16" s="299">
        <f t="shared" si="14"/>
        <v>18.730926658601518</v>
      </c>
      <c r="BI16" s="299">
        <f t="shared" si="14"/>
        <v>18.730926658601518</v>
      </c>
      <c r="BJ16" s="299">
        <f t="shared" si="14"/>
        <v>17.730926658601518</v>
      </c>
      <c r="BK16" s="1518">
        <f t="shared" si="14"/>
        <v>55.822421642246312</v>
      </c>
      <c r="BL16" s="1518">
        <f t="shared" si="14"/>
        <v>36.730926658601518</v>
      </c>
      <c r="BM16" s="1518">
        <f t="shared" si="14"/>
        <v>32.751526571881143</v>
      </c>
      <c r="BN16" s="1518">
        <f t="shared" si="14"/>
        <v>38.772126485160769</v>
      </c>
      <c r="BO16" s="286" t="s">
        <v>577</v>
      </c>
      <c r="BW16" t="str" cm="1">
        <f t="array" ref="BW16">INDEX(Kirjasto_ENT!D4:K125,37,Kirjasto_ENT!B4)</f>
        <v>Kitchen bypass</v>
      </c>
      <c r="BY16" t="str" cm="1">
        <f t="array" ref="BY16">CONCATENATE("* ",INDEX(Kirjasto_ENT!D4:K125,8,Kirjasto_ENT!B4))</f>
        <v>* Not available for the selected model</v>
      </c>
      <c r="CR16" s="609">
        <f>(1+CR11)*'R-series ENT'!E33</f>
        <v>41.666666666666664</v>
      </c>
      <c r="CS16" s="609">
        <f>(1+CR11)*'R-series ENT'!G33</f>
        <v>41.666666666666664</v>
      </c>
      <c r="CT16" t="s">
        <v>13</v>
      </c>
      <c r="CW16" s="95" t="s">
        <v>1151</v>
      </c>
      <c r="CX16" s="279">
        <f>CS16</f>
        <v>41.666666666666664</v>
      </c>
      <c r="CY16" s="279">
        <f>CS17</f>
        <v>129.59999999999997</v>
      </c>
      <c r="DA16" s="95" t="s">
        <v>1151</v>
      </c>
      <c r="DB16" s="279">
        <f t="shared" si="15"/>
        <v>150</v>
      </c>
      <c r="DC16" s="279">
        <f t="shared" si="16"/>
        <v>129.59999999999997</v>
      </c>
    </row>
    <row r="17" spans="1:129" ht="14" x14ac:dyDescent="0.15">
      <c r="B17" s="595">
        <f t="shared" si="6"/>
        <v>42.815079257983498</v>
      </c>
      <c r="C17" s="304">
        <f>Puhallinkäyräpisteet_ENT!V12</f>
        <v>390</v>
      </c>
      <c r="D17" s="463">
        <f>Puhallinkäyräpisteet_ENT!W12</f>
        <v>42.815079257983498</v>
      </c>
      <c r="E17" s="305">
        <f>Puhallinkäyräpisteet_ENT!X12</f>
        <v>300</v>
      </c>
      <c r="F17" s="463">
        <f>Puhallinkäyräpisteet_ENT!Y12</f>
        <v>36.143851235640447</v>
      </c>
      <c r="G17" s="305">
        <f>Puhallinkäyräpisteet_ENT!Z12</f>
        <v>125</v>
      </c>
      <c r="H17" s="463">
        <f>Puhallinkäyräpisteet_ENT!AA12</f>
        <v>19.145333011745933</v>
      </c>
      <c r="I17" s="305"/>
      <c r="J17" s="460"/>
      <c r="M17" s="595">
        <f t="shared" si="7"/>
        <v>54.115277912677698</v>
      </c>
      <c r="N17" s="304">
        <f>Puhallinkäyräpisteet_ENT!AE12</f>
        <v>390</v>
      </c>
      <c r="O17" s="463">
        <f>Puhallinkäyräpisteet_ENT!AF12</f>
        <v>54.115277912677698</v>
      </c>
      <c r="P17" s="305">
        <f>Puhallinkäyräpisteet_ENT!AG12</f>
        <v>300</v>
      </c>
      <c r="Q17" s="463">
        <f>Puhallinkäyräpisteet_ENT!AH12</f>
        <v>52.37799716899908</v>
      </c>
      <c r="R17" s="305">
        <f>Puhallinkäyräpisteet_ENT!AI12</f>
        <v>136</v>
      </c>
      <c r="S17" s="463">
        <f>Puhallinkäyräpisteet_ENT!AJ12</f>
        <v>19.49607603794357</v>
      </c>
      <c r="T17" s="305"/>
      <c r="U17" s="460"/>
      <c r="W17" s="483">
        <v>6</v>
      </c>
      <c r="X17" s="483" t="s">
        <v>2733</v>
      </c>
      <c r="Y17" s="483">
        <v>4</v>
      </c>
      <c r="AA17" s="1535">
        <v>5</v>
      </c>
      <c r="AI17" s="304">
        <f t="shared" si="8"/>
        <v>390</v>
      </c>
      <c r="AJ17" s="463">
        <f t="shared" si="9"/>
        <v>154.13428532874059</v>
      </c>
      <c r="AK17" s="305">
        <f t="shared" si="0"/>
        <v>300</v>
      </c>
      <c r="AL17" s="463">
        <f t="shared" si="9"/>
        <v>130.11786444830562</v>
      </c>
      <c r="AM17" s="305">
        <f t="shared" si="0"/>
        <v>125</v>
      </c>
      <c r="AN17" s="463">
        <f t="shared" si="9"/>
        <v>68.923198842285359</v>
      </c>
      <c r="AO17" s="305"/>
      <c r="AP17" s="460"/>
      <c r="AR17" s="304">
        <f t="shared" si="10"/>
        <v>390</v>
      </c>
      <c r="AS17" s="463">
        <f t="shared" si="11"/>
        <v>194.81500048563973</v>
      </c>
      <c r="AT17" s="305">
        <f t="shared" si="1"/>
        <v>300</v>
      </c>
      <c r="AU17" s="463">
        <f t="shared" si="11"/>
        <v>188.56078980839669</v>
      </c>
      <c r="AV17" s="305">
        <f t="shared" si="1"/>
        <v>136</v>
      </c>
      <c r="AW17" s="463">
        <f t="shared" si="11"/>
        <v>70.185873736596861</v>
      </c>
      <c r="AX17" s="305"/>
      <c r="AY17" s="460"/>
      <c r="BB17" s="129" t="s">
        <v>560</v>
      </c>
      <c r="BC17" s="299">
        <f>BD27</f>
        <v>54.730926658601518</v>
      </c>
      <c r="BD17" s="299">
        <f t="shared" si="14"/>
        <v>48.730926658601518</v>
      </c>
      <c r="BE17" s="299">
        <f t="shared" si="14"/>
        <v>39.730926658601518</v>
      </c>
      <c r="BF17" s="299">
        <f t="shared" si="14"/>
        <v>26.730926658601518</v>
      </c>
      <c r="BG17" s="299">
        <f t="shared" si="14"/>
        <v>22.730926658601518</v>
      </c>
      <c r="BH17" s="299">
        <f t="shared" si="14"/>
        <v>18.730926658601518</v>
      </c>
      <c r="BI17" s="299">
        <f t="shared" si="14"/>
        <v>18.730926658601518</v>
      </c>
      <c r="BJ17" s="299">
        <f t="shared" si="14"/>
        <v>17.730926658601518</v>
      </c>
      <c r="BK17" s="1518">
        <f t="shared" si="14"/>
        <v>55.822421642246312</v>
      </c>
      <c r="BL17" s="1518">
        <f>BM27</f>
        <v>36.730926658601518</v>
      </c>
      <c r="BM17" s="1518">
        <f t="shared" si="14"/>
        <v>32.751526571881143</v>
      </c>
      <c r="BN17" s="1518">
        <f t="shared" si="14"/>
        <v>38.772126485160769</v>
      </c>
      <c r="BO17" s="286" t="s">
        <v>578</v>
      </c>
      <c r="BV17" s="2" t="s">
        <v>21</v>
      </c>
      <c r="BW17" s="2" t="str">
        <f>IF(BT15,BW15,BW16)</f>
        <v>Kitchen bypass</v>
      </c>
      <c r="BY17" s="2" t="str">
        <f>IF(BT15,IF(OR($C$6=3,$C$6=4,$C$6=5),BY16,BY15),"")</f>
        <v/>
      </c>
      <c r="CR17" s="609">
        <f>('R-series ENT'!E39/'R-series ENT'!E33^2)*Tulokset_ENT!CR16^2</f>
        <v>107.99999999999999</v>
      </c>
      <c r="CS17" s="609">
        <f>('R-series ENT'!G39/'R-series ENT'!G33^2)*Tulokset_ENT!CS16^2</f>
        <v>129.59999999999997</v>
      </c>
      <c r="CT17" t="s">
        <v>14</v>
      </c>
      <c r="DN17" t="s">
        <v>1333</v>
      </c>
    </row>
    <row r="18" spans="1:129" ht="15" thickBot="1" x14ac:dyDescent="0.2">
      <c r="B18" s="595">
        <f t="shared" si="6"/>
        <v>40.886029956479234</v>
      </c>
      <c r="C18" s="306">
        <f>Puhallinkäyräpisteet_ENT!V13</f>
        <v>398</v>
      </c>
      <c r="D18" s="464">
        <f>Puhallinkäyräpisteet_ENT!W13</f>
        <v>40.886029956479234</v>
      </c>
      <c r="E18" s="307">
        <f>Puhallinkäyräpisteet_ENT!X13</f>
        <v>315</v>
      </c>
      <c r="F18" s="464">
        <f>Puhallinkäyräpisteet_ENT!Y13</f>
        <v>31.526091801720298</v>
      </c>
      <c r="G18" s="307"/>
      <c r="H18" s="464"/>
      <c r="I18" s="307"/>
      <c r="J18" s="461"/>
      <c r="M18" s="595">
        <f t="shared" si="7"/>
        <v>43.998379520182048</v>
      </c>
      <c r="N18" s="306">
        <f>Puhallinkäyräpisteet_ENT!AE13</f>
        <v>412</v>
      </c>
      <c r="O18" s="464">
        <f>Puhallinkäyräpisteet_ENT!AF13</f>
        <v>43.998379520182048</v>
      </c>
      <c r="P18" s="307">
        <f>Puhallinkäyräpisteet_ENT!AG13</f>
        <v>340</v>
      </c>
      <c r="Q18" s="464">
        <f>Puhallinkäyräpisteet_ENT!AH13</f>
        <v>33.765245166408228</v>
      </c>
      <c r="R18" s="307"/>
      <c r="S18" s="464"/>
      <c r="T18" s="307"/>
      <c r="U18" s="461"/>
      <c r="W18" s="483">
        <v>7</v>
      </c>
      <c r="X18" s="483" t="s">
        <v>2734</v>
      </c>
      <c r="Y18" s="483">
        <v>5</v>
      </c>
      <c r="AA18" s="1535">
        <v>6</v>
      </c>
      <c r="AI18" s="306">
        <f t="shared" si="8"/>
        <v>398</v>
      </c>
      <c r="AJ18" s="464">
        <f t="shared" si="9"/>
        <v>147.18970784332524</v>
      </c>
      <c r="AK18" s="307">
        <f t="shared" si="0"/>
        <v>315</v>
      </c>
      <c r="AL18" s="464">
        <f t="shared" si="9"/>
        <v>113.49393048619308</v>
      </c>
      <c r="AM18" s="307"/>
      <c r="AN18" s="464"/>
      <c r="AO18" s="307"/>
      <c r="AP18" s="461"/>
      <c r="AR18" s="306">
        <f t="shared" si="10"/>
        <v>412</v>
      </c>
      <c r="AS18" s="464">
        <f t="shared" si="11"/>
        <v>158.39416627265538</v>
      </c>
      <c r="AT18" s="307">
        <f t="shared" si="1"/>
        <v>340</v>
      </c>
      <c r="AU18" s="464">
        <f t="shared" si="11"/>
        <v>121.55488259906963</v>
      </c>
      <c r="AV18" s="307"/>
      <c r="AW18" s="464"/>
      <c r="AX18" s="307"/>
      <c r="AY18" s="461"/>
      <c r="BB18" s="129" t="s">
        <v>585</v>
      </c>
      <c r="BC18" s="80">
        <f>BD28-BD$8</f>
        <v>38.644157991431605</v>
      </c>
      <c r="BD18" s="80">
        <f t="shared" ref="BD18:BJ18" si="17">BE28-BE$8</f>
        <v>42.644157991431605</v>
      </c>
      <c r="BE18" s="80">
        <f t="shared" si="17"/>
        <v>34.644157991431605</v>
      </c>
      <c r="BF18" s="80">
        <f t="shared" si="17"/>
        <v>26.644157991431605</v>
      </c>
      <c r="BG18" s="80">
        <f t="shared" si="17"/>
        <v>18.644157991431605</v>
      </c>
      <c r="BH18" s="80">
        <f t="shared" si="17"/>
        <v>12.644157991431605</v>
      </c>
      <c r="BI18" s="80">
        <f t="shared" si="17"/>
        <v>6.6441579914316051</v>
      </c>
      <c r="BJ18" s="80">
        <f t="shared" si="17"/>
        <v>1.6441579914316051</v>
      </c>
      <c r="BK18" s="1518">
        <f t="array" ref="BK18">10*LOG10(SUM(10^(BC18:BJ18/10)))</f>
        <v>44.650001275283415</v>
      </c>
      <c r="BL18" s="1518" cm="1">
        <f t="array" ref="BL18">10*LOG10(SUM(10^((BC18:BJ18+BC9:BJ9)/10)))</f>
        <v>30.778603940848935</v>
      </c>
      <c r="BM18" s="1518">
        <f>BL18+10*LOG10(4/10)</f>
        <v>26.79920385412856</v>
      </c>
      <c r="BN18" s="1518">
        <f>BL18+10*LOG10(4/2.5)</f>
        <v>32.819803767408182</v>
      </c>
      <c r="CM18" t="s">
        <v>513</v>
      </c>
      <c r="DN18" t="b">
        <f>D41</f>
        <v>0</v>
      </c>
    </row>
    <row r="19" spans="1:129" x14ac:dyDescent="0.15">
      <c r="BB19" s="129" t="s">
        <v>2670</v>
      </c>
      <c r="BC19" s="80">
        <f>BD29-BD8</f>
        <v>42.209423524163761</v>
      </c>
      <c r="BD19" s="80">
        <f>BE29-BE8</f>
        <v>43.209423524163761</v>
      </c>
      <c r="BE19" s="80">
        <f t="shared" ref="BE19:BJ19" si="18">BF29-BF8</f>
        <v>36.209423524163761</v>
      </c>
      <c r="BF19" s="80">
        <f t="shared" si="18"/>
        <v>24.209423524163761</v>
      </c>
      <c r="BG19" s="80">
        <f t="shared" si="18"/>
        <v>18.209423524163761</v>
      </c>
      <c r="BH19" s="80">
        <f t="shared" si="18"/>
        <v>11.209423524163761</v>
      </c>
      <c r="BI19" s="80">
        <f t="shared" si="18"/>
        <v>5.2094235241637605</v>
      </c>
      <c r="BJ19" s="80">
        <f t="shared" si="18"/>
        <v>4.2094235241637605</v>
      </c>
      <c r="BK19" s="1518">
        <f t="array" ref="BK19">10*LOG10(SUM(10^(BC19:BJ19/10)))</f>
        <v>46.242510389480017</v>
      </c>
      <c r="BL19" s="1518" cm="1">
        <f t="array" ref="BL19">10*LOG10(SUM(10^((BC19:BJ19+BC9:BJ9)/10)))</f>
        <v>31.292325052963751</v>
      </c>
      <c r="BM19" s="1518">
        <f>BL19+10*LOG10(4/10)</f>
        <v>27.312924966243376</v>
      </c>
      <c r="BN19" s="1518">
        <f>BL19+10*LOG10(4/2.5)</f>
        <v>33.333524879522997</v>
      </c>
      <c r="CM19" t="b">
        <f>D41</f>
        <v>0</v>
      </c>
      <c r="CR19" s="4">
        <f>IF($AC$7,CR16,CR16*3.6)</f>
        <v>150</v>
      </c>
      <c r="CS19" s="4">
        <f>IF($AC$7,CS16,CS16*3.6)</f>
        <v>150</v>
      </c>
      <c r="CT19" s="4" t="str">
        <f>IF(AC7,"dm³/s","m³/h")</f>
        <v>m³/h</v>
      </c>
    </row>
    <row r="20" spans="1:129" x14ac:dyDescent="0.15">
      <c r="O20" s="420" t="s">
        <v>1265</v>
      </c>
      <c r="P20" t="s">
        <v>118</v>
      </c>
      <c r="CR20" s="5">
        <f>IF($AC$7,CR16*3.6,CR16)</f>
        <v>41.666666666666664</v>
      </c>
      <c r="CS20" s="5">
        <f>IF($AC$7,CS16*3.6,CS16)</f>
        <v>41.666666666666664</v>
      </c>
      <c r="CT20" s="4" t="str">
        <f t="shared" ref="CT20" si="19">IF(AC8,"dm³/s","m³/h")</f>
        <v>dm³/s</v>
      </c>
      <c r="CV20" s="2" t="s">
        <v>1111</v>
      </c>
      <c r="CX20" s="2" t="s">
        <v>117</v>
      </c>
      <c r="CZ20" s="2" t="s">
        <v>79</v>
      </c>
    </row>
    <row r="21" spans="1:129" x14ac:dyDescent="0.15">
      <c r="D21" s="2" t="s">
        <v>44</v>
      </c>
      <c r="G21" s="2" t="s">
        <v>58</v>
      </c>
      <c r="J21" s="2" t="s">
        <v>73</v>
      </c>
      <c r="O21" s="420" t="s">
        <v>187</v>
      </c>
      <c r="P21" s="2" t="s">
        <v>29</v>
      </c>
      <c r="Z21" s="2" t="s">
        <v>26</v>
      </c>
      <c r="AJ21" s="2" t="s">
        <v>55</v>
      </c>
      <c r="AT21" s="2" t="s">
        <v>56</v>
      </c>
      <c r="BD21" s="2" t="s">
        <v>96</v>
      </c>
      <c r="BT21" s="2" t="s">
        <v>390</v>
      </c>
      <c r="CI21" t="s">
        <v>530</v>
      </c>
      <c r="CJ21" t="s">
        <v>531</v>
      </c>
      <c r="CL21" s="2" t="s">
        <v>568</v>
      </c>
      <c r="CM21" s="2" t="s">
        <v>566</v>
      </c>
      <c r="CT21" s="4"/>
      <c r="CV21" s="4" t="s">
        <v>7</v>
      </c>
      <c r="CW21" s="4" t="s">
        <v>8</v>
      </c>
      <c r="CX21" s="4" t="s">
        <v>7</v>
      </c>
      <c r="CY21" s="4" t="s">
        <v>8</v>
      </c>
      <c r="CZ21" s="4" t="s">
        <v>7</v>
      </c>
      <c r="DA21" s="4" t="s">
        <v>8</v>
      </c>
      <c r="DG21" s="2" t="s">
        <v>1267</v>
      </c>
      <c r="DN21" t="s">
        <v>1274</v>
      </c>
      <c r="DQ21" s="2" t="s">
        <v>2735</v>
      </c>
      <c r="DU21" s="4" t="s">
        <v>1259</v>
      </c>
      <c r="DX21" t="s">
        <v>2736</v>
      </c>
    </row>
    <row r="22" spans="1:129" x14ac:dyDescent="0.15">
      <c r="D22" s="2" t="s">
        <v>117</v>
      </c>
      <c r="E22" s="2" t="s">
        <v>18</v>
      </c>
      <c r="F22" s="2" t="s">
        <v>54</v>
      </c>
      <c r="G22" s="2" t="s">
        <v>117</v>
      </c>
      <c r="H22" s="2" t="s">
        <v>18</v>
      </c>
      <c r="I22" s="2" t="s">
        <v>54</v>
      </c>
      <c r="J22" s="2" t="s">
        <v>54</v>
      </c>
      <c r="K22" s="2" t="s">
        <v>124</v>
      </c>
      <c r="L22" s="2" t="s">
        <v>75</v>
      </c>
      <c r="M22" s="2" t="s">
        <v>203</v>
      </c>
      <c r="N22" s="2" t="s">
        <v>202</v>
      </c>
      <c r="O22" s="420" t="s">
        <v>188</v>
      </c>
      <c r="P22" s="104">
        <v>63</v>
      </c>
      <c r="Q22" s="104">
        <v>125</v>
      </c>
      <c r="R22" s="104">
        <v>250</v>
      </c>
      <c r="S22" s="104">
        <v>500</v>
      </c>
      <c r="T22" s="104">
        <v>1000</v>
      </c>
      <c r="U22" s="104">
        <v>2000</v>
      </c>
      <c r="V22" s="104">
        <v>4000</v>
      </c>
      <c r="W22" s="104">
        <v>8000</v>
      </c>
      <c r="X22" s="104" t="s">
        <v>70</v>
      </c>
      <c r="Y22" s="104" t="s">
        <v>27</v>
      </c>
      <c r="Z22" s="104">
        <v>63</v>
      </c>
      <c r="AA22" s="104">
        <v>125</v>
      </c>
      <c r="AB22" s="104">
        <v>250</v>
      </c>
      <c r="AC22" s="104">
        <v>500</v>
      </c>
      <c r="AD22" s="104">
        <v>1000</v>
      </c>
      <c r="AE22" s="104">
        <v>2000</v>
      </c>
      <c r="AF22" s="104">
        <v>4000</v>
      </c>
      <c r="AG22" s="104">
        <v>8000</v>
      </c>
      <c r="AH22" s="104" t="s">
        <v>70</v>
      </c>
      <c r="AI22" s="104" t="s">
        <v>27</v>
      </c>
      <c r="AJ22" s="104">
        <v>63</v>
      </c>
      <c r="AK22" s="104">
        <v>125</v>
      </c>
      <c r="AL22" s="104">
        <v>250</v>
      </c>
      <c r="AM22" s="104">
        <v>500</v>
      </c>
      <c r="AN22" s="104">
        <v>1000</v>
      </c>
      <c r="AO22" s="104">
        <v>2000</v>
      </c>
      <c r="AP22" s="104">
        <v>4000</v>
      </c>
      <c r="AQ22" s="104">
        <v>8000</v>
      </c>
      <c r="AR22" s="104" t="s">
        <v>70</v>
      </c>
      <c r="AS22" s="104" t="s">
        <v>27</v>
      </c>
      <c r="AT22" s="104">
        <v>63</v>
      </c>
      <c r="AU22" s="104">
        <v>125</v>
      </c>
      <c r="AV22" s="104">
        <v>250</v>
      </c>
      <c r="AW22" s="104">
        <v>500</v>
      </c>
      <c r="AX22" s="104">
        <v>1000</v>
      </c>
      <c r="AY22" s="104">
        <v>2000</v>
      </c>
      <c r="AZ22" s="104">
        <v>4000</v>
      </c>
      <c r="BA22" s="104">
        <v>8000</v>
      </c>
      <c r="BB22" s="104" t="s">
        <v>70</v>
      </c>
      <c r="BC22" s="104" t="s">
        <v>27</v>
      </c>
      <c r="BD22" s="104">
        <v>63</v>
      </c>
      <c r="BE22" s="104">
        <v>125</v>
      </c>
      <c r="BF22" s="104">
        <v>250</v>
      </c>
      <c r="BG22" s="104">
        <v>500</v>
      </c>
      <c r="BH22" s="104">
        <v>1000</v>
      </c>
      <c r="BI22" s="104">
        <v>2000</v>
      </c>
      <c r="BJ22" s="104">
        <v>4000</v>
      </c>
      <c r="BK22" s="104">
        <v>8000</v>
      </c>
      <c r="BL22" s="104" t="s">
        <v>70</v>
      </c>
      <c r="BM22" s="104" t="s">
        <v>27</v>
      </c>
      <c r="BN22" t="s">
        <v>97</v>
      </c>
      <c r="BO22" t="s">
        <v>98</v>
      </c>
      <c r="BT22" s="104">
        <v>63</v>
      </c>
      <c r="BU22" s="104">
        <v>125</v>
      </c>
      <c r="BV22" s="104">
        <v>250</v>
      </c>
      <c r="BW22" s="104">
        <v>500</v>
      </c>
      <c r="BX22" s="104">
        <v>1000</v>
      </c>
      <c r="BY22" s="104">
        <v>2000</v>
      </c>
      <c r="BZ22" s="104">
        <v>4000</v>
      </c>
      <c r="CA22" s="104">
        <v>8000</v>
      </c>
      <c r="CB22" s="104" t="s">
        <v>70</v>
      </c>
      <c r="CC22" s="104" t="s">
        <v>27</v>
      </c>
      <c r="CI22" s="39" t="s">
        <v>393</v>
      </c>
      <c r="CJ22" s="39" t="s">
        <v>393</v>
      </c>
      <c r="CL22" s="696" t="s">
        <v>2737</v>
      </c>
      <c r="CM22" t="str" cm="1">
        <f t="array" ref="CM22">INDEX(Kirjasto_ENT!D4:K125,9,Kirjasto_ENT!B4)</f>
        <v>Electric plug 230 V, 50 Hz, 10 A, max 1165 W</v>
      </c>
      <c r="CR22" s="696" t="s">
        <v>2729</v>
      </c>
      <c r="CV22" s="619">
        <f>'Laskenta tulopuoli 60_ENT'!AI34</f>
        <v>0.91663366979800953</v>
      </c>
      <c r="CW22" s="619">
        <f>'Laskenta poistopuoli 60_ENT'!AI34</f>
        <v>0.94854775546665349</v>
      </c>
      <c r="CX22" s="4" t="b">
        <f>'Laskenta tulopuoli 60_ENT'!AL34</f>
        <v>1</v>
      </c>
      <c r="CY22" s="4" t="b">
        <f>'Laskenta poistopuoli 60_ENT'!AL34</f>
        <v>1</v>
      </c>
      <c r="CZ22" s="5">
        <f>'Laskenta tulopuoli 60_ENT'!AL36</f>
        <v>5.6500848303345137</v>
      </c>
      <c r="DA22" s="5">
        <f>'Laskenta poistopuoli 60_ENT'!AL36</f>
        <v>5.4415065262774158</v>
      </c>
      <c r="DK22" s="4" t="s">
        <v>1256</v>
      </c>
      <c r="DL22" s="4" t="s">
        <v>1259</v>
      </c>
      <c r="DN22" t="s">
        <v>1275</v>
      </c>
      <c r="DU22" t="s">
        <v>2738</v>
      </c>
      <c r="DV22" t="s">
        <v>2739</v>
      </c>
      <c r="DX22" t="s">
        <v>2740</v>
      </c>
    </row>
    <row r="23" spans="1:129" x14ac:dyDescent="0.15">
      <c r="A23" s="483">
        <v>1</v>
      </c>
      <c r="C23" s="1536" t="s">
        <v>2729</v>
      </c>
      <c r="D23" t="b">
        <f>'Laskenta tulopuoli 60_ENT'!W10</f>
        <v>1</v>
      </c>
      <c r="E23" s="32">
        <f>'Laskenta tulopuoli 60_ENT'!W9</f>
        <v>4.8722550824769089</v>
      </c>
      <c r="F23" s="5">
        <f>'Laskenta tulopuoli 60_ENT'!W14</f>
        <v>18.725001842642108</v>
      </c>
      <c r="G23" t="b">
        <f>'Laskenta poistopuoli 60_ENT'!W10</f>
        <v>1</v>
      </c>
      <c r="H23" s="32">
        <f>'Laskenta poistopuoli 60_ENT'!W9</f>
        <v>4.6737857613449663</v>
      </c>
      <c r="I23" s="5">
        <f>'Laskenta poistopuoli 60_ENT'!W14</f>
        <v>18.17041705048598</v>
      </c>
      <c r="J23" s="4">
        <v>4.4000000000000004</v>
      </c>
      <c r="K23" s="5">
        <f t="shared" ref="K23:K29" si="20">F23+I23+J23</f>
        <v>41.295418893128087</v>
      </c>
      <c r="L23" s="32">
        <f>K23/MAX('R-series ENT'!$E$33,'R-series ENT'!$G$33)</f>
        <v>1.189308064122089</v>
      </c>
      <c r="M23" s="4">
        <f>90*0.7</f>
        <v>62.999999999999993</v>
      </c>
      <c r="N23" s="99">
        <v>1.1864630512155652</v>
      </c>
      <c r="O23" s="843">
        <v>0.79500000000000004</v>
      </c>
      <c r="P23" s="80">
        <f>'Laskenta tulopuoli 60_ENT'!$AF$44</f>
        <v>83.081900793182115</v>
      </c>
      <c r="Q23" s="80">
        <f>'Laskenta tulopuoli 60_ENT'!$AG$44</f>
        <v>66.081900793182115</v>
      </c>
      <c r="R23" s="80">
        <f>'Laskenta tulopuoli 60_ENT'!$AH$44</f>
        <v>62.081900793182115</v>
      </c>
      <c r="S23" s="80">
        <f>'Laskenta tulopuoli 60_ENT'!$AI$44</f>
        <v>59.081900793182115</v>
      </c>
      <c r="T23" s="80">
        <f>'Laskenta tulopuoli 60_ENT'!$AJ$44</f>
        <v>53.081900793182115</v>
      </c>
      <c r="U23" s="80">
        <f>'Laskenta tulopuoli 60_ENT'!$AK$44</f>
        <v>51.081900793182115</v>
      </c>
      <c r="V23" s="80">
        <f>'Laskenta tulopuoli 60_ENT'!$AL$44</f>
        <v>46.081900793182115</v>
      </c>
      <c r="W23" s="80">
        <f>'Laskenta tulopuoli 60_ENT'!$AM$44</f>
        <v>38.081900793182115</v>
      </c>
      <c r="X23" s="80">
        <f>'Laskenta tulopuoli 60_ENT'!$AN$44</f>
        <v>83.226010156859843</v>
      </c>
      <c r="Y23" s="108">
        <f>'Laskenta tulopuoli 60_ENT'!$W$6</f>
        <v>62.081900793182115</v>
      </c>
      <c r="Z23" s="80">
        <f>'Laskenta tulopuoli 60_ENT'!$AF$43</f>
        <v>74.350319413350149</v>
      </c>
      <c r="AA23" s="80">
        <f>'Laskenta tulopuoli 60_ENT'!$AG$43</f>
        <v>57.350319413350157</v>
      </c>
      <c r="AB23" s="80">
        <f>'Laskenta tulopuoli 60_ENT'!$AH$43</f>
        <v>54.350319413350157</v>
      </c>
      <c r="AC23" s="80">
        <f>'Laskenta tulopuoli 60_ENT'!$AI$43</f>
        <v>45.350319413350157</v>
      </c>
      <c r="AD23" s="80">
        <f>'Laskenta tulopuoli 60_ENT'!$AJ$43</f>
        <v>35.350319413350157</v>
      </c>
      <c r="AE23" s="80">
        <f>'Laskenta tulopuoli 60_ENT'!$AK$43</f>
        <v>29.350319413350157</v>
      </c>
      <c r="AF23" s="80">
        <f>'Laskenta tulopuoli 60_ENT'!$AL$43</f>
        <v>21.350319413350157</v>
      </c>
      <c r="AG23" s="80">
        <f>'Laskenta tulopuoli 60_ENT'!$AM$43</f>
        <v>18.350319413350157</v>
      </c>
      <c r="AH23" s="80">
        <f>'Laskenta tulopuoli 60_ENT'!$AN$43</f>
        <v>74.484492099851025</v>
      </c>
      <c r="AI23" s="108">
        <f>'Laskenta tulopuoli 60_ENT'!$W$5</f>
        <v>51.350319413350157</v>
      </c>
      <c r="AJ23" s="80">
        <f>'Laskenta poistopuoli 60_ENT'!$AF$43</f>
        <v>74.652204430997017</v>
      </c>
      <c r="AK23" s="80">
        <f>'Laskenta poistopuoli 60_ENT'!$AG$43</f>
        <v>55.65220443099701</v>
      </c>
      <c r="AL23" s="80">
        <f>'Laskenta poistopuoli 60_ENT'!$AH$43</f>
        <v>50.65220443099701</v>
      </c>
      <c r="AM23" s="80">
        <f>'Laskenta poistopuoli 60_ENT'!$AI$43</f>
        <v>47.65220443099701</v>
      </c>
      <c r="AN23" s="80">
        <f>'Laskenta poistopuoli 60_ENT'!$AJ$43</f>
        <v>41.65220443099701</v>
      </c>
      <c r="AO23" s="80">
        <f>'Laskenta poistopuoli 60_ENT'!$AK$43</f>
        <v>34.65220443099701</v>
      </c>
      <c r="AP23" s="80">
        <f>'Laskenta poistopuoli 60_ENT'!$AL$43</f>
        <v>25.65220443099701</v>
      </c>
      <c r="AQ23" s="80">
        <f>'Laskenta poistopuoli 60_ENT'!$AM$43</f>
        <v>19.65220443099701</v>
      </c>
      <c r="AR23" s="80">
        <f>'Laskenta poistopuoli 60_ENT'!$AN$43</f>
        <v>74.734724125118092</v>
      </c>
      <c r="AS23" s="108">
        <f>'Laskenta poistopuoli 60_ENT'!$W$5</f>
        <v>51.65220443099701</v>
      </c>
      <c r="AT23" s="80">
        <f>'Laskenta poistopuoli 60_ENT'!$AF$44</f>
        <v>81.797611511157953</v>
      </c>
      <c r="AU23" s="80">
        <f>'Laskenta poistopuoli 60_ENT'!$AG$44</f>
        <v>65.797611511157953</v>
      </c>
      <c r="AV23" s="80">
        <f>'Laskenta poistopuoli 60_ENT'!$AH$44</f>
        <v>63.797611511157953</v>
      </c>
      <c r="AW23" s="80">
        <f>'Laskenta poistopuoli 60_ENT'!$AI$44</f>
        <v>56.797611511157953</v>
      </c>
      <c r="AX23" s="80">
        <f>'Laskenta poistopuoli 60_ENT'!$AJ$44</f>
        <v>53.797611511157953</v>
      </c>
      <c r="AY23" s="80">
        <f>'Laskenta poistopuoli 60_ENT'!$AK$44</f>
        <v>51.797611511157953</v>
      </c>
      <c r="AZ23" s="80">
        <f>'Laskenta poistopuoli 60_ENT'!$AL$44</f>
        <v>46.797611511157953</v>
      </c>
      <c r="BA23" s="80">
        <f>'Laskenta poistopuoli 60_ENT'!$AM$44</f>
        <v>42.797611511157953</v>
      </c>
      <c r="BB23" s="80">
        <f>'Laskenta poistopuoli 60_ENT'!$AN$44</f>
        <v>81.997729875925586</v>
      </c>
      <c r="BC23" s="108">
        <f>'Laskenta poistopuoli 60_ENT'!$W$6</f>
        <v>61.797611511157953</v>
      </c>
      <c r="BD23" s="80">
        <f>'Laskenta vaipan läpi 60_ENT'!L39</f>
        <v>50.344332156454733</v>
      </c>
      <c r="BE23" s="80">
        <f>'Laskenta vaipan läpi 60_ENT'!M39</f>
        <v>46.344332156454733</v>
      </c>
      <c r="BF23" s="80">
        <f>'Laskenta vaipan läpi 60_ENT'!N39</f>
        <v>41.344332156454733</v>
      </c>
      <c r="BG23" s="80">
        <f>'Laskenta vaipan läpi 60_ENT'!O39</f>
        <v>32.344332156454733</v>
      </c>
      <c r="BH23" s="80">
        <f>'Laskenta vaipan läpi 60_ENT'!P39</f>
        <v>24.344332156454733</v>
      </c>
      <c r="BI23" s="80">
        <f>'Laskenta vaipan läpi 60_ENT'!Q39</f>
        <v>18.344332156454733</v>
      </c>
      <c r="BJ23" s="80">
        <f>'Laskenta vaipan läpi 60_ENT'!R39</f>
        <v>11.344332156454733</v>
      </c>
      <c r="BK23" s="80">
        <f>'Laskenta vaipan läpi 60_ENT'!S39</f>
        <v>10.344332156454733</v>
      </c>
      <c r="BL23" s="80">
        <f>'Laskenta vaipan läpi 60_ENT'!T39</f>
        <v>52.228603214066268</v>
      </c>
      <c r="BM23" s="108">
        <f>'Laskenta vaipan läpi 60_ENT'!C35</f>
        <v>36.344332156454733</v>
      </c>
      <c r="BN23" s="80">
        <f>BM23+10*LOG10(4/10)</f>
        <v>32.364932069734358</v>
      </c>
      <c r="BO23" s="80">
        <f>BM23+10*LOG10(4/2.5)</f>
        <v>38.385531983013983</v>
      </c>
      <c r="BS23" t="s">
        <v>115</v>
      </c>
      <c r="BT23" s="80">
        <f>'Laskenta keittiöohitus_ENT'!C32</f>
        <v>70</v>
      </c>
      <c r="BU23" s="80">
        <f>'Laskenta keittiöohitus_ENT'!D32</f>
        <v>65</v>
      </c>
      <c r="BV23" s="80">
        <f>'Laskenta keittiöohitus_ENT'!E32</f>
        <v>61</v>
      </c>
      <c r="BW23" s="80">
        <f>'Laskenta keittiöohitus_ENT'!F32</f>
        <v>54</v>
      </c>
      <c r="BX23" s="80">
        <f>'Laskenta keittiöohitus_ENT'!G32</f>
        <v>51</v>
      </c>
      <c r="BY23" s="80">
        <f>'Laskenta keittiöohitus_ENT'!H32</f>
        <v>42</v>
      </c>
      <c r="BZ23" s="80">
        <f>'Laskenta keittiöohitus_ENT'!I32</f>
        <v>31</v>
      </c>
      <c r="CA23" s="80">
        <f>'Laskenta keittiöohitus_ENT'!J32</f>
        <v>23</v>
      </c>
      <c r="CB23" s="80">
        <f>'Laskenta keittiöohitus_ENT'!K32</f>
        <v>71.707189991030333</v>
      </c>
      <c r="CC23" s="80">
        <f>'Laskenta keittiöohitus_ENT'!D27</f>
        <v>57.105085593892845</v>
      </c>
      <c r="CI23" s="39" t="s">
        <v>393</v>
      </c>
      <c r="CJ23" s="39" t="s">
        <v>393</v>
      </c>
      <c r="CL23" t="s">
        <v>570</v>
      </c>
      <c r="CM23" t="str" cm="1">
        <f t="array" ref="CM23">INDEX(Kirjasto_ENT!D4:K125,10,Kirjasto_ENT!B4)</f>
        <v>Electric plug 230 V, 50 Hz, 10 A, max 1165 W</v>
      </c>
      <c r="CR23" t="str">
        <f t="shared" ref="CR23:CR27" si="21">C24</f>
        <v>Model 100</v>
      </c>
      <c r="CV23" s="619">
        <f>'Laskenta tulopuoli 100_ENT'!AL34</f>
        <v>0.89160515111278849</v>
      </c>
      <c r="CW23" s="619">
        <f>'Laskenta poistopuoli 100_ENT'!AL34</f>
        <v>0.93020588953610983</v>
      </c>
      <c r="CX23" s="4" t="b">
        <f>'Laskenta tulopuoli 100_ENT'!AO34</f>
        <v>1</v>
      </c>
      <c r="CY23" s="4" t="b">
        <f>'Laskenta poistopuoli 100_ENT'!AO34</f>
        <v>1</v>
      </c>
      <c r="CZ23" s="5">
        <f>'Laskenta tulopuoli 100_ENT'!AO36</f>
        <v>5.7629238961820493</v>
      </c>
      <c r="DA23" s="5">
        <f>'Laskenta poistopuoli 100_ENT'!AO36</f>
        <v>5.5015737287422501</v>
      </c>
      <c r="DG23" s="483">
        <v>1</v>
      </c>
      <c r="DI23" s="696" t="s">
        <v>2729</v>
      </c>
      <c r="DK23" s="619">
        <f>'Kojeet ja kennon hyötysuhde_ENT'!N4</f>
        <v>0.84395127271364345</v>
      </c>
      <c r="DL23" s="619">
        <f>'Kojeet ja kennon hyötysuhde_ENT'!O4</f>
        <v>0.84395127271364345</v>
      </c>
      <c r="DN23">
        <v>920</v>
      </c>
      <c r="DQ23" s="483">
        <v>1</v>
      </c>
      <c r="DS23" s="696" t="s">
        <v>2729</v>
      </c>
      <c r="DU23" s="1537">
        <f>'Kennolaskuri 60_ENT'!I65</f>
        <v>0.40116916101166716</v>
      </c>
      <c r="DV23" s="1537">
        <f>'Kennolaskuri 60_ENT'!Y65</f>
        <v>0.44554640794152917</v>
      </c>
      <c r="DX23" s="696">
        <v>0.81405096279380917</v>
      </c>
      <c r="DY23" t="s">
        <v>2741</v>
      </c>
    </row>
    <row r="24" spans="1:129" x14ac:dyDescent="0.15">
      <c r="A24" s="483">
        <v>2</v>
      </c>
      <c r="C24" t="s">
        <v>116</v>
      </c>
      <c r="D24" t="b">
        <f>'Laskenta tulopuoli 100_ENT'!$W$10</f>
        <v>1</v>
      </c>
      <c r="E24" s="32">
        <f>'Laskenta tulopuoli 100_ENT'!$W$9</f>
        <v>5.0031425347573784</v>
      </c>
      <c r="F24" s="5">
        <f>'Laskenta tulopuoli 100_ENT'!$W$14</f>
        <v>18.882880930027859</v>
      </c>
      <c r="G24" t="b">
        <f>'Laskenta poistopuoli 100_ENT'!$W$10</f>
        <v>1</v>
      </c>
      <c r="H24" s="32">
        <f>'Laskenta poistopuoli 100_ENT'!$W$9</f>
        <v>4.7499370969529489</v>
      </c>
      <c r="I24" s="5">
        <f>'Laskenta poistopuoli 100_ENT'!$W$14</f>
        <v>17.934301963298594</v>
      </c>
      <c r="J24" s="4">
        <v>4.4000000000000004</v>
      </c>
      <c r="K24" s="5">
        <f t="shared" si="20"/>
        <v>41.217182893326452</v>
      </c>
      <c r="L24" s="32">
        <f>K24/MAX('R-series ENT'!$E$33,'R-series ENT'!$G$33)</f>
        <v>1.1870548673278019</v>
      </c>
      <c r="M24" s="4">
        <f>90*0.7</f>
        <v>62.999999999999993</v>
      </c>
      <c r="N24" s="99">
        <v>1.2159469045764615</v>
      </c>
      <c r="O24" s="843">
        <v>0.82499999999999996</v>
      </c>
      <c r="P24" s="80">
        <f>'Laskenta tulopuoli 100_ENT'!$AF$44</f>
        <v>83.958525024740851</v>
      </c>
      <c r="Q24" s="80">
        <f>'Laskenta tulopuoli 100_ENT'!$AG$44</f>
        <v>68.958525024740851</v>
      </c>
      <c r="R24" s="80">
        <f>'Laskenta tulopuoli 100_ENT'!$AH$44</f>
        <v>60.958525024740858</v>
      </c>
      <c r="S24" s="80">
        <f>'Laskenta tulopuoli 100_ENT'!$AI$44</f>
        <v>57.958525024740858</v>
      </c>
      <c r="T24" s="80">
        <f>'Laskenta tulopuoli 100_ENT'!$AJ$44</f>
        <v>51.958525024740858</v>
      </c>
      <c r="U24" s="80">
        <f>'Laskenta tulopuoli 100_ENT'!$AK$44</f>
        <v>49.958525024740858</v>
      </c>
      <c r="V24" s="80">
        <f>'Laskenta tulopuoli 100_ENT'!$AL$44</f>
        <v>43.958525024740858</v>
      </c>
      <c r="W24" s="80">
        <f>'Laskenta tulopuoli 100_ENT'!$AM$44</f>
        <v>33.958525024740858</v>
      </c>
      <c r="X24" s="80">
        <f>'Laskenta tulopuoli 100_ENT'!$AN$44</f>
        <v>84.13005089297971</v>
      </c>
      <c r="Y24" s="108">
        <f>'Laskenta tulopuoli 100_ENT'!$W$6</f>
        <v>61.958525024740858</v>
      </c>
      <c r="Z24" s="80">
        <f>'Laskenta tulopuoli 100_ENT'!$AF$43</f>
        <v>71.988690515830783</v>
      </c>
      <c r="AA24" s="80">
        <f>'Laskenta tulopuoli 100_ENT'!$AG$43</f>
        <v>60.988690515830783</v>
      </c>
      <c r="AB24" s="80">
        <f>'Laskenta tulopuoli 100_ENT'!$AH$43</f>
        <v>53.988690515830783</v>
      </c>
      <c r="AC24" s="80">
        <f>'Laskenta tulopuoli 100_ENT'!$AI$43</f>
        <v>42.988690515830783</v>
      </c>
      <c r="AD24" s="80">
        <f>'Laskenta tulopuoli 100_ENT'!$AJ$43</f>
        <v>30.988690515830783</v>
      </c>
      <c r="AE24" s="80">
        <f>'Laskenta tulopuoli 100_ENT'!$AK$43</f>
        <v>24.988690515830783</v>
      </c>
      <c r="AF24" s="80">
        <f>'Laskenta tulopuoli 100_ENT'!$AL$43</f>
        <v>16.988690515830783</v>
      </c>
      <c r="AG24" s="80">
        <f>'Laskenta tulopuoli 100_ENT'!$AM$43</f>
        <v>11.988690515830783</v>
      </c>
      <c r="AH24" s="80">
        <f>'Laskenta tulopuoli 100_ENT'!$AN$43</f>
        <v>72.389348089252962</v>
      </c>
      <c r="AI24" s="108">
        <f>'Laskenta tulopuoli 100_ENT'!$W$5</f>
        <v>50.988690515830783</v>
      </c>
      <c r="AJ24" s="80">
        <f>'Laskenta poistopuoli 100_ENT'!$AF$43</f>
        <v>68.38697405320525</v>
      </c>
      <c r="AK24" s="80">
        <f>'Laskenta poistopuoli 100_ENT'!$AG$43</f>
        <v>59.386974053205257</v>
      </c>
      <c r="AL24" s="80">
        <f>'Laskenta poistopuoli 100_ENT'!$AH$43</f>
        <v>52.386974053205257</v>
      </c>
      <c r="AM24" s="80">
        <f>'Laskenta poistopuoli 100_ENT'!$AI$43</f>
        <v>44.386974053205257</v>
      </c>
      <c r="AN24" s="80">
        <f>'Laskenta poistopuoli 100_ENT'!$AJ$43</f>
        <v>36.386974053205257</v>
      </c>
      <c r="AO24" s="80">
        <f>'Laskenta poistopuoli 100_ENT'!$AK$43</f>
        <v>30.386974053205257</v>
      </c>
      <c r="AP24" s="80">
        <f>'Laskenta poistopuoli 100_ENT'!$AL$43</f>
        <v>20.386974053205257</v>
      </c>
      <c r="AQ24" s="80">
        <f>'Laskenta poistopuoli 100_ENT'!$AM$43</f>
        <v>15.386974053205257</v>
      </c>
      <c r="AR24" s="80">
        <f>'Laskenta poistopuoli 100_ENT'!$AN$43</f>
        <v>69.015811417949848</v>
      </c>
      <c r="AS24" s="108">
        <f>'Laskenta poistopuoli 100_ENT'!$W$5</f>
        <v>49.386974053205257</v>
      </c>
      <c r="AT24" s="80">
        <f>'Laskenta poistopuoli 100_ENT'!$AF$44</f>
        <v>84.131109456119262</v>
      </c>
      <c r="AU24" s="80">
        <f>'Laskenta poistopuoli 100_ENT'!$AG$44</f>
        <v>68.131109456119262</v>
      </c>
      <c r="AV24" s="80">
        <f>'Laskenta poistopuoli 100_ENT'!$AH$44</f>
        <v>65.131109456119262</v>
      </c>
      <c r="AW24" s="80">
        <f>'Laskenta poistopuoli 100_ENT'!$AI$44</f>
        <v>58.131109456119262</v>
      </c>
      <c r="AX24" s="80">
        <f>'Laskenta poistopuoli 100_ENT'!$AJ$44</f>
        <v>53.131109456119262</v>
      </c>
      <c r="AY24" s="80">
        <f>'Laskenta poistopuoli 100_ENT'!$AK$44</f>
        <v>51.131109456119262</v>
      </c>
      <c r="AZ24" s="80">
        <f>'Laskenta poistopuoli 100_ENT'!$AL$44</f>
        <v>44.131109456119262</v>
      </c>
      <c r="BA24" s="80">
        <f>'Laskenta poistopuoli 100_ENT'!$AM$44</f>
        <v>40.131109456119262</v>
      </c>
      <c r="BB24" s="80">
        <f>'Laskenta poistopuoli 100_ENT'!$AN$44</f>
        <v>84.308349864706869</v>
      </c>
      <c r="BC24" s="108">
        <f>'Laskenta poistopuoli 100_ENT'!$W$6</f>
        <v>62.131109456119262</v>
      </c>
      <c r="BD24" s="80">
        <f>'Laskenta vaipan läpi 100_ENT'!$L$39</f>
        <v>51.439637794117878</v>
      </c>
      <c r="BE24" s="80">
        <f>'Laskenta vaipan läpi 100_ENT'!$M$39</f>
        <v>46.439637794117878</v>
      </c>
      <c r="BF24" s="80">
        <f>'Laskenta vaipan läpi 100_ENT'!$N$39</f>
        <v>41.439637794117878</v>
      </c>
      <c r="BG24" s="80">
        <f>'Laskenta vaipan läpi 100_ENT'!$O$39</f>
        <v>31.439637794117878</v>
      </c>
      <c r="BH24" s="80">
        <f>'Laskenta vaipan läpi 100_ENT'!$P$39</f>
        <v>22.439637794117878</v>
      </c>
      <c r="BI24" s="80">
        <f>'Laskenta vaipan läpi 100_ENT'!$Q$39</f>
        <v>16.439637794117878</v>
      </c>
      <c r="BJ24" s="80">
        <f>'Laskenta vaipan läpi 100_ENT'!$R$39</f>
        <v>10.439637794117878</v>
      </c>
      <c r="BK24" s="80">
        <f>'Laskenta vaipan läpi 100_ENT'!$S$39</f>
        <v>6.4396377941178784</v>
      </c>
      <c r="BL24" s="80">
        <f>'Laskenta vaipan läpi 100_ENT'!$T$39</f>
        <v>52.986658234084388</v>
      </c>
      <c r="BM24" s="108">
        <f>'Laskenta vaipan läpi 100_ENT'!$C$35</f>
        <v>36.439637794117878</v>
      </c>
      <c r="BN24" s="80">
        <f t="shared" ref="BN24" si="22">BM24+10*LOG10(4/10)</f>
        <v>32.460237707397503</v>
      </c>
      <c r="BO24" s="80">
        <f t="shared" ref="BO24" si="23">BM24+10*LOG10(4/2.5)</f>
        <v>38.480837620677129</v>
      </c>
      <c r="BS24" t="s">
        <v>116</v>
      </c>
      <c r="BT24" s="80">
        <f>BT23</f>
        <v>70</v>
      </c>
      <c r="BU24" s="80">
        <f t="shared" ref="BU24:CC24" si="24">BU23</f>
        <v>65</v>
      </c>
      <c r="BV24" s="80">
        <f t="shared" si="24"/>
        <v>61</v>
      </c>
      <c r="BW24" s="80">
        <f t="shared" si="24"/>
        <v>54</v>
      </c>
      <c r="BX24" s="80">
        <f t="shared" si="24"/>
        <v>51</v>
      </c>
      <c r="BY24" s="80">
        <f t="shared" si="24"/>
        <v>42</v>
      </c>
      <c r="BZ24" s="80">
        <f t="shared" si="24"/>
        <v>31</v>
      </c>
      <c r="CA24" s="80">
        <f t="shared" si="24"/>
        <v>23</v>
      </c>
      <c r="CB24" s="80">
        <f t="shared" si="24"/>
        <v>71.707189991030333</v>
      </c>
      <c r="CC24" s="80">
        <f t="shared" si="24"/>
        <v>57.105085593892845</v>
      </c>
      <c r="CI24" s="39" t="s">
        <v>393</v>
      </c>
      <c r="CJ24" s="39" t="s">
        <v>393</v>
      </c>
      <c r="CL24" s="696" t="s">
        <v>2742</v>
      </c>
      <c r="CM24" t="str" cm="1">
        <f t="array" ref="CM24">INDEX(Kirjasto_ENT!D4:K125,11,Kirjasto_ENT!B4)</f>
        <v>Electric plug 230 V, 50 Hz, 16 A, max 2200 W</v>
      </c>
      <c r="CR24" t="str">
        <f t="shared" si="21"/>
        <v>Model 150ENT</v>
      </c>
      <c r="CV24" s="619">
        <f>'Laskenta tulopuoli 150_ENT'!AL34</f>
        <v>1.7331375789103154</v>
      </c>
      <c r="CW24" s="619">
        <f>'Laskenta poistopuoli 150_ENT'!AL34</f>
        <v>1.8984342194853192</v>
      </c>
      <c r="CX24" s="4" t="b">
        <f>'Laskenta tulopuoli 150_ENT'!AO34</f>
        <v>1</v>
      </c>
      <c r="CY24" s="4" t="b">
        <f>'Laskenta poistopuoli 150_ENT'!AO34</f>
        <v>1</v>
      </c>
      <c r="CZ24" s="5">
        <f>'Laskenta tulopuoli 150_ENT'!AO36</f>
        <v>4.0422100101689029</v>
      </c>
      <c r="DA24" s="5">
        <f>'Laskenta poistopuoli 150_ENT'!AO36</f>
        <v>4.0513482616353453</v>
      </c>
      <c r="DG24" s="483">
        <v>2</v>
      </c>
      <c r="DI24" t="s">
        <v>116</v>
      </c>
      <c r="DK24" s="619" t="str">
        <f>'Kojeet ja kennon hyötysuhde_ENT'!N5</f>
        <v>-</v>
      </c>
      <c r="DL24" s="619" t="str">
        <f>'Kojeet ja kennon hyötysuhde_ENT'!O5</f>
        <v>-</v>
      </c>
      <c r="DN24">
        <v>920</v>
      </c>
      <c r="DQ24" s="483">
        <v>2</v>
      </c>
      <c r="DS24" t="s">
        <v>116</v>
      </c>
      <c r="DU24" t="s">
        <v>393</v>
      </c>
      <c r="DV24" t="s">
        <v>393</v>
      </c>
      <c r="DX24">
        <f t="shared" ref="DX24" si="25">O24</f>
        <v>0.82499999999999996</v>
      </c>
    </row>
    <row r="25" spans="1:129" ht="14" thickBot="1" x14ac:dyDescent="0.2">
      <c r="A25" s="483">
        <v>3</v>
      </c>
      <c r="C25" s="1536" t="s">
        <v>2732</v>
      </c>
      <c r="D25" s="4" t="b">
        <f>'Laskenta tulopuoli 150_ENT'!$W$13</f>
        <v>1</v>
      </c>
      <c r="E25" s="32">
        <f>'Laskenta tulopuoli 150_ENT'!$W$12</f>
        <v>3.4477966939849738</v>
      </c>
      <c r="F25" s="5">
        <f>'Laskenta tulopuoli 150_ENT'!$W$16</f>
        <v>14.831422496293676</v>
      </c>
      <c r="G25" s="4" t="b">
        <f>'Laskenta poistopuoli 150_ENT'!$W$13</f>
        <v>0</v>
      </c>
      <c r="H25" s="32">
        <f>'Laskenta poistopuoli 150_ENT'!$W$12</f>
        <v>3.4036573836203621</v>
      </c>
      <c r="I25" s="5">
        <f>'Laskenta poistopuoli 150_ENT'!$W$16</f>
        <v>13.661473130403767</v>
      </c>
      <c r="J25" s="4">
        <v>4.4000000000000004</v>
      </c>
      <c r="K25" s="5">
        <f t="shared" si="20"/>
        <v>32.892895626697445</v>
      </c>
      <c r="L25" s="32">
        <f>K25/MAX('R-series ENT'!$E$33,'R-series ENT'!$G$33)</f>
        <v>0.94731539404888643</v>
      </c>
      <c r="M25" s="4">
        <f>160*0.7</f>
        <v>112</v>
      </c>
      <c r="N25" s="99">
        <v>1.1878622810630028</v>
      </c>
      <c r="O25" s="844">
        <v>0.79500000000000004</v>
      </c>
      <c r="P25" s="80">
        <f>'Laskenta tulopuoli 150_ENT'!$AH$43</f>
        <v>61.502865736024738</v>
      </c>
      <c r="Q25" s="80">
        <f>'Laskenta tulopuoli 150_ENT'!$AI$43</f>
        <v>60.544413182855322</v>
      </c>
      <c r="R25" s="80">
        <f>'Laskenta tulopuoli 150_ENT'!$AJ$43</f>
        <v>55.927338109361415</v>
      </c>
      <c r="S25" s="80">
        <f>'Laskenta tulopuoli 150_ENT'!$AK$43</f>
        <v>46.095482335581607</v>
      </c>
      <c r="T25" s="80">
        <f>'Laskenta tulopuoli 150_ENT'!$AL$43</f>
        <v>37.032644123361763</v>
      </c>
      <c r="U25" s="80">
        <f>'Laskenta tulopuoli 150_ENT'!$AM$43</f>
        <v>36.603952775882398</v>
      </c>
      <c r="V25" s="80">
        <f>'Laskenta tulopuoli 150_ENT'!$AN$43</f>
        <v>26.484998685608069</v>
      </c>
      <c r="W25" s="80">
        <f>'Laskenta tulopuoli 150_ENT'!$AO$43</f>
        <v>21.6593103031982</v>
      </c>
      <c r="X25" s="80">
        <f>'Laskenta tulopuoli 150_ENT'!$AP$43</f>
        <v>64.75589189462076</v>
      </c>
      <c r="Y25" s="108">
        <f>'Laskenta tulopuoli 150_ENT'!$AQ$43</f>
        <v>50.662940881269549</v>
      </c>
      <c r="Z25" s="80">
        <f>'Laskenta tulopuoli 150_ENT'!$AH$42</f>
        <v>61.708253027301822</v>
      </c>
      <c r="AA25" s="80">
        <f>'Laskenta tulopuoli 150_ENT'!$AI$42</f>
        <v>54.988726663104671</v>
      </c>
      <c r="AB25" s="80">
        <f>'Laskenta tulopuoli 150_ENT'!$AJ$42</f>
        <v>49.456867324731249</v>
      </c>
      <c r="AC25" s="80">
        <f>'Laskenta tulopuoli 150_ENT'!$AK$42</f>
        <v>39.891522619972015</v>
      </c>
      <c r="AD25" s="80">
        <f>'Laskenta tulopuoli 150_ENT'!$AL$42</f>
        <v>25.3698493267689</v>
      </c>
      <c r="AE25" s="80">
        <f>'Laskenta tulopuoli 150_ENT'!$AM$42</f>
        <v>20.619556684155754</v>
      </c>
      <c r="AF25" s="80">
        <f>'Laskenta tulopuoli 150_ENT'!$AN$42</f>
        <v>14.357937914197365</v>
      </c>
      <c r="AG25" s="80">
        <f>'Laskenta tulopuoli 150_ENT'!$AO$42</f>
        <v>9.3579379141973646</v>
      </c>
      <c r="AH25" s="80">
        <f>'Laskenta tulopuoli 150_ENT'!$AP$42</f>
        <v>62.777977946742176</v>
      </c>
      <c r="AI25" s="108">
        <f>'Laskenta tulopuoli 150_ENT'!$AQ$42</f>
        <v>44.576394015153696</v>
      </c>
      <c r="AJ25" s="80">
        <f>'Laskenta poistopuoli 150_ENT'!$AH$42</f>
        <v>58.001554646696732</v>
      </c>
      <c r="AK25" s="80">
        <f>'Laskenta poistopuoli 150_ENT'!$AI$42</f>
        <v>57.805074483155153</v>
      </c>
      <c r="AL25" s="80">
        <f>'Laskenta poistopuoli 150_ENT'!$AJ$42</f>
        <v>53.13804060190261</v>
      </c>
      <c r="AM25" s="80">
        <f>'Laskenta poistopuoli 150_ENT'!$AK$42</f>
        <v>38.580176179646926</v>
      </c>
      <c r="AN25" s="80">
        <f>'Laskenta poistopuoli 150_ENT'!$AL$42</f>
        <v>28.002339721727385</v>
      </c>
      <c r="AO25" s="80">
        <f>'Laskenta poistopuoli 150_ENT'!$AM$42</f>
        <v>21.586598319020752</v>
      </c>
      <c r="AP25" s="80">
        <f>'Laskenta poistopuoli 150_ENT'!$AN$42</f>
        <v>16.692146726371945</v>
      </c>
      <c r="AQ25" s="80">
        <f>'Laskenta poistopuoli 150_ENT'!$AO$42</f>
        <v>12.692146726371945</v>
      </c>
      <c r="AR25" s="80">
        <f>'Laskenta poistopuoli 150_ENT'!$AP$42</f>
        <v>61.609093206305666</v>
      </c>
      <c r="AS25" s="108">
        <f>'Laskenta poistopuoli 150_ENT'!$AQ$42</f>
        <v>46.910841488283864</v>
      </c>
      <c r="AT25" s="80">
        <f>'Laskenta poistopuoli 150_ENT'!$AH$43</f>
        <v>60.645360946801112</v>
      </c>
      <c r="AU25" s="80">
        <f>'Laskenta poistopuoli 150_ENT'!$AI$43</f>
        <v>60.448682986641728</v>
      </c>
      <c r="AV25" s="80">
        <f>'Laskenta poistopuoli 150_ENT'!$AJ$43</f>
        <v>59.480859059867683</v>
      </c>
      <c r="AW25" s="80">
        <f>'Laskenta poistopuoli 150_ENT'!$AK$43</f>
        <v>48.3585936235079</v>
      </c>
      <c r="AX25" s="80">
        <f>'Laskenta poistopuoli 150_ENT'!$AL$43</f>
        <v>38.370474545623502</v>
      </c>
      <c r="AY25" s="80">
        <f>'Laskenta poistopuoli 150_ENT'!$AM$43</f>
        <v>37.422702372337326</v>
      </c>
      <c r="AZ25" s="80">
        <f>'Laskenta poistopuoli 150_ENT'!$AN$43</f>
        <v>27.971872212867886</v>
      </c>
      <c r="BA25" s="80">
        <f>'Laskenta poistopuoli 150_ENT'!$AO$43</f>
        <v>22.117325383311275</v>
      </c>
      <c r="BB25" s="80">
        <f>'Laskenta poistopuoli 150_ENT'!$AP$43</f>
        <v>65.10289001913543</v>
      </c>
      <c r="BC25" s="108">
        <f>'Laskenta poistopuoli 150_ENT'!$AQ$43</f>
        <v>53.018023869513087</v>
      </c>
      <c r="BD25" s="80">
        <f>'Laskenta vaipan läpi 150_ENT'!$L$39</f>
        <v>49.902359784083586</v>
      </c>
      <c r="BE25" s="80">
        <f>'Laskenta vaipan läpi 150_ENT'!$M$39</f>
        <v>44.902359784083586</v>
      </c>
      <c r="BF25" s="80">
        <f>'Laskenta vaipan läpi 150_ENT'!$N$39</f>
        <v>44.902359784083586</v>
      </c>
      <c r="BG25" s="80">
        <f>'Laskenta vaipan läpi 150_ENT'!$O$39</f>
        <v>34.902359784083586</v>
      </c>
      <c r="BH25" s="80">
        <f>'Laskenta vaipan läpi 150_ENT'!$P$39</f>
        <v>22.902359784083586</v>
      </c>
      <c r="BI25" s="80">
        <f>'Laskenta vaipan läpi 150_ENT'!$Q$39</f>
        <v>20.902359784083586</v>
      </c>
      <c r="BJ25" s="80">
        <f>'Laskenta vaipan läpi 150_ENT'!$R$39</f>
        <v>15.902359784083586</v>
      </c>
      <c r="BK25" s="80">
        <f>'Laskenta vaipan läpi 150_ENT'!$S$39</f>
        <v>14.902359784083586</v>
      </c>
      <c r="BL25" s="80">
        <f>'Laskenta vaipan läpi 150_ENT'!$T$39</f>
        <v>52.124442179289602</v>
      </c>
      <c r="BM25" s="108">
        <f>'Laskenta vaipan läpi 150_ENT'!$C$35</f>
        <v>38.902359784083586</v>
      </c>
      <c r="BN25" s="80">
        <f>BM25+10*LOG10(4/10)</f>
        <v>34.922959697363211</v>
      </c>
      <c r="BO25" s="80">
        <f>BM25+10*LOG10(4/2.5)</f>
        <v>40.943559610642836</v>
      </c>
      <c r="BS25" t="s">
        <v>129</v>
      </c>
      <c r="BT25" s="4" t="s">
        <v>393</v>
      </c>
      <c r="BU25" s="4" t="s">
        <v>393</v>
      </c>
      <c r="BV25" s="4" t="s">
        <v>393</v>
      </c>
      <c r="BW25" s="4" t="s">
        <v>393</v>
      </c>
      <c r="BX25" s="4" t="s">
        <v>393</v>
      </c>
      <c r="BY25" s="4" t="s">
        <v>393</v>
      </c>
      <c r="BZ25" s="4" t="s">
        <v>393</v>
      </c>
      <c r="CA25" s="4" t="s">
        <v>393</v>
      </c>
      <c r="CB25" s="4" t="s">
        <v>393</v>
      </c>
      <c r="CC25" s="4" t="s">
        <v>393</v>
      </c>
      <c r="CI25" s="39" t="s">
        <v>393</v>
      </c>
      <c r="CJ25" s="39" t="s">
        <v>393</v>
      </c>
      <c r="CL25" s="696" t="str">
        <f>IF($CM$19,"Airfi-Model 250ENT Water","Airfi-Model 250ENT Electric")</f>
        <v>Airfi-Model 250ENT Electric</v>
      </c>
      <c r="CM25" t="str" cm="1">
        <f t="array" ref="CM25">IF(CM19,INDEX(Kirjasto_ENT!D4:K129,123,Kirjasto_ENT!B4),INDEX(Kirjasto_ENT!D4:K129,12,Kirjasto_ENT!B4))</f>
        <v>Electric plug 230 V, 50 Hz, 16 A, max 3500 W</v>
      </c>
      <c r="CR25" t="str">
        <f t="shared" si="21"/>
        <v>Model 250ENT</v>
      </c>
      <c r="CV25" s="619">
        <f>'Laskenta tulopuoli 250_ENT'!AP34</f>
        <v>1.1968170255841204</v>
      </c>
      <c r="CW25" s="619">
        <f>'Laskenta poistopuoli 250_ENT'!AP34</f>
        <v>1.0238158578001326</v>
      </c>
      <c r="CX25" s="4" t="b">
        <f>'Laskenta tulopuoli 250_ENT'!AS34</f>
        <v>1</v>
      </c>
      <c r="CY25" s="4" t="b">
        <f>'Laskenta poistopuoli 250_ENT'!AS34</f>
        <v>1</v>
      </c>
      <c r="CZ25" s="5">
        <f>'Laskenta tulopuoli 250_ENT'!AS36</f>
        <v>4.3809452863345264</v>
      </c>
      <c r="DA25" s="5">
        <f>'Laskenta poistopuoli 250_ENT'!AS36</f>
        <v>4.7085742947170921</v>
      </c>
      <c r="DG25" s="483">
        <v>3</v>
      </c>
      <c r="DI25" s="696" t="s">
        <v>2732</v>
      </c>
      <c r="DK25" s="619" t="str">
        <f>'Kojeet ja kennon hyötysuhde_ENT'!N6</f>
        <v>-</v>
      </c>
      <c r="DL25" s="619" t="str">
        <f>'Kojeet ja kennon hyötysuhde_ENT'!O6</f>
        <v>-</v>
      </c>
      <c r="DN25">
        <f>2*920</f>
        <v>1840</v>
      </c>
      <c r="DQ25" s="483">
        <v>3</v>
      </c>
      <c r="DS25" s="696" t="s">
        <v>2732</v>
      </c>
      <c r="DU25" s="1537">
        <f>'Kennolaskuri 150_250_350_ENT'!I65</f>
        <v>0.48481352648339565</v>
      </c>
      <c r="DV25" s="1537">
        <f>'Kennolaskuri 150_250_350_ENT'!Y65</f>
        <v>0.44492127919784963</v>
      </c>
      <c r="DX25" s="696">
        <v>0.81132749288780981</v>
      </c>
      <c r="DY25" t="s">
        <v>2743</v>
      </c>
    </row>
    <row r="26" spans="1:129" ht="14" thickBot="1" x14ac:dyDescent="0.2">
      <c r="A26" s="483">
        <v>4</v>
      </c>
      <c r="C26" s="1536" t="s">
        <v>2733</v>
      </c>
      <c r="D26" s="4" t="b">
        <f>'Laskenta tulopuoli 250_ENT'!$W$10</f>
        <v>0</v>
      </c>
      <c r="E26" s="32">
        <f>'Laskenta tulopuoli 250_ENT'!$W$9</f>
        <v>3.7590233552788086</v>
      </c>
      <c r="F26" s="5">
        <f>'Laskenta tulopuoli 250_ENT'!$W$14</f>
        <v>23.191384374974</v>
      </c>
      <c r="G26" s="4" t="b">
        <f>'Laskenta poistopuoli 250_ENT'!$W$10</f>
        <v>0</v>
      </c>
      <c r="H26" s="32">
        <f>'Laskenta poistopuoli 250_ENT'!$W$9</f>
        <v>4.0447520185750632</v>
      </c>
      <c r="I26" s="5">
        <f>'Laskenta poistopuoli 250_ENT'!$W$14</f>
        <v>22.75385385573588</v>
      </c>
      <c r="J26" s="301">
        <v>4.4000000000000004</v>
      </c>
      <c r="K26" s="5">
        <f t="shared" si="20"/>
        <v>50.345238230709874</v>
      </c>
      <c r="L26" s="32">
        <f>K26/MAX('R-series ENT'!$E$33,'R-series ENT'!$G$33)</f>
        <v>1.4499428610444445</v>
      </c>
      <c r="M26" s="426">
        <f>250*0.7</f>
        <v>175</v>
      </c>
      <c r="N26" s="301">
        <v>1.0567749967474349</v>
      </c>
      <c r="O26" s="845">
        <f>'Kojeet ja kennon hyötysuhde_ENT'!M7</f>
        <v>0.79500000000000004</v>
      </c>
      <c r="P26" s="80">
        <f>'Laskenta tulopuoli 250_ENT'!$AF$44</f>
        <v>60.816477065637883</v>
      </c>
      <c r="Q26" s="80">
        <f>'Laskenta tulopuoli 250_ENT'!$AG$44</f>
        <v>62.816477065637883</v>
      </c>
      <c r="R26" s="80">
        <f>'Laskenta tulopuoli 250_ENT'!$AH$44</f>
        <v>53.816477065637883</v>
      </c>
      <c r="S26" s="80">
        <f>'Laskenta tulopuoli 250_ENT'!$AI$44</f>
        <v>50.816477065637883</v>
      </c>
      <c r="T26" s="80">
        <f>'Laskenta tulopuoli 250_ENT'!$AJ$44</f>
        <v>49.816477065637883</v>
      </c>
      <c r="U26" s="80">
        <f>'Laskenta tulopuoli 250_ENT'!$AK$44</f>
        <v>44.816477065637883</v>
      </c>
      <c r="V26" s="80">
        <f>'Laskenta tulopuoli 250_ENT'!$AL$44</f>
        <v>40.816477065637883</v>
      </c>
      <c r="W26" s="80">
        <f>'Laskenta tulopuoli 250_ENT'!$AM$44</f>
        <v>38.816477065637883</v>
      </c>
      <c r="X26" s="80">
        <f>'Laskenta tulopuoli 250_ENT'!$AN$44</f>
        <v>65.595327467416695</v>
      </c>
      <c r="Y26" s="108">
        <f>'Laskenta tulopuoli 250_ENT'!$W$6</f>
        <v>54.816477065637883</v>
      </c>
      <c r="Z26" s="80">
        <f>'Laskenta tulopuoli 250_ENT'!$AF$43</f>
        <v>52.340861970400134</v>
      </c>
      <c r="AA26" s="80">
        <f>'Laskenta tulopuoli 250_ENT'!$AG$43</f>
        <v>50.340861970400134</v>
      </c>
      <c r="AB26" s="80">
        <f>'Laskenta tulopuoli 250_ENT'!$AH$43</f>
        <v>38.340861970400134</v>
      </c>
      <c r="AC26" s="80">
        <f>'Laskenta tulopuoli 250_ENT'!$AI$43</f>
        <v>32.340861970400134</v>
      </c>
      <c r="AD26" s="80">
        <f>'Laskenta tulopuoli 250_ENT'!$AJ$43</f>
        <v>28.340861970400134</v>
      </c>
      <c r="AE26" s="80">
        <f>'Laskenta tulopuoli 250_ENT'!$AK$43</f>
        <v>23.340861970400134</v>
      </c>
      <c r="AF26" s="80">
        <f>'Laskenta tulopuoli 250_ENT'!$AL$43</f>
        <v>13.340861970400134</v>
      </c>
      <c r="AG26" s="80">
        <f>'Laskenta tulopuoli 250_ENT'!$AM$43</f>
        <v>8.3408619704001339</v>
      </c>
      <c r="AH26" s="80">
        <f>'Laskenta tulopuoli 250_ENT'!$AN$43</f>
        <v>54.60988524120382</v>
      </c>
      <c r="AI26" s="108">
        <f>'Laskenta tulopuoli 250_ENT'!$W$5</f>
        <v>37.340861970400134</v>
      </c>
      <c r="AJ26" s="80">
        <f>'Laskenta poistopuoli 250_ENT'!$AF$43</f>
        <v>54.651971792386632</v>
      </c>
      <c r="AK26" s="80">
        <f>'Laskenta poistopuoli 250_ENT'!$AG$43</f>
        <v>51.651971792386632</v>
      </c>
      <c r="AL26" s="80">
        <f>'Laskenta poistopuoli 250_ENT'!$AH$43</f>
        <v>38.651971792386632</v>
      </c>
      <c r="AM26" s="80">
        <f>'Laskenta poistopuoli 250_ENT'!$AI$43</f>
        <v>34.651971792386632</v>
      </c>
      <c r="AN26" s="80">
        <f>'Laskenta poistopuoli 250_ENT'!$AJ$43</f>
        <v>29.651971792386632</v>
      </c>
      <c r="AO26" s="80">
        <f>'Laskenta poistopuoli 250_ENT'!$AK$43</f>
        <v>24.651971792386632</v>
      </c>
      <c r="AP26" s="80">
        <f>'Laskenta poistopuoli 250_ENT'!$AL$43</f>
        <v>15.651971792386632</v>
      </c>
      <c r="AQ26" s="80">
        <f>'Laskenta poistopuoli 250_ENT'!$AM$43</f>
        <v>6.6519717923866324</v>
      </c>
      <c r="AR26" s="80">
        <f>'Laskenta poistopuoli 250_ENT'!$AN$43</f>
        <v>56.528899247537836</v>
      </c>
      <c r="AS26" s="108">
        <f>'Laskenta poistopuoli 250_ENT'!$W$5</f>
        <v>38.651971792386632</v>
      </c>
      <c r="AT26" s="80">
        <f>'Laskenta poistopuoli 250_ENT'!$AF$44</f>
        <v>61.343212740445182</v>
      </c>
      <c r="AU26" s="80">
        <f>'Laskenta poistopuoli 250_ENT'!$AG$44</f>
        <v>61.343212740445182</v>
      </c>
      <c r="AV26" s="80">
        <f>'Laskenta poistopuoli 250_ENT'!$AH$44</f>
        <v>52.343212740445182</v>
      </c>
      <c r="AW26" s="80">
        <f>'Laskenta poistopuoli 250_ENT'!$AI$44</f>
        <v>49.343212740445182</v>
      </c>
      <c r="AX26" s="80">
        <f>'Laskenta poistopuoli 250_ENT'!$AJ$44</f>
        <v>48.343212740445182</v>
      </c>
      <c r="AY26" s="80">
        <f>'Laskenta poistopuoli 250_ENT'!$AK$44</f>
        <v>43.343212740445182</v>
      </c>
      <c r="AZ26" s="80">
        <f>'Laskenta poistopuoli 250_ENT'!$AL$44</f>
        <v>39.343212740445182</v>
      </c>
      <c r="BA26" s="80">
        <f>'Laskenta poistopuoli 250_ENT'!$AM$44</f>
        <v>37.343212740445182</v>
      </c>
      <c r="BB26" s="80">
        <f>'Laskenta poistopuoli 250_ENT'!$AN$44</f>
        <v>64.894367566829743</v>
      </c>
      <c r="BC26" s="108">
        <f>'Laskenta poistopuoli 250_ENT'!$W$6</f>
        <v>53.343212740445182</v>
      </c>
      <c r="BD26" s="299">
        <f>'Laskenta vaipan läpi 250_ENT'!$L$39</f>
        <v>54.730926658601518</v>
      </c>
      <c r="BE26" s="299">
        <f>'Laskenta vaipan läpi 250_ENT'!$M$39</f>
        <v>48.730926658601518</v>
      </c>
      <c r="BF26" s="299">
        <f>'Laskenta vaipan läpi 250_ENT'!$N$39</f>
        <v>39.730926658601518</v>
      </c>
      <c r="BG26" s="299">
        <f>'Laskenta vaipan läpi 250_ENT'!$O$39</f>
        <v>26.730926658601518</v>
      </c>
      <c r="BH26" s="299">
        <f>'Laskenta vaipan läpi 250_ENT'!$P$39</f>
        <v>22.730926658601518</v>
      </c>
      <c r="BI26" s="299">
        <f>'Laskenta vaipan läpi 250_ENT'!$Q$39</f>
        <v>18.730926658601518</v>
      </c>
      <c r="BJ26" s="299">
        <f>'Laskenta vaipan läpi 250_ENT'!$R$39</f>
        <v>18.730926658601518</v>
      </c>
      <c r="BK26" s="299">
        <f>'Laskenta vaipan läpi 250_ENT'!$S$39</f>
        <v>17.730926658601518</v>
      </c>
      <c r="BL26" s="299">
        <f>'Laskenta vaipan läpi 250_ENT'!$T$39</f>
        <v>55.822421642246312</v>
      </c>
      <c r="BM26" s="300">
        <f>'Laskenta vaipan läpi 250_ENT'!$C$35</f>
        <v>36.730926658601518</v>
      </c>
      <c r="BN26" s="80">
        <f>BM26+10*LOG10(4/10)</f>
        <v>32.751526571881143</v>
      </c>
      <c r="BO26" s="80">
        <f>BM26+10*LOG10(4/2.5)</f>
        <v>38.772126485160769</v>
      </c>
      <c r="BS26" t="s">
        <v>561</v>
      </c>
      <c r="BT26" s="4" t="s">
        <v>393</v>
      </c>
      <c r="BU26" s="4" t="s">
        <v>393</v>
      </c>
      <c r="BV26" s="4" t="s">
        <v>393</v>
      </c>
      <c r="BW26" s="4" t="s">
        <v>393</v>
      </c>
      <c r="BX26" s="4" t="s">
        <v>393</v>
      </c>
      <c r="BY26" s="4" t="s">
        <v>393</v>
      </c>
      <c r="BZ26" s="4" t="s">
        <v>393</v>
      </c>
      <c r="CA26" s="4" t="s">
        <v>393</v>
      </c>
      <c r="CB26" s="4" t="s">
        <v>393</v>
      </c>
      <c r="CC26" s="4" t="s">
        <v>393</v>
      </c>
      <c r="CI26">
        <f>'Laskenta tulopuoli 350_ENT'!$AN$18</f>
        <v>225.45184663743743</v>
      </c>
      <c r="CJ26">
        <f>'Laskenta tulopuoli 350_ENT'!$AN$14</f>
        <v>1188.8030808611768</v>
      </c>
      <c r="CL26" s="696" t="str">
        <f>IF($CM$19,"Airfi-Model 350ENT Water","Airfi-Model 350ENT Electric")</f>
        <v>Airfi-Model 350ENT Electric</v>
      </c>
      <c r="CM26" t="str" cm="1">
        <f t="array" ref="CM26">IF(CM19,INDEX(Kirjasto_ENT!D4:K129,123,Kirjasto_ENT!B4),INDEX(Kirjasto_ENT!D4:K129,13,Kirjasto_ENT!B4))</f>
        <v>Electric plug 400 VAC, 50 Hz, 3 x 16 A, max 8250 W</v>
      </c>
      <c r="CR26" t="str">
        <f t="shared" si="21"/>
        <v>Model 350ENT</v>
      </c>
      <c r="CV26" s="619">
        <f>'Laskenta tulopuoli 350_ENT'!AO34</f>
        <v>1.9463041534226733</v>
      </c>
      <c r="CW26" s="619">
        <f>'Laskenta poistopuoli 350_ENT'!AO34</f>
        <v>1.6713306746870065</v>
      </c>
      <c r="CX26" s="4" t="b">
        <f>'Laskenta tulopuoli 350_ENT'!AR34</f>
        <v>1</v>
      </c>
      <c r="CY26" s="4" t="b">
        <f>'Laskenta poistopuoli 350_ENT'!AR34</f>
        <v>1</v>
      </c>
      <c r="CZ26" s="5">
        <f>'Laskenta tulopuoli 350_ENT'!AR36</f>
        <v>4.3809452863345264</v>
      </c>
      <c r="DA26" s="5">
        <f>'Laskenta poistopuoli 350_ENT'!AR36</f>
        <v>4.7085742947170921</v>
      </c>
      <c r="DG26" s="483">
        <v>4</v>
      </c>
      <c r="DI26" s="696" t="s">
        <v>2733</v>
      </c>
      <c r="DK26" s="619" t="str">
        <f>'Kojeet ja kennon hyötysuhde_ENT'!N7</f>
        <v>-</v>
      </c>
      <c r="DL26" s="619" t="str">
        <f>'Kojeet ja kennon hyötysuhde_ENT'!O7</f>
        <v>-</v>
      </c>
      <c r="DN26" s="39">
        <f>IF($DN$18,"-",2380)</f>
        <v>2380</v>
      </c>
      <c r="DQ26" s="483">
        <v>4</v>
      </c>
      <c r="DS26" s="696" t="s">
        <v>2733</v>
      </c>
      <c r="DU26" s="618">
        <f>DU25</f>
        <v>0.48481352648339565</v>
      </c>
      <c r="DV26" s="618">
        <f>DV25</f>
        <v>0.44492127919784963</v>
      </c>
      <c r="DX26" s="696">
        <v>0.77712838931519967</v>
      </c>
      <c r="DY26" t="s">
        <v>2744</v>
      </c>
    </row>
    <row r="27" spans="1:129" ht="14" thickBot="1" x14ac:dyDescent="0.2">
      <c r="A27" s="483">
        <v>5</v>
      </c>
      <c r="C27" s="1536" t="s">
        <v>2734</v>
      </c>
      <c r="D27" s="4" t="b">
        <f>'Laskenta tulopuoli 350_ENT'!$W$10</f>
        <v>0</v>
      </c>
      <c r="E27" s="32">
        <f>'Laskenta tulopuoli 350_ENT'!$W$9</f>
        <v>3.7590233552788086</v>
      </c>
      <c r="F27" s="5">
        <f>'Laskenta tulopuoli 350_ENT'!$W$14</f>
        <v>23.191384374974</v>
      </c>
      <c r="G27" s="4" t="b">
        <f>'Laskenta poistopuoli 350_ENT'!$W$10</f>
        <v>0</v>
      </c>
      <c r="H27" s="32">
        <f>'Laskenta poistopuoli 350_ENT'!$W$9</f>
        <v>4.0447520185750632</v>
      </c>
      <c r="I27" s="5">
        <f>'Laskenta poistopuoli 350_ENT'!$W$14</f>
        <v>22.75385385573588</v>
      </c>
      <c r="J27" s="301">
        <v>4.4000000000000004</v>
      </c>
      <c r="K27" s="5">
        <f t="shared" si="20"/>
        <v>50.345238230709874</v>
      </c>
      <c r="L27" s="32">
        <f>K27/MAX('R-series ENT'!$E$33,'R-series ENT'!$G$33)</f>
        <v>1.4499428610444445</v>
      </c>
      <c r="M27" s="426">
        <f>1000/3.6*0.7</f>
        <v>194.44444444444443</v>
      </c>
      <c r="N27" s="301">
        <v>1.1717822676463812</v>
      </c>
      <c r="O27" s="845">
        <f>'Kojeet ja kennon hyötysuhde_ENT'!M8</f>
        <v>0.79500000000000004</v>
      </c>
      <c r="P27" s="80">
        <f>'Laskenta tulopuoli 350_ENT'!$AF$44</f>
        <v>60.816477065637883</v>
      </c>
      <c r="Q27" s="80">
        <f>'Laskenta tulopuoli 350_ENT'!$AG$44</f>
        <v>62.816477065637883</v>
      </c>
      <c r="R27" s="80">
        <f>'Laskenta tulopuoli 350_ENT'!$AH$44</f>
        <v>53.816477065637883</v>
      </c>
      <c r="S27" s="80">
        <f>'Laskenta tulopuoli 350_ENT'!$AI$44</f>
        <v>50.816477065637883</v>
      </c>
      <c r="T27" s="80">
        <f>'Laskenta tulopuoli 350_ENT'!$AJ$44</f>
        <v>49.816477065637883</v>
      </c>
      <c r="U27" s="80">
        <f>'Laskenta tulopuoli 350_ENT'!$AK$44</f>
        <v>44.816477065637883</v>
      </c>
      <c r="V27" s="80">
        <f>'Laskenta tulopuoli 350_ENT'!$AL$44</f>
        <v>40.816477065637883</v>
      </c>
      <c r="W27" s="80">
        <f>'Laskenta tulopuoli 350_ENT'!$AM$44</f>
        <v>38.816477065637883</v>
      </c>
      <c r="X27" s="80">
        <f>'Laskenta tulopuoli 350_ENT'!$AN$44</f>
        <v>65.595327467416695</v>
      </c>
      <c r="Y27" s="108">
        <f>'Laskenta tulopuoli 350_ENT'!$W$6</f>
        <v>54.816477065637883</v>
      </c>
      <c r="Z27" s="80">
        <f>'Laskenta tulopuoli 350_ENT'!$AF$43</f>
        <v>52.340861970400134</v>
      </c>
      <c r="AA27" s="80">
        <f>'Laskenta tulopuoli 350_ENT'!$AG$43</f>
        <v>50.340861970400134</v>
      </c>
      <c r="AB27" s="80">
        <f>'Laskenta tulopuoli 350_ENT'!$AH$43</f>
        <v>38.340861970400134</v>
      </c>
      <c r="AC27" s="80">
        <f>'Laskenta tulopuoli 350_ENT'!$AI$43</f>
        <v>32.340861970400134</v>
      </c>
      <c r="AD27" s="80">
        <f>'Laskenta tulopuoli 350_ENT'!$AJ$43</f>
        <v>28.340861970400134</v>
      </c>
      <c r="AE27" s="80">
        <f>'Laskenta tulopuoli 350_ENT'!$AK$43</f>
        <v>23.340861970400134</v>
      </c>
      <c r="AF27" s="80">
        <f>'Laskenta tulopuoli 350_ENT'!$AL$43</f>
        <v>13.340861970400134</v>
      </c>
      <c r="AG27" s="80">
        <f>'Laskenta tulopuoli 350_ENT'!$AM$43</f>
        <v>8.3408619704001339</v>
      </c>
      <c r="AH27" s="80">
        <f>'Laskenta tulopuoli 350_ENT'!$AN$43</f>
        <v>54.60988524120382</v>
      </c>
      <c r="AI27" s="108">
        <f>'Laskenta tulopuoli 350_ENT'!$W$5</f>
        <v>37.340861970400134</v>
      </c>
      <c r="AJ27" s="80">
        <f>'Laskenta poistopuoli 350_ENT'!$AF$43</f>
        <v>54.651971792386632</v>
      </c>
      <c r="AK27" s="80">
        <f>'Laskenta poistopuoli 350_ENT'!$AG$43</f>
        <v>51.651971792386632</v>
      </c>
      <c r="AL27" s="80">
        <f>'Laskenta poistopuoli 350_ENT'!$AH$43</f>
        <v>38.651971792386632</v>
      </c>
      <c r="AM27" s="80">
        <f>'Laskenta poistopuoli 350_ENT'!$AI$43</f>
        <v>34.651971792386632</v>
      </c>
      <c r="AN27" s="80">
        <f>'Laskenta poistopuoli 350_ENT'!$AJ$43</f>
        <v>29.651971792386632</v>
      </c>
      <c r="AO27" s="80">
        <f>'Laskenta poistopuoli 350_ENT'!$AK$43</f>
        <v>24.651971792386632</v>
      </c>
      <c r="AP27" s="80">
        <f>'Laskenta poistopuoli 350_ENT'!$AL$43</f>
        <v>15.651971792386632</v>
      </c>
      <c r="AQ27" s="80">
        <f>'Laskenta poistopuoli 350_ENT'!$AM$43</f>
        <v>6.6519717923866324</v>
      </c>
      <c r="AR27" s="80">
        <f>'Laskenta poistopuoli 350_ENT'!$AN$43</f>
        <v>56.528899247537836</v>
      </c>
      <c r="AS27" s="108">
        <f>'Laskenta poistopuoli 350_ENT'!$W$5</f>
        <v>38.651971792386632</v>
      </c>
      <c r="AT27" s="80">
        <f>'Laskenta poistopuoli 350_ENT'!$AF$44</f>
        <v>61.343212740445182</v>
      </c>
      <c r="AU27" s="80">
        <f>'Laskenta poistopuoli 350_ENT'!$AG$44</f>
        <v>61.343212740445182</v>
      </c>
      <c r="AV27" s="80">
        <f>'Laskenta poistopuoli 350_ENT'!$AH$44</f>
        <v>52.343212740445182</v>
      </c>
      <c r="AW27" s="80">
        <f>'Laskenta poistopuoli 350_ENT'!$AI$44</f>
        <v>49.343212740445182</v>
      </c>
      <c r="AX27" s="80">
        <f>'Laskenta poistopuoli 350_ENT'!$AJ$44</f>
        <v>48.343212740445182</v>
      </c>
      <c r="AY27" s="80">
        <f>'Laskenta poistopuoli 350_ENT'!$AK$44</f>
        <v>43.343212740445182</v>
      </c>
      <c r="AZ27" s="80">
        <f>'Laskenta poistopuoli 350_ENT'!$AL$44</f>
        <v>39.343212740445182</v>
      </c>
      <c r="BA27" s="80">
        <f>'Laskenta poistopuoli 350_ENT'!$AM$44</f>
        <v>37.343212740445182</v>
      </c>
      <c r="BB27" s="80">
        <f>'Laskenta poistopuoli 350_ENT'!$AN$44</f>
        <v>64.894367566829743</v>
      </c>
      <c r="BC27" s="108">
        <f>'Laskenta poistopuoli 350_ENT'!$W$6</f>
        <v>53.343212740445182</v>
      </c>
      <c r="BD27" s="299">
        <f>'Laskenta vaipan läpi 350_ENT'!$L$39</f>
        <v>54.730926658601518</v>
      </c>
      <c r="BE27" s="299">
        <f>'Laskenta vaipan läpi 350_ENT'!$M$39</f>
        <v>48.730926658601518</v>
      </c>
      <c r="BF27" s="299">
        <f>'Laskenta vaipan läpi 350_ENT'!$N$39</f>
        <v>39.730926658601518</v>
      </c>
      <c r="BG27" s="299">
        <f>'Laskenta vaipan läpi 350_ENT'!$O$39</f>
        <v>26.730926658601518</v>
      </c>
      <c r="BH27" s="299">
        <f>'Laskenta vaipan läpi 350_ENT'!$P$39</f>
        <v>22.730926658601518</v>
      </c>
      <c r="BI27" s="299">
        <f>'Laskenta vaipan läpi 350_ENT'!$Q$39</f>
        <v>18.730926658601518</v>
      </c>
      <c r="BJ27" s="299">
        <f>'Laskenta vaipan läpi 350_ENT'!$R$39</f>
        <v>18.730926658601518</v>
      </c>
      <c r="BK27" s="299">
        <f>'Laskenta vaipan läpi 350_ENT'!$S$39</f>
        <v>17.730926658601518</v>
      </c>
      <c r="BL27" s="299">
        <f>'Laskenta vaipan läpi 350_ENT'!$T$39</f>
        <v>55.822421642246312</v>
      </c>
      <c r="BM27" s="300">
        <f>'Laskenta vaipan läpi 350_ENT'!$C$35</f>
        <v>36.730926658601518</v>
      </c>
      <c r="BN27" s="80">
        <f>BM27+10*LOG10(4/10)</f>
        <v>32.751526571881143</v>
      </c>
      <c r="BO27" s="80">
        <f>BM27+10*LOG10(4/2.5)</f>
        <v>38.772126485160769</v>
      </c>
      <c r="BS27" t="s">
        <v>560</v>
      </c>
      <c r="BT27" s="4" t="s">
        <v>393</v>
      </c>
      <c r="BU27" s="4" t="s">
        <v>393</v>
      </c>
      <c r="BV27" s="4" t="s">
        <v>393</v>
      </c>
      <c r="BW27" s="4" t="s">
        <v>393</v>
      </c>
      <c r="BX27" s="4" t="s">
        <v>393</v>
      </c>
      <c r="BY27" s="4" t="s">
        <v>393</v>
      </c>
      <c r="BZ27" s="4" t="s">
        <v>393</v>
      </c>
      <c r="CA27" s="4" t="s">
        <v>393</v>
      </c>
      <c r="CB27" s="4" t="s">
        <v>393</v>
      </c>
      <c r="CC27" s="4" t="s">
        <v>393</v>
      </c>
      <c r="CI27" s="39" t="s">
        <v>393</v>
      </c>
      <c r="CJ27" s="39" t="s">
        <v>393</v>
      </c>
      <c r="CL27" s="696" t="s">
        <v>2745</v>
      </c>
      <c r="CM27" t="str" cm="1">
        <f t="array" ref="CM27">INDEX(Kirjasto_ENT!D4:K125,14,Kirjasto_ENT!B4)</f>
        <v>Electric plug 230 V, 50 Hz, 10 A, max 1255 W</v>
      </c>
      <c r="CR27" s="696" t="str">
        <f t="shared" si="21"/>
        <v>Model 130ENT</v>
      </c>
      <c r="CV27" s="619">
        <f>'Laskenta tulopuoli 130_ENT'!$AS$34</f>
        <v>1.2957213986247331</v>
      </c>
      <c r="CW27" s="619">
        <f>'Laskenta poistopuoli 130_ENT'!$AS$34</f>
        <v>1.2657387927481998</v>
      </c>
      <c r="CX27" s="4" t="b">
        <f>'Laskenta tulopuoli 130_ENT'!$AV$34</f>
        <v>1</v>
      </c>
      <c r="CY27" s="4" t="b">
        <f>'Laskenta poistopuoli 130_ENT'!$AV$34</f>
        <v>1</v>
      </c>
      <c r="CZ27" s="5">
        <f>'Laskenta tulopuoli 130_ENT'!$AV$36</f>
        <v>5.4259341711717584</v>
      </c>
      <c r="DA27" s="5">
        <f>'Laskenta poistopuoli 130_ENT'!$AV$36</f>
        <v>5.3687210453008971</v>
      </c>
      <c r="DG27" s="483">
        <v>5</v>
      </c>
      <c r="DI27" s="696" t="s">
        <v>2734</v>
      </c>
      <c r="DK27" s="619" t="str">
        <f>'Kojeet ja kennon hyötysuhde_ENT'!N8</f>
        <v>-</v>
      </c>
      <c r="DL27" s="619" t="str">
        <f>'Kojeet ja kennon hyötysuhde_ENT'!O8</f>
        <v>-</v>
      </c>
      <c r="DN27" s="39">
        <f>IF($DN$18,"-",3*2380)</f>
        <v>7140</v>
      </c>
      <c r="DQ27" s="483">
        <v>5</v>
      </c>
      <c r="DS27" s="696" t="s">
        <v>2734</v>
      </c>
      <c r="DU27" s="618">
        <f>DU26</f>
        <v>0.48481352648339565</v>
      </c>
      <c r="DV27" s="618">
        <f>DV26</f>
        <v>0.44492127919784963</v>
      </c>
      <c r="DX27" s="696">
        <v>0.76932324917594785</v>
      </c>
      <c r="DY27" t="s">
        <v>2746</v>
      </c>
    </row>
    <row r="28" spans="1:129" x14ac:dyDescent="0.15">
      <c r="A28" s="483">
        <v>6</v>
      </c>
      <c r="C28" s="1536" t="s">
        <v>2731</v>
      </c>
      <c r="D28" t="b">
        <f>'Laskenta tulopuoli 130_ENT'!$W$10</f>
        <v>1</v>
      </c>
      <c r="E28" s="32">
        <f>'Laskenta tulopuoli 130_ENT'!$W$9</f>
        <v>4.6589712343931486</v>
      </c>
      <c r="F28" s="5">
        <f>'Laskenta tulopuoli 130_ENT'!$W$14</f>
        <v>18.877731672521207</v>
      </c>
      <c r="G28" t="b">
        <f>'Laskenta poistopuoli 130_ENT'!$W$10</f>
        <v>1</v>
      </c>
      <c r="H28" s="32">
        <f>'Laskenta poistopuoli 130_ENT'!$W$9</f>
        <v>4.5261056308218102</v>
      </c>
      <c r="I28" s="5">
        <f>'Laskenta poistopuoli 130_ENT'!$W$14</f>
        <v>17.221555272096694</v>
      </c>
      <c r="J28" s="4">
        <v>4.4000000000000004</v>
      </c>
      <c r="K28" s="5">
        <f t="shared" si="20"/>
        <v>40.4992869446179</v>
      </c>
      <c r="L28" s="32">
        <f>K28/MAX('R-series ENT'!$E$33,'R-series ENT'!$G$33)</f>
        <v>1.1663794640049956</v>
      </c>
      <c r="M28" s="4">
        <f>130*0.7</f>
        <v>91</v>
      </c>
      <c r="N28" s="99">
        <v>1.5171246730812864</v>
      </c>
      <c r="O28" s="843">
        <v>0.77500000000000002</v>
      </c>
      <c r="P28" s="80">
        <f>'Laskenta tulopuoli 130_ENT'!$AF$44</f>
        <v>69.570501301046434</v>
      </c>
      <c r="Q28" s="80">
        <f>'Laskenta tulopuoli 130_ENT'!$AG$44</f>
        <v>68.570501301046434</v>
      </c>
      <c r="R28" s="80">
        <f>'Laskenta tulopuoli 130_ENT'!$AH$44</f>
        <v>61.570501301046434</v>
      </c>
      <c r="S28" s="80">
        <f>'Laskenta tulopuoli 130_ENT'!$AI$44</f>
        <v>56.570501301046434</v>
      </c>
      <c r="T28" s="80">
        <f>'Laskenta tulopuoli 130_ENT'!$AJ$44</f>
        <v>51.570501301046434</v>
      </c>
      <c r="U28" s="80">
        <f>'Laskenta tulopuoli 130_ENT'!$AK$44</f>
        <v>50.570501301046434</v>
      </c>
      <c r="V28" s="80">
        <f>'Laskenta tulopuoli 130_ENT'!$AL$44</f>
        <v>44.570501301046434</v>
      </c>
      <c r="W28" s="80">
        <f>'Laskenta tulopuoli 130_ENT'!$AM$44</f>
        <v>34.570501301046434</v>
      </c>
      <c r="X28" s="80">
        <f>'Laskenta tulopuoli 130_ENT'!$AN$44</f>
        <v>72.65583164233486</v>
      </c>
      <c r="Y28" s="108">
        <f>'Laskenta tulopuoli 130_ENT'!$W$6</f>
        <v>59.570501301046434</v>
      </c>
      <c r="Z28" s="80">
        <f>'Laskenta tulopuoli 130_ENT'!$AF$43</f>
        <v>58.262824069243834</v>
      </c>
      <c r="AA28" s="80">
        <f>'Laskenta tulopuoli 130_ENT'!$AG$43</f>
        <v>55.262824069243834</v>
      </c>
      <c r="AB28" s="80">
        <f>'Laskenta tulopuoli 130_ENT'!$AH$43</f>
        <v>48.262824069243834</v>
      </c>
      <c r="AC28" s="80">
        <f>'Laskenta tulopuoli 130_ENT'!$AI$43</f>
        <v>41.262824069243834</v>
      </c>
      <c r="AD28" s="80">
        <f>'Laskenta tulopuoli 130_ENT'!$AJ$43</f>
        <v>33.262824069243834</v>
      </c>
      <c r="AE28" s="80">
        <f>'Laskenta tulopuoli 130_ENT'!$AK$43</f>
        <v>27.262824069243834</v>
      </c>
      <c r="AF28" s="80">
        <f>'Laskenta tulopuoli 130_ENT'!$AL$43</f>
        <v>19.262824069243834</v>
      </c>
      <c r="AG28" s="80">
        <f>'Laskenta tulopuoli 130_ENT'!$AM$43</f>
        <v>10.262824069243834</v>
      </c>
      <c r="AH28" s="80">
        <f>'Laskenta tulopuoli 130_ENT'!$AN$43</f>
        <v>60.371994295710834</v>
      </c>
      <c r="AI28" s="108">
        <f>'Laskenta tulopuoli 130_ENT'!$W$5</f>
        <v>44.262824069243834</v>
      </c>
      <c r="AJ28" s="80">
        <f>'Laskenta poistopuoli 130_ENT'!$AF$43</f>
        <v>57.900589359925604</v>
      </c>
      <c r="AK28" s="80">
        <f>'Laskenta poistopuoli 130_ENT'!$AG$43</f>
        <v>55.900589359925604</v>
      </c>
      <c r="AL28" s="80">
        <f>'Laskenta poistopuoli 130_ENT'!$AH$43</f>
        <v>48.900589359925604</v>
      </c>
      <c r="AM28" s="80">
        <f>'Laskenta poistopuoli 130_ENT'!$AI$43</f>
        <v>43.900589359925604</v>
      </c>
      <c r="AN28" s="80">
        <f>'Laskenta poistopuoli 130_ENT'!$AJ$43</f>
        <v>40.900589359925604</v>
      </c>
      <c r="AO28" s="80">
        <f>'Laskenta poistopuoli 130_ENT'!$AK$43</f>
        <v>33.900589359925604</v>
      </c>
      <c r="AP28" s="80">
        <f>'Laskenta poistopuoli 130_ENT'!$AL$43</f>
        <v>22.900589359925604</v>
      </c>
      <c r="AQ28" s="80">
        <f>'Laskenta poistopuoli 130_ENT'!$AM$43</f>
        <v>14.900589359925604</v>
      </c>
      <c r="AR28" s="80">
        <f>'Laskenta poistopuoli 130_ENT'!$AN$43</f>
        <v>60.503594955972204</v>
      </c>
      <c r="AS28" s="108">
        <f>'Laskenta poistopuoli 130_ENT'!$W$5</f>
        <v>46.900589359925604</v>
      </c>
      <c r="AT28" s="80">
        <f>'Laskenta poistopuoli 130_ENT'!$AF$44</f>
        <v>67.890598737637035</v>
      </c>
      <c r="AU28" s="80">
        <f>'Laskenta poistopuoli 130_ENT'!$AG$44</f>
        <v>65.890598737637035</v>
      </c>
      <c r="AV28" s="80">
        <f>'Laskenta poistopuoli 130_ENT'!$AH$44</f>
        <v>61.890598737637035</v>
      </c>
      <c r="AW28" s="80">
        <f>'Laskenta poistopuoli 130_ENT'!$AI$44</f>
        <v>55.890598737637035</v>
      </c>
      <c r="AX28" s="80">
        <f>'Laskenta poistopuoli 130_ENT'!$AJ$44</f>
        <v>51.890598737637035</v>
      </c>
      <c r="AY28" s="80">
        <f>'Laskenta poistopuoli 130_ENT'!$AK$44</f>
        <v>49.890598737637035</v>
      </c>
      <c r="AZ28" s="80">
        <f>'Laskenta poistopuoli 130_ENT'!$AL$44</f>
        <v>42.890598737637035</v>
      </c>
      <c r="BA28" s="80">
        <f>'Laskenta poistopuoli 130_ENT'!$AM$44</f>
        <v>32.890598737637035</v>
      </c>
      <c r="BB28" s="80">
        <f>'Laskenta poistopuoli 130_ENT'!$AN$44</f>
        <v>70.878448596268782</v>
      </c>
      <c r="BC28" s="108">
        <f>'Laskenta poistopuoli 130_ENT'!$W$6</f>
        <v>58.890598737637035</v>
      </c>
      <c r="BD28" s="80">
        <f>'Laskenta vaipan läpi 130_ENT'!$L$39</f>
        <v>46.644157991431605</v>
      </c>
      <c r="BE28" s="80">
        <f>'Laskenta vaipan läpi 130_ENT'!$M$39</f>
        <v>45.644157991431605</v>
      </c>
      <c r="BF28" s="80">
        <f>'Laskenta vaipan läpi 130_ENT'!$N$39</f>
        <v>39.644157991431605</v>
      </c>
      <c r="BG28" s="80">
        <f>'Laskenta vaipan läpi 130_ENT'!$O$39</f>
        <v>30.644157991431605</v>
      </c>
      <c r="BH28" s="80">
        <f>'Laskenta vaipan läpi 130_ENT'!$P$39</f>
        <v>21.644157991431605</v>
      </c>
      <c r="BI28" s="80">
        <f>'Laskenta vaipan läpi 130_ENT'!$Q$39</f>
        <v>15.644157991431605</v>
      </c>
      <c r="BJ28" s="80">
        <f>'Laskenta vaipan läpi 130_ENT'!$R$39</f>
        <v>11.644157991431605</v>
      </c>
      <c r="BK28" s="80">
        <f>'Laskenta vaipan läpi 130_ENT'!$S$39</f>
        <v>4.6441579914316051</v>
      </c>
      <c r="BL28" s="80">
        <f>'Laskenta vaipan läpi 130_ENT'!$T$39</f>
        <v>49.704780682791252</v>
      </c>
      <c r="BM28" s="108">
        <f>'Laskenta vaipan läpi 130_ENT'!$C$35</f>
        <v>34.644157991431605</v>
      </c>
      <c r="BN28" s="80">
        <f t="shared" ref="BN28:BN29" si="26">BM28+10*LOG10(4/10)</f>
        <v>30.66475790471123</v>
      </c>
      <c r="BO28" s="80">
        <f t="shared" ref="BO28:BO29" si="27">BM28+10*LOG10(4/2.5)</f>
        <v>36.685357817990855</v>
      </c>
      <c r="BS28" t="s">
        <v>585</v>
      </c>
      <c r="BT28" s="485">
        <f>BT23</f>
        <v>70</v>
      </c>
      <c r="BU28" s="485">
        <f t="shared" ref="BU28:CC28" si="28">BU23</f>
        <v>65</v>
      </c>
      <c r="BV28" s="485">
        <f t="shared" si="28"/>
        <v>61</v>
      </c>
      <c r="BW28" s="485">
        <f t="shared" si="28"/>
        <v>54</v>
      </c>
      <c r="BX28" s="485">
        <f t="shared" si="28"/>
        <v>51</v>
      </c>
      <c r="BY28" s="485">
        <f t="shared" si="28"/>
        <v>42</v>
      </c>
      <c r="BZ28" s="485">
        <f t="shared" si="28"/>
        <v>31</v>
      </c>
      <c r="CA28" s="485">
        <f t="shared" si="28"/>
        <v>23</v>
      </c>
      <c r="CB28" s="485">
        <f t="shared" si="28"/>
        <v>71.707189991030333</v>
      </c>
      <c r="CC28" s="485">
        <f t="shared" si="28"/>
        <v>57.105085593892845</v>
      </c>
      <c r="CI28" s="39" t="s">
        <v>393</v>
      </c>
      <c r="CJ28" s="39" t="s">
        <v>393</v>
      </c>
      <c r="CL28" s="696" t="s">
        <v>2747</v>
      </c>
      <c r="CM28" t="str" cm="1">
        <f t="array" ref="CM28">INDEX(Kirjasto_ENT!D4:K500,9,Kirjasto_ENT!B4)</f>
        <v>Electric plug 230 V, 50 Hz, 10 A, max 1165 W</v>
      </c>
      <c r="CR28" s="696" t="s">
        <v>2728</v>
      </c>
      <c r="CV28" s="619">
        <f>'Laskenta tulopuoli 53mini_ENT'!$AS$34</f>
        <v>1.0803698008971034</v>
      </c>
      <c r="CW28" s="619">
        <f>'Laskenta poistopuoli 53mini_ENT'!$AS$34</f>
        <v>1.0491640721204769</v>
      </c>
      <c r="CX28" s="4" t="b">
        <f>'Laskenta tulopuoli 53mini_ENT'!$AV$34</f>
        <v>1</v>
      </c>
      <c r="CY28" s="4" t="b">
        <f>'Laskenta poistopuoli 53mini_ENT'!$AV$34</f>
        <v>1</v>
      </c>
      <c r="CZ28" s="5">
        <f>'Laskenta tulopuoli 53mini_ENT'!$AV$36</f>
        <v>5.4242701026208149</v>
      </c>
      <c r="DA28" s="5">
        <f>'Laskenta poistopuoli 53mini_ENT'!$AV$36</f>
        <v>5.2490418193574158</v>
      </c>
      <c r="DG28" s="483">
        <v>6</v>
      </c>
      <c r="DI28" s="696" t="s">
        <v>2731</v>
      </c>
      <c r="DK28" s="619" t="str">
        <f>'Kojeet ja kennon hyötysuhde_ENT'!N9</f>
        <v>-</v>
      </c>
      <c r="DL28" s="619" t="str">
        <f>'Kojeet ja kennon hyötysuhde_ENT'!O9</f>
        <v>-</v>
      </c>
      <c r="DN28">
        <v>920</v>
      </c>
      <c r="DQ28" s="483">
        <v>6</v>
      </c>
      <c r="DS28" s="696" t="s">
        <v>2731</v>
      </c>
      <c r="DU28" s="618">
        <f>'Kennolaskuri 130_ENT'!J68</f>
        <v>0.41261891945683832</v>
      </c>
      <c r="DV28" s="618">
        <f>'Kennolaskuri 130_ENT'!Y69</f>
        <v>0.46510083316547957</v>
      </c>
      <c r="DX28" s="696">
        <v>0.76731991755326245</v>
      </c>
      <c r="DY28" t="s">
        <v>2748</v>
      </c>
    </row>
    <row r="29" spans="1:129" ht="15" x14ac:dyDescent="0.2">
      <c r="A29" s="483">
        <v>7</v>
      </c>
      <c r="C29" s="1536" t="s">
        <v>2728</v>
      </c>
      <c r="D29" t="b">
        <f>'Laskenta tulopuoli 53mini_ENT'!$W$10</f>
        <v>1</v>
      </c>
      <c r="E29" s="32">
        <f>'Laskenta tulopuoli 53mini_ENT'!$W$9</f>
        <v>4.6545920944986499</v>
      </c>
      <c r="F29" s="5">
        <f>'Laskenta tulopuoli 53mini_ENT'!$W$14</f>
        <v>19.704150231876277</v>
      </c>
      <c r="G29" t="b">
        <f>'Laskenta poistopuoli 53mini_ENT'!$W$10</f>
        <v>1</v>
      </c>
      <c r="H29" s="32">
        <f>'Laskenta poistopuoli 53mini_ENT'!$W$9</f>
        <v>4.4792053794970448</v>
      </c>
      <c r="I29" s="5">
        <f>'Laskenta poistopuoli 53mini_ENT'!$W$14</f>
        <v>19.816099128316758</v>
      </c>
      <c r="J29" s="1423">
        <v>4.4000000000000004</v>
      </c>
      <c r="K29" s="5">
        <f t="shared" si="20"/>
        <v>43.920249360193033</v>
      </c>
      <c r="L29" s="32">
        <f>K29/MAX('R-series ENT'!$E$33,'R-series ENT'!$G$33)</f>
        <v>1.2649031815735594</v>
      </c>
      <c r="M29" s="1463">
        <v>63</v>
      </c>
      <c r="N29" s="1464">
        <v>1.4430000000000001</v>
      </c>
      <c r="O29" s="1465">
        <v>0.79700000000000004</v>
      </c>
      <c r="P29" s="80">
        <f>'Laskenta tulopuoli 53mini_ENT'!$AG$51</f>
        <v>74.928146758130822</v>
      </c>
      <c r="Q29" s="80">
        <f>'Laskenta tulopuoli 53mini_ENT'!$AH$51</f>
        <v>68.928146758130822</v>
      </c>
      <c r="R29" s="80">
        <f>'Laskenta tulopuoli 53mini_ENT'!$AI$51</f>
        <v>63.928146758130822</v>
      </c>
      <c r="S29" s="80">
        <f>'Laskenta tulopuoli 53mini_ENT'!$AJ$51</f>
        <v>56.928146758130822</v>
      </c>
      <c r="T29" s="80">
        <f>'Laskenta tulopuoli 53mini_ENT'!$AK$51</f>
        <v>54.928146758130822</v>
      </c>
      <c r="U29" s="80">
        <f>'Laskenta tulopuoli 53mini_ENT'!$AL$51</f>
        <v>48.928146758130822</v>
      </c>
      <c r="V29" s="80">
        <f>'Laskenta tulopuoli 53mini_ENT'!$AM$51</f>
        <v>39.928146758130822</v>
      </c>
      <c r="W29" s="80">
        <f>'Laskenta tulopuoli 53mini_ENT'!$AN$51</f>
        <v>26.928146758130822</v>
      </c>
      <c r="X29" s="80">
        <f>'Laskenta tulopuoli 53mini_ENT'!$AO$51</f>
        <v>76.261345812238972</v>
      </c>
      <c r="Y29" s="108">
        <f>'Laskenta tulopuoli 53mini_ENT'!$W$6</f>
        <v>60.928146758130822</v>
      </c>
      <c r="Z29" s="80">
        <f>'Laskenta tulopuoli 53mini_ENT'!$AG$45</f>
        <v>64.639457895037509</v>
      </c>
      <c r="AA29" s="80">
        <f>'Laskenta tulopuoli 53mini_ENT'!$AH$45</f>
        <v>58.639457895037502</v>
      </c>
      <c r="AB29" s="80">
        <f>'Laskenta tulopuoli 53mini_ENT'!$AI$45</f>
        <v>48.639457895037502</v>
      </c>
      <c r="AC29" s="80">
        <f>'Laskenta tulopuoli 53mini_ENT'!$AJ$45</f>
        <v>38.639457895037502</v>
      </c>
      <c r="AD29" s="80">
        <f>'Laskenta tulopuoli 53mini_ENT'!$AK$45</f>
        <v>28.639457895037502</v>
      </c>
      <c r="AE29" s="80">
        <f>'Laskenta tulopuoli 53mini_ENT'!$AL$45</f>
        <v>21.639457895037502</v>
      </c>
      <c r="AF29" s="80">
        <f>'Laskenta tulopuoli 53mini_ENT'!$AM$45</f>
        <v>16.639457895037502</v>
      </c>
      <c r="AG29" s="80">
        <f>'Laskenta tulopuoli 53mini_ENT'!$AN$45</f>
        <v>21.639457895037502</v>
      </c>
      <c r="AH29" s="80">
        <f>'Laskenta tulopuoli 53mini_ENT'!$AO$45</f>
        <v>65.708797142530884</v>
      </c>
      <c r="AI29" s="108">
        <f>'Laskenta tulopuoli 53mini_ENT'!$W$5</f>
        <v>45.639457895037502</v>
      </c>
      <c r="AJ29" s="80">
        <f>'Laskenta poistopuoli 53mini_ENT'!$AG$45</f>
        <v>63.174119801153246</v>
      </c>
      <c r="AK29" s="80">
        <f>'Laskenta poistopuoli 53mini_ENT'!$AH$45</f>
        <v>60.174119801153246</v>
      </c>
      <c r="AL29" s="80">
        <f>'Laskenta poistopuoli 53mini_ENT'!$AI$45</f>
        <v>51.174119801153246</v>
      </c>
      <c r="AM29" s="80">
        <f>'Laskenta poistopuoli 53mini_ENT'!$AJ$45</f>
        <v>39.174119801153246</v>
      </c>
      <c r="AN29" s="80">
        <f>'Laskenta poistopuoli 53mini_ENT'!$AK$45</f>
        <v>35.174119801153246</v>
      </c>
      <c r="AO29" s="80">
        <f>'Laskenta poistopuoli 53mini_ENT'!$AL$45</f>
        <v>21.174119801153246</v>
      </c>
      <c r="AP29" s="80">
        <f>'Laskenta poistopuoli 53mini_ENT'!$AM$45</f>
        <v>15.174119801153246</v>
      </c>
      <c r="AQ29" s="80">
        <f>'Laskenta poistopuoli 53mini_ENT'!$AN$45</f>
        <v>21.174119801153246</v>
      </c>
      <c r="AR29" s="80">
        <f>'Laskenta poistopuoli 53mini_ENT'!$AO$45</f>
        <v>65.133091355659062</v>
      </c>
      <c r="AS29" s="108">
        <f>'Laskenta poistopuoli 53mini_ENT'!$W$5</f>
        <v>47.174119801153246</v>
      </c>
      <c r="AT29" s="80">
        <f>'Laskenta poistopuoli 53mini_ENT'!$AG$51</f>
        <v>73.471394060510931</v>
      </c>
      <c r="AU29" s="80">
        <f>'Laskenta poistopuoli 53mini_ENT'!$AH$51</f>
        <v>68.471394060510931</v>
      </c>
      <c r="AV29" s="80">
        <f>'Laskenta poistopuoli 53mini_ENT'!$AI$51</f>
        <v>63.471394060510931</v>
      </c>
      <c r="AW29" s="80">
        <f>'Laskenta poistopuoli 53mini_ENT'!$AJ$51</f>
        <v>58.471394060510931</v>
      </c>
      <c r="AX29" s="80">
        <f>'Laskenta poistopuoli 53mini_ENT'!$AK$51</f>
        <v>56.471394060510931</v>
      </c>
      <c r="AY29" s="80">
        <f>'Laskenta poistopuoli 53mini_ENT'!$AL$51</f>
        <v>49.471394060510931</v>
      </c>
      <c r="AZ29" s="80">
        <f>'Laskenta poistopuoli 53mini_ENT'!$AM$51</f>
        <v>40.471394060510931</v>
      </c>
      <c r="BA29" s="80">
        <f>'Laskenta poistopuoli 53mini_ENT'!$AN$51</f>
        <v>29.471394060510931</v>
      </c>
      <c r="BB29" s="80">
        <f>'Laskenta poistopuoli 53mini_ENT'!$AO$51</f>
        <v>75.151431619413117</v>
      </c>
      <c r="BC29" s="108">
        <f>'Laskenta poistopuoli 53mini_ENT'!$W$6</f>
        <v>61.471394060510931</v>
      </c>
      <c r="BD29" s="80">
        <f>'Laskenta vaipan läpi 53mini_ENT'!$L$41</f>
        <v>50.209423524163761</v>
      </c>
      <c r="BE29" s="80">
        <f>'Laskenta vaipan läpi 53mini_ENT'!$M$41</f>
        <v>46.209423524163761</v>
      </c>
      <c r="BF29" s="80">
        <f>'Laskenta vaipan läpi 53mini_ENT'!$N$41</f>
        <v>41.209423524163761</v>
      </c>
      <c r="BG29" s="80">
        <f>'Laskenta vaipan läpi 53mini_ENT'!$O$41</f>
        <v>28.209423524163761</v>
      </c>
      <c r="BH29" s="80">
        <f>'Laskenta vaipan läpi 53mini_ENT'!$P$41</f>
        <v>21.209423524163761</v>
      </c>
      <c r="BI29" s="80">
        <f>'Laskenta vaipan läpi 53mini_ENT'!$Q$41</f>
        <v>14.209423524163761</v>
      </c>
      <c r="BJ29" s="80">
        <f>'Laskenta vaipan läpi 53mini_ENT'!$R$41</f>
        <v>10.209423524163761</v>
      </c>
      <c r="BK29" s="80">
        <f>'Laskenta vaipan läpi 53mini_ENT'!$S$41</f>
        <v>7.2094235241637605</v>
      </c>
      <c r="BL29" s="80">
        <f>'Laskenta vaipan läpi 53mini_ENT'!$T$41</f>
        <v>52.061924765150522</v>
      </c>
      <c r="BM29" s="108">
        <f>'Laskenta vaipan läpi 53mini_ENT'!$C$37</f>
        <v>35.209423524163761</v>
      </c>
      <c r="BN29" s="80">
        <f t="shared" si="26"/>
        <v>31.230023437443386</v>
      </c>
      <c r="BO29" s="80">
        <f t="shared" si="27"/>
        <v>37.250623350723011</v>
      </c>
      <c r="BS29" t="s">
        <v>2670</v>
      </c>
      <c r="BT29" s="80">
        <f>'Laskenta keittiöoh 53mini_ENT'!C16</f>
        <v>78.582178325085522</v>
      </c>
      <c r="BU29" s="80">
        <f>'Laskenta keittiöoh 53mini_ENT'!D16</f>
        <v>61.739448679093577</v>
      </c>
      <c r="BV29" s="80">
        <f>'Laskenta keittiöoh 53mini_ENT'!E16</f>
        <v>59.853989387109671</v>
      </c>
      <c r="BW29" s="80">
        <f>'Laskenta keittiöoh 53mini_ENT'!F16</f>
        <v>54.053989387109667</v>
      </c>
      <c r="BX29" s="80">
        <f>'Laskenta keittiöoh 53mini_ENT'!G16</f>
        <v>50.153989387109668</v>
      </c>
      <c r="BY29" s="80">
        <f>'Laskenta keittiöoh 53mini_ENT'!H16</f>
        <v>45.796719033101624</v>
      </c>
      <c r="BZ29" s="80">
        <f>'Laskenta keittiöoh 53mini_ENT'!I16</f>
        <v>38.339448679093579</v>
      </c>
      <c r="CA29" s="80">
        <f>'Laskenta keittiöoh 53mini_ENT'!J16</f>
        <v>32.382178325085533</v>
      </c>
      <c r="CB29" s="80">
        <f>'Laskenta keittiöoh 53mini_ENT'!K16</f>
        <v>78.751246850123081</v>
      </c>
      <c r="CC29" s="80">
        <f>'Laskenta keittiöoh 53mini_ENT'!L16</f>
        <v>57.983296718594993</v>
      </c>
      <c r="DG29" s="483">
        <v>7</v>
      </c>
      <c r="DI29" s="696" t="s">
        <v>2749</v>
      </c>
      <c r="DK29" s="619" t="str">
        <f>'Kojeet ja kennon hyötysuhde_ENT'!N10</f>
        <v>-</v>
      </c>
      <c r="DL29" s="619" t="str">
        <f>'Kojeet ja kennon hyötysuhde_ENT'!O10</f>
        <v>-</v>
      </c>
      <c r="DN29" s="1436">
        <v>920</v>
      </c>
      <c r="DQ29" s="483">
        <v>7</v>
      </c>
      <c r="DS29" s="696" t="s">
        <v>2749</v>
      </c>
      <c r="DU29" s="1537">
        <f>'Kennolaskuri 53mini_ENT'!I65</f>
        <v>0.37340352992868397</v>
      </c>
      <c r="DV29" s="1537">
        <f>'Kennolaskuri 53mini_ENT'!Y65</f>
        <v>0.43402710155485347</v>
      </c>
      <c r="DX29" s="696">
        <v>0.79655313679875528</v>
      </c>
      <c r="DY29" t="s">
        <v>2741</v>
      </c>
    </row>
    <row r="30" spans="1:129" x14ac:dyDescent="0.15">
      <c r="O30" s="317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BD30" s="80"/>
      <c r="BE30" s="80"/>
      <c r="BF30" s="80"/>
      <c r="BG30" s="80"/>
      <c r="BH30" s="80"/>
      <c r="BI30" s="80"/>
      <c r="BJ30" s="80"/>
      <c r="BK30" s="80"/>
      <c r="BL30" s="80"/>
      <c r="BM30" s="108"/>
      <c r="BN30" s="80"/>
      <c r="BO30" s="80"/>
    </row>
    <row r="31" spans="1:129" x14ac:dyDescent="0.15">
      <c r="O31" s="734" t="s">
        <v>426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129" x14ac:dyDescent="0.15">
      <c r="O32" s="2" t="s">
        <v>1266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3:156" x14ac:dyDescent="0.15">
      <c r="O33" s="272" t="s">
        <v>1953</v>
      </c>
      <c r="BD33" t="s">
        <v>586</v>
      </c>
    </row>
    <row r="34" spans="3:156" x14ac:dyDescent="0.15">
      <c r="D34" s="2" t="s">
        <v>44</v>
      </c>
      <c r="G34" s="2" t="s">
        <v>58</v>
      </c>
      <c r="J34" s="2" t="s">
        <v>73</v>
      </c>
      <c r="P34" s="2" t="s">
        <v>29</v>
      </c>
      <c r="Z34" s="2" t="s">
        <v>26</v>
      </c>
      <c r="AJ34" s="2" t="s">
        <v>55</v>
      </c>
      <c r="AT34" s="2" t="s">
        <v>56</v>
      </c>
      <c r="BD34" s="2" t="s">
        <v>96</v>
      </c>
      <c r="BT34" s="2" t="s">
        <v>390</v>
      </c>
      <c r="CR34" s="2" t="s">
        <v>1121</v>
      </c>
      <c r="CV34" s="2" t="s">
        <v>1111</v>
      </c>
      <c r="CX34" s="2" t="s">
        <v>117</v>
      </c>
      <c r="CZ34" s="2" t="s">
        <v>79</v>
      </c>
      <c r="DC34" t="s">
        <v>1157</v>
      </c>
    </row>
    <row r="35" spans="3:156" x14ac:dyDescent="0.15">
      <c r="D35" s="2" t="s">
        <v>117</v>
      </c>
      <c r="E35" s="2" t="s">
        <v>18</v>
      </c>
      <c r="F35" s="2" t="s">
        <v>54</v>
      </c>
      <c r="G35" s="2" t="s">
        <v>117</v>
      </c>
      <c r="H35" s="2" t="s">
        <v>18</v>
      </c>
      <c r="I35" s="2" t="s">
        <v>54</v>
      </c>
      <c r="J35" s="2" t="s">
        <v>54</v>
      </c>
      <c r="K35" s="2" t="s">
        <v>121</v>
      </c>
      <c r="L35" s="2" t="s">
        <v>75</v>
      </c>
      <c r="M35" s="2" t="s">
        <v>203</v>
      </c>
      <c r="N35" s="2" t="s">
        <v>202</v>
      </c>
      <c r="O35" s="2" t="s">
        <v>189</v>
      </c>
      <c r="P35" s="104">
        <v>63</v>
      </c>
      <c r="Q35" s="104">
        <v>125</v>
      </c>
      <c r="R35" s="104">
        <v>250</v>
      </c>
      <c r="S35" s="104">
        <v>500</v>
      </c>
      <c r="T35" s="104">
        <v>1000</v>
      </c>
      <c r="U35" s="104">
        <v>2000</v>
      </c>
      <c r="V35" s="104">
        <v>4000</v>
      </c>
      <c r="W35" s="104">
        <v>8000</v>
      </c>
      <c r="X35" s="104" t="s">
        <v>70</v>
      </c>
      <c r="Y35" s="104" t="s">
        <v>27</v>
      </c>
      <c r="Z35" s="104">
        <v>63</v>
      </c>
      <c r="AA35" s="104">
        <v>125</v>
      </c>
      <c r="AB35" s="104">
        <v>250</v>
      </c>
      <c r="AC35" s="104">
        <v>500</v>
      </c>
      <c r="AD35" s="104">
        <v>1000</v>
      </c>
      <c r="AE35" s="104">
        <v>2000</v>
      </c>
      <c r="AF35" s="104">
        <v>4000</v>
      </c>
      <c r="AG35" s="104">
        <v>8000</v>
      </c>
      <c r="AH35" s="104" t="s">
        <v>70</v>
      </c>
      <c r="AI35" s="104" t="s">
        <v>27</v>
      </c>
      <c r="AJ35" s="104">
        <v>63</v>
      </c>
      <c r="AK35" s="104">
        <v>125</v>
      </c>
      <c r="AL35" s="104">
        <v>250</v>
      </c>
      <c r="AM35" s="104">
        <v>500</v>
      </c>
      <c r="AN35" s="104">
        <v>1000</v>
      </c>
      <c r="AO35" s="104">
        <v>2000</v>
      </c>
      <c r="AP35" s="104">
        <v>4000</v>
      </c>
      <c r="AQ35" s="104">
        <v>8000</v>
      </c>
      <c r="AR35" s="104" t="s">
        <v>70</v>
      </c>
      <c r="AS35" s="104" t="s">
        <v>27</v>
      </c>
      <c r="AT35" s="104">
        <v>63</v>
      </c>
      <c r="AU35" s="104">
        <v>125</v>
      </c>
      <c r="AV35" s="104">
        <v>250</v>
      </c>
      <c r="AW35" s="104">
        <v>500</v>
      </c>
      <c r="AX35" s="104">
        <v>1000</v>
      </c>
      <c r="AY35" s="104">
        <v>2000</v>
      </c>
      <c r="AZ35" s="104">
        <v>4000</v>
      </c>
      <c r="BA35" s="104">
        <v>8000</v>
      </c>
      <c r="BB35" s="104" t="s">
        <v>70</v>
      </c>
      <c r="BC35" s="104" t="s">
        <v>27</v>
      </c>
      <c r="BD35" s="104">
        <v>63</v>
      </c>
      <c r="BE35" s="104">
        <v>125</v>
      </c>
      <c r="BF35" s="104">
        <v>250</v>
      </c>
      <c r="BG35" s="104">
        <v>500</v>
      </c>
      <c r="BH35" s="104">
        <v>1000</v>
      </c>
      <c r="BI35" s="104">
        <v>2000</v>
      </c>
      <c r="BJ35" s="104">
        <v>4000</v>
      </c>
      <c r="BK35" s="104">
        <v>8000</v>
      </c>
      <c r="BL35" s="104" t="s">
        <v>70</v>
      </c>
      <c r="BM35" s="104" t="s">
        <v>27</v>
      </c>
      <c r="BN35" t="s">
        <v>97</v>
      </c>
      <c r="BO35" t="s">
        <v>98</v>
      </c>
      <c r="BQ35" s="2" t="s">
        <v>166</v>
      </c>
      <c r="BR35" s="2" t="s">
        <v>186</v>
      </c>
      <c r="BT35" s="104">
        <v>63</v>
      </c>
      <c r="BU35" s="104">
        <v>125</v>
      </c>
      <c r="BV35" s="104">
        <v>250</v>
      </c>
      <c r="BW35" s="104">
        <v>500</v>
      </c>
      <c r="BX35" s="104">
        <v>1000</v>
      </c>
      <c r="BY35" s="104">
        <v>2000</v>
      </c>
      <c r="BZ35" s="104">
        <v>4000</v>
      </c>
      <c r="CA35" s="104">
        <v>8000</v>
      </c>
      <c r="CB35" s="104" t="s">
        <v>70</v>
      </c>
      <c r="CC35" s="104" t="s">
        <v>27</v>
      </c>
      <c r="CI35" s="104" t="s">
        <v>530</v>
      </c>
      <c r="CJ35" s="104" t="s">
        <v>531</v>
      </c>
      <c r="CM35" s="241" t="str">
        <f>CM21</f>
        <v>Sähkönsyöttö, teksti</v>
      </c>
      <c r="CR35" t="s">
        <v>7</v>
      </c>
      <c r="CS35" t="s">
        <v>8</v>
      </c>
      <c r="CT35" t="s">
        <v>7</v>
      </c>
      <c r="CU35" t="s">
        <v>8</v>
      </c>
      <c r="CV35" t="s">
        <v>7</v>
      </c>
      <c r="CW35" t="s">
        <v>8</v>
      </c>
      <c r="CX35" t="s">
        <v>7</v>
      </c>
      <c r="CY35" t="s">
        <v>8</v>
      </c>
      <c r="CZ35" t="s">
        <v>7</v>
      </c>
      <c r="DA35" t="s">
        <v>8</v>
      </c>
      <c r="DK35" s="4" t="s">
        <v>1256</v>
      </c>
      <c r="DL35" s="4" t="s">
        <v>1259</v>
      </c>
      <c r="DU35" t="s">
        <v>2738</v>
      </c>
      <c r="DV35" t="s">
        <v>2739</v>
      </c>
      <c r="DX35" t="s">
        <v>2736</v>
      </c>
    </row>
    <row r="36" spans="3:156" x14ac:dyDescent="0.15">
      <c r="C36" t="s">
        <v>21</v>
      </c>
      <c r="D36" t="b">
        <f>INDEX(D23:D29,$C$6)</f>
        <v>1</v>
      </c>
      <c r="E36" s="5">
        <f t="shared" ref="E36:BC36" si="29">INDEX(E23:E29,$C$6)</f>
        <v>4.8722550824769089</v>
      </c>
      <c r="F36" s="5">
        <f t="shared" si="29"/>
        <v>18.725001842642108</v>
      </c>
      <c r="G36" s="5" t="b">
        <f t="shared" si="29"/>
        <v>1</v>
      </c>
      <c r="H36" s="5">
        <f t="shared" si="29"/>
        <v>4.6737857613449663</v>
      </c>
      <c r="I36" s="5">
        <f t="shared" si="29"/>
        <v>18.17041705048598</v>
      </c>
      <c r="J36" s="5">
        <f t="shared" si="29"/>
        <v>4.4000000000000004</v>
      </c>
      <c r="K36" s="5">
        <f t="shared" si="29"/>
        <v>41.295418893128087</v>
      </c>
      <c r="L36" s="5">
        <f t="shared" si="29"/>
        <v>1.189308064122089</v>
      </c>
      <c r="M36" s="5">
        <f t="shared" si="29"/>
        <v>62.999999999999993</v>
      </c>
      <c r="N36" s="5">
        <f t="shared" si="29"/>
        <v>1.1864630512155652</v>
      </c>
      <c r="O36" s="5">
        <f t="shared" si="29"/>
        <v>0.79500000000000004</v>
      </c>
      <c r="P36" s="80">
        <f t="shared" si="29"/>
        <v>83.081900793182115</v>
      </c>
      <c r="Q36" s="80">
        <f t="shared" si="29"/>
        <v>66.081900793182115</v>
      </c>
      <c r="R36" s="80">
        <f t="shared" si="29"/>
        <v>62.081900793182115</v>
      </c>
      <c r="S36" s="80">
        <f t="shared" si="29"/>
        <v>59.081900793182115</v>
      </c>
      <c r="T36" s="80">
        <f t="shared" si="29"/>
        <v>53.081900793182115</v>
      </c>
      <c r="U36" s="80">
        <f t="shared" si="29"/>
        <v>51.081900793182115</v>
      </c>
      <c r="V36" s="80">
        <f t="shared" si="29"/>
        <v>46.081900793182115</v>
      </c>
      <c r="W36" s="80">
        <f t="shared" si="29"/>
        <v>38.081900793182115</v>
      </c>
      <c r="X36" s="80">
        <f t="shared" si="29"/>
        <v>83.226010156859843</v>
      </c>
      <c r="Y36" s="80">
        <f t="shared" si="29"/>
        <v>62.081900793182115</v>
      </c>
      <c r="Z36" s="80">
        <f t="shared" si="29"/>
        <v>74.350319413350149</v>
      </c>
      <c r="AA36" s="80">
        <f t="shared" si="29"/>
        <v>57.350319413350157</v>
      </c>
      <c r="AB36" s="80">
        <f t="shared" si="29"/>
        <v>54.350319413350157</v>
      </c>
      <c r="AC36" s="80">
        <f t="shared" si="29"/>
        <v>45.350319413350157</v>
      </c>
      <c r="AD36" s="80">
        <f t="shared" si="29"/>
        <v>35.350319413350157</v>
      </c>
      <c r="AE36" s="80">
        <f t="shared" si="29"/>
        <v>29.350319413350157</v>
      </c>
      <c r="AF36" s="80">
        <f t="shared" si="29"/>
        <v>21.350319413350157</v>
      </c>
      <c r="AG36" s="80">
        <f t="shared" si="29"/>
        <v>18.350319413350157</v>
      </c>
      <c r="AH36" s="80">
        <f t="shared" si="29"/>
        <v>74.484492099851025</v>
      </c>
      <c r="AI36" s="80">
        <f t="shared" si="29"/>
        <v>51.350319413350157</v>
      </c>
      <c r="AJ36" s="80">
        <f t="shared" si="29"/>
        <v>74.652204430997017</v>
      </c>
      <c r="AK36" s="80">
        <f t="shared" si="29"/>
        <v>55.65220443099701</v>
      </c>
      <c r="AL36" s="80">
        <f t="shared" si="29"/>
        <v>50.65220443099701</v>
      </c>
      <c r="AM36" s="80">
        <f t="shared" si="29"/>
        <v>47.65220443099701</v>
      </c>
      <c r="AN36" s="80">
        <f t="shared" si="29"/>
        <v>41.65220443099701</v>
      </c>
      <c r="AO36" s="80">
        <f t="shared" si="29"/>
        <v>34.65220443099701</v>
      </c>
      <c r="AP36" s="80">
        <f t="shared" si="29"/>
        <v>25.65220443099701</v>
      </c>
      <c r="AQ36" s="80">
        <f t="shared" si="29"/>
        <v>19.65220443099701</v>
      </c>
      <c r="AR36" s="80">
        <f t="shared" si="29"/>
        <v>74.734724125118092</v>
      </c>
      <c r="AS36" s="80">
        <f t="shared" si="29"/>
        <v>51.65220443099701</v>
      </c>
      <c r="AT36" s="80">
        <f t="shared" si="29"/>
        <v>81.797611511157953</v>
      </c>
      <c r="AU36" s="80">
        <f t="shared" si="29"/>
        <v>65.797611511157953</v>
      </c>
      <c r="AV36" s="80">
        <f t="shared" si="29"/>
        <v>63.797611511157953</v>
      </c>
      <c r="AW36" s="80">
        <f t="shared" si="29"/>
        <v>56.797611511157953</v>
      </c>
      <c r="AX36" s="80">
        <f t="shared" si="29"/>
        <v>53.797611511157953</v>
      </c>
      <c r="AY36" s="80">
        <f t="shared" si="29"/>
        <v>51.797611511157953</v>
      </c>
      <c r="AZ36" s="80">
        <f t="shared" si="29"/>
        <v>46.797611511157953</v>
      </c>
      <c r="BA36" s="80">
        <f t="shared" si="29"/>
        <v>42.797611511157953</v>
      </c>
      <c r="BB36" s="80">
        <f t="shared" si="29"/>
        <v>81.997729875925586</v>
      </c>
      <c r="BC36" s="80">
        <f t="shared" si="29"/>
        <v>61.797611511157953</v>
      </c>
      <c r="BD36" s="459" cm="1">
        <f t="array" ref="BD36">IF($BD$4,INDEX(BC13:BC19,$C$6),INDEX(BD23:BD29,$C$6))</f>
        <v>50.344332156454733</v>
      </c>
      <c r="BE36" s="459" cm="1">
        <f t="array" ref="BE36">IF($BD$4,INDEX(BD13:BD19,$C$6),INDEX(BE23:BE29,$C$6))</f>
        <v>46.344332156454733</v>
      </c>
      <c r="BF36" s="459" cm="1">
        <f t="array" ref="BF36">IF($BD$4,INDEX(BE13:BE19,$C$6),INDEX(BF23:BF29,$C$6))</f>
        <v>41.344332156454733</v>
      </c>
      <c r="BG36" s="459" cm="1">
        <f t="array" ref="BG36">IF($BD$4,INDEX(BF13:BF19,$C$6),INDEX(BG23:BG29,$C$6))</f>
        <v>32.344332156454733</v>
      </c>
      <c r="BH36" s="459" cm="1">
        <f t="array" ref="BH36">IF($BD$4,INDEX(BG13:BG19,$C$6),INDEX(BH23:BH29,$C$6))</f>
        <v>24.344332156454733</v>
      </c>
      <c r="BI36" s="459" cm="1">
        <f t="array" ref="BI36">IF($BD$4,INDEX(BH13:BH19,$C$6),INDEX(BI23:BI29,$C$6))</f>
        <v>18.344332156454733</v>
      </c>
      <c r="BJ36" s="459" cm="1">
        <f t="array" ref="BJ36">IF($BD$4,INDEX(BI13:BI19,$C$6),INDEX(BJ23:BJ29,$C$6))</f>
        <v>11.344332156454733</v>
      </c>
      <c r="BK36" s="459" cm="1">
        <f t="array" ref="BK36">IF($BD$4,INDEX(BJ13:BJ19,$C$6),INDEX(BK23:BK29,$C$6))</f>
        <v>10.344332156454733</v>
      </c>
      <c r="BL36" s="459" cm="1">
        <f t="array" ref="BL36">IF($BD$4,INDEX(BK13:BK19,$C$6),INDEX(BL23:BL29,$C$6))</f>
        <v>52.228603214066268</v>
      </c>
      <c r="BM36" s="459" cm="1">
        <f t="array" ref="BM36">IF($BD$4,INDEX(BL13:BL19,$C$6),INDEX(BM23:BM29,$C$6))</f>
        <v>36.344332156454733</v>
      </c>
      <c r="BN36" s="459" cm="1">
        <f t="array" ref="BN36">IF($BD$4,INDEX(BM13:BM19,$C$6),INDEX(BN23:BN29,$C$6))</f>
        <v>32.364932069734358</v>
      </c>
      <c r="BO36" s="869" cm="1">
        <f t="array" ref="BO36">IF($BD$4,INDEX(BN13:BN19,$C$6),INDEX(BO23:BO29,$C$6))</f>
        <v>38.385531983013983</v>
      </c>
      <c r="BQ36" s="5">
        <f>'SEC-laskenta_ENT'!M5</f>
        <v>-40.343640939222666</v>
      </c>
      <c r="BR36" s="5" t="str">
        <f>'SEC-laskenta_ENT'!T5</f>
        <v>A</v>
      </c>
      <c r="BT36" s="80" cm="1">
        <f t="array" ref="BT36">INDEX(BT23:BT29,$C$6)</f>
        <v>70</v>
      </c>
      <c r="BU36" s="80" cm="1">
        <f t="array" ref="BU36">INDEX(BU23:BU29,$C$6)</f>
        <v>65</v>
      </c>
      <c r="BV36" s="80" cm="1">
        <f t="array" ref="BV36">INDEX(BV23:BV29,$C$6)</f>
        <v>61</v>
      </c>
      <c r="BW36" s="80" cm="1">
        <f t="array" ref="BW36">INDEX(BW23:BW29,$C$6)</f>
        <v>54</v>
      </c>
      <c r="BX36" s="80" cm="1">
        <f t="array" ref="BX36">INDEX(BX23:BX29,$C$6)</f>
        <v>51</v>
      </c>
      <c r="BY36" s="80" cm="1">
        <f t="array" ref="BY36">INDEX(BY23:BY29,$C$6)</f>
        <v>42</v>
      </c>
      <c r="BZ36" s="80" cm="1">
        <f t="array" ref="BZ36">INDEX(BZ23:BZ29,$C$6)</f>
        <v>31</v>
      </c>
      <c r="CA36" s="80" cm="1">
        <f t="array" ref="CA36">INDEX(CA23:CA29,$C$6)</f>
        <v>23</v>
      </c>
      <c r="CB36" s="80" cm="1">
        <f t="array" ref="CB36">INDEX(CB23:CB29,$C$6)</f>
        <v>71.707189991030333</v>
      </c>
      <c r="CC36" s="80" cm="1">
        <f t="array" ref="CC36">INDEX(CC23:CC29,$C$6)</f>
        <v>57.105085593892845</v>
      </c>
      <c r="CI36" s="32" t="str" cm="1">
        <f t="array" ref="CI36">INDEX(CI22:CI28,$C$6)</f>
        <v>-</v>
      </c>
      <c r="CJ36" s="32" t="str" cm="1">
        <f t="array" ref="CJ36">INDEX(CJ22:CJ28,$C$6)</f>
        <v>-</v>
      </c>
      <c r="CL36" s="376" t="str" cm="1">
        <f t="array" ref="CL36">INDEX(CL22:CL28,$C$6)</f>
        <v>Airfi-Model 60ENT Electric</v>
      </c>
      <c r="CM36" s="376" t="str" cm="1">
        <f t="array" ref="CM36">INDEX(CM22:CM28,$C$6)</f>
        <v>Electric plug 230 V, 50 Hz, 10 A, max 1165 W</v>
      </c>
      <c r="CR36" s="110">
        <f>CR19</f>
        <v>150</v>
      </c>
      <c r="CS36" s="110">
        <f>CS19</f>
        <v>150</v>
      </c>
      <c r="CT36" s="110">
        <f>CR17</f>
        <v>107.99999999999999</v>
      </c>
      <c r="CU36" s="110">
        <f>CS17</f>
        <v>129.59999999999997</v>
      </c>
      <c r="CV36" s="615" cm="1">
        <f t="array" ref="CV36">INDEX(CV22:CV28,$C$6)</f>
        <v>0.91663366979800953</v>
      </c>
      <c r="CW36" s="615" cm="1">
        <f t="array" ref="CW36">INDEX(CW22:CW28,$C$6)</f>
        <v>0.94854775546665349</v>
      </c>
      <c r="CX36" s="615" t="b" cm="1">
        <f t="array" ref="CX36">IF($DC$36,INDEX(CX22:CX28,$C$6),FALSE)</f>
        <v>1</v>
      </c>
      <c r="CY36" s="615" t="b" cm="1">
        <f t="array" ref="CY36">IF(DC36,INDEX(CY22:CY28,$C$6),FALSE)</f>
        <v>1</v>
      </c>
      <c r="CZ36" s="620" cm="1">
        <f t="array" ref="CZ36">INDEX(CZ22:CZ28,$C$6)</f>
        <v>5.6500848303345137</v>
      </c>
      <c r="DA36" s="620" cm="1">
        <f t="array" ref="DA36">INDEX(DA22:DA28,$C$6)</f>
        <v>5.4415065262774158</v>
      </c>
      <c r="DC36" t="b">
        <f>IF(CR11&gt;=0,TRUE,FALSE)</f>
        <v>1</v>
      </c>
      <c r="DG36" t="s">
        <v>21</v>
      </c>
      <c r="DI36" t="str">
        <f>INDEX(DI23:DI29,$C$6)</f>
        <v>Model 60ENT</v>
      </c>
      <c r="DK36">
        <f>INDEX(DK23:DK29,$C$6)</f>
        <v>0.84395127271364345</v>
      </c>
      <c r="DL36">
        <f>INDEX(DL23:DL29,$C$6)</f>
        <v>0.84395127271364345</v>
      </c>
      <c r="DN36">
        <f>INDEX(DN23:DN29,$C$6)</f>
        <v>920</v>
      </c>
      <c r="DQ36" t="s">
        <v>21</v>
      </c>
      <c r="DS36" t="str">
        <f>INDEX(DS23:DS29,$C$6)</f>
        <v>Model 60ENT</v>
      </c>
      <c r="DU36" s="615">
        <f>INDEX(DU23:DU29,$C$6)</f>
        <v>0.40116916101166716</v>
      </c>
      <c r="DV36" s="615">
        <f>INDEX(DV23:DV29,$C$6)</f>
        <v>0.44554640794152917</v>
      </c>
      <c r="DW36" s="4"/>
      <c r="DX36" s="615">
        <f>INDEX(DX23:DX29,$C$6)</f>
        <v>0.81405096279380917</v>
      </c>
    </row>
    <row r="37" spans="3:156" x14ac:dyDescent="0.15">
      <c r="E37" s="5"/>
      <c r="F37" s="5"/>
      <c r="H37" s="5"/>
      <c r="I37" s="5"/>
      <c r="K37" s="5"/>
      <c r="L37" s="5"/>
      <c r="M37" s="5"/>
      <c r="N37" s="5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CI37" s="314"/>
      <c r="CJ37" s="314"/>
      <c r="CL37" s="376"/>
      <c r="CM37" s="376"/>
      <c r="CR37" s="3">
        <f>CR20</f>
        <v>41.666666666666664</v>
      </c>
      <c r="CS37" s="3">
        <f>CS20</f>
        <v>41.666666666666664</v>
      </c>
      <c r="DU37" s="1537"/>
      <c r="DV37" s="1537"/>
      <c r="DX37" s="1537"/>
    </row>
    <row r="38" spans="3:156" x14ac:dyDescent="0.15">
      <c r="C38" t="s">
        <v>120</v>
      </c>
      <c r="D38" t="str" cm="1">
        <f t="array" ref="D38">IF(D36,"",INDEX(Kirjasto_ENT!D4:K125,23,Kirjasto_ENT!B4))</f>
        <v/>
      </c>
      <c r="E38" s="5">
        <f>IF($D$36,E36,"-")</f>
        <v>4.8722550824769089</v>
      </c>
      <c r="F38" s="5">
        <f>IF($D$36,F36,"-")</f>
        <v>18.725001842642108</v>
      </c>
      <c r="G38" t="str" cm="1">
        <f t="array" ref="G38">IF(G36,"",INDEX(Kirjasto_ENT!D4:K125,23,Kirjasto_ENT!B4))</f>
        <v/>
      </c>
      <c r="H38" s="5">
        <f>IF($G$36,H36,"-")</f>
        <v>4.6737857613449663</v>
      </c>
      <c r="I38" s="5">
        <f>IF($G$36,I36,"-")</f>
        <v>18.17041705048598</v>
      </c>
      <c r="K38" s="5">
        <f>IF(AND($D$36,$G$36),K36,"-")</f>
        <v>41.295418893128087</v>
      </c>
      <c r="L38" s="5">
        <f>IF(AND(D36,G36),L36,"-")</f>
        <v>1.189308064122089</v>
      </c>
      <c r="M38" s="5">
        <f>M36</f>
        <v>62.999999999999993</v>
      </c>
      <c r="N38" s="5">
        <f>N36</f>
        <v>1.1864630512155652</v>
      </c>
      <c r="O38" s="32">
        <f>O36</f>
        <v>0.79500000000000004</v>
      </c>
      <c r="P38" s="80">
        <f>IF($D$36,P36,"-")</f>
        <v>83.081900793182115</v>
      </c>
      <c r="Q38" s="80">
        <f t="shared" ref="Q38:Y38" si="30">IF($D$36,Q36,"-")</f>
        <v>66.081900793182115</v>
      </c>
      <c r="R38" s="80">
        <f t="shared" si="30"/>
        <v>62.081900793182115</v>
      </c>
      <c r="S38" s="80">
        <f t="shared" si="30"/>
        <v>59.081900793182115</v>
      </c>
      <c r="T38" s="80">
        <f t="shared" si="30"/>
        <v>53.081900793182115</v>
      </c>
      <c r="U38" s="80">
        <f t="shared" si="30"/>
        <v>51.081900793182115</v>
      </c>
      <c r="V38" s="80">
        <f t="shared" si="30"/>
        <v>46.081900793182115</v>
      </c>
      <c r="W38" s="80">
        <f t="shared" si="30"/>
        <v>38.081900793182115</v>
      </c>
      <c r="X38" s="80">
        <f t="shared" si="30"/>
        <v>83.226010156859843</v>
      </c>
      <c r="Y38" s="80">
        <f t="shared" si="30"/>
        <v>62.081900793182115</v>
      </c>
      <c r="Z38" s="80">
        <f>IF($D$36,Z36,"-")</f>
        <v>74.350319413350149</v>
      </c>
      <c r="AA38" s="80">
        <f t="shared" ref="AA38:AI38" si="31">IF($D$36,AA36,"-")</f>
        <v>57.350319413350157</v>
      </c>
      <c r="AB38" s="80">
        <f t="shared" si="31"/>
        <v>54.350319413350157</v>
      </c>
      <c r="AC38" s="80">
        <f t="shared" si="31"/>
        <v>45.350319413350157</v>
      </c>
      <c r="AD38" s="80">
        <f t="shared" si="31"/>
        <v>35.350319413350157</v>
      </c>
      <c r="AE38" s="80">
        <f t="shared" si="31"/>
        <v>29.350319413350157</v>
      </c>
      <c r="AF38" s="80">
        <f t="shared" si="31"/>
        <v>21.350319413350157</v>
      </c>
      <c r="AG38" s="80">
        <f t="shared" si="31"/>
        <v>18.350319413350157</v>
      </c>
      <c r="AH38" s="80">
        <f t="shared" si="31"/>
        <v>74.484492099851025</v>
      </c>
      <c r="AI38" s="80">
        <f t="shared" si="31"/>
        <v>51.350319413350157</v>
      </c>
      <c r="AJ38" s="80">
        <f>IF($G$36,AJ36,"-")</f>
        <v>74.652204430997017</v>
      </c>
      <c r="AK38" s="80">
        <f t="shared" ref="AK38:BC38" si="32">IF($G$36,AK36,"-")</f>
        <v>55.65220443099701</v>
      </c>
      <c r="AL38" s="80">
        <f t="shared" si="32"/>
        <v>50.65220443099701</v>
      </c>
      <c r="AM38" s="80">
        <f t="shared" si="32"/>
        <v>47.65220443099701</v>
      </c>
      <c r="AN38" s="80">
        <f t="shared" si="32"/>
        <v>41.65220443099701</v>
      </c>
      <c r="AO38" s="80">
        <f t="shared" si="32"/>
        <v>34.65220443099701</v>
      </c>
      <c r="AP38" s="80">
        <f t="shared" si="32"/>
        <v>25.65220443099701</v>
      </c>
      <c r="AQ38" s="80">
        <f t="shared" si="32"/>
        <v>19.65220443099701</v>
      </c>
      <c r="AR38" s="80">
        <f t="shared" si="32"/>
        <v>74.734724125118092</v>
      </c>
      <c r="AS38" s="80">
        <f t="shared" si="32"/>
        <v>51.65220443099701</v>
      </c>
      <c r="AT38" s="80">
        <f t="shared" si="32"/>
        <v>81.797611511157953</v>
      </c>
      <c r="AU38" s="80">
        <f t="shared" si="32"/>
        <v>65.797611511157953</v>
      </c>
      <c r="AV38" s="80">
        <f t="shared" si="32"/>
        <v>63.797611511157953</v>
      </c>
      <c r="AW38" s="80">
        <f t="shared" si="32"/>
        <v>56.797611511157953</v>
      </c>
      <c r="AX38" s="80">
        <f t="shared" si="32"/>
        <v>53.797611511157953</v>
      </c>
      <c r="AY38" s="80">
        <f t="shared" si="32"/>
        <v>51.797611511157953</v>
      </c>
      <c r="AZ38" s="80">
        <f t="shared" si="32"/>
        <v>46.797611511157953</v>
      </c>
      <c r="BA38" s="80">
        <f t="shared" si="32"/>
        <v>42.797611511157953</v>
      </c>
      <c r="BB38" s="80">
        <f t="shared" si="32"/>
        <v>81.997729875925586</v>
      </c>
      <c r="BC38" s="80">
        <f t="shared" si="32"/>
        <v>61.797611511157953</v>
      </c>
      <c r="BD38" s="80">
        <f>IF(AND($D$36,$G$36),BD36,"-")</f>
        <v>50.344332156454733</v>
      </c>
      <c r="BE38" s="80">
        <f t="shared" ref="BE38:BK38" si="33">IF(AND($D$36,$G$36),BE36,"-")</f>
        <v>46.344332156454733</v>
      </c>
      <c r="BF38" s="80">
        <f t="shared" si="33"/>
        <v>41.344332156454733</v>
      </c>
      <c r="BG38" s="80">
        <f t="shared" si="33"/>
        <v>32.344332156454733</v>
      </c>
      <c r="BH38" s="80">
        <f t="shared" si="33"/>
        <v>24.344332156454733</v>
      </c>
      <c r="BI38" s="80">
        <f t="shared" si="33"/>
        <v>18.344332156454733</v>
      </c>
      <c r="BJ38" s="80">
        <f t="shared" si="33"/>
        <v>11.344332156454733</v>
      </c>
      <c r="BK38" s="80">
        <f t="shared" si="33"/>
        <v>10.344332156454733</v>
      </c>
      <c r="BL38" s="80">
        <f>IF(AND($D$36,$G$36),BL36,"-")</f>
        <v>52.228603214066268</v>
      </c>
      <c r="BM38" s="108">
        <f t="shared" ref="BM38:BO38" si="34">IF(AND($D$36,$G$36),BM36,"-")</f>
        <v>36.344332156454733</v>
      </c>
      <c r="BN38" s="80">
        <f t="shared" si="34"/>
        <v>32.364932069734358</v>
      </c>
      <c r="BO38" s="80">
        <f t="shared" si="34"/>
        <v>38.385531983013983</v>
      </c>
      <c r="BQ38" s="5">
        <f>BQ36</f>
        <v>-40.343640939222666</v>
      </c>
      <c r="BR38" s="5" t="str">
        <f>BR36</f>
        <v>A</v>
      </c>
      <c r="BT38" s="4" t="str">
        <f t="shared" ref="BT38:CC38" si="35">IF(AND($BT$15,$G$36),BT36,"-")</f>
        <v>-</v>
      </c>
      <c r="BU38" s="4" t="str">
        <f t="shared" si="35"/>
        <v>-</v>
      </c>
      <c r="BV38" s="4" t="str">
        <f t="shared" si="35"/>
        <v>-</v>
      </c>
      <c r="BW38" s="4" t="str">
        <f t="shared" si="35"/>
        <v>-</v>
      </c>
      <c r="BX38" s="4" t="str">
        <f t="shared" si="35"/>
        <v>-</v>
      </c>
      <c r="BY38" s="4" t="str">
        <f t="shared" si="35"/>
        <v>-</v>
      </c>
      <c r="BZ38" s="4" t="str">
        <f t="shared" si="35"/>
        <v>-</v>
      </c>
      <c r="CA38" s="4" t="str">
        <f t="shared" si="35"/>
        <v>-</v>
      </c>
      <c r="CB38" s="80" t="str">
        <f t="shared" si="35"/>
        <v>-</v>
      </c>
      <c r="CC38" s="80" t="str">
        <f t="shared" si="35"/>
        <v>-</v>
      </c>
      <c r="CI38" s="32" t="str">
        <f t="shared" ref="CI38:CJ38" si="36">IF(AND($D$36,$G$36),CI36,"-")</f>
        <v>-</v>
      </c>
      <c r="CJ38" s="32" t="str">
        <f t="shared" si="36"/>
        <v>-</v>
      </c>
      <c r="CL38" s="376" t="str">
        <f>CL36</f>
        <v>Airfi-Model 60ENT Electric</v>
      </c>
      <c r="CM38" s="376" t="str" cm="1">
        <f t="array" ref="CM38">CONCATENATE(INDEX(Kirjasto_ENT!D4:K129,124,Kirjasto_ENT!B4),CM36)</f>
        <v>Power supply: Electric plug 230 V, 50 Hz, 10 A, max 1165 W</v>
      </c>
      <c r="CR38" s="620">
        <f>IF(AND($CX$36,$D$36),CR36,"-")</f>
        <v>150</v>
      </c>
      <c r="CS38" s="620">
        <f>IF(AND($CY$36,$G$36),CS36,"-")</f>
        <v>150</v>
      </c>
      <c r="CT38" s="620">
        <f>IF(AND($CX$36,$D$36),CT36,"-")</f>
        <v>107.99999999999999</v>
      </c>
      <c r="CU38" s="620">
        <f>IF(AND($CY$36,$G$36),CU36,"-")</f>
        <v>129.59999999999997</v>
      </c>
      <c r="CV38" s="615">
        <f>IF(AND($D$36),CV36,"-")</f>
        <v>0.91663366979800953</v>
      </c>
      <c r="CW38" s="615">
        <f>IF(AND($G$36),CW36,"-")</f>
        <v>0.94854775546665349</v>
      </c>
      <c r="CX38" t="str" cm="1">
        <f t="array" ref="CX38">IF(AND(CX36,CY36),"",INDEX(Kirjasto_ENT!D4:K150,139,Kirjasto_ENT!B4))</f>
        <v/>
      </c>
      <c r="CZ38" s="620">
        <f>IF(AND($CX$36,$D$36),CZ36,"-")</f>
        <v>5.6500848303345137</v>
      </c>
      <c r="DA38" s="620">
        <f>IF(AND($CY$36,$G$36),DA36,"-")</f>
        <v>5.4415065262774158</v>
      </c>
      <c r="DG38" t="s">
        <v>120</v>
      </c>
      <c r="DK38">
        <f>DK36</f>
        <v>0.84395127271364345</v>
      </c>
      <c r="DL38">
        <f>DL36</f>
        <v>0.84395127271364345</v>
      </c>
      <c r="DN38">
        <f>DN36</f>
        <v>920</v>
      </c>
      <c r="DQ38" t="s">
        <v>120</v>
      </c>
      <c r="DU38" s="615">
        <f>IF(AND($D$36,$G$36),DU36,"-")</f>
        <v>0.40116916101166716</v>
      </c>
      <c r="DV38" s="615">
        <f>IF(AND($D$36,$G$36),DV36,"-")</f>
        <v>0.44554640794152917</v>
      </c>
      <c r="DX38" s="615">
        <f>IF(AND($D$36,$G$36),DX36,"-")</f>
        <v>0.81405096279380917</v>
      </c>
    </row>
    <row r="39" spans="3:156" x14ac:dyDescent="0.15">
      <c r="C39" t="s">
        <v>119</v>
      </c>
      <c r="CR39" s="620">
        <f>IF(AND($CX$36,D36),CR37,"-")</f>
        <v>41.666666666666664</v>
      </c>
      <c r="CS39" s="620">
        <f>IF(AND($CY$36,$G$36),CS37,"-")</f>
        <v>41.666666666666664</v>
      </c>
    </row>
    <row r="40" spans="3:156" x14ac:dyDescent="0.15">
      <c r="D40" s="2" t="s">
        <v>513</v>
      </c>
      <c r="G40">
        <v>1</v>
      </c>
      <c r="H40">
        <v>2</v>
      </c>
      <c r="I40">
        <v>3</v>
      </c>
      <c r="J40">
        <v>4</v>
      </c>
      <c r="K40">
        <v>5</v>
      </c>
      <c r="L40">
        <v>6</v>
      </c>
      <c r="M40">
        <v>7</v>
      </c>
    </row>
    <row r="41" spans="3:156" x14ac:dyDescent="0.15">
      <c r="C41" t="s">
        <v>567</v>
      </c>
      <c r="D41" t="b">
        <v>0</v>
      </c>
      <c r="J41" t="s">
        <v>561</v>
      </c>
      <c r="K41" t="s">
        <v>560</v>
      </c>
      <c r="O41" t="s">
        <v>120</v>
      </c>
      <c r="T41" s="2" t="s">
        <v>173</v>
      </c>
    </row>
    <row r="42" spans="3:156" x14ac:dyDescent="0.15">
      <c r="D42" s="10" t="s">
        <v>491</v>
      </c>
      <c r="E42" s="22"/>
      <c r="F42" s="22"/>
      <c r="G42" s="449" t="s">
        <v>393</v>
      </c>
      <c r="H42" s="449" t="s">
        <v>393</v>
      </c>
      <c r="I42" s="449" t="s">
        <v>393</v>
      </c>
      <c r="J42" s="21">
        <f>'Laskenta vesipatteri 250_ENT'!$I$16</f>
        <v>50</v>
      </c>
      <c r="K42" s="21">
        <f>'Laskenta vesipatteri 350_ENT'!$I$16</f>
        <v>50</v>
      </c>
      <c r="L42" s="1515" t="s">
        <v>393</v>
      </c>
      <c r="M42" s="1515" t="s">
        <v>393</v>
      </c>
      <c r="O42" t="str" cm="1">
        <f t="array" ref="O42">INDEX(G42:M42,1,$C$6)</f>
        <v>-</v>
      </c>
      <c r="P42" t="str">
        <f t="shared" ref="P42:P47" si="37">IF($O$48,"-",O42)</f>
        <v>-</v>
      </c>
      <c r="R42" t="s">
        <v>120</v>
      </c>
      <c r="T42" s="39">
        <f>IF(AND(D36,G36),L36/3.6,"-")</f>
        <v>0.33036335114502474</v>
      </c>
      <c r="X42" s="2" t="s">
        <v>2750</v>
      </c>
    </row>
    <row r="43" spans="3:156" x14ac:dyDescent="0.15">
      <c r="D43" s="12" t="s">
        <v>492</v>
      </c>
      <c r="G43" s="39" t="s">
        <v>393</v>
      </c>
      <c r="H43" s="39" t="s">
        <v>393</v>
      </c>
      <c r="I43" s="39" t="s">
        <v>393</v>
      </c>
      <c r="J43" s="24">
        <f>'Laskenta vesipatteri 250_ENT'!$I$17</f>
        <v>0.4248318810418823</v>
      </c>
      <c r="K43" s="24">
        <f>'Laskenta vesipatteri 350_ENT'!$I$17</f>
        <v>-12.021127732137401</v>
      </c>
      <c r="L43" s="1516" t="s">
        <v>393</v>
      </c>
      <c r="M43" s="1516" t="s">
        <v>393</v>
      </c>
      <c r="O43" t="str" cm="1">
        <f t="array" ref="O43">INDEX(G43:M43,1,$C$6)</f>
        <v>-</v>
      </c>
      <c r="P43" t="str">
        <f t="shared" si="37"/>
        <v>-</v>
      </c>
      <c r="X43" s="870" t="s">
        <v>2751</v>
      </c>
    </row>
    <row r="44" spans="3:156" x14ac:dyDescent="0.15">
      <c r="D44" s="12" t="s">
        <v>498</v>
      </c>
      <c r="G44" s="39" t="s">
        <v>393</v>
      </c>
      <c r="H44" s="39" t="s">
        <v>393</v>
      </c>
      <c r="I44" s="39" t="s">
        <v>393</v>
      </c>
      <c r="J44" s="24">
        <f>'Laskenta vesipatteri 250_ENT'!$I$18</f>
        <v>3.8148629426199513E-3</v>
      </c>
      <c r="K44" s="24">
        <f>'Laskenta vesipatteri 350_ENT'!$I$18</f>
        <v>3.0493233297525166E-3</v>
      </c>
      <c r="L44" s="1516" t="s">
        <v>393</v>
      </c>
      <c r="M44" s="1516" t="s">
        <v>393</v>
      </c>
      <c r="O44" t="str" cm="1">
        <f t="array" ref="O44">INDEX(G44:M44,1,$C$6)</f>
        <v>-</v>
      </c>
      <c r="P44" t="str">
        <f t="shared" si="37"/>
        <v>-</v>
      </c>
      <c r="X44" s="1538" t="s">
        <v>2728</v>
      </c>
    </row>
    <row r="45" spans="3:156" ht="12.75" customHeight="1" x14ac:dyDescent="0.15">
      <c r="D45" s="12" t="s">
        <v>553</v>
      </c>
      <c r="G45" s="39" t="s">
        <v>393</v>
      </c>
      <c r="H45" s="39" t="s">
        <v>393</v>
      </c>
      <c r="I45" s="39" t="s">
        <v>393</v>
      </c>
      <c r="J45" s="24">
        <f>'Laskenta vesipatteri 250_ENT'!$I$19</f>
        <v>3.7194846391837469E-2</v>
      </c>
      <c r="K45" s="24">
        <f>'Laskenta vesipatteri 350_ENT'!$I$19</f>
        <v>2.0691823824440202E-2</v>
      </c>
      <c r="L45" s="1516" t="s">
        <v>393</v>
      </c>
      <c r="M45" s="1516" t="s">
        <v>393</v>
      </c>
      <c r="O45" t="str" cm="1">
        <f t="array" ref="O45">INDEX(G45:M45,1,$C$6)</f>
        <v>-</v>
      </c>
      <c r="P45" t="str">
        <f t="shared" si="37"/>
        <v>-</v>
      </c>
      <c r="X45" s="1538" t="s">
        <v>2729</v>
      </c>
    </row>
    <row r="46" spans="3:156" ht="12.75" customHeight="1" x14ac:dyDescent="0.15">
      <c r="D46" s="12" t="s">
        <v>554</v>
      </c>
      <c r="G46" s="39" t="s">
        <v>393</v>
      </c>
      <c r="H46" s="39" t="s">
        <v>393</v>
      </c>
      <c r="I46" s="39" t="s">
        <v>393</v>
      </c>
      <c r="J46" s="24">
        <f>'Laskenta vesipatteri 250_ENT'!$I$20</f>
        <v>1.8860920335183544E-2</v>
      </c>
      <c r="K46" s="24">
        <f>'Laskenta vesipatteri 350_ENT'!$I$20</f>
        <v>1.2050691109107378E-2</v>
      </c>
      <c r="L46" s="1516" t="s">
        <v>393</v>
      </c>
      <c r="M46" s="1516" t="s">
        <v>393</v>
      </c>
      <c r="O46" t="str" cm="1">
        <f t="array" ref="O46">INDEX(G46:M46,1,$C$6)</f>
        <v>-</v>
      </c>
      <c r="P46" t="str">
        <f t="shared" si="37"/>
        <v>-</v>
      </c>
      <c r="X46" s="1538" t="s">
        <v>2731</v>
      </c>
    </row>
    <row r="47" spans="3:156" x14ac:dyDescent="0.15">
      <c r="D47" s="14" t="s">
        <v>501</v>
      </c>
      <c r="E47" s="25"/>
      <c r="F47" s="25"/>
      <c r="G47" s="450" t="s">
        <v>393</v>
      </c>
      <c r="H47" s="450" t="s">
        <v>393</v>
      </c>
      <c r="I47" s="450" t="s">
        <v>393</v>
      </c>
      <c r="J47" s="26">
        <f>'Laskenta vesipatteri 250_ENT'!$I$21</f>
        <v>3.1086299880246204E-2</v>
      </c>
      <c r="K47" s="26">
        <f>'Laskenta vesipatteri 350_ENT'!$I$21</f>
        <v>2.4848121907996189E-2</v>
      </c>
      <c r="L47" s="1517" t="s">
        <v>393</v>
      </c>
      <c r="M47" s="1517" t="s">
        <v>393</v>
      </c>
      <c r="O47" t="str" cm="1">
        <f t="array" ref="O47">INDEX(G47:M47,1,$C$6)</f>
        <v>-</v>
      </c>
      <c r="P47" t="str">
        <f t="shared" si="37"/>
        <v>-</v>
      </c>
      <c r="X47" s="1538" t="s">
        <v>2732</v>
      </c>
    </row>
    <row r="48" spans="3:156" x14ac:dyDescent="0.15">
      <c r="F48" t="s">
        <v>537</v>
      </c>
      <c r="H48" s="39"/>
      <c r="J48" t="b">
        <f>'Laskenta vesipatteri 250_ENT'!$E$22</f>
        <v>1</v>
      </c>
      <c r="K48" t="b">
        <f>'Laskenta vesipatteri 350_ENT'!$E$22</f>
        <v>1</v>
      </c>
      <c r="O48" cm="1">
        <f t="array" ref="O48">INDEX(G48:M48,1,$C$6)</f>
        <v>0</v>
      </c>
      <c r="X48" s="1538" t="s">
        <v>2733</v>
      </c>
      <c r="EZ48" t="s">
        <v>180</v>
      </c>
    </row>
    <row r="49" spans="4:24" x14ac:dyDescent="0.15">
      <c r="D49" s="389" t="s">
        <v>491</v>
      </c>
      <c r="E49" s="22"/>
      <c r="F49" s="22"/>
      <c r="G49" s="449" t="s">
        <v>393</v>
      </c>
      <c r="H49" s="449" t="s">
        <v>393</v>
      </c>
      <c r="I49" s="449" t="s">
        <v>393</v>
      </c>
      <c r="J49" s="21">
        <f>'Laskenta vesipatteri 250_ENT'!$I$25</f>
        <v>20.424831881041882</v>
      </c>
      <c r="K49" s="21">
        <f>'Laskenta vesipatteri 350_ENT'!$I$25</f>
        <v>7.9788722678625987</v>
      </c>
      <c r="L49" s="1515" t="s">
        <v>393</v>
      </c>
      <c r="M49" s="1515" t="s">
        <v>393</v>
      </c>
      <c r="O49" t="str" cm="1">
        <f t="array" ref="O49">INDEX(G49:M49,1,$C$6)</f>
        <v>-</v>
      </c>
      <c r="P49" t="str">
        <f t="shared" ref="P49:P54" si="38">IF($O$55,"-",O49)</f>
        <v>-</v>
      </c>
      <c r="X49" s="1538" t="s">
        <v>2734</v>
      </c>
    </row>
    <row r="50" spans="4:24" x14ac:dyDescent="0.15">
      <c r="D50" s="390" t="s">
        <v>492</v>
      </c>
      <c r="G50" s="39" t="s">
        <v>393</v>
      </c>
      <c r="H50" s="39" t="s">
        <v>393</v>
      </c>
      <c r="I50" s="39" t="s">
        <v>393</v>
      </c>
      <c r="J50" s="24">
        <f>'Laskenta vesipatteri 250_ENT'!$I$26</f>
        <v>30</v>
      </c>
      <c r="K50" s="24">
        <f>'Laskenta vesipatteri 350_ENT'!$I$26</f>
        <v>30</v>
      </c>
      <c r="L50" s="1516" t="s">
        <v>393</v>
      </c>
      <c r="M50" s="1516" t="s">
        <v>393</v>
      </c>
      <c r="O50" t="str" cm="1">
        <f t="array" ref="O50">INDEX(G50:M50,1,$C$6)</f>
        <v>-</v>
      </c>
      <c r="P50" t="str">
        <f t="shared" si="38"/>
        <v>-</v>
      </c>
    </row>
    <row r="51" spans="4:24" x14ac:dyDescent="0.15">
      <c r="D51" s="390" t="s">
        <v>498</v>
      </c>
      <c r="G51" s="39" t="s">
        <v>393</v>
      </c>
      <c r="H51" s="39" t="s">
        <v>393</v>
      </c>
      <c r="I51" s="39" t="s">
        <v>393</v>
      </c>
      <c r="J51" s="24">
        <f>'Laskenta vesipatteri 250_ENT'!$I$27</f>
        <v>-1.9751347379135725E-2</v>
      </c>
      <c r="K51" s="24">
        <f>'Laskenta vesipatteri 350_ENT'!$I$27</f>
        <v>-8.5882282702154263E-3</v>
      </c>
      <c r="L51" s="1516" t="s">
        <v>393</v>
      </c>
      <c r="M51" s="1516" t="s">
        <v>393</v>
      </c>
      <c r="O51" t="str" cm="1">
        <f t="array" ref="O51">INDEX(G51:M51,1,$C$6)</f>
        <v>-</v>
      </c>
      <c r="P51" t="str">
        <f t="shared" si="38"/>
        <v>-</v>
      </c>
    </row>
    <row r="52" spans="4:24" x14ac:dyDescent="0.15">
      <c r="D52" s="390" t="s">
        <v>553</v>
      </c>
      <c r="G52" s="39" t="s">
        <v>393</v>
      </c>
      <c r="H52" s="39" t="s">
        <v>393</v>
      </c>
      <c r="I52" s="39" t="s">
        <v>393</v>
      </c>
      <c r="J52" s="24" t="e">
        <f>'Laskenta vesipatteri 250_ENT'!$I$28</f>
        <v>#NUM!</v>
      </c>
      <c r="K52" s="24" t="e">
        <f>'Laskenta vesipatteri 350_ENT'!$I$28</f>
        <v>#NUM!</v>
      </c>
      <c r="L52" s="1516" t="s">
        <v>393</v>
      </c>
      <c r="M52" s="1516" t="s">
        <v>393</v>
      </c>
      <c r="O52" t="str" cm="1">
        <f t="array" ref="O52">INDEX(G52:M52,1,$C$6)</f>
        <v>-</v>
      </c>
      <c r="P52" t="str">
        <f t="shared" si="38"/>
        <v>-</v>
      </c>
    </row>
    <row r="53" spans="4:24" x14ac:dyDescent="0.15">
      <c r="D53" s="390" t="s">
        <v>555</v>
      </c>
      <c r="G53" s="39" t="s">
        <v>393</v>
      </c>
      <c r="H53" s="39" t="s">
        <v>393</v>
      </c>
      <c r="I53" s="39" t="s">
        <v>393</v>
      </c>
      <c r="J53" s="24">
        <f>'Laskenta vesipatteri 250_ENT'!$I$29</f>
        <v>0.50558997738551414</v>
      </c>
      <c r="K53" s="24">
        <f>'Laskenta vesipatteri 350_ENT'!$I$29</f>
        <v>9.5589933608440369E-2</v>
      </c>
      <c r="L53" s="1516" t="s">
        <v>393</v>
      </c>
      <c r="M53" s="1516" t="s">
        <v>393</v>
      </c>
      <c r="O53" t="str" cm="1">
        <f t="array" ref="O53">INDEX(G53:M53,1,$C$6)</f>
        <v>-</v>
      </c>
      <c r="P53" t="str">
        <f t="shared" si="38"/>
        <v>-</v>
      </c>
    </row>
    <row r="54" spans="4:24" x14ac:dyDescent="0.15">
      <c r="D54" s="391" t="s">
        <v>501</v>
      </c>
      <c r="E54" s="25"/>
      <c r="F54" s="25"/>
      <c r="G54" s="450" t="s">
        <v>393</v>
      </c>
      <c r="H54" s="450" t="s">
        <v>393</v>
      </c>
      <c r="I54" s="450" t="s">
        <v>393</v>
      </c>
      <c r="J54" s="26">
        <f>'Laskenta vesipatteri 250_ENT'!$I$30</f>
        <v>-0.16094845788746764</v>
      </c>
      <c r="K54" s="26">
        <f>'Laskenta vesipatteri 350_ENT'!$I$30</f>
        <v>-6.998317985824476E-2</v>
      </c>
      <c r="L54" s="1517" t="s">
        <v>393</v>
      </c>
      <c r="M54" s="1517" t="s">
        <v>393</v>
      </c>
      <c r="O54" t="str" cm="1">
        <f t="array" ref="O54">INDEX(G54:M54,1,$C$6)</f>
        <v>-</v>
      </c>
      <c r="P54" t="str">
        <f t="shared" si="38"/>
        <v>-</v>
      </c>
    </row>
    <row r="55" spans="4:24" x14ac:dyDescent="0.15">
      <c r="F55" t="s">
        <v>537</v>
      </c>
      <c r="J55" t="b">
        <f>'Laskenta vesipatteri 250_ENT'!$E$31</f>
        <v>1</v>
      </c>
      <c r="K55" t="b">
        <f>'Laskenta vesipatteri 350_ENT'!$E$31</f>
        <v>1</v>
      </c>
      <c r="O55" t="b" cm="1">
        <f t="array" ref="O55">IF(D41,INDEX(G55:M55,1,$C$6),TRUE)</f>
        <v>1</v>
      </c>
    </row>
    <row r="56" spans="4:24" x14ac:dyDescent="0.15">
      <c r="D56" s="233" t="s">
        <v>486</v>
      </c>
    </row>
    <row r="57" spans="4:24" x14ac:dyDescent="0.15">
      <c r="D57">
        <f>'Laskenta vesipatteri 350_ENT'!$I$7</f>
        <v>791.66666666666663</v>
      </c>
    </row>
    <row r="58" spans="4:24" x14ac:dyDescent="0.15">
      <c r="D58" s="2" t="str">
        <f>IF(OR($C$6=4,$C$6=5),D57,"-")</f>
        <v>-</v>
      </c>
    </row>
    <row r="59" spans="4:24" x14ac:dyDescent="0.15">
      <c r="M59" s="2" t="s">
        <v>565</v>
      </c>
    </row>
    <row r="60" spans="4:24" x14ac:dyDescent="0.15">
      <c r="M60" s="10" t="str" cm="1">
        <f t="array" ref="M60">IF(O48,INDEX(Kirjasto_ENT!D4:K130,127,Kirjasto_ENT!B4),"")</f>
        <v/>
      </c>
      <c r="N60" s="22"/>
      <c r="O60" s="22"/>
      <c r="P60" s="21"/>
    </row>
    <row r="61" spans="4:24" x14ac:dyDescent="0.15">
      <c r="M61" s="14" t="str" cm="1">
        <f t="array" ref="M61">IF(O55,INDEX(Kirjasto_ENT!D4:K130,127,Kirjasto_ENT!B4),"")</f>
        <v>Value out of range. Check parameters.</v>
      </c>
      <c r="N61" s="25"/>
      <c r="O61" s="25"/>
      <c r="P61" s="26"/>
    </row>
    <row r="63" spans="4:24" x14ac:dyDescent="0.15">
      <c r="M63" s="10" t="str" cm="1">
        <f t="array" ref="M63">IF(OR($C$6=4,$C$6=5),IF('Laskenta tulopuoli 350_ENT'!AU14,"",INDEX(Kirjasto_ENT!D4:K129,126,Kirjasto_ENT!B4)),INDEX(Kirjasto_ENT!D4:K125,105,Kirjasto_ENT!B4))</f>
        <v>Not available for selected model</v>
      </c>
      <c r="N63" s="22"/>
      <c r="O63" s="22"/>
      <c r="P63" s="21"/>
    </row>
    <row r="64" spans="4:24" x14ac:dyDescent="0.15">
      <c r="M64" s="10" t="str">
        <f>IF(OR($C$6=4,$C$6=5),M60,"")</f>
        <v/>
      </c>
      <c r="N64" s="22"/>
      <c r="O64" s="22"/>
      <c r="P64" s="21"/>
    </row>
    <row r="65" spans="13:16" x14ac:dyDescent="0.15">
      <c r="M65" s="14" t="str">
        <f>IF(OR($C$6=4,$C$6=5),M61,"")</f>
        <v/>
      </c>
      <c r="N65" s="25"/>
      <c r="O65" s="25"/>
      <c r="P65" s="26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5393" r:id="rId4" name="Drop Down 1">
              <controlPr defaultSize="0" autoLine="0" autoPict="0">
                <anchor moveWithCells="1">
                  <from>
                    <xdr:col>4</xdr:col>
                    <xdr:colOff>152400</xdr:colOff>
                    <xdr:row>3</xdr:row>
                    <xdr:rowOff>25400</xdr:rowOff>
                  </from>
                  <to>
                    <xdr:col>6</xdr:col>
                    <xdr:colOff>368300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94" r:id="rId5" name="Drop Down 2">
              <controlPr defaultSize="0" autoLine="0" autoPict="0">
                <anchor moveWithCells="1">
                  <from>
                    <xdr:col>116</xdr:col>
                    <xdr:colOff>88900</xdr:colOff>
                    <xdr:row>3</xdr:row>
                    <xdr:rowOff>12700</xdr:rowOff>
                  </from>
                  <to>
                    <xdr:col>117</xdr:col>
                    <xdr:colOff>50800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95" r:id="rId6" name="Drop Down 3">
              <controlPr defaultSize="0" autoLine="0" autoPict="0">
                <anchor moveWithCells="1">
                  <from>
                    <xdr:col>17</xdr:col>
                    <xdr:colOff>114300</xdr:colOff>
                    <xdr:row>1</xdr:row>
                    <xdr:rowOff>25400</xdr:rowOff>
                  </from>
                  <to>
                    <xdr:col>20</xdr:col>
                    <xdr:colOff>469900</xdr:colOff>
                    <xdr:row>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96" r:id="rId7" name="Drop Down 4">
              <controlPr defaultSize="0" autoLine="0" autoPict="0">
                <anchor moveWithCells="1">
                  <from>
                    <xdr:col>4</xdr:col>
                    <xdr:colOff>139700</xdr:colOff>
                    <xdr:row>1</xdr:row>
                    <xdr:rowOff>12700</xdr:rowOff>
                  </from>
                  <to>
                    <xdr:col>6</xdr:col>
                    <xdr:colOff>368300</xdr:colOff>
                    <xdr:row>2</xdr:row>
                    <xdr:rowOff>101600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78453-74E9-4E84-96F0-9AE8006CE3A0}">
  <dimension ref="C2:AL97"/>
  <sheetViews>
    <sheetView topLeftCell="A28" zoomScale="85" zoomScaleNormal="85" workbookViewId="0">
      <selection activeCell="B2" sqref="B2"/>
    </sheetView>
  </sheetViews>
  <sheetFormatPr baseColWidth="10" defaultColWidth="8.83203125" defaultRowHeight="13" x14ac:dyDescent="0.15"/>
  <cols>
    <col min="5" max="5" width="9.5" bestFit="1" customWidth="1"/>
    <col min="22" max="22" width="10.5" bestFit="1" customWidth="1"/>
  </cols>
  <sheetData>
    <row r="2" spans="3:38" x14ac:dyDescent="0.15">
      <c r="V2" t="s">
        <v>21</v>
      </c>
      <c r="W2" s="2">
        <f>Tulokset_ENT!$C$6</f>
        <v>1</v>
      </c>
    </row>
    <row r="3" spans="3:38" ht="14" thickBot="1" x14ac:dyDescent="0.2">
      <c r="C3" s="104">
        <v>1</v>
      </c>
      <c r="D3" s="2" t="str">
        <f>INDEX(Tulokset_ENT!$X$12:$X$18,MATCH(C3,Tulokset_ENT!$Y$12:$Y$18,0))</f>
        <v>Model 60ENT</v>
      </c>
      <c r="L3" s="104">
        <v>1</v>
      </c>
      <c r="M3" s="2" t="str">
        <f>INDEX(Tulokset_ENT!$X$12:$X$18,MATCH(L3,Tulokset_ENT!$Y$12:$Y$18,0))</f>
        <v>Model 60ENT</v>
      </c>
    </row>
    <row r="4" spans="3:38" ht="14" thickBot="1" x14ac:dyDescent="0.2">
      <c r="C4" s="1441" t="s">
        <v>7</v>
      </c>
      <c r="D4" s="1442" t="str">
        <f>D3</f>
        <v>Model 60ENT</v>
      </c>
      <c r="E4" s="1442"/>
      <c r="F4" s="1442"/>
      <c r="G4" s="1442"/>
      <c r="H4" s="1442"/>
      <c r="I4" s="1442"/>
      <c r="J4" s="1443"/>
      <c r="L4" s="1441" t="s">
        <v>8</v>
      </c>
      <c r="M4" s="1442" t="str">
        <f>M3</f>
        <v>Model 60ENT</v>
      </c>
      <c r="N4" s="1442"/>
      <c r="O4" s="1442"/>
      <c r="P4" s="1442"/>
      <c r="Q4" s="1442"/>
      <c r="R4" s="1442"/>
      <c r="S4" s="1443"/>
      <c r="V4" s="1539" t="str" cm="1">
        <f t="array" ref="V4">INDEX($C:$J,($W$2-1)*12+ROW(C4),COLUMN(C4)-2)</f>
        <v>Tulo</v>
      </c>
      <c r="W4" s="1540" t="str" cm="1">
        <f t="array" ref="W4">INDEX($C:$J,($W$2-1)*12+ROW(D4),COLUMN(D4)-2)</f>
        <v>Model 60ENT</v>
      </c>
      <c r="X4" s="1541"/>
      <c r="Y4" s="1541"/>
      <c r="Z4" s="1541"/>
      <c r="AA4" s="1541"/>
      <c r="AB4" s="1541"/>
      <c r="AC4" s="1542"/>
      <c r="AE4" s="1539" t="str" cm="1">
        <f t="array" ref="AE4">INDEX($L:$S,($W$2-1)*12+ROW(L4),COLUMN(L4)-11)</f>
        <v>Poisto</v>
      </c>
      <c r="AF4" s="1540" t="str" cm="1">
        <f t="array" ref="AF4">INDEX($L:$S,($W$2-1)*12+ROW(M4),COLUMN(M4)-11)</f>
        <v>Model 60ENT</v>
      </c>
      <c r="AG4" s="1541"/>
      <c r="AH4" s="1541"/>
      <c r="AI4" s="1541"/>
      <c r="AJ4" s="1541"/>
      <c r="AK4" s="1541"/>
      <c r="AL4" s="1542"/>
    </row>
    <row r="5" spans="3:38" x14ac:dyDescent="0.15">
      <c r="C5" s="1437" t="str">
        <f>'Laskenta tulopuoli 60_ENT'!$AA$4</f>
        <v>10 V</v>
      </c>
      <c r="D5" s="1444"/>
      <c r="E5" s="1437" t="str">
        <f>'Laskenta tulopuoli 60_ENT'!$AC$4</f>
        <v>7,5 V</v>
      </c>
      <c r="F5" s="1444"/>
      <c r="G5" s="1437" t="str">
        <f>'Laskenta tulopuoli 60_ENT'!$AE$4</f>
        <v>5 V</v>
      </c>
      <c r="H5" s="1444"/>
      <c r="I5" s="1437" t="str">
        <f>'Laskenta tulopuoli 60_ENT'!$AG$4</f>
        <v>3 V</v>
      </c>
      <c r="J5" s="231"/>
      <c r="L5" s="1437" t="str">
        <f>'Laskenta poistopuoli 60_ENT'!$AA$4</f>
        <v>10 V</v>
      </c>
      <c r="M5" s="1444"/>
      <c r="N5" s="1437" t="str">
        <f>'Laskenta poistopuoli 60_ENT'!$AC$4</f>
        <v>7,5 V</v>
      </c>
      <c r="O5" s="1444"/>
      <c r="P5" s="1437" t="str">
        <f>'Laskenta poistopuoli 60_ENT'!$AE$4</f>
        <v>5 V</v>
      </c>
      <c r="Q5" s="1444"/>
      <c r="R5" s="1437" t="str">
        <f>'Laskenta poistopuoli 60_ENT'!$AG$4</f>
        <v>3 V</v>
      </c>
      <c r="S5" s="231"/>
      <c r="V5" s="1543" t="str" cm="1">
        <f t="array" ref="V5">INDEX($C:$J,($W$2-1)*12+ROW(C5),COLUMN(C5)-2)</f>
        <v>10 V</v>
      </c>
      <c r="W5" s="1544"/>
      <c r="X5" s="1543" t="str" cm="1">
        <f t="array" ref="X5">INDEX($C:$J,($W$2-1)*12+ROW(E5),COLUMN(E5)-2)</f>
        <v>7,5 V</v>
      </c>
      <c r="Y5" s="1544"/>
      <c r="Z5" s="1543" t="str" cm="1">
        <f t="array" ref="Z5">INDEX($C:$J,($W$2-1)*12+ROW(G5),COLUMN(G5)-2)</f>
        <v>5 V</v>
      </c>
      <c r="AA5" s="1544"/>
      <c r="AB5" s="1545" t="str" cm="1">
        <f t="array" ref="AB5">INDEX($C:$J,($W$2-1)*12+ROW(I5),COLUMN(I5)-2)</f>
        <v>3 V</v>
      </c>
      <c r="AC5" s="1544"/>
      <c r="AE5" s="1543" t="str" cm="1">
        <f t="array" ref="AE5">INDEX($L:$S,($W$2-1)*12+ROW(L5),COLUMN(L5)-11)</f>
        <v>10 V</v>
      </c>
      <c r="AF5" s="1544"/>
      <c r="AG5" s="1543" t="str" cm="1">
        <f t="array" ref="AG5">INDEX($L:$S,($W$2-1)*12+ROW(N5),COLUMN(N5)-11)</f>
        <v>7,5 V</v>
      </c>
      <c r="AH5" s="1544"/>
      <c r="AI5" s="1543" t="str" cm="1">
        <f t="array" ref="AI5">INDEX($L:$S,($W$2-1)*12+ROW(P5),COLUMN(P5)-11)</f>
        <v>5 V</v>
      </c>
      <c r="AJ5" s="1544"/>
      <c r="AK5" s="1545" t="str" cm="1">
        <f t="array" ref="AK5">INDEX($L:$S,($W$2-1)*12+ROW(R5),COLUMN(R5)-11)</f>
        <v>3 V</v>
      </c>
      <c r="AL5" s="1544"/>
    </row>
    <row r="6" spans="3:38" ht="14" thickBot="1" x14ac:dyDescent="0.2">
      <c r="C6" s="306" t="s">
        <v>14</v>
      </c>
      <c r="D6" s="462" t="s">
        <v>13</v>
      </c>
      <c r="E6" s="306" t="s">
        <v>14</v>
      </c>
      <c r="F6" s="462" t="s">
        <v>13</v>
      </c>
      <c r="G6" s="306" t="s">
        <v>14</v>
      </c>
      <c r="H6" s="462" t="s">
        <v>13</v>
      </c>
      <c r="I6" s="306" t="s">
        <v>14</v>
      </c>
      <c r="J6" s="239" t="s">
        <v>13</v>
      </c>
      <c r="L6" s="306" t="s">
        <v>14</v>
      </c>
      <c r="M6" s="462" t="s">
        <v>13</v>
      </c>
      <c r="N6" s="306" t="s">
        <v>14</v>
      </c>
      <c r="O6" s="462" t="s">
        <v>13</v>
      </c>
      <c r="P6" s="306" t="s">
        <v>14</v>
      </c>
      <c r="Q6" s="462" t="s">
        <v>13</v>
      </c>
      <c r="R6" s="306" t="s">
        <v>14</v>
      </c>
      <c r="S6" s="239" t="s">
        <v>13</v>
      </c>
      <c r="V6" s="1546" t="str" cm="1">
        <f t="array" ref="V6">INDEX($C:$J,($W$2-1)*12+ROW(C6),COLUMN(C6)-2)</f>
        <v>Pa</v>
      </c>
      <c r="W6" s="1547" t="str" cm="1">
        <f t="array" ref="W6">INDEX($C:$J,($W$2-1)*12+ROW(D6),COLUMN(D6)-2)</f>
        <v>l/s</v>
      </c>
      <c r="X6" s="1546" t="str" cm="1">
        <f t="array" ref="X6">INDEX($C:$J,($W$2-1)*12+ROW(E6),COLUMN(E6)-2)</f>
        <v>Pa</v>
      </c>
      <c r="Y6" s="1547" t="str" cm="1">
        <f t="array" ref="Y6">INDEX($C:$J,($W$2-1)*12+ROW(F6),COLUMN(F6)-2)</f>
        <v>l/s</v>
      </c>
      <c r="Z6" s="1546" t="str" cm="1">
        <f t="array" ref="Z6">INDEX($C:$J,($W$2-1)*12+ROW(G6),COLUMN(G6)-2)</f>
        <v>Pa</v>
      </c>
      <c r="AA6" s="1547" t="str" cm="1">
        <f t="array" ref="AA6">INDEX($C:$J,($W$2-1)*12+ROW(H6),COLUMN(H6)-2)</f>
        <v>l/s</v>
      </c>
      <c r="AB6" s="1546" t="str" cm="1">
        <f t="array" ref="AB6">INDEX($C:$J,($W$2-1)*12+ROW(I6),COLUMN(I6)-2)</f>
        <v>Pa</v>
      </c>
      <c r="AC6" s="1547" t="str" cm="1">
        <f t="array" ref="AC6">INDEX($C:$J,($W$2-1)*12+ROW(J6),COLUMN(J6)-2)</f>
        <v>l/s</v>
      </c>
      <c r="AE6" s="1546" t="str" cm="1">
        <f t="array" ref="AE6">INDEX($L:$S,($W$2-1)*12+ROW(L6),COLUMN(L6)-11)</f>
        <v>Pa</v>
      </c>
      <c r="AF6" s="1547" t="str" cm="1">
        <f t="array" ref="AF6">INDEX($L:$S,($W$2-1)*12+ROW(M6),COLUMN(M6)-11)</f>
        <v>l/s</v>
      </c>
      <c r="AG6" s="1546" t="str" cm="1">
        <f t="array" ref="AG6">INDEX($L:$S,($W$2-1)*12+ROW(N6),COLUMN(N6)-11)</f>
        <v>Pa</v>
      </c>
      <c r="AH6" s="1547" t="str" cm="1">
        <f t="array" ref="AH6">INDEX($L:$S,($W$2-1)*12+ROW(O6),COLUMN(O6)-11)</f>
        <v>l/s</v>
      </c>
      <c r="AI6" s="1546" t="str" cm="1">
        <f t="array" ref="AI6">INDEX($L:$S,($W$2-1)*12+ROW(P6),COLUMN(P6)-11)</f>
        <v>Pa</v>
      </c>
      <c r="AJ6" s="1547" t="str" cm="1">
        <f t="array" ref="AJ6">INDEX($L:$S,($W$2-1)*12+ROW(Q6),COLUMN(Q6)-11)</f>
        <v>l/s</v>
      </c>
      <c r="AK6" s="1546" t="str" cm="1">
        <f t="array" ref="AK6">INDEX($L:$S,($W$2-1)*12+ROW(R6),COLUMN(R6)-11)</f>
        <v>Pa</v>
      </c>
      <c r="AL6" s="1547" t="str" cm="1">
        <f t="array" ref="AL6">INDEX($L:$S,($W$2-1)*12+ROW(S6),COLUMN(S6)-11)</f>
        <v>l/s</v>
      </c>
    </row>
    <row r="7" spans="3:38" x14ac:dyDescent="0.15">
      <c r="C7" s="1445">
        <f>'Laskenta tulopuoli 60_ENT'!$AA$6</f>
        <v>25</v>
      </c>
      <c r="D7" s="1438">
        <f>'Laskenta tulopuoli 60_ENT'!$AB$6</f>
        <v>105.26808093221356</v>
      </c>
      <c r="E7" s="1439">
        <f>'Laskenta tulopuoli 60_ENT'!$AC$6</f>
        <v>20</v>
      </c>
      <c r="F7" s="1438">
        <f>'Laskenta tulopuoli 60_ENT'!$AD$6</f>
        <v>92.28328004472813</v>
      </c>
      <c r="G7" s="1439">
        <f>'Laskenta tulopuoli 60_ENT'!$AE$6</f>
        <v>10</v>
      </c>
      <c r="H7" s="1438">
        <f>'Laskenta tulopuoli 60_ENT'!$AF$6</f>
        <v>55.763696891943106</v>
      </c>
      <c r="I7" s="1439">
        <f>'Laskenta tulopuoli 60_ENT'!$AG$6</f>
        <v>8</v>
      </c>
      <c r="J7" s="1440">
        <f>'Laskenta tulopuoli 60_ENT'!$AH$6</f>
        <v>23.449319019710408</v>
      </c>
      <c r="L7" s="1445">
        <f>'Laskenta poistopuoli 60_ENT'!$AA$6</f>
        <v>25</v>
      </c>
      <c r="M7" s="1438">
        <f>'Laskenta poistopuoli 60_ENT'!$AB$6</f>
        <v>112.80414235212891</v>
      </c>
      <c r="N7" s="1439">
        <f>'Laskenta poistopuoli 60_ENT'!$AC$6</f>
        <v>24</v>
      </c>
      <c r="O7" s="1438">
        <f>'Laskenta poistopuoli 60_ENT'!$AD$6</f>
        <v>107.85190341399138</v>
      </c>
      <c r="P7" s="1439">
        <f>'Laskenta poistopuoli 60_ENT'!$AE$6</f>
        <v>13</v>
      </c>
      <c r="Q7" s="1438">
        <f>'Laskenta poistopuoli 60_ENT'!$AF$6</f>
        <v>68.004206299119801</v>
      </c>
      <c r="R7" s="1439">
        <f>'Laskenta poistopuoli 60_ENT'!$AG$6</f>
        <v>8</v>
      </c>
      <c r="S7" s="1440">
        <f>'Laskenta poistopuoli 60_ENT'!$AH$6</f>
        <v>33.03961500314464</v>
      </c>
      <c r="V7" s="1548" cm="1">
        <f t="array" ref="V7">INDEX($C:$J,($W$2-1)*12+ROW(C7),COLUMN(C7)-2)</f>
        <v>25</v>
      </c>
      <c r="W7" s="1549" cm="1">
        <f t="array" ref="W7">INDEX($C:$J,($W$2-1)*12+ROW(D7),COLUMN(D7)-2)</f>
        <v>105.26808093221356</v>
      </c>
      <c r="X7" s="1548" cm="1">
        <f t="array" ref="X7">INDEX($C:$J,($W$2-1)*12+ROW(E7),COLUMN(E7)-2)</f>
        <v>20</v>
      </c>
      <c r="Y7" s="1549" cm="1">
        <f t="array" ref="Y7">INDEX($C:$J,($W$2-1)*12+ROW(F7),COLUMN(F7)-2)</f>
        <v>92.28328004472813</v>
      </c>
      <c r="Z7" s="1548" cm="1">
        <f t="array" ref="Z7">INDEX($C:$J,($W$2-1)*12+ROW(G7),COLUMN(G7)-2)</f>
        <v>10</v>
      </c>
      <c r="AA7" s="1549" cm="1">
        <f t="array" ref="AA7">INDEX($C:$J,($W$2-1)*12+ROW(H7),COLUMN(H7)-2)</f>
        <v>55.763696891943106</v>
      </c>
      <c r="AB7" s="1548" cm="1">
        <f t="array" ref="AB7">INDEX($C:$J,($W$2-1)*12+ROW(I7),COLUMN(I7)-2)</f>
        <v>8</v>
      </c>
      <c r="AC7" s="1549" cm="1">
        <f t="array" ref="AC7">INDEX($C:$J,($W$2-1)*12+ROW(J7),COLUMN(J7)-2)</f>
        <v>23.449319019710408</v>
      </c>
      <c r="AE7" s="1548" cm="1">
        <f t="array" ref="AE7">INDEX($L:$S,($W$2-1)*12+ROW(L7),COLUMN(L7)-11)</f>
        <v>25</v>
      </c>
      <c r="AF7" s="1549" cm="1">
        <f t="array" ref="AF7">INDEX($L:$S,($W$2-1)*12+ROW(M7),COLUMN(M7)-11)</f>
        <v>112.80414235212891</v>
      </c>
      <c r="AG7" s="1548" cm="1">
        <f t="array" ref="AG7">INDEX($L:$S,($W$2-1)*12+ROW(N7),COLUMN(N7)-11)</f>
        <v>24</v>
      </c>
      <c r="AH7" s="1549" cm="1">
        <f t="array" ref="AH7">INDEX($L:$S,($W$2-1)*12+ROW(O7),COLUMN(O7)-11)</f>
        <v>107.85190341399138</v>
      </c>
      <c r="AI7" s="1548" cm="1">
        <f t="array" ref="AI7">INDEX($L:$S,($W$2-1)*12+ROW(P7),COLUMN(P7)-11)</f>
        <v>13</v>
      </c>
      <c r="AJ7" s="1549" cm="1">
        <f t="array" ref="AJ7">INDEX($L:$S,($W$2-1)*12+ROW(Q7),COLUMN(Q7)-11)</f>
        <v>68.004206299119801</v>
      </c>
      <c r="AK7" s="1548" cm="1">
        <f t="array" ref="AK7">INDEX($L:$S,($W$2-1)*12+ROW(R7),COLUMN(R7)-11)</f>
        <v>8</v>
      </c>
      <c r="AL7" s="1549" cm="1">
        <f t="array" ref="AL7">INDEX($L:$S,($W$2-1)*12+ROW(S7),COLUMN(S7)-11)</f>
        <v>33.03961500314464</v>
      </c>
    </row>
    <row r="8" spans="3:38" x14ac:dyDescent="0.15">
      <c r="C8" s="304">
        <f>'Laskenta tulopuoli 60_ENT'!$AA$7</f>
        <v>120</v>
      </c>
      <c r="D8" s="463">
        <f>'Laskenta tulopuoli 60_ENT'!$AB$7</f>
        <v>91.962861509951423</v>
      </c>
      <c r="E8" s="305">
        <f>'Laskenta tulopuoli 60_ENT'!$AC$7</f>
        <v>100</v>
      </c>
      <c r="F8" s="463">
        <f>'Laskenta tulopuoli 60_ENT'!$AD$7</f>
        <v>79.435729930187975</v>
      </c>
      <c r="G8" s="305">
        <f>'Laskenta tulopuoli 60_ENT'!$AE$7</f>
        <v>40</v>
      </c>
      <c r="H8" s="463">
        <f>'Laskenta tulopuoli 60_ENT'!$AF$7</f>
        <v>47.566017805685647</v>
      </c>
      <c r="I8" s="305">
        <f>'Laskenta tulopuoli 60_ENT'!$AG$7</f>
        <v>20</v>
      </c>
      <c r="J8" s="460">
        <f>'Laskenta tulopuoli 60_ENT'!$AH$7</f>
        <v>18.291755745789882</v>
      </c>
      <c r="L8" s="304">
        <f>'Laskenta poistopuoli 60_ENT'!$AA$7</f>
        <v>120</v>
      </c>
      <c r="M8" s="463">
        <f>'Laskenta poistopuoli 60_ENT'!$AB$7</f>
        <v>102.30954363902759</v>
      </c>
      <c r="N8" s="305">
        <f>'Laskenta poistopuoli 60_ENT'!$AC$7</f>
        <v>100</v>
      </c>
      <c r="O8" s="463">
        <f>'Laskenta poistopuoli 60_ENT'!$AD$7</f>
        <v>96.433525303653425</v>
      </c>
      <c r="P8" s="305">
        <f>'Laskenta poistopuoli 60_ENT'!$AE$7</f>
        <v>40</v>
      </c>
      <c r="Q8" s="463">
        <f>'Laskenta poistopuoli 60_ENT'!$AF$7</f>
        <v>59.892207421150687</v>
      </c>
      <c r="R8" s="305">
        <f>'Laskenta poistopuoli 60_ENT'!$AG$7</f>
        <v>20</v>
      </c>
      <c r="S8" s="460">
        <f>'Laskenta poistopuoli 60_ENT'!$AH$7</f>
        <v>26.39211753991631</v>
      </c>
      <c r="V8" s="1550" cm="1">
        <f t="array" ref="V8">INDEX($C:$J,($W$2-1)*12+ROW(C8),COLUMN(C8)-2)</f>
        <v>120</v>
      </c>
      <c r="W8" s="1551" cm="1">
        <f t="array" ref="W8">INDEX($C:$J,($W$2-1)*12+ROW(D8),COLUMN(D8)-2)</f>
        <v>91.962861509951423</v>
      </c>
      <c r="X8" s="1550" cm="1">
        <f t="array" ref="X8">INDEX($C:$J,($W$2-1)*12+ROW(E8),COLUMN(E8)-2)</f>
        <v>100</v>
      </c>
      <c r="Y8" s="1551" cm="1">
        <f t="array" ref="Y8">INDEX($C:$J,($W$2-1)*12+ROW(F8),COLUMN(F8)-2)</f>
        <v>79.435729930187975</v>
      </c>
      <c r="Z8" s="1550" cm="1">
        <f t="array" ref="Z8">INDEX($C:$J,($W$2-1)*12+ROW(G8),COLUMN(G8)-2)</f>
        <v>40</v>
      </c>
      <c r="AA8" s="1551" cm="1">
        <f t="array" ref="AA8">INDEX($C:$J,($W$2-1)*12+ROW(H8),COLUMN(H8)-2)</f>
        <v>47.566017805685647</v>
      </c>
      <c r="AB8" s="1550" cm="1">
        <f t="array" ref="AB8">INDEX($C:$J,($W$2-1)*12+ROW(I8),COLUMN(I8)-2)</f>
        <v>20</v>
      </c>
      <c r="AC8" s="1551" cm="1">
        <f t="array" ref="AC8">INDEX($C:$J,($W$2-1)*12+ROW(J8),COLUMN(J8)-2)</f>
        <v>18.291755745789882</v>
      </c>
      <c r="AE8" s="1550" cm="1">
        <f t="array" ref="AE8">INDEX($L:$S,($W$2-1)*12+ROW(L8),COLUMN(L8)-11)</f>
        <v>120</v>
      </c>
      <c r="AF8" s="1551" cm="1">
        <f t="array" ref="AF8">INDEX($L:$S,($W$2-1)*12+ROW(M8),COLUMN(M8)-11)</f>
        <v>102.30954363902759</v>
      </c>
      <c r="AG8" s="1550" cm="1">
        <f t="array" ref="AG8">INDEX($L:$S,($W$2-1)*12+ROW(N8),COLUMN(N8)-11)</f>
        <v>100</v>
      </c>
      <c r="AH8" s="1551" cm="1">
        <f t="array" ref="AH8">INDEX($L:$S,($W$2-1)*12+ROW(O8),COLUMN(O8)-11)</f>
        <v>96.433525303653425</v>
      </c>
      <c r="AI8" s="1550" cm="1">
        <f t="array" ref="AI8">INDEX($L:$S,($W$2-1)*12+ROW(P8),COLUMN(P8)-11)</f>
        <v>40</v>
      </c>
      <c r="AJ8" s="1551" cm="1">
        <f t="array" ref="AJ8">INDEX($L:$S,($W$2-1)*12+ROW(Q8),COLUMN(Q8)-11)</f>
        <v>59.892207421150687</v>
      </c>
      <c r="AK8" s="1550" cm="1">
        <f t="array" ref="AK8">INDEX($L:$S,($W$2-1)*12+ROW(R8),COLUMN(R8)-11)</f>
        <v>20</v>
      </c>
      <c r="AL8" s="1551" cm="1">
        <f t="array" ref="AL8">INDEX($L:$S,($W$2-1)*12+ROW(S8),COLUMN(S8)-11)</f>
        <v>26.39211753991631</v>
      </c>
    </row>
    <row r="9" spans="3:38" x14ac:dyDescent="0.15">
      <c r="C9" s="304">
        <f>'Laskenta tulopuoli 60_ENT'!$AA$8</f>
        <v>190</v>
      </c>
      <c r="D9" s="463">
        <f>'Laskenta tulopuoli 60_ENT'!$AB$8</f>
        <v>81.202962921026909</v>
      </c>
      <c r="E9" s="305">
        <f>'Laskenta tulopuoli 60_ENT'!$AC$8</f>
        <v>150</v>
      </c>
      <c r="F9" s="463">
        <f>'Laskenta tulopuoli 60_ENT'!$AD$8</f>
        <v>70.512999015413541</v>
      </c>
      <c r="G9" s="305">
        <f>'Laskenta tulopuoli 60_ENT'!$AE$8</f>
        <v>60</v>
      </c>
      <c r="H9" s="463">
        <f>'Laskenta tulopuoli 60_ENT'!$AF$8</f>
        <v>41.687978895362349</v>
      </c>
      <c r="I9" s="305">
        <f>'Laskenta tulopuoli 60_ENT'!$AG$8</f>
        <v>30</v>
      </c>
      <c r="J9" s="460">
        <f>'Laskenta tulopuoli 60_ENT'!$AH$8</f>
        <v>13.819633588455394</v>
      </c>
      <c r="L9" s="304">
        <f>'Laskenta poistopuoli 60_ENT'!$AA$8</f>
        <v>190</v>
      </c>
      <c r="M9" s="463">
        <f>'Laskenta poistopuoli 60_ENT'!$AB$8</f>
        <v>93.466153966574225</v>
      </c>
      <c r="N9" s="305">
        <f>'Laskenta poistopuoli 60_ENT'!$AC$8</f>
        <v>150</v>
      </c>
      <c r="O9" s="463">
        <f>'Laskenta poistopuoli 60_ENT'!$AD$8</f>
        <v>87.95448303233907</v>
      </c>
      <c r="P9" s="305">
        <f>'Laskenta poistopuoli 60_ENT'!$AE$8</f>
        <v>60</v>
      </c>
      <c r="Q9" s="463">
        <f>'Laskenta poistopuoli 60_ENT'!$AF$8</f>
        <v>53.313493809492236</v>
      </c>
      <c r="R9" s="305">
        <f>'Laskenta poistopuoli 60_ENT'!$AG$8</f>
        <v>30</v>
      </c>
      <c r="S9" s="460">
        <f>'Laskenta poistopuoli 60_ENT'!$AH$8</f>
        <v>19.739311494193096</v>
      </c>
      <c r="V9" s="1550" cm="1">
        <f t="array" ref="V9">INDEX($C:$J,($W$2-1)*12+ROW(C9),COLUMN(C9)-2)</f>
        <v>190</v>
      </c>
      <c r="W9" s="1551" cm="1">
        <f t="array" ref="W9">INDEX($C:$J,($W$2-1)*12+ROW(D9),COLUMN(D9)-2)</f>
        <v>81.202962921026909</v>
      </c>
      <c r="X9" s="1550" cm="1">
        <f t="array" ref="X9">INDEX($C:$J,($W$2-1)*12+ROW(E9),COLUMN(E9)-2)</f>
        <v>150</v>
      </c>
      <c r="Y9" s="1551" cm="1">
        <f t="array" ref="Y9">INDEX($C:$J,($W$2-1)*12+ROW(F9),COLUMN(F9)-2)</f>
        <v>70.512999015413541</v>
      </c>
      <c r="Z9" s="1550" cm="1">
        <f t="array" ref="Z9">INDEX($C:$J,($W$2-1)*12+ROW(G9),COLUMN(G9)-2)</f>
        <v>60</v>
      </c>
      <c r="AA9" s="1551" cm="1">
        <f t="array" ref="AA9">INDEX($C:$J,($W$2-1)*12+ROW(H9),COLUMN(H9)-2)</f>
        <v>41.687978895362349</v>
      </c>
      <c r="AB9" s="1550" cm="1">
        <f t="array" ref="AB9">INDEX($C:$J,($W$2-1)*12+ROW(I9),COLUMN(I9)-2)</f>
        <v>30</v>
      </c>
      <c r="AC9" s="1551" cm="1">
        <f t="array" ref="AC9">INDEX($C:$J,($W$2-1)*12+ROW(J9),COLUMN(J9)-2)</f>
        <v>13.819633588455394</v>
      </c>
      <c r="AE9" s="1550" cm="1">
        <f t="array" ref="AE9">INDEX($L:$S,($W$2-1)*12+ROW(L9),COLUMN(L9)-11)</f>
        <v>190</v>
      </c>
      <c r="AF9" s="1551" cm="1">
        <f t="array" ref="AF9">INDEX($L:$S,($W$2-1)*12+ROW(M9),COLUMN(M9)-11)</f>
        <v>93.466153966574225</v>
      </c>
      <c r="AG9" s="1550" cm="1">
        <f t="array" ref="AG9">INDEX($L:$S,($W$2-1)*12+ROW(N9),COLUMN(N9)-11)</f>
        <v>150</v>
      </c>
      <c r="AH9" s="1551" cm="1">
        <f t="array" ref="AH9">INDEX($L:$S,($W$2-1)*12+ROW(O9),COLUMN(O9)-11)</f>
        <v>87.95448303233907</v>
      </c>
      <c r="AI9" s="1550" cm="1">
        <f t="array" ref="AI9">INDEX($L:$S,($W$2-1)*12+ROW(P9),COLUMN(P9)-11)</f>
        <v>60</v>
      </c>
      <c r="AJ9" s="1551" cm="1">
        <f t="array" ref="AJ9">INDEX($L:$S,($W$2-1)*12+ROW(Q9),COLUMN(Q9)-11)</f>
        <v>53.313493809492236</v>
      </c>
      <c r="AK9" s="1550" cm="1">
        <f t="array" ref="AK9">INDEX($L:$S,($W$2-1)*12+ROW(R9),COLUMN(R9)-11)</f>
        <v>30</v>
      </c>
      <c r="AL9" s="1551" cm="1">
        <f t="array" ref="AL9">INDEX($L:$S,($W$2-1)*12+ROW(S9),COLUMN(S9)-11)</f>
        <v>19.739311494193096</v>
      </c>
    </row>
    <row r="10" spans="3:38" x14ac:dyDescent="0.15">
      <c r="C10" s="304">
        <f>'Laskenta tulopuoli 60_ENT'!$AA$9</f>
        <v>250</v>
      </c>
      <c r="D10" s="463">
        <f>'Laskenta tulopuoli 60_ENT'!$AB$9</f>
        <v>71.129807185062404</v>
      </c>
      <c r="E10" s="305">
        <f>'Laskenta tulopuoli 60_ENT'!$AC$9</f>
        <v>200</v>
      </c>
      <c r="F10" s="463">
        <f>'Laskenta tulopuoli 60_ENT'!$AD$9</f>
        <v>60.642675332748922</v>
      </c>
      <c r="G10" s="305">
        <f>'Laskenta tulopuoli 60_ENT'!$AE$9</f>
        <v>80</v>
      </c>
      <c r="H10" s="463">
        <f>'Laskenta tulopuoli 60_ENT'!$AF$9</f>
        <v>35.399229865105674</v>
      </c>
      <c r="I10" s="305">
        <f>'Laskenta tulopuoli 60_ENT'!$AG$9</f>
        <v>35</v>
      </c>
      <c r="J10" s="460">
        <f>'Laskenta tulopuoli 60_ENT'!$AH$9</f>
        <v>11.5179687754458</v>
      </c>
      <c r="L10" s="304">
        <f>'Laskenta poistopuoli 60_ENT'!$AA$9</f>
        <v>250</v>
      </c>
      <c r="M10" s="463">
        <f>'Laskenta poistopuoli 60_ENT'!$AB$9</f>
        <v>84.749359155674398</v>
      </c>
      <c r="N10" s="305">
        <f>'Laskenta poistopuoli 60_ENT'!$AC$9</f>
        <v>200</v>
      </c>
      <c r="O10" s="463">
        <f>'Laskenta poistopuoli 60_ENT'!$AD$9</f>
        <v>78.352266317306643</v>
      </c>
      <c r="P10" s="305">
        <f>'Laskenta poistopuoli 60_ENT'!$AE$9</f>
        <v>80</v>
      </c>
      <c r="Q10" s="463">
        <f>'Laskenta poistopuoli 60_ENT'!$AF$9</f>
        <v>46.091391635961443</v>
      </c>
      <c r="R10" s="305">
        <f>'Laskenta poistopuoli 60_ENT'!$AG$9</f>
        <v>35</v>
      </c>
      <c r="S10" s="460">
        <f>'Laskenta poistopuoli 60_ENT'!$AH$9</f>
        <v>15.777519598102133</v>
      </c>
      <c r="V10" s="1550" cm="1">
        <f t="array" ref="V10">INDEX($C:$J,($W$2-1)*12+ROW(C10),COLUMN(C10)-2)</f>
        <v>250</v>
      </c>
      <c r="W10" s="1551" cm="1">
        <f t="array" ref="W10">INDEX($C:$J,($W$2-1)*12+ROW(D10),COLUMN(D10)-2)</f>
        <v>71.129807185062404</v>
      </c>
      <c r="X10" s="1550" cm="1">
        <f t="array" ref="X10">INDEX($C:$J,($W$2-1)*12+ROW(E10),COLUMN(E10)-2)</f>
        <v>200</v>
      </c>
      <c r="Y10" s="1551" cm="1">
        <f t="array" ref="Y10">INDEX($C:$J,($W$2-1)*12+ROW(F10),COLUMN(F10)-2)</f>
        <v>60.642675332748922</v>
      </c>
      <c r="Z10" s="1550" cm="1">
        <f t="array" ref="Z10">INDEX($C:$J,($W$2-1)*12+ROW(G10),COLUMN(G10)-2)</f>
        <v>80</v>
      </c>
      <c r="AA10" s="1551" cm="1">
        <f t="array" ref="AA10">INDEX($C:$J,($W$2-1)*12+ROW(H10),COLUMN(H10)-2)</f>
        <v>35.399229865105674</v>
      </c>
      <c r="AB10" s="1550" cm="1">
        <f t="array" ref="AB10">INDEX($C:$J,($W$2-1)*12+ROW(I10),COLUMN(I10)-2)</f>
        <v>35</v>
      </c>
      <c r="AC10" s="1551" cm="1">
        <f t="array" ref="AC10">INDEX($C:$J,($W$2-1)*12+ROW(J10),COLUMN(J10)-2)</f>
        <v>11.5179687754458</v>
      </c>
      <c r="AE10" s="1550" cm="1">
        <f t="array" ref="AE10">INDEX($L:$S,($W$2-1)*12+ROW(L10),COLUMN(L10)-11)</f>
        <v>250</v>
      </c>
      <c r="AF10" s="1551" cm="1">
        <f t="array" ref="AF10">INDEX($L:$S,($W$2-1)*12+ROW(M10),COLUMN(M10)-11)</f>
        <v>84.749359155674398</v>
      </c>
      <c r="AG10" s="1550" cm="1">
        <f t="array" ref="AG10">INDEX($L:$S,($W$2-1)*12+ROW(N10),COLUMN(N10)-11)</f>
        <v>200</v>
      </c>
      <c r="AH10" s="1551" cm="1">
        <f t="array" ref="AH10">INDEX($L:$S,($W$2-1)*12+ROW(O10),COLUMN(O10)-11)</f>
        <v>78.352266317306643</v>
      </c>
      <c r="AI10" s="1550" cm="1">
        <f t="array" ref="AI10">INDEX($L:$S,($W$2-1)*12+ROW(P10),COLUMN(P10)-11)</f>
        <v>80</v>
      </c>
      <c r="AJ10" s="1551" cm="1">
        <f t="array" ref="AJ10">INDEX($L:$S,($W$2-1)*12+ROW(Q10),COLUMN(Q10)-11)</f>
        <v>46.091391635961443</v>
      </c>
      <c r="AK10" s="1550" cm="1">
        <f t="array" ref="AK10">INDEX($L:$S,($W$2-1)*12+ROW(R10),COLUMN(R10)-11)</f>
        <v>35</v>
      </c>
      <c r="AL10" s="1551" cm="1">
        <f t="array" ref="AL10">INDEX($L:$S,($W$2-1)*12+ROW(S10),COLUMN(S10)-11)</f>
        <v>15.777519598102133</v>
      </c>
    </row>
    <row r="11" spans="3:38" x14ac:dyDescent="0.15">
      <c r="C11" s="304">
        <f>'Laskenta tulopuoli 60_ENT'!$AA$10</f>
        <v>320</v>
      </c>
      <c r="D11" s="463">
        <f>'Laskenta tulopuoli 60_ENT'!$AB$10</f>
        <v>58.035074833885083</v>
      </c>
      <c r="E11" s="305">
        <f>'Laskenta tulopuoli 60_ENT'!$AC$10</f>
        <v>250</v>
      </c>
      <c r="F11" s="463">
        <f>'Laskenta tulopuoli 60_ENT'!$AD$10</f>
        <v>49.437913155445834</v>
      </c>
      <c r="G11" s="305">
        <f>'Laskenta tulopuoli 60_ENT'!$AE$10</f>
        <v>100</v>
      </c>
      <c r="H11" s="463">
        <f>'Laskenta tulopuoli 60_ENT'!$AF$10</f>
        <v>28.599362859180573</v>
      </c>
      <c r="I11" s="305">
        <f>'Laskenta tulopuoli 60_ENT'!$AG$10</f>
        <v>40</v>
      </c>
      <c r="J11" s="460">
        <f>'Laskenta tulopuoli 60_ENT'!$AH$10</f>
        <v>9.1689881805203886</v>
      </c>
      <c r="L11" s="304">
        <f>'Laskenta poistopuoli 60_ENT'!$AA$10</f>
        <v>320</v>
      </c>
      <c r="M11" s="463">
        <f>'Laskenta poistopuoli 60_ENT'!$AB$10</f>
        <v>72.341229155244577</v>
      </c>
      <c r="N11" s="305">
        <f>'Laskenta poistopuoli 60_ENT'!$AC$10</f>
        <v>250</v>
      </c>
      <c r="O11" s="463">
        <f>'Laskenta poistopuoli 60_ENT'!$AD$10</f>
        <v>67.009582209175775</v>
      </c>
      <c r="P11" s="305">
        <f>'Laskenta poistopuoli 60_ENT'!$AE$10</f>
        <v>100</v>
      </c>
      <c r="Q11" s="463">
        <f>'Laskenta poistopuoli 60_ENT'!$AF$10</f>
        <v>37.98948241846751</v>
      </c>
      <c r="R11" s="305">
        <f>'Laskenta poistopuoli 60_ENT'!$AG$10</f>
        <v>41</v>
      </c>
      <c r="S11" s="460">
        <f>'Laskenta poistopuoli 60_ENT'!$AH$10</f>
        <v>10.014958659989722</v>
      </c>
      <c r="V11" s="1550" cm="1">
        <f t="array" ref="V11">INDEX($C:$J,($W$2-1)*12+ROW(C11),COLUMN(C11)-2)</f>
        <v>320</v>
      </c>
      <c r="W11" s="1551" cm="1">
        <f t="array" ref="W11">INDEX($C:$J,($W$2-1)*12+ROW(D11),COLUMN(D11)-2)</f>
        <v>58.035074833885083</v>
      </c>
      <c r="X11" s="1550" cm="1">
        <f t="array" ref="X11">INDEX($C:$J,($W$2-1)*12+ROW(E11),COLUMN(E11)-2)</f>
        <v>250</v>
      </c>
      <c r="Y11" s="1551" cm="1">
        <f t="array" ref="Y11">INDEX($C:$J,($W$2-1)*12+ROW(F11),COLUMN(F11)-2)</f>
        <v>49.437913155445834</v>
      </c>
      <c r="Z11" s="1550" cm="1">
        <f t="array" ref="Z11">INDEX($C:$J,($W$2-1)*12+ROW(G11),COLUMN(G11)-2)</f>
        <v>100</v>
      </c>
      <c r="AA11" s="1551" cm="1">
        <f t="array" ref="AA11">INDEX($C:$J,($W$2-1)*12+ROW(H11),COLUMN(H11)-2)</f>
        <v>28.599362859180573</v>
      </c>
      <c r="AB11" s="1550" cm="1">
        <f t="array" ref="AB11">INDEX($C:$J,($W$2-1)*12+ROW(I11),COLUMN(I11)-2)</f>
        <v>40</v>
      </c>
      <c r="AC11" s="1551" cm="1">
        <f t="array" ref="AC11">INDEX($C:$J,($W$2-1)*12+ROW(J11),COLUMN(J11)-2)</f>
        <v>9.1689881805203886</v>
      </c>
      <c r="AE11" s="1550" cm="1">
        <f t="array" ref="AE11">INDEX($L:$S,($W$2-1)*12+ROW(L11),COLUMN(L11)-11)</f>
        <v>320</v>
      </c>
      <c r="AF11" s="1551" cm="1">
        <f t="array" ref="AF11">INDEX($L:$S,($W$2-1)*12+ROW(M11),COLUMN(M11)-11)</f>
        <v>72.341229155244577</v>
      </c>
      <c r="AG11" s="1550" cm="1">
        <f t="array" ref="AG11">INDEX($L:$S,($W$2-1)*12+ROW(N11),COLUMN(N11)-11)</f>
        <v>250</v>
      </c>
      <c r="AH11" s="1551" cm="1">
        <f t="array" ref="AH11">INDEX($L:$S,($W$2-1)*12+ROW(O11),COLUMN(O11)-11)</f>
        <v>67.009582209175775</v>
      </c>
      <c r="AI11" s="1550" cm="1">
        <f t="array" ref="AI11">INDEX($L:$S,($W$2-1)*12+ROW(P11),COLUMN(P11)-11)</f>
        <v>100</v>
      </c>
      <c r="AJ11" s="1551" cm="1">
        <f t="array" ref="AJ11">INDEX($L:$S,($W$2-1)*12+ROW(Q11),COLUMN(Q11)-11)</f>
        <v>37.98948241846751</v>
      </c>
      <c r="AK11" s="1550" cm="1">
        <f t="array" ref="AK11">INDEX($L:$S,($W$2-1)*12+ROW(R11),COLUMN(R11)-11)</f>
        <v>41</v>
      </c>
      <c r="AL11" s="1551" cm="1">
        <f t="array" ref="AL11">INDEX($L:$S,($W$2-1)*12+ROW(S11),COLUMN(S11)-11)</f>
        <v>10.014958659989722</v>
      </c>
    </row>
    <row r="12" spans="3:38" x14ac:dyDescent="0.15">
      <c r="C12" s="304">
        <f>'Laskenta tulopuoli 60_ENT'!$AA$11</f>
        <v>390</v>
      </c>
      <c r="D12" s="463">
        <f>'Laskenta tulopuoli 60_ENT'!$AB$11</f>
        <v>42.815079257983498</v>
      </c>
      <c r="E12" s="305">
        <f>'Laskenta tulopuoli 60_ENT'!$AC$11</f>
        <v>300</v>
      </c>
      <c r="F12" s="463">
        <f>'Laskenta tulopuoli 60_ENT'!$AD$11</f>
        <v>36.143851235640447</v>
      </c>
      <c r="G12" s="305">
        <f>'Laskenta tulopuoli 60_ENT'!$AE$11</f>
        <v>125</v>
      </c>
      <c r="H12" s="463">
        <f>'Laskenta tulopuoli 60_ENT'!$AF$11</f>
        <v>19.145333011745933</v>
      </c>
      <c r="I12" s="305"/>
      <c r="J12" s="460"/>
      <c r="L12" s="304">
        <f>'Laskenta poistopuoli 60_ENT'!$AA$11</f>
        <v>390</v>
      </c>
      <c r="M12" s="463">
        <f>'Laskenta poistopuoli 60_ENT'!$AB$11</f>
        <v>54.115277912677698</v>
      </c>
      <c r="N12" s="305">
        <f>'Laskenta poistopuoli 60_ENT'!$AC$11</f>
        <v>300</v>
      </c>
      <c r="O12" s="463">
        <f>'Laskenta poistopuoli 60_ENT'!$AD$11</f>
        <v>52.37799716899908</v>
      </c>
      <c r="P12" s="305">
        <f>'Laskenta poistopuoli 60_ENT'!$AE$11</f>
        <v>136</v>
      </c>
      <c r="Q12" s="463">
        <f>'Laskenta poistopuoli 60_ENT'!$AF$11</f>
        <v>19.49607603794357</v>
      </c>
      <c r="R12" s="305"/>
      <c r="S12" s="460"/>
      <c r="V12" s="1550" cm="1">
        <f t="array" ref="V12">INDEX($C:$J,($W$2-1)*12+ROW(C12),COLUMN(C12)-2)</f>
        <v>390</v>
      </c>
      <c r="W12" s="1551" cm="1">
        <f t="array" ref="W12">INDEX($C:$J,($W$2-1)*12+ROW(D12),COLUMN(D12)-2)</f>
        <v>42.815079257983498</v>
      </c>
      <c r="X12" s="1550" cm="1">
        <f t="array" ref="X12">INDEX($C:$J,($W$2-1)*12+ROW(E12),COLUMN(E12)-2)</f>
        <v>300</v>
      </c>
      <c r="Y12" s="1551" cm="1">
        <f t="array" ref="Y12">INDEX($C:$J,($W$2-1)*12+ROW(F12),COLUMN(F12)-2)</f>
        <v>36.143851235640447</v>
      </c>
      <c r="Z12" s="1550" cm="1">
        <f t="array" ref="Z12">INDEX($C:$J,($W$2-1)*12+ROW(G12),COLUMN(G12)-2)</f>
        <v>125</v>
      </c>
      <c r="AA12" s="1551" cm="1">
        <f t="array" ref="AA12">INDEX($C:$J,($W$2-1)*12+ROW(H12),COLUMN(H12)-2)</f>
        <v>19.145333011745933</v>
      </c>
      <c r="AB12" s="1550"/>
      <c r="AC12" s="1551"/>
      <c r="AE12" s="1550" cm="1">
        <f t="array" ref="AE12">INDEX($L:$S,($W$2-1)*12+ROW(L12),COLUMN(L12)-11)</f>
        <v>390</v>
      </c>
      <c r="AF12" s="1551" cm="1">
        <f t="array" ref="AF12">INDEX($L:$S,($W$2-1)*12+ROW(M12),COLUMN(M12)-11)</f>
        <v>54.115277912677698</v>
      </c>
      <c r="AG12" s="1550" cm="1">
        <f t="array" ref="AG12">INDEX($L:$S,($W$2-1)*12+ROW(N12),COLUMN(N12)-11)</f>
        <v>300</v>
      </c>
      <c r="AH12" s="1551" cm="1">
        <f t="array" ref="AH12">INDEX($L:$S,($W$2-1)*12+ROW(O12),COLUMN(O12)-11)</f>
        <v>52.37799716899908</v>
      </c>
      <c r="AI12" s="1550" cm="1">
        <f t="array" ref="AI12">INDEX($L:$S,($W$2-1)*12+ROW(P12),COLUMN(P12)-11)</f>
        <v>136</v>
      </c>
      <c r="AJ12" s="1551" cm="1">
        <f t="array" ref="AJ12">INDEX($L:$S,($W$2-1)*12+ROW(Q12),COLUMN(Q12)-11)</f>
        <v>19.49607603794357</v>
      </c>
      <c r="AK12" s="1550" cm="1">
        <f t="array" ref="AK12">INDEX($L:$S,($W$2-1)*12+ROW(R12),COLUMN(R12)-11)</f>
        <v>0</v>
      </c>
      <c r="AL12" s="1551" cm="1">
        <f t="array" ref="AL12">INDEX($L:$S,($W$2-1)*12+ROW(S12),COLUMN(S12)-11)</f>
        <v>0</v>
      </c>
    </row>
    <row r="13" spans="3:38" ht="14" thickBot="1" x14ac:dyDescent="0.2">
      <c r="C13" s="306">
        <f>'Laskenta tulopuoli 60_ENT'!$AA$12</f>
        <v>398</v>
      </c>
      <c r="D13" s="464">
        <f>'Laskenta tulopuoli 60_ENT'!$AB$12</f>
        <v>40.886029956479234</v>
      </c>
      <c r="E13" s="307">
        <f>'Laskenta tulopuoli 60_ENT'!$AC$12</f>
        <v>315</v>
      </c>
      <c r="F13" s="464">
        <f>'Laskenta tulopuoli 60_ENT'!$AD$12</f>
        <v>31.526091801720298</v>
      </c>
      <c r="G13" s="307"/>
      <c r="H13" s="464"/>
      <c r="I13" s="307"/>
      <c r="J13" s="461"/>
      <c r="L13" s="306">
        <f>'Laskenta poistopuoli 60_ENT'!$AA$12</f>
        <v>412</v>
      </c>
      <c r="M13" s="464">
        <f>'Laskenta poistopuoli 60_ENT'!$AB$12</f>
        <v>43.998379520182048</v>
      </c>
      <c r="N13" s="307">
        <f>'Laskenta poistopuoli 60_ENT'!$AC$12</f>
        <v>340</v>
      </c>
      <c r="O13" s="464">
        <f>'Laskenta poistopuoli 60_ENT'!$AD$12</f>
        <v>33.765245166408228</v>
      </c>
      <c r="P13" s="307"/>
      <c r="Q13" s="464"/>
      <c r="R13" s="307"/>
      <c r="S13" s="461"/>
      <c r="V13" s="1552" cm="1">
        <f t="array" ref="V13">INDEX($C:$J,($W$2-1)*12+ROW(C13),COLUMN(C13)-2)</f>
        <v>398</v>
      </c>
      <c r="W13" s="1553" cm="1">
        <f t="array" ref="W13">INDEX($C:$J,($W$2-1)*12+ROW(D13),COLUMN(D13)-2)</f>
        <v>40.886029956479234</v>
      </c>
      <c r="X13" s="1552" cm="1">
        <f t="array" ref="X13">INDEX($C:$J,($W$2-1)*12+ROW(E13),COLUMN(E13)-2)</f>
        <v>315</v>
      </c>
      <c r="Y13" s="1553" cm="1">
        <f t="array" ref="Y13">INDEX($C:$J,($W$2-1)*12+ROW(F13),COLUMN(F13)-2)</f>
        <v>31.526091801720298</v>
      </c>
      <c r="Z13" s="1552"/>
      <c r="AA13" s="1553"/>
      <c r="AB13" s="1552"/>
      <c r="AC13" s="1553"/>
      <c r="AE13" s="1552" cm="1">
        <f t="array" ref="AE13">INDEX($L:$S,($W$2-1)*12+ROW(L13),COLUMN(L13)-11)</f>
        <v>412</v>
      </c>
      <c r="AF13" s="1553" cm="1">
        <f t="array" ref="AF13">INDEX($L:$S,($W$2-1)*12+ROW(M13),COLUMN(M13)-11)</f>
        <v>43.998379520182048</v>
      </c>
      <c r="AG13" s="1552" cm="1">
        <f t="array" ref="AG13">INDEX($L:$S,($W$2-1)*12+ROW(N13),COLUMN(N13)-11)</f>
        <v>340</v>
      </c>
      <c r="AH13" s="1553" cm="1">
        <f t="array" ref="AH13">INDEX($L:$S,($W$2-1)*12+ROW(O13),COLUMN(O13)-11)</f>
        <v>33.765245166408228</v>
      </c>
      <c r="AI13" s="1552" cm="1">
        <f t="array" ref="AI13">INDEX($L:$S,($W$2-1)*12+ROW(P13),COLUMN(P13)-11)</f>
        <v>0</v>
      </c>
      <c r="AJ13" s="1553" cm="1">
        <f t="array" ref="AJ13">INDEX($L:$S,($W$2-1)*12+ROW(Q13),COLUMN(Q13)-11)</f>
        <v>0</v>
      </c>
      <c r="AK13" s="1552" cm="1">
        <f t="array" ref="AK13">INDEX($L:$S,($W$2-1)*12+ROW(R13),COLUMN(R13)-11)</f>
        <v>0</v>
      </c>
      <c r="AL13" s="1553" cm="1">
        <f t="array" ref="AL13">INDEX($L:$S,($W$2-1)*12+ROW(S13),COLUMN(S13)-11)</f>
        <v>0</v>
      </c>
    </row>
    <row r="15" spans="3:38" ht="14" thickBot="1" x14ac:dyDescent="0.2">
      <c r="C15" s="104">
        <v>2</v>
      </c>
      <c r="D15" s="2" t="str">
        <f>INDEX(Tulokset_ENT!$X$12:$X$18,MATCH(C15,Tulokset_ENT!$Y$12:$Y$18,0))</f>
        <v>Model 100</v>
      </c>
      <c r="L15" s="104">
        <v>2</v>
      </c>
      <c r="M15" s="2" t="str">
        <f>INDEX(Tulokset_ENT!$X$12:$X$18,MATCH(L15,Tulokset_ENT!$Y$12:$Y$18,0))</f>
        <v>Model 100</v>
      </c>
    </row>
    <row r="16" spans="3:38" ht="14" thickBot="1" x14ac:dyDescent="0.2">
      <c r="C16" s="465" t="s">
        <v>7</v>
      </c>
      <c r="D16" s="1442" t="str">
        <f>D15</f>
        <v>Model 100</v>
      </c>
      <c r="E16" s="361"/>
      <c r="F16" s="361"/>
      <c r="G16" s="361"/>
      <c r="H16" s="361"/>
      <c r="I16" s="361"/>
      <c r="J16" s="362"/>
      <c r="L16" s="1441" t="s">
        <v>8</v>
      </c>
      <c r="M16" s="1442" t="str">
        <f>M15</f>
        <v>Model 100</v>
      </c>
      <c r="N16" s="361"/>
      <c r="O16" s="361"/>
      <c r="P16" s="361"/>
      <c r="Q16" s="361"/>
      <c r="R16" s="361"/>
      <c r="S16" s="362"/>
    </row>
    <row r="17" spans="3:19" x14ac:dyDescent="0.15">
      <c r="C17" s="1437" t="str">
        <f>'Laskenta tulopuoli 100_ENT'!$AA$4</f>
        <v>10 V</v>
      </c>
      <c r="D17" s="1444"/>
      <c r="E17" s="1437" t="str">
        <f>'Laskenta tulopuoli 100_ENT'!$AC$4</f>
        <v>6,5 V</v>
      </c>
      <c r="F17" s="1444"/>
      <c r="G17" s="1437" t="str">
        <f>'Laskenta tulopuoli 100_ENT'!$AE$4</f>
        <v>5 V</v>
      </c>
      <c r="H17" s="1444"/>
      <c r="I17" s="1437" t="str">
        <f>'Laskenta tulopuoli 100_ENT'!$AG$4</f>
        <v>3 V</v>
      </c>
      <c r="J17" s="231"/>
      <c r="L17" s="1437" t="str">
        <f>'Laskenta poistopuoli 100_ENT'!$AA$4</f>
        <v>10 V</v>
      </c>
      <c r="M17" s="1444"/>
      <c r="N17" s="1437" t="str">
        <f>'Laskenta poistopuoli 100_ENT'!$AC$4</f>
        <v>6,5 V</v>
      </c>
      <c r="O17" s="1444"/>
      <c r="P17" s="1437" t="str">
        <f>'Laskenta poistopuoli 100_ENT'!$AE$4</f>
        <v>5 V</v>
      </c>
      <c r="Q17" s="1444"/>
      <c r="R17" s="1437" t="str">
        <f>'Laskenta poistopuoli 100_ENT'!$AG$4</f>
        <v>3 V</v>
      </c>
      <c r="S17" s="231"/>
    </row>
    <row r="18" spans="3:19" ht="14" thickBot="1" x14ac:dyDescent="0.2">
      <c r="C18" s="306" t="s">
        <v>14</v>
      </c>
      <c r="D18" s="462" t="s">
        <v>13</v>
      </c>
      <c r="E18" s="306" t="s">
        <v>14</v>
      </c>
      <c r="F18" s="462" t="s">
        <v>13</v>
      </c>
      <c r="G18" s="306" t="s">
        <v>14</v>
      </c>
      <c r="H18" s="462" t="s">
        <v>13</v>
      </c>
      <c r="I18" s="306" t="s">
        <v>14</v>
      </c>
      <c r="J18" s="239" t="s">
        <v>13</v>
      </c>
      <c r="L18" s="306" t="s">
        <v>14</v>
      </c>
      <c r="M18" s="462" t="s">
        <v>13</v>
      </c>
      <c r="N18" s="306" t="s">
        <v>14</v>
      </c>
      <c r="O18" s="462" t="s">
        <v>13</v>
      </c>
      <c r="P18" s="306" t="s">
        <v>14</v>
      </c>
      <c r="Q18" s="462" t="s">
        <v>13</v>
      </c>
      <c r="R18" s="306" t="s">
        <v>14</v>
      </c>
      <c r="S18" s="239" t="s">
        <v>13</v>
      </c>
    </row>
    <row r="19" spans="3:19" x14ac:dyDescent="0.15">
      <c r="C19" s="1445">
        <f>'Laskenta tulopuoli 100_ENT'!$AA$6</f>
        <v>25</v>
      </c>
      <c r="D19" s="1438">
        <f>'Laskenta tulopuoli 100_ENT'!$AB$6</f>
        <v>105.55992375280067</v>
      </c>
      <c r="E19" s="1439">
        <f>'Laskenta tulopuoli 100_ENT'!$AC$6</f>
        <v>20</v>
      </c>
      <c r="F19" s="1438">
        <f>'Laskenta tulopuoli 100_ENT'!$AD$6</f>
        <v>80.704641716435873</v>
      </c>
      <c r="G19" s="1439">
        <f>'Laskenta tulopuoli 100_ENT'!$AE$6</f>
        <v>10</v>
      </c>
      <c r="H19" s="1438">
        <f>'Laskenta tulopuoli 100_ENT'!$AF$6</f>
        <v>54.339001915022031</v>
      </c>
      <c r="I19" s="1439">
        <f>'Laskenta tulopuoli 100_ENT'!$AG$6</f>
        <v>10</v>
      </c>
      <c r="J19" s="1440">
        <f>'Laskenta tulopuoli 100_ENT'!$AH$6</f>
        <v>20.411043893478237</v>
      </c>
      <c r="L19" s="1445">
        <f>'Laskenta poistopuoli 100_ENT'!$AA$6</f>
        <v>25</v>
      </c>
      <c r="M19" s="1438">
        <f>'Laskenta poistopuoli 100_ENT'!$AB$6</f>
        <v>115.67880715777122</v>
      </c>
      <c r="N19" s="1439">
        <f>'Laskenta poistopuoli 100_ENT'!$AC$6</f>
        <v>20</v>
      </c>
      <c r="O19" s="1438">
        <f>'Laskenta poistopuoli 100_ENT'!$AD$6</f>
        <v>91.988373586551461</v>
      </c>
      <c r="P19" s="1439">
        <f>'Laskenta poistopuoli 100_ENT'!$AE$6</f>
        <v>15</v>
      </c>
      <c r="Q19" s="1438">
        <f>'Laskenta poistopuoli 100_ENT'!$AF$6</f>
        <v>63.494874015749062</v>
      </c>
      <c r="R19" s="1439">
        <f>'Laskenta poistopuoli 100_ENT'!$AG$6</f>
        <v>10</v>
      </c>
      <c r="S19" s="1440">
        <f>'Laskenta poistopuoli 100_ENT'!$AH$6</f>
        <v>29.670491870313402</v>
      </c>
    </row>
    <row r="20" spans="3:19" x14ac:dyDescent="0.15">
      <c r="C20" s="304">
        <f>'Laskenta tulopuoli 100_ENT'!$AA$7</f>
        <v>120</v>
      </c>
      <c r="D20" s="463">
        <f>'Laskenta tulopuoli 100_ENT'!$AB$7</f>
        <v>91.334084830633799</v>
      </c>
      <c r="E20" s="305">
        <f>'Laskenta tulopuoli 100_ENT'!$AC$7</f>
        <v>50</v>
      </c>
      <c r="F20" s="463">
        <f>'Laskenta tulopuoli 100_ENT'!$AD$7</f>
        <v>73.838694391688321</v>
      </c>
      <c r="G20" s="305">
        <f>'Laskenta tulopuoli 100_ENT'!$AE$7</f>
        <v>40</v>
      </c>
      <c r="H20" s="463">
        <f>'Laskenta tulopuoli 100_ENT'!$AF$7</f>
        <v>44.807769064929076</v>
      </c>
      <c r="I20" s="305">
        <f>'Laskenta tulopuoli 100_ENT'!$AG$7</f>
        <v>20</v>
      </c>
      <c r="J20" s="460">
        <f>'Laskenta tulopuoli 100_ENT'!$AH$7</f>
        <v>15.414623288200497</v>
      </c>
      <c r="L20" s="304">
        <f>'Laskenta poistopuoli 100_ENT'!$AA$7</f>
        <v>120</v>
      </c>
      <c r="M20" s="463">
        <f>'Laskenta poistopuoli 100_ENT'!$AB$7</f>
        <v>103.49402125954791</v>
      </c>
      <c r="N20" s="305">
        <f>'Laskenta poistopuoli 100_ENT'!$AC$7</f>
        <v>50</v>
      </c>
      <c r="O20" s="463">
        <f>'Laskenta poistopuoli 100_ENT'!$AD$7</f>
        <v>86.286536155517794</v>
      </c>
      <c r="P20" s="305">
        <f>'Laskenta poistopuoli 100_ENT'!$AE$7</f>
        <v>40</v>
      </c>
      <c r="Q20" s="463">
        <f>'Laskenta poistopuoli 100_ENT'!$AF$7</f>
        <v>56.973770904089747</v>
      </c>
      <c r="R20" s="305">
        <f>'Laskenta poistopuoli 100_ENT'!$AG$7</f>
        <v>20</v>
      </c>
      <c r="S20" s="460">
        <f>'Laskenta poistopuoli 100_ENT'!$AH$7</f>
        <v>22.578901953211147</v>
      </c>
    </row>
    <row r="21" spans="3:19" x14ac:dyDescent="0.15">
      <c r="C21" s="304">
        <f>'Laskenta tulopuoli 100_ENT'!$AA$8</f>
        <v>190</v>
      </c>
      <c r="D21" s="463">
        <f>'Laskenta tulopuoli 100_ENT'!$AB$8</f>
        <v>79.861474107511413</v>
      </c>
      <c r="E21" s="305">
        <f>'Laskenta tulopuoli 100_ENT'!$AC$8</f>
        <v>100</v>
      </c>
      <c r="F21" s="463">
        <f>'Laskenta tulopuoli 100_ENT'!$AD$8</f>
        <v>61.665564184927057</v>
      </c>
      <c r="G21" s="305">
        <f>'Laskenta tulopuoli 100_ENT'!$AE$8</f>
        <v>60</v>
      </c>
      <c r="H21" s="463">
        <f>'Laskenta tulopuoli 100_ENT'!$AF$8</f>
        <v>38.065608935044438</v>
      </c>
      <c r="I21" s="305">
        <f>'Laskenta tulopuoli 100_ENT'!$AG$8</f>
        <v>25</v>
      </c>
      <c r="J21" s="460">
        <f>'Laskenta tulopuoli 100_ENT'!$AH$8</f>
        <v>12.814599421780468</v>
      </c>
      <c r="L21" s="304">
        <f>'Laskenta poistopuoli 100_ENT'!$AA$8</f>
        <v>190</v>
      </c>
      <c r="M21" s="463">
        <f>'Laskenta poistopuoli 100_ENT'!$AB$8</f>
        <v>93.392194792281046</v>
      </c>
      <c r="N21" s="305">
        <f>'Laskenta poistopuoli 100_ENT'!$AC$8</f>
        <v>100</v>
      </c>
      <c r="O21" s="463">
        <f>'Laskenta poistopuoli 100_ENT'!$AD$8</f>
        <v>75.900637350102883</v>
      </c>
      <c r="P21" s="305">
        <f>'Laskenta poistopuoli 100_ENT'!$AE$8</f>
        <v>60</v>
      </c>
      <c r="Q21" s="463">
        <f>'Laskenta poistopuoli 100_ENT'!$AF$8</f>
        <v>51.145153604780376</v>
      </c>
      <c r="R21" s="305">
        <f>'Laskenta poistopuoli 100_ENT'!$AG$8</f>
        <v>30</v>
      </c>
      <c r="S21" s="460">
        <f>'Laskenta poistopuoli 100_ENT'!$AH$8</f>
        <v>16.488965411522997</v>
      </c>
    </row>
    <row r="22" spans="3:19" x14ac:dyDescent="0.15">
      <c r="C22" s="304">
        <f>'Laskenta tulopuoli 100_ENT'!$AA$9</f>
        <v>250</v>
      </c>
      <c r="D22" s="463">
        <f>'Laskenta tulopuoli 100_ENT'!$AB$9</f>
        <v>69.154705393973089</v>
      </c>
      <c r="E22" s="305">
        <f>'Laskenta tulopuoli 100_ENT'!$AC$9</f>
        <v>150</v>
      </c>
      <c r="F22" s="463">
        <f>'Laskenta tulopuoli 100_ENT'!$AD$9</f>
        <v>48.356228284154241</v>
      </c>
      <c r="G22" s="305">
        <f>'Laskenta tulopuoli 100_ENT'!$AE$9</f>
        <v>80</v>
      </c>
      <c r="H22" s="463">
        <f>'Laskenta tulopuoli 100_ENT'!$AF$9</f>
        <v>30.953738781884212</v>
      </c>
      <c r="I22" s="305">
        <f>'Laskenta tulopuoli 100_ENT'!$AG$9</f>
        <v>30</v>
      </c>
      <c r="J22" s="460">
        <f>'Laskenta tulopuoli 100_ENT'!$AH$9</f>
        <v>10.138839913756215</v>
      </c>
      <c r="L22" s="304">
        <f>'Laskenta poistopuoli 100_ENT'!$AA$9</f>
        <v>250</v>
      </c>
      <c r="M22" s="463">
        <f>'Laskenta poistopuoli 100_ENT'!$AB$9</f>
        <v>83.647531933078071</v>
      </c>
      <c r="N22" s="305">
        <f>'Laskenta poistopuoli 100_ENT'!$AC$9</f>
        <v>150</v>
      </c>
      <c r="O22" s="463">
        <f>'Laskenta poistopuoli 100_ENT'!$AD$9</f>
        <v>63.979035472792781</v>
      </c>
      <c r="P22" s="305">
        <f>'Laskenta poistopuoli 100_ENT'!$AE$9</f>
        <v>80</v>
      </c>
      <c r="Q22" s="463">
        <f>'Laskenta poistopuoli 100_ENT'!$AF$9</f>
        <v>44.536021272153903</v>
      </c>
      <c r="R22" s="305">
        <f>'Laskenta poistopuoli 100_ENT'!$AG$9</f>
        <v>35</v>
      </c>
      <c r="S22" s="460">
        <f>'Laskenta poistopuoli 100_ENT'!$AH$9</f>
        <v>13.708304384736721</v>
      </c>
    </row>
    <row r="23" spans="3:19" x14ac:dyDescent="0.15">
      <c r="C23" s="304">
        <f>'Laskenta tulopuoli 100_ENT'!$AA$10</f>
        <v>320</v>
      </c>
      <c r="D23" s="463">
        <f>'Laskenta tulopuoli 100_ENT'!$AB$10</f>
        <v>55.301465600422567</v>
      </c>
      <c r="E23" s="305">
        <f>'Laskenta tulopuoli 100_ENT'!$AC$10</f>
        <v>170</v>
      </c>
      <c r="F23" s="463">
        <f>'Laskenta tulopuoli 100_ENT'!$AD$10</f>
        <v>42.633564679818207</v>
      </c>
      <c r="G23" s="305">
        <f>'Laskenta tulopuoli 100_ENT'!$AE$10</f>
        <v>100</v>
      </c>
      <c r="H23" s="463">
        <f>'Laskenta tulopuoli 100_ENT'!$AF$10</f>
        <v>23.403717201633526</v>
      </c>
      <c r="I23" s="305">
        <f>'Laskenta tulopuoli 100_ENT'!$AG$10</f>
        <v>34</v>
      </c>
      <c r="J23" s="460">
        <f>'Laskenta tulopuoli 100_ENT'!$AH$10</f>
        <v>7.9390146933981729</v>
      </c>
      <c r="L23" s="304">
        <f>'Laskenta poistopuoli 100_ENT'!$AA$10</f>
        <v>320</v>
      </c>
      <c r="M23" s="463">
        <f>'Laskenta poistopuoli 100_ENT'!$AB$10</f>
        <v>70.340226812771604</v>
      </c>
      <c r="N23" s="305">
        <f>'Laskenta poistopuoli 100_ENT'!$AC$10</f>
        <v>170</v>
      </c>
      <c r="O23" s="463">
        <f>'Laskenta poistopuoli 100_ENT'!$AD$10</f>
        <v>58.592403493552204</v>
      </c>
      <c r="P23" s="305">
        <f>'Laskenta poistopuoli 100_ENT'!$AE$10</f>
        <v>100</v>
      </c>
      <c r="Q23" s="463">
        <f>'Laskenta poistopuoli 100_ENT'!$AF$10</f>
        <v>36.710790610696051</v>
      </c>
      <c r="R23" s="305">
        <f>'Laskenta poistopuoli 100_ENT'!$AG$10</f>
        <v>40</v>
      </c>
      <c r="S23" s="460">
        <f>'Laskenta poistopuoli 100_ENT'!$AH$10</f>
        <v>11.06772203702376</v>
      </c>
    </row>
    <row r="24" spans="3:19" x14ac:dyDescent="0.15">
      <c r="C24" s="304">
        <f>'Laskenta tulopuoli 100_ENT'!$AA$11</f>
        <v>390</v>
      </c>
      <c r="D24" s="463">
        <f>'Laskenta tulopuoli 100_ENT'!$AB$11</f>
        <v>39.334311694441077</v>
      </c>
      <c r="E24" s="305">
        <f>'Laskenta tulopuoli 100_ENT'!$AC$11</f>
        <v>190</v>
      </c>
      <c r="F24" s="463">
        <f>'Laskenta tulopuoli 100_ENT'!$AD$11</f>
        <v>36.633999759441082</v>
      </c>
      <c r="G24" s="305">
        <f>'Laskenta tulopuoli 100_ENT'!$AE$11</f>
        <v>110</v>
      </c>
      <c r="H24" s="463">
        <f>'Laskenta tulopuoli 100_ENT'!$AF$11</f>
        <v>19.436728566723829</v>
      </c>
      <c r="I24" s="305"/>
      <c r="J24" s="460"/>
      <c r="L24" s="304">
        <f>'Laskenta poistopuoli 100_ENT'!$AA$11</f>
        <v>390</v>
      </c>
      <c r="M24" s="463">
        <f>'Laskenta poistopuoli 100_ENT'!$AB$11</f>
        <v>53.15774384679068</v>
      </c>
      <c r="N24" s="305">
        <f>'Laskenta poistopuoli 100_ENT'!$AC$11</f>
        <v>190</v>
      </c>
      <c r="O24" s="463">
        <f>'Laskenta poistopuoli 100_ENT'!$AD$11</f>
        <v>52.709351379206979</v>
      </c>
      <c r="P24" s="305">
        <f>'Laskenta poistopuoli 100_ENT'!$AE$11</f>
        <v>125</v>
      </c>
      <c r="Q24" s="463">
        <f>'Laskenta poistopuoli 100_ENT'!$AF$11</f>
        <v>23.297949159489587</v>
      </c>
      <c r="R24" s="305"/>
      <c r="S24" s="460"/>
    </row>
    <row r="25" spans="3:19" ht="14" thickBot="1" x14ac:dyDescent="0.2">
      <c r="C25" s="306">
        <f>'Laskenta tulopuoli 100_ENT'!$AA$12</f>
        <v>400</v>
      </c>
      <c r="D25" s="464">
        <f>'Laskenta tulopuoli 100_ENT'!$AB$12</f>
        <v>36.814967342900474</v>
      </c>
      <c r="E25" s="307">
        <f>'Laskenta tulopuoli 100_ENT'!$AC$12</f>
        <v>220</v>
      </c>
      <c r="F25" s="464">
        <f>'Laskenta tulopuoli 100_ENT'!$AD$12</f>
        <v>27.014459006801598</v>
      </c>
      <c r="G25" s="307"/>
      <c r="H25" s="464"/>
      <c r="I25" s="307"/>
      <c r="J25" s="461"/>
      <c r="L25" s="306">
        <f>'Laskenta poistopuoli 100_ENT'!$AA$12</f>
        <v>425</v>
      </c>
      <c r="M25" s="464">
        <f>'Laskenta poistopuoli 100_ENT'!$AB$12</f>
        <v>41.2632427578814</v>
      </c>
      <c r="N25" s="307">
        <f>'Laskenta poistopuoli 100_ENT'!$AC$12</f>
        <v>245</v>
      </c>
      <c r="O25" s="464">
        <f>'Laskenta poistopuoli 100_ENT'!$AD$12</f>
        <v>32.044849239800861</v>
      </c>
      <c r="P25" s="307"/>
      <c r="Q25" s="464"/>
      <c r="R25" s="307"/>
      <c r="S25" s="461"/>
    </row>
    <row r="27" spans="3:19" ht="14" thickBot="1" x14ac:dyDescent="0.2">
      <c r="C27" s="104">
        <v>3</v>
      </c>
      <c r="D27" s="2" t="str">
        <f>INDEX(Tulokset_ENT!$X$12:$X$18,MATCH(C27,Tulokset_ENT!$Y$12:$Y$18,0))</f>
        <v>Model 150ENT</v>
      </c>
      <c r="L27" s="104">
        <v>3</v>
      </c>
      <c r="M27" s="2" t="str">
        <f>INDEX(Tulokset_ENT!$X$12:$X$18,MATCH(L27,Tulokset_ENT!$Y$12:$Y$18,0))</f>
        <v>Model 150ENT</v>
      </c>
    </row>
    <row r="28" spans="3:19" ht="14" thickBot="1" x14ac:dyDescent="0.2">
      <c r="C28" s="465" t="s">
        <v>7</v>
      </c>
      <c r="D28" s="1442" t="str">
        <f>D27</f>
        <v>Model 150ENT</v>
      </c>
      <c r="E28" s="361"/>
      <c r="F28" s="361"/>
      <c r="G28" s="361"/>
      <c r="H28" s="361"/>
      <c r="I28" s="361"/>
      <c r="J28" s="362"/>
      <c r="L28" s="1441" t="s">
        <v>8</v>
      </c>
      <c r="M28" s="1442" t="str">
        <f>M27</f>
        <v>Model 150ENT</v>
      </c>
      <c r="N28" s="361"/>
      <c r="O28" s="361"/>
      <c r="P28" s="361"/>
      <c r="Q28" s="361"/>
      <c r="R28" s="361"/>
      <c r="S28" s="362"/>
    </row>
    <row r="29" spans="3:19" x14ac:dyDescent="0.15">
      <c r="C29" s="1437" t="str">
        <f>'Laskenta tulopuoli 150_ENT'!$AA$4</f>
        <v>10 V</v>
      </c>
      <c r="D29" s="1444"/>
      <c r="E29" s="1437" t="str">
        <f>'Laskenta tulopuoli 150_ENT'!$AC$4</f>
        <v>6,5 V</v>
      </c>
      <c r="F29" s="1444"/>
      <c r="G29" s="1437" t="str">
        <f>'Laskenta tulopuoli 150_ENT'!$AE$4</f>
        <v>5 V</v>
      </c>
      <c r="H29" s="1444"/>
      <c r="I29" s="1437" t="str">
        <f>'Laskenta tulopuoli 150_ENT'!$AG$4</f>
        <v>3 V</v>
      </c>
      <c r="J29" s="231"/>
      <c r="L29" s="1437" t="str">
        <f>'Laskenta poistopuoli 150_ENT'!$AA$4</f>
        <v>10 V</v>
      </c>
      <c r="M29" s="1444"/>
      <c r="N29" s="1437" t="str">
        <f>'Laskenta poistopuoli 150_ENT'!$AC$4</f>
        <v>6,5 V</v>
      </c>
      <c r="O29" s="1444"/>
      <c r="P29" s="1437" t="str">
        <f>'Laskenta poistopuoli 150_ENT'!$AE$4</f>
        <v>5 V</v>
      </c>
      <c r="Q29" s="1444"/>
      <c r="R29" s="1437" t="str">
        <f>'Laskenta poistopuoli 150_ENT'!$AG$4</f>
        <v>3 V</v>
      </c>
      <c r="S29" s="231"/>
    </row>
    <row r="30" spans="3:19" ht="14" thickBot="1" x14ac:dyDescent="0.2">
      <c r="C30" s="306" t="s">
        <v>14</v>
      </c>
      <c r="D30" s="462" t="s">
        <v>13</v>
      </c>
      <c r="E30" s="306" t="s">
        <v>14</v>
      </c>
      <c r="F30" s="462" t="s">
        <v>13</v>
      </c>
      <c r="G30" s="306" t="s">
        <v>14</v>
      </c>
      <c r="H30" s="462" t="s">
        <v>13</v>
      </c>
      <c r="I30" s="306" t="s">
        <v>14</v>
      </c>
      <c r="J30" s="239" t="s">
        <v>13</v>
      </c>
      <c r="L30" s="306" t="s">
        <v>14</v>
      </c>
      <c r="M30" s="462" t="s">
        <v>13</v>
      </c>
      <c r="N30" s="306" t="s">
        <v>14</v>
      </c>
      <c r="O30" s="462" t="s">
        <v>13</v>
      </c>
      <c r="P30" s="306" t="s">
        <v>14</v>
      </c>
      <c r="Q30" s="462" t="s">
        <v>13</v>
      </c>
      <c r="R30" s="306" t="s">
        <v>14</v>
      </c>
      <c r="S30" s="239" t="s">
        <v>13</v>
      </c>
    </row>
    <row r="31" spans="3:19" x14ac:dyDescent="0.15">
      <c r="C31" s="1445">
        <f>'Laskenta tulopuoli 150_ENT'!$AA$6</f>
        <v>60</v>
      </c>
      <c r="D31" s="1438">
        <f>'Laskenta tulopuoli 150_ENT'!$AB$6</f>
        <v>164.68916428096787</v>
      </c>
      <c r="E31" s="1439">
        <f>'Laskenta tulopuoli 150_ENT'!$AC$6</f>
        <v>40</v>
      </c>
      <c r="F31" s="1438">
        <f>'Laskenta tulopuoli 150_ENT'!$AD$6</f>
        <v>121.06721286656557</v>
      </c>
      <c r="G31" s="1439">
        <f>'Laskenta tulopuoli 150_ENT'!$AE$6</f>
        <v>25</v>
      </c>
      <c r="H31" s="1438">
        <f>'Laskenta tulopuoli 150_ENT'!$AF$6</f>
        <v>87.031407197974815</v>
      </c>
      <c r="I31" s="1439">
        <f>'Laskenta tulopuoli 150_ENT'!$AG$6</f>
        <v>10</v>
      </c>
      <c r="J31" s="1440">
        <f>'Laskenta tulopuoli 150_ENT'!$AH$6</f>
        <v>46.040286179214114</v>
      </c>
      <c r="L31" s="1445">
        <f>'Laskenta poistopuoli 150_ENT'!$AA$6</f>
        <v>100</v>
      </c>
      <c r="M31" s="1438">
        <f>'Laskenta poistopuoli 150_ENT'!$AB$6</f>
        <v>181.77869057311793</v>
      </c>
      <c r="N31" s="1439">
        <f>'Laskenta poistopuoli 150_ENT'!$AC$6</f>
        <v>50</v>
      </c>
      <c r="O31" s="1438">
        <f>'Laskenta poistopuoli 150_ENT'!$AD$6</f>
        <v>133.02077164686926</v>
      </c>
      <c r="P31" s="1439">
        <f>'Laskenta poistopuoli 150_ENT'!$AE$6</f>
        <v>35</v>
      </c>
      <c r="Q31" s="1438">
        <f>'Laskenta poistopuoli 150_ENT'!$AF$6</f>
        <v>97.869351818976341</v>
      </c>
      <c r="R31" s="1439">
        <f>'Laskenta poistopuoli 150_ENT'!$AG$6</f>
        <v>15</v>
      </c>
      <c r="S31" s="1440">
        <f>'Laskenta poistopuoli 150_ENT'!$AH$6</f>
        <v>53.529905260257379</v>
      </c>
    </row>
    <row r="32" spans="3:19" x14ac:dyDescent="0.15">
      <c r="C32" s="304">
        <f>'Laskenta tulopuoli 150_ENT'!$AA$7</f>
        <v>120</v>
      </c>
      <c r="D32" s="463">
        <f>'Laskenta tulopuoli 150_ENT'!$AB$7</f>
        <v>156.33824873484488</v>
      </c>
      <c r="E32" s="305">
        <f>'Laskenta tulopuoli 150_ENT'!$AC$7</f>
        <v>50</v>
      </c>
      <c r="F32" s="463">
        <f>'Laskenta tulopuoli 150_ENT'!$AD$7</f>
        <v>118.95547364278103</v>
      </c>
      <c r="G32" s="305">
        <f>'Laskenta tulopuoli 150_ENT'!$AE$7</f>
        <v>40</v>
      </c>
      <c r="H32" s="463">
        <f>'Laskenta tulopuoli 150_ENT'!$AF$7</f>
        <v>83.42811903148889</v>
      </c>
      <c r="I32" s="305">
        <f>'Laskenta tulopuoli 150_ENT'!$AG$7</f>
        <v>20</v>
      </c>
      <c r="J32" s="460">
        <f>'Laskenta tulopuoli 150_ENT'!$AH$7</f>
        <v>42.712694256060544</v>
      </c>
      <c r="L32" s="304">
        <f>'Laskenta poistopuoli 150_ENT'!$AA$7</f>
        <v>120</v>
      </c>
      <c r="M32" s="463">
        <f>'Laskenta poistopuoli 150_ENT'!$AB$7</f>
        <v>177.24711473659906</v>
      </c>
      <c r="N32" s="305">
        <f>'Laskenta poistopuoli 150_ENT'!$AC$7</f>
        <v>50</v>
      </c>
      <c r="O32" s="463">
        <f>'Laskenta poistopuoli 150_ENT'!$AD$7</f>
        <v>133.02077164686926</v>
      </c>
      <c r="P32" s="305">
        <f>'Laskenta poistopuoli 150_ENT'!$AE$7</f>
        <v>40</v>
      </c>
      <c r="Q32" s="463">
        <f>'Laskenta poistopuoli 150_ENT'!$AF$7</f>
        <v>96.341221718555602</v>
      </c>
      <c r="R32" s="305">
        <f>'Laskenta poistopuoli 150_ENT'!$AG$7</f>
        <v>20</v>
      </c>
      <c r="S32" s="460">
        <f>'Laskenta poistopuoli 150_ENT'!$AH$7</f>
        <v>51.668157815233783</v>
      </c>
    </row>
    <row r="33" spans="3:19" x14ac:dyDescent="0.15">
      <c r="C33" s="304">
        <f>'Laskenta tulopuoli 150_ENT'!$AA$8</f>
        <v>190</v>
      </c>
      <c r="D33" s="463">
        <f>'Laskenta tulopuoli 150_ENT'!$AB$8</f>
        <v>146.58883133740329</v>
      </c>
      <c r="E33" s="305">
        <f>'Laskenta tulopuoli 150_ENT'!$AC$8</f>
        <v>100</v>
      </c>
      <c r="F33" s="463">
        <f>'Laskenta tulopuoli 150_ENT'!$AD$8</f>
        <v>108.72757540655722</v>
      </c>
      <c r="G33" s="305">
        <f>'Laskenta tulopuoli 150_ENT'!$AE$8</f>
        <v>60</v>
      </c>
      <c r="H33" s="463">
        <f>'Laskenta tulopuoli 150_ENT'!$AF$8</f>
        <v>78.654122417993619</v>
      </c>
      <c r="I33" s="305">
        <f>'Laskenta tulopuoli 150_ENT'!$AG$8</f>
        <v>25</v>
      </c>
      <c r="J33" s="460">
        <f>'Laskenta tulopuoli 150_ENT'!$AH$8</f>
        <v>40.984448126885262</v>
      </c>
      <c r="L33" s="304">
        <f>'Laskenta poistopuoli 150_ENT'!$AA$8</f>
        <v>190</v>
      </c>
      <c r="M33" s="463">
        <f>'Laskenta poistopuoli 150_ENT'!$AB$8</f>
        <v>163.95870969060681</v>
      </c>
      <c r="N33" s="305">
        <f>'Laskenta poistopuoli 150_ENT'!$AC$8</f>
        <v>100</v>
      </c>
      <c r="O33" s="463">
        <f>'Laskenta poistopuoli 150_ENT'!$AD$8</f>
        <v>120.97570091639558</v>
      </c>
      <c r="P33" s="305">
        <f>'Laskenta poistopuoli 150_ENT'!$AE$8</f>
        <v>60</v>
      </c>
      <c r="Q33" s="463">
        <f>'Laskenta poistopuoli 150_ENT'!$AF$8</f>
        <v>90.3580825260903</v>
      </c>
      <c r="R33" s="305">
        <f>'Laskenta poistopuoli 150_ENT'!$AG$8</f>
        <v>25</v>
      </c>
      <c r="S33" s="460">
        <f>'Laskenta poistopuoli 150_ENT'!$AH$8</f>
        <v>49.756583660446097</v>
      </c>
    </row>
    <row r="34" spans="3:19" x14ac:dyDescent="0.15">
      <c r="C34" s="304">
        <f>'Laskenta tulopuoli 150_ENT'!$AA$9</f>
        <v>250</v>
      </c>
      <c r="D34" s="463">
        <f>'Laskenta tulopuoli 150_ENT'!$AB$9</f>
        <v>138.22644841705758</v>
      </c>
      <c r="E34" s="305">
        <f>'Laskenta tulopuoli 150_ENT'!$AC$9</f>
        <v>150</v>
      </c>
      <c r="F34" s="463">
        <f>'Laskenta tulopuoli 150_ENT'!$AD$9</f>
        <v>98.993053012637731</v>
      </c>
      <c r="G34" s="305">
        <f>'Laskenta tulopuoli 150_ENT'!$AE$9</f>
        <v>80</v>
      </c>
      <c r="H34" s="463">
        <f>'Laskenta tulopuoli 150_ENT'!$AF$9</f>
        <v>73.914173663721783</v>
      </c>
      <c r="I34" s="305">
        <f>'Laskenta tulopuoli 150_ENT'!$AG$9</f>
        <v>30</v>
      </c>
      <c r="J34" s="460">
        <f>'Laskenta tulopuoli 150_ENT'!$AH$9</f>
        <v>39.208521433821417</v>
      </c>
      <c r="L34" s="304">
        <f>'Laskenta poistopuoli 150_ENT'!$AA$9</f>
        <v>250</v>
      </c>
      <c r="M34" s="463">
        <f>'Laskenta poistopuoli 150_ENT'!$AB$9</f>
        <v>154.52064814384127</v>
      </c>
      <c r="N34" s="305">
        <f>'Laskenta poistopuoli 150_ENT'!$AC$9</f>
        <v>150</v>
      </c>
      <c r="O34" s="463">
        <f>'Laskenta poistopuoli 150_ENT'!$AD$9</f>
        <v>109.3336223187892</v>
      </c>
      <c r="P34" s="305">
        <f>'Laskenta poistopuoli 150_ENT'!$AE$9</f>
        <v>80</v>
      </c>
      <c r="Q34" s="463">
        <f>'Laskenta poistopuoli 150_ENT'!$AF$9</f>
        <v>84.567084347681643</v>
      </c>
      <c r="R34" s="305">
        <f>'Laskenta poistopuoli 150_ENT'!$AG$9</f>
        <v>30</v>
      </c>
      <c r="S34" s="460">
        <f>'Laskenta poistopuoli 150_ENT'!$AH$9</f>
        <v>47.79095425763191</v>
      </c>
    </row>
    <row r="35" spans="3:19" x14ac:dyDescent="0.15">
      <c r="C35" s="304">
        <f>'Laskenta tulopuoli 150_ENT'!$AA$10</f>
        <v>320</v>
      </c>
      <c r="D35" s="463">
        <f>'Laskenta tulopuoli 150_ENT'!$AB$10</f>
        <v>128.463624829699</v>
      </c>
      <c r="E35" s="305">
        <f>'Laskenta tulopuoli 150_ENT'!$AC$10</f>
        <v>170</v>
      </c>
      <c r="F35" s="463">
        <f>'Laskenta tulopuoli 150_ENT'!$AD$10</f>
        <v>95.222301961660534</v>
      </c>
      <c r="G35" s="305">
        <f>'Laskenta tulopuoli 150_ENT'!$AE$10</f>
        <v>100</v>
      </c>
      <c r="H35" s="463">
        <f>'Laskenta tulopuoli 150_ENT'!$AF$10</f>
        <v>69.207554513858213</v>
      </c>
      <c r="I35" s="305">
        <f>'Laskenta tulopuoli 150_ENT'!$AG$10</f>
        <v>50</v>
      </c>
      <c r="J35" s="460">
        <f>'Laskenta tulopuoli 150_ENT'!$AH$10</f>
        <v>31.533758619712255</v>
      </c>
      <c r="L35" s="304">
        <f>'Laskenta poistopuoli 150_ENT'!$AA$10</f>
        <v>320</v>
      </c>
      <c r="M35" s="463">
        <f>'Laskenta poistopuoli 150_ENT'!$AB$10</f>
        <v>144.89362815563373</v>
      </c>
      <c r="N35" s="305">
        <f>'Laskenta poistopuoli 150_ENT'!$AC$10</f>
        <v>170</v>
      </c>
      <c r="O35" s="463">
        <f>'Laskenta poistopuoli 150_ENT'!$AD$10</f>
        <v>104.78093084349958</v>
      </c>
      <c r="P35" s="305">
        <f>'Laskenta poistopuoli 150_ENT'!$AE$10</f>
        <v>100</v>
      </c>
      <c r="Q35" s="463">
        <f>'Laskenta poistopuoli 150_ENT'!$AF$10</f>
        <v>78.950825326358625</v>
      </c>
      <c r="R35" s="305">
        <f>'Laskenta poistopuoli 150_ENT'!$AG$10</f>
        <v>55</v>
      </c>
      <c r="S35" s="460">
        <f>'Laskenta poistopuoli 150_ENT'!$AH$10</f>
        <v>36.950275816920829</v>
      </c>
    </row>
    <row r="36" spans="3:19" x14ac:dyDescent="0.15">
      <c r="C36" s="304">
        <f>'Laskenta tulopuoli 150_ENT'!$AA$11</f>
        <v>350</v>
      </c>
      <c r="D36" s="463">
        <f>'Laskenta tulopuoli 150_ENT'!$AB$11</f>
        <v>124.27734168192819</v>
      </c>
      <c r="E36" s="305">
        <f>'Laskenta tulopuoli 150_ENT'!$AC$11</f>
        <v>190</v>
      </c>
      <c r="F36" s="463">
        <f>'Laskenta tulopuoli 150_ENT'!$AD$11</f>
        <v>91.516389636149285</v>
      </c>
      <c r="G36" s="305">
        <f>'Laskenta tulopuoli 150_ENT'!$AE$11</f>
        <v>130</v>
      </c>
      <c r="H36" s="463">
        <f>'Laskenta tulopuoli 150_ENT'!$AF$11</f>
        <v>62.208608606064594</v>
      </c>
      <c r="I36" s="305"/>
      <c r="J36" s="460"/>
      <c r="L36" s="304">
        <f>'Laskenta poistopuoli 150_ENT'!$AA$11</f>
        <v>390</v>
      </c>
      <c r="M36" s="463">
        <f>'Laskenta poistopuoli 150_ENT'!$AB$11</f>
        <v>136.29910964571815</v>
      </c>
      <c r="N36" s="305">
        <f>'Laskenta poistopuoli 150_ENT'!$AC$11</f>
        <v>190</v>
      </c>
      <c r="O36" s="463">
        <f>'Laskenta poistopuoli 150_ENT'!$AD$11</f>
        <v>100.28442653274774</v>
      </c>
      <c r="P36" s="305">
        <f>'Laskenta poistopuoli 150_ENT'!$AE$11</f>
        <v>138</v>
      </c>
      <c r="Q36" s="463">
        <f>'Laskenta poistopuoli 150_ENT'!$AF$11</f>
        <v>68.709516695144444</v>
      </c>
      <c r="R36" s="305"/>
      <c r="S36" s="460"/>
    </row>
    <row r="37" spans="3:19" ht="14" thickBot="1" x14ac:dyDescent="0.2">
      <c r="C37" s="306">
        <f>'Laskenta tulopuoli 150_ENT'!$AA$12</f>
        <v>420</v>
      </c>
      <c r="D37" s="464">
        <f>'Laskenta tulopuoli 150_ENT'!$AB$12</f>
        <v>114.50416792437591</v>
      </c>
      <c r="E37" s="307">
        <f>'Laskenta tulopuoli 150_ENT'!$AC$12</f>
        <v>240</v>
      </c>
      <c r="F37" s="464">
        <f>'Laskenta tulopuoli 150_ENT'!$AD$12</f>
        <v>82.51468853794691</v>
      </c>
      <c r="G37" s="307"/>
      <c r="H37" s="464"/>
      <c r="I37" s="307"/>
      <c r="J37" s="461"/>
      <c r="L37" s="306">
        <f>'Laskenta poistopuoli 150_ENT'!$AA$12</f>
        <v>450</v>
      </c>
      <c r="M37" s="464">
        <f>'Laskenta poistopuoli 150_ENT'!$AB$12</f>
        <v>129.54283234586202</v>
      </c>
      <c r="N37" s="307">
        <f>'Laskenta poistopuoli 150_ENT'!$AC$12</f>
        <v>235</v>
      </c>
      <c r="O37" s="464">
        <f>'Laskenta poistopuoli 150_ENT'!$AD$12</f>
        <v>90.362402112613097</v>
      </c>
      <c r="P37" s="307"/>
      <c r="Q37" s="464"/>
      <c r="R37" s="307"/>
      <c r="S37" s="461"/>
    </row>
    <row r="39" spans="3:19" ht="14" thickBot="1" x14ac:dyDescent="0.2">
      <c r="C39" s="104">
        <v>4</v>
      </c>
      <c r="D39" s="2" t="str">
        <f>INDEX(Tulokset_ENT!$X$12:$X$18,MATCH(C39,Tulokset_ENT!$Y$12:$Y$18,0))</f>
        <v>Model 250ENT</v>
      </c>
      <c r="L39" s="104">
        <v>4</v>
      </c>
      <c r="M39" s="2" t="str">
        <f>INDEX(Tulokset_ENT!$X$12:$X$18,MATCH(L39,Tulokset_ENT!$Y$12:$Y$18,0))</f>
        <v>Model 250ENT</v>
      </c>
    </row>
    <row r="40" spans="3:19" ht="14" thickBot="1" x14ac:dyDescent="0.2">
      <c r="C40" s="465" t="s">
        <v>7</v>
      </c>
      <c r="D40" s="1442" t="str">
        <f>D39</f>
        <v>Model 250ENT</v>
      </c>
      <c r="E40" s="361"/>
      <c r="F40" s="361"/>
      <c r="G40" s="361"/>
      <c r="H40" s="361"/>
      <c r="I40" s="361"/>
      <c r="J40" s="362"/>
      <c r="L40" s="1441" t="s">
        <v>8</v>
      </c>
      <c r="M40" s="1442" t="str">
        <f>M39</f>
        <v>Model 250ENT</v>
      </c>
      <c r="N40" s="361"/>
      <c r="O40" s="361"/>
      <c r="P40" s="361"/>
      <c r="Q40" s="361"/>
      <c r="R40" s="361"/>
      <c r="S40" s="362"/>
    </row>
    <row r="41" spans="3:19" x14ac:dyDescent="0.15">
      <c r="C41" s="1437" t="str">
        <f>'Laskenta tulopuoli 250_ENT'!$AA$4</f>
        <v>7,5 V</v>
      </c>
      <c r="D41" s="1444"/>
      <c r="E41" s="1437" t="str">
        <f>'Laskenta tulopuoli 250_ENT'!$AC$4</f>
        <v>7,5 V</v>
      </c>
      <c r="F41" s="1444"/>
      <c r="G41" s="1437" t="str">
        <f>'Laskenta tulopuoli 250_ENT'!$AE$4</f>
        <v>6 V</v>
      </c>
      <c r="H41" s="1444"/>
      <c r="I41" s="1437" t="str">
        <f>'Laskenta tulopuoli 250_ENT'!$AG$4</f>
        <v>4 V</v>
      </c>
      <c r="J41" s="231"/>
      <c r="L41" s="1437" t="str">
        <f>'Laskenta poistopuoli 250_ENT'!$AA$4</f>
        <v>7,5 V</v>
      </c>
      <c r="M41" s="1444"/>
      <c r="N41" s="1437" t="str">
        <f>'Laskenta poistopuoli 250_ENT'!$AC$4</f>
        <v>7,5 V</v>
      </c>
      <c r="O41" s="1444"/>
      <c r="P41" s="1437" t="str">
        <f>'Laskenta poistopuoli 250_ENT'!$AE$4</f>
        <v>6 V</v>
      </c>
      <c r="Q41" s="1444"/>
      <c r="R41" s="1437" t="str">
        <f>'Laskenta poistopuoli 250_ENT'!$AG$4</f>
        <v>4 V</v>
      </c>
      <c r="S41" s="231"/>
    </row>
    <row r="42" spans="3:19" ht="14" thickBot="1" x14ac:dyDescent="0.2">
      <c r="C42" s="306" t="s">
        <v>14</v>
      </c>
      <c r="D42" s="462" t="s">
        <v>13</v>
      </c>
      <c r="E42" s="306" t="s">
        <v>14</v>
      </c>
      <c r="F42" s="462" t="s">
        <v>13</v>
      </c>
      <c r="G42" s="306" t="s">
        <v>14</v>
      </c>
      <c r="H42" s="462" t="s">
        <v>13</v>
      </c>
      <c r="I42" s="306" t="s">
        <v>14</v>
      </c>
      <c r="J42" s="239" t="s">
        <v>13</v>
      </c>
      <c r="L42" s="306" t="s">
        <v>14</v>
      </c>
      <c r="M42" s="462" t="s">
        <v>13</v>
      </c>
      <c r="N42" s="306" t="s">
        <v>14</v>
      </c>
      <c r="O42" s="462" t="s">
        <v>13</v>
      </c>
      <c r="P42" s="306" t="s">
        <v>14</v>
      </c>
      <c r="Q42" s="462" t="s">
        <v>13</v>
      </c>
      <c r="R42" s="306" t="s">
        <v>14</v>
      </c>
      <c r="S42" s="239" t="s">
        <v>13</v>
      </c>
    </row>
    <row r="43" spans="3:19" x14ac:dyDescent="0.15">
      <c r="C43" s="1445">
        <f>'Laskenta tulopuoli 250_ENT'!$AA$6</f>
        <v>20</v>
      </c>
      <c r="D43" s="1438">
        <f>'Laskenta tulopuoli 250_ENT'!$AB$6</f>
        <v>284.56661771345591</v>
      </c>
      <c r="E43" s="1439">
        <f>'Laskenta tulopuoli 250_ENT'!$AC$6</f>
        <v>20</v>
      </c>
      <c r="F43" s="1438">
        <f>'Laskenta tulopuoli 250_ENT'!$AD$6</f>
        <v>284.56661771345591</v>
      </c>
      <c r="G43" s="1439">
        <f>'Laskenta tulopuoli 250_ENT'!$AE$6</f>
        <v>10</v>
      </c>
      <c r="H43" s="1438">
        <f>'Laskenta tulopuoli 250_ENT'!$AF$6</f>
        <v>220.0272127426278</v>
      </c>
      <c r="I43" s="1439">
        <f>'Laskenta tulopuoli 250_ENT'!$AG$6</f>
        <v>10</v>
      </c>
      <c r="J43" s="1440">
        <f>'Laskenta tulopuoli 250_ENT'!$AH$6</f>
        <v>128.55190799708276</v>
      </c>
      <c r="L43" s="1445">
        <f>'Laskenta poistopuoli 250_ENT'!$AA$6</f>
        <v>25</v>
      </c>
      <c r="M43" s="1438">
        <f>'Laskenta poistopuoli 250_ENT'!$AB$6</f>
        <v>305.56978103696548</v>
      </c>
      <c r="N43" s="1439">
        <f>'Laskenta poistopuoli 250_ENT'!$AC$6</f>
        <v>25</v>
      </c>
      <c r="O43" s="1438">
        <f>'Laskenta poistopuoli 250_ENT'!$AD$6</f>
        <v>305.56978103696548</v>
      </c>
      <c r="P43" s="1439">
        <f>'Laskenta poistopuoli 250_ENT'!$AE$6</f>
        <v>10</v>
      </c>
      <c r="Q43" s="1438">
        <f>'Laskenta poistopuoli 250_ENT'!$AF$6</f>
        <v>239.54728928322191</v>
      </c>
      <c r="R43" s="1439">
        <f>'Laskenta poistopuoli 250_ENT'!$AG$6</f>
        <v>10</v>
      </c>
      <c r="S43" s="1440">
        <f>'Laskenta poistopuoli 250_ENT'!$AH$6</f>
        <v>144.57203925918452</v>
      </c>
    </row>
    <row r="44" spans="3:19" x14ac:dyDescent="0.15">
      <c r="C44" s="304">
        <f>'Laskenta tulopuoli 250_ENT'!$AA$7</f>
        <v>50</v>
      </c>
      <c r="D44" s="463">
        <f>'Laskenta tulopuoli 250_ENT'!$AB$7</f>
        <v>274.01709916267305</v>
      </c>
      <c r="E44" s="305">
        <f>'Laskenta tulopuoli 250_ENT'!$AC$7</f>
        <v>50</v>
      </c>
      <c r="F44" s="463">
        <f>'Laskenta tulopuoli 250_ENT'!$AD$7</f>
        <v>274.01709916267305</v>
      </c>
      <c r="G44" s="305">
        <f>'Laskenta tulopuoli 250_ENT'!$AE$7</f>
        <v>50</v>
      </c>
      <c r="H44" s="463">
        <f>'Laskenta tulopuoli 250_ENT'!$AF$7</f>
        <v>202.04778027579948</v>
      </c>
      <c r="I44" s="305">
        <f>'Laskenta tulopuoli 250_ENT'!$AG$7</f>
        <v>20</v>
      </c>
      <c r="J44" s="460">
        <f>'Laskenta tulopuoli 250_ENT'!$AH$7</f>
        <v>120.45799561693227</v>
      </c>
      <c r="L44" s="304">
        <f>'Laskenta poistopuoli 250_ENT'!$AA$7</f>
        <v>100</v>
      </c>
      <c r="M44" s="463">
        <f>'Laskenta poistopuoli 250_ENT'!$AB$7</f>
        <v>275.7539670848335</v>
      </c>
      <c r="N44" s="305">
        <f>'Laskenta poistopuoli 250_ENT'!$AC$7</f>
        <v>100</v>
      </c>
      <c r="O44" s="463">
        <f>'Laskenta poistopuoli 250_ENT'!$AD$7</f>
        <v>275.7539670848335</v>
      </c>
      <c r="P44" s="305">
        <f>'Laskenta poistopuoli 250_ENT'!$AE$7</f>
        <v>50</v>
      </c>
      <c r="Q44" s="463">
        <f>'Laskenta poistopuoli 250_ENT'!$AF$7</f>
        <v>219.45665468381333</v>
      </c>
      <c r="R44" s="305">
        <f>'Laskenta poistopuoli 250_ENT'!$AG$7</f>
        <v>20</v>
      </c>
      <c r="S44" s="460">
        <f>'Laskenta poistopuoli 250_ENT'!$AH$7</f>
        <v>136.21844953136045</v>
      </c>
    </row>
    <row r="45" spans="3:19" x14ac:dyDescent="0.15">
      <c r="C45" s="304">
        <f>'Laskenta tulopuoli 250_ENT'!$AA$8</f>
        <v>100</v>
      </c>
      <c r="D45" s="463">
        <f>'Laskenta tulopuoli 250_ENT'!$AB$8</f>
        <v>255.25944979538457</v>
      </c>
      <c r="E45" s="305">
        <f>'Laskenta tulopuoli 250_ENT'!$AC$8</f>
        <v>100</v>
      </c>
      <c r="F45" s="463">
        <f>'Laskenta tulopuoli 250_ENT'!$AD$8</f>
        <v>255.25944979538457</v>
      </c>
      <c r="G45" s="305">
        <f>'Laskenta tulopuoli 250_ENT'!$AE$8</f>
        <v>90</v>
      </c>
      <c r="H45" s="463">
        <f>'Laskenta tulopuoli 250_ENT'!$AF$8</f>
        <v>181.71413323981204</v>
      </c>
      <c r="I45" s="305">
        <f>'Laskenta tulopuoli 250_ENT'!$AG$8</f>
        <v>40</v>
      </c>
      <c r="J45" s="460">
        <f>'Laskenta tulopuoli 250_ENT'!$AH$8</f>
        <v>102.64509341270374</v>
      </c>
      <c r="L45" s="304">
        <f>'Laskenta poistopuoli 250_ENT'!$AA$8</f>
        <v>200</v>
      </c>
      <c r="M45" s="463">
        <f>'Laskenta poistopuoli 250_ENT'!$AB$8</f>
        <v>228.58806056040828</v>
      </c>
      <c r="N45" s="305">
        <f>'Laskenta poistopuoli 250_ENT'!$AC$8</f>
        <v>200</v>
      </c>
      <c r="O45" s="463">
        <f>'Laskenta poistopuoli 250_ENT'!$AD$8</f>
        <v>228.58806056040828</v>
      </c>
      <c r="P45" s="305">
        <f>'Laskenta poistopuoli 250_ENT'!$AE$8</f>
        <v>90</v>
      </c>
      <c r="Q45" s="463">
        <f>'Laskenta poistopuoli 250_ENT'!$AF$8</f>
        <v>196.82660562841531</v>
      </c>
      <c r="R45" s="305">
        <f>'Laskenta poistopuoli 250_ENT'!$AG$8</f>
        <v>40</v>
      </c>
      <c r="S45" s="460">
        <f>'Laskenta poistopuoli 250_ENT'!$AH$8</f>
        <v>117.54750231651833</v>
      </c>
    </row>
    <row r="46" spans="3:19" x14ac:dyDescent="0.15">
      <c r="C46" s="304">
        <f>'Laskenta tulopuoli 250_ENT'!$AA$9</f>
        <v>150</v>
      </c>
      <c r="D46" s="463">
        <f>'Laskenta tulopuoli 250_ENT'!$AB$9</f>
        <v>234.65181680226124</v>
      </c>
      <c r="E46" s="305">
        <f>'Laskenta tulopuoli 250_ENT'!$AC$9</f>
        <v>150</v>
      </c>
      <c r="F46" s="463">
        <f>'Laskenta tulopuoli 250_ENT'!$AD$9</f>
        <v>234.65181680226124</v>
      </c>
      <c r="G46" s="305">
        <f>'Laskenta tulopuoli 250_ENT'!$AE$9</f>
        <v>130</v>
      </c>
      <c r="H46" s="463">
        <f>'Laskenta tulopuoli 250_ENT'!$AF$9</f>
        <v>157.7532490276617</v>
      </c>
      <c r="I46" s="305">
        <f>'Laskenta tulopuoli 250_ENT'!$AG$9</f>
        <v>60</v>
      </c>
      <c r="J46" s="460">
        <f>'Laskenta tulopuoli 250_ENT'!$AH$9</f>
        <v>81.682443931248443</v>
      </c>
      <c r="L46" s="304">
        <f>'Laskenta poistopuoli 250_ENT'!$AA$9</f>
        <v>230</v>
      </c>
      <c r="M46" s="463">
        <f>'Laskenta poistopuoli 250_ENT'!$AB$9</f>
        <v>211.84738721415337</v>
      </c>
      <c r="N46" s="305">
        <f>'Laskenta poistopuoli 250_ENT'!$AC$9</f>
        <v>230</v>
      </c>
      <c r="O46" s="463">
        <f>'Laskenta poistopuoli 250_ENT'!$AD$9</f>
        <v>211.84738721415337</v>
      </c>
      <c r="P46" s="305">
        <f>'Laskenta poistopuoli 250_ENT'!$AE$9</f>
        <v>130</v>
      </c>
      <c r="Q46" s="463">
        <f>'Laskenta poistopuoli 250_ENT'!$AF$9</f>
        <v>170.34963183675882</v>
      </c>
      <c r="R46" s="305">
        <f>'Laskenta poistopuoli 250_ENT'!$AG$9</f>
        <v>60</v>
      </c>
      <c r="S46" s="460">
        <f>'Laskenta poistopuoli 250_ENT'!$AH$9</f>
        <v>94.770453161428435</v>
      </c>
    </row>
    <row r="47" spans="3:19" x14ac:dyDescent="0.15">
      <c r="C47" s="304">
        <f>'Laskenta tulopuoli 250_ENT'!$AA$10</f>
        <v>230</v>
      </c>
      <c r="D47" s="463">
        <f>'Laskenta tulopuoli 250_ENT'!$AB$10</f>
        <v>195.92184836006501</v>
      </c>
      <c r="E47" s="305">
        <f>'Laskenta tulopuoli 250_ENT'!$AC$10</f>
        <v>230</v>
      </c>
      <c r="F47" s="463">
        <f>'Laskenta tulopuoli 250_ENT'!$AD$10</f>
        <v>195.92184836006501</v>
      </c>
      <c r="G47" s="305">
        <f>'Laskenta tulopuoli 250_ENT'!$AE$10</f>
        <v>170</v>
      </c>
      <c r="H47" s="463">
        <f>'Laskenta tulopuoli 250_ENT'!$AF$10</f>
        <v>127.0242914387899</v>
      </c>
      <c r="I47" s="305">
        <f>'Laskenta tulopuoli 250_ENT'!$AG$10</f>
        <v>80</v>
      </c>
      <c r="J47" s="460">
        <f>'Laskenta tulopuoli 250_ENT'!$AH$10</f>
        <v>54.882637981725303</v>
      </c>
      <c r="L47" s="304">
        <f>'Laskenta poistopuoli 250_ENT'!$AA$10</f>
        <v>270</v>
      </c>
      <c r="M47" s="463">
        <f>'Laskenta poistopuoli 250_ENT'!$AB$10</f>
        <v>186.46259151604715</v>
      </c>
      <c r="N47" s="305">
        <f>'Laskenta poistopuoli 250_ENT'!$AC$10</f>
        <v>270</v>
      </c>
      <c r="O47" s="463">
        <f>'Laskenta poistopuoli 250_ENT'!$AD$10</f>
        <v>186.46259151604715</v>
      </c>
      <c r="P47" s="305">
        <f>'Laskenta poistopuoli 250_ENT'!$AE$10</f>
        <v>170</v>
      </c>
      <c r="Q47" s="463">
        <f>'Laskenta poistopuoli 250_ENT'!$AF$10</f>
        <v>136.94975137110086</v>
      </c>
      <c r="R47" s="305">
        <f>'Laskenta poistopuoli 250_ENT'!$AG$10</f>
        <v>80</v>
      </c>
      <c r="S47" s="460">
        <f>'Laskenta poistopuoli 250_ENT'!$AH$10</f>
        <v>62.626439612772486</v>
      </c>
    </row>
    <row r="48" spans="3:19" x14ac:dyDescent="0.15">
      <c r="C48" s="304">
        <f>'Laskenta tulopuoli 250_ENT'!$AA$11</f>
        <v>300</v>
      </c>
      <c r="D48" s="463">
        <f>'Laskenta tulopuoli 250_ENT'!$AB$11</f>
        <v>150.95868441192366</v>
      </c>
      <c r="E48" s="305">
        <f>'Laskenta tulopuoli 250_ENT'!$AC$11</f>
        <v>300</v>
      </c>
      <c r="F48" s="463">
        <f>'Laskenta tulopuoli 250_ENT'!$AD$11</f>
        <v>150.95868441192366</v>
      </c>
      <c r="G48" s="305">
        <f>'Laskenta tulopuoli 250_ENT'!$AE$11</f>
        <v>205</v>
      </c>
      <c r="H48" s="463">
        <f>'Laskenta tulopuoli 250_ENT'!$AF$11</f>
        <v>83.35848194712591</v>
      </c>
      <c r="I48" s="305"/>
      <c r="J48" s="460"/>
      <c r="L48" s="304">
        <f>'Laskenta poistopuoli 250_ENT'!$AA$11</f>
        <v>300</v>
      </c>
      <c r="M48" s="463">
        <f>'Laskenta poistopuoli 250_ENT'!$AB$11</f>
        <v>163.89856118333432</v>
      </c>
      <c r="N48" s="305">
        <f>'Laskenta poistopuoli 250_ENT'!$AC$11</f>
        <v>300</v>
      </c>
      <c r="O48" s="463">
        <f>'Laskenta poistopuoli 250_ENT'!$AD$11</f>
        <v>163.89856118333432</v>
      </c>
      <c r="P48" s="305">
        <f>'Laskenta poistopuoli 250_ENT'!$AE$11</f>
        <v>200</v>
      </c>
      <c r="Q48" s="463">
        <f>'Laskenta poistopuoli 250_ENT'!$AF$11</f>
        <v>101.02409261451852</v>
      </c>
      <c r="R48" s="305"/>
      <c r="S48" s="460"/>
    </row>
    <row r="49" spans="3:19" ht="14" thickBot="1" x14ac:dyDescent="0.2">
      <c r="C49" s="306">
        <f>'Laskenta tulopuoli 250_ENT'!$AA$12</f>
        <v>340</v>
      </c>
      <c r="D49" s="464">
        <f>'Laskenta tulopuoli 250_ENT'!$AB$12</f>
        <v>112.95321319754504</v>
      </c>
      <c r="E49" s="307">
        <f>'Laskenta tulopuoli 250_ENT'!$AC$12</f>
        <v>340</v>
      </c>
      <c r="F49" s="464">
        <f>'Laskenta tulopuoli 250_ENT'!$AD$12</f>
        <v>112.95321319754504</v>
      </c>
      <c r="G49" s="307"/>
      <c r="H49" s="464"/>
      <c r="I49" s="307"/>
      <c r="J49" s="461"/>
      <c r="L49" s="306">
        <f>'Laskenta poistopuoli 250_ENT'!$AA$12</f>
        <v>340</v>
      </c>
      <c r="M49" s="464">
        <f>'Laskenta poistopuoli 250_ENT'!$AB$12</f>
        <v>124.31146742228165</v>
      </c>
      <c r="N49" s="307">
        <f>'Laskenta poistopuoli 250_ENT'!$AC$12</f>
        <v>340</v>
      </c>
      <c r="O49" s="464">
        <f>'Laskenta poistopuoli 250_ENT'!$AD$12</f>
        <v>124.31146742228165</v>
      </c>
      <c r="P49" s="307"/>
      <c r="Q49" s="464"/>
      <c r="R49" s="307"/>
      <c r="S49" s="461"/>
    </row>
    <row r="51" spans="3:19" ht="14" thickBot="1" x14ac:dyDescent="0.2">
      <c r="C51" s="104">
        <v>5</v>
      </c>
      <c r="D51" s="2" t="str">
        <f>INDEX(Tulokset_ENT!$X$12:$X$18,MATCH(C51,Tulokset_ENT!$Y$12:$Y$18,0))</f>
        <v>Model 350ENT</v>
      </c>
      <c r="L51" s="104">
        <v>5</v>
      </c>
      <c r="M51" s="2" t="str">
        <f>INDEX(Tulokset_ENT!$X$12:$X$18,MATCH(L51,Tulokset_ENT!$Y$12:$Y$18,0))</f>
        <v>Model 350ENT</v>
      </c>
    </row>
    <row r="52" spans="3:19" ht="14" thickBot="1" x14ac:dyDescent="0.2">
      <c r="C52" s="465" t="s">
        <v>7</v>
      </c>
      <c r="D52" s="1442" t="str">
        <f>D51</f>
        <v>Model 350ENT</v>
      </c>
      <c r="E52" s="361"/>
      <c r="F52" s="361"/>
      <c r="G52" s="361"/>
      <c r="H52" s="361"/>
      <c r="I52" s="361"/>
      <c r="J52" s="362"/>
      <c r="L52" s="1441" t="s">
        <v>8</v>
      </c>
      <c r="M52" s="1442" t="str">
        <f>M51</f>
        <v>Model 350ENT</v>
      </c>
      <c r="N52" s="361"/>
      <c r="O52" s="361"/>
      <c r="P52" s="361"/>
      <c r="Q52" s="361"/>
      <c r="R52" s="361"/>
      <c r="S52" s="362"/>
    </row>
    <row r="53" spans="3:19" x14ac:dyDescent="0.15">
      <c r="C53" s="1437" t="str">
        <f>'Laskenta tulopuoli 350_ENT'!$AA$4</f>
        <v>10 V</v>
      </c>
      <c r="D53" s="1444"/>
      <c r="E53" s="1437" t="str">
        <f>'Laskenta tulopuoli 350_ENT'!$AC$4</f>
        <v>8 V</v>
      </c>
      <c r="F53" s="1444"/>
      <c r="G53" s="1437" t="str">
        <f>'Laskenta tulopuoli 350_ENT'!$AE$4</f>
        <v>6 V</v>
      </c>
      <c r="H53" s="1444"/>
      <c r="I53" s="1437" t="str">
        <f>'Laskenta tulopuoli 350_ENT'!$AG$4</f>
        <v>4 V</v>
      </c>
      <c r="J53" s="231"/>
      <c r="L53" s="1437" t="str">
        <f>'Laskenta poistopuoli 350_ENT'!$AA$4</f>
        <v>10 V</v>
      </c>
      <c r="M53" s="1444"/>
      <c r="N53" s="1437" t="str">
        <f>'Laskenta poistopuoli 350_ENT'!$AC$4</f>
        <v>8 V</v>
      </c>
      <c r="O53" s="1444"/>
      <c r="P53" s="1437" t="str">
        <f>'Laskenta poistopuoli 350_ENT'!$AE$4</f>
        <v>6 V</v>
      </c>
      <c r="Q53" s="1444"/>
      <c r="R53" s="1437" t="str">
        <f>'Laskenta poistopuoli 350_ENT'!$AG$4</f>
        <v>4 V</v>
      </c>
      <c r="S53" s="231"/>
    </row>
    <row r="54" spans="3:19" ht="14" thickBot="1" x14ac:dyDescent="0.2">
      <c r="C54" s="306" t="s">
        <v>14</v>
      </c>
      <c r="D54" s="462" t="s">
        <v>13</v>
      </c>
      <c r="E54" s="306" t="s">
        <v>14</v>
      </c>
      <c r="F54" s="462" t="s">
        <v>13</v>
      </c>
      <c r="G54" s="306" t="s">
        <v>14</v>
      </c>
      <c r="H54" s="462" t="s">
        <v>13</v>
      </c>
      <c r="I54" s="306" t="s">
        <v>14</v>
      </c>
      <c r="J54" s="239" t="s">
        <v>13</v>
      </c>
      <c r="L54" s="306" t="s">
        <v>14</v>
      </c>
      <c r="M54" s="462" t="s">
        <v>13</v>
      </c>
      <c r="N54" s="306" t="s">
        <v>14</v>
      </c>
      <c r="O54" s="462" t="s">
        <v>13</v>
      </c>
      <c r="P54" s="306" t="s">
        <v>14</v>
      </c>
      <c r="Q54" s="462" t="s">
        <v>13</v>
      </c>
      <c r="R54" s="306" t="s">
        <v>14</v>
      </c>
      <c r="S54" s="239" t="s">
        <v>13</v>
      </c>
    </row>
    <row r="55" spans="3:19" x14ac:dyDescent="0.15">
      <c r="C55" s="1445">
        <f>'Laskenta tulopuoli 350_ENT'!$AA$6</f>
        <v>25</v>
      </c>
      <c r="D55" s="1438">
        <f>'Laskenta tulopuoli 350_ENT'!$AB$6</f>
        <v>376.857790816972</v>
      </c>
      <c r="E55" s="1439">
        <f>'Laskenta tulopuoli 350_ENT'!$AC$6</f>
        <v>20</v>
      </c>
      <c r="F55" s="1438">
        <f>'Laskenta tulopuoli 350_ENT'!$AD$6</f>
        <v>307.94858488224804</v>
      </c>
      <c r="G55" s="1439">
        <f>'Laskenta tulopuoli 350_ENT'!$AE$6</f>
        <v>10</v>
      </c>
      <c r="H55" s="1438">
        <f>'Laskenta tulopuoli 350_ENT'!$AF$6</f>
        <v>220.0272127426278</v>
      </c>
      <c r="I55" s="1439">
        <f>'Laskenta tulopuoli 350_ENT'!$AG$6</f>
        <v>10</v>
      </c>
      <c r="J55" s="1440">
        <f>'Laskenta tulopuoli 350_ENT'!$AH$6</f>
        <v>128.55190799708276</v>
      </c>
      <c r="L55" s="1445">
        <f>'Laskenta poistopuoli 350_ENT'!$AA$6</f>
        <v>25</v>
      </c>
      <c r="M55" s="1438">
        <f>'Laskenta poistopuoli 350_ENT'!$AB$6</f>
        <v>396.45045145316698</v>
      </c>
      <c r="N55" s="1439">
        <f>'Laskenta poistopuoli 350_ENT'!$AC$6</f>
        <v>20</v>
      </c>
      <c r="O55" s="1438">
        <f>'Laskenta poistopuoli 350_ENT'!$AD$6</f>
        <v>332.67701038530055</v>
      </c>
      <c r="P55" s="1439">
        <f>'Laskenta poistopuoli 350_ENT'!$AE$6</f>
        <v>10</v>
      </c>
      <c r="Q55" s="1438">
        <f>'Laskenta poistopuoli 350_ENT'!$AF$6</f>
        <v>239.54728928322191</v>
      </c>
      <c r="R55" s="1439">
        <f>'Laskenta poistopuoli 350_ENT'!$AG$6</f>
        <v>10</v>
      </c>
      <c r="S55" s="1440">
        <f>'Laskenta poistopuoli 350_ENT'!$AH$6</f>
        <v>144.57203925918452</v>
      </c>
    </row>
    <row r="56" spans="3:19" x14ac:dyDescent="0.15">
      <c r="C56" s="304">
        <f>'Laskenta tulopuoli 350_ENT'!$AA$7</f>
        <v>100</v>
      </c>
      <c r="D56" s="463">
        <f>'Laskenta tulopuoli 350_ENT'!$AB$7</f>
        <v>357.35113549736815</v>
      </c>
      <c r="E56" s="305">
        <f>'Laskenta tulopuoli 350_ENT'!$AC$7</f>
        <v>50</v>
      </c>
      <c r="F56" s="463">
        <f>'Laskenta tulopuoli 350_ENT'!$AD$7</f>
        <v>298.02146155585729</v>
      </c>
      <c r="G56" s="305">
        <f>'Laskenta tulopuoli 350_ENT'!$AE$7</f>
        <v>50</v>
      </c>
      <c r="H56" s="463">
        <f>'Laskenta tulopuoli 350_ENT'!$AF$7</f>
        <v>202.04778027579948</v>
      </c>
      <c r="I56" s="305">
        <f>'Laskenta tulopuoli 350_ENT'!$AG$7</f>
        <v>20</v>
      </c>
      <c r="J56" s="460">
        <f>'Laskenta tulopuoli 350_ENT'!$AH$7</f>
        <v>120.45799561693227</v>
      </c>
      <c r="L56" s="304">
        <f>'Laskenta poistopuoli 350_ENT'!$AA$7</f>
        <v>100</v>
      </c>
      <c r="M56" s="463">
        <f>'Laskenta poistopuoli 350_ENT'!$AB$7</f>
        <v>377.32184914146467</v>
      </c>
      <c r="N56" s="305">
        <f>'Laskenta poistopuoli 350_ENT'!$AC$7</f>
        <v>50</v>
      </c>
      <c r="O56" s="463">
        <f>'Laskenta poistopuoli 350_ENT'!$AD$7</f>
        <v>322.08762402000161</v>
      </c>
      <c r="P56" s="305">
        <f>'Laskenta poistopuoli 350_ENT'!$AE$7</f>
        <v>50</v>
      </c>
      <c r="Q56" s="463">
        <f>'Laskenta poistopuoli 350_ENT'!$AF$7</f>
        <v>219.45665468381333</v>
      </c>
      <c r="R56" s="305">
        <f>'Laskenta poistopuoli 350_ENT'!$AG$7</f>
        <v>20</v>
      </c>
      <c r="S56" s="460">
        <f>'Laskenta poistopuoli 350_ENT'!$AH$7</f>
        <v>136.21844953136045</v>
      </c>
    </row>
    <row r="57" spans="3:19" x14ac:dyDescent="0.15">
      <c r="C57" s="304">
        <f>'Laskenta tulopuoli 350_ENT'!$AA$8</f>
        <v>200</v>
      </c>
      <c r="D57" s="463">
        <f>'Laskenta tulopuoli 350_ENT'!$AB$8</f>
        <v>329.20191498228081</v>
      </c>
      <c r="E57" s="305">
        <f>'Laskenta tulopuoli 350_ENT'!$AC$8</f>
        <v>100</v>
      </c>
      <c r="F57" s="463">
        <f>'Laskenta tulopuoli 350_ENT'!$AD$8</f>
        <v>280.5727801082906</v>
      </c>
      <c r="G57" s="305">
        <f>'Laskenta tulopuoli 350_ENT'!$AE$8</f>
        <v>90</v>
      </c>
      <c r="H57" s="463">
        <f>'Laskenta tulopuoli 350_ENT'!$AF$8</f>
        <v>181.71413323981204</v>
      </c>
      <c r="I57" s="305">
        <f>'Laskenta tulopuoli 350_ENT'!$AG$8</f>
        <v>40</v>
      </c>
      <c r="J57" s="460">
        <f>'Laskenta tulopuoli 350_ENT'!$AH$8</f>
        <v>102.64509341270374</v>
      </c>
      <c r="L57" s="304">
        <f>'Laskenta poistopuoli 350_ENT'!$AA$8</f>
        <v>200</v>
      </c>
      <c r="M57" s="463">
        <f>'Laskenta poistopuoli 350_ENT'!$AB$8</f>
        <v>349.62156878587024</v>
      </c>
      <c r="N57" s="305">
        <f>'Laskenta poistopuoli 350_ENT'!$AC$8</f>
        <v>100</v>
      </c>
      <c r="O57" s="463">
        <f>'Laskenta poistopuoli 350_ENT'!$AD$8</f>
        <v>303.47553307941456</v>
      </c>
      <c r="P57" s="305">
        <f>'Laskenta poistopuoli 350_ENT'!$AE$8</f>
        <v>90</v>
      </c>
      <c r="Q57" s="463">
        <f>'Laskenta poistopuoli 350_ENT'!$AF$8</f>
        <v>196.82660562841531</v>
      </c>
      <c r="R57" s="305">
        <f>'Laskenta poistopuoli 350_ENT'!$AG$8</f>
        <v>40</v>
      </c>
      <c r="S57" s="460">
        <f>'Laskenta poistopuoli 350_ENT'!$AH$8</f>
        <v>117.54750231651833</v>
      </c>
    </row>
    <row r="58" spans="3:19" x14ac:dyDescent="0.15">
      <c r="C58" s="304">
        <f>'Laskenta tulopuoli 350_ENT'!$AA$9</f>
        <v>300</v>
      </c>
      <c r="D58" s="463">
        <f>'Laskenta tulopuoli 350_ENT'!$AB$9</f>
        <v>297.827893604721</v>
      </c>
      <c r="E58" s="305">
        <f>'Laskenta tulopuoli 350_ENT'!$AC$9</f>
        <v>150</v>
      </c>
      <c r="F58" s="463">
        <f>'Laskenta tulopuoli 350_ENT'!$AD$9</f>
        <v>261.76377086640542</v>
      </c>
      <c r="G58" s="305">
        <f>'Laskenta tulopuoli 350_ENT'!$AE$9</f>
        <v>130</v>
      </c>
      <c r="H58" s="463">
        <f>'Laskenta tulopuoli 350_ENT'!$AF$9</f>
        <v>157.7532490276617</v>
      </c>
      <c r="I58" s="305">
        <f>'Laskenta tulopuoli 350_ENT'!$AG$9</f>
        <v>60</v>
      </c>
      <c r="J58" s="460">
        <f>'Laskenta tulopuoli 350_ENT'!$AH$9</f>
        <v>81.682443931248443</v>
      </c>
      <c r="L58" s="304">
        <f>'Laskenta poistopuoli 350_ENT'!$AA$9</f>
        <v>300</v>
      </c>
      <c r="M58" s="463">
        <f>'Laskenta poistopuoli 350_ENT'!$AB$9</f>
        <v>318.56735160571776</v>
      </c>
      <c r="N58" s="305">
        <f>'Laskenta poistopuoli 350_ENT'!$AC$9</f>
        <v>150</v>
      </c>
      <c r="O58" s="463">
        <f>'Laskenta poistopuoli 350_ENT'!$AD$9</f>
        <v>283.41350774799275</v>
      </c>
      <c r="P58" s="305">
        <f>'Laskenta poistopuoli 350_ENT'!$AE$9</f>
        <v>130</v>
      </c>
      <c r="Q58" s="463">
        <f>'Laskenta poistopuoli 350_ENT'!$AF$9</f>
        <v>170.34963183675882</v>
      </c>
      <c r="R58" s="305">
        <f>'Laskenta poistopuoli 350_ENT'!$AG$9</f>
        <v>60</v>
      </c>
      <c r="S58" s="460">
        <f>'Laskenta poistopuoli 350_ENT'!$AH$9</f>
        <v>94.770453161428435</v>
      </c>
    </row>
    <row r="59" spans="3:19" x14ac:dyDescent="0.15">
      <c r="C59" s="304">
        <f>'Laskenta tulopuoli 350_ENT'!$AA$10</f>
        <v>400</v>
      </c>
      <c r="D59" s="463">
        <f>'Laskenta tulopuoli 350_ENT'!$AB$10</f>
        <v>261.77523969041579</v>
      </c>
      <c r="E59" s="305">
        <f>'Laskenta tulopuoli 350_ENT'!$AC$10</f>
        <v>230</v>
      </c>
      <c r="F59" s="463">
        <f>'Laskenta tulopuoli 350_ENT'!$AD$10</f>
        <v>227.81893037255273</v>
      </c>
      <c r="G59" s="305">
        <f>'Laskenta tulopuoli 350_ENT'!$AE$10</f>
        <v>170</v>
      </c>
      <c r="H59" s="463">
        <f>'Laskenta tulopuoli 350_ENT'!$AF$10</f>
        <v>127.0242914387899</v>
      </c>
      <c r="I59" s="305">
        <f>'Laskenta tulopuoli 350_ENT'!$AG$10</f>
        <v>80</v>
      </c>
      <c r="J59" s="460">
        <f>'Laskenta tulopuoli 350_ENT'!$AH$10</f>
        <v>54.882637981725303</v>
      </c>
      <c r="L59" s="304">
        <f>'Laskenta poistopuoli 350_ENT'!$AA$10</f>
        <v>400</v>
      </c>
      <c r="M59" s="463">
        <f>'Laskenta poistopuoli 350_ENT'!$AB$10</f>
        <v>282.53076043038789</v>
      </c>
      <c r="N59" s="305">
        <f>'Laskenta poistopuoli 350_ENT'!$AC$10</f>
        <v>170</v>
      </c>
      <c r="O59" s="463">
        <f>'Laskenta poistopuoli 350_ENT'!$AD$10</f>
        <v>274.89854418504655</v>
      </c>
      <c r="P59" s="305">
        <f>'Laskenta poistopuoli 350_ENT'!$AE$10</f>
        <v>170</v>
      </c>
      <c r="Q59" s="463">
        <f>'Laskenta poistopuoli 350_ENT'!$AF$10</f>
        <v>136.94975137110086</v>
      </c>
      <c r="R59" s="305">
        <f>'Laskenta poistopuoli 350_ENT'!$AG$10</f>
        <v>80</v>
      </c>
      <c r="S59" s="460">
        <f>'Laskenta poistopuoli 350_ENT'!$AH$10</f>
        <v>62.626439612772486</v>
      </c>
    </row>
    <row r="60" spans="3:19" x14ac:dyDescent="0.15">
      <c r="C60" s="304">
        <f>'Laskenta tulopuoli 350_ENT'!$AA$11</f>
        <v>500</v>
      </c>
      <c r="D60" s="463">
        <f>'Laskenta tulopuoli 350_ENT'!$AB$11</f>
        <v>217.99173826425962</v>
      </c>
      <c r="E60" s="305">
        <f>'Laskenta tulopuoli 350_ENT'!$AC$11</f>
        <v>320</v>
      </c>
      <c r="F60" s="463">
        <f>'Laskenta tulopuoli 350_ENT'!$AD$11</f>
        <v>180.21616269737683</v>
      </c>
      <c r="G60" s="305">
        <f>'Laskenta tulopuoli 350_ENT'!$AE$11</f>
        <v>205</v>
      </c>
      <c r="H60" s="463">
        <f>'Laskenta tulopuoli 350_ENT'!$AF$11</f>
        <v>83.35848194712591</v>
      </c>
      <c r="I60" s="305"/>
      <c r="J60" s="460"/>
      <c r="L60" s="304">
        <f>'Laskenta poistopuoli 350_ENT'!$AA$11</f>
        <v>500</v>
      </c>
      <c r="M60" s="463">
        <f>'Laskenta poistopuoli 350_ENT'!$AB$11</f>
        <v>237.87791416174588</v>
      </c>
      <c r="N60" s="305">
        <f>'Laskenta poistopuoli 350_ENT'!$AC$11</f>
        <v>190</v>
      </c>
      <c r="O60" s="463">
        <f>'Laskenta poistopuoli 350_ENT'!$AD$11</f>
        <v>266.05549847333492</v>
      </c>
      <c r="P60" s="305">
        <f>'Laskenta poistopuoli 350_ENT'!$AE$11</f>
        <v>200</v>
      </c>
      <c r="Q60" s="463">
        <f>'Laskenta poistopuoli 350_ENT'!$AF$11</f>
        <v>101.02409261451852</v>
      </c>
      <c r="R60" s="305"/>
      <c r="S60" s="460"/>
    </row>
    <row r="61" spans="3:19" ht="14" thickBot="1" x14ac:dyDescent="0.2">
      <c r="C61" s="306">
        <f>'Laskenta tulopuoli 350_ENT'!$AA$12</f>
        <v>610</v>
      </c>
      <c r="D61" s="464">
        <f>'Laskenta tulopuoli 350_ENT'!$AB$12</f>
        <v>148.86716033053662</v>
      </c>
      <c r="E61" s="307">
        <f>'Laskenta tulopuoli 350_ENT'!$AC$12</f>
        <v>395</v>
      </c>
      <c r="F61" s="464">
        <f>'Laskenta tulopuoli 350_ENT'!$AD$12</f>
        <v>121.84675224810155</v>
      </c>
      <c r="G61" s="307"/>
      <c r="H61" s="464"/>
      <c r="I61" s="307"/>
      <c r="J61" s="461"/>
      <c r="L61" s="306">
        <f>'Laskenta poistopuoli 350_ENT'!$AA$12</f>
        <v>600</v>
      </c>
      <c r="M61" s="464">
        <f>'Laskenta poistopuoli 350_ENT'!$AB$12</f>
        <v>171.26024658923819</v>
      </c>
      <c r="N61" s="307">
        <f>'Laskenta poistopuoli 350_ENT'!$AC$12</f>
        <v>390</v>
      </c>
      <c r="O61" s="464">
        <f>'Laskenta poistopuoli 350_ENT'!$AD$12</f>
        <v>139.71249307521012</v>
      </c>
      <c r="P61" s="307"/>
      <c r="Q61" s="464"/>
      <c r="R61" s="307"/>
      <c r="S61" s="461"/>
    </row>
    <row r="63" spans="3:19" ht="14" thickBot="1" x14ac:dyDescent="0.2">
      <c r="C63" s="104">
        <v>6</v>
      </c>
      <c r="D63" s="2" t="str">
        <f>INDEX(Tulokset_ENT!$X$12:$X$18,MATCH(C63,Tulokset_ENT!$Y$12:$Y$18,0))</f>
        <v>Model 130ENT</v>
      </c>
      <c r="L63" s="104">
        <v>6</v>
      </c>
      <c r="M63" s="2" t="str">
        <f>INDEX(Tulokset_ENT!$X$12:$X$18,MATCH(L63,Tulokset_ENT!$Y$12:$Y$18,0))</f>
        <v>Model 130ENT</v>
      </c>
    </row>
    <row r="64" spans="3:19" ht="14" thickBot="1" x14ac:dyDescent="0.2">
      <c r="C64" s="465" t="s">
        <v>7</v>
      </c>
      <c r="D64" s="1442" t="str">
        <f>D63</f>
        <v>Model 130ENT</v>
      </c>
      <c r="E64" s="361"/>
      <c r="F64" s="361"/>
      <c r="G64" s="361"/>
      <c r="H64" s="361"/>
      <c r="I64" s="361"/>
      <c r="J64" s="362"/>
      <c r="L64" s="1441" t="s">
        <v>8</v>
      </c>
      <c r="M64" s="1442" t="str">
        <f>M63</f>
        <v>Model 130ENT</v>
      </c>
      <c r="N64" s="361"/>
      <c r="O64" s="361"/>
      <c r="P64" s="361"/>
      <c r="Q64" s="361"/>
      <c r="R64" s="361"/>
      <c r="S64" s="362"/>
    </row>
    <row r="65" spans="3:19" x14ac:dyDescent="0.15">
      <c r="C65" s="1437" t="str">
        <f>'Laskenta tulopuoli 130_ENT'!$AA$4</f>
        <v>10 V</v>
      </c>
      <c r="D65" s="1444"/>
      <c r="E65" s="1437" t="str">
        <f>'Laskenta tulopuoli 130_ENT'!$AC$4</f>
        <v>8 V</v>
      </c>
      <c r="F65" s="1444"/>
      <c r="G65" s="1437" t="str">
        <f>'Laskenta tulopuoli 130_ENT'!$AE$4</f>
        <v>6 V</v>
      </c>
      <c r="H65" s="1444"/>
      <c r="I65" s="1437" t="str">
        <f>'Laskenta tulopuoli 130_ENT'!$AG$4</f>
        <v>4 V</v>
      </c>
      <c r="J65" s="231"/>
      <c r="L65" s="1437" t="str">
        <f>'Laskenta poistopuoli 130_ENT'!$AA$4</f>
        <v>10 V</v>
      </c>
      <c r="M65" s="1444"/>
      <c r="N65" s="1437" t="str">
        <f>'Laskenta poistopuoli 130_ENT'!$AC$4</f>
        <v>8 V</v>
      </c>
      <c r="O65" s="1444"/>
      <c r="P65" s="1437" t="str">
        <f>'Laskenta poistopuoli 130_ENT'!$AE$4</f>
        <v>6 V</v>
      </c>
      <c r="Q65" s="1444"/>
      <c r="R65" s="1437" t="str">
        <f>'Laskenta poistopuoli 130_ENT'!$AG$4</f>
        <v>4 V</v>
      </c>
      <c r="S65" s="231"/>
    </row>
    <row r="66" spans="3:19" ht="14" thickBot="1" x14ac:dyDescent="0.2">
      <c r="C66" s="306" t="s">
        <v>14</v>
      </c>
      <c r="D66" s="462" t="s">
        <v>13</v>
      </c>
      <c r="E66" s="306" t="s">
        <v>14</v>
      </c>
      <c r="F66" s="462" t="s">
        <v>13</v>
      </c>
      <c r="G66" s="306" t="s">
        <v>14</v>
      </c>
      <c r="H66" s="462" t="s">
        <v>13</v>
      </c>
      <c r="I66" s="306" t="s">
        <v>14</v>
      </c>
      <c r="J66" s="239" t="s">
        <v>13</v>
      </c>
      <c r="L66" s="306" t="s">
        <v>14</v>
      </c>
      <c r="M66" s="462" t="s">
        <v>13</v>
      </c>
      <c r="N66" s="306" t="s">
        <v>14</v>
      </c>
      <c r="O66" s="462" t="s">
        <v>13</v>
      </c>
      <c r="P66" s="306" t="s">
        <v>14</v>
      </c>
      <c r="Q66" s="462" t="s">
        <v>13</v>
      </c>
      <c r="R66" s="306" t="s">
        <v>14</v>
      </c>
      <c r="S66" s="239" t="s">
        <v>13</v>
      </c>
    </row>
    <row r="67" spans="3:19" x14ac:dyDescent="0.15">
      <c r="C67" s="1445">
        <f>'Laskenta tulopuoli 130_ENT'!$AA$6</f>
        <v>25</v>
      </c>
      <c r="D67" s="1438">
        <f>'Laskenta tulopuoli 130_ENT'!$AB$6</f>
        <v>126.01974435017826</v>
      </c>
      <c r="E67" s="1439">
        <f>'Laskenta tulopuoli 130_ENT'!$AC$6</f>
        <v>20</v>
      </c>
      <c r="F67" s="1438">
        <f>'Laskenta tulopuoli 130_ENT'!$AD$6</f>
        <v>109.58070691735244</v>
      </c>
      <c r="G67" s="1439">
        <f>'Laskenta tulopuoli 130_ENT'!$AE$6</f>
        <v>10</v>
      </c>
      <c r="H67" s="1438">
        <f>'Laskenta tulopuoli 130_ENT'!$AF$6</f>
        <v>79.447008572256934</v>
      </c>
      <c r="I67" s="1439">
        <f>'Laskenta tulopuoli 130_ENT'!$AG$6</f>
        <v>10</v>
      </c>
      <c r="J67" s="1440">
        <f>'Laskenta tulopuoli 130_ENT'!$AH$6</f>
        <v>44.757579886904097</v>
      </c>
      <c r="L67" s="1445">
        <f>'Laskenta poistopuoli 130_ENT'!$AA$6</f>
        <v>25</v>
      </c>
      <c r="M67" s="1438">
        <f>'Laskenta poistopuoli 130_ENT'!$AB$6</f>
        <v>142.50784343790036</v>
      </c>
      <c r="N67" s="1439">
        <f>'Laskenta poistopuoli 130_ENT'!$AC$6</f>
        <v>20</v>
      </c>
      <c r="O67" s="1438">
        <f>'Laskenta poistopuoli 130_ENT'!$AD$6</f>
        <v>123.9136684003799</v>
      </c>
      <c r="P67" s="1439">
        <f>'Laskenta poistopuoli 130_ENT'!$AE$6</f>
        <v>15</v>
      </c>
      <c r="Q67" s="1438">
        <f>'Laskenta poistopuoli 130_ENT'!$AF$6</f>
        <v>91.581706317939648</v>
      </c>
      <c r="R67" s="1439">
        <f>'Laskenta poistopuoli 130_ENT'!$AG$6</f>
        <v>10</v>
      </c>
      <c r="S67" s="1440">
        <f>'Laskenta poistopuoli 130_ENT'!$AH$6</f>
        <v>55.48862206138228</v>
      </c>
    </row>
    <row r="68" spans="3:19" x14ac:dyDescent="0.15">
      <c r="C68" s="304">
        <f>'Laskenta tulopuoli 130_ENT'!$AA$7</f>
        <v>120</v>
      </c>
      <c r="D68" s="463">
        <f>'Laskenta tulopuoli 130_ENT'!$AB$7</f>
        <v>116.9551794907145</v>
      </c>
      <c r="E68" s="305">
        <f>'Laskenta tulopuoli 130_ENT'!$AC$7</f>
        <v>50</v>
      </c>
      <c r="F68" s="463">
        <f>'Laskenta tulopuoli 130_ENT'!$AD$7</f>
        <v>105.19149757967907</v>
      </c>
      <c r="G68" s="305">
        <f>'Laskenta tulopuoli 130_ENT'!$AE$7</f>
        <v>40</v>
      </c>
      <c r="H68" s="463">
        <f>'Laskenta tulopuoli 130_ENT'!$AF$7</f>
        <v>72.849851058462903</v>
      </c>
      <c r="I68" s="305">
        <f>'Laskenta tulopuoli 130_ENT'!$AG$7</f>
        <v>20</v>
      </c>
      <c r="J68" s="460">
        <f>'Laskenta tulopuoli 130_ENT'!$AH$7</f>
        <v>41.068093478037703</v>
      </c>
      <c r="L68" s="304">
        <f>'Laskenta poistopuoli 130_ENT'!$AA$7</f>
        <v>120</v>
      </c>
      <c r="M68" s="463">
        <f>'Laskenta poistopuoli 130_ENT'!$AB$7</f>
        <v>133.54670360166355</v>
      </c>
      <c r="N68" s="305">
        <f>'Laskenta poistopuoli 130_ENT'!$AC$7</f>
        <v>50</v>
      </c>
      <c r="O68" s="463">
        <f>'Laskenta poistopuoli 130_ENT'!$AD$7</f>
        <v>119.39610535585672</v>
      </c>
      <c r="P68" s="305">
        <f>'Laskenta poistopuoli 130_ENT'!$AE$7</f>
        <v>40</v>
      </c>
      <c r="Q68" s="463">
        <f>'Laskenta poistopuoli 130_ENT'!$AF$7</f>
        <v>85.952274612072401</v>
      </c>
      <c r="R68" s="305">
        <f>'Laskenta poistopuoli 130_ENT'!$AG$7</f>
        <v>20</v>
      </c>
      <c r="S68" s="460">
        <f>'Laskenta poistopuoli 130_ENT'!$AH$7</f>
        <v>51.968529040147651</v>
      </c>
    </row>
    <row r="69" spans="3:19" x14ac:dyDescent="0.15">
      <c r="C69" s="304">
        <f>'Laskenta tulopuoli 130_ENT'!$AA$8</f>
        <v>190</v>
      </c>
      <c r="D69" s="463">
        <f>'Laskenta tulopuoli 130_ENT'!$AB$8</f>
        <v>109.49073106750077</v>
      </c>
      <c r="E69" s="305">
        <f>'Laskenta tulopuoli 130_ENT'!$AC$8</f>
        <v>100</v>
      </c>
      <c r="F69" s="463">
        <f>'Laskenta tulopuoli 130_ENT'!$AD$8</f>
        <v>97.381640927517822</v>
      </c>
      <c r="G69" s="305">
        <f>'Laskenta tulopuoli 130_ENT'!$AE$8</f>
        <v>60</v>
      </c>
      <c r="H69" s="463">
        <f>'Laskenta tulopuoli 130_ENT'!$AF$8</f>
        <v>68.197902980402219</v>
      </c>
      <c r="I69" s="305">
        <f>'Laskenta tulopuoli 130_ENT'!$AG$8</f>
        <v>25</v>
      </c>
      <c r="J69" s="460">
        <f>'Laskenta tulopuoli 130_ENT'!$AH$8</f>
        <v>39.165523733600942</v>
      </c>
      <c r="L69" s="304">
        <f>'Laskenta poistopuoli 130_ENT'!$AA$8</f>
        <v>190</v>
      </c>
      <c r="M69" s="463">
        <f>'Laskenta poistopuoli 130_ENT'!$AB$8</f>
        <v>126.16500651811565</v>
      </c>
      <c r="N69" s="305">
        <f>'Laskenta poistopuoli 130_ENT'!$AC$8</f>
        <v>100</v>
      </c>
      <c r="O69" s="463">
        <f>'Laskenta poistopuoli 130_ENT'!$AD$8</f>
        <v>111.34979062702189</v>
      </c>
      <c r="P69" s="305">
        <f>'Laskenta poistopuoli 130_ENT'!$AE$8</f>
        <v>60</v>
      </c>
      <c r="Q69" s="463">
        <f>'Laskenta poistopuoli 130_ENT'!$AF$8</f>
        <v>81.134573528729419</v>
      </c>
      <c r="R69" s="305">
        <f>'Laskenta poistopuoli 130_ENT'!$AG$8</f>
        <v>30</v>
      </c>
      <c r="S69" s="460">
        <f>'Laskenta poistopuoli 130_ENT'!$AH$8</f>
        <v>48.206575766589324</v>
      </c>
    </row>
    <row r="70" spans="3:19" x14ac:dyDescent="0.15">
      <c r="C70" s="304">
        <f>'Laskenta tulopuoli 130_ENT'!$AA$9</f>
        <v>250</v>
      </c>
      <c r="D70" s="463">
        <f>'Laskenta tulopuoli 130_ENT'!$AB$9</f>
        <v>102.35092924915141</v>
      </c>
      <c r="E70" s="305">
        <f>'Laskenta tulopuoli 130_ENT'!$AC$9</f>
        <v>150</v>
      </c>
      <c r="F70" s="463">
        <f>'Laskenta tulopuoli 130_ENT'!$AD$9</f>
        <v>88.791077175548679</v>
      </c>
      <c r="G70" s="305">
        <f>'Laskenta tulopuoli 130_ENT'!$AE$9</f>
        <v>80</v>
      </c>
      <c r="H70" s="463">
        <f>'Laskenta tulopuoli 130_ENT'!$AF$9</f>
        <v>63.306445013042172</v>
      </c>
      <c r="I70" s="305">
        <f>'Laskenta tulopuoli 130_ENT'!$AG$9</f>
        <v>30</v>
      </c>
      <c r="J70" s="460">
        <f>'Laskenta tulopuoli 130_ENT'!$AH$9</f>
        <v>37.221020713685533</v>
      </c>
      <c r="L70" s="304">
        <f>'Laskenta poistopuoli 130_ENT'!$AA$9</f>
        <v>250</v>
      </c>
      <c r="M70" s="463">
        <f>'Laskenta poistopuoli 130_ENT'!$AB$9</f>
        <v>119.10149788792224</v>
      </c>
      <c r="N70" s="305">
        <f>'Laskenta poistopuoli 130_ENT'!$AC$9</f>
        <v>150</v>
      </c>
      <c r="O70" s="463">
        <f>'Laskenta poistopuoli 130_ENT'!$AD$9</f>
        <v>102.48393643561623</v>
      </c>
      <c r="P70" s="305">
        <f>'Laskenta poistopuoli 130_ENT'!$AE$9</f>
        <v>80</v>
      </c>
      <c r="Q70" s="463">
        <f>'Laskenta poistopuoli 130_ENT'!$AF$9</f>
        <v>75.97293214384446</v>
      </c>
      <c r="R70" s="305">
        <f>'Laskenta poistopuoli 130_ENT'!$AG$9</f>
        <v>35</v>
      </c>
      <c r="S70" s="460">
        <f>'Laskenta poistopuoli 130_ENT'!$AH$9</f>
        <v>46.217679334679865</v>
      </c>
    </row>
    <row r="71" spans="3:19" x14ac:dyDescent="0.15">
      <c r="C71" s="304">
        <f>'Laskenta tulopuoli 130_ENT'!$AA$10</f>
        <v>320</v>
      </c>
      <c r="D71" s="463">
        <f>'Laskenta tulopuoli 130_ENT'!$AB$10</f>
        <v>92.744114863169855</v>
      </c>
      <c r="E71" s="305">
        <f>'Laskenta tulopuoli 130_ENT'!$AC$10</f>
        <v>170</v>
      </c>
      <c r="F71" s="463">
        <f>'Laskenta tulopuoli 130_ENT'!$AD$10</f>
        <v>85.076221283069771</v>
      </c>
      <c r="G71" s="305">
        <f>'Laskenta tulopuoli 130_ENT'!$AE$10</f>
        <v>100</v>
      </c>
      <c r="H71" s="463">
        <f>'Laskenta tulopuoli 130_ENT'!$AF$10</f>
        <v>58.134168283347442</v>
      </c>
      <c r="I71" s="305">
        <f>'Laskenta tulopuoli 130_ENT'!$AG$10</f>
        <v>70</v>
      </c>
      <c r="J71" s="460">
        <f>'Laskenta tulopuoli 130_ENT'!$AH$10</f>
        <v>19.714016122663523</v>
      </c>
      <c r="L71" s="304">
        <f>'Laskenta poistopuoli 130_ENT'!$AA$10</f>
        <v>320</v>
      </c>
      <c r="M71" s="463">
        <f>'Laskenta poistopuoli 130_ENT'!$AB$10</f>
        <v>109.59077137600245</v>
      </c>
      <c r="N71" s="305">
        <f>'Laskenta poistopuoli 130_ENT'!$AC$10</f>
        <v>170</v>
      </c>
      <c r="O71" s="463">
        <f>'Laskenta poistopuoli 130_ENT'!$AD$10</f>
        <v>98.643736362646024</v>
      </c>
      <c r="P71" s="305">
        <f>'Laskenta poistopuoli 130_ENT'!$AE$10</f>
        <v>100</v>
      </c>
      <c r="Q71" s="463">
        <f>'Laskenta poistopuoli 130_ENT'!$AF$10</f>
        <v>70.381118945435134</v>
      </c>
      <c r="R71" s="305">
        <f>'Laskenta poistopuoli 130_ENT'!$AG$10</f>
        <v>80</v>
      </c>
      <c r="S71" s="460">
        <f>'Laskenta poistopuoli 130_ENT'!$AH$10</f>
        <v>21.971393009889287</v>
      </c>
    </row>
    <row r="72" spans="3:19" x14ac:dyDescent="0.15">
      <c r="C72" s="304">
        <f>'Laskenta tulopuoli 130_ENT'!$AA$11</f>
        <v>390</v>
      </c>
      <c r="D72" s="463">
        <f>'Laskenta tulopuoli 130_ENT'!$AB$11</f>
        <v>80.772307836137671</v>
      </c>
      <c r="E72" s="305">
        <f>'Laskenta tulopuoli 130_ENT'!$AC$11</f>
        <v>190</v>
      </c>
      <c r="F72" s="463">
        <f>'Laskenta tulopuoli 130_ENT'!$AD$11</f>
        <v>81.164804640481279</v>
      </c>
      <c r="G72" s="305">
        <f>'Laskenta tulopuoli 130_ENT'!$AE$11</f>
        <v>180</v>
      </c>
      <c r="H72" s="463">
        <f>'Laskenta tulopuoli 130_ENT'!$AF$11</f>
        <v>33.145608031307056</v>
      </c>
      <c r="I72" s="305"/>
      <c r="J72" s="460"/>
      <c r="L72" s="304">
        <f>'Laskenta poistopuoli 130_ENT'!$AA$11</f>
        <v>390</v>
      </c>
      <c r="M72" s="463">
        <f>'Laskenta poistopuoli 130_ENT'!$AB$11</f>
        <v>97.720092125961884</v>
      </c>
      <c r="N72" s="305">
        <f>'Laskenta poistopuoli 130_ENT'!$AC$11</f>
        <v>190</v>
      </c>
      <c r="O72" s="463">
        <f>'Laskenta poistopuoli 130_ENT'!$AD$11</f>
        <v>94.595258574250607</v>
      </c>
      <c r="P72" s="305">
        <f>'Laskenta poistopuoli 130_ENT'!$AE$11</f>
        <v>185</v>
      </c>
      <c r="Q72" s="463">
        <f>'Laskenta poistopuoli 130_ENT'!$AF$11</f>
        <v>35.916971395500518</v>
      </c>
      <c r="R72" s="305"/>
      <c r="S72" s="460"/>
    </row>
    <row r="73" spans="3:19" ht="14" thickBot="1" x14ac:dyDescent="0.2">
      <c r="C73" s="306">
        <f>'Laskenta tulopuoli 130_ENT'!$AA$12</f>
        <v>460</v>
      </c>
      <c r="D73" s="464">
        <f>'Laskenta tulopuoli 130_ENT'!$AB$12</f>
        <v>62.490705197281741</v>
      </c>
      <c r="E73" s="307">
        <f>'Laskenta tulopuoli 130_ENT'!$AC$12</f>
        <v>320</v>
      </c>
      <c r="F73" s="464">
        <f>'Laskenta tulopuoli 130_ENT'!$AD$12</f>
        <v>46.424019513205216</v>
      </c>
      <c r="G73" s="307"/>
      <c r="H73" s="464"/>
      <c r="I73" s="307"/>
      <c r="J73" s="461"/>
      <c r="L73" s="306">
        <f>'Laskenta poistopuoli 130_ENT'!$AA$12</f>
        <v>460</v>
      </c>
      <c r="M73" s="464">
        <f>'Laskenta poistopuoli 130_ENT'!$AB$12</f>
        <v>79.469872844831499</v>
      </c>
      <c r="N73" s="307">
        <f>'Laskenta poistopuoli 130_ENT'!$AC$12</f>
        <v>325</v>
      </c>
      <c r="O73" s="464">
        <f>'Laskenta poistopuoli 130_ENT'!$AD$12</f>
        <v>55.892288183544039</v>
      </c>
      <c r="P73" s="307"/>
      <c r="Q73" s="464"/>
      <c r="R73" s="307"/>
      <c r="S73" s="461"/>
    </row>
    <row r="75" spans="3:19" ht="14" thickBot="1" x14ac:dyDescent="0.2">
      <c r="C75" s="104">
        <v>7</v>
      </c>
      <c r="D75" s="2" t="str">
        <f>INDEX(Tulokset_ENT!$X$12:$X$18,MATCH(C75,Tulokset_ENT!$Y$12:$Y$18,0))</f>
        <v>Model 53miniENT</v>
      </c>
      <c r="L75" s="104">
        <v>7</v>
      </c>
      <c r="M75" s="2" t="str">
        <f>INDEX(Tulokset_ENT!$X$12:$X$18,MATCH(L75,Tulokset_ENT!$Y$12:$Y$18,0))</f>
        <v>Model 53miniENT</v>
      </c>
    </row>
    <row r="76" spans="3:19" ht="14" thickBot="1" x14ac:dyDescent="0.2">
      <c r="C76" s="465" t="s">
        <v>7</v>
      </c>
      <c r="D76" s="1442" t="str">
        <f>D75</f>
        <v>Model 53miniENT</v>
      </c>
      <c r="E76" s="361"/>
      <c r="F76" s="361"/>
      <c r="G76" s="361"/>
      <c r="H76" s="361"/>
      <c r="I76" s="361"/>
      <c r="J76" s="362"/>
      <c r="L76" s="1441" t="s">
        <v>8</v>
      </c>
      <c r="M76" s="1442" t="str">
        <f>M75</f>
        <v>Model 53miniENT</v>
      </c>
      <c r="N76" s="361"/>
      <c r="O76" s="361"/>
      <c r="P76" s="361"/>
      <c r="Q76" s="361"/>
      <c r="R76" s="361"/>
      <c r="S76" s="362"/>
    </row>
    <row r="77" spans="3:19" x14ac:dyDescent="0.15">
      <c r="C77" s="1437" t="str">
        <f>'Laskenta tulopuoli 53mini_ENT'!$AA$4</f>
        <v>10 V</v>
      </c>
      <c r="D77" s="1444"/>
      <c r="E77" s="1437" t="str">
        <f>'Laskenta tulopuoli 53mini_ENT'!$AE$4</f>
        <v>7 V</v>
      </c>
      <c r="F77" s="1444"/>
      <c r="G77" s="1437" t="str">
        <f>'Laskenta tulopuoli 53mini_ENT'!$AG$4</f>
        <v>6 V</v>
      </c>
      <c r="H77" s="1444"/>
      <c r="I77" s="1437" t="str">
        <f>'Laskenta tulopuoli 53mini_ENT'!$AK$4</f>
        <v>4V</v>
      </c>
      <c r="J77" s="231"/>
      <c r="L77" s="1437" t="str">
        <f>'Laskenta poistopuoli 53mini_ENT'!$AA$4</f>
        <v>10 V</v>
      </c>
      <c r="M77" s="1444"/>
      <c r="N77" s="1437" t="str">
        <f>'Laskenta poistopuoli 53mini_ENT'!$AE$4</f>
        <v>7 V</v>
      </c>
      <c r="O77" s="1444"/>
      <c r="P77" s="1437" t="str">
        <f>'Laskenta poistopuoli 53mini_ENT'!$AG$4</f>
        <v>6 V</v>
      </c>
      <c r="Q77" s="1444"/>
      <c r="R77" s="1437" t="str">
        <f>'Laskenta poistopuoli 53mini_ENT'!$AK$4</f>
        <v>4V</v>
      </c>
      <c r="S77" s="231"/>
    </row>
    <row r="78" spans="3:19" ht="14" thickBot="1" x14ac:dyDescent="0.2">
      <c r="C78" s="306" t="s">
        <v>14</v>
      </c>
      <c r="D78" s="462" t="s">
        <v>13</v>
      </c>
      <c r="E78" s="306" t="s">
        <v>14</v>
      </c>
      <c r="F78" s="462" t="s">
        <v>13</v>
      </c>
      <c r="G78" s="306" t="s">
        <v>14</v>
      </c>
      <c r="H78" s="462" t="s">
        <v>13</v>
      </c>
      <c r="I78" s="306" t="s">
        <v>14</v>
      </c>
      <c r="J78" s="239" t="s">
        <v>13</v>
      </c>
      <c r="L78" s="306" t="s">
        <v>14</v>
      </c>
      <c r="M78" s="462" t="s">
        <v>13</v>
      </c>
      <c r="N78" s="306" t="s">
        <v>14</v>
      </c>
      <c r="O78" s="462" t="s">
        <v>13</v>
      </c>
      <c r="P78" s="306" t="s">
        <v>14</v>
      </c>
      <c r="Q78" s="462" t="s">
        <v>13</v>
      </c>
      <c r="R78" s="306" t="s">
        <v>14</v>
      </c>
      <c r="S78" s="239" t="s">
        <v>13</v>
      </c>
    </row>
    <row r="79" spans="3:19" x14ac:dyDescent="0.15">
      <c r="C79" s="1445">
        <f>'Laskenta tulopuoli 53mini_ENT'!$AA$6</f>
        <v>25</v>
      </c>
      <c r="D79" s="1438">
        <f>'Laskenta tulopuoli 53mini_ENT'!$AB$6</f>
        <v>95.380316017540977</v>
      </c>
      <c r="E79" s="1439">
        <f>'Laskenta tulopuoli 53mini_ENT'!$AE$6</f>
        <v>10</v>
      </c>
      <c r="F79" s="1438">
        <f>'Laskenta tulopuoli 53mini_ENT'!$AF$6</f>
        <v>84.039568816164177</v>
      </c>
      <c r="G79" s="1439">
        <f>'Laskenta tulopuoli 53mini_ENT'!$AG$6</f>
        <v>10</v>
      </c>
      <c r="H79" s="1438">
        <f>'Laskenta tulopuoli 53mini_ENT'!$AH$6</f>
        <v>69.526415226309226</v>
      </c>
      <c r="I79" s="1439">
        <f>'Laskenta tulopuoli 53mini_ENT'!$AK$6</f>
        <v>10</v>
      </c>
      <c r="J79" s="1440">
        <f>'Laskenta tulopuoli 53mini_ENT'!$AL$6</f>
        <v>40.015801166334754</v>
      </c>
      <c r="L79" s="1445">
        <f>'Laskenta poistopuoli 53mini_ENT'!$AA$6</f>
        <v>15</v>
      </c>
      <c r="M79" s="1438">
        <f>'Laskenta poistopuoli 53mini_ENT'!$AB$6</f>
        <v>103.57553241263072</v>
      </c>
      <c r="N79" s="1439">
        <f>'Laskenta poistopuoli 53mini_ENT'!$AE$6</f>
        <v>10</v>
      </c>
      <c r="O79" s="1438">
        <f>'Laskenta poistopuoli 53mini_ENT'!$AF$6</f>
        <v>98.863748472513095</v>
      </c>
      <c r="P79" s="1439">
        <f>'Laskenta poistopuoli 53mini_ENT'!$AG$6</f>
        <v>10</v>
      </c>
      <c r="Q79" s="1438">
        <f>'Laskenta poistopuoli 53mini_ENT'!$AH$6</f>
        <v>81.983013493976628</v>
      </c>
      <c r="R79" s="1439">
        <f>'Laskenta poistopuoli 53mini_ENT'!$AK$6</f>
        <v>10</v>
      </c>
      <c r="S79" s="1440">
        <f>'Laskenta poistopuoli 53mini_ENT'!$AL$6</f>
        <v>48.797613651027639</v>
      </c>
    </row>
    <row r="80" spans="3:19" x14ac:dyDescent="0.15">
      <c r="C80" s="304">
        <f>'Laskenta tulopuoli 53mini_ENT'!$AA$7</f>
        <v>120</v>
      </c>
      <c r="D80" s="463">
        <f>'Laskenta tulopuoli 53mini_ENT'!$AB$7</f>
        <v>88.947735868714446</v>
      </c>
      <c r="E80" s="305">
        <f>'Laskenta tulopuoli 53mini_ENT'!$AE$7</f>
        <v>40</v>
      </c>
      <c r="F80" s="463">
        <f>'Laskenta tulopuoli 53mini_ENT'!$AF$7</f>
        <v>80.225850223781507</v>
      </c>
      <c r="G80" s="305">
        <f>'Laskenta tulopuoli 53mini_ENT'!$AG$7</f>
        <v>25</v>
      </c>
      <c r="H80" s="463">
        <f>'Laskenta tulopuoli 53mini_ENT'!$AH$7</f>
        <v>67.297184955677153</v>
      </c>
      <c r="I80" s="305">
        <f>'Laskenta tulopuoli 53mini_ENT'!$AK$7</f>
        <v>20</v>
      </c>
      <c r="J80" s="460">
        <f>'Laskenta tulopuoli 53mini_ENT'!$AL$7</f>
        <v>37.747929468346427</v>
      </c>
      <c r="L80" s="304">
        <f>'Laskenta poistopuoli 53mini_ENT'!$AA$7</f>
        <v>120</v>
      </c>
      <c r="M80" s="463">
        <f>'Laskenta poistopuoli 53mini_ENT'!$AB$7</f>
        <v>94.880901963147465</v>
      </c>
      <c r="N80" s="305">
        <f>'Laskenta poistopuoli 53mini_ENT'!$AE$7</f>
        <v>40</v>
      </c>
      <c r="O80" s="463">
        <f>'Laskenta poistopuoli 53mini_ENT'!$AF$7</f>
        <v>94.863745143000813</v>
      </c>
      <c r="P80" s="305">
        <f>'Laskenta poistopuoli 53mini_ENT'!$AG$7</f>
        <v>25</v>
      </c>
      <c r="Q80" s="463">
        <f>'Laskenta poistopuoli 53mini_ENT'!$AH$7</f>
        <v>79.696567243836242</v>
      </c>
      <c r="R80" s="305">
        <f>'Laskenta poistopuoli 53mini_ENT'!$AK$7</f>
        <v>20</v>
      </c>
      <c r="S80" s="460">
        <f>'Laskenta poistopuoli 53mini_ENT'!$AL$7</f>
        <v>46.415338122451843</v>
      </c>
    </row>
    <row r="81" spans="3:19" x14ac:dyDescent="0.15">
      <c r="C81" s="304">
        <f>'Laskenta tulopuoli 53mini_ENT'!$AA$8</f>
        <v>190</v>
      </c>
      <c r="D81" s="463">
        <f>'Laskenta tulopuoli 53mini_ENT'!$AB$8</f>
        <v>83.762679772606006</v>
      </c>
      <c r="E81" s="305">
        <f>'Laskenta tulopuoli 53mini_ENT'!$AE$8</f>
        <v>60</v>
      </c>
      <c r="F81" s="463">
        <f>'Laskenta tulopuoli 53mini_ENT'!$AF$8</f>
        <v>77.567381007801956</v>
      </c>
      <c r="G81" s="305">
        <f>'Laskenta tulopuoli 53mini_ENT'!$AG$8</f>
        <v>35</v>
      </c>
      <c r="H81" s="463">
        <f>'Laskenta tulopuoli 53mini_ENT'!$AH$8</f>
        <v>65.758212482557326</v>
      </c>
      <c r="I81" s="305">
        <f>'Laskenta tulopuoli 53mini_ENT'!$AK$8</f>
        <v>40</v>
      </c>
      <c r="J81" s="460">
        <f>'Laskenta tulopuoli 53mini_ENT'!$AL$8</f>
        <v>32.617007985442889</v>
      </c>
      <c r="L81" s="304">
        <f>'Laskenta poistopuoli 53mini_ENT'!$AA$8</f>
        <v>190</v>
      </c>
      <c r="M81" s="463">
        <f>'Laskenta poistopuoli 53mini_ENT'!$AB$8</f>
        <v>88.807959332100708</v>
      </c>
      <c r="N81" s="305">
        <f>'Laskenta poistopuoli 53mini_ENT'!$AE$8</f>
        <v>60</v>
      </c>
      <c r="O81" s="463">
        <f>'Laskenta poistopuoli 53mini_ENT'!$AF$8</f>
        <v>92.068115196745225</v>
      </c>
      <c r="P81" s="305">
        <f>'Laskenta poistopuoli 53mini_ENT'!$AG$8</f>
        <v>35</v>
      </c>
      <c r="Q81" s="463">
        <f>'Laskenta poistopuoli 53mini_ENT'!$AH$8</f>
        <v>78.122767590392229</v>
      </c>
      <c r="R81" s="305">
        <f>'Laskenta poistopuoli 53mini_ENT'!$AK$8</f>
        <v>60</v>
      </c>
      <c r="S81" s="460">
        <f>'Laskenta poistopuoli 53mini_ENT'!$AL$8</f>
        <v>34.64658196138771</v>
      </c>
    </row>
    <row r="82" spans="3:19" x14ac:dyDescent="0.15">
      <c r="C82" s="304">
        <f>'Laskenta tulopuoli 53mini_ENT'!$AA$9</f>
        <v>250</v>
      </c>
      <c r="D82" s="463">
        <f>'Laskenta tulopuoli 53mini_ENT'!$AB$9</f>
        <v>78.926454069340437</v>
      </c>
      <c r="E82" s="305">
        <f>'Laskenta tulopuoli 53mini_ENT'!$AE$9</f>
        <v>80</v>
      </c>
      <c r="F82" s="463">
        <f>'Laskenta tulopuoli 53mini_ENT'!$AF$9</f>
        <v>74.803260102765194</v>
      </c>
      <c r="G82" s="305">
        <f>'Laskenta tulopuoli 53mini_ENT'!$AG$9</f>
        <v>55</v>
      </c>
      <c r="H82" s="463">
        <f>'Laskenta tulopuoli 53mini_ENT'!$AH$9</f>
        <v>62.53553498412861</v>
      </c>
      <c r="I82" s="305">
        <f>'Laskenta tulopuoli 53mini_ENT'!$AK$9</f>
        <v>50</v>
      </c>
      <c r="J82" s="460">
        <f>'Laskenta tulopuoli 53mini_ENT'!$AL$9</f>
        <v>29.619409120844775</v>
      </c>
      <c r="L82" s="304">
        <f>'Laskenta poistopuoli 53mini_ENT'!$AA$9</f>
        <v>250</v>
      </c>
      <c r="M82" s="463">
        <f>'Laskenta poistopuoli 53mini_ENT'!$AB$9</f>
        <v>83.402123627509837</v>
      </c>
      <c r="N82" s="305">
        <f>'Laskenta poistopuoli 53mini_ENT'!$AE$9</f>
        <v>80</v>
      </c>
      <c r="O82" s="463">
        <f>'Laskenta poistopuoli 53mini_ENT'!$AF$9</f>
        <v>89.154081732102</v>
      </c>
      <c r="P82" s="305">
        <f>'Laskenta poistopuoli 53mini_ENT'!$AG$9</f>
        <v>55</v>
      </c>
      <c r="Q82" s="463">
        <f>'Laskenta poistopuoli 53mini_ENT'!$AH$9</f>
        <v>74.841120229685856</v>
      </c>
      <c r="R82" s="305">
        <f>'Laskenta poistopuoli 53mini_ENT'!$AK$9</f>
        <v>80</v>
      </c>
      <c r="S82" s="460">
        <f>'Laskenta poistopuoli 53mini_ENT'!$AL$9</f>
        <v>25.668533811416562</v>
      </c>
    </row>
    <row r="83" spans="3:19" x14ac:dyDescent="0.15">
      <c r="C83" s="304">
        <f>'Laskenta tulopuoli 53mini_ENT'!$AA$10</f>
        <v>320</v>
      </c>
      <c r="D83" s="463">
        <f>'Laskenta tulopuoli 53mini_ENT'!$AB$10</f>
        <v>72.674163985891298</v>
      </c>
      <c r="E83" s="305">
        <f>'Laskenta tulopuoli 53mini_ENT'!$AE$10</f>
        <v>100</v>
      </c>
      <c r="F83" s="463">
        <f>'Laskenta tulopuoli 53mini_ENT'!$AF$10</f>
        <v>71.919790815766788</v>
      </c>
      <c r="G83" s="305">
        <f>'Laskenta tulopuoli 53mini_ENT'!$AG$10</f>
        <v>140</v>
      </c>
      <c r="H83" s="463">
        <f>'Laskenta tulopuoli 53mini_ENT'!$AH$10</f>
        <v>45.390768542105448</v>
      </c>
      <c r="I83" s="305">
        <f>'Laskenta tulopuoli 53mini_ENT'!$AK$10</f>
        <v>70</v>
      </c>
      <c r="J83" s="460">
        <f>'Laskenta tulopuoli 53mini_ENT'!$AL$10</f>
        <v>21.915925296244261</v>
      </c>
      <c r="L83" s="304">
        <f>'Laskenta poistopuoli 53mini_ENT'!$AA$10</f>
        <v>320</v>
      </c>
      <c r="M83" s="463">
        <f>'Laskenta poistopuoli 53mini_ENT'!$AB$10</f>
        <v>76.831301252434912</v>
      </c>
      <c r="N83" s="305">
        <f>'Laskenta poistopuoli 53mini_ENT'!$AE$10</f>
        <v>100</v>
      </c>
      <c r="O83" s="463">
        <f>'Laskenta poistopuoli 53mini_ENT'!$AF$10</f>
        <v>86.10519059739714</v>
      </c>
      <c r="P83" s="305">
        <f>'Laskenta poistopuoli 53mini_ENT'!$AG$10</f>
        <v>180</v>
      </c>
      <c r="Q83" s="463">
        <f>'Laskenta poistopuoli 53mini_ENT'!$AH$10</f>
        <v>46.436616599215917</v>
      </c>
      <c r="R83" s="305">
        <f>'Laskenta poistopuoli 53mini_ENT'!$AK$10</f>
        <v>82</v>
      </c>
      <c r="S83" s="460">
        <f>'Laskenta poistopuoli 53mini_ENT'!$AL$10</f>
        <v>24.458258401494632</v>
      </c>
    </row>
    <row r="84" spans="3:19" x14ac:dyDescent="0.15">
      <c r="C84" s="304">
        <f>'Laskenta tulopuoli 53mini_ENT'!$AA$11</f>
        <v>370</v>
      </c>
      <c r="D84" s="463">
        <f>'Laskenta tulopuoli 53mini_ENT'!$AB$11</f>
        <v>67.656938734011845</v>
      </c>
      <c r="E84" s="305">
        <f>'Laskenta tulopuoli 53mini_ENT'!$AE$11</f>
        <v>200</v>
      </c>
      <c r="F84" s="463">
        <f>'Laskenta tulopuoli 53mini_ENT'!$AF$11</f>
        <v>54.917543457145847</v>
      </c>
      <c r="G84" s="305">
        <f>'Laskenta tulopuoli 53mini_ENT'!$AG$11</f>
        <v>175</v>
      </c>
      <c r="H84" s="463">
        <f>'Laskenta tulopuoli 53mini_ENT'!$AH$11</f>
        <v>34.60923239891234</v>
      </c>
      <c r="I84" s="305"/>
      <c r="J84" s="460"/>
      <c r="L84" s="304">
        <f>'Laskenta poistopuoli 53mini_ENT'!$AA$11</f>
        <v>370</v>
      </c>
      <c r="M84" s="463">
        <f>'Laskenta poistopuoli 53mini_ENT'!$AB$11</f>
        <v>71.942009838283937</v>
      </c>
      <c r="N84" s="305">
        <f>'Laskenta poistopuoli 53mini_ENT'!$AE$11</f>
        <v>270</v>
      </c>
      <c r="O84" s="463">
        <f>'Laskenta poistopuoli 53mini_ENT'!$AF$11</f>
        <v>48.048861693966089</v>
      </c>
      <c r="P84" s="305">
        <f>'Laskenta poistopuoli 53mini_ENT'!$AG$11</f>
        <v>200</v>
      </c>
      <c r="Q84" s="463">
        <f>'Laskenta poistopuoli 53mini_ENT'!$AH$11</f>
        <v>38.256987148325678</v>
      </c>
      <c r="R84" s="305"/>
      <c r="S84" s="460"/>
    </row>
    <row r="85" spans="3:19" ht="14" thickBot="1" x14ac:dyDescent="0.2">
      <c r="C85" s="306">
        <f>'Laskenta tulopuoli 53mini_ENT'!$AA$12</f>
        <v>450</v>
      </c>
      <c r="D85" s="464">
        <f>'Laskenta tulopuoli 53mini_ENT'!$AB$12</f>
        <v>58.104961702759233</v>
      </c>
      <c r="E85" s="307">
        <f>'Laskenta tulopuoli 53mini_ENT'!$AE$12</f>
        <v>260</v>
      </c>
      <c r="F85" s="464">
        <f>'Laskenta tulopuoli 53mini_ENT'!$AF$12</f>
        <v>40.724118239289034</v>
      </c>
      <c r="G85" s="307"/>
      <c r="H85" s="464"/>
      <c r="I85" s="307"/>
      <c r="J85" s="461"/>
      <c r="L85" s="306">
        <f>'Laskenta poistopuoli 53mini_ENT'!$AA$12</f>
        <v>460</v>
      </c>
      <c r="M85" s="464">
        <f>'Laskenta poistopuoli 53mini_ENT'!$AB$12</f>
        <v>62.662556243440676</v>
      </c>
      <c r="N85" s="307">
        <f>'Laskenta poistopuoli 53mini_ENT'!$AE$12</f>
        <v>280</v>
      </c>
      <c r="O85" s="464">
        <f>'Laskenta poistopuoli 53mini_ENT'!$AF$12</f>
        <v>43.718181696062231</v>
      </c>
      <c r="P85" s="307"/>
      <c r="Q85" s="464"/>
      <c r="R85" s="307"/>
      <c r="S85" s="461"/>
    </row>
    <row r="87" spans="3:19" ht="14" thickBot="1" x14ac:dyDescent="0.2">
      <c r="C87" s="104">
        <v>8</v>
      </c>
      <c r="D87" s="2" t="s">
        <v>2691</v>
      </c>
      <c r="L87" s="104">
        <v>8</v>
      </c>
      <c r="M87" s="2" t="s">
        <v>2691</v>
      </c>
    </row>
    <row r="88" spans="3:19" ht="14" thickBot="1" x14ac:dyDescent="0.2">
      <c r="C88" s="465" t="s">
        <v>7</v>
      </c>
      <c r="D88" s="1442" t="str">
        <f>D87</f>
        <v>Varaus seuraavalle koneelle</v>
      </c>
      <c r="E88" s="361"/>
      <c r="F88" s="361"/>
      <c r="G88" s="361"/>
      <c r="H88" s="361"/>
      <c r="I88" s="361"/>
      <c r="J88" s="362"/>
      <c r="L88" s="465" t="s">
        <v>8</v>
      </c>
      <c r="M88" s="1442" t="str">
        <f>M87</f>
        <v>Varaus seuraavalle koneelle</v>
      </c>
      <c r="N88" s="361"/>
      <c r="O88" s="361"/>
      <c r="P88" s="361"/>
      <c r="Q88" s="361"/>
      <c r="R88" s="361"/>
      <c r="S88" s="362"/>
    </row>
    <row r="89" spans="3:19" x14ac:dyDescent="0.15">
      <c r="C89" s="1437"/>
      <c r="D89" s="1444"/>
      <c r="E89" s="1437"/>
      <c r="F89" s="1444"/>
      <c r="G89" s="1437"/>
      <c r="H89" s="1444"/>
      <c r="I89" s="1437"/>
      <c r="J89" s="231"/>
      <c r="L89" s="1437"/>
      <c r="M89" s="1444"/>
      <c r="N89" s="1437"/>
      <c r="O89" s="1444"/>
      <c r="P89" s="1437"/>
      <c r="Q89" s="1444"/>
      <c r="R89" s="1437"/>
      <c r="S89" s="231"/>
    </row>
    <row r="90" spans="3:19" ht="14" thickBot="1" x14ac:dyDescent="0.2">
      <c r="C90" s="306" t="s">
        <v>14</v>
      </c>
      <c r="D90" s="462" t="s">
        <v>13</v>
      </c>
      <c r="E90" s="306" t="s">
        <v>14</v>
      </c>
      <c r="F90" s="462" t="s">
        <v>13</v>
      </c>
      <c r="G90" s="306" t="s">
        <v>14</v>
      </c>
      <c r="H90" s="462" t="s">
        <v>13</v>
      </c>
      <c r="I90" s="306" t="s">
        <v>14</v>
      </c>
      <c r="J90" s="239" t="s">
        <v>13</v>
      </c>
      <c r="L90" s="306" t="s">
        <v>14</v>
      </c>
      <c r="M90" s="462" t="s">
        <v>13</v>
      </c>
      <c r="N90" s="306" t="s">
        <v>14</v>
      </c>
      <c r="O90" s="462" t="s">
        <v>13</v>
      </c>
      <c r="P90" s="306" t="s">
        <v>14</v>
      </c>
      <c r="Q90" s="462" t="s">
        <v>13</v>
      </c>
      <c r="R90" s="306" t="s">
        <v>14</v>
      </c>
      <c r="S90" s="239" t="s">
        <v>13</v>
      </c>
    </row>
    <row r="91" spans="3:19" x14ac:dyDescent="0.15">
      <c r="C91" s="1445"/>
      <c r="D91" s="1438"/>
      <c r="E91" s="1439"/>
      <c r="F91" s="1438"/>
      <c r="G91" s="1439"/>
      <c r="H91" s="1438"/>
      <c r="I91" s="1439"/>
      <c r="J91" s="1440"/>
      <c r="L91" s="1445"/>
      <c r="M91" s="1438"/>
      <c r="N91" s="1439"/>
      <c r="O91" s="1438"/>
      <c r="P91" s="1439"/>
      <c r="Q91" s="1438"/>
      <c r="R91" s="1439"/>
      <c r="S91" s="1440"/>
    </row>
    <row r="92" spans="3:19" x14ac:dyDescent="0.15">
      <c r="C92" s="304"/>
      <c r="D92" s="463"/>
      <c r="E92" s="305"/>
      <c r="F92" s="463"/>
      <c r="G92" s="305"/>
      <c r="H92" s="463"/>
      <c r="I92" s="305"/>
      <c r="J92" s="460"/>
      <c r="L92" s="304"/>
      <c r="M92" s="463"/>
      <c r="N92" s="305"/>
      <c r="O92" s="463"/>
      <c r="P92" s="305"/>
      <c r="Q92" s="463"/>
      <c r="R92" s="305"/>
      <c r="S92" s="460"/>
    </row>
    <row r="93" spans="3:19" x14ac:dyDescent="0.15">
      <c r="C93" s="304"/>
      <c r="D93" s="463"/>
      <c r="E93" s="305"/>
      <c r="F93" s="463"/>
      <c r="G93" s="305"/>
      <c r="H93" s="463"/>
      <c r="I93" s="305"/>
      <c r="J93" s="460"/>
      <c r="L93" s="304"/>
      <c r="M93" s="463"/>
      <c r="N93" s="305"/>
      <c r="O93" s="463"/>
      <c r="P93" s="305"/>
      <c r="Q93" s="463"/>
      <c r="R93" s="305"/>
      <c r="S93" s="460"/>
    </row>
    <row r="94" spans="3:19" x14ac:dyDescent="0.15">
      <c r="C94" s="304"/>
      <c r="D94" s="463"/>
      <c r="E94" s="305"/>
      <c r="F94" s="463"/>
      <c r="G94" s="305"/>
      <c r="H94" s="463"/>
      <c r="I94" s="305"/>
      <c r="J94" s="460"/>
      <c r="L94" s="304"/>
      <c r="M94" s="463"/>
      <c r="N94" s="305"/>
      <c r="O94" s="463"/>
      <c r="P94" s="305"/>
      <c r="Q94" s="463"/>
      <c r="R94" s="305"/>
      <c r="S94" s="460"/>
    </row>
    <row r="95" spans="3:19" x14ac:dyDescent="0.15">
      <c r="C95" s="304"/>
      <c r="D95" s="463"/>
      <c r="E95" s="305"/>
      <c r="F95" s="463"/>
      <c r="G95" s="305"/>
      <c r="H95" s="463"/>
      <c r="I95" s="305"/>
      <c r="J95" s="460"/>
      <c r="L95" s="304"/>
      <c r="M95" s="463"/>
      <c r="N95" s="305"/>
      <c r="O95" s="463"/>
      <c r="P95" s="305"/>
      <c r="Q95" s="463"/>
      <c r="R95" s="305"/>
      <c r="S95" s="460"/>
    </row>
    <row r="96" spans="3:19" x14ac:dyDescent="0.15">
      <c r="C96" s="304"/>
      <c r="D96" s="463"/>
      <c r="E96" s="305"/>
      <c r="F96" s="463"/>
      <c r="G96" s="305"/>
      <c r="H96" s="463"/>
      <c r="I96" s="305"/>
      <c r="J96" s="460"/>
      <c r="L96" s="304"/>
      <c r="M96" s="463"/>
      <c r="N96" s="305"/>
      <c r="O96" s="463"/>
      <c r="P96" s="305"/>
      <c r="Q96" s="463"/>
      <c r="R96" s="305"/>
      <c r="S96" s="460"/>
    </row>
    <row r="97" spans="3:19" ht="14" thickBot="1" x14ac:dyDescent="0.2">
      <c r="C97" s="306"/>
      <c r="D97" s="464"/>
      <c r="E97" s="307"/>
      <c r="F97" s="464"/>
      <c r="G97" s="307"/>
      <c r="H97" s="464"/>
      <c r="I97" s="307"/>
      <c r="J97" s="461"/>
      <c r="L97" s="306"/>
      <c r="M97" s="464"/>
      <c r="N97" s="307"/>
      <c r="O97" s="464"/>
      <c r="P97" s="307"/>
      <c r="Q97" s="464"/>
      <c r="R97" s="307"/>
      <c r="S97" s="461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BB31C-451A-4EDB-B6C4-972AF0B9DEFF}">
  <dimension ref="A1:V179"/>
  <sheetViews>
    <sheetView showGridLines="0" topLeftCell="D1" zoomScale="85" zoomScaleNormal="85" workbookViewId="0">
      <selection activeCell="DX27" sqref="DX27"/>
    </sheetView>
  </sheetViews>
  <sheetFormatPr baseColWidth="10" defaultColWidth="9.1640625" defaultRowHeight="15" x14ac:dyDescent="0.2"/>
  <cols>
    <col min="1" max="3" width="9.1640625" style="1555"/>
    <col min="4" max="4" width="66.1640625" style="1556" customWidth="1"/>
    <col min="5" max="11" width="61.5" style="1555" customWidth="1"/>
    <col min="12" max="12" width="9.1640625" style="1555"/>
    <col min="13" max="13" width="10.6640625" style="1555" bestFit="1" customWidth="1"/>
    <col min="14" max="16384" width="9.1640625" style="1555"/>
  </cols>
  <sheetData>
    <row r="1" spans="1:22" x14ac:dyDescent="0.2">
      <c r="A1" s="1554" t="s">
        <v>106</v>
      </c>
      <c r="B1" s="1698" t="str">
        <f>Kirjasto!B1</f>
        <v>8.0</v>
      </c>
      <c r="C1" s="1555" t="s">
        <v>2916</v>
      </c>
      <c r="H1" s="1557" t="s">
        <v>2039</v>
      </c>
    </row>
    <row r="3" spans="1:22" ht="18" thickBot="1" x14ac:dyDescent="0.25">
      <c r="B3" s="1554" t="s">
        <v>705</v>
      </c>
      <c r="D3" s="1558" t="s">
        <v>706</v>
      </c>
      <c r="E3" s="1559" t="s">
        <v>708</v>
      </c>
      <c r="F3" s="1560" t="s">
        <v>709</v>
      </c>
      <c r="G3" s="1561" t="s">
        <v>710</v>
      </c>
      <c r="H3" s="1562" t="s">
        <v>1397</v>
      </c>
      <c r="I3" s="1563" t="s">
        <v>1398</v>
      </c>
      <c r="J3" s="1564" t="s">
        <v>1399</v>
      </c>
      <c r="K3" s="1565" t="s">
        <v>1400</v>
      </c>
      <c r="M3" s="1555" t="s">
        <v>727</v>
      </c>
      <c r="T3" s="1555" t="s">
        <v>1358</v>
      </c>
    </row>
    <row r="4" spans="1:22" ht="16" x14ac:dyDescent="0.2">
      <c r="B4" s="587">
        <v>2</v>
      </c>
      <c r="C4" s="1554">
        <v>1</v>
      </c>
      <c r="D4" s="1566" t="str">
        <f>CONCATENATE("Versio ",B1)</f>
        <v>Versio 8.0</v>
      </c>
      <c r="E4" s="1567" t="str">
        <f>CONCATENATE("Version ",B1)</f>
        <v>Version 8.0</v>
      </c>
      <c r="F4" s="507" t="str">
        <f>CONCATENATE("Version ",B1)</f>
        <v>Version 8.0</v>
      </c>
      <c r="G4" s="1568" t="str">
        <f>CONCATENATE("Version ",B1)</f>
        <v>Version 8.0</v>
      </c>
      <c r="H4" s="1569" t="str">
        <f>CONCATENATE("Wersja ",B1)</f>
        <v>Wersja 8.0</v>
      </c>
      <c r="I4" s="1570" t="str">
        <f>CONCATENATE("Versioon ",B1)</f>
        <v>Versioon 8.0</v>
      </c>
      <c r="J4" s="1571" t="str">
        <f>CONCATENATE("Versija ",B1)</f>
        <v>Versija 8.0</v>
      </c>
      <c r="K4" s="1572" t="str">
        <f>CONCATENATE(B1," versija")</f>
        <v>8.0 versija</v>
      </c>
    </row>
    <row r="5" spans="1:22" ht="16" x14ac:dyDescent="0.2">
      <c r="C5" s="1554">
        <v>2</v>
      </c>
      <c r="D5" s="1573" t="s">
        <v>301</v>
      </c>
      <c r="E5" s="1574" t="s">
        <v>621</v>
      </c>
      <c r="F5" s="508" t="s">
        <v>731</v>
      </c>
      <c r="G5" s="1575" t="s">
        <v>819</v>
      </c>
      <c r="H5" s="1576" t="s">
        <v>2002</v>
      </c>
      <c r="I5" s="1577" t="s">
        <v>1540</v>
      </c>
      <c r="J5" s="1578" t="s">
        <v>1676</v>
      </c>
      <c r="K5" s="1579" t="s">
        <v>1813</v>
      </c>
      <c r="M5" s="1555" t="str" cm="1">
        <f t="array" ref="M5">INDEX(Kirjasto_ENT!D4:K130,18,Kirjasto_ENT!B4)</f>
        <v>Pressure difference [Pa]</v>
      </c>
      <c r="T5" s="1555" t="s">
        <v>1359</v>
      </c>
      <c r="V5" s="1555" t="b">
        <f>IF(B4=1,TRUE,FALSE)</f>
        <v>0</v>
      </c>
    </row>
    <row r="6" spans="1:22" ht="16" x14ac:dyDescent="0.2">
      <c r="C6" s="1554">
        <v>3</v>
      </c>
      <c r="D6" s="1573" t="s">
        <v>338</v>
      </c>
      <c r="E6" s="1574" t="s">
        <v>622</v>
      </c>
      <c r="F6" s="508" t="s">
        <v>623</v>
      </c>
      <c r="G6" s="1575" t="s">
        <v>623</v>
      </c>
      <c r="H6" s="1580" t="s">
        <v>1439</v>
      </c>
      <c r="I6" s="1577" t="s">
        <v>1541</v>
      </c>
      <c r="J6" s="1578" t="s">
        <v>1677</v>
      </c>
      <c r="K6" s="1579" t="s">
        <v>1814</v>
      </c>
      <c r="M6" s="1555" t="str" cm="1">
        <f t="array" ref="M6">INDEX(Kirjasto_ENT!D4:K130,19,Kirjasto_ENT!B4)</f>
        <v>Air volume flow [dm³/s]</v>
      </c>
      <c r="T6" s="1555" t="s">
        <v>1360</v>
      </c>
      <c r="V6" s="1555" t="b">
        <f>IF(V5,FALSE,TRUE)</f>
        <v>1</v>
      </c>
    </row>
    <row r="7" spans="1:22" ht="16" x14ac:dyDescent="0.2">
      <c r="C7" s="1554">
        <v>4</v>
      </c>
      <c r="D7" s="1573" t="s">
        <v>339</v>
      </c>
      <c r="E7" s="1574" t="s">
        <v>707</v>
      </c>
      <c r="F7" s="508" t="s">
        <v>790</v>
      </c>
      <c r="G7" s="1575" t="s">
        <v>820</v>
      </c>
      <c r="H7" s="1580" t="s">
        <v>1440</v>
      </c>
      <c r="I7" s="1577" t="s">
        <v>1542</v>
      </c>
      <c r="J7" s="1578" t="s">
        <v>1678</v>
      </c>
      <c r="K7" s="1579" t="s">
        <v>1815</v>
      </c>
      <c r="M7" s="1555" t="str" cm="1">
        <f t="array" ref="M7">INDEX(Kirjasto_ENT!D4:K135,132,Kirjasto_ENT!B4)</f>
        <v>Air volume flow [m³/h]</v>
      </c>
    </row>
    <row r="8" spans="1:22" ht="16" x14ac:dyDescent="0.2">
      <c r="C8" s="1554">
        <v>5</v>
      </c>
      <c r="D8" s="1573" t="s">
        <v>337</v>
      </c>
      <c r="E8" s="1574" t="s">
        <v>723</v>
      </c>
      <c r="F8" s="508" t="s">
        <v>732</v>
      </c>
      <c r="G8" s="1575" t="s">
        <v>821</v>
      </c>
      <c r="H8" s="1580" t="s">
        <v>1441</v>
      </c>
      <c r="I8" s="1577" t="s">
        <v>1543</v>
      </c>
      <c r="J8" s="1578" t="s">
        <v>1679</v>
      </c>
      <c r="K8" s="1579" t="s">
        <v>1816</v>
      </c>
      <c r="M8" s="1555" t="str" cm="1">
        <f t="array" ref="M8">INDEX(Kirjasto_ENT!D4:K130,91,Kirjasto_ENT!B4)</f>
        <v>Supply air temperature after heat exchanger</v>
      </c>
    </row>
    <row r="9" spans="1:22" ht="32" x14ac:dyDescent="0.2">
      <c r="C9" s="1554">
        <v>6</v>
      </c>
      <c r="D9" s="1573" t="s">
        <v>624</v>
      </c>
      <c r="E9" s="1581" t="s">
        <v>822</v>
      </c>
      <c r="F9" s="508" t="s">
        <v>1100</v>
      </c>
      <c r="G9" s="1575" t="s">
        <v>823</v>
      </c>
      <c r="H9" s="1580" t="s">
        <v>1442</v>
      </c>
      <c r="I9" s="1577" t="s">
        <v>1544</v>
      </c>
      <c r="J9" s="1578" t="s">
        <v>1680</v>
      </c>
      <c r="K9" s="1579" t="s">
        <v>1817</v>
      </c>
      <c r="M9" s="1555" t="str" cm="1">
        <f t="array" ref="M9">INDEX(Kirjasto_ENT!D4:K130,92,Kirjasto_ENT!B4)</f>
        <v>Supply air temperature [°C]</v>
      </c>
    </row>
    <row r="10" spans="1:22" ht="16" x14ac:dyDescent="0.2">
      <c r="C10" s="1554">
        <v>7</v>
      </c>
      <c r="D10" s="1573" t="s">
        <v>625</v>
      </c>
      <c r="E10" s="1574" t="s">
        <v>2149</v>
      </c>
      <c r="F10" s="508" t="s">
        <v>825</v>
      </c>
      <c r="G10" s="1575" t="s">
        <v>826</v>
      </c>
      <c r="H10" s="1576" t="s">
        <v>2003</v>
      </c>
      <c r="I10" s="1577" t="s">
        <v>1545</v>
      </c>
      <c r="J10" s="1578" t="s">
        <v>1681</v>
      </c>
      <c r="K10" s="1579" t="s">
        <v>1818</v>
      </c>
      <c r="M10" s="1555" t="str" cm="1">
        <f t="array" ref="M10">INDEX(Kirjasto_ENT!D4:K130,93,Kirjasto_ENT!B4)</f>
        <v>Outdoor air temperature [°C]</v>
      </c>
    </row>
    <row r="11" spans="1:22" ht="16" x14ac:dyDescent="0.2">
      <c r="C11" s="1554">
        <v>8</v>
      </c>
      <c r="D11" s="1573" t="s">
        <v>626</v>
      </c>
      <c r="E11" s="1574" t="s">
        <v>827</v>
      </c>
      <c r="F11" s="508" t="s">
        <v>733</v>
      </c>
      <c r="G11" s="1575" t="s">
        <v>828</v>
      </c>
      <c r="H11" s="1580" t="s">
        <v>1443</v>
      </c>
      <c r="I11" s="1577" t="s">
        <v>1546</v>
      </c>
      <c r="J11" s="1578" t="s">
        <v>1682</v>
      </c>
      <c r="K11" s="1579" t="s">
        <v>1819</v>
      </c>
    </row>
    <row r="12" spans="1:22" ht="16" x14ac:dyDescent="0.2">
      <c r="C12" s="1554">
        <v>9</v>
      </c>
      <c r="D12" s="1573" t="s">
        <v>1337</v>
      </c>
      <c r="E12" s="1574" t="s">
        <v>1344</v>
      </c>
      <c r="F12" s="508" t="s">
        <v>1345</v>
      </c>
      <c r="G12" s="1575" t="s">
        <v>1349</v>
      </c>
      <c r="H12" s="1580" t="s">
        <v>1444</v>
      </c>
      <c r="I12" s="1577" t="s">
        <v>1547</v>
      </c>
      <c r="J12" s="1578" t="s">
        <v>1683</v>
      </c>
      <c r="K12" s="1579" t="s">
        <v>1820</v>
      </c>
      <c r="M12" s="1555" t="str" cm="1">
        <f t="array" ref="M12">INDEX(Kirjasto_ENT!D4:K130,94,Kirjasto_ENT!B4)</f>
        <v>Exhaust air temperature</v>
      </c>
    </row>
    <row r="13" spans="1:22" ht="16" x14ac:dyDescent="0.2">
      <c r="C13" s="1554">
        <v>10</v>
      </c>
      <c r="D13" s="1573" t="s">
        <v>1337</v>
      </c>
      <c r="E13" s="1574" t="s">
        <v>1344</v>
      </c>
      <c r="F13" s="508" t="s">
        <v>1345</v>
      </c>
      <c r="G13" s="1575" t="s">
        <v>1349</v>
      </c>
      <c r="H13" s="1580" t="s">
        <v>1444</v>
      </c>
      <c r="I13" s="1577" t="s">
        <v>1547</v>
      </c>
      <c r="J13" s="1578" t="s">
        <v>1683</v>
      </c>
      <c r="K13" s="1579" t="s">
        <v>1820</v>
      </c>
      <c r="M13" s="1555" t="str" cm="1">
        <f t="array" ref="M13">INDEX(Kirjasto_ENT!D4:K130,95,Kirjasto_ENT!B4)</f>
        <v>Exhaust air temperature [°C]</v>
      </c>
    </row>
    <row r="14" spans="1:22" ht="16" x14ac:dyDescent="0.2">
      <c r="C14" s="1554">
        <v>11</v>
      </c>
      <c r="D14" s="1573" t="s">
        <v>1335</v>
      </c>
      <c r="E14" s="1574" t="s">
        <v>1343</v>
      </c>
      <c r="F14" s="508" t="s">
        <v>1347</v>
      </c>
      <c r="G14" s="1575" t="s">
        <v>1351</v>
      </c>
      <c r="H14" s="1580" t="s">
        <v>1446</v>
      </c>
      <c r="I14" s="1577" t="s">
        <v>1549</v>
      </c>
      <c r="J14" s="1578" t="s">
        <v>1685</v>
      </c>
      <c r="K14" s="1579" t="s">
        <v>1822</v>
      </c>
      <c r="M14" s="1555" t="str" cm="1">
        <f t="array" ref="M14">INDEX(Kirjasto_ENT!D4:K130,96,Kirjasto_ENT!B4)</f>
        <v>Outdoor air temperature [°C]</v>
      </c>
    </row>
    <row r="15" spans="1:22" ht="16" x14ac:dyDescent="0.2">
      <c r="C15" s="1554">
        <v>12</v>
      </c>
      <c r="D15" s="1573" t="s">
        <v>1334</v>
      </c>
      <c r="E15" s="1574" t="s">
        <v>1342</v>
      </c>
      <c r="F15" s="508" t="s">
        <v>1354</v>
      </c>
      <c r="G15" s="1575" t="s">
        <v>1352</v>
      </c>
      <c r="H15" s="1580" t="s">
        <v>1447</v>
      </c>
      <c r="I15" s="1577" t="s">
        <v>1550</v>
      </c>
      <c r="J15" s="1578" t="s">
        <v>1686</v>
      </c>
      <c r="K15" s="1579" t="s">
        <v>1823</v>
      </c>
    </row>
    <row r="16" spans="1:22" ht="16" x14ac:dyDescent="0.2">
      <c r="C16" s="1554">
        <v>13</v>
      </c>
      <c r="D16" s="1573" t="s">
        <v>1338</v>
      </c>
      <c r="E16" s="1574" t="s">
        <v>1341</v>
      </c>
      <c r="F16" s="508" t="s">
        <v>1348</v>
      </c>
      <c r="G16" s="1575" t="s">
        <v>1353</v>
      </c>
      <c r="H16" s="1580" t="s">
        <v>1448</v>
      </c>
      <c r="I16" s="1577" t="s">
        <v>1551</v>
      </c>
      <c r="J16" s="1578" t="s">
        <v>1687</v>
      </c>
      <c r="K16" s="1579" t="s">
        <v>1824</v>
      </c>
      <c r="M16" s="1555" t="str" cm="1">
        <f t="array" ref="M16">INDEX(Kirjasto_ENT!D4:K130,15,Kirjasto_ENT!B4)</f>
        <v>Air density: 1.2 kg/m³</v>
      </c>
    </row>
    <row r="17" spans="3:13" ht="16" x14ac:dyDescent="0.2">
      <c r="C17" s="1554">
        <v>14</v>
      </c>
      <c r="D17" s="1573" t="s">
        <v>1336</v>
      </c>
      <c r="E17" s="1574" t="s">
        <v>1340</v>
      </c>
      <c r="F17" s="508" t="s">
        <v>1346</v>
      </c>
      <c r="G17" s="1575" t="s">
        <v>1350</v>
      </c>
      <c r="H17" s="1580" t="s">
        <v>1445</v>
      </c>
      <c r="I17" s="1577" t="s">
        <v>1548</v>
      </c>
      <c r="J17" s="1578" t="s">
        <v>1684</v>
      </c>
      <c r="K17" s="1579" t="s">
        <v>1821</v>
      </c>
      <c r="M17" s="1555" t="str" cm="1">
        <f t="array" ref="M17">INDEX(Kirjasto_ENT!D4:K130,16,Kirjasto_ENT!B4)</f>
        <v>Supply air</v>
      </c>
    </row>
    <row r="18" spans="3:13" ht="16" x14ac:dyDescent="0.2">
      <c r="C18" s="1554">
        <v>15</v>
      </c>
      <c r="D18" s="1573" t="s">
        <v>628</v>
      </c>
      <c r="E18" s="1574" t="s">
        <v>829</v>
      </c>
      <c r="F18" s="508" t="s">
        <v>734</v>
      </c>
      <c r="G18" s="1575" t="s">
        <v>830</v>
      </c>
      <c r="H18" s="1580" t="s">
        <v>1449</v>
      </c>
      <c r="I18" s="1577" t="s">
        <v>1552</v>
      </c>
      <c r="J18" s="1578" t="s">
        <v>1688</v>
      </c>
      <c r="K18" s="1579" t="s">
        <v>1825</v>
      </c>
      <c r="M18" s="1555" t="str" cm="1">
        <f t="array" ref="M18">INDEX(Kirjasto_ENT!D4:K130,17,Kirjasto_ENT!B4)</f>
        <v>Extract air</v>
      </c>
    </row>
    <row r="19" spans="3:13" ht="16" x14ac:dyDescent="0.2">
      <c r="C19" s="1554">
        <v>16</v>
      </c>
      <c r="D19" s="1573" t="s">
        <v>311</v>
      </c>
      <c r="E19" s="1574" t="s">
        <v>641</v>
      </c>
      <c r="F19" s="508" t="s">
        <v>747</v>
      </c>
      <c r="G19" s="1575" t="s">
        <v>642</v>
      </c>
      <c r="H19" s="1576" t="s">
        <v>2004</v>
      </c>
      <c r="I19" s="1577" t="s">
        <v>1553</v>
      </c>
      <c r="J19" s="1578" t="s">
        <v>1689</v>
      </c>
      <c r="K19" s="1579" t="s">
        <v>1826</v>
      </c>
    </row>
    <row r="20" spans="3:13" ht="16" x14ac:dyDescent="0.2">
      <c r="C20" s="1554">
        <v>17</v>
      </c>
      <c r="D20" s="1573" t="s">
        <v>312</v>
      </c>
      <c r="E20" s="1574" t="s">
        <v>645</v>
      </c>
      <c r="F20" s="508" t="s">
        <v>749</v>
      </c>
      <c r="G20" s="1575" t="s">
        <v>646</v>
      </c>
      <c r="H20" s="1576" t="s">
        <v>2005</v>
      </c>
      <c r="I20" s="1577" t="s">
        <v>1950</v>
      </c>
      <c r="J20" s="1578" t="s">
        <v>1951</v>
      </c>
      <c r="K20" s="1579" t="s">
        <v>1952</v>
      </c>
      <c r="M20" s="1555" t="str" cm="1">
        <f t="array" ref="M20">INDEX(Kirjasto_ENT!D4:K130,6,Kirjasto_ENT!B4)</f>
        <v>Sound insulated casing: "dB-paketti" (NB! Requires a cabinet)</v>
      </c>
    </row>
    <row r="21" spans="3:13" ht="16" x14ac:dyDescent="0.2">
      <c r="C21" s="1554">
        <v>18</v>
      </c>
      <c r="D21" s="1573" t="s">
        <v>629</v>
      </c>
      <c r="E21" s="1574" t="s">
        <v>630</v>
      </c>
      <c r="F21" s="508" t="s">
        <v>735</v>
      </c>
      <c r="G21" s="1575" t="s">
        <v>831</v>
      </c>
      <c r="H21" s="1580" t="s">
        <v>1450</v>
      </c>
      <c r="I21" s="1577" t="s">
        <v>1555</v>
      </c>
      <c r="J21" s="1578" t="s">
        <v>1691</v>
      </c>
      <c r="K21" s="1579" t="s">
        <v>1828</v>
      </c>
      <c r="M21" s="1555" t="str" cm="1">
        <f t="array" ref="M21">INDEX(Kirjasto_ENT!D4:K130,7,Kirjasto_ENT!B4)</f>
        <v>Post heating water</v>
      </c>
    </row>
    <row r="22" spans="3:13" ht="16" x14ac:dyDescent="0.2">
      <c r="C22" s="1554">
        <v>19</v>
      </c>
      <c r="D22" s="1573" t="s">
        <v>631</v>
      </c>
      <c r="E22" s="1574" t="s">
        <v>632</v>
      </c>
      <c r="F22" s="508" t="s">
        <v>736</v>
      </c>
      <c r="G22" s="1575" t="s">
        <v>832</v>
      </c>
      <c r="H22" s="1580" t="s">
        <v>1451</v>
      </c>
      <c r="I22" s="1577" t="s">
        <v>1556</v>
      </c>
      <c r="J22" s="1578" t="s">
        <v>1692</v>
      </c>
      <c r="K22" s="1579" t="s">
        <v>1829</v>
      </c>
    </row>
    <row r="23" spans="3:13" ht="16" x14ac:dyDescent="0.2">
      <c r="C23" s="1554">
        <v>20</v>
      </c>
      <c r="D23" s="1573" t="s">
        <v>341</v>
      </c>
      <c r="E23" s="1574" t="s">
        <v>712</v>
      </c>
      <c r="F23" s="508" t="s">
        <v>737</v>
      </c>
      <c r="G23" s="1575" t="s">
        <v>833</v>
      </c>
      <c r="H23" s="1580" t="s">
        <v>1452</v>
      </c>
      <c r="I23" s="1577" t="s">
        <v>1557</v>
      </c>
      <c r="J23" s="1578" t="s">
        <v>1693</v>
      </c>
      <c r="K23" s="1579" t="s">
        <v>1830</v>
      </c>
    </row>
    <row r="24" spans="3:13" ht="16" x14ac:dyDescent="0.2">
      <c r="C24" s="1554">
        <v>21</v>
      </c>
      <c r="D24" s="1573" t="s">
        <v>303</v>
      </c>
      <c r="E24" s="1574" t="s">
        <v>633</v>
      </c>
      <c r="F24" s="508" t="s">
        <v>738</v>
      </c>
      <c r="G24" s="1575" t="s">
        <v>834</v>
      </c>
      <c r="H24" s="1580" t="s">
        <v>1453</v>
      </c>
      <c r="I24" s="1577" t="s">
        <v>1558</v>
      </c>
      <c r="J24" s="1578" t="s">
        <v>1694</v>
      </c>
      <c r="K24" s="1579" t="s">
        <v>1831</v>
      </c>
    </row>
    <row r="25" spans="3:13" ht="16" x14ac:dyDescent="0.2">
      <c r="C25" s="1554">
        <v>22</v>
      </c>
      <c r="D25" s="1573" t="s">
        <v>302</v>
      </c>
      <c r="E25" s="1574" t="s">
        <v>634</v>
      </c>
      <c r="F25" s="508" t="s">
        <v>739</v>
      </c>
      <c r="G25" s="1575" t="s">
        <v>831</v>
      </c>
      <c r="H25" s="1580" t="s">
        <v>1454</v>
      </c>
      <c r="I25" s="1577" t="s">
        <v>1559</v>
      </c>
      <c r="J25" s="1578" t="s">
        <v>1695</v>
      </c>
      <c r="K25" s="1579" t="s">
        <v>1832</v>
      </c>
    </row>
    <row r="26" spans="3:13" ht="16" x14ac:dyDescent="0.2">
      <c r="C26" s="1554">
        <v>23</v>
      </c>
      <c r="D26" s="1573" t="s">
        <v>635</v>
      </c>
      <c r="E26" s="1574" t="s">
        <v>636</v>
      </c>
      <c r="F26" s="508" t="s">
        <v>1126</v>
      </c>
      <c r="G26" s="1575" t="s">
        <v>1125</v>
      </c>
      <c r="H26" s="1580" t="s">
        <v>1455</v>
      </c>
      <c r="I26" s="1577" t="s">
        <v>1560</v>
      </c>
      <c r="J26" s="1578" t="s">
        <v>1696</v>
      </c>
      <c r="K26" s="1579" t="s">
        <v>1833</v>
      </c>
    </row>
    <row r="27" spans="3:13" ht="16" x14ac:dyDescent="0.2">
      <c r="C27" s="1554">
        <v>24</v>
      </c>
      <c r="D27" s="1573" t="s">
        <v>342</v>
      </c>
      <c r="E27" s="1574" t="s">
        <v>711</v>
      </c>
      <c r="F27" s="508" t="s">
        <v>740</v>
      </c>
      <c r="G27" s="1575" t="s">
        <v>1124</v>
      </c>
      <c r="H27" s="1580" t="s">
        <v>1456</v>
      </c>
      <c r="I27" s="1577" t="s">
        <v>1561</v>
      </c>
      <c r="J27" s="1578" t="s">
        <v>1697</v>
      </c>
      <c r="K27" s="1579" t="s">
        <v>1834</v>
      </c>
    </row>
    <row r="28" spans="3:13" ht="16" x14ac:dyDescent="0.2">
      <c r="C28" s="1554">
        <v>25</v>
      </c>
      <c r="D28" s="1573" t="s">
        <v>306</v>
      </c>
      <c r="E28" s="1574" t="s">
        <v>637</v>
      </c>
      <c r="F28" s="508" t="s">
        <v>741</v>
      </c>
      <c r="G28" s="1575" t="s">
        <v>835</v>
      </c>
      <c r="H28" s="1576" t="s">
        <v>2010</v>
      </c>
      <c r="I28" s="1577" t="s">
        <v>1562</v>
      </c>
      <c r="J28" s="1578" t="s">
        <v>1698</v>
      </c>
      <c r="K28" s="1579" t="s">
        <v>1835</v>
      </c>
    </row>
    <row r="29" spans="3:13" ht="16" x14ac:dyDescent="0.2">
      <c r="C29" s="1554">
        <v>26</v>
      </c>
      <c r="D29" s="1573" t="s">
        <v>304</v>
      </c>
      <c r="E29" s="1574" t="s">
        <v>715</v>
      </c>
      <c r="F29" s="508" t="s">
        <v>742</v>
      </c>
      <c r="G29" s="1575" t="s">
        <v>836</v>
      </c>
      <c r="H29" s="1580" t="s">
        <v>1457</v>
      </c>
      <c r="I29" s="1577" t="s">
        <v>1563</v>
      </c>
      <c r="J29" s="1578" t="s">
        <v>1699</v>
      </c>
      <c r="K29" s="1579" t="s">
        <v>1836</v>
      </c>
    </row>
    <row r="30" spans="3:13" ht="16" x14ac:dyDescent="0.2">
      <c r="C30" s="1554">
        <v>27</v>
      </c>
      <c r="D30" s="1573" t="s">
        <v>305</v>
      </c>
      <c r="E30" s="1574" t="s">
        <v>713</v>
      </c>
      <c r="F30" s="508" t="s">
        <v>743</v>
      </c>
      <c r="G30" s="1575" t="s">
        <v>837</v>
      </c>
      <c r="H30" s="1576" t="s">
        <v>2011</v>
      </c>
      <c r="I30" s="1577" t="s">
        <v>1564</v>
      </c>
      <c r="J30" s="1578" t="s">
        <v>1700</v>
      </c>
      <c r="K30" s="1579" t="s">
        <v>1837</v>
      </c>
    </row>
    <row r="31" spans="3:13" ht="16" x14ac:dyDescent="0.2">
      <c r="C31" s="1554">
        <v>28</v>
      </c>
      <c r="D31" s="1573" t="s">
        <v>307</v>
      </c>
      <c r="E31" s="1574" t="s">
        <v>714</v>
      </c>
      <c r="F31" s="508" t="s">
        <v>744</v>
      </c>
      <c r="G31" s="1575" t="s">
        <v>838</v>
      </c>
      <c r="H31" s="1580" t="s">
        <v>1458</v>
      </c>
      <c r="I31" s="1577" t="s">
        <v>1565</v>
      </c>
      <c r="J31" s="1578" t="s">
        <v>1701</v>
      </c>
      <c r="K31" s="1579" t="s">
        <v>1838</v>
      </c>
    </row>
    <row r="32" spans="3:13" ht="16" x14ac:dyDescent="0.2">
      <c r="C32" s="1554">
        <v>29</v>
      </c>
      <c r="D32" s="1573" t="s">
        <v>308</v>
      </c>
      <c r="E32" s="1574" t="s">
        <v>638</v>
      </c>
      <c r="F32" s="508" t="s">
        <v>745</v>
      </c>
      <c r="G32" s="1575" t="s">
        <v>839</v>
      </c>
      <c r="H32" s="1580" t="s">
        <v>1459</v>
      </c>
      <c r="I32" s="1577" t="s">
        <v>1566</v>
      </c>
      <c r="J32" s="1578" t="s">
        <v>1702</v>
      </c>
      <c r="K32" s="1579" t="s">
        <v>1839</v>
      </c>
    </row>
    <row r="33" spans="3:11" ht="16" x14ac:dyDescent="0.2">
      <c r="C33" s="1554">
        <v>30</v>
      </c>
      <c r="D33" s="1573" t="s">
        <v>76</v>
      </c>
      <c r="E33" s="1574" t="s">
        <v>76</v>
      </c>
      <c r="F33" s="508" t="s">
        <v>76</v>
      </c>
      <c r="G33" s="1575" t="s">
        <v>76</v>
      </c>
      <c r="H33" s="1580" t="s">
        <v>76</v>
      </c>
      <c r="I33" s="1577" t="s">
        <v>76</v>
      </c>
      <c r="J33" s="1578" t="s">
        <v>76</v>
      </c>
      <c r="K33" s="1579" t="s">
        <v>76</v>
      </c>
    </row>
    <row r="34" spans="3:11" ht="16" x14ac:dyDescent="0.2">
      <c r="C34" s="1554">
        <v>31</v>
      </c>
      <c r="D34" s="1573" t="s">
        <v>309</v>
      </c>
      <c r="E34" s="1574" t="s">
        <v>639</v>
      </c>
      <c r="F34" s="508" t="s">
        <v>809</v>
      </c>
      <c r="G34" s="1582" t="s">
        <v>840</v>
      </c>
      <c r="H34" s="1580" t="s">
        <v>1460</v>
      </c>
      <c r="I34" s="1577" t="s">
        <v>1567</v>
      </c>
      <c r="J34" s="1578" t="s">
        <v>1703</v>
      </c>
      <c r="K34" s="1579" t="s">
        <v>1840</v>
      </c>
    </row>
    <row r="35" spans="3:11" ht="16" x14ac:dyDescent="0.2">
      <c r="C35" s="1554">
        <v>32</v>
      </c>
      <c r="D35" s="1573" t="s">
        <v>310</v>
      </c>
      <c r="E35" s="1574" t="s">
        <v>640</v>
      </c>
      <c r="F35" s="510" t="s">
        <v>746</v>
      </c>
      <c r="G35" s="1575" t="s">
        <v>841</v>
      </c>
      <c r="H35" s="1580" t="s">
        <v>1461</v>
      </c>
      <c r="I35" s="1577" t="s">
        <v>1568</v>
      </c>
      <c r="J35" s="1578" t="s">
        <v>1704</v>
      </c>
      <c r="K35" s="1579" t="s">
        <v>1841</v>
      </c>
    </row>
    <row r="36" spans="3:11" ht="16" x14ac:dyDescent="0.2">
      <c r="C36" s="1554">
        <v>33</v>
      </c>
      <c r="D36" s="1573" t="s">
        <v>311</v>
      </c>
      <c r="E36" s="1574" t="s">
        <v>641</v>
      </c>
      <c r="F36" s="508" t="s">
        <v>747</v>
      </c>
      <c r="G36" s="1575" t="s">
        <v>642</v>
      </c>
      <c r="H36" s="1576" t="s">
        <v>2014</v>
      </c>
      <c r="I36" s="1577" t="s">
        <v>1553</v>
      </c>
      <c r="J36" s="1578" t="s">
        <v>1689</v>
      </c>
      <c r="K36" s="1579" t="s">
        <v>1826</v>
      </c>
    </row>
    <row r="37" spans="3:11" ht="16" x14ac:dyDescent="0.2">
      <c r="C37" s="1554">
        <v>34</v>
      </c>
      <c r="D37" s="1573" t="s">
        <v>544</v>
      </c>
      <c r="E37" s="1574" t="s">
        <v>643</v>
      </c>
      <c r="F37" s="508" t="s">
        <v>748</v>
      </c>
      <c r="G37" s="1575" t="s">
        <v>644</v>
      </c>
      <c r="H37" s="1576" t="s">
        <v>2015</v>
      </c>
      <c r="I37" s="1577" t="s">
        <v>1569</v>
      </c>
      <c r="J37" s="1578" t="s">
        <v>1705</v>
      </c>
      <c r="K37" s="1579" t="s">
        <v>1842</v>
      </c>
    </row>
    <row r="38" spans="3:11" ht="16" x14ac:dyDescent="0.2">
      <c r="C38" s="1554">
        <v>35</v>
      </c>
      <c r="D38" s="1573" t="s">
        <v>312</v>
      </c>
      <c r="E38" s="1574" t="s">
        <v>645</v>
      </c>
      <c r="F38" s="508" t="s">
        <v>749</v>
      </c>
      <c r="G38" s="1575" t="s">
        <v>646</v>
      </c>
      <c r="H38" s="1576" t="s">
        <v>2016</v>
      </c>
      <c r="I38" s="1577" t="s">
        <v>1554</v>
      </c>
      <c r="J38" s="1578" t="s">
        <v>1690</v>
      </c>
      <c r="K38" s="1579" t="s">
        <v>1827</v>
      </c>
    </row>
    <row r="39" spans="3:11" ht="16" x14ac:dyDescent="0.2">
      <c r="C39" s="1554">
        <v>36</v>
      </c>
      <c r="D39" s="1573" t="s">
        <v>280</v>
      </c>
      <c r="E39" s="1574" t="s">
        <v>647</v>
      </c>
      <c r="F39" s="508" t="s">
        <v>750</v>
      </c>
      <c r="G39" s="1575" t="s">
        <v>648</v>
      </c>
      <c r="H39" s="1576" t="s">
        <v>2017</v>
      </c>
      <c r="I39" s="1577" t="s">
        <v>1570</v>
      </c>
      <c r="J39" s="1578" t="s">
        <v>1706</v>
      </c>
      <c r="K39" s="1579" t="s">
        <v>1843</v>
      </c>
    </row>
    <row r="40" spans="3:11" ht="16" x14ac:dyDescent="0.2">
      <c r="C40" s="1554">
        <v>37</v>
      </c>
      <c r="D40" s="1573" t="s">
        <v>390</v>
      </c>
      <c r="E40" s="1574" t="s">
        <v>649</v>
      </c>
      <c r="F40" s="508" t="s">
        <v>751</v>
      </c>
      <c r="G40" s="1575" t="s">
        <v>842</v>
      </c>
      <c r="H40" s="1576" t="s">
        <v>2018</v>
      </c>
      <c r="I40" s="1577" t="s">
        <v>1571</v>
      </c>
      <c r="J40" s="1578" t="s">
        <v>1707</v>
      </c>
      <c r="K40" s="1579" t="s">
        <v>1844</v>
      </c>
    </row>
    <row r="41" spans="3:11" ht="18" x14ac:dyDescent="0.25">
      <c r="C41" s="1554">
        <v>38</v>
      </c>
      <c r="D41" s="1573" t="s">
        <v>650</v>
      </c>
      <c r="E41" s="1574" t="s">
        <v>651</v>
      </c>
      <c r="F41" s="508" t="s">
        <v>752</v>
      </c>
      <c r="G41" s="1582" t="s">
        <v>843</v>
      </c>
      <c r="H41" s="1580" t="s">
        <v>1462</v>
      </c>
      <c r="I41" s="1577" t="s">
        <v>1572</v>
      </c>
      <c r="J41" s="1578" t="s">
        <v>1708</v>
      </c>
      <c r="K41" s="1579" t="s">
        <v>1845</v>
      </c>
    </row>
    <row r="42" spans="3:11" ht="18" x14ac:dyDescent="0.25">
      <c r="C42" s="1554">
        <v>39</v>
      </c>
      <c r="D42" s="1573" t="s">
        <v>652</v>
      </c>
      <c r="E42" s="1574" t="s">
        <v>652</v>
      </c>
      <c r="F42" s="508" t="s">
        <v>652</v>
      </c>
      <c r="G42" s="1575" t="s">
        <v>652</v>
      </c>
      <c r="H42" s="1580" t="s">
        <v>652</v>
      </c>
      <c r="I42" s="1577" t="s">
        <v>652</v>
      </c>
      <c r="J42" s="1578" t="s">
        <v>652</v>
      </c>
      <c r="K42" s="1579" t="s">
        <v>652</v>
      </c>
    </row>
    <row r="43" spans="3:11" ht="18" x14ac:dyDescent="0.25">
      <c r="C43" s="1554">
        <v>40</v>
      </c>
      <c r="D43" s="1573" t="s">
        <v>653</v>
      </c>
      <c r="E43" s="1574" t="s">
        <v>653</v>
      </c>
      <c r="F43" s="508" t="s">
        <v>653</v>
      </c>
      <c r="G43" s="1575" t="s">
        <v>653</v>
      </c>
      <c r="H43" s="1580" t="s">
        <v>653</v>
      </c>
      <c r="I43" s="1577" t="s">
        <v>653</v>
      </c>
      <c r="J43" s="1578" t="s">
        <v>653</v>
      </c>
      <c r="K43" s="1579" t="s">
        <v>653</v>
      </c>
    </row>
    <row r="44" spans="3:11" ht="16" x14ac:dyDescent="0.2">
      <c r="C44" s="1554">
        <v>41</v>
      </c>
      <c r="D44" s="1573" t="s">
        <v>654</v>
      </c>
      <c r="E44" s="1574" t="s">
        <v>655</v>
      </c>
      <c r="F44" s="508" t="s">
        <v>753</v>
      </c>
      <c r="G44" s="1575" t="s">
        <v>844</v>
      </c>
      <c r="H44" s="1576" t="s">
        <v>2019</v>
      </c>
      <c r="I44" s="1577" t="s">
        <v>1573</v>
      </c>
      <c r="J44" s="1578" t="s">
        <v>1709</v>
      </c>
      <c r="K44" s="1579" t="s">
        <v>1846</v>
      </c>
    </row>
    <row r="45" spans="3:11" ht="16" x14ac:dyDescent="0.2">
      <c r="C45" s="1554">
        <v>42</v>
      </c>
      <c r="D45" s="1573" t="s">
        <v>96</v>
      </c>
      <c r="E45" s="1574" t="s">
        <v>656</v>
      </c>
      <c r="F45" s="508" t="s">
        <v>754</v>
      </c>
      <c r="G45" s="1575" t="s">
        <v>845</v>
      </c>
      <c r="H45" s="1576" t="s">
        <v>2020</v>
      </c>
      <c r="I45" s="1577" t="s">
        <v>1574</v>
      </c>
      <c r="J45" s="1578" t="s">
        <v>1710</v>
      </c>
      <c r="K45" s="1579" t="s">
        <v>1847</v>
      </c>
    </row>
    <row r="46" spans="3:11" ht="32" x14ac:dyDescent="0.2">
      <c r="C46" s="1554">
        <v>43</v>
      </c>
      <c r="D46" s="1573" t="s">
        <v>314</v>
      </c>
      <c r="E46" s="1574" t="s">
        <v>846</v>
      </c>
      <c r="F46" s="508" t="s">
        <v>755</v>
      </c>
      <c r="G46" s="1582" t="s">
        <v>847</v>
      </c>
      <c r="H46" s="1580" t="s">
        <v>1463</v>
      </c>
      <c r="I46" s="1577" t="s">
        <v>1575</v>
      </c>
      <c r="J46" s="1578" t="s">
        <v>1711</v>
      </c>
      <c r="K46" s="1579" t="s">
        <v>1848</v>
      </c>
    </row>
    <row r="47" spans="3:11" ht="32" x14ac:dyDescent="0.2">
      <c r="C47" s="1554">
        <v>44</v>
      </c>
      <c r="D47" s="1573" t="s">
        <v>791</v>
      </c>
      <c r="E47" s="1583" t="s">
        <v>848</v>
      </c>
      <c r="F47" s="509" t="s">
        <v>849</v>
      </c>
      <c r="G47" s="1582" t="s">
        <v>850</v>
      </c>
      <c r="H47" s="1580" t="s">
        <v>1464</v>
      </c>
      <c r="I47" s="1577" t="s">
        <v>1576</v>
      </c>
      <c r="J47" s="1578" t="s">
        <v>1712</v>
      </c>
      <c r="K47" s="1579" t="s">
        <v>1849</v>
      </c>
    </row>
    <row r="48" spans="3:11" ht="32" x14ac:dyDescent="0.2">
      <c r="C48" s="1554">
        <v>45</v>
      </c>
      <c r="D48" s="1573" t="s">
        <v>657</v>
      </c>
      <c r="E48" s="1574" t="s">
        <v>658</v>
      </c>
      <c r="F48" s="508" t="s">
        <v>756</v>
      </c>
      <c r="G48" s="1575" t="s">
        <v>851</v>
      </c>
      <c r="H48" s="1580" t="s">
        <v>1465</v>
      </c>
      <c r="I48" s="1577" t="s">
        <v>1577</v>
      </c>
      <c r="J48" s="1578" t="s">
        <v>1713</v>
      </c>
      <c r="K48" s="1579" t="s">
        <v>1850</v>
      </c>
    </row>
    <row r="49" spans="3:11" ht="32" x14ac:dyDescent="0.2">
      <c r="C49" s="1554">
        <v>46</v>
      </c>
      <c r="D49" s="1573" t="s">
        <v>659</v>
      </c>
      <c r="E49" s="1583" t="s">
        <v>660</v>
      </c>
      <c r="F49" s="509" t="s">
        <v>757</v>
      </c>
      <c r="G49" s="1584" t="s">
        <v>852</v>
      </c>
      <c r="H49" s="1580" t="s">
        <v>1466</v>
      </c>
      <c r="I49" s="1577" t="s">
        <v>1578</v>
      </c>
      <c r="J49" s="1578" t="s">
        <v>1714</v>
      </c>
      <c r="K49" s="1579" t="s">
        <v>1851</v>
      </c>
    </row>
    <row r="50" spans="3:11" ht="32" x14ac:dyDescent="0.2">
      <c r="C50" s="1554">
        <v>47</v>
      </c>
      <c r="D50" s="1573" t="s">
        <v>572</v>
      </c>
      <c r="E50" s="1583" t="s">
        <v>718</v>
      </c>
      <c r="F50" s="509" t="s">
        <v>758</v>
      </c>
      <c r="G50" s="1575" t="s">
        <v>853</v>
      </c>
      <c r="H50" s="1580" t="s">
        <v>1467</v>
      </c>
      <c r="I50" s="1577" t="s">
        <v>1579</v>
      </c>
      <c r="J50" s="1578" t="s">
        <v>1715</v>
      </c>
      <c r="K50" s="1579" t="s">
        <v>1852</v>
      </c>
    </row>
    <row r="51" spans="3:11" ht="16" x14ac:dyDescent="0.2">
      <c r="C51" s="1554">
        <v>48</v>
      </c>
      <c r="D51" s="1573" t="s">
        <v>315</v>
      </c>
      <c r="E51" s="1574" t="s">
        <v>661</v>
      </c>
      <c r="F51" s="508" t="s">
        <v>759</v>
      </c>
      <c r="G51" s="1575" t="s">
        <v>854</v>
      </c>
      <c r="H51" s="1580" t="s">
        <v>1468</v>
      </c>
      <c r="I51" s="1577" t="s">
        <v>1580</v>
      </c>
      <c r="J51" s="1578" t="s">
        <v>1716</v>
      </c>
      <c r="K51" s="1579" t="s">
        <v>1853</v>
      </c>
    </row>
    <row r="52" spans="3:11" ht="16" x14ac:dyDescent="0.2">
      <c r="C52" s="1554">
        <v>49</v>
      </c>
      <c r="D52" s="1573" t="s">
        <v>207</v>
      </c>
      <c r="E52" s="1574" t="s">
        <v>719</v>
      </c>
      <c r="F52" s="508" t="s">
        <v>760</v>
      </c>
      <c r="G52" s="1575" t="s">
        <v>855</v>
      </c>
      <c r="H52" s="1580" t="s">
        <v>1469</v>
      </c>
      <c r="I52" s="1577" t="s">
        <v>1581</v>
      </c>
      <c r="J52" s="1578" t="s">
        <v>1717</v>
      </c>
      <c r="K52" s="1579" t="s">
        <v>1854</v>
      </c>
    </row>
    <row r="53" spans="3:11" ht="16" x14ac:dyDescent="0.2">
      <c r="C53" s="1554">
        <v>50</v>
      </c>
      <c r="D53" s="1573" t="s">
        <v>316</v>
      </c>
      <c r="E53" s="1574" t="s">
        <v>145</v>
      </c>
      <c r="F53" s="508" t="s">
        <v>761</v>
      </c>
      <c r="G53" s="1575" t="s">
        <v>856</v>
      </c>
      <c r="H53" s="1580" t="s">
        <v>1470</v>
      </c>
      <c r="I53" s="1577" t="s">
        <v>1582</v>
      </c>
      <c r="J53" s="1578" t="s">
        <v>1718</v>
      </c>
      <c r="K53" s="1579" t="s">
        <v>1855</v>
      </c>
    </row>
    <row r="54" spans="3:11" ht="16" x14ac:dyDescent="0.2">
      <c r="C54" s="1554">
        <v>51</v>
      </c>
      <c r="D54" s="1573" t="s">
        <v>317</v>
      </c>
      <c r="E54" s="1574" t="s">
        <v>146</v>
      </c>
      <c r="F54" s="508" t="s">
        <v>762</v>
      </c>
      <c r="G54" s="1575" t="s">
        <v>857</v>
      </c>
      <c r="H54" s="1580" t="s">
        <v>1471</v>
      </c>
      <c r="I54" s="1577" t="s">
        <v>1583</v>
      </c>
      <c r="J54" s="1578" t="s">
        <v>1719</v>
      </c>
      <c r="K54" s="1579" t="s">
        <v>1856</v>
      </c>
    </row>
    <row r="55" spans="3:11" ht="16" x14ac:dyDescent="0.2">
      <c r="C55" s="1554">
        <v>52</v>
      </c>
      <c r="D55" s="1573" t="s">
        <v>318</v>
      </c>
      <c r="E55" s="1574" t="s">
        <v>147</v>
      </c>
      <c r="F55" s="508" t="s">
        <v>763</v>
      </c>
      <c r="G55" s="1575" t="s">
        <v>858</v>
      </c>
      <c r="H55" s="1576" t="s">
        <v>2021</v>
      </c>
      <c r="I55" s="1577" t="s">
        <v>1584</v>
      </c>
      <c r="J55" s="1578" t="s">
        <v>1720</v>
      </c>
      <c r="K55" s="1579" t="s">
        <v>1857</v>
      </c>
    </row>
    <row r="56" spans="3:11" ht="16" x14ac:dyDescent="0.2">
      <c r="C56" s="1554">
        <v>53</v>
      </c>
      <c r="D56" s="1573" t="s">
        <v>319</v>
      </c>
      <c r="E56" s="1574" t="s">
        <v>148</v>
      </c>
      <c r="F56" s="508" t="s">
        <v>764</v>
      </c>
      <c r="G56" s="1575" t="s">
        <v>859</v>
      </c>
      <c r="H56" s="1580" t="s">
        <v>764</v>
      </c>
      <c r="I56" s="1577" t="s">
        <v>1585</v>
      </c>
      <c r="J56" s="1578" t="s">
        <v>1721</v>
      </c>
      <c r="K56" s="1579" t="s">
        <v>1858</v>
      </c>
    </row>
    <row r="57" spans="3:11" ht="16" x14ac:dyDescent="0.2">
      <c r="C57" s="1554">
        <v>54</v>
      </c>
      <c r="D57" s="1573" t="s">
        <v>320</v>
      </c>
      <c r="E57" s="1574" t="s">
        <v>662</v>
      </c>
      <c r="F57" s="508" t="s">
        <v>765</v>
      </c>
      <c r="G57" s="1575" t="s">
        <v>860</v>
      </c>
      <c r="H57" s="1580" t="s">
        <v>1472</v>
      </c>
      <c r="I57" s="1577" t="s">
        <v>1586</v>
      </c>
      <c r="J57" s="1578" t="s">
        <v>1722</v>
      </c>
      <c r="K57" s="1579" t="s">
        <v>1859</v>
      </c>
    </row>
    <row r="58" spans="3:11" ht="96" x14ac:dyDescent="0.2">
      <c r="C58" s="1554">
        <v>55</v>
      </c>
      <c r="D58" s="1573" t="s">
        <v>336</v>
      </c>
      <c r="E58" s="1583" t="s">
        <v>861</v>
      </c>
      <c r="F58" s="509" t="s">
        <v>862</v>
      </c>
      <c r="G58" s="1584" t="s">
        <v>863</v>
      </c>
      <c r="H58" s="1580" t="s">
        <v>1473</v>
      </c>
      <c r="I58" s="1577" t="s">
        <v>1587</v>
      </c>
      <c r="J58" s="1578" t="s">
        <v>1723</v>
      </c>
      <c r="K58" s="1579" t="s">
        <v>1860</v>
      </c>
    </row>
    <row r="59" spans="3:11" ht="48" x14ac:dyDescent="0.2">
      <c r="C59" s="1554">
        <v>56</v>
      </c>
      <c r="D59" s="1573" t="s">
        <v>402</v>
      </c>
      <c r="E59" s="1583" t="s">
        <v>864</v>
      </c>
      <c r="F59" s="509" t="s">
        <v>865</v>
      </c>
      <c r="G59" s="1582" t="s">
        <v>866</v>
      </c>
      <c r="H59" s="1580" t="s">
        <v>1474</v>
      </c>
      <c r="I59" s="1577" t="s">
        <v>1588</v>
      </c>
      <c r="J59" s="1578" t="s">
        <v>1724</v>
      </c>
      <c r="K59" s="1579" t="s">
        <v>1861</v>
      </c>
    </row>
    <row r="60" spans="3:11" ht="16" x14ac:dyDescent="0.2">
      <c r="C60" s="1554">
        <v>57</v>
      </c>
      <c r="D60" s="1573" t="s">
        <v>322</v>
      </c>
      <c r="E60" s="1574" t="s">
        <v>663</v>
      </c>
      <c r="F60" s="508" t="s">
        <v>766</v>
      </c>
      <c r="G60" s="1575" t="s">
        <v>867</v>
      </c>
      <c r="H60" s="1580" t="s">
        <v>1475</v>
      </c>
      <c r="I60" s="1577" t="s">
        <v>1589</v>
      </c>
      <c r="J60" s="1578" t="s">
        <v>1725</v>
      </c>
      <c r="K60" s="1579" t="s">
        <v>1862</v>
      </c>
    </row>
    <row r="61" spans="3:11" ht="16" x14ac:dyDescent="0.2">
      <c r="C61" s="1554">
        <v>58</v>
      </c>
      <c r="D61" s="1573" t="s">
        <v>321</v>
      </c>
      <c r="E61" s="1574" t="s">
        <v>186</v>
      </c>
      <c r="F61" s="508" t="s">
        <v>767</v>
      </c>
      <c r="G61" s="1575" t="s">
        <v>868</v>
      </c>
      <c r="H61" s="1580" t="s">
        <v>1476</v>
      </c>
      <c r="I61" s="1577" t="s">
        <v>767</v>
      </c>
      <c r="J61" s="1578" t="s">
        <v>1726</v>
      </c>
      <c r="K61" s="1579" t="s">
        <v>1863</v>
      </c>
    </row>
    <row r="62" spans="3:11" x14ac:dyDescent="0.2">
      <c r="C62" s="1554">
        <v>59</v>
      </c>
      <c r="D62" s="1585" t="s">
        <v>323</v>
      </c>
      <c r="E62" s="1574" t="s">
        <v>664</v>
      </c>
      <c r="F62" s="508" t="s">
        <v>768</v>
      </c>
      <c r="G62" s="1575" t="s">
        <v>869</v>
      </c>
      <c r="H62" s="1586" t="s">
        <v>1477</v>
      </c>
      <c r="I62" s="1587" t="s">
        <v>1590</v>
      </c>
      <c r="J62" s="1588" t="s">
        <v>1727</v>
      </c>
      <c r="K62" s="1589" t="s">
        <v>1864</v>
      </c>
    </row>
    <row r="63" spans="3:11" x14ac:dyDescent="0.2">
      <c r="C63" s="1554">
        <v>60</v>
      </c>
      <c r="D63" s="1585" t="s">
        <v>324</v>
      </c>
      <c r="E63" s="1574" t="s">
        <v>665</v>
      </c>
      <c r="F63" s="508" t="s">
        <v>769</v>
      </c>
      <c r="G63" s="1575" t="s">
        <v>870</v>
      </c>
      <c r="H63" s="1586" t="s">
        <v>1478</v>
      </c>
      <c r="I63" s="1587" t="s">
        <v>1591</v>
      </c>
      <c r="J63" s="1588" t="s">
        <v>1728</v>
      </c>
      <c r="K63" s="1589" t="s">
        <v>1865</v>
      </c>
    </row>
    <row r="64" spans="3:11" x14ac:dyDescent="0.2">
      <c r="C64" s="1554">
        <v>61</v>
      </c>
      <c r="D64" s="1585" t="s">
        <v>330</v>
      </c>
      <c r="E64" s="1574" t="s">
        <v>666</v>
      </c>
      <c r="F64" s="508" t="s">
        <v>770</v>
      </c>
      <c r="G64" s="1575" t="s">
        <v>871</v>
      </c>
      <c r="H64" s="1586" t="s">
        <v>1479</v>
      </c>
      <c r="I64" s="1587" t="s">
        <v>1592</v>
      </c>
      <c r="J64" s="1588" t="s">
        <v>1729</v>
      </c>
      <c r="K64" s="1589" t="s">
        <v>1866</v>
      </c>
    </row>
    <row r="65" spans="3:11" x14ac:dyDescent="0.2">
      <c r="C65" s="1554">
        <v>62</v>
      </c>
      <c r="D65" s="1585" t="s">
        <v>329</v>
      </c>
      <c r="E65" s="1574" t="s">
        <v>667</v>
      </c>
      <c r="F65" s="508" t="s">
        <v>771</v>
      </c>
      <c r="G65" s="1575" t="s">
        <v>872</v>
      </c>
      <c r="H65" s="1586" t="s">
        <v>1480</v>
      </c>
      <c r="I65" s="1587" t="s">
        <v>1593</v>
      </c>
      <c r="J65" s="1588" t="s">
        <v>1730</v>
      </c>
      <c r="K65" s="1589" t="s">
        <v>1867</v>
      </c>
    </row>
    <row r="66" spans="3:11" x14ac:dyDescent="0.2">
      <c r="C66" s="1554">
        <v>63</v>
      </c>
      <c r="D66" s="1585" t="s">
        <v>331</v>
      </c>
      <c r="E66" s="1574" t="s">
        <v>668</v>
      </c>
      <c r="F66" s="508" t="s">
        <v>772</v>
      </c>
      <c r="G66" s="1575" t="s">
        <v>873</v>
      </c>
      <c r="H66" s="1586" t="s">
        <v>1481</v>
      </c>
      <c r="I66" s="1587" t="s">
        <v>1594</v>
      </c>
      <c r="J66" s="1588" t="s">
        <v>1731</v>
      </c>
      <c r="K66" s="1589" t="s">
        <v>1868</v>
      </c>
    </row>
    <row r="67" spans="3:11" x14ac:dyDescent="0.2">
      <c r="C67" s="1554">
        <v>64</v>
      </c>
      <c r="D67" s="1585" t="s">
        <v>332</v>
      </c>
      <c r="E67" s="1574" t="s">
        <v>669</v>
      </c>
      <c r="F67" s="508" t="s">
        <v>773</v>
      </c>
      <c r="G67" s="1575" t="s">
        <v>874</v>
      </c>
      <c r="H67" s="1586" t="s">
        <v>1482</v>
      </c>
      <c r="I67" s="1587" t="s">
        <v>1595</v>
      </c>
      <c r="J67" s="1588" t="s">
        <v>1732</v>
      </c>
      <c r="K67" s="1589" t="s">
        <v>1869</v>
      </c>
    </row>
    <row r="68" spans="3:11" x14ac:dyDescent="0.2">
      <c r="C68" s="1554">
        <v>65</v>
      </c>
      <c r="D68" s="1590" t="s">
        <v>325</v>
      </c>
      <c r="E68" s="1574" t="s">
        <v>670</v>
      </c>
      <c r="F68" s="508" t="s">
        <v>774</v>
      </c>
      <c r="G68" s="1575" t="s">
        <v>875</v>
      </c>
      <c r="H68" s="1591" t="s">
        <v>1483</v>
      </c>
      <c r="I68" s="1592" t="s">
        <v>1596</v>
      </c>
      <c r="J68" s="1593" t="s">
        <v>1733</v>
      </c>
      <c r="K68" s="1594" t="s">
        <v>1870</v>
      </c>
    </row>
    <row r="69" spans="3:11" x14ac:dyDescent="0.2">
      <c r="C69" s="1554">
        <v>66</v>
      </c>
      <c r="D69" s="1585" t="s">
        <v>326</v>
      </c>
      <c r="E69" s="1574" t="s">
        <v>671</v>
      </c>
      <c r="F69" s="508" t="s">
        <v>775</v>
      </c>
      <c r="G69" s="1575" t="s">
        <v>876</v>
      </c>
      <c r="H69" s="1586" t="s">
        <v>1484</v>
      </c>
      <c r="I69" s="1587" t="s">
        <v>1597</v>
      </c>
      <c r="J69" s="1588" t="s">
        <v>1734</v>
      </c>
      <c r="K69" s="1589" t="s">
        <v>1871</v>
      </c>
    </row>
    <row r="70" spans="3:11" x14ac:dyDescent="0.2">
      <c r="C70" s="1554">
        <v>67</v>
      </c>
      <c r="D70" s="1585" t="s">
        <v>327</v>
      </c>
      <c r="E70" s="1574" t="s">
        <v>672</v>
      </c>
      <c r="F70" s="508" t="s">
        <v>776</v>
      </c>
      <c r="G70" s="1575" t="s">
        <v>877</v>
      </c>
      <c r="H70" s="1586" t="s">
        <v>1485</v>
      </c>
      <c r="I70" s="1587" t="s">
        <v>1598</v>
      </c>
      <c r="J70" s="1588" t="s">
        <v>1735</v>
      </c>
      <c r="K70" s="1589" t="s">
        <v>1872</v>
      </c>
    </row>
    <row r="71" spans="3:11" x14ac:dyDescent="0.2">
      <c r="C71" s="1554">
        <v>68</v>
      </c>
      <c r="D71" s="1585" t="s">
        <v>328</v>
      </c>
      <c r="E71" s="1574" t="s">
        <v>673</v>
      </c>
      <c r="F71" s="508" t="s">
        <v>777</v>
      </c>
      <c r="G71" s="1575" t="s">
        <v>878</v>
      </c>
      <c r="H71" s="1586" t="s">
        <v>1486</v>
      </c>
      <c r="I71" s="1587" t="s">
        <v>1599</v>
      </c>
      <c r="J71" s="1588" t="s">
        <v>1736</v>
      </c>
      <c r="K71" s="1589" t="s">
        <v>1873</v>
      </c>
    </row>
    <row r="72" spans="3:11" x14ac:dyDescent="0.2">
      <c r="C72" s="1554">
        <v>69</v>
      </c>
      <c r="D72" s="1585" t="s">
        <v>333</v>
      </c>
      <c r="E72" s="1574" t="s">
        <v>674</v>
      </c>
      <c r="F72" s="508" t="s">
        <v>778</v>
      </c>
      <c r="G72" s="1575" t="s">
        <v>675</v>
      </c>
      <c r="H72" s="1595" t="s">
        <v>2022</v>
      </c>
      <c r="I72" s="1587" t="s">
        <v>1600</v>
      </c>
      <c r="J72" s="1588" t="s">
        <v>1737</v>
      </c>
      <c r="K72" s="1589" t="s">
        <v>1874</v>
      </c>
    </row>
    <row r="73" spans="3:11" x14ac:dyDescent="0.2">
      <c r="C73" s="1554">
        <v>70</v>
      </c>
      <c r="D73" s="1585" t="s">
        <v>334</v>
      </c>
      <c r="E73" s="1574" t="s">
        <v>676</v>
      </c>
      <c r="F73" s="508" t="s">
        <v>779</v>
      </c>
      <c r="G73" s="1575" t="s">
        <v>879</v>
      </c>
      <c r="H73" s="1595" t="s">
        <v>2023</v>
      </c>
      <c r="I73" s="1587" t="s">
        <v>1601</v>
      </c>
      <c r="J73" s="1588" t="s">
        <v>1738</v>
      </c>
      <c r="K73" s="1589" t="s">
        <v>1875</v>
      </c>
    </row>
    <row r="74" spans="3:11" x14ac:dyDescent="0.2">
      <c r="C74" s="1554">
        <v>71</v>
      </c>
      <c r="D74" s="1585" t="s">
        <v>335</v>
      </c>
      <c r="E74" s="1574" t="s">
        <v>677</v>
      </c>
      <c r="F74" s="508" t="s">
        <v>780</v>
      </c>
      <c r="G74" s="1575" t="s">
        <v>677</v>
      </c>
      <c r="H74" s="1595" t="s">
        <v>2024</v>
      </c>
      <c r="I74" s="1587" t="s">
        <v>1602</v>
      </c>
      <c r="J74" s="1588" t="s">
        <v>1739</v>
      </c>
      <c r="K74" s="1589" t="s">
        <v>1876</v>
      </c>
    </row>
    <row r="75" spans="3:11" ht="32" x14ac:dyDescent="0.2">
      <c r="C75" s="1554">
        <v>72</v>
      </c>
      <c r="D75" s="1573" t="s">
        <v>678</v>
      </c>
      <c r="E75" s="1596" t="s">
        <v>880</v>
      </c>
      <c r="F75" s="508" t="s">
        <v>781</v>
      </c>
      <c r="G75" s="1597" t="s">
        <v>881</v>
      </c>
      <c r="H75" s="1580" t="s">
        <v>1487</v>
      </c>
      <c r="I75" s="1577" t="s">
        <v>1603</v>
      </c>
      <c r="J75" s="1578" t="s">
        <v>1740</v>
      </c>
      <c r="K75" s="1579" t="s">
        <v>1877</v>
      </c>
    </row>
    <row r="76" spans="3:11" ht="32" x14ac:dyDescent="0.2">
      <c r="C76" s="1554">
        <v>73</v>
      </c>
      <c r="D76" s="1573" t="s">
        <v>205</v>
      </c>
      <c r="E76" s="1583" t="s">
        <v>792</v>
      </c>
      <c r="F76" s="508" t="s">
        <v>782</v>
      </c>
      <c r="G76" s="1575" t="s">
        <v>882</v>
      </c>
      <c r="H76" s="1580" t="s">
        <v>1488</v>
      </c>
      <c r="I76" s="1577" t="s">
        <v>1604</v>
      </c>
      <c r="J76" s="1578" t="s">
        <v>1741</v>
      </c>
      <c r="K76" s="1579" t="s">
        <v>1878</v>
      </c>
    </row>
    <row r="77" spans="3:11" ht="16" x14ac:dyDescent="0.2">
      <c r="C77" s="1554">
        <v>74</v>
      </c>
      <c r="D77" s="1598" t="s">
        <v>206</v>
      </c>
      <c r="E77" s="1599" t="s">
        <v>679</v>
      </c>
      <c r="F77" s="624" t="s">
        <v>1134</v>
      </c>
      <c r="G77" s="1600" t="s">
        <v>883</v>
      </c>
      <c r="H77" s="1601" t="s">
        <v>1489</v>
      </c>
      <c r="I77" s="1602" t="s">
        <v>1605</v>
      </c>
      <c r="J77" s="1603" t="s">
        <v>1742</v>
      </c>
      <c r="K77" s="1604" t="s">
        <v>1879</v>
      </c>
    </row>
    <row r="78" spans="3:11" ht="16" x14ac:dyDescent="0.2">
      <c r="C78" s="1554">
        <v>75</v>
      </c>
      <c r="D78" s="1573" t="s">
        <v>207</v>
      </c>
      <c r="E78" s="1574" t="s">
        <v>719</v>
      </c>
      <c r="F78" s="508" t="s">
        <v>760</v>
      </c>
      <c r="G78" s="1575" t="s">
        <v>855</v>
      </c>
      <c r="H78" s="1580" t="s">
        <v>1469</v>
      </c>
      <c r="I78" s="1577" t="s">
        <v>1581</v>
      </c>
      <c r="J78" s="1578" t="s">
        <v>1717</v>
      </c>
      <c r="K78" s="1579" t="s">
        <v>1854</v>
      </c>
    </row>
    <row r="79" spans="3:11" ht="16" x14ac:dyDescent="0.2">
      <c r="C79" s="1554">
        <v>76</v>
      </c>
      <c r="D79" s="1573" t="s">
        <v>214</v>
      </c>
      <c r="E79" s="1574" t="s">
        <v>680</v>
      </c>
      <c r="F79" s="508" t="s">
        <v>783</v>
      </c>
      <c r="G79" s="1575" t="s">
        <v>884</v>
      </c>
      <c r="H79" s="1576" t="s">
        <v>2031</v>
      </c>
      <c r="I79" s="1577" t="s">
        <v>1606</v>
      </c>
      <c r="J79" s="1578" t="s">
        <v>1743</v>
      </c>
      <c r="K79" s="1579" t="s">
        <v>1880</v>
      </c>
    </row>
    <row r="80" spans="3:11" ht="16" x14ac:dyDescent="0.2">
      <c r="C80" s="1554">
        <v>77</v>
      </c>
      <c r="D80" s="1573" t="s">
        <v>216</v>
      </c>
      <c r="E80" s="1574" t="s">
        <v>681</v>
      </c>
      <c r="F80" s="508" t="s">
        <v>784</v>
      </c>
      <c r="G80" s="1575" t="s">
        <v>885</v>
      </c>
      <c r="H80" s="1576" t="s">
        <v>2032</v>
      </c>
      <c r="I80" s="1577" t="s">
        <v>1607</v>
      </c>
      <c r="J80" s="1578" t="s">
        <v>1744</v>
      </c>
      <c r="K80" s="1579" t="s">
        <v>1881</v>
      </c>
    </row>
    <row r="81" spans="3:11" ht="32" x14ac:dyDescent="0.2">
      <c r="C81" s="1554">
        <v>78</v>
      </c>
      <c r="D81" s="1573" t="s">
        <v>218</v>
      </c>
      <c r="E81" s="1574" t="s">
        <v>682</v>
      </c>
      <c r="F81" s="508" t="s">
        <v>886</v>
      </c>
      <c r="G81" s="1582" t="s">
        <v>887</v>
      </c>
      <c r="H81" s="1576" t="s">
        <v>2033</v>
      </c>
      <c r="I81" s="1577" t="s">
        <v>1608</v>
      </c>
      <c r="J81" s="1578" t="s">
        <v>1745</v>
      </c>
      <c r="K81" s="1579" t="s">
        <v>1882</v>
      </c>
    </row>
    <row r="82" spans="3:11" ht="32" x14ac:dyDescent="0.2">
      <c r="C82" s="1554">
        <v>79</v>
      </c>
      <c r="D82" s="1573" t="s">
        <v>220</v>
      </c>
      <c r="E82" s="1581" t="s">
        <v>888</v>
      </c>
      <c r="F82" s="509" t="s">
        <v>889</v>
      </c>
      <c r="G82" s="1597" t="s">
        <v>890</v>
      </c>
      <c r="H82" s="1576" t="s">
        <v>2034</v>
      </c>
      <c r="I82" s="1577" t="s">
        <v>1609</v>
      </c>
      <c r="J82" s="1578" t="s">
        <v>1746</v>
      </c>
      <c r="K82" s="1579" t="s">
        <v>1883</v>
      </c>
    </row>
    <row r="83" spans="3:11" ht="16" x14ac:dyDescent="0.2">
      <c r="C83" s="1554">
        <v>80</v>
      </c>
      <c r="D83" s="1573" t="s">
        <v>222</v>
      </c>
      <c r="E83" s="1581" t="s">
        <v>984</v>
      </c>
      <c r="F83" s="508" t="s">
        <v>891</v>
      </c>
      <c r="G83" s="1597" t="s">
        <v>892</v>
      </c>
      <c r="H83" s="1580" t="s">
        <v>1490</v>
      </c>
      <c r="I83" s="1577" t="s">
        <v>1610</v>
      </c>
      <c r="J83" s="1578" t="s">
        <v>1747</v>
      </c>
      <c r="K83" s="1579" t="s">
        <v>1884</v>
      </c>
    </row>
    <row r="84" spans="3:11" ht="32" x14ac:dyDescent="0.2">
      <c r="C84" s="1554">
        <v>81</v>
      </c>
      <c r="D84" s="1573" t="s">
        <v>225</v>
      </c>
      <c r="E84" s="1574" t="s">
        <v>683</v>
      </c>
      <c r="F84" s="508" t="s">
        <v>886</v>
      </c>
      <c r="G84" s="1575" t="s">
        <v>893</v>
      </c>
      <c r="H84" s="1576" t="s">
        <v>2035</v>
      </c>
      <c r="I84" s="1577" t="s">
        <v>1611</v>
      </c>
      <c r="J84" s="1578" t="s">
        <v>1748</v>
      </c>
      <c r="K84" s="1579" t="s">
        <v>1885</v>
      </c>
    </row>
    <row r="85" spans="3:11" ht="32" x14ac:dyDescent="0.2">
      <c r="C85" s="1554">
        <v>82</v>
      </c>
      <c r="D85" s="1573" t="s">
        <v>1295</v>
      </c>
      <c r="E85" s="1574" t="s">
        <v>1296</v>
      </c>
      <c r="F85" s="508" t="s">
        <v>1297</v>
      </c>
      <c r="G85" s="1575" t="s">
        <v>1298</v>
      </c>
      <c r="H85" s="1580" t="s">
        <v>1491</v>
      </c>
      <c r="I85" s="1577" t="s">
        <v>1612</v>
      </c>
      <c r="J85" s="1578" t="s">
        <v>1749</v>
      </c>
      <c r="K85" s="1579" t="s">
        <v>1886</v>
      </c>
    </row>
    <row r="86" spans="3:11" ht="16" x14ac:dyDescent="0.2">
      <c r="C86" s="1554">
        <v>83</v>
      </c>
      <c r="D86" s="1573" t="s">
        <v>226</v>
      </c>
      <c r="E86" s="1574" t="s">
        <v>894</v>
      </c>
      <c r="F86" s="508" t="s">
        <v>895</v>
      </c>
      <c r="G86" s="1575" t="s">
        <v>896</v>
      </c>
      <c r="H86" s="1580" t="s">
        <v>1492</v>
      </c>
      <c r="I86" s="1577" t="s">
        <v>1613</v>
      </c>
      <c r="J86" s="1578" t="s">
        <v>1750</v>
      </c>
      <c r="K86" s="1579" t="s">
        <v>1887</v>
      </c>
    </row>
    <row r="87" spans="3:11" ht="16" x14ac:dyDescent="0.2">
      <c r="C87" s="1554">
        <v>84</v>
      </c>
      <c r="D87" s="1573" t="s">
        <v>227</v>
      </c>
      <c r="E87" s="1574" t="s">
        <v>684</v>
      </c>
      <c r="F87" s="508" t="s">
        <v>785</v>
      </c>
      <c r="G87" s="1575" t="s">
        <v>897</v>
      </c>
      <c r="H87" s="1580" t="s">
        <v>1493</v>
      </c>
      <c r="I87" s="1577" t="s">
        <v>1614</v>
      </c>
      <c r="J87" s="1578" t="s">
        <v>1751</v>
      </c>
      <c r="K87" s="1579" t="s">
        <v>1888</v>
      </c>
    </row>
    <row r="88" spans="3:11" ht="16" x14ac:dyDescent="0.2">
      <c r="C88" s="1554">
        <v>85</v>
      </c>
      <c r="D88" s="1573" t="s">
        <v>228</v>
      </c>
      <c r="E88" s="1574" t="s">
        <v>685</v>
      </c>
      <c r="F88" s="508" t="s">
        <v>786</v>
      </c>
      <c r="G88" s="1575" t="s">
        <v>898</v>
      </c>
      <c r="H88" s="1580" t="s">
        <v>1494</v>
      </c>
      <c r="I88" s="1577" t="s">
        <v>1615</v>
      </c>
      <c r="J88" s="1578" t="s">
        <v>1752</v>
      </c>
      <c r="K88" s="1579" t="s">
        <v>1889</v>
      </c>
    </row>
    <row r="89" spans="3:11" ht="16" x14ac:dyDescent="0.2">
      <c r="C89" s="1554">
        <v>86</v>
      </c>
      <c r="D89" s="1573" t="s">
        <v>231</v>
      </c>
      <c r="E89" s="1574" t="s">
        <v>686</v>
      </c>
      <c r="F89" s="508" t="s">
        <v>787</v>
      </c>
      <c r="G89" s="1575" t="s">
        <v>899</v>
      </c>
      <c r="H89" s="1576" t="s">
        <v>2038</v>
      </c>
      <c r="I89" s="1577" t="s">
        <v>1616</v>
      </c>
      <c r="J89" s="1578" t="s">
        <v>1753</v>
      </c>
      <c r="K89" s="1579" t="s">
        <v>1890</v>
      </c>
    </row>
    <row r="90" spans="3:11" ht="16" x14ac:dyDescent="0.2">
      <c r="C90" s="1554">
        <v>87</v>
      </c>
      <c r="D90" s="1573" t="s">
        <v>1282</v>
      </c>
      <c r="E90" s="1574" t="s">
        <v>1316</v>
      </c>
      <c r="F90" s="508" t="s">
        <v>1317</v>
      </c>
      <c r="G90" s="1582" t="s">
        <v>1318</v>
      </c>
      <c r="H90" s="1580" t="s">
        <v>1495</v>
      </c>
      <c r="I90" s="1577" t="s">
        <v>1617</v>
      </c>
      <c r="J90" s="1578" t="s">
        <v>1754</v>
      </c>
      <c r="K90" s="1579" t="s">
        <v>1891</v>
      </c>
    </row>
    <row r="91" spans="3:11" ht="16" x14ac:dyDescent="0.2">
      <c r="C91" s="1554">
        <v>88</v>
      </c>
      <c r="D91" s="1573" t="s">
        <v>234</v>
      </c>
      <c r="E91" s="1574" t="s">
        <v>722</v>
      </c>
      <c r="F91" s="508" t="s">
        <v>788</v>
      </c>
      <c r="G91" s="1575" t="s">
        <v>900</v>
      </c>
      <c r="H91" s="1580" t="s">
        <v>1496</v>
      </c>
      <c r="I91" s="1577" t="s">
        <v>1618</v>
      </c>
      <c r="J91" s="1578" t="s">
        <v>1755</v>
      </c>
      <c r="K91" s="1579" t="s">
        <v>1892</v>
      </c>
    </row>
    <row r="92" spans="3:11" ht="16" x14ac:dyDescent="0.2">
      <c r="C92" s="1554">
        <v>89</v>
      </c>
      <c r="D92" s="1573" t="s">
        <v>236</v>
      </c>
      <c r="E92" s="1574" t="s">
        <v>2752</v>
      </c>
      <c r="F92" s="510" t="s">
        <v>2753</v>
      </c>
      <c r="G92" s="1575" t="s">
        <v>901</v>
      </c>
      <c r="H92" s="1580" t="s">
        <v>1497</v>
      </c>
      <c r="I92" s="1577" t="s">
        <v>1619</v>
      </c>
      <c r="J92" s="1578" t="s">
        <v>1756</v>
      </c>
      <c r="K92" s="1579" t="s">
        <v>1893</v>
      </c>
    </row>
    <row r="93" spans="3:11" ht="16" x14ac:dyDescent="0.2">
      <c r="C93" s="1554">
        <v>90</v>
      </c>
      <c r="D93" s="1573" t="s">
        <v>238</v>
      </c>
      <c r="E93" s="1574" t="s">
        <v>2754</v>
      </c>
      <c r="F93" s="508" t="s">
        <v>2755</v>
      </c>
      <c r="G93" s="1575" t="s">
        <v>2756</v>
      </c>
      <c r="H93" s="1580" t="s">
        <v>2757</v>
      </c>
      <c r="I93" s="1577" t="s">
        <v>2758</v>
      </c>
      <c r="J93" s="1578" t="s">
        <v>2759</v>
      </c>
      <c r="K93" s="1579" t="s">
        <v>2760</v>
      </c>
    </row>
    <row r="94" spans="3:11" ht="16" x14ac:dyDescent="0.2">
      <c r="C94" s="1554">
        <v>91</v>
      </c>
      <c r="D94" s="1573" t="s">
        <v>688</v>
      </c>
      <c r="E94" s="1574" t="s">
        <v>904</v>
      </c>
      <c r="F94" s="508" t="s">
        <v>800</v>
      </c>
      <c r="G94" s="1575" t="s">
        <v>905</v>
      </c>
      <c r="H94" s="1580" t="s">
        <v>2761</v>
      </c>
      <c r="I94" s="1577" t="s">
        <v>2762</v>
      </c>
      <c r="J94" s="1578" t="s">
        <v>2763</v>
      </c>
      <c r="K94" s="1579" t="s">
        <v>2764</v>
      </c>
    </row>
    <row r="95" spans="3:11" ht="16" x14ac:dyDescent="0.2">
      <c r="C95" s="1554">
        <v>92</v>
      </c>
      <c r="D95" s="1573" t="s">
        <v>689</v>
      </c>
      <c r="E95" s="1574" t="s">
        <v>690</v>
      </c>
      <c r="F95" s="508" t="s">
        <v>801</v>
      </c>
      <c r="G95" s="1575" t="s">
        <v>906</v>
      </c>
      <c r="H95" s="1580" t="s">
        <v>1500</v>
      </c>
      <c r="I95" s="1577" t="s">
        <v>1622</v>
      </c>
      <c r="J95" s="1578" t="s">
        <v>1759</v>
      </c>
      <c r="K95" s="1579" t="s">
        <v>1896</v>
      </c>
    </row>
    <row r="96" spans="3:11" ht="16" x14ac:dyDescent="0.2">
      <c r="C96" s="1554">
        <v>93</v>
      </c>
      <c r="D96" s="1573" t="s">
        <v>691</v>
      </c>
      <c r="E96" s="1574" t="s">
        <v>692</v>
      </c>
      <c r="F96" s="508" t="s">
        <v>802</v>
      </c>
      <c r="G96" s="1575" t="s">
        <v>907</v>
      </c>
      <c r="H96" s="1580" t="s">
        <v>1501</v>
      </c>
      <c r="I96" s="1577" t="s">
        <v>1623</v>
      </c>
      <c r="J96" s="1578" t="s">
        <v>1760</v>
      </c>
      <c r="K96" s="1579" t="s">
        <v>1897</v>
      </c>
    </row>
    <row r="97" spans="3:11" ht="16" x14ac:dyDescent="0.2">
      <c r="C97" s="1554">
        <v>94</v>
      </c>
      <c r="D97" s="1573" t="s">
        <v>209</v>
      </c>
      <c r="E97" s="1574" t="s">
        <v>693</v>
      </c>
      <c r="F97" s="508" t="s">
        <v>803</v>
      </c>
      <c r="G97" s="1575" t="s">
        <v>908</v>
      </c>
      <c r="H97" s="1580" t="s">
        <v>1502</v>
      </c>
      <c r="I97" s="1577" t="s">
        <v>1624</v>
      </c>
      <c r="J97" s="1578" t="s">
        <v>1761</v>
      </c>
      <c r="K97" s="1579" t="s">
        <v>1898</v>
      </c>
    </row>
    <row r="98" spans="3:11" ht="16" x14ac:dyDescent="0.2">
      <c r="C98" s="1554">
        <v>95</v>
      </c>
      <c r="D98" s="1573" t="s">
        <v>694</v>
      </c>
      <c r="E98" s="1574" t="s">
        <v>695</v>
      </c>
      <c r="F98" s="508" t="s">
        <v>804</v>
      </c>
      <c r="G98" s="1575" t="s">
        <v>909</v>
      </c>
      <c r="H98" s="1580" t="s">
        <v>1503</v>
      </c>
      <c r="I98" s="1577" t="s">
        <v>1625</v>
      </c>
      <c r="J98" s="1578" t="s">
        <v>1762</v>
      </c>
      <c r="K98" s="1579" t="s">
        <v>1899</v>
      </c>
    </row>
    <row r="99" spans="3:11" ht="16" x14ac:dyDescent="0.2">
      <c r="C99" s="1554">
        <v>96</v>
      </c>
      <c r="D99" s="1573" t="s">
        <v>691</v>
      </c>
      <c r="E99" s="1574" t="s">
        <v>692</v>
      </c>
      <c r="F99" s="508" t="s">
        <v>802</v>
      </c>
      <c r="G99" s="1575" t="s">
        <v>907</v>
      </c>
      <c r="H99" s="1580" t="s">
        <v>1501</v>
      </c>
      <c r="I99" s="1577" t="s">
        <v>1623</v>
      </c>
      <c r="J99" s="1578" t="s">
        <v>1760</v>
      </c>
      <c r="K99" s="1579" t="s">
        <v>1897</v>
      </c>
    </row>
    <row r="100" spans="3:11" ht="16" x14ac:dyDescent="0.2">
      <c r="C100" s="1554">
        <v>97</v>
      </c>
      <c r="D100" s="1573" t="s">
        <v>208</v>
      </c>
      <c r="E100" s="1581" t="s">
        <v>696</v>
      </c>
      <c r="F100" s="508" t="s">
        <v>910</v>
      </c>
      <c r="G100" s="1575" t="s">
        <v>911</v>
      </c>
      <c r="H100" s="1580" t="s">
        <v>1504</v>
      </c>
      <c r="I100" s="1577" t="s">
        <v>1626</v>
      </c>
      <c r="J100" s="1578" t="s">
        <v>1763</v>
      </c>
      <c r="K100" s="1579" t="s">
        <v>1900</v>
      </c>
    </row>
    <row r="101" spans="3:11" ht="16" x14ac:dyDescent="0.2">
      <c r="C101" s="1554">
        <v>98</v>
      </c>
      <c r="D101" s="1573" t="s">
        <v>209</v>
      </c>
      <c r="E101" s="1574" t="s">
        <v>693</v>
      </c>
      <c r="F101" s="508" t="s">
        <v>982</v>
      </c>
      <c r="G101" s="1575" t="s">
        <v>978</v>
      </c>
      <c r="H101" s="1580" t="s">
        <v>1502</v>
      </c>
      <c r="I101" s="1577" t="s">
        <v>1624</v>
      </c>
      <c r="J101" s="1578" t="s">
        <v>1761</v>
      </c>
      <c r="K101" s="1579" t="s">
        <v>1898</v>
      </c>
    </row>
    <row r="102" spans="3:11" ht="16" x14ac:dyDescent="0.2">
      <c r="C102" s="1554">
        <v>99</v>
      </c>
      <c r="D102" s="1573" t="s">
        <v>210</v>
      </c>
      <c r="E102" s="1574" t="s">
        <v>697</v>
      </c>
      <c r="F102" s="508" t="s">
        <v>983</v>
      </c>
      <c r="G102" s="1575" t="s">
        <v>979</v>
      </c>
      <c r="H102" s="1580" t="s">
        <v>1505</v>
      </c>
      <c r="I102" s="1577" t="s">
        <v>1627</v>
      </c>
      <c r="J102" s="1578" t="s">
        <v>1764</v>
      </c>
      <c r="K102" s="1579" t="s">
        <v>1901</v>
      </c>
    </row>
    <row r="103" spans="3:11" ht="16" x14ac:dyDescent="0.2">
      <c r="C103" s="1554">
        <v>100</v>
      </c>
      <c r="D103" s="1573" t="s">
        <v>239</v>
      </c>
      <c r="E103" s="1574" t="s">
        <v>121</v>
      </c>
      <c r="F103" s="510" t="s">
        <v>912</v>
      </c>
      <c r="G103" s="1575" t="s">
        <v>698</v>
      </c>
      <c r="H103" s="1580" t="s">
        <v>1506</v>
      </c>
      <c r="I103" s="1577" t="s">
        <v>1628</v>
      </c>
      <c r="J103" s="1578" t="s">
        <v>1765</v>
      </c>
      <c r="K103" s="1579" t="s">
        <v>1902</v>
      </c>
    </row>
    <row r="104" spans="3:11" ht="27.75" customHeight="1" x14ac:dyDescent="0.2">
      <c r="C104" s="1554">
        <v>101</v>
      </c>
      <c r="D104" s="1573" t="s">
        <v>793</v>
      </c>
      <c r="E104" s="1583" t="s">
        <v>796</v>
      </c>
      <c r="F104" s="508" t="s">
        <v>913</v>
      </c>
      <c r="G104" s="1605" t="s">
        <v>914</v>
      </c>
      <c r="H104" s="1580" t="s">
        <v>1507</v>
      </c>
      <c r="I104" s="1577" t="s">
        <v>1629</v>
      </c>
      <c r="J104" s="1578" t="s">
        <v>1766</v>
      </c>
      <c r="K104" s="1579" t="s">
        <v>1903</v>
      </c>
    </row>
    <row r="105" spans="3:11" ht="30" customHeight="1" x14ac:dyDescent="0.2">
      <c r="C105" s="1554">
        <v>102</v>
      </c>
      <c r="D105" s="1573" t="s">
        <v>699</v>
      </c>
      <c r="E105" s="1583" t="s">
        <v>795</v>
      </c>
      <c r="F105" s="508" t="s">
        <v>915</v>
      </c>
      <c r="G105" s="1605" t="s">
        <v>916</v>
      </c>
      <c r="H105" s="1580" t="s">
        <v>1508</v>
      </c>
      <c r="I105" s="1577" t="s">
        <v>1630</v>
      </c>
      <c r="J105" s="1578" t="s">
        <v>1767</v>
      </c>
      <c r="K105" s="1579" t="s">
        <v>1904</v>
      </c>
    </row>
    <row r="106" spans="3:11" ht="32" x14ac:dyDescent="0.2">
      <c r="C106" s="1554">
        <v>103</v>
      </c>
      <c r="D106" s="1573" t="s">
        <v>700</v>
      </c>
      <c r="E106" s="1583" t="s">
        <v>794</v>
      </c>
      <c r="F106" s="508" t="s">
        <v>917</v>
      </c>
      <c r="G106" s="1605" t="s">
        <v>918</v>
      </c>
      <c r="H106" s="1580" t="s">
        <v>1509</v>
      </c>
      <c r="I106" s="1577" t="s">
        <v>1631</v>
      </c>
      <c r="J106" s="1578" t="s">
        <v>1768</v>
      </c>
      <c r="K106" s="1579" t="s">
        <v>1905</v>
      </c>
    </row>
    <row r="107" spans="3:11" ht="16" x14ac:dyDescent="0.2">
      <c r="C107" s="1554">
        <v>104</v>
      </c>
      <c r="D107" s="1573" t="s">
        <v>538</v>
      </c>
      <c r="E107" s="1574" t="s">
        <v>919</v>
      </c>
      <c r="F107" s="508" t="s">
        <v>805</v>
      </c>
      <c r="G107" s="1582" t="s">
        <v>920</v>
      </c>
      <c r="H107" s="1576" t="s">
        <v>2025</v>
      </c>
      <c r="I107" s="1577" t="s">
        <v>1632</v>
      </c>
      <c r="J107" s="1578" t="s">
        <v>1769</v>
      </c>
      <c r="K107" s="1579" t="s">
        <v>1906</v>
      </c>
    </row>
    <row r="108" spans="3:11" ht="16" x14ac:dyDescent="0.2">
      <c r="C108" s="1554">
        <v>105</v>
      </c>
      <c r="D108" s="1573" t="s">
        <v>626</v>
      </c>
      <c r="E108" s="1574" t="s">
        <v>627</v>
      </c>
      <c r="F108" s="508" t="s">
        <v>733</v>
      </c>
      <c r="G108" s="1582" t="s">
        <v>828</v>
      </c>
      <c r="H108" s="1580" t="s">
        <v>1443</v>
      </c>
      <c r="I108" s="1577" t="s">
        <v>1546</v>
      </c>
      <c r="J108" s="1578" t="s">
        <v>1682</v>
      </c>
      <c r="K108" s="1579" t="s">
        <v>1819</v>
      </c>
    </row>
    <row r="109" spans="3:11" ht="16" x14ac:dyDescent="0.2">
      <c r="C109" s="1554">
        <v>106</v>
      </c>
      <c r="D109" s="1573" t="s">
        <v>510</v>
      </c>
      <c r="E109" s="1574" t="s">
        <v>797</v>
      </c>
      <c r="F109" s="508" t="s">
        <v>806</v>
      </c>
      <c r="G109" s="1575" t="s">
        <v>921</v>
      </c>
      <c r="H109" s="1580" t="s">
        <v>1510</v>
      </c>
      <c r="I109" s="1577" t="s">
        <v>1633</v>
      </c>
      <c r="J109" s="1578" t="s">
        <v>1770</v>
      </c>
      <c r="K109" s="1579" t="s">
        <v>1907</v>
      </c>
    </row>
    <row r="110" spans="3:11" ht="16" x14ac:dyDescent="0.2">
      <c r="C110" s="1554">
        <v>107</v>
      </c>
      <c r="D110" s="1573" t="s">
        <v>620</v>
      </c>
      <c r="E110" s="1574" t="s">
        <v>922</v>
      </c>
      <c r="F110" s="508" t="s">
        <v>923</v>
      </c>
      <c r="G110" s="1575" t="s">
        <v>924</v>
      </c>
      <c r="H110" s="1580" t="s">
        <v>1511</v>
      </c>
      <c r="I110" s="1577" t="s">
        <v>1634</v>
      </c>
      <c r="J110" s="1578" t="s">
        <v>1771</v>
      </c>
      <c r="K110" s="1579" t="s">
        <v>1908</v>
      </c>
    </row>
    <row r="111" spans="3:11" ht="16" x14ac:dyDescent="0.2">
      <c r="C111" s="1554">
        <v>108</v>
      </c>
      <c r="D111" s="1573" t="s">
        <v>489</v>
      </c>
      <c r="E111" s="1574" t="s">
        <v>925</v>
      </c>
      <c r="F111" s="508" t="s">
        <v>926</v>
      </c>
      <c r="G111" s="1575" t="s">
        <v>927</v>
      </c>
      <c r="H111" s="1576" t="s">
        <v>2026</v>
      </c>
      <c r="I111" s="1577" t="s">
        <v>1635</v>
      </c>
      <c r="J111" s="1578" t="s">
        <v>1772</v>
      </c>
      <c r="K111" s="1579" t="s">
        <v>1909</v>
      </c>
    </row>
    <row r="112" spans="3:11" ht="16" x14ac:dyDescent="0.2">
      <c r="C112" s="1554">
        <v>109</v>
      </c>
      <c r="D112" s="1573" t="s">
        <v>490</v>
      </c>
      <c r="E112" s="1574" t="s">
        <v>928</v>
      </c>
      <c r="F112" s="508" t="s">
        <v>929</v>
      </c>
      <c r="G112" s="1575" t="s">
        <v>930</v>
      </c>
      <c r="H112" s="1576" t="s">
        <v>2027</v>
      </c>
      <c r="I112" s="1577" t="s">
        <v>1636</v>
      </c>
      <c r="J112" s="1578" t="s">
        <v>1773</v>
      </c>
      <c r="K112" s="1579" t="s">
        <v>1910</v>
      </c>
    </row>
    <row r="113" spans="3:11" ht="16" x14ac:dyDescent="0.2">
      <c r="C113" s="1554">
        <v>110</v>
      </c>
      <c r="D113" s="1573" t="s">
        <v>491</v>
      </c>
      <c r="E113" s="1574" t="s">
        <v>931</v>
      </c>
      <c r="F113" s="508" t="s">
        <v>808</v>
      </c>
      <c r="G113" s="1575" t="s">
        <v>932</v>
      </c>
      <c r="H113" s="1580" t="s">
        <v>1512</v>
      </c>
      <c r="I113" s="1577" t="s">
        <v>1637</v>
      </c>
      <c r="J113" s="1578" t="s">
        <v>1774</v>
      </c>
      <c r="K113" s="1579" t="s">
        <v>1911</v>
      </c>
    </row>
    <row r="114" spans="3:11" ht="16" x14ac:dyDescent="0.2">
      <c r="C114" s="1554">
        <v>111</v>
      </c>
      <c r="D114" s="1573" t="s">
        <v>492</v>
      </c>
      <c r="E114" s="1574" t="s">
        <v>933</v>
      </c>
      <c r="F114" s="508" t="s">
        <v>807</v>
      </c>
      <c r="G114" s="1575" t="s">
        <v>934</v>
      </c>
      <c r="H114" s="1580" t="s">
        <v>1513</v>
      </c>
      <c r="I114" s="1577" t="s">
        <v>1638</v>
      </c>
      <c r="J114" s="1578" t="s">
        <v>1775</v>
      </c>
      <c r="K114" s="1579" t="s">
        <v>1912</v>
      </c>
    </row>
    <row r="115" spans="3:11" ht="16" x14ac:dyDescent="0.2">
      <c r="C115" s="1554">
        <v>112</v>
      </c>
      <c r="D115" s="1573" t="s">
        <v>511</v>
      </c>
      <c r="E115" s="1574" t="s">
        <v>701</v>
      </c>
      <c r="F115" s="508" t="s">
        <v>810</v>
      </c>
      <c r="G115" s="1575" t="s">
        <v>935</v>
      </c>
      <c r="H115" s="1580" t="s">
        <v>1514</v>
      </c>
      <c r="I115" s="1577" t="s">
        <v>1639</v>
      </c>
      <c r="J115" s="1578" t="s">
        <v>1776</v>
      </c>
      <c r="K115" s="1579" t="s">
        <v>1913</v>
      </c>
    </row>
    <row r="116" spans="3:11" ht="16" x14ac:dyDescent="0.2">
      <c r="C116" s="1554">
        <v>113</v>
      </c>
      <c r="D116" s="1573" t="s">
        <v>512</v>
      </c>
      <c r="E116" s="1574" t="s">
        <v>702</v>
      </c>
      <c r="F116" s="508" t="s">
        <v>811</v>
      </c>
      <c r="G116" s="1575" t="s">
        <v>936</v>
      </c>
      <c r="H116" s="1580" t="s">
        <v>1515</v>
      </c>
      <c r="I116" s="1577" t="s">
        <v>1640</v>
      </c>
      <c r="J116" s="1578" t="s">
        <v>1777</v>
      </c>
      <c r="K116" s="1579" t="s">
        <v>1914</v>
      </c>
    </row>
    <row r="117" spans="3:11" ht="32" x14ac:dyDescent="0.2">
      <c r="C117" s="1554">
        <v>114</v>
      </c>
      <c r="D117" s="1573" t="s">
        <v>798</v>
      </c>
      <c r="E117" s="1596" t="s">
        <v>937</v>
      </c>
      <c r="F117" s="519" t="s">
        <v>938</v>
      </c>
      <c r="G117" s="1584" t="s">
        <v>939</v>
      </c>
      <c r="H117" s="1580" t="s">
        <v>1516</v>
      </c>
      <c r="I117" s="1577" t="s">
        <v>1641</v>
      </c>
      <c r="J117" s="1578" t="s">
        <v>1778</v>
      </c>
      <c r="K117" s="1579" t="s">
        <v>1915</v>
      </c>
    </row>
    <row r="118" spans="3:11" ht="16" x14ac:dyDescent="0.2">
      <c r="C118" s="1554">
        <v>115</v>
      </c>
      <c r="D118" s="1573" t="s">
        <v>497</v>
      </c>
      <c r="E118" s="1574" t="s">
        <v>940</v>
      </c>
      <c r="F118" s="508" t="s">
        <v>812</v>
      </c>
      <c r="G118" s="1575" t="s">
        <v>981</v>
      </c>
      <c r="H118" s="1576" t="s">
        <v>2028</v>
      </c>
      <c r="I118" s="1577" t="s">
        <v>1642</v>
      </c>
      <c r="J118" s="1578" t="s">
        <v>1779</v>
      </c>
      <c r="K118" s="1579" t="s">
        <v>1916</v>
      </c>
    </row>
    <row r="119" spans="3:11" ht="16" x14ac:dyDescent="0.2">
      <c r="C119" s="1554">
        <v>116</v>
      </c>
      <c r="D119" s="1573" t="s">
        <v>503</v>
      </c>
      <c r="E119" s="1574" t="s">
        <v>941</v>
      </c>
      <c r="F119" s="508" t="s">
        <v>813</v>
      </c>
      <c r="G119" s="1575" t="s">
        <v>980</v>
      </c>
      <c r="H119" s="1576" t="s">
        <v>2029</v>
      </c>
      <c r="I119" s="1577" t="s">
        <v>1643</v>
      </c>
      <c r="J119" s="1578" t="s">
        <v>1780</v>
      </c>
      <c r="K119" s="1579" t="s">
        <v>1917</v>
      </c>
    </row>
    <row r="120" spans="3:11" ht="16" x14ac:dyDescent="0.2">
      <c r="C120" s="1554">
        <v>117</v>
      </c>
      <c r="D120" s="1573" t="s">
        <v>491</v>
      </c>
      <c r="E120" s="1574" t="s">
        <v>931</v>
      </c>
      <c r="F120" s="508" t="s">
        <v>808</v>
      </c>
      <c r="G120" s="1575" t="s">
        <v>942</v>
      </c>
      <c r="H120" s="1580" t="s">
        <v>1512</v>
      </c>
      <c r="I120" s="1577" t="s">
        <v>1637</v>
      </c>
      <c r="J120" s="1578" t="s">
        <v>1774</v>
      </c>
      <c r="K120" s="1579" t="s">
        <v>1911</v>
      </c>
    </row>
    <row r="121" spans="3:11" ht="16" x14ac:dyDescent="0.2">
      <c r="C121" s="1554">
        <v>118</v>
      </c>
      <c r="D121" s="1573" t="s">
        <v>492</v>
      </c>
      <c r="E121" s="1574" t="s">
        <v>933</v>
      </c>
      <c r="F121" s="508" t="s">
        <v>807</v>
      </c>
      <c r="G121" s="1575" t="s">
        <v>943</v>
      </c>
      <c r="H121" s="1580" t="s">
        <v>1513</v>
      </c>
      <c r="I121" s="1577" t="s">
        <v>1638</v>
      </c>
      <c r="J121" s="1578" t="s">
        <v>1775</v>
      </c>
      <c r="K121" s="1579" t="s">
        <v>1912</v>
      </c>
    </row>
    <row r="122" spans="3:11" ht="16" x14ac:dyDescent="0.2">
      <c r="C122" s="1554">
        <v>119</v>
      </c>
      <c r="D122" s="1573" t="s">
        <v>498</v>
      </c>
      <c r="E122" s="1574" t="s">
        <v>703</v>
      </c>
      <c r="F122" s="508" t="s">
        <v>814</v>
      </c>
      <c r="G122" s="1575" t="s">
        <v>944</v>
      </c>
      <c r="H122" s="1580" t="s">
        <v>1517</v>
      </c>
      <c r="I122" s="1577" t="s">
        <v>1644</v>
      </c>
      <c r="J122" s="1578" t="s">
        <v>1781</v>
      </c>
      <c r="K122" s="1579" t="s">
        <v>1918</v>
      </c>
    </row>
    <row r="123" spans="3:11" ht="16" x14ac:dyDescent="0.2">
      <c r="C123" s="1554">
        <v>120</v>
      </c>
      <c r="D123" s="1573" t="s">
        <v>514</v>
      </c>
      <c r="E123" s="1574" t="s">
        <v>945</v>
      </c>
      <c r="F123" s="508" t="s">
        <v>946</v>
      </c>
      <c r="G123" s="1575" t="s">
        <v>947</v>
      </c>
      <c r="H123" s="1576" t="s">
        <v>2030</v>
      </c>
      <c r="I123" s="1577" t="s">
        <v>1645</v>
      </c>
      <c r="J123" s="1578" t="s">
        <v>1782</v>
      </c>
      <c r="K123" s="1579" t="s">
        <v>1919</v>
      </c>
    </row>
    <row r="124" spans="3:11" ht="16" x14ac:dyDescent="0.2">
      <c r="C124" s="1554">
        <v>121</v>
      </c>
      <c r="D124" s="1573" t="s">
        <v>556</v>
      </c>
      <c r="E124" s="1574" t="s">
        <v>704</v>
      </c>
      <c r="F124" s="508" t="s">
        <v>948</v>
      </c>
      <c r="G124" s="1575" t="s">
        <v>949</v>
      </c>
      <c r="H124" s="1580" t="s">
        <v>1518</v>
      </c>
      <c r="I124" s="1577" t="s">
        <v>1646</v>
      </c>
      <c r="J124" s="1578" t="s">
        <v>1783</v>
      </c>
      <c r="K124" s="1579" t="s">
        <v>1920</v>
      </c>
    </row>
    <row r="125" spans="3:11" ht="16" x14ac:dyDescent="0.2">
      <c r="C125" s="1554">
        <v>122</v>
      </c>
      <c r="D125" s="1573" t="s">
        <v>501</v>
      </c>
      <c r="E125" s="1574" t="s">
        <v>950</v>
      </c>
      <c r="F125" s="508" t="s">
        <v>815</v>
      </c>
      <c r="G125" s="1582" t="s">
        <v>951</v>
      </c>
      <c r="H125" s="1580" t="s">
        <v>1519</v>
      </c>
      <c r="I125" s="1577" t="s">
        <v>1647</v>
      </c>
      <c r="J125" s="1578" t="s">
        <v>1784</v>
      </c>
      <c r="K125" s="1579" t="s">
        <v>1921</v>
      </c>
    </row>
    <row r="126" spans="3:11" ht="16" x14ac:dyDescent="0.2">
      <c r="C126" s="1554">
        <v>123</v>
      </c>
      <c r="D126" s="1573" t="s">
        <v>1339</v>
      </c>
      <c r="E126" s="1574" t="s">
        <v>1355</v>
      </c>
      <c r="F126" s="508" t="s">
        <v>1356</v>
      </c>
      <c r="G126" s="1575" t="s">
        <v>1357</v>
      </c>
      <c r="H126" s="1580" t="s">
        <v>1520</v>
      </c>
      <c r="I126" s="1577" t="s">
        <v>1648</v>
      </c>
      <c r="J126" s="1578" t="s">
        <v>1785</v>
      </c>
      <c r="K126" s="1579" t="s">
        <v>1922</v>
      </c>
    </row>
    <row r="127" spans="3:11" ht="16" x14ac:dyDescent="0.2">
      <c r="C127" s="1554">
        <v>124</v>
      </c>
      <c r="D127" s="1573" t="s">
        <v>720</v>
      </c>
      <c r="E127" s="1574" t="s">
        <v>716</v>
      </c>
      <c r="F127" s="508" t="s">
        <v>973</v>
      </c>
      <c r="G127" s="1582" t="s">
        <v>972</v>
      </c>
      <c r="H127" s="1580" t="s">
        <v>1521</v>
      </c>
      <c r="I127" s="1577" t="s">
        <v>1649</v>
      </c>
      <c r="J127" s="1578" t="s">
        <v>1786</v>
      </c>
      <c r="K127" s="1579" t="s">
        <v>1923</v>
      </c>
    </row>
    <row r="128" spans="3:11" ht="16" x14ac:dyDescent="0.2">
      <c r="C128" s="1554">
        <v>125</v>
      </c>
      <c r="D128" s="1573" t="s">
        <v>717</v>
      </c>
      <c r="E128" s="1581" t="s">
        <v>952</v>
      </c>
      <c r="F128" s="508" t="s">
        <v>953</v>
      </c>
      <c r="G128" s="1575" t="s">
        <v>954</v>
      </c>
      <c r="H128" s="1580" t="s">
        <v>1522</v>
      </c>
      <c r="I128" s="1577" t="s">
        <v>1650</v>
      </c>
      <c r="J128" s="1578" t="s">
        <v>1787</v>
      </c>
      <c r="K128" s="1579" t="s">
        <v>1924</v>
      </c>
    </row>
    <row r="129" spans="3:11" ht="32" x14ac:dyDescent="0.2">
      <c r="C129" s="1554">
        <v>126</v>
      </c>
      <c r="D129" s="1573" t="s">
        <v>724</v>
      </c>
      <c r="E129" s="1574" t="s">
        <v>955</v>
      </c>
      <c r="F129" s="1606" t="s">
        <v>956</v>
      </c>
      <c r="G129" s="1575" t="s">
        <v>957</v>
      </c>
      <c r="H129" s="1580" t="s">
        <v>1523</v>
      </c>
      <c r="I129" s="1577" t="s">
        <v>1651</v>
      </c>
      <c r="J129" s="1578" t="s">
        <v>1788</v>
      </c>
      <c r="K129" s="1579" t="s">
        <v>1925</v>
      </c>
    </row>
    <row r="130" spans="3:11" ht="16" x14ac:dyDescent="0.2">
      <c r="C130" s="1554">
        <v>127</v>
      </c>
      <c r="D130" s="1573" t="s">
        <v>725</v>
      </c>
      <c r="E130" s="1574" t="s">
        <v>726</v>
      </c>
      <c r="F130" s="1606" t="s">
        <v>816</v>
      </c>
      <c r="G130" s="1575" t="s">
        <v>958</v>
      </c>
      <c r="H130" s="1580" t="s">
        <v>1524</v>
      </c>
      <c r="I130" s="1577" t="s">
        <v>1652</v>
      </c>
      <c r="J130" s="1578" t="s">
        <v>1789</v>
      </c>
      <c r="K130" s="1579" t="s">
        <v>1926</v>
      </c>
    </row>
    <row r="131" spans="3:11" ht="16" x14ac:dyDescent="0.2">
      <c r="C131" s="1554">
        <v>128</v>
      </c>
      <c r="D131" s="1573" t="s">
        <v>728</v>
      </c>
      <c r="E131" s="1574" t="s">
        <v>729</v>
      </c>
      <c r="F131" s="1606" t="s">
        <v>817</v>
      </c>
      <c r="G131" s="1575" t="s">
        <v>959</v>
      </c>
      <c r="H131" s="1580" t="s">
        <v>1525</v>
      </c>
      <c r="I131" s="1577" t="s">
        <v>1653</v>
      </c>
      <c r="J131" s="1578" t="s">
        <v>1790</v>
      </c>
      <c r="K131" s="1579" t="s">
        <v>1927</v>
      </c>
    </row>
    <row r="132" spans="3:11" ht="32" x14ac:dyDescent="0.2">
      <c r="C132" s="1554">
        <v>129</v>
      </c>
      <c r="D132" s="1573" t="s">
        <v>392</v>
      </c>
      <c r="E132" s="1583" t="s">
        <v>730</v>
      </c>
      <c r="F132" s="1607" t="s">
        <v>818</v>
      </c>
      <c r="G132" s="1582" t="s">
        <v>960</v>
      </c>
      <c r="H132" s="1580" t="s">
        <v>1526</v>
      </c>
      <c r="I132" s="1577" t="s">
        <v>1654</v>
      </c>
      <c r="J132" s="1578" t="s">
        <v>1791</v>
      </c>
      <c r="K132" s="1579" t="s">
        <v>1928</v>
      </c>
    </row>
    <row r="133" spans="3:11" ht="16" x14ac:dyDescent="0.2">
      <c r="C133" s="1554">
        <v>130</v>
      </c>
      <c r="D133" s="1573" t="s">
        <v>961</v>
      </c>
      <c r="E133" s="1574" t="s">
        <v>962</v>
      </c>
      <c r="F133" s="1606" t="s">
        <v>963</v>
      </c>
      <c r="G133" s="1575" t="s">
        <v>964</v>
      </c>
      <c r="H133" s="1580" t="s">
        <v>1527</v>
      </c>
      <c r="I133" s="1577" t="s">
        <v>1655</v>
      </c>
      <c r="J133" s="1578" t="s">
        <v>1792</v>
      </c>
      <c r="K133" s="1579" t="s">
        <v>1929</v>
      </c>
    </row>
    <row r="134" spans="3:11" ht="16" x14ac:dyDescent="0.2">
      <c r="C134" s="1554">
        <v>131</v>
      </c>
      <c r="D134" s="1573" t="s">
        <v>965</v>
      </c>
      <c r="E134" s="1574" t="s">
        <v>966</v>
      </c>
      <c r="F134" s="1606" t="s">
        <v>967</v>
      </c>
      <c r="G134" s="1575" t="s">
        <v>968</v>
      </c>
      <c r="H134" s="1580" t="s">
        <v>1528</v>
      </c>
      <c r="I134" s="1577" t="s">
        <v>1656</v>
      </c>
      <c r="J134" s="1578" t="s">
        <v>1793</v>
      </c>
      <c r="K134" s="1579" t="s">
        <v>1930</v>
      </c>
    </row>
    <row r="135" spans="3:11" ht="16" x14ac:dyDescent="0.2">
      <c r="C135" s="1554">
        <v>132</v>
      </c>
      <c r="D135" s="1573" t="s">
        <v>1102</v>
      </c>
      <c r="E135" s="1574" t="s">
        <v>1192</v>
      </c>
      <c r="F135" s="508" t="s">
        <v>1193</v>
      </c>
      <c r="G135" s="1575" t="s">
        <v>1194</v>
      </c>
      <c r="H135" s="1580" t="s">
        <v>1529</v>
      </c>
      <c r="I135" s="1577" t="s">
        <v>1657</v>
      </c>
      <c r="J135" s="1578" t="s">
        <v>1794</v>
      </c>
      <c r="K135" s="1579" t="s">
        <v>1931</v>
      </c>
    </row>
    <row r="136" spans="3:11" ht="16" x14ac:dyDescent="0.2">
      <c r="C136" s="1554">
        <v>133</v>
      </c>
      <c r="D136" s="1573" t="s">
        <v>1109</v>
      </c>
      <c r="E136" s="1574" t="s">
        <v>1123</v>
      </c>
      <c r="F136" s="508" t="s">
        <v>1127</v>
      </c>
      <c r="G136" s="1575" t="s">
        <v>1128</v>
      </c>
      <c r="H136" s="1580" t="s">
        <v>1530</v>
      </c>
      <c r="I136" s="1577" t="s">
        <v>1658</v>
      </c>
      <c r="J136" s="1578" t="s">
        <v>1795</v>
      </c>
      <c r="K136" s="1579" t="s">
        <v>1932</v>
      </c>
    </row>
    <row r="137" spans="3:11" ht="16" x14ac:dyDescent="0.2">
      <c r="C137" s="1554">
        <v>134</v>
      </c>
      <c r="D137" s="1573" t="s">
        <v>1130</v>
      </c>
      <c r="E137" s="1574" t="s">
        <v>1129</v>
      </c>
      <c r="F137" s="508" t="s">
        <v>1131</v>
      </c>
      <c r="G137" s="1575" t="s">
        <v>1132</v>
      </c>
      <c r="H137" s="1576" t="s">
        <v>2006</v>
      </c>
      <c r="I137" s="1577" t="s">
        <v>1659</v>
      </c>
      <c r="J137" s="1578" t="s">
        <v>1796</v>
      </c>
      <c r="K137" s="1579" t="s">
        <v>1933</v>
      </c>
    </row>
    <row r="138" spans="3:11" ht="32" x14ac:dyDescent="0.2">
      <c r="C138" s="1554">
        <v>135</v>
      </c>
      <c r="D138" s="1573" t="s">
        <v>1112</v>
      </c>
      <c r="E138" s="1583" t="s">
        <v>1141</v>
      </c>
      <c r="F138" s="508" t="s">
        <v>1142</v>
      </c>
      <c r="G138" s="1575" t="s">
        <v>1133</v>
      </c>
      <c r="H138" s="1576" t="s">
        <v>2007</v>
      </c>
      <c r="I138" s="1577" t="s">
        <v>1660</v>
      </c>
      <c r="J138" s="1578" t="s">
        <v>1797</v>
      </c>
      <c r="K138" s="1579" t="s">
        <v>1934</v>
      </c>
    </row>
    <row r="139" spans="3:11" ht="16" x14ac:dyDescent="0.2">
      <c r="C139" s="1554">
        <v>136</v>
      </c>
      <c r="D139" s="1573" t="s">
        <v>1113</v>
      </c>
      <c r="E139" s="1574" t="s">
        <v>1135</v>
      </c>
      <c r="F139" s="508" t="s">
        <v>1143</v>
      </c>
      <c r="G139" s="1575" t="s">
        <v>1136</v>
      </c>
      <c r="H139" s="1576" t="s">
        <v>2008</v>
      </c>
      <c r="I139" s="1577" t="s">
        <v>1661</v>
      </c>
      <c r="J139" s="1578" t="s">
        <v>1798</v>
      </c>
      <c r="K139" s="1579" t="s">
        <v>1935</v>
      </c>
    </row>
    <row r="140" spans="3:11" ht="16" x14ac:dyDescent="0.2">
      <c r="C140" s="1554">
        <v>137</v>
      </c>
      <c r="D140" s="1573" t="s">
        <v>1122</v>
      </c>
      <c r="E140" s="1574" t="s">
        <v>1137</v>
      </c>
      <c r="F140" s="508" t="s">
        <v>1144</v>
      </c>
      <c r="G140" s="1575" t="s">
        <v>1138</v>
      </c>
      <c r="H140" s="1576" t="s">
        <v>2009</v>
      </c>
      <c r="I140" s="1577" t="s">
        <v>1662</v>
      </c>
      <c r="J140" s="1578" t="s">
        <v>1799</v>
      </c>
      <c r="K140" s="1579" t="s">
        <v>1936</v>
      </c>
    </row>
    <row r="141" spans="3:11" ht="16" x14ac:dyDescent="0.2">
      <c r="C141" s="1554">
        <v>138</v>
      </c>
      <c r="D141" s="1573" t="s">
        <v>1108</v>
      </c>
      <c r="E141" s="1574" t="s">
        <v>1139</v>
      </c>
      <c r="F141" s="508" t="s">
        <v>1145</v>
      </c>
      <c r="G141" s="1575" t="s">
        <v>1140</v>
      </c>
      <c r="H141" s="1576" t="s">
        <v>2013</v>
      </c>
      <c r="I141" s="1577" t="s">
        <v>1663</v>
      </c>
      <c r="J141" s="1578" t="s">
        <v>1800</v>
      </c>
      <c r="K141" s="1579" t="s">
        <v>1937</v>
      </c>
    </row>
    <row r="142" spans="3:11" ht="16" x14ac:dyDescent="0.2">
      <c r="C142" s="1554">
        <v>139</v>
      </c>
      <c r="D142" s="1573" t="s">
        <v>1162</v>
      </c>
      <c r="E142" s="1574" t="s">
        <v>1163</v>
      </c>
      <c r="F142" s="508" t="s">
        <v>1164</v>
      </c>
      <c r="G142" s="1575" t="s">
        <v>1165</v>
      </c>
      <c r="H142" s="1580" t="s">
        <v>1531</v>
      </c>
      <c r="I142" s="1577" t="s">
        <v>1664</v>
      </c>
      <c r="J142" s="1578" t="s">
        <v>1801</v>
      </c>
      <c r="K142" s="1579" t="s">
        <v>1938</v>
      </c>
    </row>
    <row r="143" spans="3:11" ht="16" x14ac:dyDescent="0.2">
      <c r="C143" s="1554">
        <v>140</v>
      </c>
      <c r="D143" s="1573" t="s">
        <v>205</v>
      </c>
      <c r="E143" s="1608" t="s">
        <v>362</v>
      </c>
      <c r="F143" s="624" t="s">
        <v>362</v>
      </c>
      <c r="G143" s="1600" t="s">
        <v>362</v>
      </c>
      <c r="H143" s="1580" t="s">
        <v>1488</v>
      </c>
      <c r="I143" s="1577" t="s">
        <v>1604</v>
      </c>
      <c r="J143" s="1578" t="s">
        <v>1741</v>
      </c>
      <c r="K143" s="1579" t="s">
        <v>1878</v>
      </c>
    </row>
    <row r="144" spans="3:11" ht="96" x14ac:dyDescent="0.2">
      <c r="C144" s="1554">
        <v>141</v>
      </c>
      <c r="D144" s="1573" t="s">
        <v>336</v>
      </c>
      <c r="E144" s="1583" t="s">
        <v>1171</v>
      </c>
      <c r="F144" s="509" t="s">
        <v>1172</v>
      </c>
      <c r="G144" s="1584" t="s">
        <v>1173</v>
      </c>
      <c r="H144" s="1580" t="s">
        <v>1473</v>
      </c>
      <c r="I144" s="1577" t="s">
        <v>1587</v>
      </c>
      <c r="J144" s="1578" t="s">
        <v>1723</v>
      </c>
      <c r="K144" s="1579" t="s">
        <v>1860</v>
      </c>
    </row>
    <row r="145" spans="3:11" ht="16" x14ac:dyDescent="0.2">
      <c r="C145" s="1554">
        <v>142</v>
      </c>
      <c r="D145" s="1573" t="s">
        <v>1186</v>
      </c>
      <c r="E145" s="1574" t="s">
        <v>1187</v>
      </c>
      <c r="F145" s="1606" t="s">
        <v>1188</v>
      </c>
      <c r="G145" s="1575" t="s">
        <v>1189</v>
      </c>
      <c r="H145" s="1576" t="s">
        <v>2037</v>
      </c>
      <c r="I145" s="1577" t="s">
        <v>1665</v>
      </c>
      <c r="J145" s="1578" t="s">
        <v>1802</v>
      </c>
      <c r="K145" s="1579" t="s">
        <v>1939</v>
      </c>
    </row>
    <row r="146" spans="3:11" ht="32" x14ac:dyDescent="0.2">
      <c r="C146" s="1554">
        <v>143</v>
      </c>
      <c r="D146" s="1573" t="s">
        <v>1199</v>
      </c>
      <c r="E146" s="1574" t="s">
        <v>1200</v>
      </c>
      <c r="F146" s="1606" t="s">
        <v>1208</v>
      </c>
      <c r="G146" s="1575" t="s">
        <v>1201</v>
      </c>
      <c r="H146" s="1576" t="s">
        <v>2012</v>
      </c>
      <c r="I146" s="1577" t="s">
        <v>1666</v>
      </c>
      <c r="J146" s="1578" t="s">
        <v>1803</v>
      </c>
      <c r="K146" s="1579" t="s">
        <v>1940</v>
      </c>
    </row>
    <row r="147" spans="3:11" ht="16" x14ac:dyDescent="0.2">
      <c r="C147" s="1554">
        <v>144</v>
      </c>
      <c r="D147" s="1573" t="s">
        <v>1306</v>
      </c>
      <c r="E147" s="1574" t="s">
        <v>2765</v>
      </c>
      <c r="F147" s="1606" t="s">
        <v>1304</v>
      </c>
      <c r="G147" s="1575" t="s">
        <v>1305</v>
      </c>
      <c r="H147" s="1576" t="s">
        <v>2036</v>
      </c>
      <c r="I147" s="1577" t="s">
        <v>1667</v>
      </c>
      <c r="J147" s="1578" t="s">
        <v>1804</v>
      </c>
      <c r="K147" s="1579" t="s">
        <v>1941</v>
      </c>
    </row>
    <row r="148" spans="3:11" ht="16" x14ac:dyDescent="0.2">
      <c r="C148" s="1554">
        <v>145</v>
      </c>
      <c r="D148" s="1573" t="s">
        <v>1299</v>
      </c>
      <c r="E148" s="1574" t="s">
        <v>1300</v>
      </c>
      <c r="F148" s="1606" t="s">
        <v>1301</v>
      </c>
      <c r="G148" s="1575" t="s">
        <v>1302</v>
      </c>
      <c r="H148" s="1580" t="s">
        <v>1532</v>
      </c>
      <c r="I148" s="1577" t="s">
        <v>1668</v>
      </c>
      <c r="J148" s="1578" t="s">
        <v>1805</v>
      </c>
      <c r="K148" s="1579" t="s">
        <v>1942</v>
      </c>
    </row>
    <row r="149" spans="3:11" ht="16" x14ac:dyDescent="0.2">
      <c r="C149" s="1554">
        <v>146</v>
      </c>
      <c r="D149" s="1573" t="s">
        <v>1278</v>
      </c>
      <c r="E149" s="1574" t="s">
        <v>1308</v>
      </c>
      <c r="F149" s="1606" t="s">
        <v>1309</v>
      </c>
      <c r="G149" s="1575" t="s">
        <v>1310</v>
      </c>
      <c r="H149" s="1580" t="s">
        <v>1533</v>
      </c>
      <c r="I149" s="1577" t="s">
        <v>1669</v>
      </c>
      <c r="J149" s="1578" t="s">
        <v>1806</v>
      </c>
      <c r="K149" s="1579" t="s">
        <v>1943</v>
      </c>
    </row>
    <row r="150" spans="3:11" ht="16" x14ac:dyDescent="0.2">
      <c r="C150" s="1554">
        <v>147</v>
      </c>
      <c r="D150" s="1573" t="s">
        <v>1283</v>
      </c>
      <c r="E150" s="1574" t="s">
        <v>1307</v>
      </c>
      <c r="F150" s="1606" t="s">
        <v>1311</v>
      </c>
      <c r="G150" s="1575" t="s">
        <v>1315</v>
      </c>
      <c r="H150" s="1580" t="s">
        <v>1534</v>
      </c>
      <c r="I150" s="1577" t="s">
        <v>1670</v>
      </c>
      <c r="J150" s="1578" t="s">
        <v>1807</v>
      </c>
      <c r="K150" s="1579" t="s">
        <v>1944</v>
      </c>
    </row>
    <row r="151" spans="3:11" ht="16" x14ac:dyDescent="0.2">
      <c r="C151" s="1554">
        <v>148</v>
      </c>
      <c r="D151" s="1573" t="s">
        <v>1279</v>
      </c>
      <c r="E151" s="1574" t="s">
        <v>1312</v>
      </c>
      <c r="F151" s="1606" t="s">
        <v>1313</v>
      </c>
      <c r="G151" s="1575" t="s">
        <v>1314</v>
      </c>
      <c r="H151" s="1580" t="s">
        <v>1535</v>
      </c>
      <c r="I151" s="1577" t="s">
        <v>1671</v>
      </c>
      <c r="J151" s="1578" t="s">
        <v>1808</v>
      </c>
      <c r="K151" s="1579" t="s">
        <v>1945</v>
      </c>
    </row>
    <row r="152" spans="3:11" ht="16" x14ac:dyDescent="0.2">
      <c r="C152" s="1554">
        <v>149</v>
      </c>
      <c r="D152" s="1573" t="s">
        <v>1271</v>
      </c>
      <c r="E152" s="1574" t="s">
        <v>1319</v>
      </c>
      <c r="F152" s="1606" t="s">
        <v>1320</v>
      </c>
      <c r="G152" s="1575" t="s">
        <v>1321</v>
      </c>
      <c r="H152" s="1580" t="s">
        <v>1536</v>
      </c>
      <c r="I152" s="1577" t="s">
        <v>1672</v>
      </c>
      <c r="J152" s="1578" t="s">
        <v>1809</v>
      </c>
      <c r="K152" s="1579" t="s">
        <v>1946</v>
      </c>
    </row>
    <row r="153" spans="3:11" ht="16" x14ac:dyDescent="0.2">
      <c r="C153" s="1554">
        <v>150</v>
      </c>
      <c r="D153" s="1573" t="s">
        <v>1287</v>
      </c>
      <c r="E153" s="1574" t="s">
        <v>1322</v>
      </c>
      <c r="F153" s="1606" t="s">
        <v>1323</v>
      </c>
      <c r="G153" s="1575" t="s">
        <v>1324</v>
      </c>
      <c r="H153" s="1580" t="s">
        <v>1537</v>
      </c>
      <c r="I153" s="1577" t="s">
        <v>1673</v>
      </c>
      <c r="J153" s="1578" t="s">
        <v>1810</v>
      </c>
      <c r="K153" s="1579" t="s">
        <v>1947</v>
      </c>
    </row>
    <row r="154" spans="3:11" ht="16" x14ac:dyDescent="0.2">
      <c r="C154" s="1554">
        <v>151</v>
      </c>
      <c r="D154" s="1573" t="s">
        <v>1325</v>
      </c>
      <c r="E154" s="1574" t="s">
        <v>1326</v>
      </c>
      <c r="F154" s="1606" t="s">
        <v>1327</v>
      </c>
      <c r="G154" s="1575" t="s">
        <v>1328</v>
      </c>
      <c r="H154" s="1580" t="s">
        <v>1538</v>
      </c>
      <c r="I154" s="1577" t="s">
        <v>1674</v>
      </c>
      <c r="J154" s="1578" t="s">
        <v>1811</v>
      </c>
      <c r="K154" s="1579" t="s">
        <v>1948</v>
      </c>
    </row>
    <row r="155" spans="3:11" ht="16" x14ac:dyDescent="0.2">
      <c r="C155" s="1554">
        <v>152</v>
      </c>
      <c r="D155" s="1573" t="s">
        <v>1273</v>
      </c>
      <c r="E155" s="1574" t="s">
        <v>1329</v>
      </c>
      <c r="F155" s="1606" t="s">
        <v>1330</v>
      </c>
      <c r="G155" s="1575" t="s">
        <v>1331</v>
      </c>
      <c r="H155" s="1580" t="s">
        <v>1539</v>
      </c>
      <c r="I155" s="1577" t="s">
        <v>1675</v>
      </c>
      <c r="J155" s="1578" t="s">
        <v>1812</v>
      </c>
      <c r="K155" s="1579" t="s">
        <v>1949</v>
      </c>
    </row>
    <row r="156" spans="3:11" ht="16" x14ac:dyDescent="0.2">
      <c r="C156" s="1554">
        <v>153</v>
      </c>
      <c r="D156" s="1573" t="s">
        <v>224</v>
      </c>
      <c r="E156" s="1574" t="s">
        <v>2648</v>
      </c>
      <c r="F156" s="508" t="s">
        <v>2649</v>
      </c>
      <c r="G156" s="1575" t="s">
        <v>2649</v>
      </c>
      <c r="H156" s="1609" t="s">
        <v>2649</v>
      </c>
      <c r="I156" s="1610" t="s">
        <v>2649</v>
      </c>
      <c r="J156" s="1611" t="s">
        <v>2649</v>
      </c>
      <c r="K156" s="1612" t="s">
        <v>2649</v>
      </c>
    </row>
    <row r="157" spans="3:11" x14ac:dyDescent="0.2">
      <c r="C157" s="1554">
        <v>154</v>
      </c>
      <c r="D157" s="1573"/>
      <c r="E157" s="1574" t="s">
        <v>2766</v>
      </c>
      <c r="F157" s="508" t="s">
        <v>2767</v>
      </c>
      <c r="G157" s="1575" t="s">
        <v>2768</v>
      </c>
      <c r="H157" s="1609" t="str">
        <f>$E157</f>
        <v>Humidity ratio (insert indoor and outdoor air conditions):</v>
      </c>
      <c r="I157" s="1610" t="str">
        <f t="shared" ref="I157:K157" si="0">$E157</f>
        <v>Humidity ratio (insert indoor and outdoor air conditions):</v>
      </c>
      <c r="J157" s="1611" t="str">
        <f t="shared" si="0"/>
        <v>Humidity ratio (insert indoor and outdoor air conditions):</v>
      </c>
      <c r="K157" s="1612" t="str">
        <f t="shared" si="0"/>
        <v>Humidity ratio (insert indoor and outdoor air conditions):</v>
      </c>
    </row>
    <row r="158" spans="3:11" x14ac:dyDescent="0.2">
      <c r="C158" s="1554">
        <v>155</v>
      </c>
      <c r="D158" s="1573"/>
      <c r="E158" s="1574" t="s">
        <v>2738</v>
      </c>
      <c r="F158" s="508" t="s">
        <v>2769</v>
      </c>
      <c r="G158" s="1575" t="s">
        <v>2738</v>
      </c>
      <c r="H158" s="1609" t="str">
        <f t="shared" ref="H158:K174" si="1">$E158</f>
        <v>Winter</v>
      </c>
      <c r="I158" s="1610" t="str">
        <f t="shared" si="1"/>
        <v>Winter</v>
      </c>
      <c r="J158" s="1611" t="str">
        <f t="shared" si="1"/>
        <v>Winter</v>
      </c>
      <c r="K158" s="1612" t="str">
        <f t="shared" si="1"/>
        <v>Winter</v>
      </c>
    </row>
    <row r="159" spans="3:11" x14ac:dyDescent="0.2">
      <c r="C159" s="1554">
        <v>156</v>
      </c>
      <c r="D159" s="1573"/>
      <c r="E159" s="1574" t="s">
        <v>2770</v>
      </c>
      <c r="F159" s="508" t="s">
        <v>2771</v>
      </c>
      <c r="G159" s="1575" t="s">
        <v>2772</v>
      </c>
      <c r="H159" s="1609" t="str">
        <f t="shared" si="1"/>
        <v>Extract air temperature:</v>
      </c>
      <c r="I159" s="1610" t="str">
        <f t="shared" si="1"/>
        <v>Extract air temperature:</v>
      </c>
      <c r="J159" s="1611" t="str">
        <f t="shared" si="1"/>
        <v>Extract air temperature:</v>
      </c>
      <c r="K159" s="1612" t="str">
        <f t="shared" si="1"/>
        <v>Extract air temperature:</v>
      </c>
    </row>
    <row r="160" spans="3:11" x14ac:dyDescent="0.2">
      <c r="C160" s="1554">
        <v>157</v>
      </c>
      <c r="D160" s="1573"/>
      <c r="E160" s="1574" t="s">
        <v>2773</v>
      </c>
      <c r="F160" s="508" t="s">
        <v>2774</v>
      </c>
      <c r="G160" s="1575" t="s">
        <v>2775</v>
      </c>
      <c r="H160" s="1609" t="str">
        <f t="shared" si="1"/>
        <v>Extract air relative humidity:</v>
      </c>
      <c r="I160" s="1610" t="str">
        <f t="shared" si="1"/>
        <v>Extract air relative humidity:</v>
      </c>
      <c r="J160" s="1611" t="str">
        <f t="shared" si="1"/>
        <v>Extract air relative humidity:</v>
      </c>
      <c r="K160" s="1612" t="str">
        <f t="shared" si="1"/>
        <v>Extract air relative humidity:</v>
      </c>
    </row>
    <row r="161" spans="3:11" x14ac:dyDescent="0.2">
      <c r="C161" s="1554">
        <v>158</v>
      </c>
      <c r="D161" s="1573"/>
      <c r="E161" s="1574" t="s">
        <v>2776</v>
      </c>
      <c r="F161" s="508" t="s">
        <v>2777</v>
      </c>
      <c r="G161" s="1575" t="s">
        <v>2778</v>
      </c>
      <c r="H161" s="1609" t="str">
        <f t="shared" si="1"/>
        <v>Outdoor air temperature:</v>
      </c>
      <c r="I161" s="1610" t="str">
        <f t="shared" si="1"/>
        <v>Outdoor air temperature:</v>
      </c>
      <c r="J161" s="1611" t="str">
        <f t="shared" si="1"/>
        <v>Outdoor air temperature:</v>
      </c>
      <c r="K161" s="1612" t="str">
        <f t="shared" si="1"/>
        <v>Outdoor air temperature:</v>
      </c>
    </row>
    <row r="162" spans="3:11" x14ac:dyDescent="0.2">
      <c r="C162" s="1554">
        <v>159</v>
      </c>
      <c r="D162" s="1573"/>
      <c r="E162" s="1574" t="s">
        <v>2779</v>
      </c>
      <c r="F162" s="508" t="s">
        <v>2780</v>
      </c>
      <c r="G162" s="1575" t="s">
        <v>2781</v>
      </c>
      <c r="H162" s="1609" t="str">
        <f t="shared" si="1"/>
        <v>Outdoor air relative humidity:</v>
      </c>
      <c r="I162" s="1610" t="str">
        <f t="shared" si="1"/>
        <v>Outdoor air relative humidity:</v>
      </c>
      <c r="J162" s="1611" t="str">
        <f t="shared" si="1"/>
        <v>Outdoor air relative humidity:</v>
      </c>
      <c r="K162" s="1612" t="str">
        <f t="shared" si="1"/>
        <v>Outdoor air relative humidity:</v>
      </c>
    </row>
    <row r="163" spans="3:11" x14ac:dyDescent="0.2">
      <c r="C163" s="1554">
        <v>160</v>
      </c>
      <c r="D163" s="1573"/>
      <c r="E163" s="1574" t="s">
        <v>2782</v>
      </c>
      <c r="F163" s="1606" t="s">
        <v>2783</v>
      </c>
      <c r="G163" s="1575" t="s">
        <v>2784</v>
      </c>
      <c r="H163" s="1609" t="str">
        <f t="shared" si="1"/>
        <v>Heat recovery unit humidity ratio (EN 308):</v>
      </c>
      <c r="I163" s="1610" t="str">
        <f t="shared" si="1"/>
        <v>Heat recovery unit humidity ratio (EN 308):</v>
      </c>
      <c r="J163" s="1611" t="str">
        <f t="shared" si="1"/>
        <v>Heat recovery unit humidity ratio (EN 308):</v>
      </c>
      <c r="K163" s="1612" t="str">
        <f t="shared" si="1"/>
        <v>Heat recovery unit humidity ratio (EN 308):</v>
      </c>
    </row>
    <row r="164" spans="3:11" x14ac:dyDescent="0.2">
      <c r="C164" s="1554">
        <v>161</v>
      </c>
      <c r="D164" s="1573"/>
      <c r="E164" s="1574" t="s">
        <v>2739</v>
      </c>
      <c r="F164" s="508" t="s">
        <v>2785</v>
      </c>
      <c r="G164" s="1575" t="s">
        <v>2786</v>
      </c>
      <c r="H164" s="1609" t="str">
        <f t="shared" si="1"/>
        <v>Summer</v>
      </c>
      <c r="I164" s="1610" t="str">
        <f t="shared" si="1"/>
        <v>Summer</v>
      </c>
      <c r="J164" s="1611" t="str">
        <f t="shared" si="1"/>
        <v>Summer</v>
      </c>
      <c r="K164" s="1612" t="str">
        <f t="shared" si="1"/>
        <v>Summer</v>
      </c>
    </row>
    <row r="165" spans="3:11" x14ac:dyDescent="0.2">
      <c r="C165" s="1554">
        <v>162</v>
      </c>
      <c r="D165" s="1573"/>
      <c r="E165" s="1574" t="s">
        <v>2787</v>
      </c>
      <c r="F165" s="508" t="s">
        <v>2788</v>
      </c>
      <c r="G165" s="1575" t="s">
        <v>2789</v>
      </c>
      <c r="H165" s="1609" t="str">
        <f t="shared" si="1"/>
        <v>Annual energy demand, recovered heating energy and electricity consumption:</v>
      </c>
      <c r="I165" s="1610" t="str">
        <f t="shared" si="1"/>
        <v>Annual energy demand, recovered heating energy and electricity consumption:</v>
      </c>
      <c r="J165" s="1611" t="str">
        <f t="shared" si="1"/>
        <v>Annual energy demand, recovered heating energy and electricity consumption:</v>
      </c>
      <c r="K165" s="1612" t="str">
        <f t="shared" si="1"/>
        <v>Annual energy demand, recovered heating energy and electricity consumption:</v>
      </c>
    </row>
    <row r="166" spans="3:11" x14ac:dyDescent="0.2">
      <c r="C166" s="1554">
        <v>163</v>
      </c>
      <c r="D166" s="1573"/>
      <c r="E166" s="1574" t="s">
        <v>2790</v>
      </c>
      <c r="F166" s="508" t="s">
        <v>2791</v>
      </c>
      <c r="G166" s="1575" t="s">
        <v>2792</v>
      </c>
      <c r="H166" s="1609" t="str">
        <f t="shared" si="1"/>
        <v xml:space="preserve">* Calculations based on EN 308 heat recovery unit thermal effiency </v>
      </c>
      <c r="I166" s="1610" t="str">
        <f t="shared" si="1"/>
        <v xml:space="preserve">* Calculations based on EN 308 heat recovery unit thermal effiency </v>
      </c>
      <c r="J166" s="1611" t="str">
        <f t="shared" si="1"/>
        <v xml:space="preserve">* Calculations based on EN 308 heat recovery unit thermal effiency </v>
      </c>
      <c r="K166" s="1612" t="str">
        <f t="shared" si="1"/>
        <v xml:space="preserve">* Calculations based on EN 308 heat recovery unit thermal effiency </v>
      </c>
    </row>
    <row r="167" spans="3:11" x14ac:dyDescent="0.2">
      <c r="C167" s="1554">
        <v>164</v>
      </c>
      <c r="D167" s="1573"/>
      <c r="E167" s="1574"/>
      <c r="F167" s="508"/>
      <c r="G167" s="1575"/>
      <c r="H167" s="1609">
        <f t="shared" si="1"/>
        <v>0</v>
      </c>
      <c r="I167" s="1610">
        <f t="shared" si="1"/>
        <v>0</v>
      </c>
      <c r="J167" s="1611">
        <f t="shared" si="1"/>
        <v>0</v>
      </c>
      <c r="K167" s="1612">
        <f t="shared" si="1"/>
        <v>0</v>
      </c>
    </row>
    <row r="168" spans="3:11" x14ac:dyDescent="0.2">
      <c r="C168" s="1554">
        <v>165</v>
      </c>
      <c r="D168" s="1573"/>
      <c r="E168" s="1574"/>
      <c r="F168" s="508"/>
      <c r="G168" s="1575"/>
      <c r="H168" s="1609">
        <f t="shared" si="1"/>
        <v>0</v>
      </c>
      <c r="I168" s="1610">
        <f t="shared" si="1"/>
        <v>0</v>
      </c>
      <c r="J168" s="1611">
        <f t="shared" si="1"/>
        <v>0</v>
      </c>
      <c r="K168" s="1612">
        <f t="shared" si="1"/>
        <v>0</v>
      </c>
    </row>
    <row r="169" spans="3:11" x14ac:dyDescent="0.2">
      <c r="C169" s="1554">
        <v>166</v>
      </c>
      <c r="D169" s="1573"/>
      <c r="E169" s="1574"/>
      <c r="F169" s="508"/>
      <c r="G169" s="1575"/>
      <c r="H169" s="1609">
        <f t="shared" si="1"/>
        <v>0</v>
      </c>
      <c r="I169" s="1610">
        <f t="shared" si="1"/>
        <v>0</v>
      </c>
      <c r="J169" s="1611">
        <f t="shared" si="1"/>
        <v>0</v>
      </c>
      <c r="K169" s="1612">
        <f t="shared" si="1"/>
        <v>0</v>
      </c>
    </row>
    <row r="170" spans="3:11" x14ac:dyDescent="0.2">
      <c r="C170" s="1554">
        <v>167</v>
      </c>
      <c r="D170" s="1573"/>
      <c r="E170" s="1574"/>
      <c r="F170" s="508"/>
      <c r="G170" s="1575"/>
      <c r="H170" s="1609">
        <f t="shared" si="1"/>
        <v>0</v>
      </c>
      <c r="I170" s="1610">
        <f t="shared" si="1"/>
        <v>0</v>
      </c>
      <c r="J170" s="1611">
        <f t="shared" si="1"/>
        <v>0</v>
      </c>
      <c r="K170" s="1612">
        <f t="shared" si="1"/>
        <v>0</v>
      </c>
    </row>
    <row r="171" spans="3:11" x14ac:dyDescent="0.2">
      <c r="C171" s="1554">
        <v>168</v>
      </c>
      <c r="D171" s="1573"/>
      <c r="E171" s="1574"/>
      <c r="F171" s="508"/>
      <c r="G171" s="1575"/>
      <c r="H171" s="1609">
        <f t="shared" si="1"/>
        <v>0</v>
      </c>
      <c r="I171" s="1610">
        <f t="shared" si="1"/>
        <v>0</v>
      </c>
      <c r="J171" s="1611">
        <f t="shared" si="1"/>
        <v>0</v>
      </c>
      <c r="K171" s="1612">
        <f t="shared" si="1"/>
        <v>0</v>
      </c>
    </row>
    <row r="172" spans="3:11" x14ac:dyDescent="0.2">
      <c r="C172" s="1554">
        <v>169</v>
      </c>
      <c r="D172" s="1573"/>
      <c r="E172" s="1574"/>
      <c r="F172" s="508"/>
      <c r="G172" s="1575"/>
      <c r="H172" s="1609">
        <f t="shared" si="1"/>
        <v>0</v>
      </c>
      <c r="I172" s="1610">
        <f t="shared" si="1"/>
        <v>0</v>
      </c>
      <c r="J172" s="1611">
        <f t="shared" si="1"/>
        <v>0</v>
      </c>
      <c r="K172" s="1612">
        <f t="shared" si="1"/>
        <v>0</v>
      </c>
    </row>
    <row r="173" spans="3:11" x14ac:dyDescent="0.2">
      <c r="C173" s="1554">
        <v>170</v>
      </c>
      <c r="D173" s="1573"/>
      <c r="E173" s="1574"/>
      <c r="F173" s="508"/>
      <c r="G173" s="1575"/>
      <c r="H173" s="1609">
        <f t="shared" si="1"/>
        <v>0</v>
      </c>
      <c r="I173" s="1610">
        <f t="shared" si="1"/>
        <v>0</v>
      </c>
      <c r="J173" s="1611">
        <f t="shared" si="1"/>
        <v>0</v>
      </c>
      <c r="K173" s="1612">
        <f t="shared" si="1"/>
        <v>0</v>
      </c>
    </row>
    <row r="174" spans="3:11" x14ac:dyDescent="0.2">
      <c r="C174" s="1554">
        <v>171</v>
      </c>
      <c r="D174" s="1573"/>
      <c r="E174" s="1574"/>
      <c r="F174" s="508"/>
      <c r="G174" s="1575"/>
      <c r="H174" s="1609">
        <f t="shared" si="1"/>
        <v>0</v>
      </c>
      <c r="I174" s="1610">
        <f t="shared" si="1"/>
        <v>0</v>
      </c>
      <c r="J174" s="1611">
        <f t="shared" si="1"/>
        <v>0</v>
      </c>
      <c r="K174" s="1612">
        <f t="shared" si="1"/>
        <v>0</v>
      </c>
    </row>
    <row r="175" spans="3:11" x14ac:dyDescent="0.2">
      <c r="C175" s="1554">
        <v>172</v>
      </c>
      <c r="D175" s="1573"/>
      <c r="E175" s="1574"/>
      <c r="F175" s="508"/>
      <c r="G175" s="1575"/>
      <c r="H175" s="1609"/>
      <c r="I175" s="1610"/>
      <c r="J175" s="1611"/>
      <c r="K175" s="1612"/>
    </row>
    <row r="176" spans="3:11" x14ac:dyDescent="0.2">
      <c r="C176" s="1554">
        <v>173</v>
      </c>
      <c r="D176" s="1573"/>
      <c r="E176" s="1574"/>
      <c r="F176" s="508"/>
      <c r="G176" s="1575"/>
      <c r="H176" s="1609"/>
      <c r="I176" s="1610"/>
      <c r="J176" s="1611"/>
      <c r="K176" s="1612"/>
    </row>
    <row r="177" spans="3:11" x14ac:dyDescent="0.2">
      <c r="C177" s="1554">
        <v>174</v>
      </c>
      <c r="D177" s="1573"/>
      <c r="E177" s="1574"/>
      <c r="F177" s="508"/>
      <c r="G177" s="1575"/>
      <c r="H177" s="1609"/>
      <c r="I177" s="1610"/>
      <c r="J177" s="1611"/>
      <c r="K177" s="1612"/>
    </row>
    <row r="178" spans="3:11" x14ac:dyDescent="0.2">
      <c r="C178" s="1554">
        <v>175</v>
      </c>
      <c r="D178" s="1573"/>
      <c r="E178" s="1574"/>
      <c r="F178" s="508"/>
      <c r="G178" s="1575"/>
      <c r="H178" s="1609"/>
      <c r="I178" s="1610"/>
      <c r="J178" s="1611"/>
      <c r="K178" s="1612"/>
    </row>
    <row r="179" spans="3:11" x14ac:dyDescent="0.2">
      <c r="C179" s="1554">
        <v>176</v>
      </c>
      <c r="D179" s="1573"/>
      <c r="E179" s="1574"/>
      <c r="F179" s="508"/>
      <c r="G179" s="1575"/>
      <c r="H179" s="1609"/>
      <c r="I179" s="1610"/>
      <c r="J179" s="1611"/>
      <c r="K179" s="1612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AB2C2-053F-45A3-92F0-8181BEFF3892}">
  <dimension ref="C4:T37"/>
  <sheetViews>
    <sheetView topLeftCell="A15" workbookViewId="0">
      <selection activeCell="B2" sqref="B2"/>
    </sheetView>
  </sheetViews>
  <sheetFormatPr baseColWidth="10" defaultColWidth="8.83203125" defaultRowHeight="13" x14ac:dyDescent="0.15"/>
  <cols>
    <col min="3" max="3" width="29.5" customWidth="1"/>
    <col min="6" max="6" width="10.5" bestFit="1" customWidth="1"/>
  </cols>
  <sheetData>
    <row r="4" spans="3:20" ht="14" x14ac:dyDescent="0.15">
      <c r="C4" s="83" t="s">
        <v>149</v>
      </c>
    </row>
    <row r="5" spans="3:20" x14ac:dyDescent="0.15">
      <c r="L5" s="74" t="s">
        <v>166</v>
      </c>
      <c r="M5" s="75">
        <f>(F31*F32*F29*I7*I11^(I17)*F37)-(M23*N23*F33^(-1)*F28*(F30-(F29*I11*I7*(1-F34))))+Q23</f>
        <v>-40.343640939222666</v>
      </c>
      <c r="Q5" t="s">
        <v>176</v>
      </c>
      <c r="S5" s="3">
        <f>M5</f>
        <v>-40.343640939222666</v>
      </c>
      <c r="T5" s="104" t="str">
        <f>INDEX(Q7:Q14,IF($S$5&lt;S7,1,MATCH(S5,S7:S14)+1))</f>
        <v>A</v>
      </c>
    </row>
    <row r="6" spans="3:20" x14ac:dyDescent="0.15">
      <c r="C6" s="2" t="s">
        <v>145</v>
      </c>
      <c r="D6" s="2"/>
      <c r="E6" s="2"/>
      <c r="F6" s="2" t="s">
        <v>150</v>
      </c>
      <c r="H6" t="s">
        <v>21</v>
      </c>
      <c r="I6" t="s">
        <v>150</v>
      </c>
    </row>
    <row r="7" spans="3:20" x14ac:dyDescent="0.15">
      <c r="C7" t="str" cm="1">
        <f t="array" ref="C7">INDEX(Kirjasto_ENT!D4:K125,59,Kirjasto_ENT!B4)</f>
        <v>Ducted units</v>
      </c>
      <c r="F7">
        <v>1.1000000000000001</v>
      </c>
      <c r="H7">
        <v>1</v>
      </c>
      <c r="I7">
        <f>INDEX(F7:F8,H7)</f>
        <v>1.1000000000000001</v>
      </c>
      <c r="Q7" s="10" t="s">
        <v>177</v>
      </c>
      <c r="R7" s="22"/>
      <c r="S7" s="22">
        <v>-42</v>
      </c>
      <c r="T7" s="21">
        <f>IF($AC$89&lt;S7,1,0)</f>
        <v>0</v>
      </c>
    </row>
    <row r="8" spans="3:20" x14ac:dyDescent="0.15">
      <c r="C8" t="str" cm="1">
        <f t="array" ref="C8">INDEX(Kirjasto_ENT!D4:K125,60,Kirjasto_ENT!B4)</f>
        <v>Non-ducted units</v>
      </c>
      <c r="F8">
        <v>1.21</v>
      </c>
      <c r="Q8" s="74" t="s">
        <v>4</v>
      </c>
      <c r="R8" s="128">
        <v>-42</v>
      </c>
      <c r="S8" s="128">
        <v>-34</v>
      </c>
      <c r="T8" s="75">
        <f>IF(AND($AC$89&gt;=R8,$AC$89&lt;S8),1,0)</f>
        <v>0</v>
      </c>
    </row>
    <row r="9" spans="3:20" x14ac:dyDescent="0.15">
      <c r="Q9" s="12" t="s">
        <v>5</v>
      </c>
      <c r="R9">
        <v>-34</v>
      </c>
      <c r="S9">
        <v>-26</v>
      </c>
      <c r="T9" s="24">
        <f t="shared" ref="T9:T13" si="0">IF(AND($AC$89&gt;=R9,$AC$89&lt;S9),1,0)</f>
        <v>0</v>
      </c>
    </row>
    <row r="10" spans="3:20" x14ac:dyDescent="0.15">
      <c r="C10" s="2" t="s">
        <v>146</v>
      </c>
      <c r="D10" s="2"/>
      <c r="E10" s="2"/>
      <c r="F10" s="2" t="s">
        <v>151</v>
      </c>
      <c r="H10" t="s">
        <v>21</v>
      </c>
      <c r="I10" t="s">
        <v>151</v>
      </c>
      <c r="Q10" s="74" t="s">
        <v>6</v>
      </c>
      <c r="R10" s="128">
        <v>-26</v>
      </c>
      <c r="S10" s="128">
        <v>-23</v>
      </c>
      <c r="T10" s="75">
        <f t="shared" si="0"/>
        <v>0</v>
      </c>
    </row>
    <row r="11" spans="3:20" x14ac:dyDescent="0.15">
      <c r="C11" t="str" cm="1">
        <f t="array" ref="C11">INDEX(Kirjasto_ENT!D4:K125,61,Kirjasto_ENT!B4)</f>
        <v>Manual control (no DCV)</v>
      </c>
      <c r="F11">
        <v>1</v>
      </c>
      <c r="H11">
        <v>4</v>
      </c>
      <c r="I11">
        <f>INDEX(F11:F14,H11)</f>
        <v>0.65</v>
      </c>
      <c r="Q11" s="12" t="s">
        <v>178</v>
      </c>
      <c r="R11">
        <v>-23</v>
      </c>
      <c r="S11">
        <v>-20</v>
      </c>
      <c r="T11" s="24">
        <f t="shared" si="0"/>
        <v>0</v>
      </c>
    </row>
    <row r="12" spans="3:20" x14ac:dyDescent="0.15">
      <c r="C12" t="str" cm="1">
        <f t="array" ref="C12">INDEX(Kirjasto_ENT!D4:K125,62,Kirjasto_ENT!B4)</f>
        <v>Clock control (no DCV)</v>
      </c>
      <c r="F12">
        <v>0.95</v>
      </c>
      <c r="Q12" s="74" t="s">
        <v>179</v>
      </c>
      <c r="R12" s="128">
        <v>-20</v>
      </c>
      <c r="S12" s="128">
        <v>-10</v>
      </c>
      <c r="T12" s="75">
        <f t="shared" si="0"/>
        <v>0</v>
      </c>
    </row>
    <row r="13" spans="3:20" x14ac:dyDescent="0.15">
      <c r="C13" t="str" cm="1">
        <f t="array" ref="C13">INDEX(Kirjasto_ENT!D4:K125,63,Kirjasto_ENT!B4)</f>
        <v>Central demand control</v>
      </c>
      <c r="F13">
        <v>0.85</v>
      </c>
      <c r="Q13" s="74" t="s">
        <v>180</v>
      </c>
      <c r="R13" s="128">
        <v>-10</v>
      </c>
      <c r="S13" s="128">
        <v>0</v>
      </c>
      <c r="T13" s="75">
        <f t="shared" si="0"/>
        <v>0</v>
      </c>
    </row>
    <row r="14" spans="3:20" x14ac:dyDescent="0.15">
      <c r="C14" t="str" cm="1">
        <f t="array" ref="C14">INDEX(Kirjasto_ENT!D4:K125,64,Kirjasto_ENT!B4)</f>
        <v>Local demand control</v>
      </c>
      <c r="F14">
        <v>0.65</v>
      </c>
      <c r="Q14" s="14" t="s">
        <v>181</v>
      </c>
      <c r="R14" s="25">
        <v>0</v>
      </c>
      <c r="S14" s="25"/>
      <c r="T14" s="26">
        <f>IF($AC$89&gt;R14,1,0)</f>
        <v>0</v>
      </c>
    </row>
    <row r="16" spans="3:20" x14ac:dyDescent="0.15">
      <c r="C16" s="2" t="s">
        <v>147</v>
      </c>
      <c r="F16" s="2" t="s">
        <v>152</v>
      </c>
      <c r="H16" t="s">
        <v>21</v>
      </c>
      <c r="I16" t="s">
        <v>152</v>
      </c>
    </row>
    <row r="17" spans="3:17" x14ac:dyDescent="0.15">
      <c r="C17" s="39" t="str" cm="1">
        <f t="array" ref="C17">INDEX(Kirjasto_ENT!D4:K125,65,Kirjasto_ENT!B4)</f>
        <v>On/off &amp; single speed</v>
      </c>
      <c r="F17">
        <v>1</v>
      </c>
      <c r="H17">
        <v>4</v>
      </c>
      <c r="I17">
        <f>INDEX(F17:F20,H17)</f>
        <v>2</v>
      </c>
    </row>
    <row r="18" spans="3:17" x14ac:dyDescent="0.15">
      <c r="C18" t="str" cm="1">
        <f t="array" ref="C18">INDEX(Kirjasto_ENT!D4:K125,66,Kirjasto_ENT!B4)</f>
        <v>2-speed</v>
      </c>
      <c r="F18">
        <v>1.2</v>
      </c>
    </row>
    <row r="19" spans="3:17" x14ac:dyDescent="0.15">
      <c r="C19" t="str" cm="1">
        <f t="array" ref="C19">INDEX(Kirjasto_ENT!D4:K125,67,Kirjasto_ENT!B4)</f>
        <v>Multi-speed</v>
      </c>
      <c r="F19">
        <v>1.5</v>
      </c>
    </row>
    <row r="20" spans="3:17" x14ac:dyDescent="0.15">
      <c r="C20" t="str" cm="1">
        <f t="array" ref="C20">INDEX(Kirjasto_ENT!D4:K125,68,Kirjasto_ENT!B4)</f>
        <v>Variable-speed</v>
      </c>
      <c r="F20">
        <v>2</v>
      </c>
    </row>
    <row r="22" spans="3:17" ht="17" x14ac:dyDescent="0.25">
      <c r="C22" s="2" t="s">
        <v>148</v>
      </c>
      <c r="F22" s="104" t="s">
        <v>167</v>
      </c>
      <c r="G22" s="104" t="s">
        <v>168</v>
      </c>
      <c r="H22" s="104" t="s">
        <v>169</v>
      </c>
      <c r="I22" s="104" t="s">
        <v>170</v>
      </c>
      <c r="J22" s="104" t="s">
        <v>171</v>
      </c>
      <c r="L22" s="4" t="s">
        <v>21</v>
      </c>
      <c r="M22" s="4" t="s">
        <v>156</v>
      </c>
      <c r="N22" s="4" t="s">
        <v>164</v>
      </c>
      <c r="O22" s="4" t="s">
        <v>157</v>
      </c>
      <c r="P22" s="4" t="s">
        <v>165</v>
      </c>
      <c r="Q22" s="4" t="s">
        <v>158</v>
      </c>
    </row>
    <row r="23" spans="3:17" x14ac:dyDescent="0.15">
      <c r="C23" t="str" cm="1">
        <f t="array" ref="C23">INDEX(Kirjasto_ENT!D4:K125,69,Kirjasto_ENT!B4)</f>
        <v>Cold</v>
      </c>
      <c r="F23" s="4">
        <v>6552</v>
      </c>
      <c r="G23" s="4">
        <v>14.5</v>
      </c>
      <c r="H23" s="4">
        <v>1003</v>
      </c>
      <c r="I23" s="4">
        <v>5.2</v>
      </c>
      <c r="J23" s="4">
        <v>5.82</v>
      </c>
      <c r="L23">
        <v>2</v>
      </c>
      <c r="M23">
        <f>INDEX(F23:F25,$L$23)</f>
        <v>5112</v>
      </c>
      <c r="N23">
        <f t="shared" ref="N23:Q23" si="1">INDEX(G23:G25,$L$23)</f>
        <v>9.5</v>
      </c>
      <c r="O23">
        <f t="shared" si="1"/>
        <v>168</v>
      </c>
      <c r="P23">
        <f t="shared" si="1"/>
        <v>2.4</v>
      </c>
      <c r="Q23">
        <f t="shared" si="1"/>
        <v>0.45</v>
      </c>
    </row>
    <row r="24" spans="3:17" x14ac:dyDescent="0.15">
      <c r="C24" t="str" cm="1">
        <f t="array" ref="C24">INDEX(Kirjasto_ENT!D4:K125,70,Kirjasto_ENT!B4)</f>
        <v>Average</v>
      </c>
      <c r="F24" s="4">
        <v>5112</v>
      </c>
      <c r="G24" s="4">
        <v>9.5</v>
      </c>
      <c r="H24" s="4">
        <v>168</v>
      </c>
      <c r="I24" s="4">
        <v>2.4</v>
      </c>
      <c r="J24" s="4">
        <v>0.45</v>
      </c>
    </row>
    <row r="25" spans="3:17" x14ac:dyDescent="0.15">
      <c r="C25" t="str" cm="1">
        <f t="array" ref="C25">INDEX(Kirjasto_ENT!D4:K125,71,Kirjasto_ENT!B4)</f>
        <v>Warm</v>
      </c>
      <c r="F25" s="4">
        <v>4392</v>
      </c>
      <c r="G25" s="4">
        <v>5</v>
      </c>
      <c r="H25" s="4"/>
      <c r="I25" s="4"/>
      <c r="J25" s="4"/>
    </row>
    <row r="27" spans="3:17" x14ac:dyDescent="0.15">
      <c r="C27" s="2" t="s">
        <v>153</v>
      </c>
      <c r="F27" s="2" t="s">
        <v>155</v>
      </c>
    </row>
    <row r="28" spans="3:17" ht="17" x14ac:dyDescent="0.25">
      <c r="C28" t="s">
        <v>159</v>
      </c>
      <c r="F28">
        <v>3.4400000000000001E-4</v>
      </c>
    </row>
    <row r="29" spans="3:17" ht="17" x14ac:dyDescent="0.25">
      <c r="C29" t="s">
        <v>160</v>
      </c>
      <c r="F29">
        <v>1.3</v>
      </c>
    </row>
    <row r="30" spans="3:17" ht="17" x14ac:dyDescent="0.25">
      <c r="C30" t="s">
        <v>161</v>
      </c>
      <c r="F30">
        <v>2.2000000000000002</v>
      </c>
    </row>
    <row r="31" spans="3:17" ht="17" x14ac:dyDescent="0.25">
      <c r="C31" t="s">
        <v>162</v>
      </c>
      <c r="F31">
        <v>8760</v>
      </c>
    </row>
    <row r="32" spans="3:17" x14ac:dyDescent="0.15">
      <c r="C32" t="s">
        <v>154</v>
      </c>
      <c r="F32">
        <v>2.5</v>
      </c>
    </row>
    <row r="33" spans="3:7" ht="17" x14ac:dyDescent="0.25">
      <c r="C33" t="s">
        <v>163</v>
      </c>
      <c r="F33">
        <v>0.75</v>
      </c>
    </row>
    <row r="34" spans="3:7" x14ac:dyDescent="0.15">
      <c r="C34" t="s">
        <v>172</v>
      </c>
      <c r="F34" s="1613">
        <f>Tulokset_ENT!DX36</f>
        <v>0.81405096279380917</v>
      </c>
    </row>
    <row r="36" spans="3:7" x14ac:dyDescent="0.15">
      <c r="C36" t="s">
        <v>75</v>
      </c>
      <c r="F36" s="125">
        <f>Tulokset_ENT!N38</f>
        <v>1.1864630512155652</v>
      </c>
      <c r="G36" t="s">
        <v>175</v>
      </c>
    </row>
    <row r="37" spans="3:7" x14ac:dyDescent="0.15">
      <c r="C37" s="2" t="s">
        <v>173</v>
      </c>
      <c r="F37" s="124">
        <f>F36/(60*60)</f>
        <v>3.2957306978210143E-4</v>
      </c>
      <c r="G37" t="s">
        <v>174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17B91-97AB-4CE8-95A0-B5CBF2E6CE1B}">
  <dimension ref="C4:BN113"/>
  <sheetViews>
    <sheetView topLeftCell="A36" zoomScale="85" zoomScaleNormal="85" workbookViewId="0">
      <selection activeCell="B2" sqref="B2"/>
    </sheetView>
  </sheetViews>
  <sheetFormatPr baseColWidth="10" defaultColWidth="8.83203125" defaultRowHeight="13" x14ac:dyDescent="0.15"/>
  <cols>
    <col min="3" max="3" width="12.1640625" customWidth="1"/>
    <col min="12" max="12" width="12.83203125" customWidth="1"/>
    <col min="13" max="13" width="11.6640625" customWidth="1"/>
    <col min="14" max="14" width="9" bestFit="1" customWidth="1"/>
    <col min="15" max="15" width="12.33203125" bestFit="1" customWidth="1"/>
    <col min="16" max="16" width="11.1640625" bestFit="1" customWidth="1"/>
    <col min="17" max="17" width="9.33203125" bestFit="1" customWidth="1"/>
    <col min="23" max="23" width="12.6640625" customWidth="1"/>
    <col min="24" max="24" width="12.33203125" customWidth="1"/>
  </cols>
  <sheetData>
    <row r="4" spans="3:17" x14ac:dyDescent="0.15">
      <c r="C4" s="2" t="s">
        <v>2670</v>
      </c>
    </row>
    <row r="5" spans="3:17" x14ac:dyDescent="0.15">
      <c r="C5" t="s">
        <v>2793</v>
      </c>
      <c r="G5" t="s">
        <v>2794</v>
      </c>
    </row>
    <row r="7" spans="3:17" x14ac:dyDescent="0.15">
      <c r="C7" s="2" t="s">
        <v>2795</v>
      </c>
      <c r="M7" t="s">
        <v>2796</v>
      </c>
    </row>
    <row r="8" spans="3:17" x14ac:dyDescent="0.15">
      <c r="C8" s="628" t="s">
        <v>2797</v>
      </c>
      <c r="D8" s="628" t="s">
        <v>1219</v>
      </c>
      <c r="E8" s="628" t="s">
        <v>2798</v>
      </c>
      <c r="F8" s="628" t="s">
        <v>2799</v>
      </c>
      <c r="G8" s="628" t="s">
        <v>2800</v>
      </c>
      <c r="H8" s="628" t="s">
        <v>2801</v>
      </c>
      <c r="I8" s="628" t="s">
        <v>2802</v>
      </c>
      <c r="J8" s="628" t="s">
        <v>2803</v>
      </c>
      <c r="K8" s="628" t="s">
        <v>2804</v>
      </c>
      <c r="L8" s="628" t="s">
        <v>2805</v>
      </c>
      <c r="M8" s="628" t="s">
        <v>419</v>
      </c>
    </row>
    <row r="9" spans="3:17" x14ac:dyDescent="0.15">
      <c r="C9" s="38">
        <v>270</v>
      </c>
      <c r="D9" s="1614">
        <f>C9/3.6</f>
        <v>75</v>
      </c>
      <c r="E9" s="1615">
        <v>0.77500000000000002</v>
      </c>
      <c r="F9" s="1615">
        <v>0.79</v>
      </c>
      <c r="G9" s="1615">
        <v>0.79200000000000004</v>
      </c>
      <c r="H9" s="1615">
        <v>0.78499999999999992</v>
      </c>
      <c r="I9" s="1615">
        <v>0.77692307692307705</v>
      </c>
      <c r="J9" s="1615">
        <v>0.79444444444444451</v>
      </c>
      <c r="K9" s="1615">
        <v>0.78888888888888886</v>
      </c>
      <c r="L9" s="1615">
        <v>0.79714285714285715</v>
      </c>
      <c r="M9" s="1616">
        <f>AVERAGE(E9:K9,I9,I9)</f>
        <v>0.78401139601139602</v>
      </c>
      <c r="O9" s="2">
        <f>EXP(Q9)</f>
        <v>1.1301931992656746</v>
      </c>
      <c r="P9" s="2">
        <f t="array" ref="P9:Q9">LINEST(LN(M9:M12),LN(D9:D12))</f>
        <v>-8.453833207525778E-2</v>
      </c>
      <c r="Q9">
        <v>0.12238859091154744</v>
      </c>
    </row>
    <row r="10" spans="3:17" x14ac:dyDescent="0.15">
      <c r="C10" s="344">
        <v>227</v>
      </c>
      <c r="D10" s="279">
        <f t="shared" ref="D10:D12" si="0">C10/3.6</f>
        <v>63.055555555555557</v>
      </c>
      <c r="E10" s="733">
        <v>0.79</v>
      </c>
      <c r="F10" s="733">
        <v>0.8</v>
      </c>
      <c r="G10" s="733">
        <v>0.80400000000000005</v>
      </c>
      <c r="H10" s="733">
        <v>0.79499999999999993</v>
      </c>
      <c r="I10" s="733">
        <v>0.79230769230769238</v>
      </c>
      <c r="J10" s="733">
        <v>0.80555555555555558</v>
      </c>
      <c r="K10" s="733">
        <v>0.8</v>
      </c>
      <c r="L10" s="733">
        <v>0.80571428571428572</v>
      </c>
      <c r="M10" s="1616">
        <f t="shared" ref="M10:M12" si="1">AVERAGE(E10:K10,I10,I10)</f>
        <v>0.79683095916429236</v>
      </c>
      <c r="O10" s="2"/>
      <c r="P10" s="2"/>
    </row>
    <row r="11" spans="3:17" x14ac:dyDescent="0.15">
      <c r="C11" s="344">
        <v>180</v>
      </c>
      <c r="D11" s="279">
        <f t="shared" si="0"/>
        <v>50</v>
      </c>
      <c r="E11" s="733">
        <v>0.80500000000000005</v>
      </c>
      <c r="F11" s="733">
        <v>0.81500000000000006</v>
      </c>
      <c r="G11" s="733">
        <v>0.82</v>
      </c>
      <c r="H11" s="733">
        <v>0.80999999999999994</v>
      </c>
      <c r="I11" s="733">
        <v>0.80769230769230771</v>
      </c>
      <c r="J11" s="733">
        <v>0.8222222222222223</v>
      </c>
      <c r="K11" s="733">
        <v>0.81481481481481477</v>
      </c>
      <c r="L11" s="733">
        <v>0.82285714285714284</v>
      </c>
      <c r="M11" s="1616">
        <f t="shared" si="1"/>
        <v>0.81223488445710657</v>
      </c>
    </row>
    <row r="12" spans="3:17" x14ac:dyDescent="0.15">
      <c r="C12" s="344">
        <v>144</v>
      </c>
      <c r="D12" s="279">
        <f t="shared" si="0"/>
        <v>40</v>
      </c>
      <c r="E12" s="733">
        <v>0.82</v>
      </c>
      <c r="F12" s="733">
        <v>0.83000000000000007</v>
      </c>
      <c r="G12" s="733">
        <v>0.83599999999999997</v>
      </c>
      <c r="H12" s="733">
        <v>0.82499999999999996</v>
      </c>
      <c r="I12" s="733">
        <v>0.82307692307692304</v>
      </c>
      <c r="J12" s="733">
        <v>0.83333333333333337</v>
      </c>
      <c r="K12" s="733">
        <v>0.82962962962962961</v>
      </c>
      <c r="L12" s="733">
        <v>0.83714285714285719</v>
      </c>
      <c r="M12" s="1616">
        <f t="shared" si="1"/>
        <v>0.82702152579930344</v>
      </c>
      <c r="O12">
        <v>70</v>
      </c>
      <c r="P12" t="s">
        <v>470</v>
      </c>
    </row>
    <row r="13" spans="3:17" x14ac:dyDescent="0.15">
      <c r="O13" s="1537">
        <f>O9*O12^P9</f>
        <v>0.78917111119406591</v>
      </c>
    </row>
    <row r="15" spans="3:17" x14ac:dyDescent="0.15">
      <c r="O15" s="2" t="s">
        <v>2806</v>
      </c>
    </row>
    <row r="16" spans="3:17" x14ac:dyDescent="0.15">
      <c r="O16" s="4" t="s">
        <v>1219</v>
      </c>
      <c r="P16" s="4" t="s">
        <v>2807</v>
      </c>
    </row>
    <row r="17" spans="15:19" x14ac:dyDescent="0.15">
      <c r="O17" s="1617">
        <v>15</v>
      </c>
      <c r="P17" s="1618">
        <f>S17</f>
        <v>0.85</v>
      </c>
      <c r="Q17" s="314">
        <f>P17*100</f>
        <v>85</v>
      </c>
      <c r="S17" s="1619">
        <v>0.85</v>
      </c>
    </row>
    <row r="18" spans="15:19" x14ac:dyDescent="0.15">
      <c r="O18" s="1617">
        <v>33.700000000000003</v>
      </c>
      <c r="P18" s="1618">
        <f>$O$9*O18^$P$9</f>
        <v>0.83947816751442694</v>
      </c>
      <c r="Q18" s="314">
        <f t="shared" ref="Q18:Q23" si="2">P18*100</f>
        <v>83.947816751442701</v>
      </c>
    </row>
    <row r="19" spans="15:19" x14ac:dyDescent="0.15">
      <c r="O19" s="1617">
        <v>45</v>
      </c>
      <c r="P19" s="1618">
        <f t="shared" ref="P19:P23" si="3">$O$9*O19^$P$9</f>
        <v>0.81920550336297016</v>
      </c>
      <c r="Q19" s="314">
        <f t="shared" si="2"/>
        <v>81.920550336297012</v>
      </c>
    </row>
    <row r="20" spans="15:19" x14ac:dyDescent="0.15">
      <c r="O20" s="1617">
        <v>55</v>
      </c>
      <c r="P20" s="1618">
        <f t="shared" si="3"/>
        <v>0.80542541715541782</v>
      </c>
      <c r="Q20" s="314">
        <f t="shared" si="2"/>
        <v>80.542541715541788</v>
      </c>
    </row>
    <row r="21" spans="15:19" x14ac:dyDescent="0.15">
      <c r="O21" s="1617">
        <v>68</v>
      </c>
      <c r="P21" s="1618">
        <f t="shared" si="3"/>
        <v>0.79110739230397642</v>
      </c>
      <c r="Q21" s="314">
        <f t="shared" si="2"/>
        <v>79.110739230397641</v>
      </c>
    </row>
    <row r="22" spans="15:19" x14ac:dyDescent="0.15">
      <c r="O22" s="1617">
        <v>82</v>
      </c>
      <c r="P22" s="1618">
        <f t="shared" si="3"/>
        <v>0.77868544796409211</v>
      </c>
      <c r="Q22" s="314">
        <f t="shared" si="2"/>
        <v>77.868544796409211</v>
      </c>
    </row>
    <row r="23" spans="15:19" x14ac:dyDescent="0.15">
      <c r="O23" s="1617">
        <v>100</v>
      </c>
      <c r="P23" s="1618">
        <f t="shared" si="3"/>
        <v>0.76573064035004634</v>
      </c>
      <c r="Q23" s="314">
        <f t="shared" si="2"/>
        <v>76.573064035004634</v>
      </c>
    </row>
    <row r="24" spans="15:19" x14ac:dyDescent="0.15">
      <c r="O24" s="4"/>
    </row>
    <row r="25" spans="15:19" x14ac:dyDescent="0.15">
      <c r="O25" t="s">
        <v>2808</v>
      </c>
    </row>
    <row r="26" spans="15:19" x14ac:dyDescent="0.15">
      <c r="O26" t="s">
        <v>2809</v>
      </c>
    </row>
    <row r="27" spans="15:19" x14ac:dyDescent="0.15">
      <c r="O27" t="s">
        <v>2810</v>
      </c>
    </row>
    <row r="36" spans="3:28" x14ac:dyDescent="0.15">
      <c r="C36" s="2" t="s">
        <v>2811</v>
      </c>
    </row>
    <row r="37" spans="3:28" x14ac:dyDescent="0.15">
      <c r="C37" s="2"/>
    </row>
    <row r="38" spans="3:28" x14ac:dyDescent="0.15">
      <c r="C38" s="2"/>
      <c r="T38" s="2" t="s">
        <v>2812</v>
      </c>
    </row>
    <row r="39" spans="3:28" x14ac:dyDescent="0.15">
      <c r="E39" s="628" t="s">
        <v>2798</v>
      </c>
      <c r="F39" s="628" t="s">
        <v>2799</v>
      </c>
      <c r="G39" s="628" t="s">
        <v>2800</v>
      </c>
      <c r="H39" s="628" t="s">
        <v>2801</v>
      </c>
      <c r="I39" s="628" t="s">
        <v>2802</v>
      </c>
      <c r="J39" s="628" t="s">
        <v>2803</v>
      </c>
      <c r="K39" s="628" t="s">
        <v>2804</v>
      </c>
      <c r="L39" s="628" t="s">
        <v>2813</v>
      </c>
      <c r="M39" s="628" t="s">
        <v>2231</v>
      </c>
      <c r="T39" s="628" t="s">
        <v>2814</v>
      </c>
      <c r="U39" s="628" t="s">
        <v>2815</v>
      </c>
      <c r="V39" s="628" t="s">
        <v>2816</v>
      </c>
      <c r="W39" s="628" t="s">
        <v>2817</v>
      </c>
      <c r="X39" s="628" t="s">
        <v>2231</v>
      </c>
    </row>
    <row r="40" spans="3:28" x14ac:dyDescent="0.15">
      <c r="C40" s="95" t="s">
        <v>2818</v>
      </c>
      <c r="D40" s="75"/>
      <c r="E40" s="1620">
        <v>25</v>
      </c>
      <c r="F40" s="1620">
        <v>25</v>
      </c>
      <c r="G40" s="1620">
        <v>22</v>
      </c>
      <c r="H40" s="1620">
        <v>22</v>
      </c>
      <c r="I40" s="1620">
        <v>20</v>
      </c>
      <c r="J40" s="1620">
        <v>20</v>
      </c>
      <c r="K40" s="1620">
        <v>20</v>
      </c>
      <c r="L40" s="1620">
        <v>25</v>
      </c>
      <c r="M40" s="1621">
        <f>'R-series ENT'!T39</f>
        <v>20</v>
      </c>
      <c r="T40" s="1620">
        <v>25</v>
      </c>
      <c r="U40" s="1620">
        <v>25</v>
      </c>
      <c r="V40" s="1620">
        <v>25</v>
      </c>
      <c r="W40" s="1620">
        <v>25</v>
      </c>
      <c r="X40" s="1621">
        <f>'R-series ENT'!T47</f>
        <v>25</v>
      </c>
    </row>
    <row r="41" spans="3:28" x14ac:dyDescent="0.15">
      <c r="C41" s="95" t="s">
        <v>2819</v>
      </c>
      <c r="D41" s="75"/>
      <c r="E41" s="1620">
        <v>26.9</v>
      </c>
      <c r="F41" s="1620">
        <v>50</v>
      </c>
      <c r="G41" s="1620">
        <v>46.5</v>
      </c>
      <c r="H41" s="1620">
        <v>43.8</v>
      </c>
      <c r="I41" s="1620">
        <v>36.799999999999997</v>
      </c>
      <c r="J41" s="1620">
        <v>58.4</v>
      </c>
      <c r="K41" s="1620">
        <v>36.799999999999997</v>
      </c>
      <c r="L41" s="1620">
        <v>55</v>
      </c>
      <c r="M41" s="1621">
        <f>'R-series ENT'!T40</f>
        <v>35</v>
      </c>
      <c r="T41" s="1620">
        <v>50</v>
      </c>
      <c r="U41" s="1620">
        <v>50</v>
      </c>
      <c r="V41" s="1620">
        <v>50</v>
      </c>
      <c r="W41" s="1620">
        <v>50</v>
      </c>
      <c r="X41" s="1621">
        <f>'R-series ENT'!T48</f>
        <v>50</v>
      </c>
    </row>
    <row r="42" spans="3:28" x14ac:dyDescent="0.15">
      <c r="C42" s="95" t="s">
        <v>2820</v>
      </c>
      <c r="D42" s="75"/>
      <c r="E42" s="1622">
        <v>5.28</v>
      </c>
      <c r="F42" s="1622">
        <v>9.8800000000000008</v>
      </c>
      <c r="G42" s="1622">
        <v>7.64</v>
      </c>
      <c r="H42" s="1622">
        <v>7.19</v>
      </c>
      <c r="I42" s="1622">
        <v>5.33</v>
      </c>
      <c r="J42" s="1622">
        <v>8.5</v>
      </c>
      <c r="K42" s="1622">
        <v>5.33</v>
      </c>
      <c r="L42" s="1622">
        <v>10.9</v>
      </c>
      <c r="M42" s="627">
        <f>F54</f>
        <v>5.0522031878521858</v>
      </c>
      <c r="T42" s="1622">
        <v>9.8800000000000008</v>
      </c>
      <c r="U42" s="1622">
        <v>9.8800000000000008</v>
      </c>
      <c r="V42" s="1622">
        <v>9.8800000000000008</v>
      </c>
      <c r="W42" s="1622">
        <v>9.8800000000000008</v>
      </c>
      <c r="X42" s="627">
        <f>V54</f>
        <v>9.8525879076250362</v>
      </c>
    </row>
    <row r="43" spans="3:28" x14ac:dyDescent="0.15">
      <c r="C43" s="95" t="s">
        <v>2821</v>
      </c>
      <c r="D43" s="75"/>
      <c r="E43" s="1620">
        <v>5</v>
      </c>
      <c r="F43" s="1620">
        <v>5</v>
      </c>
      <c r="G43" s="1620">
        <v>-3</v>
      </c>
      <c r="H43" s="1620">
        <v>2</v>
      </c>
      <c r="I43" s="1620">
        <v>7</v>
      </c>
      <c r="J43" s="1620">
        <v>2</v>
      </c>
      <c r="K43" s="1620">
        <v>-7</v>
      </c>
      <c r="L43" s="1620">
        <v>2</v>
      </c>
      <c r="M43" s="1621">
        <f>'R-series ENT'!T41</f>
        <v>7</v>
      </c>
      <c r="T43" s="1620">
        <v>35</v>
      </c>
      <c r="U43" s="1620">
        <v>35</v>
      </c>
      <c r="V43" s="1620">
        <v>35</v>
      </c>
      <c r="W43" s="1620">
        <v>46</v>
      </c>
      <c r="X43" s="1621">
        <f>'R-series ENT'!T49</f>
        <v>35</v>
      </c>
    </row>
    <row r="44" spans="3:28" x14ac:dyDescent="0.15">
      <c r="C44" s="95" t="s">
        <v>2822</v>
      </c>
      <c r="D44" s="75"/>
      <c r="E44" s="1620">
        <v>70</v>
      </c>
      <c r="F44" s="1620">
        <v>71.5</v>
      </c>
      <c r="G44" s="1620">
        <v>93.7</v>
      </c>
      <c r="H44" s="1620">
        <v>80.400000000000006</v>
      </c>
      <c r="I44" s="1620">
        <v>65</v>
      </c>
      <c r="J44" s="1620">
        <v>83.6</v>
      </c>
      <c r="K44" s="1620">
        <v>74.3</v>
      </c>
      <c r="L44" s="1620">
        <v>50</v>
      </c>
      <c r="M44" s="1621">
        <f>'R-series ENT'!T42</f>
        <v>55</v>
      </c>
      <c r="T44" s="1620">
        <v>39.6</v>
      </c>
      <c r="U44" s="1620">
        <v>48.7</v>
      </c>
      <c r="V44" s="1620">
        <v>58.6</v>
      </c>
      <c r="W44" s="1620">
        <v>28.1</v>
      </c>
      <c r="X44" s="1621">
        <f>'R-series ENT'!T50</f>
        <v>45</v>
      </c>
    </row>
    <row r="45" spans="3:28" ht="14" thickBot="1" x14ac:dyDescent="0.2">
      <c r="C45" s="1623" t="s">
        <v>2823</v>
      </c>
      <c r="D45" s="1624"/>
      <c r="E45" s="1625">
        <v>3.77</v>
      </c>
      <c r="F45" s="1625">
        <v>3.85</v>
      </c>
      <c r="G45" s="1625">
        <v>2.83</v>
      </c>
      <c r="H45" s="1625">
        <v>3.5</v>
      </c>
      <c r="I45" s="1625">
        <v>4.0199999999999996</v>
      </c>
      <c r="J45" s="1625">
        <v>3.64</v>
      </c>
      <c r="K45" s="1625">
        <v>1.65</v>
      </c>
      <c r="L45" s="1625">
        <v>2.2000000000000002</v>
      </c>
      <c r="M45" s="1626">
        <f>F58</f>
        <v>3.3972871410816272</v>
      </c>
      <c r="T45" s="1622">
        <v>13.98</v>
      </c>
      <c r="U45" s="1622">
        <v>17.28</v>
      </c>
      <c r="V45" s="1622">
        <v>20.91</v>
      </c>
      <c r="W45" s="1622">
        <v>17.89</v>
      </c>
      <c r="X45" s="627">
        <f>V58</f>
        <v>15.900771910871322</v>
      </c>
    </row>
    <row r="46" spans="3:28" ht="14" thickTop="1" x14ac:dyDescent="0.15">
      <c r="C46" s="1627" t="s">
        <v>2797</v>
      </c>
      <c r="D46" s="1627" t="s">
        <v>1219</v>
      </c>
      <c r="E46" s="1627">
        <f>E42-E45</f>
        <v>1.5100000000000002</v>
      </c>
      <c r="F46" s="1627">
        <f t="shared" ref="F46:L46" si="4">F42-F45</f>
        <v>6.0300000000000011</v>
      </c>
      <c r="G46" s="1627">
        <f t="shared" si="4"/>
        <v>4.8099999999999996</v>
      </c>
      <c r="H46" s="1627">
        <f t="shared" si="4"/>
        <v>3.6900000000000004</v>
      </c>
      <c r="I46" s="1627">
        <f t="shared" si="4"/>
        <v>1.3100000000000005</v>
      </c>
      <c r="J46" s="1627">
        <f t="shared" si="4"/>
        <v>4.8599999999999994</v>
      </c>
      <c r="K46" s="1627">
        <f t="shared" si="4"/>
        <v>3.68</v>
      </c>
      <c r="L46" s="1627">
        <f t="shared" si="4"/>
        <v>8.6999999999999993</v>
      </c>
      <c r="M46" s="1628">
        <f>F60</f>
        <v>1.6549160467705586</v>
      </c>
      <c r="S46" s="628" t="s">
        <v>1219</v>
      </c>
      <c r="T46" s="1627">
        <v>4.0999999999999996</v>
      </c>
      <c r="U46" s="1627">
        <v>7.4</v>
      </c>
      <c r="V46" s="1627">
        <v>11.03</v>
      </c>
      <c r="W46" s="1627">
        <v>8.01</v>
      </c>
      <c r="X46" s="627">
        <f>V60</f>
        <v>6.0481840032462859</v>
      </c>
    </row>
    <row r="47" spans="3:28" x14ac:dyDescent="0.15">
      <c r="C47" s="38">
        <v>270</v>
      </c>
      <c r="D47" s="1614">
        <f>C47/3.6</f>
        <v>75</v>
      </c>
      <c r="E47" s="1615">
        <v>0.25165562913907302</v>
      </c>
      <c r="F47" s="1615">
        <v>0.50248756218905455</v>
      </c>
      <c r="G47" s="1615">
        <v>0.50727650727650719</v>
      </c>
      <c r="H47" s="1615">
        <v>0.43360433604336029</v>
      </c>
      <c r="I47" s="1615">
        <v>0.22900763358778672</v>
      </c>
      <c r="J47" s="1615">
        <v>0.48765432098765432</v>
      </c>
      <c r="K47" s="1615">
        <v>0.47554347826086957</v>
      </c>
      <c r="L47" s="1615">
        <v>0.58735632183908049</v>
      </c>
      <c r="M47" s="616">
        <f>O47*LN($M$46)+P47</f>
        <v>0.28145786049098853</v>
      </c>
      <c r="O47" s="2">
        <f t="array" ref="O47:P47">LINEST(E47:L47,LN(E46:L46))</f>
        <v>0.19190692435541171</v>
      </c>
      <c r="P47">
        <v>0.18478469351408028</v>
      </c>
      <c r="S47" s="1614">
        <f>D47</f>
        <v>75</v>
      </c>
      <c r="T47" s="1615">
        <v>0.26829268292682923</v>
      </c>
      <c r="U47" s="1615">
        <v>0.34594594594594602</v>
      </c>
      <c r="V47" s="1615">
        <v>0.39981867633726204</v>
      </c>
      <c r="W47" s="1615">
        <v>0.29088639200998756</v>
      </c>
      <c r="X47" s="616">
        <f>Z47*$X$46^2+AA47*$X$46+AB47</f>
        <v>0.29186744389441516</v>
      </c>
      <c r="Z47" s="2">
        <f t="array" ref="Z47:AB47">LINEST(T47:W47,$T$46:$W$46^{1;2})</f>
        <v>1.4883286729277497E-3</v>
      </c>
      <c r="AA47" s="2">
        <v>-4.3850513785986707E-3</v>
      </c>
      <c r="AB47">
        <v>0.26394519021722046</v>
      </c>
    </row>
    <row r="48" spans="3:28" x14ac:dyDescent="0.15">
      <c r="C48" s="344">
        <v>227</v>
      </c>
      <c r="D48" s="279">
        <f t="shared" ref="D48:D50" si="5">C48/3.6</f>
        <v>63.055555555555557</v>
      </c>
      <c r="E48" s="733">
        <v>0.27814569536423861</v>
      </c>
      <c r="F48" s="733">
        <v>0.53399668325041449</v>
      </c>
      <c r="G48" s="733">
        <v>0.53846153846153844</v>
      </c>
      <c r="H48" s="733">
        <v>0.46341463414634143</v>
      </c>
      <c r="I48" s="733">
        <v>0.25954198473282492</v>
      </c>
      <c r="J48" s="733">
        <v>0.5185185185185186</v>
      </c>
      <c r="K48" s="733">
        <v>0.50543478260869557</v>
      </c>
      <c r="L48" s="733">
        <v>0.61954022988505753</v>
      </c>
      <c r="M48" s="616">
        <f>O48*LN($M$46)+P48</f>
        <v>0.31023301430702488</v>
      </c>
      <c r="O48" s="2">
        <f t="array" ref="O48:P48">LINEST(E48:L48,LN(E46:L46))</f>
        <v>0.19383192819053419</v>
      </c>
      <c r="P48">
        <v>0.21259012610818023</v>
      </c>
      <c r="S48" s="1614">
        <f>D48</f>
        <v>63.055555555555557</v>
      </c>
      <c r="T48" s="733">
        <v>0.30000000000000016</v>
      </c>
      <c r="U48" s="733">
        <v>0.37837837837837845</v>
      </c>
      <c r="V48" s="733">
        <v>0.43245693563009974</v>
      </c>
      <c r="W48" s="733">
        <v>0.32459425717852702</v>
      </c>
      <c r="X48" s="616">
        <f t="shared" ref="X48:X50" si="6">Z48*$X$46^2+AA48*$X$46+AB48</f>
        <v>0.32452580521644875</v>
      </c>
      <c r="Z48" s="2">
        <f t="array" ref="Z48:AB48">LINEST(T48:W48,$T$46:$W$46^{1;2})</f>
        <v>1.4153628406894071E-3</v>
      </c>
      <c r="AA48" s="2">
        <v>-3.1314936194085335E-3</v>
      </c>
      <c r="AB48">
        <v>0.29169093234896371</v>
      </c>
    </row>
    <row r="49" spans="3:66" x14ac:dyDescent="0.15">
      <c r="C49" s="344">
        <v>180</v>
      </c>
      <c r="D49" s="279">
        <f t="shared" si="5"/>
        <v>50</v>
      </c>
      <c r="E49" s="733">
        <v>0.31125827814569546</v>
      </c>
      <c r="F49" s="733">
        <v>0.56882255389718073</v>
      </c>
      <c r="G49" s="733">
        <v>0.57380457380457384</v>
      </c>
      <c r="H49" s="733">
        <v>0.49864498644986438</v>
      </c>
      <c r="I49" s="733">
        <v>0.29007633587786308</v>
      </c>
      <c r="J49" s="733">
        <v>0.55144032921810704</v>
      </c>
      <c r="K49" s="733">
        <v>0.54076086956521741</v>
      </c>
      <c r="L49" s="733">
        <v>0.65402298850574714</v>
      </c>
      <c r="M49" s="616">
        <f>O49*LN($M$46)+P49</f>
        <v>0.34280658575005679</v>
      </c>
      <c r="O49" s="2">
        <f t="array" ref="O49:P49">LINEST(E49:L49,LN(E46:L46))</f>
        <v>0.19558764624053693</v>
      </c>
      <c r="P49">
        <v>0.24427925409101714</v>
      </c>
      <c r="S49" s="1614">
        <f>D49</f>
        <v>50</v>
      </c>
      <c r="T49" s="733">
        <v>0.33414634146341493</v>
      </c>
      <c r="U49" s="733">
        <v>0.42162162162162176</v>
      </c>
      <c r="V49" s="733">
        <v>0.47688123300090662</v>
      </c>
      <c r="W49" s="733">
        <v>0.37078651685393266</v>
      </c>
      <c r="X49" s="616">
        <f t="shared" si="6"/>
        <v>0.36577661393392624</v>
      </c>
      <c r="Z49" s="2">
        <f t="array" ref="Z49:AB49">LINEST(T49:W49,$T$46:$W$46^{1;2})</f>
        <v>9.7765291757274703E-4</v>
      </c>
      <c r="AA49" s="2">
        <v>5.0009644561132679E-3</v>
      </c>
      <c r="AB49">
        <v>0.2997667990858025</v>
      </c>
    </row>
    <row r="50" spans="3:66" x14ac:dyDescent="0.15">
      <c r="C50" s="344">
        <v>144</v>
      </c>
      <c r="D50" s="279">
        <f t="shared" si="5"/>
        <v>40</v>
      </c>
      <c r="E50" s="733">
        <v>0.33774834437086104</v>
      </c>
      <c r="F50" s="733">
        <v>0.59535655058043113</v>
      </c>
      <c r="G50" s="733">
        <v>0.60083160083160081</v>
      </c>
      <c r="H50" s="733">
        <v>0.52574525745257461</v>
      </c>
      <c r="I50" s="733">
        <v>0.31297709923664119</v>
      </c>
      <c r="J50" s="733">
        <v>0.57818930041152272</v>
      </c>
      <c r="K50" s="733">
        <v>0.56521739130434778</v>
      </c>
      <c r="L50" s="733">
        <v>0.68045977011494252</v>
      </c>
      <c r="M50" s="616">
        <f>O50*LN($M$46)+P50</f>
        <v>0.36773339187399817</v>
      </c>
      <c r="O50" s="2">
        <f t="array" ref="O50:P50">LINEST(E50:L50,LN(E46:L46))</f>
        <v>0.1968869756602179</v>
      </c>
      <c r="P50">
        <v>0.26855152265531218</v>
      </c>
      <c r="S50" s="1614">
        <f>D50</f>
        <v>40</v>
      </c>
      <c r="T50" s="733">
        <v>0.36097560975609772</v>
      </c>
      <c r="U50" s="733">
        <v>0.4405405405405407</v>
      </c>
      <c r="V50" s="733">
        <v>0.49410698096101535</v>
      </c>
      <c r="W50" s="733">
        <v>0.38951310861423233</v>
      </c>
      <c r="X50" s="616">
        <f t="shared" si="6"/>
        <v>0.38743531585834423</v>
      </c>
      <c r="Z50" s="2">
        <f t="array" ref="Z50:AB50">LINEST(T50:W50,$T$46:$W$46^{1;2})</f>
        <v>1.2312486031214622E-3</v>
      </c>
      <c r="AA50" s="2">
        <v>-2.1401791530916328E-4</v>
      </c>
      <c r="AB50">
        <v>0.3436900094498479</v>
      </c>
    </row>
    <row r="52" spans="3:66" x14ac:dyDescent="0.15">
      <c r="C52" t="s">
        <v>228</v>
      </c>
      <c r="F52">
        <f>M40</f>
        <v>20</v>
      </c>
      <c r="G52" t="s">
        <v>230</v>
      </c>
      <c r="O52">
        <f t="array" ref="O52:Q52">LINEST(M47:M50,D47:D50^{1,2})</f>
        <v>1.8656742296982965E-6</v>
      </c>
      <c r="P52">
        <v>-2.6828070668901576E-3</v>
      </c>
      <c r="Q52">
        <v>0.4721245750326809</v>
      </c>
      <c r="S52" t="s">
        <v>228</v>
      </c>
      <c r="V52">
        <f>X40</f>
        <v>25</v>
      </c>
      <c r="W52" t="s">
        <v>230</v>
      </c>
      <c r="Z52" s="2">
        <f t="array" ref="Z52:AA52">LINEST(X47:X50,S47:S50)</f>
        <v>-2.7868146147737582E-3</v>
      </c>
      <c r="AA52" s="2">
        <v>0.50128843352642638</v>
      </c>
    </row>
    <row r="53" spans="3:66" x14ac:dyDescent="0.15">
      <c r="C53" t="s">
        <v>2824</v>
      </c>
      <c r="F53" s="227">
        <f>M41/100</f>
        <v>0.35</v>
      </c>
      <c r="G53" t="s">
        <v>2825</v>
      </c>
      <c r="S53" t="s">
        <v>2824</v>
      </c>
      <c r="V53" s="227">
        <f>X41/100</f>
        <v>0.5</v>
      </c>
      <c r="W53" t="s">
        <v>2825</v>
      </c>
    </row>
    <row r="54" spans="3:66" x14ac:dyDescent="0.15">
      <c r="C54" t="s">
        <v>2826</v>
      </c>
      <c r="F54" s="314">
        <f>1000*0.62198*(F53*(6.112*EXP((17.62*F52)/(243.12+F52))))/(1013.25-(F53*(6.112*EXP((17.62*F52)/(243.12+F52)))))</f>
        <v>5.0522031878521858</v>
      </c>
      <c r="G54" t="s">
        <v>2827</v>
      </c>
      <c r="S54" t="s">
        <v>2826</v>
      </c>
      <c r="V54" s="314">
        <f>1000*0.62198*(V53*(6.112*EXP((17.62*V52)/(243.12+V52))))/(1013.25-(V53*(6.112*EXP((17.62*V52)/(243.12+V52)))))</f>
        <v>9.8525879076250362</v>
      </c>
      <c r="W54" t="s">
        <v>2827</v>
      </c>
    </row>
    <row r="56" spans="3:66" x14ac:dyDescent="0.15">
      <c r="C56" t="s">
        <v>2828</v>
      </c>
      <c r="F56">
        <f>M43</f>
        <v>7</v>
      </c>
      <c r="G56" t="s">
        <v>230</v>
      </c>
      <c r="S56" t="s">
        <v>2828</v>
      </c>
      <c r="V56">
        <f>X43</f>
        <v>35</v>
      </c>
      <c r="W56" t="s">
        <v>230</v>
      </c>
    </row>
    <row r="57" spans="3:66" x14ac:dyDescent="0.15">
      <c r="C57" t="s">
        <v>2824</v>
      </c>
      <c r="F57" s="245">
        <f>M44/100</f>
        <v>0.55000000000000004</v>
      </c>
      <c r="G57" t="s">
        <v>2825</v>
      </c>
      <c r="S57" t="s">
        <v>2824</v>
      </c>
      <c r="V57" s="245">
        <f>X44/100</f>
        <v>0.45</v>
      </c>
      <c r="W57" t="s">
        <v>2825</v>
      </c>
      <c r="BN57" t="s">
        <v>2829</v>
      </c>
    </row>
    <row r="58" spans="3:66" x14ac:dyDescent="0.15">
      <c r="C58" t="s">
        <v>2826</v>
      </c>
      <c r="F58" s="314">
        <f>1000*0.62198*(F57*(6.112*EXP((17.62*F56)/(243.12+F56))))/(1013.25-(F57*(6.112*EXP((17.62*F56)/(243.12+F56)))))</f>
        <v>3.3972871410816272</v>
      </c>
      <c r="G58" t="s">
        <v>2827</v>
      </c>
      <c r="S58" t="s">
        <v>2826</v>
      </c>
      <c r="V58" s="314">
        <f>1000*0.62198*(V57*(6.112*EXP((17.62*V56)/(243.12+V56))))/(1013.25-(V57*(6.112*EXP((17.62*V56)/(243.12+V56)))))</f>
        <v>15.900771910871322</v>
      </c>
      <c r="W58" t="s">
        <v>2827</v>
      </c>
    </row>
    <row r="60" spans="3:66" x14ac:dyDescent="0.15">
      <c r="C60" t="s">
        <v>2830</v>
      </c>
      <c r="F60" s="314">
        <f>F54-F58</f>
        <v>1.6549160467705586</v>
      </c>
      <c r="G60" t="s">
        <v>2827</v>
      </c>
      <c r="I60" s="110">
        <f>'R-series ENT'!$E$38</f>
        <v>34.722222222222221</v>
      </c>
      <c r="J60" t="s">
        <v>311</v>
      </c>
      <c r="S60" t="s">
        <v>2830</v>
      </c>
      <c r="V60" s="314">
        <f>V58-V54</f>
        <v>6.0481840032462859</v>
      </c>
      <c r="W60" t="s">
        <v>2827</v>
      </c>
      <c r="Y60" s="110">
        <f>'R-series ENT'!$E$38</f>
        <v>34.722222222222221</v>
      </c>
      <c r="Z60" t="s">
        <v>311</v>
      </c>
    </row>
    <row r="61" spans="3:66" x14ac:dyDescent="0.15">
      <c r="C61" t="s">
        <v>485</v>
      </c>
      <c r="F61" s="110">
        <f>'R-series ENT'!E38</f>
        <v>34.722222222222221</v>
      </c>
      <c r="G61" t="s">
        <v>1219</v>
      </c>
      <c r="I61" s="110">
        <f>'R-series ENT'!$G$38</f>
        <v>34.722222222222221</v>
      </c>
      <c r="J61" t="s">
        <v>312</v>
      </c>
      <c r="S61" t="s">
        <v>485</v>
      </c>
      <c r="V61" s="110">
        <f>'R-series ENT'!E38</f>
        <v>34.722222222222221</v>
      </c>
      <c r="W61" t="s">
        <v>1219</v>
      </c>
      <c r="Y61" s="110">
        <f>'R-series ENT'!$G$38</f>
        <v>34.722222222222221</v>
      </c>
      <c r="Z61" t="s">
        <v>312</v>
      </c>
    </row>
    <row r="62" spans="3:66" ht="17" x14ac:dyDescent="0.25">
      <c r="I62">
        <f>I60/I61</f>
        <v>1</v>
      </c>
      <c r="J62" t="s">
        <v>297</v>
      </c>
      <c r="K62">
        <f>1/I62</f>
        <v>1</v>
      </c>
      <c r="Y62">
        <f>Y61/Y60</f>
        <v>1</v>
      </c>
      <c r="Z62" t="s">
        <v>297</v>
      </c>
      <c r="AA62">
        <f>1/Y62</f>
        <v>1</v>
      </c>
    </row>
    <row r="63" spans="3:66" x14ac:dyDescent="0.15">
      <c r="E63" t="s">
        <v>2831</v>
      </c>
      <c r="F63" s="1629">
        <f>O52*F61^2+P52*F61+Q52</f>
        <v>0.38122086976558717</v>
      </c>
      <c r="U63" t="s">
        <v>2831</v>
      </c>
      <c r="V63" s="1629">
        <f>Z52*V61+AA52</f>
        <v>0.40452403718011531</v>
      </c>
    </row>
    <row r="64" spans="3:66" x14ac:dyDescent="0.15">
      <c r="E64" t="s">
        <v>2832</v>
      </c>
      <c r="F64" s="1630">
        <f>F63-D113/100</f>
        <v>0.37340352992868397</v>
      </c>
      <c r="I64" s="1631">
        <f>F64*K62</f>
        <v>0.37340352992868397</v>
      </c>
      <c r="J64" t="s">
        <v>2833</v>
      </c>
      <c r="U64" t="s">
        <v>2832</v>
      </c>
      <c r="V64" s="1630">
        <f>V63-T113/100</f>
        <v>0.43402710155485347</v>
      </c>
      <c r="Y64" s="1631">
        <f>V64*AA62</f>
        <v>0.43402710155485347</v>
      </c>
      <c r="Z64" t="s">
        <v>2833</v>
      </c>
    </row>
    <row r="65" spans="8:25" x14ac:dyDescent="0.15">
      <c r="H65" t="s">
        <v>52</v>
      </c>
      <c r="I65" s="1631">
        <f>IF(I64&lt;0.05,0.05,IF(I64&gt;0.95,0.95,I64))</f>
        <v>0.37340352992868397</v>
      </c>
      <c r="X65" t="s">
        <v>52</v>
      </c>
      <c r="Y65" s="1631">
        <f>IF(Y64&lt;0.05,0.05,IF(Y64&gt;0.95,0.95,Y64))</f>
        <v>0.43402710155485347</v>
      </c>
    </row>
    <row r="89" spans="3:21" x14ac:dyDescent="0.15">
      <c r="C89" t="s">
        <v>2834</v>
      </c>
      <c r="S89" t="s">
        <v>2834</v>
      </c>
    </row>
    <row r="90" spans="3:21" x14ac:dyDescent="0.15">
      <c r="C90" t="s">
        <v>2835</v>
      </c>
      <c r="S90" t="s">
        <v>2835</v>
      </c>
    </row>
    <row r="92" spans="3:21" x14ac:dyDescent="0.15">
      <c r="C92" t="s">
        <v>2836</v>
      </c>
      <c r="S92" t="s">
        <v>2836</v>
      </c>
    </row>
    <row r="93" spans="3:21" x14ac:dyDescent="0.15">
      <c r="C93" t="s">
        <v>312</v>
      </c>
      <c r="D93" s="314">
        <f>F54</f>
        <v>5.0522031878521858</v>
      </c>
      <c r="E93" s="1632">
        <f>F52</f>
        <v>20</v>
      </c>
      <c r="S93" t="s">
        <v>312</v>
      </c>
      <c r="T93" s="314">
        <f>V54</f>
        <v>9.8525879076250362</v>
      </c>
      <c r="U93" s="1632">
        <f>V52</f>
        <v>25</v>
      </c>
    </row>
    <row r="94" spans="3:21" x14ac:dyDescent="0.15">
      <c r="C94" t="s">
        <v>544</v>
      </c>
      <c r="D94" s="314">
        <f>F58</f>
        <v>3.3972871410816272</v>
      </c>
      <c r="E94" s="1632">
        <f>F56</f>
        <v>7</v>
      </c>
      <c r="S94" t="s">
        <v>544</v>
      </c>
      <c r="T94" s="314">
        <f>V58</f>
        <v>15.900771910871322</v>
      </c>
      <c r="U94" s="1632">
        <f>V56</f>
        <v>35</v>
      </c>
    </row>
    <row r="95" spans="3:21" x14ac:dyDescent="0.15">
      <c r="C95" t="s">
        <v>2837</v>
      </c>
      <c r="D95" s="314">
        <f>AVERAGE(D93:D94)</f>
        <v>4.2247451644669063</v>
      </c>
      <c r="E95" s="1632">
        <f>AVERAGE(E93:E94)</f>
        <v>13.5</v>
      </c>
      <c r="S95" t="s">
        <v>2837</v>
      </c>
      <c r="T95" s="314">
        <f>AVERAGE(T93:T94)</f>
        <v>12.876679909248178</v>
      </c>
      <c r="U95" s="1632">
        <f>AVERAGE(U93:U94)</f>
        <v>30</v>
      </c>
    </row>
    <row r="96" spans="3:21" x14ac:dyDescent="0.15">
      <c r="C96" t="s">
        <v>2119</v>
      </c>
      <c r="D96" s="314">
        <f>D93-D94</f>
        <v>1.6549160467705586</v>
      </c>
      <c r="E96" s="1632">
        <f>E94-E93</f>
        <v>-13</v>
      </c>
      <c r="S96" t="s">
        <v>2119</v>
      </c>
      <c r="T96" s="314">
        <f>T94-T93</f>
        <v>6.0481840032462859</v>
      </c>
      <c r="U96" s="1632">
        <f>U94-U93</f>
        <v>10</v>
      </c>
    </row>
    <row r="97" spans="3:22" x14ac:dyDescent="0.15">
      <c r="C97" t="s">
        <v>1283</v>
      </c>
      <c r="D97">
        <f>IF(D96&gt;7,7,IF(D96&lt;0.5,0.5,D96))</f>
        <v>1.6549160467705586</v>
      </c>
      <c r="S97" t="s">
        <v>1283</v>
      </c>
      <c r="T97">
        <f>IF(T96&gt;6,6,IF(T96&lt;0.5,0.5,T96))</f>
        <v>6</v>
      </c>
    </row>
    <row r="99" spans="3:22" x14ac:dyDescent="0.15">
      <c r="C99" s="2" t="s">
        <v>2838</v>
      </c>
      <c r="S99" s="2" t="s">
        <v>2838</v>
      </c>
    </row>
    <row r="100" spans="3:22" x14ac:dyDescent="0.15">
      <c r="D100" t="s">
        <v>2839</v>
      </c>
      <c r="F100" t="s">
        <v>2840</v>
      </c>
      <c r="T100" t="s">
        <v>2839</v>
      </c>
      <c r="V100" t="s">
        <v>2840</v>
      </c>
    </row>
    <row r="101" spans="3:22" x14ac:dyDescent="0.15">
      <c r="C101" s="4" t="s">
        <v>2841</v>
      </c>
      <c r="D101" s="4" t="s">
        <v>4</v>
      </c>
      <c r="E101" s="4" t="s">
        <v>5</v>
      </c>
      <c r="F101" s="314">
        <f>E95</f>
        <v>13.5</v>
      </c>
      <c r="S101" s="4" t="s">
        <v>2841</v>
      </c>
      <c r="T101" s="4" t="s">
        <v>4</v>
      </c>
      <c r="U101" s="4" t="s">
        <v>5</v>
      </c>
      <c r="V101" s="314">
        <f>U95</f>
        <v>30</v>
      </c>
    </row>
    <row r="102" spans="3:22" x14ac:dyDescent="0.15">
      <c r="C102" s="1633">
        <v>6</v>
      </c>
      <c r="D102" s="32">
        <v>0.87474747474747472</v>
      </c>
      <c r="E102" s="32">
        <v>-8.2727272727272734</v>
      </c>
      <c r="F102" s="84">
        <f>D102*$F$101+E102</f>
        <v>3.5363636363636353</v>
      </c>
      <c r="S102" s="1633">
        <v>6</v>
      </c>
      <c r="T102" s="32">
        <v>1.0333333333333341</v>
      </c>
      <c r="U102" s="32">
        <v>-33.003333333333359</v>
      </c>
      <c r="V102" s="84">
        <f>T102*$V$101+U102</f>
        <v>-2.0033333333333374</v>
      </c>
    </row>
    <row r="103" spans="3:22" x14ac:dyDescent="0.15">
      <c r="C103" s="1633">
        <v>4</v>
      </c>
      <c r="D103" s="32">
        <v>0.80303030303030309</v>
      </c>
      <c r="E103" s="32">
        <v>-8.0939393939393938</v>
      </c>
      <c r="F103" s="84">
        <f t="shared" ref="F103:F106" si="7">D103*$F$101+E103</f>
        <v>2.7469696969696979</v>
      </c>
      <c r="S103" s="1633">
        <v>4</v>
      </c>
      <c r="T103" s="32">
        <v>0.93333333333333368</v>
      </c>
      <c r="U103" s="32">
        <v>-27.11333333333334</v>
      </c>
      <c r="V103" s="84">
        <f t="shared" ref="V103:V106" si="8">T103*$V$101+U103</f>
        <v>0.88666666666667027</v>
      </c>
    </row>
    <row r="104" spans="3:22" x14ac:dyDescent="0.15">
      <c r="C104" s="1633">
        <v>3</v>
      </c>
      <c r="D104" s="32">
        <v>0.72222222222222221</v>
      </c>
      <c r="E104" s="32">
        <v>-7.6666666666666679</v>
      </c>
      <c r="F104" s="84">
        <f t="shared" si="7"/>
        <v>2.0833333333333321</v>
      </c>
      <c r="S104" s="1633">
        <v>3</v>
      </c>
      <c r="T104" s="32">
        <v>0.89333333333333342</v>
      </c>
      <c r="U104" s="32">
        <v>-23.633333333333333</v>
      </c>
      <c r="V104" s="84">
        <f t="shared" si="8"/>
        <v>3.1666666666666714</v>
      </c>
    </row>
    <row r="105" spans="3:22" x14ac:dyDescent="0.15">
      <c r="C105" s="1633">
        <v>2</v>
      </c>
      <c r="D105" s="32">
        <v>0.67166392092256999</v>
      </c>
      <c r="E105" s="32">
        <v>-7.8428336079077425</v>
      </c>
      <c r="F105" s="84">
        <f t="shared" si="7"/>
        <v>1.2246293245469531</v>
      </c>
      <c r="S105" s="1633">
        <v>2</v>
      </c>
      <c r="T105" s="32">
        <v>0.81333333333333369</v>
      </c>
      <c r="U105" s="32">
        <v>-16.113333333333344</v>
      </c>
      <c r="V105" s="84">
        <f t="shared" si="8"/>
        <v>8.2866666666666653</v>
      </c>
    </row>
    <row r="106" spans="3:22" x14ac:dyDescent="0.15">
      <c r="C106" s="1633">
        <v>1</v>
      </c>
      <c r="D106" s="32">
        <v>0.56893063583815051</v>
      </c>
      <c r="E106" s="32">
        <v>-7.8375722543352619</v>
      </c>
      <c r="F106" s="84">
        <f t="shared" si="7"/>
        <v>-0.15700867052022982</v>
      </c>
      <c r="S106" s="1633">
        <v>1</v>
      </c>
      <c r="T106" s="32">
        <v>0.62337662337662347</v>
      </c>
      <c r="U106" s="32">
        <v>-1.1324675324675368</v>
      </c>
      <c r="V106" s="84">
        <f t="shared" si="8"/>
        <v>17.568831168831167</v>
      </c>
    </row>
    <row r="107" spans="3:22" x14ac:dyDescent="0.15">
      <c r="C107" s="1633"/>
      <c r="D107" s="32"/>
      <c r="E107" s="32"/>
      <c r="F107" s="84"/>
      <c r="S107" s="1633"/>
      <c r="T107" s="32"/>
      <c r="U107" s="32"/>
      <c r="V107" s="84"/>
    </row>
    <row r="108" spans="3:22" x14ac:dyDescent="0.15">
      <c r="C108" s="1633"/>
      <c r="D108" s="32"/>
      <c r="E108" s="32"/>
      <c r="F108" s="84"/>
      <c r="S108" s="1633"/>
      <c r="T108" s="32"/>
      <c r="U108" s="32"/>
      <c r="V108" s="84"/>
    </row>
    <row r="109" spans="3:22" x14ac:dyDescent="0.15">
      <c r="E109" cm="1">
        <f t="array" ref="E109:F109">LINEST(F102:F106,LN(C102:C106))</f>
        <v>2.0771897889934547</v>
      </c>
      <c r="F109">
        <v>-0.17779162367794954</v>
      </c>
      <c r="U109" cm="1">
        <f t="array" ref="U109:V109">LINEST(V102:V106,LN(S102:S106))</f>
        <v>-11.104604239505335</v>
      </c>
      <c r="V109">
        <v>16.618661534303897</v>
      </c>
    </row>
    <row r="111" spans="3:22" x14ac:dyDescent="0.15">
      <c r="C111" t="s">
        <v>82</v>
      </c>
      <c r="D111" s="3">
        <f>E109*LN(D97)+F109</f>
        <v>0.86859331521146532</v>
      </c>
      <c r="E111" t="s">
        <v>2842</v>
      </c>
      <c r="S111" t="s">
        <v>82</v>
      </c>
      <c r="T111" s="3">
        <f>U109*LN(T97)+V109</f>
        <v>-3.2781182638597919</v>
      </c>
      <c r="U111" t="s">
        <v>2842</v>
      </c>
    </row>
    <row r="112" spans="3:22" x14ac:dyDescent="0.15">
      <c r="C112" t="s">
        <v>2843</v>
      </c>
      <c r="S112" t="s">
        <v>2843</v>
      </c>
    </row>
    <row r="113" spans="3:21" x14ac:dyDescent="0.15">
      <c r="C113" s="618">
        <v>0.9</v>
      </c>
      <c r="D113" s="3">
        <f>D111*C113</f>
        <v>0.78173398369031877</v>
      </c>
      <c r="E113" t="s">
        <v>2842</v>
      </c>
      <c r="S113" s="618">
        <v>0.9</v>
      </c>
      <c r="T113" s="3">
        <f>T111*S113</f>
        <v>-2.9503064374738126</v>
      </c>
      <c r="U113" t="s">
        <v>2842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8296C-3907-4E75-8D6F-4BFCACACF816}">
  <dimension ref="C4:BN113"/>
  <sheetViews>
    <sheetView zoomScale="85" zoomScaleNormal="85" workbookViewId="0">
      <selection activeCell="B2" sqref="B2"/>
    </sheetView>
  </sheetViews>
  <sheetFormatPr baseColWidth="10" defaultColWidth="8.83203125" defaultRowHeight="13" x14ac:dyDescent="0.15"/>
  <cols>
    <col min="3" max="3" width="12.1640625" customWidth="1"/>
    <col min="12" max="12" width="12.83203125" customWidth="1"/>
    <col min="13" max="13" width="11.6640625" customWidth="1"/>
    <col min="14" max="14" width="9" bestFit="1" customWidth="1"/>
    <col min="15" max="15" width="12.33203125" bestFit="1" customWidth="1"/>
    <col min="16" max="16" width="11.1640625" bestFit="1" customWidth="1"/>
    <col min="17" max="17" width="9.33203125" bestFit="1" customWidth="1"/>
    <col min="23" max="23" width="12.6640625" customWidth="1"/>
    <col min="24" max="24" width="12.33203125" customWidth="1"/>
  </cols>
  <sheetData>
    <row r="4" spans="3:17" x14ac:dyDescent="0.15">
      <c r="C4" s="2" t="s">
        <v>115</v>
      </c>
    </row>
    <row r="5" spans="3:17" x14ac:dyDescent="0.15">
      <c r="C5" t="s">
        <v>2844</v>
      </c>
      <c r="G5" t="s">
        <v>2794</v>
      </c>
    </row>
    <row r="7" spans="3:17" x14ac:dyDescent="0.15">
      <c r="C7" s="2" t="s">
        <v>2795</v>
      </c>
    </row>
    <row r="8" spans="3:17" x14ac:dyDescent="0.15">
      <c r="C8" s="628" t="s">
        <v>2797</v>
      </c>
      <c r="D8" s="628" t="s">
        <v>1219</v>
      </c>
      <c r="E8" s="628" t="s">
        <v>2798</v>
      </c>
      <c r="F8" s="628" t="s">
        <v>2799</v>
      </c>
      <c r="G8" s="628" t="s">
        <v>2800</v>
      </c>
      <c r="H8" s="628" t="s">
        <v>2801</v>
      </c>
      <c r="I8" s="628" t="s">
        <v>2802</v>
      </c>
      <c r="J8" s="628" t="s">
        <v>2803</v>
      </c>
      <c r="K8" s="628" t="s">
        <v>2804</v>
      </c>
      <c r="L8" s="628" t="s">
        <v>2805</v>
      </c>
      <c r="M8" s="628" t="s">
        <v>419</v>
      </c>
    </row>
    <row r="9" spans="3:17" x14ac:dyDescent="0.15">
      <c r="C9" s="38">
        <v>270</v>
      </c>
      <c r="D9" s="1614">
        <f>C9/3.6</f>
        <v>75</v>
      </c>
      <c r="E9" s="1615">
        <v>0.79499999999999993</v>
      </c>
      <c r="F9" s="1615">
        <v>0.80500000000000005</v>
      </c>
      <c r="G9" s="1615">
        <v>0.81200000000000006</v>
      </c>
      <c r="H9" s="1615">
        <v>0.8</v>
      </c>
      <c r="I9" s="1615">
        <v>0.79230769230769238</v>
      </c>
      <c r="J9" s="1615">
        <v>0.81111111111111123</v>
      </c>
      <c r="K9" s="1615">
        <v>0.80740740740740746</v>
      </c>
      <c r="L9" s="1615">
        <v>0.81428571428571428</v>
      </c>
      <c r="M9" s="1616">
        <f>AVERAGE(E9:K9,I9,I9)</f>
        <v>0.800826843937955</v>
      </c>
      <c r="O9" s="2">
        <f>EXP(Q9)</f>
        <v>1.1950336101386529</v>
      </c>
      <c r="P9" s="2">
        <f t="array" ref="P9:Q9">LINEST(LN(M9:M12),LN(D9:D12))</f>
        <v>-9.2692975639588962E-2</v>
      </c>
      <c r="Q9">
        <v>0.17817431062699565</v>
      </c>
    </row>
    <row r="10" spans="3:17" x14ac:dyDescent="0.15">
      <c r="C10" s="344">
        <v>227</v>
      </c>
      <c r="D10" s="279">
        <f t="shared" ref="D10:D12" si="0">C10/3.6</f>
        <v>63.055555555555557</v>
      </c>
      <c r="E10" s="733">
        <v>0.80900000000000005</v>
      </c>
      <c r="F10" s="733">
        <v>0.82</v>
      </c>
      <c r="G10" s="733">
        <v>0.82400000000000007</v>
      </c>
      <c r="H10" s="733">
        <v>0.81500000000000006</v>
      </c>
      <c r="I10" s="733">
        <v>0.80769230769230771</v>
      </c>
      <c r="J10" s="733">
        <v>0.8222222222222223</v>
      </c>
      <c r="K10" s="733">
        <v>0.81851851851851853</v>
      </c>
      <c r="L10" s="733">
        <v>0.82571428571428562</v>
      </c>
      <c r="M10" s="1616">
        <f t="shared" ref="M10:M12" si="1">AVERAGE(E10:K10,I10,I10)</f>
        <v>0.81464640709085157</v>
      </c>
      <c r="O10" s="2"/>
      <c r="P10" s="2"/>
    </row>
    <row r="11" spans="3:17" x14ac:dyDescent="0.15">
      <c r="C11" s="344">
        <v>180</v>
      </c>
      <c r="D11" s="279">
        <f t="shared" si="0"/>
        <v>50</v>
      </c>
      <c r="E11" s="733">
        <v>0.82499999999999996</v>
      </c>
      <c r="F11" s="733">
        <v>0.83499999999999996</v>
      </c>
      <c r="G11" s="733">
        <v>0.84</v>
      </c>
      <c r="H11" s="733">
        <v>0.83000000000000007</v>
      </c>
      <c r="I11" s="733">
        <v>0.82307692307692304</v>
      </c>
      <c r="J11" s="733">
        <v>0.83888888888888902</v>
      </c>
      <c r="K11" s="733">
        <v>0.83333333333333337</v>
      </c>
      <c r="L11" s="733">
        <v>0.84</v>
      </c>
      <c r="M11" s="1616">
        <f t="shared" si="1"/>
        <v>0.83016144349477683</v>
      </c>
    </row>
    <row r="12" spans="3:17" x14ac:dyDescent="0.15">
      <c r="C12" s="344">
        <v>144</v>
      </c>
      <c r="D12" s="279">
        <f t="shared" si="0"/>
        <v>40</v>
      </c>
      <c r="E12" s="733">
        <v>0.84499999999999997</v>
      </c>
      <c r="F12" s="733">
        <v>0.85</v>
      </c>
      <c r="G12" s="733">
        <v>0.85599999999999998</v>
      </c>
      <c r="H12" s="733">
        <v>0.85</v>
      </c>
      <c r="I12" s="733">
        <v>0.84615384615384615</v>
      </c>
      <c r="J12" s="733">
        <v>0.85555555555555551</v>
      </c>
      <c r="K12" s="733">
        <v>0.85185185185185186</v>
      </c>
      <c r="L12" s="733">
        <v>0.8571428571428571</v>
      </c>
      <c r="M12" s="1616">
        <f t="shared" si="1"/>
        <v>0.84965210509654943</v>
      </c>
      <c r="O12">
        <v>70</v>
      </c>
      <c r="P12" t="s">
        <v>470</v>
      </c>
    </row>
    <row r="13" spans="3:17" x14ac:dyDescent="0.15">
      <c r="O13" s="1537">
        <f>O9*O12^P9</f>
        <v>0.80603238663847032</v>
      </c>
    </row>
    <row r="15" spans="3:17" x14ac:dyDescent="0.15">
      <c r="O15" s="2" t="s">
        <v>2806</v>
      </c>
    </row>
    <row r="16" spans="3:17" x14ac:dyDescent="0.15">
      <c r="O16" s="4" t="s">
        <v>1219</v>
      </c>
      <c r="P16" s="4" t="s">
        <v>2807</v>
      </c>
    </row>
    <row r="17" spans="15:19" x14ac:dyDescent="0.15">
      <c r="O17" s="1617">
        <v>20</v>
      </c>
      <c r="P17" s="1618">
        <f>S17</f>
        <v>0.85</v>
      </c>
      <c r="Q17" s="314">
        <f>P17*100</f>
        <v>85</v>
      </c>
      <c r="S17" s="1619">
        <v>0.85</v>
      </c>
    </row>
    <row r="18" spans="15:19" x14ac:dyDescent="0.15">
      <c r="O18" s="1617">
        <v>45</v>
      </c>
      <c r="P18" s="1618">
        <f>$O$9*O18^$P$9</f>
        <v>0.83972857630618725</v>
      </c>
      <c r="Q18" s="314">
        <f t="shared" ref="Q18:Q23" si="2">P18*100</f>
        <v>83.972857630618719</v>
      </c>
    </row>
    <row r="19" spans="15:19" x14ac:dyDescent="0.15">
      <c r="O19" s="1617">
        <v>55</v>
      </c>
      <c r="P19" s="1618">
        <f t="shared" ref="P19:P23" si="3">$O$9*O19^$P$9</f>
        <v>0.8242533549836023</v>
      </c>
      <c r="Q19" s="314">
        <f t="shared" si="2"/>
        <v>82.425335498360226</v>
      </c>
    </row>
    <row r="20" spans="15:19" x14ac:dyDescent="0.15">
      <c r="O20" s="1617">
        <v>65</v>
      </c>
      <c r="P20" s="1618">
        <f t="shared" si="3"/>
        <v>0.81158831640316953</v>
      </c>
      <c r="Q20" s="314">
        <f t="shared" si="2"/>
        <v>81.158831640316947</v>
      </c>
    </row>
    <row r="21" spans="15:19" x14ac:dyDescent="0.15">
      <c r="O21" s="1617">
        <v>75</v>
      </c>
      <c r="P21" s="1618">
        <f t="shared" si="3"/>
        <v>0.80089413242567431</v>
      </c>
      <c r="Q21" s="314">
        <f t="shared" si="2"/>
        <v>80.089413242567431</v>
      </c>
    </row>
    <row r="22" spans="15:19" x14ac:dyDescent="0.15">
      <c r="O22" s="1617">
        <v>87</v>
      </c>
      <c r="P22" s="1618">
        <f t="shared" si="3"/>
        <v>0.78995128354275534</v>
      </c>
      <c r="Q22" s="314">
        <f t="shared" si="2"/>
        <v>78.995128354275536</v>
      </c>
    </row>
    <row r="23" spans="15:19" x14ac:dyDescent="0.15">
      <c r="O23" s="1617">
        <v>100</v>
      </c>
      <c r="P23" s="1618">
        <f t="shared" si="3"/>
        <v>0.77981963966212509</v>
      </c>
      <c r="Q23" s="314">
        <f t="shared" si="2"/>
        <v>77.981963966212504</v>
      </c>
    </row>
    <row r="24" spans="15:19" x14ac:dyDescent="0.15">
      <c r="O24" s="4"/>
    </row>
    <row r="25" spans="15:19" x14ac:dyDescent="0.15">
      <c r="O25" t="s">
        <v>2808</v>
      </c>
    </row>
    <row r="26" spans="15:19" x14ac:dyDescent="0.15">
      <c r="O26" t="s">
        <v>2809</v>
      </c>
    </row>
    <row r="27" spans="15:19" x14ac:dyDescent="0.15">
      <c r="O27" t="s">
        <v>2810</v>
      </c>
    </row>
    <row r="36" spans="3:27" x14ac:dyDescent="0.15">
      <c r="C36" s="2" t="s">
        <v>2811</v>
      </c>
    </row>
    <row r="37" spans="3:27" x14ac:dyDescent="0.15">
      <c r="C37" s="2"/>
    </row>
    <row r="38" spans="3:27" x14ac:dyDescent="0.15">
      <c r="C38" s="2"/>
      <c r="T38" s="2" t="s">
        <v>2812</v>
      </c>
    </row>
    <row r="39" spans="3:27" x14ac:dyDescent="0.15">
      <c r="E39" s="628" t="s">
        <v>2798</v>
      </c>
      <c r="F39" s="628" t="s">
        <v>2799</v>
      </c>
      <c r="G39" s="628" t="s">
        <v>2800</v>
      </c>
      <c r="H39" s="628" t="s">
        <v>2801</v>
      </c>
      <c r="I39" s="628" t="s">
        <v>2802</v>
      </c>
      <c r="J39" s="628" t="s">
        <v>2803</v>
      </c>
      <c r="K39" s="628" t="s">
        <v>2804</v>
      </c>
      <c r="L39" s="628" t="s">
        <v>2813</v>
      </c>
      <c r="M39" s="628" t="s">
        <v>2231</v>
      </c>
      <c r="T39" s="628" t="s">
        <v>2814</v>
      </c>
      <c r="U39" s="628" t="s">
        <v>2815</v>
      </c>
      <c r="V39" s="628" t="s">
        <v>2816</v>
      </c>
      <c r="W39" s="628" t="s">
        <v>2817</v>
      </c>
      <c r="X39" s="628" t="s">
        <v>2231</v>
      </c>
    </row>
    <row r="40" spans="3:27" x14ac:dyDescent="0.15">
      <c r="C40" s="95" t="s">
        <v>2818</v>
      </c>
      <c r="D40" s="75"/>
      <c r="E40" s="1620">
        <v>25</v>
      </c>
      <c r="F40" s="1620">
        <v>25</v>
      </c>
      <c r="G40" s="1620">
        <v>22</v>
      </c>
      <c r="H40" s="1620">
        <v>22</v>
      </c>
      <c r="I40" s="1620">
        <v>20</v>
      </c>
      <c r="J40" s="1620">
        <v>20</v>
      </c>
      <c r="K40" s="1620">
        <v>20</v>
      </c>
      <c r="L40" s="1620">
        <v>25</v>
      </c>
      <c r="M40" s="1621">
        <f>'R-series ENT'!T39</f>
        <v>20</v>
      </c>
      <c r="T40" s="1620">
        <v>25</v>
      </c>
      <c r="U40" s="1620">
        <v>25</v>
      </c>
      <c r="V40" s="1620">
        <v>25</v>
      </c>
      <c r="W40" s="1620">
        <v>25</v>
      </c>
      <c r="X40" s="1621">
        <f>'R-series ENT'!T47</f>
        <v>25</v>
      </c>
    </row>
    <row r="41" spans="3:27" x14ac:dyDescent="0.15">
      <c r="C41" s="95" t="s">
        <v>2819</v>
      </c>
      <c r="D41" s="75"/>
      <c r="E41" s="1620">
        <v>26.9</v>
      </c>
      <c r="F41" s="1620">
        <v>50</v>
      </c>
      <c r="G41" s="1620">
        <v>46.5</v>
      </c>
      <c r="H41" s="1620">
        <v>43.8</v>
      </c>
      <c r="I41" s="1620">
        <v>36.799999999999997</v>
      </c>
      <c r="J41" s="1620">
        <v>58.4</v>
      </c>
      <c r="K41" s="1620">
        <v>36.799999999999997</v>
      </c>
      <c r="L41" s="1620">
        <v>55</v>
      </c>
      <c r="M41" s="1621">
        <f>'R-series ENT'!T40</f>
        <v>35</v>
      </c>
      <c r="T41" s="1620">
        <v>50</v>
      </c>
      <c r="U41" s="1620">
        <v>50</v>
      </c>
      <c r="V41" s="1620">
        <v>50</v>
      </c>
      <c r="W41" s="1620">
        <v>50</v>
      </c>
      <c r="X41" s="1621">
        <f>'R-series ENT'!T48</f>
        <v>50</v>
      </c>
    </row>
    <row r="42" spans="3:27" x14ac:dyDescent="0.15">
      <c r="C42" s="95" t="s">
        <v>2820</v>
      </c>
      <c r="D42" s="75"/>
      <c r="E42" s="1622">
        <v>5.28</v>
      </c>
      <c r="F42" s="1622">
        <v>9.8800000000000008</v>
      </c>
      <c r="G42" s="1622">
        <v>7.64</v>
      </c>
      <c r="H42" s="1622">
        <v>7.19</v>
      </c>
      <c r="I42" s="1622">
        <v>5.33</v>
      </c>
      <c r="J42" s="1622">
        <v>8.5</v>
      </c>
      <c r="K42" s="1622">
        <v>5.33</v>
      </c>
      <c r="L42" s="1622">
        <v>10.9</v>
      </c>
      <c r="M42" s="627">
        <f>F54</f>
        <v>5.0522031878521858</v>
      </c>
      <c r="T42" s="1622">
        <v>9.8800000000000008</v>
      </c>
      <c r="U42" s="1622">
        <v>9.8800000000000008</v>
      </c>
      <c r="V42" s="1622">
        <v>9.8800000000000008</v>
      </c>
      <c r="W42" s="1622">
        <v>9.8800000000000008</v>
      </c>
      <c r="X42" s="627">
        <f>V54</f>
        <v>9.8525879076250362</v>
      </c>
    </row>
    <row r="43" spans="3:27" x14ac:dyDescent="0.15">
      <c r="C43" s="95" t="s">
        <v>2821</v>
      </c>
      <c r="D43" s="75"/>
      <c r="E43" s="1620">
        <v>5</v>
      </c>
      <c r="F43" s="1620">
        <v>5</v>
      </c>
      <c r="G43" s="1620">
        <v>-3</v>
      </c>
      <c r="H43" s="1620">
        <v>2</v>
      </c>
      <c r="I43" s="1620">
        <v>7</v>
      </c>
      <c r="J43" s="1620">
        <v>2</v>
      </c>
      <c r="K43" s="1620">
        <v>-7</v>
      </c>
      <c r="L43" s="1620">
        <v>2</v>
      </c>
      <c r="M43" s="1621">
        <f>'R-series ENT'!T41</f>
        <v>7</v>
      </c>
      <c r="T43" s="1620">
        <v>35</v>
      </c>
      <c r="U43" s="1620">
        <v>35</v>
      </c>
      <c r="V43" s="1620">
        <v>35</v>
      </c>
      <c r="W43" s="1620">
        <v>46</v>
      </c>
      <c r="X43" s="1621">
        <f>'R-series ENT'!T49</f>
        <v>35</v>
      </c>
    </row>
    <row r="44" spans="3:27" x14ac:dyDescent="0.15">
      <c r="C44" s="95" t="s">
        <v>2822</v>
      </c>
      <c r="D44" s="75"/>
      <c r="E44" s="1620">
        <v>70</v>
      </c>
      <c r="F44" s="1620">
        <v>71.5</v>
      </c>
      <c r="G44" s="1620">
        <v>93.7</v>
      </c>
      <c r="H44" s="1620">
        <v>80.400000000000006</v>
      </c>
      <c r="I44" s="1620">
        <v>65</v>
      </c>
      <c r="J44" s="1620">
        <v>83.6</v>
      </c>
      <c r="K44" s="1620">
        <v>74.3</v>
      </c>
      <c r="L44" s="1620">
        <v>50</v>
      </c>
      <c r="M44" s="1621">
        <f>'R-series ENT'!T42</f>
        <v>55</v>
      </c>
      <c r="T44" s="1620">
        <v>39.6</v>
      </c>
      <c r="U44" s="1620">
        <v>48.7</v>
      </c>
      <c r="V44" s="1620">
        <v>58.6</v>
      </c>
      <c r="W44" s="1620">
        <v>28.1</v>
      </c>
      <c r="X44" s="1621">
        <f>'R-series ENT'!T50</f>
        <v>45</v>
      </c>
    </row>
    <row r="45" spans="3:27" ht="14" thickBot="1" x14ac:dyDescent="0.2">
      <c r="C45" s="1623" t="s">
        <v>2823</v>
      </c>
      <c r="D45" s="1624"/>
      <c r="E45" s="1625">
        <v>3.77</v>
      </c>
      <c r="F45" s="1625">
        <v>3.85</v>
      </c>
      <c r="G45" s="1625">
        <v>2.83</v>
      </c>
      <c r="H45" s="1625">
        <v>3.5</v>
      </c>
      <c r="I45" s="1625">
        <v>4.0199999999999996</v>
      </c>
      <c r="J45" s="1625">
        <v>3.64</v>
      </c>
      <c r="K45" s="1625">
        <v>1.65</v>
      </c>
      <c r="L45" s="1625">
        <v>2.2000000000000002</v>
      </c>
      <c r="M45" s="1626">
        <f>F58</f>
        <v>3.3972871410816272</v>
      </c>
      <c r="T45" s="1622">
        <v>13.98</v>
      </c>
      <c r="U45" s="1622">
        <v>17.28</v>
      </c>
      <c r="V45" s="1622">
        <v>20.91</v>
      </c>
      <c r="W45" s="1622">
        <v>17.89</v>
      </c>
      <c r="X45" s="627">
        <f>V58</f>
        <v>15.900771910871322</v>
      </c>
    </row>
    <row r="46" spans="3:27" ht="14" thickTop="1" x14ac:dyDescent="0.15">
      <c r="C46" s="1627" t="s">
        <v>2797</v>
      </c>
      <c r="D46" s="1627" t="s">
        <v>1219</v>
      </c>
      <c r="E46" s="1627">
        <f>E42-E45</f>
        <v>1.5100000000000002</v>
      </c>
      <c r="F46" s="1627">
        <f t="shared" ref="F46:L46" si="4">F42-F45</f>
        <v>6.0300000000000011</v>
      </c>
      <c r="G46" s="1627">
        <f t="shared" si="4"/>
        <v>4.8099999999999996</v>
      </c>
      <c r="H46" s="1627">
        <f t="shared" si="4"/>
        <v>3.6900000000000004</v>
      </c>
      <c r="I46" s="1627">
        <f t="shared" si="4"/>
        <v>1.3100000000000005</v>
      </c>
      <c r="J46" s="1627">
        <f t="shared" si="4"/>
        <v>4.8599999999999994</v>
      </c>
      <c r="K46" s="1627">
        <f t="shared" si="4"/>
        <v>3.68</v>
      </c>
      <c r="L46" s="1627">
        <f t="shared" si="4"/>
        <v>8.6999999999999993</v>
      </c>
      <c r="M46" s="1628">
        <f>F60</f>
        <v>1.6549160467705586</v>
      </c>
      <c r="O46" s="2" t="s">
        <v>2845</v>
      </c>
      <c r="S46" s="628" t="s">
        <v>1219</v>
      </c>
      <c r="T46" s="1627">
        <v>4.0999999999999996</v>
      </c>
      <c r="U46" s="1627">
        <v>7.4</v>
      </c>
      <c r="V46" s="1627">
        <v>11.03</v>
      </c>
      <c r="W46" s="1634">
        <v>8.01</v>
      </c>
      <c r="X46" s="627">
        <f>V60</f>
        <v>6.0481840032462859</v>
      </c>
      <c r="Z46" s="2" t="s">
        <v>2845</v>
      </c>
    </row>
    <row r="47" spans="3:27" x14ac:dyDescent="0.15">
      <c r="C47" s="38">
        <v>270</v>
      </c>
      <c r="D47" s="1614">
        <f>C47/3.6</f>
        <v>75</v>
      </c>
      <c r="E47" s="1615">
        <v>0.29801324503311238</v>
      </c>
      <c r="F47" s="1615">
        <v>0.55058043117744593</v>
      </c>
      <c r="G47" s="1615">
        <v>0.55509355509355507</v>
      </c>
      <c r="H47" s="1615">
        <v>0.47967479674796731</v>
      </c>
      <c r="I47" s="1615">
        <v>0.27480916030534364</v>
      </c>
      <c r="J47" s="1615">
        <v>0.53497942386831288</v>
      </c>
      <c r="K47" s="1615">
        <v>0.52173913043478259</v>
      </c>
      <c r="L47" s="1615">
        <v>0.6356321839080461</v>
      </c>
      <c r="M47" s="1635">
        <f>O47*LN($M$46)+P47</f>
        <v>0.32745094814645542</v>
      </c>
      <c r="O47" s="2">
        <f t="array" ref="O47:P47">LINEST(E47:L47,LN(E46:L46))</f>
        <v>0.19316097879944413</v>
      </c>
      <c r="P47" s="2">
        <v>0.23014605089158413</v>
      </c>
      <c r="S47" s="1614">
        <f>D47</f>
        <v>75</v>
      </c>
      <c r="T47" s="1615">
        <v>0.31707317073170754</v>
      </c>
      <c r="U47" s="1615">
        <v>0.39594594594594612</v>
      </c>
      <c r="V47" s="1615">
        <v>0.44877606527651853</v>
      </c>
      <c r="W47" s="1636">
        <v>0.34207240948813988</v>
      </c>
      <c r="X47" s="1635">
        <f>Z47*LN($X$46)+AA47</f>
        <v>0.36890288543577887</v>
      </c>
      <c r="Z47" s="2">
        <f t="array" ref="Z47:AA47">LINEST(T47:V47,LN($T$46:$V$46))</f>
        <v>0.1331198132654651</v>
      </c>
      <c r="AA47" s="2">
        <v>0.12931942826849113</v>
      </c>
    </row>
    <row r="48" spans="3:27" x14ac:dyDescent="0.15">
      <c r="C48" s="344">
        <v>227</v>
      </c>
      <c r="D48" s="279">
        <f t="shared" ref="D48:D50" si="5">C48/3.6</f>
        <v>63.055555555555557</v>
      </c>
      <c r="E48" s="733">
        <v>0.31940000000000002</v>
      </c>
      <c r="F48" s="733">
        <v>0.57379767827529005</v>
      </c>
      <c r="G48" s="733">
        <v>0.58004158004158013</v>
      </c>
      <c r="H48" s="733">
        <v>0.50406504065040658</v>
      </c>
      <c r="I48" s="733">
        <v>0.29770992366412247</v>
      </c>
      <c r="J48" s="733">
        <v>0.5576131687242798</v>
      </c>
      <c r="K48" s="733">
        <v>0.54619565217391308</v>
      </c>
      <c r="L48" s="733">
        <v>0.6597701149425288</v>
      </c>
      <c r="M48" s="1635">
        <f>O48*LN($M$46)+P48</f>
        <v>0.35014558852156641</v>
      </c>
      <c r="O48" s="2">
        <f t="array" ref="O48:P48">LINEST(E48:L48,LN(E46:L46))</f>
        <v>0.19418320399361771</v>
      </c>
      <c r="P48" s="2">
        <v>0.25232574503838012</v>
      </c>
      <c r="S48" s="1614">
        <f>D48</f>
        <v>63.055555555555557</v>
      </c>
      <c r="T48" s="733">
        <v>0.34146341463414648</v>
      </c>
      <c r="U48" s="733">
        <v>0.41891891891891908</v>
      </c>
      <c r="V48" s="733">
        <v>0.47325475974614695</v>
      </c>
      <c r="W48" s="1637">
        <v>0.36704119850187283</v>
      </c>
      <c r="X48" s="1635">
        <f t="shared" ref="X48:X50" si="6">Z48*LN($X$46)+AA48</f>
        <v>0.39286394831634669</v>
      </c>
      <c r="Z48" s="2">
        <f t="array" ref="Z48:AA48">LINEST(T48:V48,LN($T$46:$V$46))</f>
        <v>0.13302006426224899</v>
      </c>
      <c r="AA48" s="2">
        <v>0.1534600152217967</v>
      </c>
    </row>
    <row r="49" spans="3:66" x14ac:dyDescent="0.15">
      <c r="C49" s="344">
        <v>180</v>
      </c>
      <c r="D49" s="279">
        <f t="shared" si="5"/>
        <v>50</v>
      </c>
      <c r="E49" s="733">
        <v>0.3443708609271523</v>
      </c>
      <c r="F49" s="733">
        <v>0.60033167495854045</v>
      </c>
      <c r="G49" s="733">
        <v>0.60498960498960508</v>
      </c>
      <c r="H49" s="733">
        <v>0.53116531165311642</v>
      </c>
      <c r="I49" s="733">
        <v>0.32061068702290124</v>
      </c>
      <c r="J49" s="733">
        <v>0.58436213991769559</v>
      </c>
      <c r="K49" s="733">
        <v>0.57336956521739124</v>
      </c>
      <c r="L49" s="733">
        <v>0.68620689655172418</v>
      </c>
      <c r="M49" s="1635">
        <f>O49*LN($M$46)+P49</f>
        <v>0.37475093857865277</v>
      </c>
      <c r="O49" s="2">
        <f t="array" ref="O49:P49">LINEST(E49:L49,LN(E46:L46))</f>
        <v>0.19574786694821256</v>
      </c>
      <c r="P49" s="2">
        <v>0.27614289569317713</v>
      </c>
      <c r="S49" s="1614">
        <f>D49</f>
        <v>50</v>
      </c>
      <c r="T49" s="733">
        <v>0.36829268292682926</v>
      </c>
      <c r="U49" s="733">
        <v>0.445945945945946</v>
      </c>
      <c r="V49" s="733">
        <v>0.50045330915684494</v>
      </c>
      <c r="W49" s="1637">
        <v>0.39575530586766544</v>
      </c>
      <c r="X49" s="1635">
        <f t="shared" si="6"/>
        <v>0.41983115939804005</v>
      </c>
      <c r="Z49" s="2">
        <f t="array" ref="Z49:AA49">LINEST(T49:V49,LN($T$46:$V$46))</f>
        <v>0.13339030878352579</v>
      </c>
      <c r="AA49" s="2">
        <v>0.1797608757413251</v>
      </c>
    </row>
    <row r="50" spans="3:66" x14ac:dyDescent="0.15">
      <c r="C50" s="344">
        <v>144</v>
      </c>
      <c r="D50" s="279">
        <f t="shared" si="5"/>
        <v>40</v>
      </c>
      <c r="E50" s="733">
        <v>0.36423841059602663</v>
      </c>
      <c r="F50" s="733">
        <v>0.62189054726368143</v>
      </c>
      <c r="G50" s="733">
        <v>0.62785862785862778</v>
      </c>
      <c r="H50" s="733">
        <v>0.55284552845528445</v>
      </c>
      <c r="I50" s="733">
        <v>0.34351145038167941</v>
      </c>
      <c r="J50" s="733">
        <v>0.60493827160493829</v>
      </c>
      <c r="K50" s="733">
        <v>0.59239130434782605</v>
      </c>
      <c r="L50" s="733">
        <v>0.70804597701149419</v>
      </c>
      <c r="M50" s="1635">
        <f>O50*LN($M$46)+P50</f>
        <v>0.39592464474669348</v>
      </c>
      <c r="O50" s="2">
        <f t="array" ref="O50:P50">LINEST(E50:L50,LN(E46:L46))</f>
        <v>0.19589282260703811</v>
      </c>
      <c r="P50" s="2">
        <v>0.29724358040742216</v>
      </c>
      <c r="S50" s="1614">
        <f>D50</f>
        <v>40</v>
      </c>
      <c r="T50" s="733">
        <v>0.3878048780487805</v>
      </c>
      <c r="U50" s="733">
        <v>0.46756756756756768</v>
      </c>
      <c r="V50" s="733">
        <v>0.52130553037171357</v>
      </c>
      <c r="W50" s="1637">
        <v>0.41822721598002516</v>
      </c>
      <c r="X50" s="1635">
        <f t="shared" si="6"/>
        <v>0.44028315121883815</v>
      </c>
      <c r="Z50" s="2">
        <f t="array" ref="Z50:AA50">LINEST(T50:V50,LN($T$46:$V$46))</f>
        <v>0.13491289168078757</v>
      </c>
      <c r="AA50" s="2">
        <v>0.19747258671736029</v>
      </c>
    </row>
    <row r="51" spans="3:66" x14ac:dyDescent="0.15">
      <c r="O51" s="2" t="s">
        <v>2846</v>
      </c>
      <c r="Z51" s="2" t="s">
        <v>2839</v>
      </c>
    </row>
    <row r="52" spans="3:66" x14ac:dyDescent="0.15">
      <c r="C52" t="s">
        <v>228</v>
      </c>
      <c r="F52">
        <f>M40</f>
        <v>20</v>
      </c>
      <c r="G52" t="s">
        <v>230</v>
      </c>
      <c r="O52" s="1638">
        <f t="array" ref="O52:Q52">LINEST(M47:M50,D47:D50^{1,2})</f>
        <v>4.1413598559092768E-6</v>
      </c>
      <c r="P52" s="1638">
        <v>-2.4228415853752008E-3</v>
      </c>
      <c r="Q52" s="1638">
        <v>0.48601845490035617</v>
      </c>
      <c r="S52" t="s">
        <v>228</v>
      </c>
      <c r="V52">
        <f>X40</f>
        <v>25</v>
      </c>
      <c r="W52" t="s">
        <v>230</v>
      </c>
      <c r="Z52" s="1638">
        <f t="array" ref="Z52:AA52">LINEST(X47:X50,S47:S50)</f>
        <v>-2.0423067986179251E-3</v>
      </c>
      <c r="AA52" s="1638">
        <v>0.52191013898567573</v>
      </c>
    </row>
    <row r="53" spans="3:66" x14ac:dyDescent="0.15">
      <c r="C53" t="s">
        <v>2824</v>
      </c>
      <c r="F53" s="227">
        <f>M41/100</f>
        <v>0.35</v>
      </c>
      <c r="G53" t="s">
        <v>2825</v>
      </c>
      <c r="S53" t="s">
        <v>2824</v>
      </c>
      <c r="V53" s="227">
        <f>X41/100</f>
        <v>0.5</v>
      </c>
      <c r="W53" t="s">
        <v>2825</v>
      </c>
    </row>
    <row r="54" spans="3:66" x14ac:dyDescent="0.15">
      <c r="C54" t="s">
        <v>2826</v>
      </c>
      <c r="F54" s="314">
        <f>1000*0.62198*(F53*(6.112*EXP((17.62*F52)/(243.12+F52))))/(1013.25-(F53*(6.112*EXP((17.62*F52)/(243.12+F52)))))</f>
        <v>5.0522031878521858</v>
      </c>
      <c r="G54" t="s">
        <v>2827</v>
      </c>
      <c r="S54" t="s">
        <v>2826</v>
      </c>
      <c r="V54" s="314">
        <f>1000*0.62198*(V53*(6.112*EXP((17.62*V52)/(243.12+V52))))/(1013.25-(V53*(6.112*EXP((17.62*V52)/(243.12+V52)))))</f>
        <v>9.8525879076250362</v>
      </c>
      <c r="W54" t="s">
        <v>2827</v>
      </c>
    </row>
    <row r="56" spans="3:66" x14ac:dyDescent="0.15">
      <c r="C56" t="s">
        <v>2828</v>
      </c>
      <c r="F56">
        <f>M43</f>
        <v>7</v>
      </c>
      <c r="G56" t="s">
        <v>230</v>
      </c>
      <c r="S56" t="s">
        <v>2828</v>
      </c>
      <c r="V56">
        <f>X43</f>
        <v>35</v>
      </c>
      <c r="W56" t="s">
        <v>230</v>
      </c>
    </row>
    <row r="57" spans="3:66" x14ac:dyDescent="0.15">
      <c r="C57" t="s">
        <v>2824</v>
      </c>
      <c r="F57" s="245">
        <f>M44/100</f>
        <v>0.55000000000000004</v>
      </c>
      <c r="G57" t="s">
        <v>2825</v>
      </c>
      <c r="S57" t="s">
        <v>2824</v>
      </c>
      <c r="V57" s="245">
        <f>X44/100</f>
        <v>0.45</v>
      </c>
      <c r="W57" t="s">
        <v>2825</v>
      </c>
      <c r="BN57" t="s">
        <v>2829</v>
      </c>
    </row>
    <row r="58" spans="3:66" x14ac:dyDescent="0.15">
      <c r="C58" t="s">
        <v>2826</v>
      </c>
      <c r="F58" s="314">
        <f>1000*0.62198*(F57*(6.112*EXP((17.62*F56)/(243.12+F56))))/(1013.25-(F57*(6.112*EXP((17.62*F56)/(243.12+F56)))))</f>
        <v>3.3972871410816272</v>
      </c>
      <c r="G58" t="s">
        <v>2827</v>
      </c>
      <c r="S58" t="s">
        <v>2826</v>
      </c>
      <c r="V58" s="314">
        <f>1000*0.62198*(V57*(6.112*EXP((17.62*V56)/(243.12+V56))))/(1013.25-(V57*(6.112*EXP((17.62*V56)/(243.12+V56)))))</f>
        <v>15.900771910871322</v>
      </c>
      <c r="W58" t="s">
        <v>2827</v>
      </c>
    </row>
    <row r="60" spans="3:66" x14ac:dyDescent="0.15">
      <c r="C60" t="s">
        <v>2830</v>
      </c>
      <c r="F60" s="314">
        <f>F54-F58</f>
        <v>1.6549160467705586</v>
      </c>
      <c r="G60" t="s">
        <v>2827</v>
      </c>
      <c r="I60" s="110">
        <f>'R-series ENT'!$E$38</f>
        <v>34.722222222222221</v>
      </c>
      <c r="J60" t="s">
        <v>311</v>
      </c>
      <c r="S60" t="s">
        <v>2830</v>
      </c>
      <c r="V60" s="314">
        <f>V58-V54</f>
        <v>6.0481840032462859</v>
      </c>
      <c r="W60" t="s">
        <v>2827</v>
      </c>
      <c r="Y60" s="110">
        <f>'R-series ENT'!$E$38</f>
        <v>34.722222222222221</v>
      </c>
      <c r="Z60" t="s">
        <v>311</v>
      </c>
    </row>
    <row r="61" spans="3:66" x14ac:dyDescent="0.15">
      <c r="C61" t="s">
        <v>485</v>
      </c>
      <c r="F61" s="110">
        <f>'R-series ENT'!E38</f>
        <v>34.722222222222221</v>
      </c>
      <c r="G61" t="s">
        <v>1219</v>
      </c>
      <c r="I61" s="110">
        <f>'R-series ENT'!$G$38</f>
        <v>34.722222222222221</v>
      </c>
      <c r="J61" t="s">
        <v>312</v>
      </c>
      <c r="S61" t="s">
        <v>485</v>
      </c>
      <c r="V61" s="110">
        <f>'R-series ENT'!E38</f>
        <v>34.722222222222221</v>
      </c>
      <c r="W61" t="s">
        <v>1219</v>
      </c>
      <c r="Y61" s="110">
        <f>'R-series ENT'!$G$38</f>
        <v>34.722222222222221</v>
      </c>
      <c r="Z61" t="s">
        <v>312</v>
      </c>
    </row>
    <row r="62" spans="3:66" ht="17" x14ac:dyDescent="0.25">
      <c r="I62">
        <f>I60/I61</f>
        <v>1</v>
      </c>
      <c r="J62" t="s">
        <v>297</v>
      </c>
      <c r="K62">
        <f>IF(I61&lt;=I60,1/I62,1/I62*0.95)</f>
        <v>1</v>
      </c>
      <c r="Y62">
        <f>Y61/Y60</f>
        <v>1</v>
      </c>
      <c r="Z62" t="s">
        <v>297</v>
      </c>
      <c r="AA62">
        <f>1/Y62</f>
        <v>1</v>
      </c>
    </row>
    <row r="63" spans="3:66" x14ac:dyDescent="0.15">
      <c r="E63" t="s">
        <v>2831</v>
      </c>
      <c r="F63" s="1629">
        <f>O52*F61^2+P52*F61+Q52</f>
        <v>0.40688496989493506</v>
      </c>
      <c r="U63" t="s">
        <v>2831</v>
      </c>
      <c r="V63" s="1629">
        <f>Z52*V61+AA52</f>
        <v>0.45099670847810891</v>
      </c>
    </row>
    <row r="64" spans="3:66" x14ac:dyDescent="0.15">
      <c r="E64" t="s">
        <v>2832</v>
      </c>
      <c r="F64" s="245">
        <f>F63-D113/100</f>
        <v>0.40116916101166716</v>
      </c>
      <c r="I64" s="1631">
        <f>F64*K62</f>
        <v>0.40116916101166716</v>
      </c>
      <c r="J64" t="s">
        <v>2833</v>
      </c>
      <c r="U64" t="s">
        <v>2832</v>
      </c>
      <c r="V64" s="245">
        <f>V63-T113/100</f>
        <v>0.44554640794152917</v>
      </c>
      <c r="Y64" s="1631">
        <f>V64*AA62</f>
        <v>0.44554640794152917</v>
      </c>
      <c r="Z64" t="s">
        <v>2833</v>
      </c>
    </row>
    <row r="65" spans="8:26" x14ac:dyDescent="0.15">
      <c r="H65" t="s">
        <v>52</v>
      </c>
      <c r="I65" s="1639">
        <f>IF(I64&lt;0.05,0.05,IF(I64&gt;0.95,0.95,I64))</f>
        <v>0.40116916101166716</v>
      </c>
      <c r="J65" t="s">
        <v>2847</v>
      </c>
      <c r="X65" t="s">
        <v>52</v>
      </c>
      <c r="Y65" s="1639">
        <f>IF(Y64&lt;0.05,0.05,IF(Y64&gt;0.95,0.95,Y64))</f>
        <v>0.44554640794152917</v>
      </c>
      <c r="Z65" t="s">
        <v>2847</v>
      </c>
    </row>
    <row r="89" spans="3:21" x14ac:dyDescent="0.15">
      <c r="C89" t="s">
        <v>2834</v>
      </c>
      <c r="S89" t="s">
        <v>2834</v>
      </c>
    </row>
    <row r="90" spans="3:21" x14ac:dyDescent="0.15">
      <c r="C90" t="s">
        <v>2848</v>
      </c>
      <c r="S90" t="s">
        <v>2849</v>
      </c>
    </row>
    <row r="92" spans="3:21" x14ac:dyDescent="0.15">
      <c r="C92" t="s">
        <v>2836</v>
      </c>
      <c r="S92" t="s">
        <v>2836</v>
      </c>
    </row>
    <row r="93" spans="3:21" x14ac:dyDescent="0.15">
      <c r="C93" t="s">
        <v>312</v>
      </c>
      <c r="D93" s="314">
        <f>F54</f>
        <v>5.0522031878521858</v>
      </c>
      <c r="E93" s="1632">
        <f>F52</f>
        <v>20</v>
      </c>
      <c r="S93" t="s">
        <v>312</v>
      </c>
      <c r="T93" s="314">
        <f>V54</f>
        <v>9.8525879076250362</v>
      </c>
      <c r="U93" s="1632">
        <f>V52</f>
        <v>25</v>
      </c>
    </row>
    <row r="94" spans="3:21" x14ac:dyDescent="0.15">
      <c r="C94" t="s">
        <v>544</v>
      </c>
      <c r="D94" s="314">
        <f>F58</f>
        <v>3.3972871410816272</v>
      </c>
      <c r="E94" s="1632">
        <f>F56</f>
        <v>7</v>
      </c>
      <c r="S94" t="s">
        <v>544</v>
      </c>
      <c r="T94" s="314">
        <f>V58</f>
        <v>15.900771910871322</v>
      </c>
      <c r="U94" s="1632">
        <f>V56</f>
        <v>35</v>
      </c>
    </row>
    <row r="95" spans="3:21" x14ac:dyDescent="0.15">
      <c r="C95" t="s">
        <v>2837</v>
      </c>
      <c r="D95" s="314">
        <f>AVERAGE(D93:D94)</f>
        <v>4.2247451644669063</v>
      </c>
      <c r="E95" s="1632">
        <f>AVERAGE(E93:E94)</f>
        <v>13.5</v>
      </c>
      <c r="S95" t="s">
        <v>2837</v>
      </c>
      <c r="T95" s="314">
        <f>AVERAGE(T93:T94)</f>
        <v>12.876679909248178</v>
      </c>
      <c r="U95" s="1632">
        <f>AVERAGE(U93:U94)</f>
        <v>30</v>
      </c>
    </row>
    <row r="96" spans="3:21" x14ac:dyDescent="0.15">
      <c r="C96" t="s">
        <v>2119</v>
      </c>
      <c r="D96" s="314">
        <f>D93-D94</f>
        <v>1.6549160467705586</v>
      </c>
      <c r="E96" s="1632">
        <f>E94-E93</f>
        <v>-13</v>
      </c>
      <c r="S96" t="s">
        <v>2119</v>
      </c>
      <c r="T96" s="314">
        <f>T94-T93</f>
        <v>6.0481840032462859</v>
      </c>
      <c r="U96" s="1632">
        <f>U94-U93</f>
        <v>10</v>
      </c>
    </row>
    <row r="97" spans="3:22" x14ac:dyDescent="0.15">
      <c r="C97" t="s">
        <v>1283</v>
      </c>
      <c r="D97">
        <f>IF(D96&gt;7,7,IF(D96&lt;0.5,0.5,D96))</f>
        <v>1.6549160467705586</v>
      </c>
      <c r="S97" t="s">
        <v>1283</v>
      </c>
      <c r="T97">
        <f>IF(T96&gt;6,6,IF(T96&lt;0.5,0.5,T96))</f>
        <v>6</v>
      </c>
    </row>
    <row r="99" spans="3:22" x14ac:dyDescent="0.15">
      <c r="C99" s="2" t="s">
        <v>2838</v>
      </c>
      <c r="S99" s="2" t="s">
        <v>2838</v>
      </c>
    </row>
    <row r="100" spans="3:22" x14ac:dyDescent="0.15">
      <c r="D100" t="s">
        <v>2839</v>
      </c>
      <c r="F100" t="s">
        <v>2840</v>
      </c>
      <c r="T100" t="s">
        <v>2839</v>
      </c>
      <c r="V100" t="s">
        <v>2840</v>
      </c>
    </row>
    <row r="101" spans="3:22" x14ac:dyDescent="0.15">
      <c r="C101" s="344" t="s">
        <v>2841</v>
      </c>
      <c r="D101" s="628" t="s">
        <v>4</v>
      </c>
      <c r="E101" s="628" t="s">
        <v>5</v>
      </c>
      <c r="F101" s="1640">
        <f>E95</f>
        <v>13.5</v>
      </c>
      <c r="S101" s="344" t="s">
        <v>2841</v>
      </c>
      <c r="T101" s="628" t="s">
        <v>4</v>
      </c>
      <c r="U101" s="628" t="s">
        <v>5</v>
      </c>
      <c r="V101" s="1640">
        <f>U95</f>
        <v>30</v>
      </c>
    </row>
    <row r="102" spans="3:22" x14ac:dyDescent="0.15">
      <c r="C102" s="1641">
        <v>6</v>
      </c>
      <c r="D102" s="1642">
        <v>0.92320217096336499</v>
      </c>
      <c r="E102" s="1642">
        <v>-10.559701492537313</v>
      </c>
      <c r="F102" s="1643">
        <f>D102*$F$101+E102</f>
        <v>1.9035278154681148</v>
      </c>
      <c r="S102" s="1641">
        <v>6</v>
      </c>
      <c r="T102" s="1642">
        <v>1.0225327510917026</v>
      </c>
      <c r="U102" s="1642">
        <v>-30.094061135371167</v>
      </c>
      <c r="V102" s="1643">
        <f>T102*$V$101+U102</f>
        <v>0.58192139737991155</v>
      </c>
    </row>
    <row r="103" spans="3:22" x14ac:dyDescent="0.15">
      <c r="C103" s="1641">
        <v>4</v>
      </c>
      <c r="D103" s="1642">
        <v>0.80325814536340867</v>
      </c>
      <c r="E103" s="1642">
        <v>-9.3719298245614038</v>
      </c>
      <c r="F103" s="1643">
        <f t="shared" ref="F103:F106" si="7">D103*$F$101+E103</f>
        <v>1.4720551378446132</v>
      </c>
      <c r="S103" s="1641">
        <v>4</v>
      </c>
      <c r="T103" s="1642">
        <v>0.92209606986899539</v>
      </c>
      <c r="U103" s="1642">
        <v>-27.139912663755453</v>
      </c>
      <c r="V103" s="1643">
        <f t="shared" ref="V103:V106" si="8">T103*$V$101+U103</f>
        <v>0.52296943231440807</v>
      </c>
    </row>
    <row r="104" spans="3:22" x14ac:dyDescent="0.15">
      <c r="C104" s="1641">
        <v>3</v>
      </c>
      <c r="D104" s="1642">
        <v>0.77552657973921735</v>
      </c>
      <c r="E104" s="1642">
        <v>-9.2744232698094251</v>
      </c>
      <c r="F104" s="1643">
        <f t="shared" si="7"/>
        <v>1.1951855566700083</v>
      </c>
      <c r="S104" s="1641">
        <v>3</v>
      </c>
      <c r="T104" s="1642">
        <v>0.86742358078602655</v>
      </c>
      <c r="U104" s="1642">
        <v>-25.560524017467259</v>
      </c>
      <c r="V104" s="1643">
        <f t="shared" si="8"/>
        <v>0.46218340611353881</v>
      </c>
    </row>
    <row r="105" spans="3:22" x14ac:dyDescent="0.15">
      <c r="C105" s="1641">
        <v>2</v>
      </c>
      <c r="D105" s="1642">
        <v>0.6982849604221637</v>
      </c>
      <c r="E105" s="1642">
        <v>-8.4666226912928746</v>
      </c>
      <c r="F105" s="1643">
        <f t="shared" si="7"/>
        <v>0.96022427440633606</v>
      </c>
      <c r="S105" s="1641">
        <v>2</v>
      </c>
      <c r="T105" s="1642">
        <v>0.77659388646288208</v>
      </c>
      <c r="U105" s="1642">
        <v>-22.897641921397376</v>
      </c>
      <c r="V105" s="1643">
        <f t="shared" si="8"/>
        <v>0.40017467248908645</v>
      </c>
    </row>
    <row r="106" spans="3:22" x14ac:dyDescent="0.15">
      <c r="C106" s="1641">
        <v>1</v>
      </c>
      <c r="D106" s="1642">
        <v>0.52740863787375403</v>
      </c>
      <c r="E106" s="1642">
        <v>-7.1213455149501641</v>
      </c>
      <c r="F106" s="1643">
        <f t="shared" si="7"/>
        <v>-1.32890365448457E-3</v>
      </c>
      <c r="S106" s="1641">
        <v>1</v>
      </c>
      <c r="T106" s="1642">
        <v>0.64900000000000013</v>
      </c>
      <c r="U106" s="1642">
        <v>-19.13966666666667</v>
      </c>
      <c r="V106" s="1643">
        <f t="shared" si="8"/>
        <v>0.33033333333333204</v>
      </c>
    </row>
    <row r="107" spans="3:22" x14ac:dyDescent="0.15">
      <c r="C107" s="1633"/>
      <c r="D107" s="32"/>
      <c r="E107" s="32"/>
      <c r="F107" s="84"/>
      <c r="S107" s="1633"/>
      <c r="T107" s="32"/>
      <c r="U107" s="32"/>
      <c r="V107" s="84"/>
    </row>
    <row r="108" spans="3:22" x14ac:dyDescent="0.15">
      <c r="C108" s="1633"/>
      <c r="D108" s="32"/>
      <c r="E108" s="32"/>
      <c r="F108" s="84"/>
      <c r="S108" s="1633"/>
      <c r="T108" s="32"/>
      <c r="U108" s="32"/>
      <c r="V108" s="84"/>
    </row>
    <row r="109" spans="3:22" x14ac:dyDescent="0.15">
      <c r="E109" s="2" cm="1">
        <f t="array" ref="E109:F109">LINEST(F102:F106,LN(C102:C106))</f>
        <v>1.0286739061728254</v>
      </c>
      <c r="F109" s="2">
        <v>8.3469324182017024E-2</v>
      </c>
      <c r="U109" cm="1">
        <f t="array" ref="U109:V109">LINEST(V102:V106,LN(S102:S106))</f>
        <v>0.14314346246642284</v>
      </c>
      <c r="V109">
        <v>0.31723719162345809</v>
      </c>
    </row>
    <row r="111" spans="3:22" x14ac:dyDescent="0.15">
      <c r="C111" t="s">
        <v>82</v>
      </c>
      <c r="D111" s="3">
        <f>E109*LN(D97)+F109</f>
        <v>0.60166409297556767</v>
      </c>
      <c r="E111" t="s">
        <v>2842</v>
      </c>
      <c r="S111" t="s">
        <v>82</v>
      </c>
      <c r="T111" s="3">
        <f>U109*LN(T97)+V109</f>
        <v>0.57371584595576186</v>
      </c>
      <c r="U111" t="s">
        <v>2842</v>
      </c>
    </row>
    <row r="112" spans="3:22" x14ac:dyDescent="0.15">
      <c r="C112" t="s">
        <v>2843</v>
      </c>
      <c r="S112" t="s">
        <v>2843</v>
      </c>
    </row>
    <row r="113" spans="3:21" x14ac:dyDescent="0.15">
      <c r="C113" s="618">
        <v>0.95</v>
      </c>
      <c r="D113" s="3">
        <f>D111*C113</f>
        <v>0.57158088832678922</v>
      </c>
      <c r="E113" t="s">
        <v>2842</v>
      </c>
      <c r="S113" s="618">
        <v>0.95</v>
      </c>
      <c r="T113" s="3">
        <f>T111*S113</f>
        <v>0.54503005365797375</v>
      </c>
      <c r="U113" t="s">
        <v>2842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05181-C088-4886-931C-5533171B0D4E}">
  <dimension ref="D2:AF125"/>
  <sheetViews>
    <sheetView topLeftCell="B22" zoomScaleNormal="100" workbookViewId="0">
      <selection activeCell="B2" sqref="B2"/>
    </sheetView>
  </sheetViews>
  <sheetFormatPr baseColWidth="10" defaultColWidth="8.83203125" defaultRowHeight="13" x14ac:dyDescent="0.15"/>
  <cols>
    <col min="4" max="4" width="15.6640625" customWidth="1"/>
    <col min="5" max="5" width="16.1640625" customWidth="1"/>
    <col min="6" max="6" width="12.33203125" bestFit="1" customWidth="1"/>
    <col min="13" max="13" width="12.83203125" customWidth="1"/>
    <col min="15" max="15" width="12.33203125" bestFit="1" customWidth="1"/>
    <col min="16" max="16" width="9.1640625" bestFit="1" customWidth="1"/>
    <col min="17" max="17" width="11.1640625" bestFit="1" customWidth="1"/>
    <col min="24" max="24" width="12.6640625" customWidth="1"/>
    <col min="26" max="26" width="12.33203125" bestFit="1" customWidth="1"/>
    <col min="27" max="28" width="9" bestFit="1" customWidth="1"/>
    <col min="30" max="30" width="12.33203125" bestFit="1" customWidth="1"/>
    <col min="31" max="32" width="9" bestFit="1" customWidth="1"/>
  </cols>
  <sheetData>
    <row r="2" spans="4:25" x14ac:dyDescent="0.15">
      <c r="D2" t="s">
        <v>2850</v>
      </c>
    </row>
    <row r="3" spans="4:25" x14ac:dyDescent="0.15">
      <c r="D3" t="s">
        <v>2851</v>
      </c>
    </row>
    <row r="5" spans="4:25" x14ac:dyDescent="0.15">
      <c r="D5" s="2" t="s">
        <v>585</v>
      </c>
    </row>
    <row r="6" spans="4:25" x14ac:dyDescent="0.15">
      <c r="D6" t="s">
        <v>2852</v>
      </c>
    </row>
    <row r="8" spans="4:25" x14ac:dyDescent="0.15">
      <c r="D8" s="2" t="s">
        <v>2795</v>
      </c>
    </row>
    <row r="9" spans="4:25" x14ac:dyDescent="0.15">
      <c r="D9" s="628" t="s">
        <v>2797</v>
      </c>
      <c r="E9" s="628" t="s">
        <v>1219</v>
      </c>
      <c r="F9" s="628" t="s">
        <v>2798</v>
      </c>
      <c r="G9" s="628" t="s">
        <v>2799</v>
      </c>
      <c r="H9" s="628" t="s">
        <v>2800</v>
      </c>
      <c r="I9" s="628" t="s">
        <v>2801</v>
      </c>
      <c r="J9" s="628" t="s">
        <v>2802</v>
      </c>
      <c r="K9" s="628" t="s">
        <v>2803</v>
      </c>
      <c r="L9" s="628" t="s">
        <v>2804</v>
      </c>
      <c r="M9" s="628" t="s">
        <v>2805</v>
      </c>
      <c r="N9" s="628" t="s">
        <v>419</v>
      </c>
      <c r="T9" s="628" t="s">
        <v>1219</v>
      </c>
      <c r="U9" s="1644" t="s">
        <v>2814</v>
      </c>
      <c r="V9" s="1644" t="s">
        <v>2815</v>
      </c>
      <c r="W9" s="1644" t="s">
        <v>2816</v>
      </c>
      <c r="X9" s="1644" t="s">
        <v>2817</v>
      </c>
      <c r="Y9" s="628" t="s">
        <v>419</v>
      </c>
    </row>
    <row r="10" spans="4:25" x14ac:dyDescent="0.15">
      <c r="D10" s="38">
        <v>396</v>
      </c>
      <c r="E10" s="1614">
        <f>D10/3.6</f>
        <v>110</v>
      </c>
      <c r="F10" s="1615">
        <v>0.74</v>
      </c>
      <c r="G10" s="1615">
        <v>0.75500000000000012</v>
      </c>
      <c r="H10" s="1615">
        <v>0.76</v>
      </c>
      <c r="I10" s="1615">
        <v>0.74499999999999988</v>
      </c>
      <c r="J10" s="1615">
        <v>0.73846153846153861</v>
      </c>
      <c r="K10" s="1615">
        <v>0.76111111111111107</v>
      </c>
      <c r="L10" s="1615">
        <v>0.75185185185185188</v>
      </c>
      <c r="M10" s="1615">
        <v>0.76285714285714279</v>
      </c>
      <c r="N10" s="1616">
        <f>AVERAGE(F10:M10)</f>
        <v>0.75178520553520545</v>
      </c>
      <c r="P10" s="2">
        <f>EXP(R10)</f>
        <v>1.2138595816036752</v>
      </c>
      <c r="Q10" s="2">
        <f t="array" ref="Q10:R10">LINEST(LN(N10:N13),LN(E10:E13))</f>
        <v>-0.10209921361868478</v>
      </c>
      <c r="R10">
        <v>0.19380502005266015</v>
      </c>
      <c r="T10" s="1614">
        <f>E10</f>
        <v>110</v>
      </c>
      <c r="U10" s="1615">
        <v>0.7390000000000001</v>
      </c>
      <c r="V10" s="1615">
        <v>0.7370000000000001</v>
      </c>
      <c r="W10" s="1615">
        <v>0.73599999999999999</v>
      </c>
      <c r="X10" s="1615">
        <v>0.73714285714285721</v>
      </c>
      <c r="Y10" s="1616">
        <f>AVERAGE(U10:X10)</f>
        <v>0.73728571428571432</v>
      </c>
    </row>
    <row r="11" spans="4:25" x14ac:dyDescent="0.15">
      <c r="D11" s="344">
        <v>328</v>
      </c>
      <c r="E11" s="279">
        <f t="shared" ref="E11:E13" si="0">D11/3.6</f>
        <v>91.111111111111114</v>
      </c>
      <c r="F11" s="733">
        <v>0.75500000000000012</v>
      </c>
      <c r="G11" s="733">
        <v>0.76500000000000001</v>
      </c>
      <c r="H11" s="733">
        <v>0.77200000000000002</v>
      </c>
      <c r="I11" s="733">
        <v>0.76</v>
      </c>
      <c r="J11" s="733">
        <v>0.75384615384615394</v>
      </c>
      <c r="K11" s="733">
        <v>0.77222222222222225</v>
      </c>
      <c r="L11" s="733">
        <v>0.76666666666666661</v>
      </c>
      <c r="M11" s="733">
        <v>0.77428571428571435</v>
      </c>
      <c r="N11" s="1616">
        <f t="shared" ref="N11:N12" si="1">AVERAGE(F11:M11)</f>
        <v>0.76487759462759453</v>
      </c>
      <c r="P11" s="2"/>
      <c r="Q11" s="2"/>
      <c r="T11" s="1614">
        <f t="shared" ref="T11:T13" si="2">E11</f>
        <v>91.111111111111114</v>
      </c>
      <c r="U11" s="733">
        <v>0.75300000000000011</v>
      </c>
      <c r="V11" s="733">
        <v>0.75100000000000011</v>
      </c>
      <c r="W11" s="733">
        <v>0.75</v>
      </c>
      <c r="X11" s="733">
        <v>0.75142857142857145</v>
      </c>
      <c r="Y11" s="1616">
        <f>AVERAGE(U11:X11)</f>
        <v>0.75135714285714295</v>
      </c>
    </row>
    <row r="12" spans="4:25" x14ac:dyDescent="0.15">
      <c r="D12" s="344">
        <v>270</v>
      </c>
      <c r="E12" s="279">
        <f t="shared" si="0"/>
        <v>75</v>
      </c>
      <c r="F12" s="733">
        <v>0.76999999999999991</v>
      </c>
      <c r="G12" s="733">
        <v>0.78499999999999992</v>
      </c>
      <c r="H12" s="733">
        <v>0.78799999999999992</v>
      </c>
      <c r="I12" s="733">
        <v>0.77500000000000002</v>
      </c>
      <c r="J12" s="733">
        <v>0.76923076923076927</v>
      </c>
      <c r="K12" s="733">
        <v>0.78888888888888886</v>
      </c>
      <c r="L12" s="733">
        <v>0.78148148148148155</v>
      </c>
      <c r="M12" s="733">
        <v>0.79142857142857137</v>
      </c>
      <c r="N12" s="1616">
        <f t="shared" si="1"/>
        <v>0.78112871387871374</v>
      </c>
      <c r="T12" s="1614">
        <f t="shared" si="2"/>
        <v>75</v>
      </c>
      <c r="U12" s="733">
        <v>0.76800000000000002</v>
      </c>
      <c r="V12" s="733">
        <v>0.76700000000000013</v>
      </c>
      <c r="W12" s="733">
        <v>0.76600000000000001</v>
      </c>
      <c r="X12" s="733">
        <v>0.76666666666666672</v>
      </c>
      <c r="Y12" s="1616">
        <f>AVERAGE(U12:X12)</f>
        <v>0.76691666666666669</v>
      </c>
    </row>
    <row r="13" spans="4:25" x14ac:dyDescent="0.15">
      <c r="D13" s="344">
        <v>216</v>
      </c>
      <c r="E13" s="279">
        <f t="shared" si="0"/>
        <v>60</v>
      </c>
      <c r="F13" s="733">
        <v>0.79</v>
      </c>
      <c r="G13" s="733">
        <v>0.8</v>
      </c>
      <c r="H13" s="733">
        <v>0.80400000000000005</v>
      </c>
      <c r="I13" s="733">
        <v>0.79499999999999993</v>
      </c>
      <c r="J13" s="733">
        <v>0.79230769230769238</v>
      </c>
      <c r="K13" s="733">
        <v>0.80555555555555558</v>
      </c>
      <c r="L13" s="733">
        <v>0.8</v>
      </c>
      <c r="M13" s="733">
        <v>0.80857142857142861</v>
      </c>
      <c r="N13" s="1616">
        <f>AVERAGE(F13:M13)</f>
        <v>0.79942933455433451</v>
      </c>
      <c r="P13">
        <v>70</v>
      </c>
      <c r="Q13" t="s">
        <v>470</v>
      </c>
      <c r="T13" s="1614">
        <f t="shared" si="2"/>
        <v>60</v>
      </c>
      <c r="U13" s="733">
        <v>0.78700000000000014</v>
      </c>
      <c r="V13" s="733">
        <v>0.78599999999999992</v>
      </c>
      <c r="W13" s="733">
        <v>0.78500000000000014</v>
      </c>
      <c r="X13" s="733">
        <v>0.7857142857142857</v>
      </c>
      <c r="Y13" s="1616">
        <f>AVERAGE(U13:X13)</f>
        <v>0.78592857142857142</v>
      </c>
    </row>
    <row r="14" spans="4:25" x14ac:dyDescent="0.15">
      <c r="P14" s="1537">
        <f>P10*P13^Q10</f>
        <v>0.78665696430023235</v>
      </c>
    </row>
    <row r="16" spans="4:25" x14ac:dyDescent="0.15">
      <c r="P16" s="2" t="s">
        <v>2806</v>
      </c>
    </row>
    <row r="17" spans="16:21" x14ac:dyDescent="0.15">
      <c r="P17" s="4" t="s">
        <v>1219</v>
      </c>
      <c r="Q17" s="4" t="s">
        <v>2807</v>
      </c>
    </row>
    <row r="18" spans="16:21" x14ac:dyDescent="0.15">
      <c r="P18" s="1645">
        <v>18</v>
      </c>
      <c r="Q18" s="1646">
        <f>T18</f>
        <v>0.85</v>
      </c>
      <c r="R18" s="314">
        <f>Q18*100</f>
        <v>85</v>
      </c>
      <c r="T18" s="1619">
        <v>0.85</v>
      </c>
      <c r="U18" t="s">
        <v>2853</v>
      </c>
    </row>
    <row r="19" spans="16:21" x14ac:dyDescent="0.15">
      <c r="P19" s="1645">
        <v>37</v>
      </c>
      <c r="Q19" s="1646">
        <f t="shared" ref="Q19:Q24" si="3">$P$10*P19^$Q$10</f>
        <v>0.83956879413043672</v>
      </c>
      <c r="R19" s="314">
        <f t="shared" ref="R19:R24" si="4">Q19*100</f>
        <v>83.956879413043666</v>
      </c>
    </row>
    <row r="20" spans="16:21" x14ac:dyDescent="0.15">
      <c r="P20" s="1645">
        <v>50</v>
      </c>
      <c r="Q20" s="1646">
        <f t="shared" si="3"/>
        <v>0.81415097886302568</v>
      </c>
      <c r="R20" s="314">
        <f t="shared" si="4"/>
        <v>81.415097886302561</v>
      </c>
    </row>
    <row r="21" spans="16:21" x14ac:dyDescent="0.15">
      <c r="P21" s="1645">
        <v>70</v>
      </c>
      <c r="Q21" s="1646">
        <f t="shared" si="3"/>
        <v>0.78665696430023235</v>
      </c>
      <c r="R21" s="314">
        <f t="shared" si="4"/>
        <v>78.665696430023232</v>
      </c>
    </row>
    <row r="22" spans="16:21" x14ac:dyDescent="0.15">
      <c r="P22" s="1645">
        <v>90</v>
      </c>
      <c r="Q22" s="1646">
        <f t="shared" si="3"/>
        <v>0.76672888956679253</v>
      </c>
      <c r="R22" s="314">
        <f t="shared" si="4"/>
        <v>76.672888956679259</v>
      </c>
    </row>
    <row r="23" spans="16:21" x14ac:dyDescent="0.15">
      <c r="P23" s="1645">
        <v>115</v>
      </c>
      <c r="Q23" s="1646">
        <f t="shared" si="3"/>
        <v>0.7477782374760451</v>
      </c>
      <c r="R23" s="314">
        <f t="shared" si="4"/>
        <v>74.777823747604515</v>
      </c>
    </row>
    <row r="24" spans="16:21" x14ac:dyDescent="0.15">
      <c r="P24" s="1645">
        <v>140</v>
      </c>
      <c r="Q24" s="1646">
        <f t="shared" si="3"/>
        <v>0.73290969396373318</v>
      </c>
      <c r="R24" s="314">
        <f t="shared" si="4"/>
        <v>73.290969396373313</v>
      </c>
    </row>
    <row r="25" spans="16:21" x14ac:dyDescent="0.15">
      <c r="P25" s="4"/>
    </row>
    <row r="26" spans="16:21" x14ac:dyDescent="0.15">
      <c r="P26" t="s">
        <v>2854</v>
      </c>
    </row>
    <row r="27" spans="16:21" x14ac:dyDescent="0.15">
      <c r="P27" t="s">
        <v>2809</v>
      </c>
    </row>
    <row r="28" spans="16:21" x14ac:dyDescent="0.15">
      <c r="P28" t="s">
        <v>2810</v>
      </c>
    </row>
    <row r="41" spans="4:30" x14ac:dyDescent="0.15">
      <c r="D41" s="2" t="s">
        <v>2811</v>
      </c>
      <c r="F41" s="2" t="s">
        <v>2855</v>
      </c>
      <c r="T41" s="2" t="s">
        <v>2812</v>
      </c>
    </row>
    <row r="42" spans="4:30" x14ac:dyDescent="0.15">
      <c r="F42" s="628" t="s">
        <v>2798</v>
      </c>
      <c r="G42" s="628" t="s">
        <v>2799</v>
      </c>
      <c r="H42" s="628" t="s">
        <v>2800</v>
      </c>
      <c r="I42" s="628" t="s">
        <v>2801</v>
      </c>
      <c r="J42" s="628" t="s">
        <v>2802</v>
      </c>
      <c r="K42" s="628" t="s">
        <v>2803</v>
      </c>
      <c r="L42" s="628" t="s">
        <v>2804</v>
      </c>
      <c r="M42" s="628" t="s">
        <v>2231</v>
      </c>
      <c r="T42" s="628" t="s">
        <v>2814</v>
      </c>
      <c r="U42" s="628" t="s">
        <v>2815</v>
      </c>
      <c r="V42" s="628" t="s">
        <v>2816</v>
      </c>
      <c r="W42" s="628" t="s">
        <v>2817</v>
      </c>
      <c r="X42" s="628" t="s">
        <v>2231</v>
      </c>
    </row>
    <row r="43" spans="4:30" x14ac:dyDescent="0.15">
      <c r="D43" s="95" t="s">
        <v>2818</v>
      </c>
      <c r="E43" s="75"/>
      <c r="F43" s="1620">
        <v>25</v>
      </c>
      <c r="G43" s="1620">
        <v>25</v>
      </c>
      <c r="H43" s="1620">
        <v>22</v>
      </c>
      <c r="I43" s="1620">
        <v>22</v>
      </c>
      <c r="J43" s="1620">
        <v>20</v>
      </c>
      <c r="K43" s="1620">
        <v>20</v>
      </c>
      <c r="L43" s="1620">
        <v>20</v>
      </c>
      <c r="M43" s="1647">
        <f>G55</f>
        <v>20</v>
      </c>
      <c r="T43" s="1620">
        <v>25</v>
      </c>
      <c r="U43" s="1620">
        <v>25</v>
      </c>
      <c r="V43" s="1620">
        <v>25</v>
      </c>
      <c r="W43" s="1620">
        <v>25</v>
      </c>
      <c r="X43" s="1647">
        <f>V55</f>
        <v>25</v>
      </c>
    </row>
    <row r="44" spans="4:30" x14ac:dyDescent="0.15">
      <c r="D44" s="95" t="s">
        <v>2819</v>
      </c>
      <c r="E44" s="75"/>
      <c r="F44" s="1620">
        <v>26.9</v>
      </c>
      <c r="G44" s="1620">
        <v>50</v>
      </c>
      <c r="H44" s="1620">
        <v>46.5</v>
      </c>
      <c r="I44" s="1620">
        <v>43.8</v>
      </c>
      <c r="J44" s="1620">
        <v>36.799999999999997</v>
      </c>
      <c r="K44" s="1620">
        <v>58.4</v>
      </c>
      <c r="L44" s="1620">
        <v>36.799999999999997</v>
      </c>
      <c r="M44" s="1647">
        <f>G56*100</f>
        <v>35</v>
      </c>
      <c r="T44" s="1620">
        <v>50</v>
      </c>
      <c r="U44" s="1620">
        <v>50</v>
      </c>
      <c r="V44" s="1620">
        <v>50</v>
      </c>
      <c r="W44" s="1620">
        <v>50</v>
      </c>
      <c r="X44" s="1647">
        <f>V56*100</f>
        <v>50</v>
      </c>
    </row>
    <row r="45" spans="4:30" x14ac:dyDescent="0.15">
      <c r="D45" s="95" t="s">
        <v>2820</v>
      </c>
      <c r="E45" s="75"/>
      <c r="F45" s="1622">
        <v>5.28</v>
      </c>
      <c r="G45" s="1622">
        <v>9.8800000000000008</v>
      </c>
      <c r="H45" s="1622">
        <v>7.64</v>
      </c>
      <c r="I45" s="1622">
        <v>7.19</v>
      </c>
      <c r="J45" s="1622">
        <v>5.33</v>
      </c>
      <c r="K45" s="1622">
        <v>8.5</v>
      </c>
      <c r="L45" s="1622">
        <v>5.33</v>
      </c>
      <c r="M45" s="627">
        <f>G57</f>
        <v>5.0522031878521858</v>
      </c>
      <c r="T45" s="1622">
        <v>9.8800000000000008</v>
      </c>
      <c r="U45" s="1622">
        <v>9.8800000000000008</v>
      </c>
      <c r="V45" s="1622">
        <v>9.8800000000000008</v>
      </c>
      <c r="W45" s="1622">
        <v>9.8800000000000008</v>
      </c>
      <c r="X45" s="627">
        <f>V57</f>
        <v>9.8525879076250362</v>
      </c>
    </row>
    <row r="46" spans="4:30" x14ac:dyDescent="0.15">
      <c r="D46" s="95" t="s">
        <v>2821</v>
      </c>
      <c r="E46" s="75"/>
      <c r="F46" s="1620">
        <v>5</v>
      </c>
      <c r="G46" s="1620">
        <v>5</v>
      </c>
      <c r="H46" s="1620">
        <v>-3</v>
      </c>
      <c r="I46" s="1620">
        <v>2</v>
      </c>
      <c r="J46" s="1620">
        <v>7</v>
      </c>
      <c r="K46" s="1620">
        <v>2</v>
      </c>
      <c r="L46" s="1620">
        <v>-7</v>
      </c>
      <c r="M46" s="1647">
        <f>G59</f>
        <v>7</v>
      </c>
      <c r="T46" s="1620">
        <v>35</v>
      </c>
      <c r="U46" s="1620">
        <v>35</v>
      </c>
      <c r="V46" s="1620">
        <v>35</v>
      </c>
      <c r="W46" s="1620">
        <v>46</v>
      </c>
      <c r="X46" s="1647">
        <f>V59</f>
        <v>35</v>
      </c>
    </row>
    <row r="47" spans="4:30" x14ac:dyDescent="0.15">
      <c r="D47" s="95" t="s">
        <v>2822</v>
      </c>
      <c r="E47" s="75"/>
      <c r="F47" s="1620">
        <v>70</v>
      </c>
      <c r="G47" s="1620">
        <v>71.5</v>
      </c>
      <c r="H47" s="1620">
        <v>93.7</v>
      </c>
      <c r="I47" s="1620">
        <v>80.400000000000006</v>
      </c>
      <c r="J47" s="1620">
        <v>65</v>
      </c>
      <c r="K47" s="1620">
        <v>83.6</v>
      </c>
      <c r="L47" s="1620">
        <v>74.3</v>
      </c>
      <c r="M47" s="1647">
        <f>G60*100</f>
        <v>55.000000000000007</v>
      </c>
      <c r="T47" s="1620">
        <v>39.6</v>
      </c>
      <c r="U47" s="1620">
        <v>48.7</v>
      </c>
      <c r="V47" s="1620">
        <v>58.6</v>
      </c>
      <c r="W47" s="1620">
        <v>28.1</v>
      </c>
      <c r="X47" s="1647">
        <f>V60*100</f>
        <v>45</v>
      </c>
    </row>
    <row r="48" spans="4:30" x14ac:dyDescent="0.15">
      <c r="D48" s="95" t="s">
        <v>2823</v>
      </c>
      <c r="E48" s="75"/>
      <c r="F48" s="1622">
        <v>3.77</v>
      </c>
      <c r="G48" s="1622">
        <v>3.85</v>
      </c>
      <c r="H48" s="1622">
        <v>2.83</v>
      </c>
      <c r="I48" s="1622">
        <v>3.5</v>
      </c>
      <c r="J48" s="1622">
        <v>4.0199999999999996</v>
      </c>
      <c r="K48" s="1622">
        <v>3.64</v>
      </c>
      <c r="L48" s="1622">
        <v>1.65</v>
      </c>
      <c r="M48" s="627">
        <f>G61</f>
        <v>3.3972871410816272</v>
      </c>
      <c r="T48" s="1622">
        <v>13.98</v>
      </c>
      <c r="U48" s="1622">
        <v>17.28</v>
      </c>
      <c r="V48" s="1622">
        <v>20.91</v>
      </c>
      <c r="W48" s="1622">
        <v>17.89</v>
      </c>
      <c r="X48" s="627">
        <f>V61</f>
        <v>15.900771910871322</v>
      </c>
      <c r="AD48">
        <v>0.5</v>
      </c>
    </row>
    <row r="49" spans="4:32" x14ac:dyDescent="0.15">
      <c r="D49" s="628" t="s">
        <v>2797</v>
      </c>
      <c r="E49" s="628" t="s">
        <v>1219</v>
      </c>
      <c r="F49" s="1627">
        <f>F45-F48</f>
        <v>1.5100000000000002</v>
      </c>
      <c r="G49" s="1627">
        <f t="shared" ref="G49:L49" si="5">G45-G48</f>
        <v>6.0300000000000011</v>
      </c>
      <c r="H49" s="1627">
        <f t="shared" si="5"/>
        <v>4.8099999999999996</v>
      </c>
      <c r="I49" s="1627">
        <f t="shared" si="5"/>
        <v>3.6900000000000004</v>
      </c>
      <c r="J49" s="1627">
        <f t="shared" si="5"/>
        <v>1.3100000000000005</v>
      </c>
      <c r="K49" s="1627">
        <f t="shared" si="5"/>
        <v>4.8599999999999994</v>
      </c>
      <c r="L49" s="1627">
        <f t="shared" si="5"/>
        <v>3.68</v>
      </c>
      <c r="M49" s="627">
        <f>G63</f>
        <v>1.6549160467705586</v>
      </c>
      <c r="S49" s="628" t="s">
        <v>1219</v>
      </c>
      <c r="T49" s="1627">
        <v>4.0999999999999996</v>
      </c>
      <c r="U49" s="1627">
        <v>7.4</v>
      </c>
      <c r="V49" s="1627">
        <v>11.03</v>
      </c>
      <c r="W49" s="1627">
        <v>8.01</v>
      </c>
      <c r="X49" s="627">
        <f>X48-X45</f>
        <v>6.0481840032462859</v>
      </c>
      <c r="AD49" t="s">
        <v>2856</v>
      </c>
      <c r="AE49" t="s">
        <v>2857</v>
      </c>
    </row>
    <row r="50" spans="4:32" x14ac:dyDescent="0.15">
      <c r="D50" s="38">
        <v>396</v>
      </c>
      <c r="E50" s="1614">
        <f>D50/3.6</f>
        <v>110</v>
      </c>
      <c r="F50" s="1615">
        <v>0.25827814569536428</v>
      </c>
      <c r="G50" s="1615">
        <v>0.50248756218905455</v>
      </c>
      <c r="H50" s="1615">
        <v>0.50935550935550944</v>
      </c>
      <c r="I50" s="1615">
        <v>0.43631436314363148</v>
      </c>
      <c r="J50" s="1615">
        <v>0.23664122137404608</v>
      </c>
      <c r="K50" s="1615">
        <v>0.48971193415637854</v>
      </c>
      <c r="L50" s="1615">
        <v>0.47826086956521741</v>
      </c>
      <c r="M50" s="616">
        <f>O50*$M$49^2+P50*$M$49+Q50</f>
        <v>0.27814907493292285</v>
      </c>
      <c r="O50" s="2">
        <f t="array" ref="O50:Q50">LINEST(F50:L50,$F$49:$L$49^{1;2})</f>
        <v>-1.5698304561106609E-2</v>
      </c>
      <c r="P50" s="2">
        <v>0.1717451951032779</v>
      </c>
      <c r="Q50">
        <v>3.6918882035559764E-2</v>
      </c>
      <c r="S50" s="1614">
        <f>E50</f>
        <v>110</v>
      </c>
      <c r="T50" s="1615">
        <v>0.28536585365853662</v>
      </c>
      <c r="U50" s="1615">
        <v>0.36486486486486497</v>
      </c>
      <c r="V50" s="1615">
        <v>0.4188576609247508</v>
      </c>
      <c r="W50" s="1615">
        <v>0.30961298377028718</v>
      </c>
      <c r="X50" s="616">
        <f>Z50*$X$49^2+AA50*$X$49+AB50</f>
        <v>0.33580133456317829</v>
      </c>
      <c r="Z50" s="2">
        <f t="array" ref="Z50:AB50">LINEST(T50:V50,$T$49:$V$49^{1;2})</f>
        <v>-1.3299510757744833E-3</v>
      </c>
      <c r="AA50" s="2">
        <v>3.9385046827869682E-2</v>
      </c>
      <c r="AB50">
        <v>0.14624363924803993</v>
      </c>
      <c r="AD50" s="1537">
        <f>Z50*$AD$48^2+AA50*$AD$48+AB50</f>
        <v>0.16560367489303116</v>
      </c>
    </row>
    <row r="51" spans="4:32" x14ac:dyDescent="0.15">
      <c r="D51" s="344">
        <v>328</v>
      </c>
      <c r="E51" s="279">
        <f t="shared" ref="E51:E53" si="6">D51/3.6</f>
        <v>91.111111111111114</v>
      </c>
      <c r="F51" s="733">
        <v>0.29139072847682113</v>
      </c>
      <c r="G51" s="733">
        <v>0.53399668325041449</v>
      </c>
      <c r="H51" s="733">
        <v>0.53846153846153844</v>
      </c>
      <c r="I51" s="733">
        <v>0.46612466124661234</v>
      </c>
      <c r="J51" s="733">
        <v>0.26717557251908425</v>
      </c>
      <c r="K51" s="733">
        <v>0.5185185185185186</v>
      </c>
      <c r="L51" s="733">
        <v>0.50815217391304346</v>
      </c>
      <c r="M51" s="616">
        <f t="shared" ref="M51:M53" si="7">O51*$M$49^2+P51*$M$49+Q51</f>
        <v>0.30952762468949319</v>
      </c>
      <c r="O51" s="2">
        <f t="array" ref="O51:Q51">LINEST(F51:L51,$F$49:$L$49^{1;2})</f>
        <v>-1.5334158997455435E-2</v>
      </c>
      <c r="P51" s="2">
        <v>0.16884354247731898</v>
      </c>
      <c r="Q51">
        <v>7.2102120670596237E-2</v>
      </c>
      <c r="S51" s="1614">
        <f t="shared" ref="S51:S53" si="8">E51</f>
        <v>91.111111111111114</v>
      </c>
      <c r="T51" s="733">
        <v>0.31463414634146369</v>
      </c>
      <c r="U51" s="733">
        <v>0.39594594594594612</v>
      </c>
      <c r="V51" s="733">
        <v>0.45058930190389856</v>
      </c>
      <c r="W51" s="733">
        <v>0.34332084893882647</v>
      </c>
      <c r="X51" s="616">
        <f t="shared" ref="X51:X53" si="9">Z51*$X$49^2+AA51*$X$49+AB51</f>
        <v>0.3662804754007275</v>
      </c>
      <c r="Z51" s="2">
        <f t="array" ref="Z51:AB51">LINEST(T51:V51,$T$49:$V$49^{1;2})</f>
        <v>-1.3833583217844781E-3</v>
      </c>
      <c r="AA51" s="2">
        <v>4.0548559974607067E-2</v>
      </c>
      <c r="AB51">
        <v>0.17163930383477183</v>
      </c>
      <c r="AD51" s="1537">
        <f t="shared" ref="AD51:AD53" si="10">Z51*$AD$48^2+AA51*$AD$48+AB51</f>
        <v>0.19156774424162926</v>
      </c>
    </row>
    <row r="52" spans="4:32" x14ac:dyDescent="0.15">
      <c r="D52" s="344">
        <v>270</v>
      </c>
      <c r="E52" s="279">
        <f t="shared" si="6"/>
        <v>75</v>
      </c>
      <c r="F52" s="733">
        <v>0.31788079470198671</v>
      </c>
      <c r="G52" s="733">
        <v>0.55887230514096164</v>
      </c>
      <c r="H52" s="733">
        <v>0.56548856548856552</v>
      </c>
      <c r="I52" s="733">
        <v>0.49322493224932251</v>
      </c>
      <c r="J52" s="733">
        <v>0.29007633587786308</v>
      </c>
      <c r="K52" s="733">
        <v>0.54526748971193417</v>
      </c>
      <c r="L52" s="733">
        <v>0.53260869565217384</v>
      </c>
      <c r="M52" s="616">
        <f t="shared" si="7"/>
        <v>0.33438096586606081</v>
      </c>
      <c r="O52" s="2">
        <f t="array" ref="O52:Q52">LINEST(F52:L52,$F$49:$L$49^{1;2})</f>
        <v>-1.5620939820561319E-2</v>
      </c>
      <c r="P52" s="2">
        <v>0.17114325440442704</v>
      </c>
      <c r="Q52">
        <v>9.3935051829928617E-2</v>
      </c>
      <c r="S52" s="1614">
        <f t="shared" si="8"/>
        <v>75</v>
      </c>
      <c r="T52" s="733">
        <v>0.34146341463414648</v>
      </c>
      <c r="U52" s="733">
        <v>0.42162162162162176</v>
      </c>
      <c r="V52" s="733">
        <v>0.47688123300090662</v>
      </c>
      <c r="W52" s="733">
        <v>0.37078651685393266</v>
      </c>
      <c r="X52" s="616">
        <f t="shared" si="9"/>
        <v>0.39223134666715459</v>
      </c>
      <c r="Z52" s="2">
        <f t="array" ref="Z52:AB52">LINEST(T52:V52,$T$49:$V$49^{1;2})</f>
        <v>-1.3084173616105118E-3</v>
      </c>
      <c r="AA52" s="2">
        <v>3.9337165412301263E-2</v>
      </c>
      <c r="AB52">
        <v>0.202175532292384</v>
      </c>
      <c r="AD52" s="1537">
        <f t="shared" si="10"/>
        <v>0.22151701065813201</v>
      </c>
    </row>
    <row r="53" spans="4:32" x14ac:dyDescent="0.15">
      <c r="D53" s="344">
        <v>216</v>
      </c>
      <c r="E53" s="279">
        <f t="shared" si="6"/>
        <v>60</v>
      </c>
      <c r="F53" s="733">
        <v>0.33774834437086104</v>
      </c>
      <c r="G53" s="733">
        <v>0.58540630182421216</v>
      </c>
      <c r="H53" s="733">
        <v>0.59043659043659047</v>
      </c>
      <c r="I53" s="733">
        <v>0.51761517615176145</v>
      </c>
      <c r="J53" s="733">
        <v>0.32061068702290124</v>
      </c>
      <c r="K53" s="733">
        <v>0.56995884773662564</v>
      </c>
      <c r="L53" s="733">
        <v>0.55978260869565222</v>
      </c>
      <c r="M53" s="616">
        <f t="shared" si="7"/>
        <v>0.35982192178734418</v>
      </c>
      <c r="O53" s="2">
        <f t="array" ref="O53:Q53">LINEST(F53:L53,$F$49:$L$49^{1;2})</f>
        <v>-1.5421885610395302E-2</v>
      </c>
      <c r="P53" s="2">
        <v>0.16982367748000768</v>
      </c>
      <c r="Q53">
        <v>0.1210146376331957</v>
      </c>
      <c r="S53" s="1614">
        <f t="shared" si="8"/>
        <v>60</v>
      </c>
      <c r="T53" s="733">
        <v>0.36829268292682926</v>
      </c>
      <c r="U53" s="733">
        <v>0.44729729729729734</v>
      </c>
      <c r="V53" s="733">
        <v>0.50226654578422492</v>
      </c>
      <c r="W53" s="733">
        <v>0.39700374531835203</v>
      </c>
      <c r="X53" s="616">
        <f t="shared" si="9"/>
        <v>0.41827713235009828</v>
      </c>
      <c r="Z53" s="2">
        <f t="array" ref="Z53:AB53">LINEST(T53:V53,$T$49:$V$49^{1;2})</f>
        <v>-1.2695163886240297E-3</v>
      </c>
      <c r="AA53" s="2">
        <v>3.8540230702651501E-2</v>
      </c>
      <c r="AB53">
        <v>0.23161830753872803</v>
      </c>
      <c r="AD53" s="1537">
        <f t="shared" si="10"/>
        <v>0.2505710437928978</v>
      </c>
    </row>
    <row r="55" spans="4:32" x14ac:dyDescent="0.15">
      <c r="D55" t="s">
        <v>228</v>
      </c>
      <c r="G55" s="110">
        <f>'R-series ENT'!T39</f>
        <v>20</v>
      </c>
      <c r="H55" t="s">
        <v>230</v>
      </c>
      <c r="O55">
        <f t="array" ref="O55:Q55">LINEST(M50:M53,E50:E53^{1,2})</f>
        <v>2.0703572684560968E-7</v>
      </c>
      <c r="P55">
        <v>-1.6599271629713745E-3</v>
      </c>
      <c r="Q55">
        <v>0.45841646534454505</v>
      </c>
      <c r="S55" t="s">
        <v>228</v>
      </c>
      <c r="V55" s="110">
        <f>'R-series ENT'!T47</f>
        <v>25</v>
      </c>
      <c r="W55" t="s">
        <v>230</v>
      </c>
      <c r="Z55">
        <f t="array" ref="Z55:AB55">LINEST(X50:X53,S50:S53^{1,2})</f>
        <v>1.6987563266054231E-6</v>
      </c>
      <c r="AA55">
        <v>-1.9339836892470626E-3</v>
      </c>
      <c r="AB55">
        <v>0.52807398555975904</v>
      </c>
      <c r="AD55">
        <f t="array" ref="AD55:AF55">LINEST(AD50:AD53,S50:S53^{1,2})</f>
        <v>8.9422438056962722E-6</v>
      </c>
      <c r="AE55">
        <v>-3.2314117449807975E-3</v>
      </c>
      <c r="AF55">
        <v>0.41261196327444016</v>
      </c>
    </row>
    <row r="56" spans="4:32" x14ac:dyDescent="0.15">
      <c r="D56" t="s">
        <v>2824</v>
      </c>
      <c r="G56" s="1537">
        <f>'R-series ENT'!T40/100</f>
        <v>0.35</v>
      </c>
      <c r="H56" t="s">
        <v>2825</v>
      </c>
      <c r="S56" t="s">
        <v>2824</v>
      </c>
      <c r="V56" s="1537">
        <f>'R-series ENT'!T48/100</f>
        <v>0.5</v>
      </c>
      <c r="W56" t="s">
        <v>2825</v>
      </c>
    </row>
    <row r="57" spans="4:32" x14ac:dyDescent="0.15">
      <c r="D57" t="s">
        <v>2826</v>
      </c>
      <c r="G57" s="314">
        <f>1000*0.62198*(G56*(6.112*EXP((17.62*G55)/(243.12+G55))))/(1013.25-(G56*(6.112*EXP((17.62*G55)/(243.12+G55)))))</f>
        <v>5.0522031878521858</v>
      </c>
      <c r="H57" t="s">
        <v>2827</v>
      </c>
      <c r="S57" t="s">
        <v>2826</v>
      </c>
      <c r="V57" s="314">
        <f>1000*0.62198*(V56*(6.112*EXP((17.62*V55)/(243.12+V55))))/(1013.25-(V56*(6.112*EXP((17.62*V55)/(243.12+V55)))))</f>
        <v>9.8525879076250362</v>
      </c>
      <c r="W57" t="s">
        <v>2827</v>
      </c>
      <c r="AD57" t="s">
        <v>2856</v>
      </c>
      <c r="AE57" s="1631">
        <f>AD55*V64^2+AE55*V64+AF55</f>
        <v>0.3111912282607554</v>
      </c>
      <c r="AF57">
        <v>0.5</v>
      </c>
    </row>
    <row r="59" spans="4:32" x14ac:dyDescent="0.15">
      <c r="D59" t="s">
        <v>2828</v>
      </c>
      <c r="G59" s="110">
        <f>'R-series ENT'!T41</f>
        <v>7</v>
      </c>
      <c r="H59" t="s">
        <v>230</v>
      </c>
      <c r="S59" t="s">
        <v>2828</v>
      </c>
      <c r="V59" s="110">
        <f>'R-series ENT'!T49</f>
        <v>35</v>
      </c>
      <c r="W59" t="s">
        <v>230</v>
      </c>
    </row>
    <row r="60" spans="4:32" x14ac:dyDescent="0.15">
      <c r="D60" t="s">
        <v>2824</v>
      </c>
      <c r="G60" s="618">
        <f>'R-series ENT'!T42/100</f>
        <v>0.55000000000000004</v>
      </c>
      <c r="H60" t="s">
        <v>2825</v>
      </c>
      <c r="S60" t="s">
        <v>2824</v>
      </c>
      <c r="V60" s="618">
        <f>'R-series ENT'!T50/100</f>
        <v>0.45</v>
      </c>
      <c r="W60" t="s">
        <v>2825</v>
      </c>
    </row>
    <row r="61" spans="4:32" x14ac:dyDescent="0.15">
      <c r="D61" t="s">
        <v>2826</v>
      </c>
      <c r="G61" s="314">
        <f>1000*0.62198*(G60*(6.112*EXP((17.62*G59)/(243.12+G59))))/(1013.25-(G60*(6.112*EXP((17.62*G59)/(243.12+G59)))))</f>
        <v>3.3972871410816272</v>
      </c>
      <c r="H61" t="s">
        <v>2827</v>
      </c>
      <c r="S61" t="s">
        <v>2826</v>
      </c>
      <c r="V61" s="314">
        <f>1000*0.62198*(V60*(6.112*EXP((17.62*V59)/(243.12+V59))))/(1013.25-(V60*(6.112*EXP((17.62*V59)/(243.12+V59)))))</f>
        <v>15.900771910871322</v>
      </c>
      <c r="W61" t="s">
        <v>2827</v>
      </c>
    </row>
    <row r="63" spans="4:32" x14ac:dyDescent="0.15">
      <c r="D63" t="s">
        <v>2830</v>
      </c>
      <c r="G63" s="314">
        <f>G57-G61</f>
        <v>1.6549160467705586</v>
      </c>
      <c r="H63" t="s">
        <v>2827</v>
      </c>
      <c r="J63" s="110">
        <f>'R-series ENT'!$E$38</f>
        <v>34.722222222222221</v>
      </c>
      <c r="K63" t="s">
        <v>311</v>
      </c>
      <c r="S63" t="s">
        <v>2830</v>
      </c>
      <c r="V63" s="314">
        <f>V61-V57</f>
        <v>6.0481840032462859</v>
      </c>
      <c r="W63" t="s">
        <v>2827</v>
      </c>
      <c r="Y63" s="110">
        <f>'R-series ENT'!$E$38</f>
        <v>34.722222222222221</v>
      </c>
      <c r="Z63" t="s">
        <v>311</v>
      </c>
    </row>
    <row r="64" spans="4:32" x14ac:dyDescent="0.15">
      <c r="D64" t="s">
        <v>485</v>
      </c>
      <c r="G64" s="110">
        <f>'R-series ENT'!E38</f>
        <v>34.722222222222221</v>
      </c>
      <c r="H64" t="s">
        <v>1219</v>
      </c>
      <c r="J64" s="110">
        <f>'R-series ENT'!$G$38</f>
        <v>34.722222222222221</v>
      </c>
      <c r="K64" t="s">
        <v>312</v>
      </c>
      <c r="S64" t="s">
        <v>485</v>
      </c>
      <c r="V64" s="110">
        <f>G64</f>
        <v>34.722222222222221</v>
      </c>
      <c r="W64" t="s">
        <v>1219</v>
      </c>
      <c r="Y64" s="110">
        <f>'R-series ENT'!$G$38</f>
        <v>34.722222222222221</v>
      </c>
      <c r="Z64" t="s">
        <v>312</v>
      </c>
    </row>
    <row r="65" spans="6:27" ht="17" x14ac:dyDescent="0.25">
      <c r="J65">
        <f>J63/J64</f>
        <v>1</v>
      </c>
      <c r="K65" t="s">
        <v>297</v>
      </c>
      <c r="L65">
        <f>IF(J64&lt;=J63,1/J65,1/J65*0.95)</f>
        <v>1</v>
      </c>
      <c r="Y65">
        <f>Y64/Y63</f>
        <v>1</v>
      </c>
      <c r="Z65" t="s">
        <v>297</v>
      </c>
      <c r="AA65">
        <f>1/Y65</f>
        <v>1</v>
      </c>
    </row>
    <row r="66" spans="6:27" x14ac:dyDescent="0.15">
      <c r="F66" t="s">
        <v>2831</v>
      </c>
      <c r="G66" s="1629">
        <f>O55*G64^2+P55*G64+Q55</f>
        <v>0.40102971456482622</v>
      </c>
    </row>
    <row r="67" spans="6:27" x14ac:dyDescent="0.15">
      <c r="F67" t="s">
        <v>2832</v>
      </c>
      <c r="G67" s="1630">
        <f>G66-E120/100</f>
        <v>0.41261891945683832</v>
      </c>
      <c r="J67" s="1631">
        <f>G67*L65</f>
        <v>0.41261891945683832</v>
      </c>
      <c r="K67" t="s">
        <v>2833</v>
      </c>
      <c r="U67" t="s">
        <v>2831</v>
      </c>
      <c r="V67" s="1629">
        <f>Z55*V64^2+AA55*V64+AB55</f>
        <v>0.46296985033152072</v>
      </c>
    </row>
    <row r="68" spans="6:27" x14ac:dyDescent="0.15">
      <c r="I68" t="s">
        <v>52</v>
      </c>
      <c r="J68" s="1631">
        <f>IF(J67&lt;0.05,0.05,IF(J67&gt;0.95,0.95,J67))</f>
        <v>0.41261891945683832</v>
      </c>
      <c r="U68" t="s">
        <v>2832</v>
      </c>
      <c r="V68" s="1631">
        <f>V67-T120/100</f>
        <v>0.46510083316547957</v>
      </c>
      <c r="Y68" s="1629">
        <f>V68*AA65</f>
        <v>0.46510083316547957</v>
      </c>
      <c r="Z68" t="s">
        <v>2833</v>
      </c>
    </row>
    <row r="69" spans="6:27" x14ac:dyDescent="0.15">
      <c r="X69" t="s">
        <v>52</v>
      </c>
      <c r="Y69" s="1631">
        <f>IF(Y68&lt;0.05,0.05,IF(Y68&gt;0.95,0.95,Y68))</f>
        <v>0.46510083316547957</v>
      </c>
    </row>
    <row r="92" spans="4:21" x14ac:dyDescent="0.15">
      <c r="D92" t="s">
        <v>2858</v>
      </c>
      <c r="S92" t="s">
        <v>2859</v>
      </c>
    </row>
    <row r="93" spans="4:21" x14ac:dyDescent="0.15">
      <c r="D93" t="s">
        <v>2835</v>
      </c>
      <c r="S93" t="s">
        <v>2835</v>
      </c>
    </row>
    <row r="95" spans="4:21" x14ac:dyDescent="0.15">
      <c r="D95" t="s">
        <v>2836</v>
      </c>
      <c r="S95" t="s">
        <v>2836</v>
      </c>
    </row>
    <row r="96" spans="4:21" x14ac:dyDescent="0.15">
      <c r="D96" t="s">
        <v>312</v>
      </c>
      <c r="E96" s="314">
        <f>G57</f>
        <v>5.0522031878521858</v>
      </c>
      <c r="S96" t="s">
        <v>312</v>
      </c>
      <c r="T96" s="314">
        <f>V57</f>
        <v>9.8525879076250362</v>
      </c>
      <c r="U96" s="1632">
        <f>V55</f>
        <v>25</v>
      </c>
    </row>
    <row r="97" spans="4:22" x14ac:dyDescent="0.15">
      <c r="D97" t="s">
        <v>544</v>
      </c>
      <c r="E97" s="314">
        <f>G61</f>
        <v>3.3972871410816272</v>
      </c>
      <c r="S97" t="s">
        <v>544</v>
      </c>
      <c r="T97" s="314">
        <f>V61</f>
        <v>15.900771910871322</v>
      </c>
      <c r="U97" s="1632">
        <f>V59</f>
        <v>35</v>
      </c>
    </row>
    <row r="98" spans="4:22" x14ac:dyDescent="0.15">
      <c r="D98" t="s">
        <v>2837</v>
      </c>
      <c r="E98" s="314">
        <f>AVERAGE(E96:E97)</f>
        <v>4.2247451644669063</v>
      </c>
      <c r="S98" t="s">
        <v>2837</v>
      </c>
      <c r="T98" s="314">
        <f>AVERAGE(T96:T97)</f>
        <v>12.876679909248178</v>
      </c>
      <c r="U98" s="1632">
        <f>AVERAGE(U96:U97)</f>
        <v>30</v>
      </c>
    </row>
    <row r="99" spans="4:22" x14ac:dyDescent="0.15">
      <c r="D99" t="s">
        <v>2841</v>
      </c>
      <c r="E99" s="314">
        <f>E96-E97</f>
        <v>1.6549160467705586</v>
      </c>
      <c r="S99" t="s">
        <v>2841</v>
      </c>
      <c r="T99" s="314">
        <f>T97-T96</f>
        <v>6.0481840032462859</v>
      </c>
    </row>
    <row r="100" spans="4:22" x14ac:dyDescent="0.15">
      <c r="S100" t="s">
        <v>1283</v>
      </c>
      <c r="T100">
        <f>IF(T99&gt;6,6,T99)</f>
        <v>6</v>
      </c>
    </row>
    <row r="102" spans="4:22" x14ac:dyDescent="0.15">
      <c r="D102" s="2" t="s">
        <v>2838</v>
      </c>
      <c r="S102" s="2" t="s">
        <v>2838</v>
      </c>
    </row>
    <row r="103" spans="4:22" x14ac:dyDescent="0.15">
      <c r="E103" t="s">
        <v>2839</v>
      </c>
      <c r="G103" t="s">
        <v>2840</v>
      </c>
      <c r="T103" t="s">
        <v>2839</v>
      </c>
      <c r="V103" t="s">
        <v>2840</v>
      </c>
    </row>
    <row r="104" spans="4:22" x14ac:dyDescent="0.15">
      <c r="D104" s="4" t="s">
        <v>2841</v>
      </c>
      <c r="E104" s="4" t="s">
        <v>4</v>
      </c>
      <c r="F104" s="4" t="s">
        <v>5</v>
      </c>
      <c r="G104" s="314">
        <f>E98</f>
        <v>4.2247451644669063</v>
      </c>
      <c r="S104" s="4" t="s">
        <v>2841</v>
      </c>
      <c r="T104" s="4" t="s">
        <v>4</v>
      </c>
      <c r="U104" s="4" t="s">
        <v>5</v>
      </c>
      <c r="V104" s="314">
        <f>U98</f>
        <v>30</v>
      </c>
    </row>
    <row r="105" spans="4:22" x14ac:dyDescent="0.15">
      <c r="D105" s="1633">
        <v>7</v>
      </c>
      <c r="E105" s="32">
        <v>4.3432515518954462</v>
      </c>
      <c r="F105" s="32">
        <v>-34.797077172731498</v>
      </c>
      <c r="G105" s="84">
        <f t="shared" ref="G105" si="11">E105*$G$104+F105</f>
        <v>-16.447946180797825</v>
      </c>
      <c r="S105" s="1633">
        <v>6</v>
      </c>
      <c r="T105" s="32">
        <v>0.95966666666666756</v>
      </c>
      <c r="U105" s="32">
        <v>-29.018833333333358</v>
      </c>
      <c r="V105" s="84">
        <f>T105*$V$104+U105</f>
        <v>-0.22883333333333056</v>
      </c>
    </row>
    <row r="106" spans="4:22" x14ac:dyDescent="0.15">
      <c r="D106" s="1633">
        <v>6</v>
      </c>
      <c r="E106" s="32">
        <v>3.398485936174378</v>
      </c>
      <c r="F106" s="32">
        <v>-22.724869477256412</v>
      </c>
      <c r="G106" s="84">
        <f>E106*$G$104+F106</f>
        <v>-8.3671324518949213</v>
      </c>
      <c r="S106" s="1633">
        <v>4</v>
      </c>
      <c r="T106" s="32">
        <v>0.92315789473684218</v>
      </c>
      <c r="U106" s="32">
        <v>-27.417894736842108</v>
      </c>
      <c r="V106" s="84">
        <f t="shared" ref="V106:V109" si="12">T106*$V$104+U106</f>
        <v>0.27684210526315667</v>
      </c>
    </row>
    <row r="107" spans="4:22" x14ac:dyDescent="0.15">
      <c r="D107" s="1633">
        <v>5</v>
      </c>
      <c r="E107" s="32">
        <v>3.3876554267281502</v>
      </c>
      <c r="F107" s="32">
        <v>-16.50919020662921</v>
      </c>
      <c r="G107" s="84">
        <f>E107*$G$104+F107</f>
        <v>-2.1972093236793828</v>
      </c>
      <c r="S107" s="1633">
        <v>3</v>
      </c>
      <c r="T107" s="32">
        <v>0.85325242718446614</v>
      </c>
      <c r="U107" s="32">
        <v>-24.654368932038839</v>
      </c>
      <c r="V107" s="84">
        <f t="shared" si="12"/>
        <v>0.94320388349514417</v>
      </c>
    </row>
    <row r="108" spans="4:22" x14ac:dyDescent="0.15">
      <c r="D108" s="1633">
        <v>4</v>
      </c>
      <c r="E108" s="32">
        <v>3.1638449629719259</v>
      </c>
      <c r="F108" s="32">
        <v>-14.564986209485518</v>
      </c>
      <c r="G108" s="84">
        <f t="shared" ref="G108:G111" si="13">E108*$G$104+F108</f>
        <v>-1.198547501046896</v>
      </c>
      <c r="S108" s="1633">
        <v>2</v>
      </c>
      <c r="T108" s="32">
        <v>0.76269624573378858</v>
      </c>
      <c r="U108" s="32">
        <v>-19.793856655290107</v>
      </c>
      <c r="V108" s="84">
        <f t="shared" si="12"/>
        <v>3.0870307167235502</v>
      </c>
    </row>
    <row r="109" spans="4:22" x14ac:dyDescent="0.15">
      <c r="D109" s="1633">
        <v>3</v>
      </c>
      <c r="E109" s="32">
        <v>3.0229682920330383</v>
      </c>
      <c r="F109" s="32">
        <v>-12.923282174260585</v>
      </c>
      <c r="G109" s="84">
        <f t="shared" si="13"/>
        <v>-0.15201150015722398</v>
      </c>
      <c r="S109" s="1633">
        <v>1</v>
      </c>
      <c r="T109" s="32">
        <v>0.61799999999999988</v>
      </c>
      <c r="U109" s="32">
        <v>-9.4569999999999972</v>
      </c>
      <c r="V109" s="84">
        <f t="shared" si="12"/>
        <v>9.0829999999999984</v>
      </c>
    </row>
    <row r="110" spans="4:22" x14ac:dyDescent="0.15">
      <c r="D110" s="1633">
        <v>2</v>
      </c>
      <c r="E110" s="32">
        <v>2.1766206279000366</v>
      </c>
      <c r="F110" s="32">
        <v>-11.102937345670641</v>
      </c>
      <c r="G110" s="84">
        <f t="shared" si="13"/>
        <v>-1.9072698730710407</v>
      </c>
      <c r="S110" s="1633"/>
      <c r="T110" s="32"/>
      <c r="U110" s="32"/>
      <c r="V110" s="84"/>
    </row>
    <row r="111" spans="4:22" x14ac:dyDescent="0.15">
      <c r="D111" s="1633">
        <v>1</v>
      </c>
      <c r="E111" s="32">
        <v>1.7476605829607372</v>
      </c>
      <c r="F111" s="32">
        <v>-8.2039385276943015</v>
      </c>
      <c r="G111" s="84">
        <f t="shared" si="13"/>
        <v>-0.82051793070151202</v>
      </c>
      <c r="S111" s="1633"/>
      <c r="T111" s="32"/>
      <c r="U111" s="32"/>
      <c r="V111" s="84"/>
    </row>
    <row r="116" spans="4:22" x14ac:dyDescent="0.15">
      <c r="D116">
        <f t="array" ref="D116:G116">LINEST(G105:G111,D105:D111^{1,2,3})</f>
        <v>-0.19784355132639647</v>
      </c>
      <c r="E116">
        <v>1.4872122816096236</v>
      </c>
      <c r="F116">
        <v>-3.2251317774772859</v>
      </c>
      <c r="G116">
        <v>0.87323997465181691</v>
      </c>
      <c r="S116">
        <f t="array" ref="S116:V116">LINEST(V105:V109,S105:S109^{1,2,3})</f>
        <v>-0.23825257989470219</v>
      </c>
      <c r="T116">
        <v>3.1411382025144841</v>
      </c>
      <c r="U116">
        <v>-13.600707626531898</v>
      </c>
      <c r="V116">
        <v>19.749051855485767</v>
      </c>
    </row>
    <row r="118" spans="4:22" x14ac:dyDescent="0.15">
      <c r="D118" t="s">
        <v>82</v>
      </c>
      <c r="E118" s="3">
        <f>D116*E99^3+E116*(E99)^2+F116*E99+G116</f>
        <v>-1.2876894324457866</v>
      </c>
      <c r="F118" t="s">
        <v>2842</v>
      </c>
      <c r="S118" t="s">
        <v>82</v>
      </c>
      <c r="T118" s="3">
        <f>S116*T100^3+T116*(T100)^2+U116*T100+V116</f>
        <v>-0.23677587043987103</v>
      </c>
      <c r="U118" t="s">
        <v>2842</v>
      </c>
    </row>
    <row r="119" spans="4:22" x14ac:dyDescent="0.15">
      <c r="D119" t="s">
        <v>2860</v>
      </c>
      <c r="S119" t="s">
        <v>2843</v>
      </c>
    </row>
    <row r="120" spans="4:22" x14ac:dyDescent="0.15">
      <c r="D120" s="618">
        <f>IF(E99&gt;5,65%,90%)</f>
        <v>0.9</v>
      </c>
      <c r="E120" s="3">
        <f>E118*D120</f>
        <v>-1.1589204892012079</v>
      </c>
      <c r="F120" t="s">
        <v>2842</v>
      </c>
      <c r="S120" s="618">
        <v>0.9</v>
      </c>
      <c r="T120" s="3">
        <f>T118*S120</f>
        <v>-0.21309828339588394</v>
      </c>
      <c r="U120" t="s">
        <v>2842</v>
      </c>
    </row>
    <row r="123" spans="4:22" x14ac:dyDescent="0.15">
      <c r="D123" s="1648">
        <f>IF(E99&gt;D105,D105,IF(E99&lt;D111,D110,INDEX(D105:D111,MATCH(E99,D105:D111,-1))))</f>
        <v>2</v>
      </c>
      <c r="E123" s="1648">
        <f>INDEX(G105:G111,MATCH(D123,D105:D111,-1))</f>
        <v>-1.9072698730710407</v>
      </c>
      <c r="F123" s="1648"/>
    </row>
    <row r="124" spans="4:22" x14ac:dyDescent="0.15">
      <c r="D124" s="1648" cm="1">
        <f t="array" ref="D124">IF(E99&gt;D105,D106,IF(E99&lt;D111,D111,INDEX(D105:D111,MATCH(E99,D105:D111,-1)+1)))</f>
        <v>1</v>
      </c>
      <c r="E124" s="1648">
        <f>INDEX(G105:G111,MATCH(D124,D105:D111,-1))</f>
        <v>-0.82051793070151202</v>
      </c>
      <c r="F124" s="1648"/>
    </row>
    <row r="125" spans="4:22" x14ac:dyDescent="0.15">
      <c r="D125" s="1648"/>
      <c r="E125" s="1649">
        <f>_xlfn.FORECAST.LINEAR(E99,E123:E124,D123:D124)</f>
        <v>-1.5322492166183896</v>
      </c>
      <c r="F125" s="1648" t="s">
        <v>2842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E1AF7-021B-43C0-B412-9C40AA350B3D}">
  <dimension ref="B2:AY181"/>
  <sheetViews>
    <sheetView zoomScale="70" zoomScaleNormal="70" workbookViewId="0">
      <selection activeCell="R20" sqref="R20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  <col min="30" max="32" width="10.5" bestFit="1" customWidth="1"/>
  </cols>
  <sheetData>
    <row r="2" spans="3:51" x14ac:dyDescent="0.15">
      <c r="C2" s="2" t="s">
        <v>0</v>
      </c>
      <c r="J2" t="s">
        <v>15</v>
      </c>
    </row>
    <row r="3" spans="3:51" ht="16" x14ac:dyDescent="0.2">
      <c r="J3" s="7">
        <f>'R-series ENT'!$E$33</f>
        <v>34.722222222222221</v>
      </c>
      <c r="K3" t="s">
        <v>13</v>
      </c>
      <c r="L3" s="122">
        <f>'R-series ENT'!$E$39</f>
        <v>75</v>
      </c>
      <c r="M3" t="s">
        <v>14</v>
      </c>
      <c r="P3" t="s">
        <v>34</v>
      </c>
      <c r="AA3" s="2" t="s">
        <v>53</v>
      </c>
      <c r="AS3" s="453" t="s">
        <v>2861</v>
      </c>
    </row>
    <row r="4" spans="3:51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2674</v>
      </c>
      <c r="AF4" s="63"/>
      <c r="AG4" s="62" t="s">
        <v>405</v>
      </c>
      <c r="AH4" s="63"/>
      <c r="AI4" t="s">
        <v>10</v>
      </c>
      <c r="AK4" t="s">
        <v>409</v>
      </c>
      <c r="AM4" t="s">
        <v>12</v>
      </c>
      <c r="AO4" t="s">
        <v>410</v>
      </c>
      <c r="AS4" t="s">
        <v>2862</v>
      </c>
    </row>
    <row r="5" spans="3:51" x14ac:dyDescent="0.15">
      <c r="C5" t="s">
        <v>2</v>
      </c>
      <c r="D5" s="1"/>
      <c r="E5" s="1"/>
      <c r="H5" s="1"/>
      <c r="P5" s="52">
        <f t="array" ref="P5:Q5">LINEST(AI34:AI37,LN(AH34:AH37))</f>
        <v>19.887288007463852</v>
      </c>
      <c r="Q5" s="52">
        <v>-24.908307685875251</v>
      </c>
      <c r="R5" t="s">
        <v>28</v>
      </c>
      <c r="T5" s="4"/>
      <c r="U5" s="39" t="s">
        <v>43</v>
      </c>
      <c r="V5" t="s">
        <v>28</v>
      </c>
      <c r="W5" s="9">
        <f>$P$5*LN($J$3)+$Q$5</f>
        <v>45.639457895037502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I5" s="65" t="s">
        <v>14</v>
      </c>
      <c r="AJ5" s="66" t="s">
        <v>13</v>
      </c>
      <c r="AK5" s="65" t="s">
        <v>14</v>
      </c>
      <c r="AL5" s="66" t="s">
        <v>13</v>
      </c>
      <c r="AM5" s="65" t="s">
        <v>14</v>
      </c>
      <c r="AN5" s="66" t="s">
        <v>13</v>
      </c>
      <c r="AO5" s="65" t="s">
        <v>14</v>
      </c>
      <c r="AP5" s="66" t="s">
        <v>13</v>
      </c>
    </row>
    <row r="6" spans="3:51" ht="14" x14ac:dyDescent="0.15">
      <c r="C6" s="2" t="s">
        <v>3</v>
      </c>
      <c r="D6" s="1"/>
      <c r="E6" s="1"/>
      <c r="H6" s="1"/>
      <c r="P6" s="52">
        <f t="array" ref="P6:Q6">LINEST(AJ34:AJ37,LN(AH34:AH37))</f>
        <v>20.913696195717407</v>
      </c>
      <c r="Q6" s="52">
        <v>-13.260678590612756</v>
      </c>
      <c r="R6" t="s">
        <v>7</v>
      </c>
      <c r="T6" s="4"/>
      <c r="U6" s="39" t="s">
        <v>43</v>
      </c>
      <c r="V6" t="s">
        <v>7</v>
      </c>
      <c r="W6" s="9">
        <f>$P$6*LN($J$3)+$Q$6</f>
        <v>60.928146758130822</v>
      </c>
      <c r="X6" t="s">
        <v>31</v>
      </c>
      <c r="AA6" s="55">
        <v>25</v>
      </c>
      <c r="AB6" s="56">
        <f t="shared" ref="AB6:AB12" si="0">(-$D$9-SQRT($D$9^2-(4*$C$9*($E$9-AA6))))/(2*$C$9)</f>
        <v>95.380316017540977</v>
      </c>
      <c r="AC6" s="55">
        <v>20</v>
      </c>
      <c r="AD6" s="57">
        <f t="shared" ref="AD6:AD12" si="1">(-$D$13-SQRT($D$13^2-(4*$C$13*($E$13-AC6))))/(2*$C$13)</f>
        <v>96.337047181791775</v>
      </c>
      <c r="AE6" s="55">
        <v>10</v>
      </c>
      <c r="AF6" s="57">
        <f t="shared" ref="AF6:AF12" si="2">(-$D$17-SQRT($D$17^2-(4*$C$17*($E$17-AE6))))/(2*$C$17)</f>
        <v>84.039568816164177</v>
      </c>
      <c r="AG6" s="56">
        <v>10</v>
      </c>
      <c r="AH6" s="57">
        <f t="shared" ref="AH6:AH11" si="3">(-$D$20-SQRT($D$20^2-(4*$C$20*($E$20-AG6))))/(2*$C$20)</f>
        <v>69.526415226309226</v>
      </c>
      <c r="AI6" s="56">
        <v>10</v>
      </c>
      <c r="AJ6" s="57">
        <f>(-$D$23-SQRT($D$23^2-(4*$C$23*($E$23-AI6))))/(2*$C$23)</f>
        <v>54.760964406628652</v>
      </c>
      <c r="AK6" s="56">
        <v>10</v>
      </c>
      <c r="AL6" s="57">
        <f>(-$D$26-SQRT($D$26^2-(4*$C$26*($E$26-AK6))))/(2*$C$26)</f>
        <v>40.015801166334754</v>
      </c>
      <c r="AM6" s="56">
        <v>8</v>
      </c>
      <c r="AN6" s="57">
        <f>(-$D$29-SQRT($D$29^2-(4*$C$29*($E$29-AM6))))/(2*$C$29)</f>
        <v>25.96175640860292</v>
      </c>
      <c r="AO6" s="56">
        <v>6</v>
      </c>
      <c r="AP6" s="57">
        <f>(-$D$32-SQRT($D$32^2-(4*$C$32*($E$32-AO6))))/(2*$C$32)</f>
        <v>10.7761604447183</v>
      </c>
      <c r="AT6" s="83" t="s">
        <v>2670</v>
      </c>
    </row>
    <row r="7" spans="3:51" ht="1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88.947735868714446</v>
      </c>
      <c r="AC7" s="55">
        <v>50</v>
      </c>
      <c r="AD7" s="57">
        <f t="shared" si="1"/>
        <v>93.166373727890999</v>
      </c>
      <c r="AE7" s="55">
        <v>40</v>
      </c>
      <c r="AF7" s="57">
        <f t="shared" si="2"/>
        <v>80.225850223781507</v>
      </c>
      <c r="AG7" s="56">
        <v>25</v>
      </c>
      <c r="AH7" s="57">
        <f t="shared" si="3"/>
        <v>67.297184955677153</v>
      </c>
      <c r="AI7" s="56">
        <v>20</v>
      </c>
      <c r="AJ7" s="57">
        <f t="shared" ref="AJ7:AJ11" si="4">(-$D$23-SQRT($D$23^2-(4*$C$23*($E$23-AI7))))/(2*$C$23)</f>
        <v>53.056757316027998</v>
      </c>
      <c r="AK7" s="56">
        <v>20</v>
      </c>
      <c r="AL7" s="57">
        <f t="shared" ref="AL7:AL10" si="5">(-$D$26-SQRT($D$26^2-(4*$C$26*($E$26-AK7))))/(2*$C$26)</f>
        <v>37.747929468346427</v>
      </c>
      <c r="AM7" s="56">
        <v>20</v>
      </c>
      <c r="AN7" s="57">
        <f t="shared" ref="AN7:AN9" si="6">(-$D$29-SQRT($D$29^2-(4*$C$29*($E$29-AM7))))/(2*$C$29)</f>
        <v>22.03903525784218</v>
      </c>
      <c r="AO7" s="56">
        <v>8</v>
      </c>
      <c r="AP7" s="57">
        <f t="shared" ref="AP7:AP9" si="7">(-$D$32-SQRT($D$32^2-(4*$C$32*($E$32-AO7))))/(2*$C$32)</f>
        <v>9.5218408484633397</v>
      </c>
      <c r="AT7" s="1650" t="s">
        <v>2863</v>
      </c>
      <c r="AU7" s="1651"/>
      <c r="AV7" s="870" t="s">
        <v>2864</v>
      </c>
      <c r="AW7" s="1651"/>
      <c r="AX7" s="1651"/>
      <c r="AY7" s="1651"/>
    </row>
    <row r="8" spans="3:51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83.762679772606006</v>
      </c>
      <c r="AC8" s="55">
        <v>100</v>
      </c>
      <c r="AD8" s="57">
        <f t="shared" si="1"/>
        <v>87.544769993364028</v>
      </c>
      <c r="AE8" s="55">
        <v>60</v>
      </c>
      <c r="AF8" s="57">
        <f t="shared" si="2"/>
        <v>77.567381007801956</v>
      </c>
      <c r="AG8" s="56">
        <v>35</v>
      </c>
      <c r="AH8" s="57">
        <f t="shared" si="3"/>
        <v>65.758212482557326</v>
      </c>
      <c r="AI8" s="56">
        <v>40</v>
      </c>
      <c r="AJ8" s="57">
        <f t="shared" si="4"/>
        <v>49.424616329456704</v>
      </c>
      <c r="AK8" s="56">
        <v>40</v>
      </c>
      <c r="AL8" s="57">
        <f t="shared" si="5"/>
        <v>32.617007985442889</v>
      </c>
      <c r="AM8" s="56">
        <v>40</v>
      </c>
      <c r="AN8" s="57">
        <f t="shared" si="6"/>
        <v>12.008452396903799</v>
      </c>
      <c r="AO8" s="56">
        <v>10</v>
      </c>
      <c r="AP8" s="57">
        <f t="shared" si="7"/>
        <v>8.3176997954591556</v>
      </c>
      <c r="AT8" s="870" t="s">
        <v>2865</v>
      </c>
      <c r="AV8" s="870" t="s">
        <v>2866</v>
      </c>
    </row>
    <row r="9" spans="3:51" x14ac:dyDescent="0.15">
      <c r="C9" s="1652">
        <f>X60</f>
        <v>-0.10916440188473163</v>
      </c>
      <c r="D9" s="1652">
        <f t="shared" ref="D9:E9" si="8">Y60</f>
        <v>5.3534931217486985</v>
      </c>
      <c r="E9" s="1652">
        <f t="shared" si="8"/>
        <v>507.49487523908067</v>
      </c>
      <c r="H9" s="2"/>
      <c r="P9" t="s">
        <v>2696</v>
      </c>
      <c r="Q9" s="52">
        <f t="array" ref="Q9:R9">LINEST(AM35:AM41,AL35:AL41)</f>
        <v>9.0225319824159591</v>
      </c>
      <c r="R9" s="52">
        <v>-7.2739838154923362</v>
      </c>
      <c r="S9" s="84">
        <f>(J3-R9)/Q9</f>
        <v>4.6545920944986499</v>
      </c>
      <c r="U9" s="39" t="s">
        <v>42</v>
      </c>
      <c r="V9" t="s">
        <v>44</v>
      </c>
      <c r="W9" s="9">
        <f>IF($J$3&gt;$AO$35,($J$3-$R$10)/$Q$10,($J$3-$R$9)/$Q$9)</f>
        <v>4.6545920944986499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78.926454069340437</v>
      </c>
      <c r="AC9" s="55">
        <v>150</v>
      </c>
      <c r="AD9" s="57">
        <f t="shared" si="1"/>
        <v>81.398298036661288</v>
      </c>
      <c r="AE9" s="55">
        <v>80</v>
      </c>
      <c r="AF9" s="57">
        <f t="shared" si="2"/>
        <v>74.803260102765194</v>
      </c>
      <c r="AG9" s="56">
        <v>55</v>
      </c>
      <c r="AH9" s="57">
        <f t="shared" si="3"/>
        <v>62.53553498412861</v>
      </c>
      <c r="AI9" s="56">
        <v>60</v>
      </c>
      <c r="AJ9" s="57">
        <f t="shared" si="4"/>
        <v>45.415680268947852</v>
      </c>
      <c r="AK9" s="56">
        <v>50</v>
      </c>
      <c r="AL9" s="57">
        <f t="shared" si="5"/>
        <v>29.619409120844775</v>
      </c>
      <c r="AM9" s="1446">
        <v>42</v>
      </c>
      <c r="AN9" s="57">
        <f t="shared" si="6"/>
        <v>10.169893873256173</v>
      </c>
      <c r="AO9" s="1446">
        <v>12</v>
      </c>
      <c r="AP9" s="57">
        <f t="shared" si="7"/>
        <v>7.1581574718994183</v>
      </c>
    </row>
    <row r="10" spans="3:51" x14ac:dyDescent="0.15">
      <c r="C10" s="466" t="s">
        <v>2867</v>
      </c>
      <c r="D10" s="2"/>
      <c r="E10" s="2"/>
      <c r="H10" s="2"/>
      <c r="P10" t="s">
        <v>2697</v>
      </c>
      <c r="Q10" s="52">
        <f t="array" ref="Q10:R10">LINEST(AO34:AO35,AN34:AN35)</f>
        <v>3.0690467171282712</v>
      </c>
      <c r="R10" s="52">
        <v>41.544595359866712</v>
      </c>
      <c r="S10" s="84">
        <f>(J3-R10)/Q10</f>
        <v>-2.2229616445943949</v>
      </c>
      <c r="W10" t="b">
        <f>IF(AND(W9&gt;=0,W9&lt;=10.01,'R-series ENT'!E33&gt;=W11,P22),TRUE,FALSE)</f>
        <v>1</v>
      </c>
      <c r="AA10" s="55">
        <v>320</v>
      </c>
      <c r="AB10" s="56">
        <f t="shared" si="0"/>
        <v>72.674163985891298</v>
      </c>
      <c r="AC10" s="55">
        <v>170</v>
      </c>
      <c r="AD10" s="57">
        <f t="shared" si="1"/>
        <v>78.755411382447988</v>
      </c>
      <c r="AE10" s="55">
        <v>100</v>
      </c>
      <c r="AF10" s="57">
        <f t="shared" si="2"/>
        <v>71.919790815766788</v>
      </c>
      <c r="AG10" s="56">
        <v>140</v>
      </c>
      <c r="AH10" s="57">
        <f t="shared" si="3"/>
        <v>45.390768542105448</v>
      </c>
      <c r="AI10" s="56">
        <v>120</v>
      </c>
      <c r="AJ10" s="57">
        <f t="shared" si="4"/>
        <v>28.670725134221712</v>
      </c>
      <c r="AK10" s="1446">
        <v>70</v>
      </c>
      <c r="AL10" s="1447">
        <f t="shared" si="5"/>
        <v>21.915925296244261</v>
      </c>
      <c r="AU10" t="s">
        <v>2868</v>
      </c>
      <c r="AV10" t="s">
        <v>2869</v>
      </c>
      <c r="AW10" s="104" t="s">
        <v>87</v>
      </c>
      <c r="AX10" s="104"/>
      <c r="AY10" s="104"/>
    </row>
    <row r="11" spans="3:51" x14ac:dyDescent="0.15">
      <c r="C11" s="2" t="s">
        <v>408</v>
      </c>
      <c r="D11" s="1"/>
      <c r="E11" s="1"/>
      <c r="H11" s="1"/>
      <c r="V11" t="s">
        <v>348</v>
      </c>
      <c r="W11">
        <v>10</v>
      </c>
      <c r="X11" t="s">
        <v>13</v>
      </c>
      <c r="AA11" s="55">
        <v>370</v>
      </c>
      <c r="AB11" s="56">
        <f t="shared" si="0"/>
        <v>67.656938734011845</v>
      </c>
      <c r="AC11" s="55">
        <v>190</v>
      </c>
      <c r="AD11" s="57">
        <f t="shared" si="1"/>
        <v>75.984592486169944</v>
      </c>
      <c r="AE11" s="55">
        <v>200</v>
      </c>
      <c r="AF11" s="57">
        <f t="shared" si="2"/>
        <v>54.917543457145847</v>
      </c>
      <c r="AG11" s="56">
        <v>175</v>
      </c>
      <c r="AH11" s="57">
        <f t="shared" si="3"/>
        <v>34.60923239891234</v>
      </c>
      <c r="AI11" s="1446">
        <v>125</v>
      </c>
      <c r="AJ11" s="1447">
        <f t="shared" si="4"/>
        <v>26.498598926867743</v>
      </c>
      <c r="AT11" s="628" t="s">
        <v>13</v>
      </c>
      <c r="AU11" s="628" t="s">
        <v>14</v>
      </c>
      <c r="AV11" s="628" t="s">
        <v>14</v>
      </c>
      <c r="AW11" s="628" t="s">
        <v>14</v>
      </c>
      <c r="AX11" s="4"/>
      <c r="AY11" s="4"/>
    </row>
    <row r="12" spans="3:51" x14ac:dyDescent="0.15">
      <c r="C12" t="s">
        <v>4</v>
      </c>
      <c r="D12" t="s">
        <v>5</v>
      </c>
      <c r="E12" t="s">
        <v>6</v>
      </c>
      <c r="H12" s="1"/>
      <c r="P12" t="s">
        <v>2692</v>
      </c>
      <c r="AA12" s="58">
        <v>450</v>
      </c>
      <c r="AB12" s="59">
        <f t="shared" si="0"/>
        <v>58.104961702759233</v>
      </c>
      <c r="AC12" s="58">
        <v>330</v>
      </c>
      <c r="AD12" s="60">
        <f t="shared" si="1"/>
        <v>49.818926735208919</v>
      </c>
      <c r="AE12" s="58">
        <v>260</v>
      </c>
      <c r="AF12" s="60">
        <f t="shared" si="2"/>
        <v>40.724118239289034</v>
      </c>
      <c r="AG12" s="59"/>
      <c r="AH12" s="60"/>
      <c r="AT12" s="344">
        <v>0</v>
      </c>
      <c r="AU12" s="1645">
        <v>0</v>
      </c>
      <c r="AV12" s="344">
        <v>0</v>
      </c>
      <c r="AW12" s="344">
        <v>0</v>
      </c>
      <c r="AX12" s="4"/>
      <c r="AY12" s="4"/>
    </row>
    <row r="13" spans="3:51" x14ac:dyDescent="0.15">
      <c r="C13" s="1652">
        <f>X61</f>
        <v>-6.4539960787553668E-2</v>
      </c>
      <c r="D13" s="1652">
        <f t="shared" ref="D13:E13" si="9">Y61</f>
        <v>2.7688310603130377</v>
      </c>
      <c r="E13" s="1652">
        <f t="shared" si="9"/>
        <v>352.2431801977703</v>
      </c>
      <c r="P13" s="51">
        <f t="array" ref="P13:S13">LINEST(AE34:AE41,AC34:AC41^{1,2,3})</f>
        <v>2.3841687402970744E-4</v>
      </c>
      <c r="Q13" s="51">
        <v>2.2525968899823204E-3</v>
      </c>
      <c r="R13" s="51">
        <v>0.12596989440431841</v>
      </c>
      <c r="S13" s="51">
        <v>2.6337249685495081</v>
      </c>
      <c r="U13" s="39" t="s">
        <v>43</v>
      </c>
      <c r="V13" t="s">
        <v>44</v>
      </c>
      <c r="W13" s="9">
        <f>$P$13*J3^3+$Q$13*J3^2+$R$13*J3+$S$13</f>
        <v>19.704150231876277</v>
      </c>
      <c r="X13" t="s">
        <v>49</v>
      </c>
      <c r="Y13" t="s">
        <v>592</v>
      </c>
      <c r="AS13">
        <f>3.6*AT13</f>
        <v>108</v>
      </c>
      <c r="AT13" s="344">
        <v>30</v>
      </c>
      <c r="AU13" s="1653">
        <v>44.4</v>
      </c>
      <c r="AV13" s="279">
        <v>43.4</v>
      </c>
      <c r="AW13" s="609">
        <f>AU13-AV13</f>
        <v>1</v>
      </c>
      <c r="AX13" s="925">
        <f>AW13/AV13</f>
        <v>2.3041474654377881E-2</v>
      </c>
      <c r="AY13" s="4"/>
    </row>
    <row r="14" spans="3:51" x14ac:dyDescent="0.15">
      <c r="H14" s="2"/>
      <c r="V14" t="s">
        <v>52</v>
      </c>
      <c r="W14" s="3">
        <f>IF(W13&gt;Y14,Y14,W13)</f>
        <v>19.704150231876277</v>
      </c>
      <c r="X14" t="s">
        <v>49</v>
      </c>
      <c r="Y14">
        <v>117</v>
      </c>
      <c r="Z14" t="s">
        <v>49</v>
      </c>
      <c r="AS14">
        <f>3.6*AT14</f>
        <v>144</v>
      </c>
      <c r="AT14" s="344">
        <v>40</v>
      </c>
      <c r="AU14" s="1653">
        <v>66.69</v>
      </c>
      <c r="AV14" s="279">
        <v>65.400000000000006</v>
      </c>
      <c r="AW14" s="609">
        <f t="shared" ref="AW14:AW19" si="10">AU14-AV14</f>
        <v>1.289999999999992</v>
      </c>
      <c r="AX14" s="925">
        <f t="shared" ref="AX14:AX19" si="11">AW14/AV14</f>
        <v>1.9724770642201711E-2</v>
      </c>
      <c r="AY14" s="4"/>
    </row>
    <row r="15" spans="3:51" x14ac:dyDescent="0.15">
      <c r="C15" s="2" t="s">
        <v>2673</v>
      </c>
      <c r="D15" s="1"/>
      <c r="E15" s="1"/>
      <c r="H15" s="2"/>
      <c r="AS15">
        <f t="shared" ref="AS15:AS19" si="12">3.6*AT15</f>
        <v>180</v>
      </c>
      <c r="AT15" s="344">
        <v>50</v>
      </c>
      <c r="AU15" s="1653">
        <v>92.25</v>
      </c>
      <c r="AV15" s="279">
        <v>93</v>
      </c>
      <c r="AW15" s="609">
        <f t="shared" si="10"/>
        <v>-0.75</v>
      </c>
      <c r="AX15" s="925">
        <f t="shared" si="11"/>
        <v>-8.0645161290322578E-3</v>
      </c>
      <c r="AY15" s="4"/>
    </row>
    <row r="16" spans="3:51" x14ac:dyDescent="0.15">
      <c r="C16" t="s">
        <v>4</v>
      </c>
      <c r="D16" t="s">
        <v>5</v>
      </c>
      <c r="E16" t="s">
        <v>6</v>
      </c>
      <c r="H16" s="1"/>
      <c r="V16" t="s">
        <v>58</v>
      </c>
      <c r="W16">
        <f>'Laskenta poistopuoli 53mini_ENT'!W13</f>
        <v>19.816099128316758</v>
      </c>
      <c r="AS16">
        <f t="shared" si="12"/>
        <v>216</v>
      </c>
      <c r="AT16" s="344">
        <v>60</v>
      </c>
      <c r="AU16" s="1653">
        <v>121.4</v>
      </c>
      <c r="AV16" s="279">
        <v>121</v>
      </c>
      <c r="AW16" s="609">
        <f t="shared" si="10"/>
        <v>0.40000000000000568</v>
      </c>
      <c r="AX16" s="925">
        <f t="shared" si="11"/>
        <v>3.3057851239669893E-3</v>
      </c>
      <c r="AY16" s="4"/>
    </row>
    <row r="17" spans="3:51" ht="14" thickBot="1" x14ac:dyDescent="0.2">
      <c r="C17" s="1652">
        <f>X62</f>
        <v>-5.3028701208818363E-2</v>
      </c>
      <c r="D17" s="1652">
        <f t="shared" ref="D17:E17" si="13">Y62</f>
        <v>0.84444369005807562</v>
      </c>
      <c r="E17" s="1652">
        <f t="shared" si="13"/>
        <v>313.55642668614803</v>
      </c>
      <c r="H17" s="1"/>
      <c r="V17" t="s">
        <v>73</v>
      </c>
      <c r="W17">
        <v>4.4000000000000004</v>
      </c>
      <c r="AS17">
        <f t="shared" si="12"/>
        <v>252</v>
      </c>
      <c r="AT17" s="344">
        <v>70</v>
      </c>
      <c r="AU17" s="1653">
        <v>154.1</v>
      </c>
      <c r="AV17" s="279">
        <v>150</v>
      </c>
      <c r="AW17" s="609">
        <f t="shared" si="10"/>
        <v>4.0999999999999943</v>
      </c>
      <c r="AX17" s="925">
        <f t="shared" si="11"/>
        <v>2.7333333333333296E-2</v>
      </c>
      <c r="AY17" s="4"/>
    </row>
    <row r="18" spans="3:51" x14ac:dyDescent="0.15">
      <c r="C18" s="2" t="s">
        <v>411</v>
      </c>
      <c r="D18" s="1"/>
      <c r="E18" s="1"/>
      <c r="H18" s="1"/>
      <c r="P18" s="228" t="s">
        <v>605</v>
      </c>
      <c r="Q18" s="230"/>
      <c r="R18" s="231"/>
      <c r="AS18">
        <f t="shared" si="12"/>
        <v>288</v>
      </c>
      <c r="AT18" s="344">
        <v>80</v>
      </c>
      <c r="AU18" s="1653">
        <v>190.5</v>
      </c>
      <c r="AV18" s="279">
        <v>186</v>
      </c>
      <c r="AW18" s="609">
        <f t="shared" si="10"/>
        <v>4.5</v>
      </c>
      <c r="AX18" s="925">
        <f t="shared" si="11"/>
        <v>2.4193548387096774E-2</v>
      </c>
      <c r="AY18" s="4"/>
    </row>
    <row r="19" spans="3:51" x14ac:dyDescent="0.15">
      <c r="C19" t="s">
        <v>4</v>
      </c>
      <c r="D19" t="s">
        <v>5</v>
      </c>
      <c r="E19" t="s">
        <v>6</v>
      </c>
      <c r="P19" s="232" t="s">
        <v>606</v>
      </c>
      <c r="Q19" s="8">
        <v>450</v>
      </c>
      <c r="R19" s="364" t="s">
        <v>14</v>
      </c>
      <c r="V19" s="74" t="s">
        <v>74</v>
      </c>
      <c r="W19" s="77">
        <f>W13+W16+W17</f>
        <v>43.920249360193033</v>
      </c>
      <c r="X19" s="75" t="s">
        <v>49</v>
      </c>
      <c r="AB19" s="6"/>
      <c r="AC19" s="6"/>
      <c r="AS19">
        <f t="shared" si="12"/>
        <v>324</v>
      </c>
      <c r="AT19" s="344">
        <v>90</v>
      </c>
      <c r="AU19" s="1653">
        <v>230.5</v>
      </c>
      <c r="AV19" s="279">
        <v>234</v>
      </c>
      <c r="AW19" s="609">
        <f t="shared" si="10"/>
        <v>-3.5</v>
      </c>
      <c r="AX19" s="925">
        <f t="shared" si="11"/>
        <v>-1.4957264957264958E-2</v>
      </c>
    </row>
    <row r="20" spans="3:51" x14ac:dyDescent="0.15">
      <c r="C20" s="1652">
        <f>X63</f>
        <v>-6.1285968629719328E-2</v>
      </c>
      <c r="D20" s="1652">
        <f t="shared" ref="D20:E20" si="14">Y63</f>
        <v>1.6565868956636227</v>
      </c>
      <c r="E20" s="1652">
        <f t="shared" si="14"/>
        <v>191.07506907008366</v>
      </c>
      <c r="H20" s="1"/>
      <c r="P20" s="232" t="s">
        <v>607</v>
      </c>
      <c r="Q20" s="8">
        <v>0.25</v>
      </c>
      <c r="R20" s="364"/>
      <c r="AB20" s="6"/>
      <c r="AC20" s="6"/>
    </row>
    <row r="21" spans="3:51" ht="14" x14ac:dyDescent="0.15">
      <c r="C21" s="2" t="s">
        <v>10</v>
      </c>
      <c r="H21" s="1"/>
      <c r="P21" s="232"/>
      <c r="R21" s="364"/>
      <c r="V21" t="s">
        <v>78</v>
      </c>
      <c r="W21" s="110">
        <f>MAX(J3,'Laskenta poistopuoli 53mini_ENT'!J3)</f>
        <v>34.722222222222221</v>
      </c>
      <c r="X21" t="s">
        <v>13</v>
      </c>
      <c r="AB21" s="6"/>
      <c r="AC21" s="6"/>
      <c r="AT21" s="83" t="s">
        <v>2870</v>
      </c>
    </row>
    <row r="22" spans="3:51" ht="16" thickBot="1" x14ac:dyDescent="0.2">
      <c r="C22" t="s">
        <v>4</v>
      </c>
      <c r="D22" t="s">
        <v>5</v>
      </c>
      <c r="E22" t="s">
        <v>6</v>
      </c>
      <c r="H22" s="1"/>
      <c r="P22" s="236" t="b">
        <f>IF(OR(L3&gt;Q19,U29&gt;Q20),FALSE,TRUE)</f>
        <v>1</v>
      </c>
      <c r="Q22" s="238"/>
      <c r="R22" s="239"/>
      <c r="V22" t="s">
        <v>75</v>
      </c>
      <c r="W22">
        <f>W19/W21</f>
        <v>1.2649031815735594</v>
      </c>
      <c r="X22" t="s">
        <v>77</v>
      </c>
      <c r="AB22" s="6"/>
      <c r="AC22" s="6"/>
      <c r="AT22" s="2" t="s">
        <v>2871</v>
      </c>
    </row>
    <row r="23" spans="3:51" x14ac:dyDescent="0.15">
      <c r="C23" s="1652">
        <f>X64</f>
        <v>-6.7731205545045345E-2</v>
      </c>
      <c r="D23" s="1652">
        <f t="shared" ref="D23:E23" si="15">Y64</f>
        <v>1.4347928000013304</v>
      </c>
      <c r="E23" s="1652">
        <f t="shared" si="15"/>
        <v>134.53921076883989</v>
      </c>
      <c r="H23" s="1"/>
    </row>
    <row r="24" spans="3:51" x14ac:dyDescent="0.15">
      <c r="C24" s="2" t="s">
        <v>409</v>
      </c>
      <c r="H24" s="1"/>
      <c r="P24">
        <v>13</v>
      </c>
      <c r="Q24">
        <f>$C$23*P24^2+$D$23*P24+$E$23</f>
        <v>141.74494343174453</v>
      </c>
    </row>
    <row r="25" spans="3:51" x14ac:dyDescent="0.15">
      <c r="C25" t="s">
        <v>4</v>
      </c>
      <c r="D25" t="s">
        <v>5</v>
      </c>
      <c r="E25" t="s">
        <v>6</v>
      </c>
      <c r="G25" s="2"/>
      <c r="H25" s="1"/>
      <c r="P25">
        <v>15</v>
      </c>
      <c r="Q25">
        <f>$C$23*P25^2+$D$23*P25+$E$23</f>
        <v>140.82158152122466</v>
      </c>
    </row>
    <row r="26" spans="3:51" x14ac:dyDescent="0.15">
      <c r="C26" s="1652">
        <f>X65</f>
        <v>-6.9130897537859337E-2</v>
      </c>
      <c r="D26" s="1652">
        <f t="shared" ref="D26:E26" si="16">Y65</f>
        <v>0.96645597547783735</v>
      </c>
      <c r="E26" s="1652">
        <f t="shared" si="16"/>
        <v>82.023331075092301</v>
      </c>
      <c r="P26">
        <v>45</v>
      </c>
      <c r="Q26">
        <f>$C$23*P26^2+$D$23*P26+$E$23</f>
        <v>61.949195540182941</v>
      </c>
    </row>
    <row r="27" spans="3:51" x14ac:dyDescent="0.15">
      <c r="C27" s="2" t="s">
        <v>12</v>
      </c>
      <c r="U27" t="s">
        <v>37</v>
      </c>
    </row>
    <row r="28" spans="3:51" x14ac:dyDescent="0.15">
      <c r="C28" t="s">
        <v>4</v>
      </c>
      <c r="D28" t="s">
        <v>5</v>
      </c>
      <c r="E28" t="s">
        <v>6</v>
      </c>
      <c r="U28" s="4" t="s">
        <v>17</v>
      </c>
    </row>
    <row r="29" spans="3:51" x14ac:dyDescent="0.15">
      <c r="C29" s="1652">
        <f>X66</f>
        <v>-7.6340261230434928E-2</v>
      </c>
      <c r="D29" s="1652">
        <f t="shared" ref="D29:E29" si="17">Y66</f>
        <v>0.60529202479789601</v>
      </c>
      <c r="E29" s="1652">
        <f t="shared" si="17"/>
        <v>43.739868801653714</v>
      </c>
      <c r="U29" s="4">
        <f>(L3/J3)^2/L3</f>
        <v>6.2208000000000006E-2</v>
      </c>
    </row>
    <row r="30" spans="3:51" x14ac:dyDescent="0.15">
      <c r="C30" s="2" t="s">
        <v>410</v>
      </c>
      <c r="AN30">
        <v>9</v>
      </c>
      <c r="AO30">
        <f>Q9*AN30+R9</f>
        <v>73.928804026251299</v>
      </c>
      <c r="AP30" t="s">
        <v>13</v>
      </c>
    </row>
    <row r="31" spans="3:51" x14ac:dyDescent="0.15">
      <c r="C31" t="s">
        <v>4</v>
      </c>
      <c r="D31" t="s">
        <v>5</v>
      </c>
      <c r="E31" t="s">
        <v>6</v>
      </c>
      <c r="U31" s="2" t="s">
        <v>16</v>
      </c>
      <c r="AS31" s="2" t="s">
        <v>1110</v>
      </c>
    </row>
    <row r="32" spans="3:51" x14ac:dyDescent="0.15">
      <c r="C32" s="1652">
        <f>X67</f>
        <v>2.7027085341929252E-2</v>
      </c>
      <c r="D32" s="1652">
        <f t="shared" ref="D32:E32" si="18">Y67</f>
        <v>-2.1430857709414624</v>
      </c>
      <c r="E32" s="1652">
        <f t="shared" si="18"/>
        <v>25.955698695837849</v>
      </c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I32" s="10" t="s">
        <v>27</v>
      </c>
      <c r="AJ32" s="21"/>
      <c r="AL32" t="s">
        <v>79</v>
      </c>
      <c r="AN32" t="s">
        <v>2677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G33" s="1466" t="s">
        <v>365</v>
      </c>
      <c r="AH33" s="1466" t="s">
        <v>13</v>
      </c>
      <c r="AI33" s="25" t="s">
        <v>28</v>
      </c>
      <c r="AJ33" s="26" t="s">
        <v>7</v>
      </c>
      <c r="AL33" t="s">
        <v>25</v>
      </c>
      <c r="AM33" t="s">
        <v>13</v>
      </c>
      <c r="AN33" t="s">
        <v>25</v>
      </c>
      <c r="AO33" t="s">
        <v>13</v>
      </c>
      <c r="AS33" s="2" t="s">
        <v>1107</v>
      </c>
      <c r="AV33" t="s">
        <v>1115</v>
      </c>
    </row>
    <row r="34" spans="21:49" x14ac:dyDescent="0.15">
      <c r="U34" s="41">
        <v>10</v>
      </c>
      <c r="V34" s="1425">
        <f>C9</f>
        <v>-0.10916440188473163</v>
      </c>
      <c r="W34" s="1426">
        <f>D9</f>
        <v>5.3534931217486985</v>
      </c>
      <c r="X34" s="1427">
        <f>E9</f>
        <v>507.49487523908067</v>
      </c>
      <c r="Y34" s="1428">
        <f>C9-U29</f>
        <v>-0.17137240188473163</v>
      </c>
      <c r="Z34" s="1429">
        <f>(-W34+SQRT(W34^2-(4*Y34*X34)))/(2*Y34)</f>
        <v>-40.99611703659096</v>
      </c>
      <c r="AA34" s="1430">
        <f>(-W34-SQRT(W34^2-(4*Y34*X34)))/(2*Y34)</f>
        <v>72.235062531149424</v>
      </c>
      <c r="AB34" s="1428">
        <f>AB6</f>
        <v>95.380316017540977</v>
      </c>
      <c r="AC34" s="1431">
        <f>IF(Z34&lt;0,AA34,IF(Z34&gt;AB34,AA34,Z34))</f>
        <v>72.235062531149424</v>
      </c>
      <c r="AD34" s="1431">
        <f>V34*AC34^2+W34*AC34+X34</f>
        <v>324.59538813634907</v>
      </c>
      <c r="AE34" s="1432">
        <f t="shared" ref="AE34:AE41" si="19">AD60*AC34^2+AE60*AC34+AF60</f>
        <v>113.4630276873562</v>
      </c>
      <c r="AG34" s="1466">
        <v>10</v>
      </c>
      <c r="AH34" s="917">
        <f>AC34</f>
        <v>72.235062531149424</v>
      </c>
      <c r="AI34" s="1424">
        <f>$H$60*AH34^2+$I$60*AH34+$J$60</f>
        <v>59.835066109997605</v>
      </c>
      <c r="AJ34" s="53">
        <f>$R$60*AH34^2+$S$60*AH34+$T$60</f>
        <v>76.298844461425261</v>
      </c>
      <c r="AL34">
        <v>10</v>
      </c>
      <c r="AM34" s="3">
        <f t="shared" ref="AM34:AM41" si="20">AC34</f>
        <v>72.235062531149424</v>
      </c>
      <c r="AN34">
        <v>10</v>
      </c>
      <c r="AO34" s="3">
        <f>AM34</f>
        <v>72.235062531149424</v>
      </c>
      <c r="AS34" s="616">
        <f>AC34/$J$3-1</f>
        <v>1.0803698008971034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C13</f>
        <v>-6.4539960787553668E-2</v>
      </c>
      <c r="W35" s="99">
        <f>D13</f>
        <v>2.7688310603130377</v>
      </c>
      <c r="X35" s="100">
        <f>E13</f>
        <v>352.2431801977703</v>
      </c>
      <c r="Y35" s="36">
        <f>C13-U29</f>
        <v>-0.12674796078755368</v>
      </c>
      <c r="Z35" s="28">
        <f t="shared" ref="Z35:Z40" si="21">(-W35+SQRT(W35^2-(4*Y35*X35)))/(2*Y35)</f>
        <v>-42.914078774867875</v>
      </c>
      <c r="AA35" s="29">
        <f t="shared" ref="AA35:AA40" si="22">(-W35-SQRT(W35^2-(4*Y35*X35)))/(2*Y35)</f>
        <v>64.759251218738314</v>
      </c>
      <c r="AB35" s="36">
        <f>AD6</f>
        <v>96.337047181791775</v>
      </c>
      <c r="AC35" s="53">
        <f t="shared" ref="AC35:AC40" si="23">IF(Z35&lt;0,AA35,IF(Z35&gt;AB35,AA35,Z35))</f>
        <v>64.759251218738314</v>
      </c>
      <c r="AD35" s="53">
        <f>V35*AC35^2+W35*AC35+X35</f>
        <v>260.88546055015257</v>
      </c>
      <c r="AE35" s="1433">
        <f t="shared" si="19"/>
        <v>84.924458527260043</v>
      </c>
      <c r="AG35" s="1466">
        <v>7</v>
      </c>
      <c r="AH35" s="917">
        <f>AC36</f>
        <v>55.955459517742824</v>
      </c>
      <c r="AI35" s="1424">
        <f>$H$65*AH35^2+$I$65*AH35+$J$65</f>
        <v>55.447247654770038</v>
      </c>
      <c r="AJ35" s="53">
        <f>$R$65*AH35^2+$S$65*AH35+$T$65</f>
        <v>70.819088432339058</v>
      </c>
      <c r="AL35">
        <v>8</v>
      </c>
      <c r="AM35" s="3">
        <f t="shared" si="20"/>
        <v>64.759251218738314</v>
      </c>
      <c r="AN35">
        <v>8.1999999999999993</v>
      </c>
      <c r="AO35" s="3">
        <f>Q9*AN35+R9</f>
        <v>66.710778440318535</v>
      </c>
      <c r="AS35" t="s">
        <v>1114</v>
      </c>
      <c r="AV35" t="s">
        <v>1116</v>
      </c>
    </row>
    <row r="36" spans="21:49" x14ac:dyDescent="0.15">
      <c r="U36" s="35">
        <v>7</v>
      </c>
      <c r="V36" s="98">
        <f>C17</f>
        <v>-5.3028701208818363E-2</v>
      </c>
      <c r="W36" s="99">
        <f>D17</f>
        <v>0.84444369005807562</v>
      </c>
      <c r="X36" s="100">
        <f>E17</f>
        <v>313.55642668614803</v>
      </c>
      <c r="Y36" s="36">
        <f>C17-U29</f>
        <v>-0.11523670120881838</v>
      </c>
      <c r="Z36" s="28">
        <f t="shared" si="21"/>
        <v>-48.627553727313483</v>
      </c>
      <c r="AA36" s="29">
        <f t="shared" si="22"/>
        <v>55.955459517742824</v>
      </c>
      <c r="AB36" s="36">
        <f>AF6</f>
        <v>84.039568816164177</v>
      </c>
      <c r="AC36" s="53">
        <f t="shared" si="23"/>
        <v>55.955459517742824</v>
      </c>
      <c r="AD36" s="53">
        <f>V36*AC36^2+W36*AC36+X36</f>
        <v>194.77408468775599</v>
      </c>
      <c r="AE36" s="1433">
        <f t="shared" si="19"/>
        <v>58.029451344841092</v>
      </c>
      <c r="AG36" s="1466">
        <v>6</v>
      </c>
      <c r="AH36" s="917">
        <f>AC37</f>
        <v>46.609889709507428</v>
      </c>
      <c r="AI36" s="1424">
        <f>$H$70*AH36^2+$I$70*AH36+$J$70</f>
        <v>51.770293221917967</v>
      </c>
      <c r="AJ36" s="53">
        <f>$R$70*AH36^2+$S$70*AH36+$T$70</f>
        <v>67.111518028666822</v>
      </c>
      <c r="AL36">
        <v>7</v>
      </c>
      <c r="AM36" s="3">
        <f t="shared" si="20"/>
        <v>55.955459517742824</v>
      </c>
      <c r="AO36" s="3"/>
      <c r="AS36" s="609">
        <f>Tulokset_ENT!$CR$16</f>
        <v>41.666666666666664</v>
      </c>
      <c r="AT36" t="s">
        <v>13</v>
      </c>
      <c r="AV36" s="617">
        <f>IF($AS$36&gt;$AO$35,($AS$36-$R$10)/$Q$10,($AS$36-$R$9)/$Q$9)</f>
        <v>5.4242701026208149</v>
      </c>
      <c r="AW36" t="s">
        <v>25</v>
      </c>
    </row>
    <row r="37" spans="21:49" x14ac:dyDescent="0.15">
      <c r="U37" s="35">
        <v>6</v>
      </c>
      <c r="V37" s="98">
        <f>C20</f>
        <v>-6.1285968629719328E-2</v>
      </c>
      <c r="W37" s="99">
        <f>D20</f>
        <v>1.6565868956636227</v>
      </c>
      <c r="X37" s="100">
        <f>E20</f>
        <v>191.07506907008366</v>
      </c>
      <c r="Y37" s="36">
        <f>C20-$U$29</f>
        <v>-0.12349396862971934</v>
      </c>
      <c r="Z37" s="28">
        <f t="shared" si="21"/>
        <v>-33.19557552036121</v>
      </c>
      <c r="AA37" s="29">
        <f t="shared" si="22"/>
        <v>46.609889709507428</v>
      </c>
      <c r="AB37" s="36">
        <f>AH6</f>
        <v>69.526415226309226</v>
      </c>
      <c r="AC37" s="467">
        <f t="shared" si="23"/>
        <v>46.609889709507428</v>
      </c>
      <c r="AD37" s="467">
        <f>V37*AC37^2+W37*AC37+X37</f>
        <v>135.14574897970812</v>
      </c>
      <c r="AE37" s="1433">
        <f t="shared" si="19"/>
        <v>38.235583000711244</v>
      </c>
      <c r="AG37" s="1466">
        <v>4</v>
      </c>
      <c r="AH37" s="917">
        <f>AC39</f>
        <v>28.938966244668133</v>
      </c>
      <c r="AI37" s="1424">
        <f>$H$75*AH37^2+$I$75*AH37+$J$75</f>
        <v>41.795498302994069</v>
      </c>
      <c r="AJ37" s="53">
        <f>$R$75*AH37^2+$S$75*AH37+$T$75</f>
        <v>57.130284230892059</v>
      </c>
      <c r="AL37">
        <v>6</v>
      </c>
      <c r="AM37" s="3">
        <f t="shared" si="20"/>
        <v>46.609889709507428</v>
      </c>
      <c r="AO37" s="3"/>
      <c r="AS37" s="609">
        <f>Tulokset_ENT!$CR$17</f>
        <v>107.99999999999999</v>
      </c>
      <c r="AT37" t="s">
        <v>14</v>
      </c>
    </row>
    <row r="38" spans="21:49" x14ac:dyDescent="0.15">
      <c r="U38" s="35">
        <v>5</v>
      </c>
      <c r="V38" s="98">
        <f>C23</f>
        <v>-6.7731205545045345E-2</v>
      </c>
      <c r="W38" s="99">
        <f t="shared" ref="W38:X38" si="24">D23</f>
        <v>1.4347928000013304</v>
      </c>
      <c r="X38" s="100">
        <f t="shared" si="24"/>
        <v>134.53921076883989</v>
      </c>
      <c r="Y38" s="36">
        <f>C23-$U$29</f>
        <v>-0.12993920554504534</v>
      </c>
      <c r="Z38" s="28">
        <f t="shared" si="21"/>
        <v>-27.126845221158163</v>
      </c>
      <c r="AA38" s="29">
        <f t="shared" si="22"/>
        <v>38.168876715678415</v>
      </c>
      <c r="AB38" s="36">
        <f>AJ6</f>
        <v>54.760964406628652</v>
      </c>
      <c r="AC38" s="467">
        <f t="shared" si="23"/>
        <v>38.168876715678415</v>
      </c>
      <c r="AD38" s="467">
        <f t="shared" ref="AD38:AD41" si="25">V38*AC38^2+W38*AC38+X38</f>
        <v>90.628542818817948</v>
      </c>
      <c r="AE38" s="1433">
        <f t="shared" si="19"/>
        <v>23.7722414871184</v>
      </c>
      <c r="AL38">
        <v>5</v>
      </c>
      <c r="AM38" s="3">
        <f t="shared" si="20"/>
        <v>38.168876715678415</v>
      </c>
      <c r="AO38" s="3"/>
    </row>
    <row r="39" spans="21:49" x14ac:dyDescent="0.15">
      <c r="U39" s="35">
        <v>4</v>
      </c>
      <c r="V39" s="98">
        <f>C26</f>
        <v>-6.9130897537859337E-2</v>
      </c>
      <c r="W39" s="99">
        <f t="shared" ref="W39:X39" si="26">D26</f>
        <v>0.96645597547783735</v>
      </c>
      <c r="X39" s="100">
        <f t="shared" si="26"/>
        <v>82.023331075092301</v>
      </c>
      <c r="Y39" s="36">
        <f>C26-$U$29</f>
        <v>-0.13133889753785935</v>
      </c>
      <c r="Z39" s="28">
        <f t="shared" si="21"/>
        <v>-21.580476158368686</v>
      </c>
      <c r="AA39" s="29">
        <f t="shared" si="22"/>
        <v>28.938966244668133</v>
      </c>
      <c r="AB39" s="36">
        <f>AL6</f>
        <v>40.015801166334754</v>
      </c>
      <c r="AC39" s="467">
        <f t="shared" si="23"/>
        <v>28.938966244668133</v>
      </c>
      <c r="AD39" s="467">
        <f t="shared" si="25"/>
        <v>52.096946036823084</v>
      </c>
      <c r="AE39" s="1433">
        <f t="shared" si="19"/>
        <v>13.985513411911528</v>
      </c>
      <c r="AL39">
        <v>4</v>
      </c>
      <c r="AM39" s="3">
        <f t="shared" si="20"/>
        <v>28.938966244668133</v>
      </c>
    </row>
    <row r="40" spans="21:49" x14ac:dyDescent="0.15">
      <c r="U40" s="35">
        <v>3</v>
      </c>
      <c r="V40" s="98">
        <f>C29</f>
        <v>-7.6340261230434928E-2</v>
      </c>
      <c r="W40" s="99">
        <f t="shared" ref="W40:X40" si="27">D29</f>
        <v>0.60529202479789601</v>
      </c>
      <c r="X40" s="100">
        <f t="shared" si="27"/>
        <v>43.739868801653714</v>
      </c>
      <c r="Y40" s="36">
        <f>C29-$U$29</f>
        <v>-0.13854826123043493</v>
      </c>
      <c r="Z40" s="28">
        <f t="shared" si="21"/>
        <v>-15.717349974121015</v>
      </c>
      <c r="AA40" s="29">
        <f t="shared" si="22"/>
        <v>20.086167160438261</v>
      </c>
      <c r="AB40" s="36">
        <f>AN6</f>
        <v>25.96175640860292</v>
      </c>
      <c r="AC40" s="1434">
        <f t="shared" si="23"/>
        <v>20.086167160438261</v>
      </c>
      <c r="AD40" s="1434">
        <f t="shared" si="25"/>
        <v>25.098073349347246</v>
      </c>
      <c r="AE40" s="1433">
        <f t="shared" si="19"/>
        <v>7.8044609308063748</v>
      </c>
      <c r="AL40">
        <v>3</v>
      </c>
      <c r="AM40" s="3">
        <f t="shared" si="20"/>
        <v>20.086167160438261</v>
      </c>
    </row>
    <row r="41" spans="21:49" x14ac:dyDescent="0.15">
      <c r="U41" s="38">
        <v>2</v>
      </c>
      <c r="V41" s="101">
        <f>C32</f>
        <v>2.7027085341929252E-2</v>
      </c>
      <c r="W41" s="102">
        <f>D32</f>
        <v>-2.1430857709414624</v>
      </c>
      <c r="X41" s="103">
        <f>E32</f>
        <v>25.955698695837849</v>
      </c>
      <c r="Y41" s="37">
        <f>C32-$U$29</f>
        <v>-3.5180914658070758E-2</v>
      </c>
      <c r="Z41" s="30">
        <f>(-W41+SQRT(W41^2-(4*Y41*X41)))/(2*Y41)</f>
        <v>-71.268269167210249</v>
      </c>
      <c r="AA41" s="31">
        <f>(-W41-SQRT(W41^2-(4*Y41*X41)))/(2*Y41)</f>
        <v>10.352122109338838</v>
      </c>
      <c r="AB41" s="37">
        <f>AN7</f>
        <v>22.03903525784218</v>
      </c>
      <c r="AC41" s="1434">
        <f>IF(Z41&lt;0,AA41,IF(Z41&gt;AB41,AA41,Z41))</f>
        <v>10.352122109338838</v>
      </c>
      <c r="AD41" s="1434">
        <f t="shared" si="25"/>
        <v>6.6666094122237105</v>
      </c>
      <c r="AE41" s="1433">
        <f t="shared" si="19"/>
        <v>4.5436237946549687</v>
      </c>
      <c r="AL41">
        <v>2</v>
      </c>
      <c r="AM41" s="3">
        <f t="shared" si="20"/>
        <v>10.352122109338838</v>
      </c>
    </row>
    <row r="42" spans="21:49" x14ac:dyDescent="0.15">
      <c r="U42" s="2" t="s">
        <v>35</v>
      </c>
      <c r="W42" t="s">
        <v>36</v>
      </c>
    </row>
    <row r="44" spans="21:49" x14ac:dyDescent="0.15">
      <c r="U44" s="74"/>
      <c r="V44" s="128"/>
      <c r="W44" s="75"/>
      <c r="X44" s="43">
        <v>63</v>
      </c>
      <c r="Y44" s="44">
        <v>125</v>
      </c>
      <c r="Z44" s="44">
        <v>250</v>
      </c>
      <c r="AA44" s="44">
        <v>500</v>
      </c>
      <c r="AB44" s="44">
        <v>1000</v>
      </c>
      <c r="AC44" s="44">
        <v>2000</v>
      </c>
      <c r="AD44" s="44">
        <v>4000</v>
      </c>
      <c r="AE44" s="45">
        <v>8000</v>
      </c>
      <c r="AG44" s="43">
        <v>63</v>
      </c>
      <c r="AH44" s="44">
        <v>125</v>
      </c>
      <c r="AI44" s="44">
        <v>250</v>
      </c>
      <c r="AJ44" s="44">
        <v>500</v>
      </c>
      <c r="AK44" s="44">
        <v>1000</v>
      </c>
      <c r="AL44" s="44">
        <v>2000</v>
      </c>
      <c r="AM44" s="44">
        <v>4000</v>
      </c>
      <c r="AN44" s="45">
        <v>8000</v>
      </c>
      <c r="AO44" t="s">
        <v>70</v>
      </c>
      <c r="AP44" t="s">
        <v>71</v>
      </c>
    </row>
    <row r="45" spans="21:49" x14ac:dyDescent="0.15">
      <c r="U45" s="10" t="s">
        <v>26</v>
      </c>
      <c r="V45" s="21">
        <v>8.6999999999999993</v>
      </c>
      <c r="W45" s="971">
        <f>ABS($W$9-V45)</f>
        <v>4.0454079055013494</v>
      </c>
      <c r="X45" s="1469">
        <v>15</v>
      </c>
      <c r="Y45" s="843">
        <v>13</v>
      </c>
      <c r="Z45" s="843">
        <v>5</v>
      </c>
      <c r="AA45" s="843">
        <v>-7</v>
      </c>
      <c r="AB45" s="843">
        <v>-16</v>
      </c>
      <c r="AC45" s="843">
        <v>-21</v>
      </c>
      <c r="AD45" s="843">
        <v>-29</v>
      </c>
      <c r="AE45" s="843">
        <v>-38</v>
      </c>
      <c r="AF45" s="39" t="s">
        <v>42</v>
      </c>
      <c r="AG45" s="53">
        <f>$W$5+X49</f>
        <v>64.639457895037509</v>
      </c>
      <c r="AH45" s="53">
        <f t="shared" ref="AH45:AN45" si="28">$W$5+Y49</f>
        <v>58.639457895037502</v>
      </c>
      <c r="AI45" s="53">
        <f t="shared" si="28"/>
        <v>48.639457895037502</v>
      </c>
      <c r="AJ45" s="53">
        <f t="shared" si="28"/>
        <v>38.639457895037502</v>
      </c>
      <c r="AK45" s="53">
        <f t="shared" si="28"/>
        <v>28.639457895037502</v>
      </c>
      <c r="AL45" s="53">
        <f t="shared" si="28"/>
        <v>21.639457895037502</v>
      </c>
      <c r="AM45" s="53">
        <f t="shared" si="28"/>
        <v>16.639457895037502</v>
      </c>
      <c r="AN45" s="53">
        <f t="shared" si="28"/>
        <v>21.639457895037502</v>
      </c>
      <c r="AO45" s="5">
        <f t="array" ref="AO45">10*LOG10(SUM(10^(AG45:AN45/10)))</f>
        <v>65.708797142530884</v>
      </c>
      <c r="AP45" s="5">
        <f t="array" ref="AP45">10*LOG10(SUM(10^((AG45:AN45+AG53:AN53)/10)))</f>
        <v>45.978208586383111</v>
      </c>
      <c r="AQ45" t="str">
        <f>IF(ABS(W5-AP45)&lt;0.5,"OK","Tarkista laskenta!")</f>
        <v>OK</v>
      </c>
    </row>
    <row r="46" spans="21:49" x14ac:dyDescent="0.15">
      <c r="U46" s="12"/>
      <c r="V46" s="24">
        <v>7</v>
      </c>
      <c r="W46" s="42">
        <f t="shared" ref="W46:W48" si="29">ABS($W$9-V46)</f>
        <v>2.3454079055013501</v>
      </c>
      <c r="X46" s="1469">
        <v>15</v>
      </c>
      <c r="Y46" s="843">
        <v>13</v>
      </c>
      <c r="Z46" s="843">
        <v>5</v>
      </c>
      <c r="AA46" s="843">
        <v>-8</v>
      </c>
      <c r="AB46" s="843">
        <v>-16</v>
      </c>
      <c r="AC46" s="843">
        <v>-23</v>
      </c>
      <c r="AD46" s="843">
        <v>-30</v>
      </c>
      <c r="AE46" s="843">
        <v>-36</v>
      </c>
    </row>
    <row r="47" spans="21:49" x14ac:dyDescent="0.15">
      <c r="U47" s="12"/>
      <c r="V47" s="24">
        <v>6</v>
      </c>
      <c r="W47" s="42">
        <f t="shared" si="29"/>
        <v>1.3454079055013501</v>
      </c>
      <c r="X47" s="1469">
        <v>17</v>
      </c>
      <c r="Y47" s="843">
        <v>13</v>
      </c>
      <c r="Z47" s="843">
        <v>4</v>
      </c>
      <c r="AA47" s="843">
        <v>-8</v>
      </c>
      <c r="AB47" s="843">
        <v>-16</v>
      </c>
      <c r="AC47" s="843">
        <v>-23</v>
      </c>
      <c r="AD47" s="843">
        <v>-31</v>
      </c>
      <c r="AE47" s="843">
        <v>-33</v>
      </c>
    </row>
    <row r="48" spans="21:49" x14ac:dyDescent="0.15">
      <c r="U48" s="14"/>
      <c r="V48" s="26">
        <v>4</v>
      </c>
      <c r="W48" s="972">
        <f t="shared" si="29"/>
        <v>0.65459209449864986</v>
      </c>
      <c r="X48" s="1470">
        <v>19</v>
      </c>
      <c r="Y48" s="844">
        <v>13</v>
      </c>
      <c r="Z48" s="844">
        <v>3</v>
      </c>
      <c r="AA48" s="844">
        <v>-7</v>
      </c>
      <c r="AB48" s="844">
        <v>-17</v>
      </c>
      <c r="AC48" s="844">
        <v>-24</v>
      </c>
      <c r="AD48" s="844">
        <v>-29</v>
      </c>
      <c r="AE48" s="844">
        <v>-24</v>
      </c>
    </row>
    <row r="49" spans="3:43" x14ac:dyDescent="0.15">
      <c r="V49" s="297" t="s">
        <v>2694</v>
      </c>
      <c r="W49" s="609">
        <f>SMALL(W45:W48,1)</f>
        <v>0.65459209449864986</v>
      </c>
      <c r="X49" s="43">
        <f>INDEX(X45:X48,MATCH($W$49,$W$45:$W$48,0))</f>
        <v>19</v>
      </c>
      <c r="Y49" s="43">
        <f t="shared" ref="Y49:AE49" si="30">INDEX(Y45:Y48,MATCH($W$49,$W$45:$W$48,0))</f>
        <v>13</v>
      </c>
      <c r="Z49" s="43">
        <f t="shared" si="30"/>
        <v>3</v>
      </c>
      <c r="AA49" s="43">
        <f t="shared" si="30"/>
        <v>-7</v>
      </c>
      <c r="AB49" s="43">
        <f t="shared" si="30"/>
        <v>-17</v>
      </c>
      <c r="AC49" s="43">
        <f t="shared" si="30"/>
        <v>-24</v>
      </c>
      <c r="AD49" s="43">
        <f t="shared" si="30"/>
        <v>-29</v>
      </c>
      <c r="AE49" s="43">
        <f t="shared" si="30"/>
        <v>-24</v>
      </c>
      <c r="AG49" s="73"/>
      <c r="AH49" s="73"/>
      <c r="AI49" s="73"/>
      <c r="AJ49" s="73"/>
      <c r="AK49" s="73"/>
      <c r="AL49" s="73"/>
      <c r="AM49" s="73"/>
      <c r="AN49" s="73"/>
    </row>
    <row r="51" spans="3:43" x14ac:dyDescent="0.15">
      <c r="U51" s="10" t="s">
        <v>29</v>
      </c>
      <c r="V51" s="21">
        <v>8.6999999999999993</v>
      </c>
      <c r="W51" s="971">
        <f>ABS($W$9-V51)</f>
        <v>4.0454079055013494</v>
      </c>
      <c r="X51" s="1471">
        <v>9</v>
      </c>
      <c r="Y51" s="1475">
        <v>8</v>
      </c>
      <c r="Z51" s="1475">
        <v>5</v>
      </c>
      <c r="AA51" s="1475">
        <v>-4</v>
      </c>
      <c r="AB51" s="1475">
        <v>-9</v>
      </c>
      <c r="AC51" s="1475">
        <v>-12</v>
      </c>
      <c r="AD51" s="1475">
        <v>-17</v>
      </c>
      <c r="AE51" s="1472">
        <v>-25</v>
      </c>
      <c r="AF51" s="39" t="s">
        <v>43</v>
      </c>
      <c r="AG51" s="53">
        <f>$W$6+X55</f>
        <v>74.928146758130822</v>
      </c>
      <c r="AH51" s="53">
        <f t="shared" ref="AH51:AN51" si="31">$W$6+Y55</f>
        <v>68.928146758130822</v>
      </c>
      <c r="AI51" s="53">
        <f t="shared" si="31"/>
        <v>63.928146758130822</v>
      </c>
      <c r="AJ51" s="53">
        <f t="shared" si="31"/>
        <v>56.928146758130822</v>
      </c>
      <c r="AK51" s="53">
        <f t="shared" si="31"/>
        <v>54.928146758130822</v>
      </c>
      <c r="AL51" s="53">
        <f t="shared" si="31"/>
        <v>48.928146758130822</v>
      </c>
      <c r="AM51" s="53">
        <f t="shared" si="31"/>
        <v>39.928146758130822</v>
      </c>
      <c r="AN51" s="53">
        <f t="shared" si="31"/>
        <v>26.928146758130822</v>
      </c>
      <c r="AO51" s="5">
        <f t="array" ref="AO51">10*LOG10(SUM(10^(AG51:AN51/10)))</f>
        <v>76.261345812238972</v>
      </c>
      <c r="AP51" s="5">
        <f t="array" ref="AP51">10*LOG10(SUM(10^((AG51:AN51+AG53:AN53)/10)))</f>
        <v>61.038691623221084</v>
      </c>
      <c r="AQ51" t="str">
        <f>IF(ABS(W6-AP51)&lt;0.5,"OK","Tarkista laskenta!")</f>
        <v>OK</v>
      </c>
    </row>
    <row r="52" spans="3:43" x14ac:dyDescent="0.15">
      <c r="U52" s="12"/>
      <c r="V52" s="24">
        <v>7</v>
      </c>
      <c r="W52" s="42">
        <f t="shared" ref="W52:W54" si="32">ABS($W$9-V52)</f>
        <v>2.3454079055013501</v>
      </c>
      <c r="X52" s="1469">
        <v>10</v>
      </c>
      <c r="Y52" s="843">
        <v>8</v>
      </c>
      <c r="Z52" s="843">
        <v>4</v>
      </c>
      <c r="AA52" s="843">
        <v>-4</v>
      </c>
      <c r="AB52" s="843">
        <v>-8</v>
      </c>
      <c r="AC52" s="843">
        <v>-11</v>
      </c>
      <c r="AD52" s="843">
        <v>-17</v>
      </c>
      <c r="AE52" s="1474">
        <v>-27</v>
      </c>
    </row>
    <row r="53" spans="3:43" x14ac:dyDescent="0.15">
      <c r="U53" s="12"/>
      <c r="V53" s="24">
        <v>6</v>
      </c>
      <c r="W53" s="42">
        <f t="shared" si="32"/>
        <v>1.3454079055013501</v>
      </c>
      <c r="X53" s="1469">
        <v>11</v>
      </c>
      <c r="Y53" s="843">
        <v>8</v>
      </c>
      <c r="Z53" s="843">
        <v>4</v>
      </c>
      <c r="AA53" s="843">
        <v>-4</v>
      </c>
      <c r="AB53" s="843">
        <v>-8</v>
      </c>
      <c r="AC53" s="843">
        <v>-11</v>
      </c>
      <c r="AD53" s="843">
        <v>-18</v>
      </c>
      <c r="AE53" s="1474">
        <v>-29</v>
      </c>
      <c r="AG53" s="73">
        <v>-26.2</v>
      </c>
      <c r="AH53" s="73">
        <v>-16.100000000000001</v>
      </c>
      <c r="AI53" s="73">
        <v>-8.6</v>
      </c>
      <c r="AJ53" s="73">
        <v>-3.2</v>
      </c>
      <c r="AK53" s="73">
        <v>0</v>
      </c>
      <c r="AL53" s="73">
        <v>1.2</v>
      </c>
      <c r="AM53" s="73">
        <v>1</v>
      </c>
      <c r="AN53" s="73">
        <v>-1.1000000000000001</v>
      </c>
    </row>
    <row r="54" spans="3:43" x14ac:dyDescent="0.15">
      <c r="U54" s="14"/>
      <c r="V54" s="26">
        <v>4</v>
      </c>
      <c r="W54" s="972">
        <f t="shared" si="32"/>
        <v>0.65459209449864986</v>
      </c>
      <c r="X54" s="1470">
        <v>14</v>
      </c>
      <c r="Y54" s="844">
        <v>8</v>
      </c>
      <c r="Z54" s="844">
        <v>3</v>
      </c>
      <c r="AA54" s="844">
        <v>-4</v>
      </c>
      <c r="AB54" s="844">
        <v>-6</v>
      </c>
      <c r="AC54" s="844">
        <v>-12</v>
      </c>
      <c r="AD54" s="844">
        <v>-21</v>
      </c>
      <c r="AE54" s="1473">
        <v>-34</v>
      </c>
    </row>
    <row r="55" spans="3:43" x14ac:dyDescent="0.15">
      <c r="V55" s="297" t="s">
        <v>2694</v>
      </c>
      <c r="W55" s="609">
        <f>SMALL(W51:W54,1)</f>
        <v>0.65459209449864986</v>
      </c>
      <c r="X55" s="43">
        <f>INDEX(X51:X54,MATCH($W$49,$W$45:$W$48,0))</f>
        <v>14</v>
      </c>
      <c r="Y55" s="43">
        <f t="shared" ref="Y55:AE55" si="33">INDEX(Y51:Y54,MATCH($W$49,$W$45:$W$48,0))</f>
        <v>8</v>
      </c>
      <c r="Z55" s="43">
        <f t="shared" si="33"/>
        <v>3</v>
      </c>
      <c r="AA55" s="43">
        <f t="shared" si="33"/>
        <v>-4</v>
      </c>
      <c r="AB55" s="43">
        <f t="shared" si="33"/>
        <v>-6</v>
      </c>
      <c r="AC55" s="43">
        <f t="shared" si="33"/>
        <v>-12</v>
      </c>
      <c r="AD55" s="43">
        <f t="shared" si="33"/>
        <v>-21</v>
      </c>
      <c r="AE55" s="628">
        <f t="shared" si="33"/>
        <v>-34</v>
      </c>
    </row>
    <row r="56" spans="3:43" x14ac:dyDescent="0.15">
      <c r="C56" s="2" t="s">
        <v>45</v>
      </c>
    </row>
    <row r="57" spans="3:43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</row>
    <row r="58" spans="3:43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595</v>
      </c>
      <c r="T58" s="24"/>
      <c r="W58" s="241" t="s">
        <v>2689</v>
      </c>
      <c r="AC58" t="s">
        <v>50</v>
      </c>
    </row>
    <row r="59" spans="3:43" x14ac:dyDescent="0.15">
      <c r="C59" s="10" t="s">
        <v>3</v>
      </c>
      <c r="D59" s="67">
        <v>92.208864266379081</v>
      </c>
      <c r="E59" s="68">
        <v>61.274171526017128</v>
      </c>
      <c r="F59" s="69">
        <v>116.06864537051536</v>
      </c>
      <c r="H59" t="s">
        <v>4</v>
      </c>
      <c r="I59" t="s">
        <v>5</v>
      </c>
      <c r="K59" s="24"/>
      <c r="M59" s="10" t="s">
        <v>3</v>
      </c>
      <c r="N59" s="67">
        <v>92.51719528747023</v>
      </c>
      <c r="O59" s="68">
        <v>76.524353896278924</v>
      </c>
      <c r="P59" s="69">
        <v>116.3395231419871</v>
      </c>
      <c r="R59" t="s">
        <v>4</v>
      </c>
      <c r="S59" t="s">
        <v>5</v>
      </c>
      <c r="T59" s="24" t="s">
        <v>6</v>
      </c>
      <c r="X59" s="4" t="s">
        <v>4</v>
      </c>
      <c r="Y59" s="4" t="s">
        <v>5</v>
      </c>
      <c r="Z59" s="4" t="s">
        <v>6</v>
      </c>
      <c r="AD59" s="4" t="s">
        <v>4</v>
      </c>
      <c r="AE59" s="4" t="s">
        <v>5</v>
      </c>
      <c r="AF59" s="4" t="s">
        <v>6</v>
      </c>
    </row>
    <row r="60" spans="3:43" x14ac:dyDescent="0.15">
      <c r="C60" s="12"/>
      <c r="D60" s="67">
        <v>85.914487240323069</v>
      </c>
      <c r="E60" s="68">
        <v>59.788162984136761</v>
      </c>
      <c r="F60" s="69">
        <v>115.82482921757091</v>
      </c>
      <c r="H60" s="2">
        <f t="array" ref="H60:J60">LINEST(E59:E62,D59:D62^{1,2})</f>
        <v>7.1273571964278826E-3</v>
      </c>
      <c r="I60" s="2">
        <v>-1.1068700435635448</v>
      </c>
      <c r="J60" s="2">
        <v>102.60002545087293</v>
      </c>
      <c r="K60" s="24"/>
      <c r="M60" s="12"/>
      <c r="N60" s="67">
        <v>85.971656356331508</v>
      </c>
      <c r="O60" s="68">
        <v>76.22994011572807</v>
      </c>
      <c r="P60" s="69">
        <v>115.95164875873581</v>
      </c>
      <c r="R60" s="2">
        <f t="array" ref="R60:T60">LINEST(O59:O62,N59:N62^{1,2})</f>
        <v>2.6825924975853875E-3</v>
      </c>
      <c r="S60" s="2">
        <v>-0.43053076701212845</v>
      </c>
      <c r="T60" s="27">
        <v>93.400750520142253</v>
      </c>
      <c r="W60" s="2">
        <v>10</v>
      </c>
      <c r="X60" s="7">
        <f t="array" ref="X60:Z60">LINEST(I85:I95,C85:C95^{1,2})</f>
        <v>-0.10916440188473163</v>
      </c>
      <c r="Y60" s="7">
        <v>5.3534931217486985</v>
      </c>
      <c r="Z60" s="7">
        <v>507.49487523908067</v>
      </c>
      <c r="AC60" t="s">
        <v>3</v>
      </c>
      <c r="AD60" s="54">
        <f t="array" ref="AD60:AF60">LINEST(K85:K99,C85:C99^{1,2})</f>
        <v>-7.6626451157294816E-3</v>
      </c>
      <c r="AE60" s="54">
        <v>1.4111801644464099</v>
      </c>
      <c r="AF60" s="54">
        <v>51.50928884949581</v>
      </c>
    </row>
    <row r="61" spans="3:43" ht="13.5" customHeight="1" x14ac:dyDescent="0.15">
      <c r="C61" s="12"/>
      <c r="D61" s="67">
        <v>77.649489374205316</v>
      </c>
      <c r="E61" s="68">
        <v>59.882295324484154</v>
      </c>
      <c r="F61" s="69">
        <v>114.74776496422585</v>
      </c>
      <c r="K61" s="24"/>
      <c r="M61" s="12"/>
      <c r="N61" s="67">
        <v>77.456897830128071</v>
      </c>
      <c r="O61" s="68">
        <v>76.135253010845418</v>
      </c>
      <c r="P61" s="69">
        <v>115.16419571022183</v>
      </c>
      <c r="T61" s="24"/>
      <c r="W61" s="2">
        <v>8</v>
      </c>
      <c r="X61" s="7">
        <f t="array" ref="X61:Z61">LINEST(I103:I112,C103:C112^{1,2})</f>
        <v>-6.4539960787553668E-2</v>
      </c>
      <c r="Y61" s="7">
        <v>2.7688310603130377</v>
      </c>
      <c r="Z61" s="7">
        <v>352.2431801977703</v>
      </c>
      <c r="AC61" t="s">
        <v>408</v>
      </c>
      <c r="AD61" s="54">
        <f t="array" ref="AD61:AF61">LINEST(K103:K112,C103:C112^{1,2})</f>
        <v>2.3800938989367204E-3</v>
      </c>
      <c r="AE61" s="54">
        <v>0.64879836181014949</v>
      </c>
      <c r="AF61" s="54">
        <v>32.927218363008024</v>
      </c>
    </row>
    <row r="62" spans="3:43" x14ac:dyDescent="0.15">
      <c r="C62" s="14"/>
      <c r="D62" s="67">
        <v>67.619832438075576</v>
      </c>
      <c r="E62" s="68">
        <v>60.274559745133089</v>
      </c>
      <c r="F62" s="69">
        <v>112.43284332409051</v>
      </c>
      <c r="K62" s="24"/>
      <c r="M62" s="14"/>
      <c r="N62" s="67">
        <v>67.542919873403633</v>
      </c>
      <c r="O62" s="68">
        <v>76.562989638955656</v>
      </c>
      <c r="P62" s="69">
        <v>112.37575854673311</v>
      </c>
      <c r="T62" s="24"/>
      <c r="W62" s="2">
        <v>7</v>
      </c>
      <c r="X62" s="7">
        <f t="array" ref="X62:Z62">LINEST(I116:I122,C116:C122^{1,2})</f>
        <v>-5.3028701208818363E-2</v>
      </c>
      <c r="Y62" s="7">
        <v>0.84444369005807562</v>
      </c>
      <c r="Z62" s="7">
        <v>313.55642668614803</v>
      </c>
      <c r="AC62" t="s">
        <v>2673</v>
      </c>
      <c r="AD62" s="54">
        <f t="array" ref="AD62:AF62">LINEST(K116:K127,C116:C127^{1,2})</f>
        <v>2.562595324554961E-3</v>
      </c>
      <c r="AE62" s="54">
        <v>0.44127211423494056</v>
      </c>
      <c r="AF62" s="54">
        <v>25.314346992775903</v>
      </c>
    </row>
    <row r="63" spans="3:43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2">
        <v>6</v>
      </c>
      <c r="X63" s="7">
        <f t="array" ref="X63:Z63">LINEST(I131:I139,C131:C139^{1,2})</f>
        <v>-6.1285968629719328E-2</v>
      </c>
      <c r="Y63" s="7">
        <v>1.6565868956636227</v>
      </c>
      <c r="Z63" s="7">
        <v>191.07506907008366</v>
      </c>
      <c r="AC63" t="s">
        <v>411</v>
      </c>
      <c r="AD63" s="54">
        <f t="array" ref="AD63:AF63">LINEST(K131:K143,C131:C143^{1,2})</f>
        <v>8.529294986566959E-4</v>
      </c>
      <c r="AE63" s="54">
        <v>0.42037965698634339</v>
      </c>
      <c r="AF63" s="54">
        <v>16.788759723964962</v>
      </c>
    </row>
    <row r="64" spans="3:43" x14ac:dyDescent="0.15">
      <c r="C64" s="10" t="s">
        <v>408</v>
      </c>
      <c r="D64" s="67">
        <v>78.090334198261289</v>
      </c>
      <c r="E64" s="68">
        <v>57.769543972600623</v>
      </c>
      <c r="F64" s="69">
        <v>75.054294109803209</v>
      </c>
      <c r="H64" t="s">
        <v>4</v>
      </c>
      <c r="I64" t="s">
        <v>5</v>
      </c>
      <c r="K64" s="24"/>
      <c r="M64" s="10" t="s">
        <v>2673</v>
      </c>
      <c r="N64" s="67">
        <v>78.126219403864539</v>
      </c>
      <c r="O64" s="68">
        <v>72.528763239506318</v>
      </c>
      <c r="P64" s="69">
        <v>75.549282385964176</v>
      </c>
      <c r="R64" t="s">
        <v>4</v>
      </c>
      <c r="S64" t="s">
        <v>5</v>
      </c>
      <c r="T64" s="24" t="s">
        <v>6</v>
      </c>
      <c r="W64" s="2">
        <v>5</v>
      </c>
      <c r="X64" s="7">
        <f t="array" ref="X64:Z64">LINEST(I147:I154,C147:C154^{1,2})</f>
        <v>-6.7731205545045345E-2</v>
      </c>
      <c r="Y64" s="7">
        <v>1.4347928000013304</v>
      </c>
      <c r="Z64" s="7">
        <v>134.53921076883989</v>
      </c>
      <c r="AC64" t="s">
        <v>10</v>
      </c>
      <c r="AD64" s="54">
        <f t="array" ref="AD64:AF64">LINEST(K147:K154,C147:C154^{1,2})</f>
        <v>1.8164097765457584E-3</v>
      </c>
      <c r="AE64" s="54">
        <v>0.22382462546375081</v>
      </c>
      <c r="AF64" s="54">
        <v>12.582846483588684</v>
      </c>
    </row>
    <row r="65" spans="3:32" x14ac:dyDescent="0.15">
      <c r="C65" s="12"/>
      <c r="D65" s="67">
        <v>71.054290512587201</v>
      </c>
      <c r="E65" s="68">
        <v>56.656298830243443</v>
      </c>
      <c r="F65" s="69">
        <v>69.736716594120963</v>
      </c>
      <c r="H65" s="2">
        <f t="array" ref="H65:J65">LINEST(E64:E67,D64:D67^{1,2})</f>
        <v>1.8813316634331877E-3</v>
      </c>
      <c r="I65" s="2">
        <v>-0.14986198547740467</v>
      </c>
      <c r="J65" s="2">
        <v>57.942369174577045</v>
      </c>
      <c r="K65" s="24"/>
      <c r="M65" s="12"/>
      <c r="N65" s="67">
        <v>71.063022065508562</v>
      </c>
      <c r="O65" s="68">
        <v>71.92768072809983</v>
      </c>
      <c r="P65" s="69">
        <v>69.56896225196374</v>
      </c>
      <c r="R65" s="2">
        <f t="array" ref="R65:T65">LINEST(O64:O67,N64:N67^{1,2})</f>
        <v>1.0571859392559944E-3</v>
      </c>
      <c r="S65" s="2">
        <v>-6.3787609806084625E-2</v>
      </c>
      <c r="T65" s="27">
        <v>71.078290055782887</v>
      </c>
      <c r="W65" s="2">
        <v>4</v>
      </c>
      <c r="X65" s="7">
        <f t="array" ref="X65:Z65">LINEST(I158:I164,C158:C164^{1,2})</f>
        <v>-6.9130897537859337E-2</v>
      </c>
      <c r="Y65" s="7">
        <v>0.96645597547783735</v>
      </c>
      <c r="Z65" s="7">
        <v>82.023331075092301</v>
      </c>
      <c r="AC65" t="s">
        <v>409</v>
      </c>
      <c r="AD65" s="54">
        <f t="array" ref="AD65:AF65">LINEST(K158:K168,C158:C168^{1,2})</f>
        <v>1.0897479172623811E-3</v>
      </c>
      <c r="AE65" s="54">
        <v>0.1621517542037145</v>
      </c>
      <c r="AF65" s="54">
        <v>8.3803848742876852</v>
      </c>
    </row>
    <row r="66" spans="3:32" x14ac:dyDescent="0.15">
      <c r="C66" s="12"/>
      <c r="D66" s="67">
        <v>61.630342534175419</v>
      </c>
      <c r="E66" s="68">
        <v>55.9635967131656</v>
      </c>
      <c r="F66" s="69">
        <v>63.046532555251112</v>
      </c>
      <c r="K66" s="24"/>
      <c r="M66" s="12"/>
      <c r="N66" s="67">
        <v>61.257710681232382</v>
      </c>
      <c r="O66" s="68">
        <v>71.102572149844761</v>
      </c>
      <c r="P66" s="69">
        <v>62.654615389940865</v>
      </c>
      <c r="T66" s="24"/>
      <c r="W66" s="2">
        <v>3</v>
      </c>
      <c r="X66" s="7">
        <f t="array" ref="X66:Z66">LINEST(I172:I175,C172:C175^{1,2})</f>
        <v>-7.6340261230434928E-2</v>
      </c>
      <c r="Y66" s="7">
        <v>0.60529202479789601</v>
      </c>
      <c r="Z66" s="7">
        <v>43.739868801653714</v>
      </c>
      <c r="AC66" t="s">
        <v>12</v>
      </c>
      <c r="AD66" s="54">
        <f t="array" ref="AD66:AF66">LINEST(K172:K175,C172:C175^{1,2})</f>
        <v>1.5235151508891597E-3</v>
      </c>
      <c r="AE66" s="54">
        <v>6.4740329835494811E-2</v>
      </c>
      <c r="AF66" s="54">
        <v>5.8894073926114645</v>
      </c>
    </row>
    <row r="67" spans="3:32" x14ac:dyDescent="0.15">
      <c r="C67" s="14"/>
      <c r="D67" s="67">
        <v>51.341596907423138</v>
      </c>
      <c r="E67" s="68">
        <v>55.174554357451846</v>
      </c>
      <c r="F67" s="69">
        <v>55.022883509587118</v>
      </c>
      <c r="K67" s="24"/>
      <c r="M67" s="14"/>
      <c r="N67" s="67">
        <v>50.779180423158394</v>
      </c>
      <c r="O67" s="68">
        <v>70.575723544336398</v>
      </c>
      <c r="P67" s="69">
        <v>54.698784338712194</v>
      </c>
      <c r="T67" s="24"/>
      <c r="W67" s="2">
        <v>2</v>
      </c>
      <c r="X67" s="7">
        <f t="array" ref="X67:Z67">LINEST(I179:I181,C179:C181^{1,2})</f>
        <v>2.7027085341929252E-2</v>
      </c>
      <c r="Y67" s="7">
        <v>-2.1430857709414624</v>
      </c>
      <c r="Z67" s="7">
        <v>25.955698695837849</v>
      </c>
      <c r="AC67" t="s">
        <v>410</v>
      </c>
      <c r="AD67" s="54">
        <f t="array" ref="AD67:AF67">LINEST(K179:K181,C179:C181^{1,2})</f>
        <v>4.5541199394891025E-3</v>
      </c>
      <c r="AE67" s="54">
        <v>-4.1759694112440279E-2</v>
      </c>
      <c r="AF67" s="54">
        <v>4.4878764617814868</v>
      </c>
    </row>
    <row r="68" spans="3:32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</row>
    <row r="69" spans="3:32" x14ac:dyDescent="0.15">
      <c r="C69" s="10" t="s">
        <v>411</v>
      </c>
      <c r="D69" s="67">
        <v>66.525256503016237</v>
      </c>
      <c r="E69" s="68">
        <v>54.283952713595298</v>
      </c>
      <c r="F69" s="69">
        <v>48.717494562927861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66.07437797183222</v>
      </c>
      <c r="O69" s="68">
        <v>68.675735253102147</v>
      </c>
      <c r="P69" s="69">
        <v>48.247425296229011</v>
      </c>
      <c r="R69" t="s">
        <v>4</v>
      </c>
      <c r="S69" t="s">
        <v>5</v>
      </c>
      <c r="T69" s="24" t="s">
        <v>6</v>
      </c>
    </row>
    <row r="70" spans="3:32" x14ac:dyDescent="0.15">
      <c r="C70" s="12"/>
      <c r="D70" s="67">
        <v>60.751202111356157</v>
      </c>
      <c r="E70" s="68">
        <v>52.935194980770433</v>
      </c>
      <c r="F70" s="69">
        <v>44.787935209291774</v>
      </c>
      <c r="H70" s="2">
        <f t="array" ref="H70:J70">LINEST(E69:E72,D69:D72^{1,2})</f>
        <v>3.9895746493358109E-3</v>
      </c>
      <c r="I70" s="2">
        <v>-0.33048028651934802</v>
      </c>
      <c r="J70" s="2">
        <v>58.506664537593267</v>
      </c>
      <c r="K70" s="24"/>
      <c r="M70" s="12"/>
      <c r="N70" s="67">
        <v>60.736620463698408</v>
      </c>
      <c r="O70" s="68">
        <v>68.000333869387376</v>
      </c>
      <c r="P70" s="69">
        <v>44.909569634425793</v>
      </c>
      <c r="R70" s="2">
        <f t="array" ref="R70:T70">LINEST(O69:O72,N69:N72^{1,2})</f>
        <v>1.6434783386266036E-3</v>
      </c>
      <c r="S70" s="2">
        <v>-0.1072150737864811</v>
      </c>
      <c r="T70" s="27">
        <v>68.538373982904503</v>
      </c>
    </row>
    <row r="71" spans="3:32" x14ac:dyDescent="0.15">
      <c r="C71" s="12"/>
      <c r="D71" s="67">
        <v>51.521768300431745</v>
      </c>
      <c r="E71" s="68">
        <v>52.216580385357283</v>
      </c>
      <c r="F71" s="69">
        <v>40.700617324817784</v>
      </c>
      <c r="K71" s="24"/>
      <c r="M71" s="12"/>
      <c r="N71" s="67">
        <v>51.023413859620192</v>
      </c>
      <c r="O71" s="68">
        <v>67.401713029957151</v>
      </c>
      <c r="P71" s="69">
        <v>40.435122809199662</v>
      </c>
      <c r="T71" s="24"/>
    </row>
    <row r="72" spans="3:32" x14ac:dyDescent="0.15">
      <c r="C72" s="14"/>
      <c r="D72" s="67">
        <v>39.062391135313241</v>
      </c>
      <c r="E72" s="68">
        <v>51.650818664504186</v>
      </c>
      <c r="F72" s="69">
        <v>36.504062912189255</v>
      </c>
      <c r="K72" s="24"/>
      <c r="M72" s="14"/>
      <c r="N72" s="67">
        <v>38.107442768055868</v>
      </c>
      <c r="O72" s="68">
        <v>66.826551042557327</v>
      </c>
      <c r="P72" s="69">
        <v>35.936627601992882</v>
      </c>
      <c r="T72" s="24"/>
    </row>
    <row r="73" spans="3:32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</row>
    <row r="74" spans="3:32" x14ac:dyDescent="0.15">
      <c r="C74" s="10" t="s">
        <v>409</v>
      </c>
      <c r="D74" s="67">
        <v>39.233197570699382</v>
      </c>
      <c r="E74" s="68">
        <v>44.627027031629972</v>
      </c>
      <c r="F74" s="69">
        <v>16.655258084596007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39.475997985609681</v>
      </c>
      <c r="O74" s="68">
        <v>58.140517289590825</v>
      </c>
      <c r="P74" s="69">
        <v>16.597364474282625</v>
      </c>
      <c r="R74" t="s">
        <v>4</v>
      </c>
      <c r="S74" t="s">
        <v>5</v>
      </c>
      <c r="T74" s="24" t="s">
        <v>6</v>
      </c>
    </row>
    <row r="75" spans="3:32" ht="15.75" customHeight="1" x14ac:dyDescent="0.15">
      <c r="C75" s="12"/>
      <c r="D75" s="67">
        <v>36.387864836203569</v>
      </c>
      <c r="E75" s="68">
        <v>42.897867194101742</v>
      </c>
      <c r="F75" s="69">
        <v>15.729708755207172</v>
      </c>
      <c r="H75" s="2">
        <f t="array" ref="H75:J75">LINEST(E74:E77,D74:D77^{1,2})</f>
        <v>1.5178622725179745E-2</v>
      </c>
      <c r="I75" s="2">
        <v>-0.78208553538700143</v>
      </c>
      <c r="J75" s="2">
        <v>51.716698641994867</v>
      </c>
      <c r="K75" s="24"/>
      <c r="M75" s="12"/>
      <c r="N75" s="67">
        <v>36.528782330877029</v>
      </c>
      <c r="O75" s="68">
        <v>57.780773039492558</v>
      </c>
      <c r="P75" s="69">
        <v>15.735562266904543</v>
      </c>
      <c r="R75" s="2">
        <f t="array" ref="R75:T75">LINEST(O74:O77,N74:N77^{1,2})</f>
        <v>1.5744170476084823E-3</v>
      </c>
      <c r="S75" s="2">
        <v>-1.3340668198616549E-2</v>
      </c>
      <c r="T75" s="27">
        <v>56.197832145565791</v>
      </c>
    </row>
    <row r="76" spans="3:32" x14ac:dyDescent="0.15">
      <c r="C76" s="12"/>
      <c r="D76" s="67">
        <v>31.665338481542531</v>
      </c>
      <c r="E76" s="68">
        <v>42.457779304360287</v>
      </c>
      <c r="F76" s="69">
        <v>14.729173962607398</v>
      </c>
      <c r="K76" s="24"/>
      <c r="M76" s="12"/>
      <c r="N76" s="67">
        <v>31.337857744647224</v>
      </c>
      <c r="O76" s="68">
        <v>57.344675138755122</v>
      </c>
      <c r="P76" s="69">
        <v>14.645314177297895</v>
      </c>
      <c r="T76" s="24"/>
    </row>
    <row r="77" spans="3:32" x14ac:dyDescent="0.15">
      <c r="C77" s="14"/>
      <c r="D77" s="67">
        <v>24.552841058481452</v>
      </c>
      <c r="E77" s="68">
        <v>41.605638643581962</v>
      </c>
      <c r="F77" s="69">
        <v>13.519299549304087</v>
      </c>
      <c r="G77" s="25"/>
      <c r="H77" s="25"/>
      <c r="I77" s="25"/>
      <c r="J77" s="25"/>
      <c r="K77" s="26"/>
      <c r="M77" s="14"/>
      <c r="N77" s="67">
        <v>23.843033292862099</v>
      </c>
      <c r="O77" s="68">
        <v>56.770799616907006</v>
      </c>
      <c r="P77" s="69">
        <v>13.394503822480059</v>
      </c>
      <c r="Q77" s="25"/>
      <c r="R77" s="25"/>
      <c r="S77" s="25"/>
      <c r="T77" s="26"/>
    </row>
    <row r="79" spans="3:32" x14ac:dyDescent="0.15">
      <c r="F79" s="5"/>
    </row>
    <row r="81" spans="2:13" x14ac:dyDescent="0.15">
      <c r="F81" s="5"/>
    </row>
    <row r="82" spans="2:13" x14ac:dyDescent="0.15">
      <c r="C82" s="2" t="s">
        <v>2690</v>
      </c>
    </row>
    <row r="83" spans="2:13" ht="13.5" customHeight="1" x14ac:dyDescent="0.15">
      <c r="C83" s="1826" t="s">
        <v>3</v>
      </c>
      <c r="D83" s="1826"/>
      <c r="E83" s="1826"/>
      <c r="F83" s="1826"/>
      <c r="G83" s="1826"/>
      <c r="H83" s="1826"/>
      <c r="I83" s="1826"/>
      <c r="J83" s="1826"/>
      <c r="K83" s="1826"/>
      <c r="L83" s="1826"/>
      <c r="M83" s="1826"/>
    </row>
    <row r="84" spans="2:13" ht="42" x14ac:dyDescent="0.15">
      <c r="C84" s="1435" t="s">
        <v>2678</v>
      </c>
      <c r="D84" s="1435" t="s">
        <v>2679</v>
      </c>
      <c r="E84" s="1435" t="s">
        <v>2680</v>
      </c>
      <c r="F84" s="1435" t="s">
        <v>2681</v>
      </c>
      <c r="G84" s="1435" t="s">
        <v>2682</v>
      </c>
      <c r="H84" s="1435" t="s">
        <v>2683</v>
      </c>
      <c r="I84" s="1435" t="s">
        <v>2686</v>
      </c>
      <c r="J84" s="1435" t="s">
        <v>2684</v>
      </c>
      <c r="K84" s="1435" t="s">
        <v>2685</v>
      </c>
      <c r="L84" s="1435" t="s">
        <v>2687</v>
      </c>
      <c r="M84" s="1435" t="s">
        <v>2688</v>
      </c>
    </row>
    <row r="85" spans="2:13" x14ac:dyDescent="0.15">
      <c r="C85" s="67">
        <v>21.555491314587435</v>
      </c>
      <c r="D85" s="67">
        <v>1.7564994526673958</v>
      </c>
      <c r="E85" s="67">
        <v>1.7564994526673958</v>
      </c>
      <c r="F85" s="67">
        <v>579.71731918982539</v>
      </c>
      <c r="G85" s="67">
        <v>-284.1355782552061</v>
      </c>
      <c r="H85" s="67">
        <v>295.60300203466193</v>
      </c>
      <c r="I85" s="67">
        <v>579.73858028986797</v>
      </c>
      <c r="J85" s="67">
        <v>577.88740609353545</v>
      </c>
      <c r="K85" s="67">
        <v>79.833228063191797</v>
      </c>
      <c r="L85" s="67">
        <v>3613.3333333333335</v>
      </c>
      <c r="M85" s="67">
        <v>3.7036144014572083</v>
      </c>
    </row>
    <row r="86" spans="2:13" x14ac:dyDescent="0.15">
      <c r="C86" s="67">
        <v>30.777305569227099</v>
      </c>
      <c r="D86" s="67">
        <v>2.507960481992813</v>
      </c>
      <c r="E86" s="67">
        <v>2.507960481992813</v>
      </c>
      <c r="F86" s="67">
        <v>551.77669869104318</v>
      </c>
      <c r="G86" s="67">
        <v>-304.66036288589032</v>
      </c>
      <c r="H86" s="67">
        <v>246.82655418289124</v>
      </c>
      <c r="I86" s="67">
        <v>551.48691706878162</v>
      </c>
      <c r="J86" s="67">
        <v>547.71299760123907</v>
      </c>
      <c r="K86" s="67">
        <v>85.508359439021973</v>
      </c>
      <c r="L86" s="67">
        <v>3606.6666666666665</v>
      </c>
      <c r="M86" s="67">
        <v>2.7782925716706695</v>
      </c>
    </row>
    <row r="87" spans="2:13" x14ac:dyDescent="0.15">
      <c r="C87" s="67">
        <v>56.188237201733436</v>
      </c>
      <c r="D87" s="67">
        <v>4.578629475469211</v>
      </c>
      <c r="E87" s="67">
        <v>4.578629475469211</v>
      </c>
      <c r="F87" s="67">
        <v>482.60936900790847</v>
      </c>
      <c r="G87" s="67">
        <v>-228.94410329162565</v>
      </c>
      <c r="H87" s="67">
        <v>253.64998985568312</v>
      </c>
      <c r="I87" s="67">
        <v>482.59409314730874</v>
      </c>
      <c r="J87" s="67">
        <v>470.01578442312746</v>
      </c>
      <c r="K87" s="67">
        <v>106.70803150841374</v>
      </c>
      <c r="L87" s="67">
        <v>3480</v>
      </c>
      <c r="M87" s="67">
        <v>1.8991169116998343</v>
      </c>
    </row>
    <row r="88" spans="2:13" x14ac:dyDescent="0.15">
      <c r="C88" s="67">
        <v>62.160267773358939</v>
      </c>
      <c r="D88" s="67">
        <v>5.0652743065835102</v>
      </c>
      <c r="E88" s="67">
        <v>5.0652743065835102</v>
      </c>
      <c r="F88" s="67">
        <v>424.83163169557071</v>
      </c>
      <c r="G88" s="67">
        <v>-209.84030823818532</v>
      </c>
      <c r="H88" s="67">
        <v>214.89672237061768</v>
      </c>
      <c r="I88" s="67">
        <v>424.73703060880302</v>
      </c>
      <c r="J88" s="67">
        <v>409.34282832824198</v>
      </c>
      <c r="K88" s="67">
        <v>109.77884220048772</v>
      </c>
      <c r="L88" s="67">
        <v>3400</v>
      </c>
      <c r="M88" s="67">
        <v>1.7660612821159285</v>
      </c>
    </row>
    <row r="89" spans="2:13" x14ac:dyDescent="0.15">
      <c r="C89" s="67">
        <v>68.571821229975711</v>
      </c>
      <c r="D89" s="67">
        <v>5.587734684448975</v>
      </c>
      <c r="E89" s="67">
        <v>5.587734684448975</v>
      </c>
      <c r="F89" s="67">
        <v>362.42613889122612</v>
      </c>
      <c r="G89" s="67">
        <v>-165.48287174778329</v>
      </c>
      <c r="H89" s="67">
        <v>196.91613622115955</v>
      </c>
      <c r="I89" s="67">
        <v>362.39900796894284</v>
      </c>
      <c r="J89" s="67">
        <v>343.66534062666636</v>
      </c>
      <c r="K89" s="67">
        <v>112.69302133214126</v>
      </c>
      <c r="L89" s="67">
        <v>3333.3333333333335</v>
      </c>
      <c r="M89" s="67">
        <v>1.6434304836995968</v>
      </c>
    </row>
    <row r="90" spans="2:13" x14ac:dyDescent="0.15">
      <c r="C90" s="67">
        <v>74.128215204822709</v>
      </c>
      <c r="D90" s="67">
        <v>6.0405103986827928</v>
      </c>
      <c r="E90" s="67">
        <v>6.0405103986827928</v>
      </c>
      <c r="F90" s="67">
        <v>300.87893672195338</v>
      </c>
      <c r="G90" s="67">
        <v>-120.5526472631386</v>
      </c>
      <c r="H90" s="67">
        <v>180.35143841641377</v>
      </c>
      <c r="I90" s="67">
        <v>300.9040856795524</v>
      </c>
      <c r="J90" s="67">
        <v>279.01142615359544</v>
      </c>
      <c r="K90" s="67">
        <v>114.09709521245601</v>
      </c>
      <c r="L90" s="67">
        <v>3246.6666666666665</v>
      </c>
      <c r="M90" s="67">
        <v>1.539185786372919</v>
      </c>
    </row>
    <row r="91" spans="2:13" x14ac:dyDescent="0.15">
      <c r="C91" s="67">
        <v>78.595763873017845</v>
      </c>
      <c r="D91" s="67">
        <v>6.4045590151547893</v>
      </c>
      <c r="E91" s="67">
        <v>6.4045590151547893</v>
      </c>
      <c r="F91" s="67">
        <v>247.07814827652683</v>
      </c>
      <c r="G91" s="67">
        <v>-98.395786310650237</v>
      </c>
      <c r="H91" s="67">
        <v>148.67598027969424</v>
      </c>
      <c r="I91" s="67">
        <v>247.07176659034448</v>
      </c>
      <c r="J91" s="67">
        <v>222.4607408831842</v>
      </c>
      <c r="K91" s="67">
        <v>114.99991068548066</v>
      </c>
      <c r="L91" s="67">
        <v>3180</v>
      </c>
      <c r="M91" s="67">
        <v>1.4631820472064967</v>
      </c>
    </row>
    <row r="92" spans="2:13" x14ac:dyDescent="0.15">
      <c r="C92" s="67">
        <v>83.229908738096086</v>
      </c>
      <c r="D92" s="67">
        <v>6.7821831110427269</v>
      </c>
      <c r="E92" s="67">
        <v>6.7821831110427269</v>
      </c>
      <c r="F92" s="67">
        <v>186.1593443500667</v>
      </c>
      <c r="G92" s="67">
        <v>-59.368261949831464</v>
      </c>
      <c r="H92" s="67">
        <v>126.80065682729668</v>
      </c>
      <c r="I92" s="67">
        <v>186.16891877712814</v>
      </c>
      <c r="J92" s="67">
        <v>158.57011412610021</v>
      </c>
      <c r="K92" s="67">
        <v>115.70038413934974</v>
      </c>
      <c r="L92" s="67">
        <v>3126.6666666666665</v>
      </c>
      <c r="M92" s="67">
        <v>1.3901298931304875</v>
      </c>
    </row>
    <row r="93" spans="2:13" ht="13.5" customHeight="1" x14ac:dyDescent="0.15">
      <c r="C93" s="67">
        <v>87.798014439928195</v>
      </c>
      <c r="D93" s="67">
        <v>7.154425851785307</v>
      </c>
      <c r="E93" s="67">
        <v>7.154425851785307</v>
      </c>
      <c r="F93" s="67">
        <v>127.61361844580544</v>
      </c>
      <c r="G93" s="67">
        <v>-31.024909433156186</v>
      </c>
      <c r="H93" s="67">
        <v>96.587647643653526</v>
      </c>
      <c r="I93" s="67">
        <v>127.61255707680971</v>
      </c>
      <c r="J93" s="67">
        <v>96.901071515593358</v>
      </c>
      <c r="K93" s="67">
        <v>116.00959767143212</v>
      </c>
      <c r="L93" s="67">
        <v>3060</v>
      </c>
      <c r="M93" s="67">
        <v>1.3213237043168717</v>
      </c>
    </row>
    <row r="94" spans="2:13" x14ac:dyDescent="0.15">
      <c r="C94" s="67">
        <v>92.354452179170124</v>
      </c>
      <c r="D94" s="67">
        <v>7.5257178013998036</v>
      </c>
      <c r="E94" s="67">
        <v>7.5257178013998036</v>
      </c>
      <c r="F94" s="67">
        <v>69.39312927178274</v>
      </c>
      <c r="G94" s="67">
        <v>-3.8094132411786177</v>
      </c>
      <c r="H94" s="67">
        <v>65.577910069101094</v>
      </c>
      <c r="I94" s="67">
        <v>69.387323310279712</v>
      </c>
      <c r="J94" s="67">
        <v>35.405466254496176</v>
      </c>
      <c r="K94" s="67">
        <v>116.17031625326662</v>
      </c>
      <c r="L94" s="67">
        <v>3013.3333333333335</v>
      </c>
      <c r="M94" s="67">
        <v>1.2578745638368694</v>
      </c>
    </row>
    <row r="95" spans="2:13" x14ac:dyDescent="0.15">
      <c r="C95" s="67">
        <v>97.314878666915007</v>
      </c>
      <c r="D95" s="67">
        <v>7.9299297158285089</v>
      </c>
      <c r="E95" s="67">
        <v>7.9299297158285089</v>
      </c>
      <c r="F95" s="67">
        <v>9.102086784935647</v>
      </c>
      <c r="G95" s="67">
        <v>36.335044984775358</v>
      </c>
      <c r="H95" s="67">
        <v>45.437131423139888</v>
      </c>
      <c r="I95" s="67">
        <v>9.1020864383645304</v>
      </c>
      <c r="J95" s="67">
        <v>-28.628184740423478</v>
      </c>
      <c r="K95" s="67">
        <v>116.65431448208044</v>
      </c>
      <c r="L95" s="67">
        <v>2946.6666666666665</v>
      </c>
      <c r="M95" s="67">
        <v>1.1987305135667854</v>
      </c>
    </row>
    <row r="96" spans="2:13" x14ac:dyDescent="0.15">
      <c r="B96" t="s">
        <v>2693</v>
      </c>
      <c r="C96" s="1468">
        <f>N59</f>
        <v>92.51719528747023</v>
      </c>
      <c r="D96" s="1467"/>
      <c r="E96" s="1467"/>
      <c r="F96" s="1467"/>
      <c r="G96" s="1467"/>
      <c r="H96" s="1467"/>
      <c r="I96" s="1467"/>
      <c r="J96" s="1467"/>
      <c r="K96" s="1468">
        <f>P59</f>
        <v>116.3395231419871</v>
      </c>
      <c r="L96" s="1467"/>
      <c r="M96" s="1467"/>
    </row>
    <row r="97" spans="3:13" x14ac:dyDescent="0.15">
      <c r="C97" s="1468">
        <f t="shared" ref="C97:C99" si="34">N60</f>
        <v>85.971656356331508</v>
      </c>
      <c r="D97" s="1467"/>
      <c r="E97" s="1467"/>
      <c r="F97" s="1467"/>
      <c r="G97" s="1467"/>
      <c r="H97" s="1467"/>
      <c r="I97" s="1467"/>
      <c r="J97" s="1467"/>
      <c r="K97" s="1468">
        <f t="shared" ref="K97:K99" si="35">P60</f>
        <v>115.95164875873581</v>
      </c>
      <c r="L97" s="1467"/>
      <c r="M97" s="1467"/>
    </row>
    <row r="98" spans="3:13" x14ac:dyDescent="0.15">
      <c r="C98" s="1468">
        <f t="shared" si="34"/>
        <v>77.456897830128071</v>
      </c>
      <c r="D98" s="1467"/>
      <c r="E98" s="1467"/>
      <c r="F98" s="1467"/>
      <c r="G98" s="1467"/>
      <c r="H98" s="1467"/>
      <c r="I98" s="1467"/>
      <c r="J98" s="1467"/>
      <c r="K98" s="1468">
        <f t="shared" si="35"/>
        <v>115.16419571022183</v>
      </c>
      <c r="L98" s="1467"/>
      <c r="M98" s="1467"/>
    </row>
    <row r="99" spans="3:13" x14ac:dyDescent="0.15">
      <c r="C99" s="1468">
        <f t="shared" si="34"/>
        <v>67.542919873403633</v>
      </c>
      <c r="D99" s="1467"/>
      <c r="E99" s="1467"/>
      <c r="F99" s="1467"/>
      <c r="G99" s="1467"/>
      <c r="H99" s="1467"/>
      <c r="I99" s="1467"/>
      <c r="J99" s="1467"/>
      <c r="K99" s="1468">
        <f t="shared" si="35"/>
        <v>112.37575854673311</v>
      </c>
      <c r="L99" s="1467"/>
      <c r="M99" s="1467"/>
    </row>
    <row r="101" spans="3:13" ht="14" x14ac:dyDescent="0.15">
      <c r="C101" s="1826" t="s">
        <v>408</v>
      </c>
      <c r="D101" s="1826"/>
      <c r="E101" s="1826"/>
      <c r="F101" s="1826"/>
      <c r="G101" s="1826"/>
      <c r="H101" s="1826"/>
      <c r="I101" s="1826"/>
      <c r="J101" s="1826"/>
      <c r="K101" s="1826"/>
      <c r="L101" s="1826"/>
      <c r="M101" s="1826"/>
    </row>
    <row r="102" spans="3:13" ht="42" x14ac:dyDescent="0.15">
      <c r="C102" s="1435" t="s">
        <v>2678</v>
      </c>
      <c r="D102" s="1435" t="s">
        <v>2679</v>
      </c>
      <c r="E102" s="1435" t="s">
        <v>2680</v>
      </c>
      <c r="F102" s="1435" t="s">
        <v>2681</v>
      </c>
      <c r="G102" s="1435" t="s">
        <v>2682</v>
      </c>
      <c r="H102" s="1435" t="s">
        <v>2683</v>
      </c>
      <c r="I102" s="1435" t="s">
        <v>2686</v>
      </c>
      <c r="J102" s="1435" t="s">
        <v>2684</v>
      </c>
      <c r="K102" s="1435" t="s">
        <v>2685</v>
      </c>
      <c r="L102" s="1435" t="s">
        <v>2687</v>
      </c>
      <c r="M102" s="1435" t="s">
        <v>2688</v>
      </c>
    </row>
    <row r="103" spans="3:13" x14ac:dyDescent="0.15">
      <c r="C103" s="67">
        <v>17.311290112813221</v>
      </c>
      <c r="D103" s="67">
        <v>1.4106508250890641</v>
      </c>
      <c r="E103" s="67">
        <v>1.4106508250890641</v>
      </c>
      <c r="F103" s="67">
        <v>392.7682241980425</v>
      </c>
      <c r="G103" s="67">
        <v>-179.55139279853321</v>
      </c>
      <c r="H103" s="67">
        <v>213.30184388051504</v>
      </c>
      <c r="I103" s="67">
        <v>392.85323667904822</v>
      </c>
      <c r="J103" s="67">
        <v>391.65927522885357</v>
      </c>
      <c r="K103" s="67">
        <v>46.318045923583355</v>
      </c>
      <c r="L103" s="67">
        <v>3000</v>
      </c>
      <c r="M103" s="67">
        <v>2.675597579483711</v>
      </c>
    </row>
    <row r="104" spans="3:13" x14ac:dyDescent="0.15">
      <c r="C104" s="67">
        <v>25.484394938404527</v>
      </c>
      <c r="D104" s="67">
        <v>2.0766553221904172</v>
      </c>
      <c r="E104" s="67">
        <v>2.0766553221904172</v>
      </c>
      <c r="F104" s="67">
        <v>363.99999992847569</v>
      </c>
      <c r="G104" s="67">
        <v>-171.79491833079055</v>
      </c>
      <c r="H104" s="67">
        <v>192.24181417274195</v>
      </c>
      <c r="I104" s="67">
        <v>364.03673250353251</v>
      </c>
      <c r="J104" s="67">
        <v>361.44923410722345</v>
      </c>
      <c r="K104" s="67">
        <v>49.537054466581459</v>
      </c>
      <c r="L104" s="67">
        <v>2980</v>
      </c>
      <c r="M104" s="67">
        <v>1.943819132701087</v>
      </c>
    </row>
    <row r="105" spans="3:13" x14ac:dyDescent="0.15">
      <c r="C105" s="67">
        <v>52.397968756254464</v>
      </c>
      <c r="D105" s="67">
        <v>4.2697706165926856</v>
      </c>
      <c r="E105" s="67">
        <v>4.2697706165926856</v>
      </c>
      <c r="F105" s="67">
        <v>325.64404081433213</v>
      </c>
      <c r="G105" s="67">
        <v>-147.3133656211055</v>
      </c>
      <c r="H105" s="67">
        <v>178.34616589456203</v>
      </c>
      <c r="I105" s="67">
        <v>325.65953151566754</v>
      </c>
      <c r="J105" s="67">
        <v>314.72096684467658</v>
      </c>
      <c r="K105" s="67">
        <v>72.442216508977879</v>
      </c>
      <c r="L105" s="67">
        <v>2966.6666666666665</v>
      </c>
      <c r="M105" s="67">
        <v>1.3825386408768152</v>
      </c>
    </row>
    <row r="106" spans="3:13" x14ac:dyDescent="0.15">
      <c r="C106" s="67">
        <v>60.273508524315986</v>
      </c>
      <c r="D106" s="67">
        <v>4.911527331397826</v>
      </c>
      <c r="E106" s="67">
        <v>4.911527331397826</v>
      </c>
      <c r="F106" s="67">
        <v>283.50593253245705</v>
      </c>
      <c r="G106" s="67">
        <v>-127.28518928881522</v>
      </c>
      <c r="H106" s="67">
        <v>156.21438759727366</v>
      </c>
      <c r="I106" s="67">
        <v>283.4995768860889</v>
      </c>
      <c r="J106" s="67">
        <v>269.02571644984818</v>
      </c>
      <c r="K106" s="67">
        <v>79.923247286743404</v>
      </c>
      <c r="L106" s="67">
        <v>2980</v>
      </c>
      <c r="M106" s="67">
        <v>1.3260095395724338</v>
      </c>
    </row>
    <row r="107" spans="3:13" x14ac:dyDescent="0.15">
      <c r="C107" s="67">
        <v>67.091944946704729</v>
      </c>
      <c r="D107" s="67">
        <v>5.4671435161176918</v>
      </c>
      <c r="E107" s="67">
        <v>5.4671435161176918</v>
      </c>
      <c r="F107" s="67">
        <v>246.57050591580449</v>
      </c>
      <c r="G107" s="67">
        <v>-112.17695430705804</v>
      </c>
      <c r="H107" s="67">
        <v>134.36210946553774</v>
      </c>
      <c r="I107" s="67">
        <v>246.5390637725958</v>
      </c>
      <c r="J107" s="67">
        <v>228.60526883709917</v>
      </c>
      <c r="K107" s="67">
        <v>87.914736075772325</v>
      </c>
      <c r="L107" s="67">
        <v>2973.3333333333335</v>
      </c>
      <c r="M107" s="67">
        <v>1.3103620135861083</v>
      </c>
    </row>
    <row r="108" spans="3:13" x14ac:dyDescent="0.15">
      <c r="C108" s="67">
        <v>74.202841470813595</v>
      </c>
      <c r="D108" s="67">
        <v>6.0465914939106664</v>
      </c>
      <c r="E108" s="67">
        <v>6.0465914939106664</v>
      </c>
      <c r="F108" s="67">
        <v>203.36950818320946</v>
      </c>
      <c r="G108" s="67">
        <v>-77.798476742615236</v>
      </c>
      <c r="H108" s="67">
        <v>125.5708535329095</v>
      </c>
      <c r="I108" s="67">
        <v>203.36933027552473</v>
      </c>
      <c r="J108" s="67">
        <v>181.43256905898505</v>
      </c>
      <c r="K108" s="67">
        <v>94.918318641988293</v>
      </c>
      <c r="L108" s="67">
        <v>2973.3333333333335</v>
      </c>
      <c r="M108" s="67">
        <v>1.279173637566464</v>
      </c>
    </row>
    <row r="109" spans="3:13" x14ac:dyDescent="0.15">
      <c r="C109" s="67">
        <v>79.524705173243134</v>
      </c>
      <c r="D109" s="67">
        <v>6.4802559622385996</v>
      </c>
      <c r="E109" s="67">
        <v>6.4802559622385996</v>
      </c>
      <c r="F109" s="67">
        <v>166.02884874894133</v>
      </c>
      <c r="G109" s="67">
        <v>-54.263530629160996</v>
      </c>
      <c r="H109" s="67">
        <v>111.76842722475138</v>
      </c>
      <c r="I109" s="67">
        <v>166.03195785391239</v>
      </c>
      <c r="J109" s="67">
        <v>140.83572745223503</v>
      </c>
      <c r="K109" s="67">
        <v>100.2589313610363</v>
      </c>
      <c r="L109" s="67">
        <v>2966.6666666666665</v>
      </c>
      <c r="M109" s="67">
        <v>1.2607268539081538</v>
      </c>
    </row>
    <row r="110" spans="3:13" x14ac:dyDescent="0.15">
      <c r="C110" s="67">
        <v>85.762973684653119</v>
      </c>
      <c r="D110" s="67">
        <v>6.9885958124404146</v>
      </c>
      <c r="E110" s="67">
        <v>6.9885958124404146</v>
      </c>
      <c r="F110" s="67">
        <v>116.76698538171294</v>
      </c>
      <c r="G110" s="67">
        <v>-25.753634077983524</v>
      </c>
      <c r="H110" s="67">
        <v>91.014630672212093</v>
      </c>
      <c r="I110" s="67">
        <v>116.76826475019561</v>
      </c>
      <c r="J110" s="67">
        <v>87.463981892399801</v>
      </c>
      <c r="K110" s="67">
        <v>106.86559330971659</v>
      </c>
      <c r="L110" s="67">
        <v>2973.3333333333335</v>
      </c>
      <c r="M110" s="67">
        <v>1.2460574618442792</v>
      </c>
    </row>
    <row r="111" spans="3:13" x14ac:dyDescent="0.15">
      <c r="C111" s="67">
        <v>91.476719889010795</v>
      </c>
      <c r="D111" s="67">
        <v>7.454193739862407</v>
      </c>
      <c r="E111" s="67">
        <v>7.454193739862407</v>
      </c>
      <c r="F111" s="67">
        <v>64.983161444227974</v>
      </c>
      <c r="G111" s="67">
        <v>6.7442151303384925</v>
      </c>
      <c r="H111" s="67">
        <v>71.729868686459085</v>
      </c>
      <c r="I111" s="67">
        <v>64.985653556120596</v>
      </c>
      <c r="J111" s="67">
        <v>31.646650969278262</v>
      </c>
      <c r="K111" s="67">
        <v>112.68238817630187</v>
      </c>
      <c r="L111" s="67">
        <v>2986.6666666666665</v>
      </c>
      <c r="M111" s="67">
        <v>1.2318149176426529</v>
      </c>
    </row>
    <row r="112" spans="3:13" ht="13.5" customHeight="1" x14ac:dyDescent="0.15">
      <c r="C112" s="67">
        <v>97.128922438489539</v>
      </c>
      <c r="D112" s="67">
        <v>7.9147766391167593</v>
      </c>
      <c r="E112" s="67">
        <v>7.9147766391167593</v>
      </c>
      <c r="F112" s="67">
        <v>9.6310113382601799</v>
      </c>
      <c r="G112" s="67">
        <v>35.633297487012641</v>
      </c>
      <c r="H112" s="67">
        <v>45.264302905473187</v>
      </c>
      <c r="I112" s="67">
        <v>9.6310054184605463</v>
      </c>
      <c r="J112" s="67">
        <v>-27.955208129804483</v>
      </c>
      <c r="K112" s="67">
        <v>116.74346733878755</v>
      </c>
      <c r="L112" s="67">
        <v>2960</v>
      </c>
      <c r="M112" s="67">
        <v>1.2019434006664662</v>
      </c>
    </row>
    <row r="114" spans="2:13" ht="14" x14ac:dyDescent="0.15">
      <c r="C114" s="1826" t="s">
        <v>2673</v>
      </c>
      <c r="D114" s="1826"/>
      <c r="E114" s="1826"/>
      <c r="F114" s="1826"/>
      <c r="G114" s="1826"/>
      <c r="H114" s="1826"/>
      <c r="I114" s="1826"/>
      <c r="J114" s="1826"/>
      <c r="K114" s="1826"/>
      <c r="L114" s="1826"/>
      <c r="M114" s="1826"/>
    </row>
    <row r="115" spans="2:13" ht="42" x14ac:dyDescent="0.15">
      <c r="C115" s="1435" t="s">
        <v>2678</v>
      </c>
      <c r="D115" s="1435" t="s">
        <v>2679</v>
      </c>
      <c r="E115" s="1435" t="s">
        <v>2680</v>
      </c>
      <c r="F115" s="1435" t="s">
        <v>2681</v>
      </c>
      <c r="G115" s="1435" t="s">
        <v>2682</v>
      </c>
      <c r="H115" s="1435" t="s">
        <v>2683</v>
      </c>
      <c r="I115" s="1435" t="s">
        <v>2686</v>
      </c>
      <c r="J115" s="1435" t="s">
        <v>2684</v>
      </c>
      <c r="K115" s="1435" t="s">
        <v>2685</v>
      </c>
      <c r="L115" s="1435" t="s">
        <v>2687</v>
      </c>
      <c r="M115" s="1435" t="s">
        <v>2688</v>
      </c>
    </row>
    <row r="116" spans="2:13" x14ac:dyDescent="0.15">
      <c r="C116" s="67">
        <v>84.226713042912976</v>
      </c>
      <c r="D116" s="67">
        <v>6.8634100332350529</v>
      </c>
      <c r="E116" s="67">
        <v>6.8634100332350529</v>
      </c>
      <c r="F116" s="67">
        <v>8.352124541716071</v>
      </c>
      <c r="G116" s="67">
        <v>25.725069640561181</v>
      </c>
      <c r="H116" s="67">
        <v>34.077167477732225</v>
      </c>
      <c r="I116" s="67">
        <v>8.3520978371710441</v>
      </c>
      <c r="J116" s="67">
        <v>-19.911740533415909</v>
      </c>
      <c r="K116" s="67">
        <v>80.128791902988354</v>
      </c>
      <c r="L116" s="67">
        <v>2613.3333333333335</v>
      </c>
      <c r="M116" s="67">
        <v>0.95134653850451512</v>
      </c>
    </row>
    <row r="117" spans="2:13" x14ac:dyDescent="0.15">
      <c r="C117" s="67">
        <v>78.787850205729612</v>
      </c>
      <c r="D117" s="67">
        <v>6.4202116177027433</v>
      </c>
      <c r="E117" s="67">
        <v>6.4202116177027433</v>
      </c>
      <c r="F117" s="67">
        <v>50.730569337091303</v>
      </c>
      <c r="G117" s="67">
        <v>1.1555804708703583</v>
      </c>
      <c r="H117" s="67">
        <v>51.885935729090974</v>
      </c>
      <c r="I117" s="67">
        <v>50.730355258220612</v>
      </c>
      <c r="J117" s="67">
        <v>25.998884928569449</v>
      </c>
      <c r="K117" s="67">
        <v>75.874090088360788</v>
      </c>
      <c r="L117" s="67">
        <v>2613.3333333333335</v>
      </c>
      <c r="M117" s="67">
        <v>0.96301764663256506</v>
      </c>
    </row>
    <row r="118" spans="2:13" x14ac:dyDescent="0.15">
      <c r="C118" s="67">
        <v>72.566443529441287</v>
      </c>
      <c r="D118" s="67">
        <v>5.9132457934384464</v>
      </c>
      <c r="E118" s="67">
        <v>5.9132457934384464</v>
      </c>
      <c r="F118" s="67">
        <v>96.028392976560156</v>
      </c>
      <c r="G118" s="67">
        <v>-25.882864810721301</v>
      </c>
      <c r="H118" s="67">
        <v>70.144629969169273</v>
      </c>
      <c r="I118" s="67">
        <v>96.027494779890574</v>
      </c>
      <c r="J118" s="67">
        <v>75.047609291720093</v>
      </c>
      <c r="K118" s="67">
        <v>71.022856389795251</v>
      </c>
      <c r="L118" s="67">
        <v>2620</v>
      </c>
      <c r="M118" s="67">
        <v>0.97872863730713522</v>
      </c>
    </row>
    <row r="119" spans="2:13" x14ac:dyDescent="0.15">
      <c r="C119" s="67">
        <v>65.926059549039294</v>
      </c>
      <c r="D119" s="67">
        <v>5.3721386269697291</v>
      </c>
      <c r="E119" s="67">
        <v>5.3721386269697291</v>
      </c>
      <c r="F119" s="67">
        <v>137.98560297216605</v>
      </c>
      <c r="G119" s="67">
        <v>-47.657920039617167</v>
      </c>
      <c r="H119" s="67">
        <v>90.33254303411276</v>
      </c>
      <c r="I119" s="67">
        <v>137.99046307372993</v>
      </c>
      <c r="J119" s="67">
        <v>120.67453901730181</v>
      </c>
      <c r="K119" s="67">
        <v>65.915415226586148</v>
      </c>
      <c r="L119" s="67">
        <v>2633.3333333333335</v>
      </c>
      <c r="M119" s="67">
        <v>0.99983854150352747</v>
      </c>
    </row>
    <row r="120" spans="2:13" x14ac:dyDescent="0.15">
      <c r="C120" s="67">
        <v>58.590613625391555</v>
      </c>
      <c r="D120" s="67">
        <v>4.7743927179614314</v>
      </c>
      <c r="E120" s="67">
        <v>4.7743927179614314</v>
      </c>
      <c r="F120" s="67">
        <v>183.25641320798019</v>
      </c>
      <c r="G120" s="67">
        <v>-74.482181273444382</v>
      </c>
      <c r="H120" s="67">
        <v>108.78002117868257</v>
      </c>
      <c r="I120" s="67">
        <v>183.26220245212696</v>
      </c>
      <c r="J120" s="67">
        <v>169.58530695693307</v>
      </c>
      <c r="K120" s="67">
        <v>60.032900875661596</v>
      </c>
      <c r="L120" s="67">
        <v>2606.6666666666665</v>
      </c>
      <c r="M120" s="67">
        <v>1.0246163533888131</v>
      </c>
    </row>
    <row r="121" spans="2:13" x14ac:dyDescent="0.15">
      <c r="C121" s="67">
        <v>48.879036273450126</v>
      </c>
      <c r="D121" s="67">
        <v>3.9830222010816732</v>
      </c>
      <c r="E121" s="67">
        <v>3.9830222010816732</v>
      </c>
      <c r="F121" s="67">
        <v>225.62177647348975</v>
      </c>
      <c r="G121" s="67">
        <v>-103.15176827260645</v>
      </c>
      <c r="H121" s="67">
        <v>122.46717784598262</v>
      </c>
      <c r="I121" s="67">
        <v>225.61894611858907</v>
      </c>
      <c r="J121" s="67">
        <v>216.10026660600337</v>
      </c>
      <c r="K121" s="67">
        <v>52.77292953908929</v>
      </c>
      <c r="L121" s="67">
        <v>2606.6666666666665</v>
      </c>
      <c r="M121" s="67">
        <v>1.07966387151856</v>
      </c>
    </row>
    <row r="122" spans="2:13" x14ac:dyDescent="0.15">
      <c r="C122" s="67">
        <v>38.592276049878052</v>
      </c>
      <c r="D122" s="67">
        <v>3.1447815672345896</v>
      </c>
      <c r="E122" s="67">
        <v>3.1447815672345896</v>
      </c>
      <c r="F122" s="67">
        <v>268.05865356887352</v>
      </c>
      <c r="G122" s="67">
        <v>-127.47685021563501</v>
      </c>
      <c r="H122" s="67">
        <v>140.5812141959305</v>
      </c>
      <c r="I122" s="67">
        <v>268.05806441156551</v>
      </c>
      <c r="J122" s="67">
        <v>262.12427374819447</v>
      </c>
      <c r="K122" s="67">
        <v>44.836555604768606</v>
      </c>
      <c r="L122" s="67">
        <v>2606.6666666666665</v>
      </c>
      <c r="M122" s="67">
        <v>1.1618012771991013</v>
      </c>
    </row>
    <row r="123" spans="2:13" x14ac:dyDescent="0.15">
      <c r="C123" s="67">
        <v>15.072467348295577</v>
      </c>
      <c r="D123" s="67">
        <v>1.2282151337330858</v>
      </c>
      <c r="E123" s="67">
        <v>1.2282151337330858</v>
      </c>
      <c r="F123" s="67">
        <v>294.0577684642393</v>
      </c>
      <c r="G123" s="67">
        <v>-132.90215259729484</v>
      </c>
      <c r="H123" s="67">
        <v>161.20991425605766</v>
      </c>
      <c r="I123" s="67">
        <v>294.11206685335253</v>
      </c>
      <c r="J123" s="67">
        <v>293.20695940451395</v>
      </c>
      <c r="K123" s="67">
        <v>32.982831580131908</v>
      </c>
      <c r="L123" s="67">
        <v>2606.6666666666665</v>
      </c>
      <c r="M123" s="67">
        <v>2.1882834985117197</v>
      </c>
    </row>
    <row r="124" spans="2:13" x14ac:dyDescent="0.15">
      <c r="B124" t="s">
        <v>2693</v>
      </c>
      <c r="C124" s="1468">
        <f>N64</f>
        <v>78.126219403864539</v>
      </c>
      <c r="D124" s="1467"/>
      <c r="E124" s="1467"/>
      <c r="F124" s="1467"/>
      <c r="G124" s="1467"/>
      <c r="H124" s="1467"/>
      <c r="I124" s="1467"/>
      <c r="J124" s="1467"/>
      <c r="K124" s="1468">
        <f>P64</f>
        <v>75.549282385964176</v>
      </c>
      <c r="L124" s="1467"/>
      <c r="M124" s="1467"/>
    </row>
    <row r="125" spans="2:13" x14ac:dyDescent="0.15">
      <c r="C125" s="1468">
        <f t="shared" ref="C125:C127" si="36">N65</f>
        <v>71.063022065508562</v>
      </c>
      <c r="D125" s="1467"/>
      <c r="E125" s="1467"/>
      <c r="F125" s="1467"/>
      <c r="G125" s="1467"/>
      <c r="H125" s="1467"/>
      <c r="I125" s="1467"/>
      <c r="J125" s="1467"/>
      <c r="K125" s="1468">
        <f t="shared" ref="K125:K127" si="37">P65</f>
        <v>69.56896225196374</v>
      </c>
      <c r="L125" s="1467"/>
      <c r="M125" s="1467"/>
    </row>
    <row r="126" spans="2:13" x14ac:dyDescent="0.15">
      <c r="C126" s="1468">
        <f t="shared" si="36"/>
        <v>61.257710681232382</v>
      </c>
      <c r="D126" s="1467"/>
      <c r="E126" s="1467"/>
      <c r="F126" s="1467"/>
      <c r="G126" s="1467"/>
      <c r="H126" s="1467"/>
      <c r="I126" s="1467"/>
      <c r="J126" s="1467"/>
      <c r="K126" s="1468">
        <f t="shared" si="37"/>
        <v>62.654615389940865</v>
      </c>
      <c r="L126" s="1467"/>
      <c r="M126" s="1467"/>
    </row>
    <row r="127" spans="2:13" x14ac:dyDescent="0.15">
      <c r="C127" s="1468">
        <f t="shared" si="36"/>
        <v>50.779180423158394</v>
      </c>
      <c r="D127" s="1467"/>
      <c r="E127" s="1467"/>
      <c r="F127" s="1467"/>
      <c r="G127" s="1467"/>
      <c r="H127" s="1467"/>
      <c r="I127" s="1467"/>
      <c r="J127" s="1467"/>
      <c r="K127" s="1468">
        <f t="shared" si="37"/>
        <v>54.698784338712194</v>
      </c>
      <c r="L127" s="1467"/>
      <c r="M127" s="1467"/>
    </row>
    <row r="129" spans="2:13" ht="13.5" customHeight="1" x14ac:dyDescent="0.15">
      <c r="C129" s="1826" t="s">
        <v>411</v>
      </c>
      <c r="D129" s="1826"/>
      <c r="E129" s="1826"/>
      <c r="F129" s="1826"/>
      <c r="G129" s="1826"/>
      <c r="H129" s="1826"/>
      <c r="I129" s="1826"/>
      <c r="J129" s="1826"/>
      <c r="K129" s="1826"/>
      <c r="L129" s="1826"/>
      <c r="M129" s="1826"/>
    </row>
    <row r="130" spans="2:13" ht="42" x14ac:dyDescent="0.15">
      <c r="C130" s="1435" t="s">
        <v>2678</v>
      </c>
      <c r="D130" s="1435" t="s">
        <v>2679</v>
      </c>
      <c r="E130" s="1435" t="s">
        <v>2680</v>
      </c>
      <c r="F130" s="1435" t="s">
        <v>2681</v>
      </c>
      <c r="G130" s="1435" t="s">
        <v>2682</v>
      </c>
      <c r="H130" s="1435" t="s">
        <v>2683</v>
      </c>
      <c r="I130" s="1435" t="s">
        <v>2686</v>
      </c>
      <c r="J130" s="1435" t="s">
        <v>2684</v>
      </c>
      <c r="K130" s="1435" t="s">
        <v>2685</v>
      </c>
      <c r="L130" s="1435" t="s">
        <v>2687</v>
      </c>
      <c r="M130" s="1435" t="s">
        <v>2688</v>
      </c>
    </row>
    <row r="131" spans="2:13" x14ac:dyDescent="0.15">
      <c r="C131" s="67">
        <v>13.400951363531069</v>
      </c>
      <c r="D131" s="67">
        <v>1.0920077576397029</v>
      </c>
      <c r="E131" s="67">
        <v>1.0920077576397029</v>
      </c>
      <c r="F131" s="67">
        <v>207.88675891586212</v>
      </c>
      <c r="G131" s="67">
        <v>-99.587524050238301</v>
      </c>
      <c r="H131" s="67">
        <v>108.30966694444589</v>
      </c>
      <c r="I131" s="67">
        <v>207.89719099468419</v>
      </c>
      <c r="J131" s="67">
        <v>207.18170242903702</v>
      </c>
      <c r="K131" s="67">
        <v>22.994892084400352</v>
      </c>
      <c r="L131" s="67">
        <v>2260</v>
      </c>
      <c r="M131" s="67">
        <v>1.7159148974286955</v>
      </c>
    </row>
    <row r="132" spans="2:13" x14ac:dyDescent="0.15">
      <c r="C132" s="67">
        <v>24.485731807549911</v>
      </c>
      <c r="D132" s="67">
        <v>1.9952769292257373</v>
      </c>
      <c r="E132" s="67">
        <v>1.9952769292257373</v>
      </c>
      <c r="F132" s="67">
        <v>183.90136785533301</v>
      </c>
      <c r="G132" s="67">
        <v>-94.089056672832015</v>
      </c>
      <c r="H132" s="67">
        <v>89.798891024944439</v>
      </c>
      <c r="I132" s="67">
        <v>183.88794769777644</v>
      </c>
      <c r="J132" s="67">
        <v>181.49926968319616</v>
      </c>
      <c r="K132" s="67">
        <v>26.305964820498399</v>
      </c>
      <c r="L132" s="67">
        <v>2253.3333333333335</v>
      </c>
      <c r="M132" s="67">
        <v>1.0743385179277034</v>
      </c>
    </row>
    <row r="133" spans="2:13" x14ac:dyDescent="0.15">
      <c r="C133" s="67">
        <v>41.959682054283981</v>
      </c>
      <c r="D133" s="67">
        <v>3.4191824944658373</v>
      </c>
      <c r="E133" s="67">
        <v>3.4191824944658373</v>
      </c>
      <c r="F133" s="67">
        <v>156.86387866613248</v>
      </c>
      <c r="G133" s="67">
        <v>-75.820134377202706</v>
      </c>
      <c r="H133" s="67">
        <v>81.031779881740789</v>
      </c>
      <c r="I133" s="67">
        <v>156.85191425894351</v>
      </c>
      <c r="J133" s="67">
        <v>149.83742890066654</v>
      </c>
      <c r="K133" s="67">
        <v>35.439644262882311</v>
      </c>
      <c r="L133" s="67">
        <v>2253.3333333333335</v>
      </c>
      <c r="M133" s="67">
        <v>0.84461183993323441</v>
      </c>
    </row>
    <row r="134" spans="2:13" x14ac:dyDescent="0.15">
      <c r="C134" s="67">
        <v>47.58124337864745</v>
      </c>
      <c r="D134" s="67">
        <v>3.8772685220711716</v>
      </c>
      <c r="E134" s="67">
        <v>3.8772685220711716</v>
      </c>
      <c r="F134" s="67">
        <v>134.08732409730516</v>
      </c>
      <c r="G134" s="67">
        <v>-57.755965629267223</v>
      </c>
      <c r="H134" s="67">
        <v>76.330253635957476</v>
      </c>
      <c r="I134" s="67">
        <v>134.08621926522471</v>
      </c>
      <c r="J134" s="67">
        <v>125.06629254987834</v>
      </c>
      <c r="K134" s="67">
        <v>38.357748035227793</v>
      </c>
      <c r="L134" s="67">
        <v>2240</v>
      </c>
      <c r="M134" s="67">
        <v>0.80615270454326149</v>
      </c>
    </row>
    <row r="135" spans="2:13" x14ac:dyDescent="0.15">
      <c r="C135" s="67">
        <v>52.662169366406111</v>
      </c>
      <c r="D135" s="67">
        <v>4.2912996191263328</v>
      </c>
      <c r="E135" s="67">
        <v>4.2912996191263328</v>
      </c>
      <c r="F135" s="67">
        <v>108.75049043454507</v>
      </c>
      <c r="G135" s="67">
        <v>-45.177250323650995</v>
      </c>
      <c r="H135" s="67">
        <v>63.568709436805989</v>
      </c>
      <c r="I135" s="67">
        <v>108.74595976045698</v>
      </c>
      <c r="J135" s="67">
        <v>97.6968083077887</v>
      </c>
      <c r="K135" s="67">
        <v>41.319098954789858</v>
      </c>
      <c r="L135" s="67">
        <v>2246.6666666666665</v>
      </c>
      <c r="M135" s="67">
        <v>0.7846068525454224</v>
      </c>
    </row>
    <row r="136" spans="2:13" x14ac:dyDescent="0.15">
      <c r="C136" s="67">
        <v>57.120989296818244</v>
      </c>
      <c r="D136" s="67">
        <v>4.65463695405459</v>
      </c>
      <c r="E136" s="67">
        <v>4.65463695405459</v>
      </c>
      <c r="F136" s="67">
        <v>84.941850903567811</v>
      </c>
      <c r="G136" s="67">
        <v>-29.041107415075842</v>
      </c>
      <c r="H136" s="67">
        <v>55.899891589648561</v>
      </c>
      <c r="I136" s="67">
        <v>84.940999004724404</v>
      </c>
      <c r="J136" s="67">
        <v>71.941611900294049</v>
      </c>
      <c r="K136" s="67">
        <v>43.67338065470377</v>
      </c>
      <c r="L136" s="67">
        <v>2246.6666666666665</v>
      </c>
      <c r="M136" s="67">
        <v>0.76457675527577862</v>
      </c>
    </row>
    <row r="137" spans="2:13" x14ac:dyDescent="0.15">
      <c r="C137" s="67">
        <v>62.682990876029329</v>
      </c>
      <c r="D137" s="67">
        <v>5.1078696170005724</v>
      </c>
      <c r="E137" s="67">
        <v>5.1078696170005724</v>
      </c>
      <c r="F137" s="67">
        <v>54.720312714519437</v>
      </c>
      <c r="G137" s="67">
        <v>-13.383283671032039</v>
      </c>
      <c r="H137" s="67">
        <v>41.334655885959791</v>
      </c>
      <c r="I137" s="67">
        <v>54.71793955699183</v>
      </c>
      <c r="J137" s="67">
        <v>39.063740342425284</v>
      </c>
      <c r="K137" s="67">
        <v>46.538351182866229</v>
      </c>
      <c r="L137" s="67">
        <v>2260</v>
      </c>
      <c r="M137" s="67">
        <v>0.7424398633898468</v>
      </c>
    </row>
    <row r="138" spans="2:13" x14ac:dyDescent="0.15">
      <c r="C138" s="67">
        <v>67.037622114153848</v>
      </c>
      <c r="D138" s="67">
        <v>5.4627168934881993</v>
      </c>
      <c r="E138" s="67">
        <v>5.4627168934881993</v>
      </c>
      <c r="F138" s="67">
        <v>26.1792158236237</v>
      </c>
      <c r="G138" s="67">
        <v>5.9901500911891929</v>
      </c>
      <c r="H138" s="67">
        <v>32.169250921235864</v>
      </c>
      <c r="I138" s="67">
        <v>26.179100830046671</v>
      </c>
      <c r="J138" s="67">
        <v>8.2743353150058532</v>
      </c>
      <c r="K138" s="67">
        <v>48.910793114921432</v>
      </c>
      <c r="L138" s="67">
        <v>2246.6666666666665</v>
      </c>
      <c r="M138" s="67">
        <v>0.72960214835237647</v>
      </c>
    </row>
    <row r="139" spans="2:13" x14ac:dyDescent="0.15">
      <c r="C139" s="67">
        <v>70.08964803924313</v>
      </c>
      <c r="D139" s="67">
        <v>5.7114183398485574</v>
      </c>
      <c r="E139" s="67">
        <v>5.7114183398485574</v>
      </c>
      <c r="F139" s="67">
        <v>4.7068047543694584</v>
      </c>
      <c r="G139" s="67">
        <v>18.940754772587006</v>
      </c>
      <c r="H139" s="67">
        <v>23.647559670350756</v>
      </c>
      <c r="I139" s="67">
        <v>4.7068048977637496</v>
      </c>
      <c r="J139" s="67">
        <v>-14.865374773891322</v>
      </c>
      <c r="K139" s="67">
        <v>50.626905030896587</v>
      </c>
      <c r="L139" s="67">
        <v>2253.3333333333335</v>
      </c>
      <c r="M139" s="67">
        <v>0.72231643969093162</v>
      </c>
    </row>
    <row r="140" spans="2:13" x14ac:dyDescent="0.15">
      <c r="B140" t="s">
        <v>2693</v>
      </c>
      <c r="C140" s="1468">
        <f>N69</f>
        <v>66.07437797183222</v>
      </c>
      <c r="D140" s="1467"/>
      <c r="E140" s="1467"/>
      <c r="F140" s="1467"/>
      <c r="G140" s="1467"/>
      <c r="H140" s="1467"/>
      <c r="I140" s="1467"/>
      <c r="J140" s="1467"/>
      <c r="K140" s="1468">
        <f>P69</f>
        <v>48.247425296229011</v>
      </c>
      <c r="L140" s="1467"/>
      <c r="M140" s="1467"/>
    </row>
    <row r="141" spans="2:13" x14ac:dyDescent="0.15">
      <c r="C141" s="1468">
        <f t="shared" ref="C141:C143" si="38">N70</f>
        <v>60.736620463698408</v>
      </c>
      <c r="D141" s="1467"/>
      <c r="E141" s="1467"/>
      <c r="F141" s="1467"/>
      <c r="G141" s="1467"/>
      <c r="H141" s="1467"/>
      <c r="I141" s="1467"/>
      <c r="J141" s="1467"/>
      <c r="K141" s="1468">
        <f t="shared" ref="K141:K143" si="39">P70</f>
        <v>44.909569634425793</v>
      </c>
      <c r="L141" s="1467"/>
      <c r="M141" s="1467"/>
    </row>
    <row r="142" spans="2:13" x14ac:dyDescent="0.15">
      <c r="C142" s="1468">
        <f t="shared" si="38"/>
        <v>51.023413859620192</v>
      </c>
      <c r="D142" s="1467"/>
      <c r="E142" s="1467"/>
      <c r="F142" s="1467"/>
      <c r="G142" s="1467"/>
      <c r="H142" s="1467"/>
      <c r="I142" s="1467"/>
      <c r="J142" s="1467"/>
      <c r="K142" s="1468">
        <f t="shared" si="39"/>
        <v>40.435122809199662</v>
      </c>
      <c r="L142" s="1467"/>
      <c r="M142" s="1467"/>
    </row>
    <row r="143" spans="2:13" x14ac:dyDescent="0.15">
      <c r="C143" s="1468">
        <f t="shared" si="38"/>
        <v>38.107442768055868</v>
      </c>
      <c r="D143" s="1467"/>
      <c r="E143" s="1467"/>
      <c r="F143" s="1467"/>
      <c r="G143" s="1467"/>
      <c r="H143" s="1467"/>
      <c r="I143" s="1467"/>
      <c r="J143" s="1467"/>
      <c r="K143" s="1468">
        <f t="shared" si="39"/>
        <v>35.936627601992882</v>
      </c>
      <c r="L143" s="1467"/>
      <c r="M143" s="1467"/>
    </row>
    <row r="145" spans="3:13" ht="14" x14ac:dyDescent="0.15">
      <c r="C145" s="1826" t="s">
        <v>10</v>
      </c>
      <c r="D145" s="1826"/>
      <c r="E145" s="1826"/>
      <c r="F145" s="1826"/>
      <c r="G145" s="1826"/>
      <c r="H145" s="1826"/>
      <c r="I145" s="1826"/>
      <c r="J145" s="1826"/>
      <c r="K145" s="1826"/>
      <c r="L145" s="1826"/>
      <c r="M145" s="1826"/>
    </row>
    <row r="146" spans="3:13" ht="42" x14ac:dyDescent="0.15">
      <c r="C146" s="1435" t="s">
        <v>2678</v>
      </c>
      <c r="D146" s="1435" t="s">
        <v>2679</v>
      </c>
      <c r="E146" s="1435" t="s">
        <v>2680</v>
      </c>
      <c r="F146" s="1435" t="s">
        <v>2681</v>
      </c>
      <c r="G146" s="1435" t="s">
        <v>2682</v>
      </c>
      <c r="H146" s="1435" t="s">
        <v>2683</v>
      </c>
      <c r="I146" s="1435" t="s">
        <v>2686</v>
      </c>
      <c r="J146" s="1435" t="s">
        <v>2684</v>
      </c>
      <c r="K146" s="1435" t="s">
        <v>2685</v>
      </c>
      <c r="L146" s="1435" t="s">
        <v>2687</v>
      </c>
      <c r="M146" s="1435" t="s">
        <v>2688</v>
      </c>
    </row>
    <row r="147" spans="3:13" x14ac:dyDescent="0.15">
      <c r="C147" s="67">
        <v>56.108706043813946</v>
      </c>
      <c r="D147" s="67">
        <v>4.5721486936899032</v>
      </c>
      <c r="E147" s="67">
        <v>4.5721486936899032</v>
      </c>
      <c r="F147" s="67">
        <v>3.0314831692413424</v>
      </c>
      <c r="G147" s="67">
        <v>12.180507328643742</v>
      </c>
      <c r="H147" s="67">
        <v>15.211990612205355</v>
      </c>
      <c r="I147" s="67">
        <v>3.031483283561613</v>
      </c>
      <c r="J147" s="67">
        <v>-9.5112429227645592</v>
      </c>
      <c r="K147" s="67">
        <v>30.657160598072295</v>
      </c>
      <c r="L147" s="67">
        <v>1913.3333333333333</v>
      </c>
      <c r="M147" s="67">
        <v>0.5463886580120535</v>
      </c>
    </row>
    <row r="148" spans="3:13" x14ac:dyDescent="0.15">
      <c r="C148" s="67">
        <v>52.610803297029939</v>
      </c>
      <c r="D148" s="67">
        <v>4.2871139352359426</v>
      </c>
      <c r="E148" s="67">
        <v>4.2871139352359426</v>
      </c>
      <c r="F148" s="67">
        <v>22.438191946485549</v>
      </c>
      <c r="G148" s="67">
        <v>9.2900187366344866E-2</v>
      </c>
      <c r="H148" s="67">
        <v>22.530895192759431</v>
      </c>
      <c r="I148" s="67">
        <v>22.437995005393084</v>
      </c>
      <c r="J148" s="67">
        <v>11.410387469176557</v>
      </c>
      <c r="K148" s="67">
        <v>29.427278430174766</v>
      </c>
      <c r="L148" s="67">
        <v>1906.6666666666667</v>
      </c>
      <c r="M148" s="67">
        <v>0.55933908220397843</v>
      </c>
    </row>
    <row r="149" spans="3:13" x14ac:dyDescent="0.15">
      <c r="C149" s="67">
        <v>49.022927183474209</v>
      </c>
      <c r="D149" s="67">
        <v>3.9947474872749908</v>
      </c>
      <c r="E149" s="67">
        <v>3.9947474872749908</v>
      </c>
      <c r="F149" s="67">
        <v>41.884130596394748</v>
      </c>
      <c r="G149" s="67">
        <v>-9.6121740357179437</v>
      </c>
      <c r="H149" s="67">
        <v>32.272497261246919</v>
      </c>
      <c r="I149" s="67">
        <v>41.884671296964861</v>
      </c>
      <c r="J149" s="67">
        <v>32.30986680471095</v>
      </c>
      <c r="K149" s="67">
        <v>27.997652349199392</v>
      </c>
      <c r="L149" s="67">
        <v>1913.3333333333333</v>
      </c>
      <c r="M149" s="67">
        <v>0.57111343523847125</v>
      </c>
    </row>
    <row r="150" spans="3:13" x14ac:dyDescent="0.15">
      <c r="C150" s="67">
        <v>44.73207655672141</v>
      </c>
      <c r="D150" s="67">
        <v>3.6450975225688582</v>
      </c>
      <c r="E150" s="67">
        <v>3.6450975225688582</v>
      </c>
      <c r="F150" s="67">
        <v>61.983978276333843</v>
      </c>
      <c r="G150" s="67">
        <v>-23.110589831188673</v>
      </c>
      <c r="H150" s="67">
        <v>38.872687420823574</v>
      </c>
      <c r="I150" s="67">
        <v>61.983277252012243</v>
      </c>
      <c r="J150" s="67">
        <v>54.011235682589671</v>
      </c>
      <c r="K150" s="67">
        <v>26.425259410215936</v>
      </c>
      <c r="L150" s="67">
        <v>1873.3333333333333</v>
      </c>
      <c r="M150" s="67">
        <v>0.59074519772646894</v>
      </c>
    </row>
    <row r="151" spans="3:13" x14ac:dyDescent="0.15">
      <c r="C151" s="67">
        <v>40.151805346700648</v>
      </c>
      <c r="D151" s="67">
        <v>3.2718634470353924</v>
      </c>
      <c r="E151" s="67">
        <v>3.2718634470353924</v>
      </c>
      <c r="F151" s="67">
        <v>80.954282301486245</v>
      </c>
      <c r="G151" s="67">
        <v>-34.143853528474409</v>
      </c>
      <c r="H151" s="67">
        <v>46.80965031602215</v>
      </c>
      <c r="I151" s="67">
        <v>80.953503844496566</v>
      </c>
      <c r="J151" s="67">
        <v>74.53044959486877</v>
      </c>
      <c r="K151" s="67">
        <v>24.692228909601873</v>
      </c>
      <c r="L151" s="67">
        <v>1920</v>
      </c>
      <c r="M151" s="67">
        <v>0.61497182247200954</v>
      </c>
    </row>
    <row r="152" spans="3:13" x14ac:dyDescent="0.15">
      <c r="C152" s="67">
        <v>35.428056320100808</v>
      </c>
      <c r="D152" s="67">
        <v>2.8869377471908386</v>
      </c>
      <c r="E152" s="67">
        <v>2.8869377471908386</v>
      </c>
      <c r="F152" s="67">
        <v>100.53672844642975</v>
      </c>
      <c r="G152" s="67">
        <v>-45.238078776055183</v>
      </c>
      <c r="H152" s="67">
        <v>55.29801281734823</v>
      </c>
      <c r="I152" s="67">
        <v>100.53609159340341</v>
      </c>
      <c r="J152" s="67">
        <v>95.535445859710222</v>
      </c>
      <c r="K152" s="67">
        <v>22.712623576796137</v>
      </c>
      <c r="L152" s="67">
        <v>1906.6666666666667</v>
      </c>
      <c r="M152" s="67">
        <v>0.64109143814106673</v>
      </c>
    </row>
    <row r="153" spans="3:13" x14ac:dyDescent="0.15">
      <c r="C153" s="67">
        <v>29.946480485233359</v>
      </c>
      <c r="D153" s="67">
        <v>2.4402587634840933</v>
      </c>
      <c r="E153" s="67">
        <v>2.4402587634840933</v>
      </c>
      <c r="F153" s="67">
        <v>119.55921645753392</v>
      </c>
      <c r="G153" s="67">
        <v>-54.675202827970487</v>
      </c>
      <c r="H153" s="67">
        <v>64.886066813569357</v>
      </c>
      <c r="I153" s="67">
        <v>119.56126964153984</v>
      </c>
      <c r="J153" s="67">
        <v>115.98835194188329</v>
      </c>
      <c r="K153" s="67">
        <v>20.60691836010993</v>
      </c>
      <c r="L153" s="67">
        <v>1893.3333333333333</v>
      </c>
      <c r="M153" s="67">
        <v>0.68812488233037006</v>
      </c>
    </row>
    <row r="154" spans="3:13" x14ac:dyDescent="0.15">
      <c r="C154" s="67">
        <v>11.179272393277332</v>
      </c>
      <c r="D154" s="67">
        <v>0.91096906831915536</v>
      </c>
      <c r="E154" s="67">
        <v>0.91096906831915536</v>
      </c>
      <c r="F154" s="67">
        <v>141.46523406268221</v>
      </c>
      <c r="G154" s="67">
        <v>-70.304618087081977</v>
      </c>
      <c r="H154" s="67">
        <v>71.16022604141331</v>
      </c>
      <c r="I154" s="67">
        <v>141.46484412849529</v>
      </c>
      <c r="J154" s="67">
        <v>140.96692534243473</v>
      </c>
      <c r="K154" s="67">
        <v>15.394065069985658</v>
      </c>
      <c r="L154" s="67">
        <v>1886.6666666666667</v>
      </c>
      <c r="M154" s="67">
        <v>1.3770185150191794</v>
      </c>
    </row>
    <row r="156" spans="3:13" ht="14" x14ac:dyDescent="0.15">
      <c r="C156" s="1826" t="s">
        <v>409</v>
      </c>
      <c r="D156" s="1826"/>
      <c r="E156" s="1826"/>
      <c r="F156" s="1826"/>
      <c r="G156" s="1826"/>
      <c r="H156" s="1826"/>
      <c r="I156" s="1826"/>
      <c r="J156" s="1826"/>
      <c r="K156" s="1826"/>
      <c r="L156" s="1826"/>
      <c r="M156" s="1826"/>
    </row>
    <row r="157" spans="3:13" ht="42" x14ac:dyDescent="0.15">
      <c r="C157" s="1435" t="s">
        <v>2678</v>
      </c>
      <c r="D157" s="1435" t="s">
        <v>2679</v>
      </c>
      <c r="E157" s="1435" t="s">
        <v>2680</v>
      </c>
      <c r="F157" s="1435" t="s">
        <v>2681</v>
      </c>
      <c r="G157" s="1435" t="s">
        <v>2682</v>
      </c>
      <c r="H157" s="1435" t="s">
        <v>2683</v>
      </c>
      <c r="I157" s="1435" t="s">
        <v>2686</v>
      </c>
      <c r="J157" s="1435" t="s">
        <v>2684</v>
      </c>
      <c r="K157" s="1435" t="s">
        <v>2685</v>
      </c>
      <c r="L157" s="1435" t="s">
        <v>2687</v>
      </c>
      <c r="M157" s="1435" t="s">
        <v>2688</v>
      </c>
    </row>
    <row r="158" spans="3:13" x14ac:dyDescent="0.15">
      <c r="C158" s="67">
        <v>8.7020229843785071</v>
      </c>
      <c r="D158" s="67">
        <v>0.70910462610592084</v>
      </c>
      <c r="E158" s="67">
        <v>0.70910462610592084</v>
      </c>
      <c r="F158" s="67">
        <v>87.002309020212607</v>
      </c>
      <c r="G158" s="67">
        <v>-44.231427390011739</v>
      </c>
      <c r="H158" s="67">
        <v>42.769474154078111</v>
      </c>
      <c r="I158" s="67">
        <v>87.000901544089857</v>
      </c>
      <c r="J158" s="67">
        <v>86.699203921630968</v>
      </c>
      <c r="K158" s="67">
        <v>9.9647819443576005</v>
      </c>
      <c r="L158" s="67">
        <v>1520</v>
      </c>
      <c r="M158" s="67">
        <v>1.1451109658347196</v>
      </c>
    </row>
    <row r="159" spans="3:13" x14ac:dyDescent="0.15">
      <c r="C159" s="67">
        <v>18.138656964471075</v>
      </c>
      <c r="D159" s="67">
        <v>1.4780707414752283</v>
      </c>
      <c r="E159" s="67">
        <v>1.4780707414752283</v>
      </c>
      <c r="F159" s="67">
        <v>71.696937568478447</v>
      </c>
      <c r="G159" s="67">
        <v>-35.991611326987069</v>
      </c>
      <c r="H159" s="67">
        <v>35.703629915644662</v>
      </c>
      <c r="I159" s="67">
        <v>71.695241242631738</v>
      </c>
      <c r="J159" s="67">
        <v>70.384425372548662</v>
      </c>
      <c r="K159" s="67">
        <v>11.285940922643414</v>
      </c>
      <c r="L159" s="67">
        <v>1526.6666666666667</v>
      </c>
      <c r="M159" s="67">
        <v>0.62220377973681551</v>
      </c>
    </row>
    <row r="160" spans="3:13" x14ac:dyDescent="0.15">
      <c r="C160" s="67">
        <v>26.092460237557564</v>
      </c>
      <c r="D160" s="67">
        <v>2.1262049404088406</v>
      </c>
      <c r="E160" s="67">
        <v>2.1262049404088406</v>
      </c>
      <c r="F160" s="67">
        <v>63.168624704572274</v>
      </c>
      <c r="G160" s="67">
        <v>-30.701591122426954</v>
      </c>
      <c r="H160" s="67">
        <v>32.465070834029383</v>
      </c>
      <c r="I160" s="67">
        <v>63.166661956456338</v>
      </c>
      <c r="J160" s="67">
        <v>60.45421348728496</v>
      </c>
      <c r="K160" s="67">
        <v>13.152668359229462</v>
      </c>
      <c r="L160" s="67">
        <v>1520</v>
      </c>
      <c r="M160" s="67">
        <v>0.50407927192306201</v>
      </c>
    </row>
    <row r="161" spans="2:13" x14ac:dyDescent="0.15">
      <c r="C161" s="67">
        <v>31.482845779390328</v>
      </c>
      <c r="D161" s="67">
        <v>2.5654530705355696</v>
      </c>
      <c r="E161" s="67">
        <v>2.5654530705355696</v>
      </c>
      <c r="F161" s="67">
        <v>45.181476357088066</v>
      </c>
      <c r="G161" s="67">
        <v>-16.202391965007916</v>
      </c>
      <c r="H161" s="67">
        <v>28.98041383191666</v>
      </c>
      <c r="I161" s="67">
        <v>45.182805796924576</v>
      </c>
      <c r="J161" s="67">
        <v>41.233876122652347</v>
      </c>
      <c r="K161" s="67">
        <v>14.467230176886737</v>
      </c>
      <c r="L161" s="67">
        <v>1520</v>
      </c>
      <c r="M161" s="67">
        <v>0.45952739718203767</v>
      </c>
    </row>
    <row r="162" spans="2:13" x14ac:dyDescent="0.15">
      <c r="C162" s="67">
        <v>35.399179583348761</v>
      </c>
      <c r="D162" s="67">
        <v>2.8845846589888797</v>
      </c>
      <c r="E162" s="67">
        <v>2.8845846589888797</v>
      </c>
      <c r="F162" s="67">
        <v>30.186242614669236</v>
      </c>
      <c r="G162" s="67">
        <v>-8.7261293256052213</v>
      </c>
      <c r="H162" s="67">
        <v>21.460510967016713</v>
      </c>
      <c r="I162" s="67">
        <v>30.186640292621934</v>
      </c>
      <c r="J162" s="67">
        <v>25.194143099697541</v>
      </c>
      <c r="K162" s="67">
        <v>15.457217416852041</v>
      </c>
      <c r="L162" s="67">
        <v>1526.6666666666667</v>
      </c>
      <c r="M162" s="67">
        <v>0.43665467953734394</v>
      </c>
    </row>
    <row r="163" spans="2:13" x14ac:dyDescent="0.15">
      <c r="C163" s="67">
        <v>38.576192202519259</v>
      </c>
      <c r="D163" s="67">
        <v>3.1434709374433125</v>
      </c>
      <c r="E163" s="67">
        <v>3.1434709374433125</v>
      </c>
      <c r="F163" s="67">
        <v>15.770547504324202</v>
      </c>
      <c r="G163" s="67">
        <v>-2.0499831369258024</v>
      </c>
      <c r="H163" s="67">
        <v>13.720433440176526</v>
      </c>
      <c r="I163" s="67">
        <v>15.770416577102328</v>
      </c>
      <c r="J163" s="67">
        <v>9.8415708563718844</v>
      </c>
      <c r="K163" s="67">
        <v>16.211045468066871</v>
      </c>
      <c r="L163" s="67">
        <v>1520</v>
      </c>
      <c r="M163" s="67">
        <v>0.42023446438055106</v>
      </c>
    </row>
    <row r="164" spans="2:13" x14ac:dyDescent="0.15">
      <c r="C164" s="67">
        <v>41.605917277547576</v>
      </c>
      <c r="D164" s="67">
        <v>3.390355147056225</v>
      </c>
      <c r="E164" s="67">
        <v>3.390355147056225</v>
      </c>
      <c r="F164" s="67">
        <v>1.7110318428161686</v>
      </c>
      <c r="G164" s="67">
        <v>6.7260329317732266</v>
      </c>
      <c r="H164" s="67">
        <v>8.4370648605839005</v>
      </c>
      <c r="I164" s="67">
        <v>1.7110319288106739</v>
      </c>
      <c r="J164" s="67">
        <v>-5.1856728850917078</v>
      </c>
      <c r="K164" s="67">
        <v>16.953289405090995</v>
      </c>
      <c r="L164" s="67">
        <v>1520</v>
      </c>
      <c r="M164" s="67">
        <v>0.40747303543382646</v>
      </c>
    </row>
    <row r="165" spans="2:13" x14ac:dyDescent="0.15">
      <c r="B165" t="s">
        <v>2693</v>
      </c>
      <c r="C165" s="1468">
        <f>N74</f>
        <v>39.475997985609681</v>
      </c>
      <c r="D165" s="1467"/>
      <c r="E165" s="1467"/>
      <c r="F165" s="1467"/>
      <c r="G165" s="1467"/>
      <c r="H165" s="1467"/>
      <c r="I165" s="1467"/>
      <c r="J165" s="1467"/>
      <c r="K165" s="1468">
        <f>P74</f>
        <v>16.597364474282625</v>
      </c>
      <c r="L165" s="1467"/>
      <c r="M165" s="1467"/>
    </row>
    <row r="166" spans="2:13" x14ac:dyDescent="0.15">
      <c r="C166" s="1468">
        <f t="shared" ref="C166:C168" si="40">N75</f>
        <v>36.528782330877029</v>
      </c>
      <c r="D166" s="1467"/>
      <c r="E166" s="1467"/>
      <c r="F166" s="1467"/>
      <c r="G166" s="1467"/>
      <c r="H166" s="1467"/>
      <c r="I166" s="1467"/>
      <c r="J166" s="1467"/>
      <c r="K166" s="1468">
        <f t="shared" ref="K166:K168" si="41">P75</f>
        <v>15.735562266904543</v>
      </c>
      <c r="L166" s="1467"/>
      <c r="M166" s="1467"/>
    </row>
    <row r="167" spans="2:13" x14ac:dyDescent="0.15">
      <c r="C167" s="1468">
        <f t="shared" si="40"/>
        <v>31.337857744647224</v>
      </c>
      <c r="D167" s="1467"/>
      <c r="E167" s="1467"/>
      <c r="F167" s="1467"/>
      <c r="G167" s="1467"/>
      <c r="H167" s="1467"/>
      <c r="I167" s="1467"/>
      <c r="J167" s="1467"/>
      <c r="K167" s="1468">
        <f t="shared" si="41"/>
        <v>14.645314177297895</v>
      </c>
      <c r="L167" s="1467"/>
      <c r="M167" s="1467"/>
    </row>
    <row r="168" spans="2:13" x14ac:dyDescent="0.15">
      <c r="C168" s="1468">
        <f t="shared" si="40"/>
        <v>23.843033292862099</v>
      </c>
      <c r="D168" s="1467"/>
      <c r="E168" s="1467"/>
      <c r="F168" s="1467"/>
      <c r="G168" s="1467"/>
      <c r="H168" s="1467"/>
      <c r="I168" s="1467"/>
      <c r="J168" s="1467"/>
      <c r="K168" s="1468">
        <f t="shared" si="41"/>
        <v>13.394503822480059</v>
      </c>
      <c r="L168" s="1467"/>
      <c r="M168" s="1467"/>
    </row>
    <row r="170" spans="2:13" ht="14" x14ac:dyDescent="0.15">
      <c r="C170" s="1826" t="s">
        <v>12</v>
      </c>
      <c r="D170" s="1826"/>
      <c r="E170" s="1826"/>
      <c r="F170" s="1826"/>
      <c r="G170" s="1826"/>
      <c r="H170" s="1826"/>
      <c r="I170" s="1826"/>
      <c r="J170" s="1826"/>
      <c r="K170" s="1826"/>
      <c r="L170" s="1826"/>
      <c r="M170" s="1826"/>
    </row>
    <row r="171" spans="2:13" ht="42" x14ac:dyDescent="0.15">
      <c r="C171" s="1435" t="s">
        <v>2678</v>
      </c>
      <c r="D171" s="1435" t="s">
        <v>2679</v>
      </c>
      <c r="E171" s="1435" t="s">
        <v>2680</v>
      </c>
      <c r="F171" s="1435" t="s">
        <v>2681</v>
      </c>
      <c r="G171" s="1435" t="s">
        <v>2682</v>
      </c>
      <c r="H171" s="1435" t="s">
        <v>2683</v>
      </c>
      <c r="I171" s="1435" t="s">
        <v>2686</v>
      </c>
      <c r="J171" s="1435" t="s">
        <v>2684</v>
      </c>
      <c r="K171" s="1435" t="s">
        <v>2685</v>
      </c>
      <c r="L171" s="1435" t="s">
        <v>2687</v>
      </c>
      <c r="M171" s="1435" t="s">
        <v>2688</v>
      </c>
    </row>
    <row r="172" spans="2:13" x14ac:dyDescent="0.15">
      <c r="C172" s="67">
        <v>27.807071669221358</v>
      </c>
      <c r="D172" s="67">
        <v>2.2659240494423964</v>
      </c>
      <c r="E172" s="67">
        <v>2.2659240494423964</v>
      </c>
      <c r="F172" s="67">
        <v>1.5203887717469562</v>
      </c>
      <c r="G172" s="67">
        <v>2.3373520034298609</v>
      </c>
      <c r="H172" s="67">
        <v>3.8577372461696182</v>
      </c>
      <c r="I172" s="67">
        <v>1.5203852427397573</v>
      </c>
      <c r="J172" s="67">
        <v>-1.560261835965099</v>
      </c>
      <c r="K172" s="67">
        <v>8.8598195584635651</v>
      </c>
      <c r="L172" s="67">
        <v>1140</v>
      </c>
      <c r="M172" s="67">
        <v>0.31861749643599396</v>
      </c>
    </row>
    <row r="173" spans="2:13" x14ac:dyDescent="0.15">
      <c r="C173" s="67">
        <v>25.144328944340472</v>
      </c>
      <c r="D173" s="67">
        <v>2.048944252016847</v>
      </c>
      <c r="E173" s="67">
        <v>2.048944252016847</v>
      </c>
      <c r="F173" s="67">
        <v>10.740571825598977</v>
      </c>
      <c r="G173" s="67">
        <v>-4.2457818683554489</v>
      </c>
      <c r="H173" s="67">
        <v>6.494522817202089</v>
      </c>
      <c r="I173" s="67">
        <v>10.740304685557538</v>
      </c>
      <c r="J173" s="67">
        <v>8.2214011568338119</v>
      </c>
      <c r="K173" s="67">
        <v>8.4968509198557758</v>
      </c>
      <c r="L173" s="67">
        <v>1140</v>
      </c>
      <c r="M173" s="67">
        <v>0.33792315311593396</v>
      </c>
    </row>
    <row r="174" spans="2:13" x14ac:dyDescent="0.15">
      <c r="C174" s="67">
        <v>21.877979611299835</v>
      </c>
      <c r="D174" s="67">
        <v>1.7827781632010609</v>
      </c>
      <c r="E174" s="67">
        <v>1.7827781632010609</v>
      </c>
      <c r="F174" s="67">
        <v>20.417269217194512</v>
      </c>
      <c r="G174" s="67">
        <v>-8.046626139707671</v>
      </c>
      <c r="H174" s="67">
        <v>12.370670014144611</v>
      </c>
      <c r="I174" s="67">
        <v>20.417296153852284</v>
      </c>
      <c r="J174" s="67">
        <v>18.510317366340356</v>
      </c>
      <c r="K174" s="67">
        <v>8.0260468020024707</v>
      </c>
      <c r="L174" s="67">
        <v>1173.3333333333333</v>
      </c>
      <c r="M174" s="67">
        <v>0.36685502704541645</v>
      </c>
    </row>
    <row r="175" spans="2:13" x14ac:dyDescent="0.15">
      <c r="C175" s="67">
        <v>7.0716056604581814</v>
      </c>
      <c r="D175" s="67">
        <v>0.57624627018677599</v>
      </c>
      <c r="E175" s="67">
        <v>0.57624627018677599</v>
      </c>
      <c r="F175" s="67">
        <v>44.203067101198272</v>
      </c>
      <c r="G175" s="67">
        <v>-20.477518938493827</v>
      </c>
      <c r="H175" s="67">
        <v>23.726443851533311</v>
      </c>
      <c r="I175" s="67">
        <v>44.203962790027134</v>
      </c>
      <c r="J175" s="67">
        <v>44.00472693168463</v>
      </c>
      <c r="K175" s="67">
        <v>6.4238765175608652</v>
      </c>
      <c r="L175" s="67">
        <v>1140</v>
      </c>
      <c r="M175" s="67">
        <v>0.90840423321125219</v>
      </c>
    </row>
    <row r="177" spans="3:13" ht="14" x14ac:dyDescent="0.15">
      <c r="C177" s="1826" t="s">
        <v>410</v>
      </c>
      <c r="D177" s="1826"/>
      <c r="E177" s="1826"/>
      <c r="F177" s="1826"/>
      <c r="G177" s="1826"/>
      <c r="H177" s="1826"/>
      <c r="I177" s="1826"/>
      <c r="J177" s="1826"/>
      <c r="K177" s="1826"/>
      <c r="L177" s="1826"/>
      <c r="M177" s="1826"/>
    </row>
    <row r="178" spans="3:13" ht="42" x14ac:dyDescent="0.15">
      <c r="C178" s="1435" t="s">
        <v>2678</v>
      </c>
      <c r="D178" s="1435" t="s">
        <v>2679</v>
      </c>
      <c r="E178" s="1435" t="s">
        <v>2680</v>
      </c>
      <c r="F178" s="1435" t="s">
        <v>2681</v>
      </c>
      <c r="G178" s="1435" t="s">
        <v>2682</v>
      </c>
      <c r="H178" s="1435" t="s">
        <v>2683</v>
      </c>
      <c r="I178" s="1435" t="s">
        <v>2686</v>
      </c>
      <c r="J178" s="1435" t="s">
        <v>2684</v>
      </c>
      <c r="K178" s="1435" t="s">
        <v>2685</v>
      </c>
      <c r="L178" s="1435" t="s">
        <v>2687</v>
      </c>
      <c r="M178" s="1435" t="s">
        <v>2688</v>
      </c>
    </row>
    <row r="179" spans="3:13" x14ac:dyDescent="0.15">
      <c r="C179" s="67">
        <v>3.7710077831888471</v>
      </c>
      <c r="D179" s="67">
        <v>0.30728935891584785</v>
      </c>
      <c r="E179" s="67">
        <v>0.30728935891584785</v>
      </c>
      <c r="F179" s="67">
        <v>18.258333560174759</v>
      </c>
      <c r="G179" s="67">
        <v>-8.649747823191392</v>
      </c>
      <c r="H179" s="67">
        <v>9.6086964094052494</v>
      </c>
      <c r="I179" s="67">
        <v>18.258444232596641</v>
      </c>
      <c r="J179" s="67">
        <v>18.201788182534894</v>
      </c>
      <c r="K179" s="67">
        <v>4.3951621914971239</v>
      </c>
      <c r="L179" s="67">
        <v>760</v>
      </c>
      <c r="M179" s="67">
        <v>1.1655139538801158</v>
      </c>
    </row>
    <row r="180" spans="3:13" x14ac:dyDescent="0.15">
      <c r="C180" s="67">
        <v>7.6690941209584045</v>
      </c>
      <c r="D180" s="67">
        <v>0.62493401005441229</v>
      </c>
      <c r="E180" s="67">
        <v>0.62493401005441229</v>
      </c>
      <c r="F180" s="67">
        <v>11.109884644634137</v>
      </c>
      <c r="G180" s="67">
        <v>-5.9723802794414009</v>
      </c>
      <c r="H180" s="67">
        <v>5.137390079446015</v>
      </c>
      <c r="I180" s="67">
        <v>11.109770358887417</v>
      </c>
      <c r="J180" s="67">
        <v>10.875444848733803</v>
      </c>
      <c r="K180" s="67">
        <v>4.4354680225252423</v>
      </c>
      <c r="L180" s="67">
        <v>760</v>
      </c>
      <c r="M180" s="67">
        <v>0.57835618556353607</v>
      </c>
    </row>
    <row r="181" spans="3:13" x14ac:dyDescent="0.15">
      <c r="C181" s="67">
        <v>14.476565670296269</v>
      </c>
      <c r="D181" s="67">
        <v>1.1796566965361093</v>
      </c>
      <c r="E181" s="67">
        <v>1.1796566965361093</v>
      </c>
      <c r="F181" s="67">
        <v>0.5952691030656635</v>
      </c>
      <c r="G181" s="67">
        <v>0.56756606465494897</v>
      </c>
      <c r="H181" s="67">
        <v>1.1628349086908905</v>
      </c>
      <c r="I181" s="67">
        <v>0.59526884403594149</v>
      </c>
      <c r="J181" s="67">
        <v>-0.23968510897355022</v>
      </c>
      <c r="K181" s="67">
        <v>4.8377507661479147</v>
      </c>
      <c r="L181" s="67">
        <v>753.33333333333337</v>
      </c>
      <c r="M181" s="67">
        <v>0.33417806932442895</v>
      </c>
    </row>
  </sheetData>
  <mergeCells count="8">
    <mergeCell ref="C170:M170"/>
    <mergeCell ref="C177:M177"/>
    <mergeCell ref="C83:M83"/>
    <mergeCell ref="C101:M101"/>
    <mergeCell ref="C114:M114"/>
    <mergeCell ref="C129:M129"/>
    <mergeCell ref="C145:M145"/>
    <mergeCell ref="C156:M156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A6519-0DEC-401B-8911-9B40F8CABEB0}">
  <dimension ref="B2:AW193"/>
  <sheetViews>
    <sheetView zoomScale="70" zoomScaleNormal="70" workbookViewId="0">
      <selection activeCell="R20" sqref="R20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45" x14ac:dyDescent="0.15">
      <c r="C2" s="2" t="s">
        <v>0</v>
      </c>
      <c r="J2" t="s">
        <v>15</v>
      </c>
    </row>
    <row r="3" spans="3:45" x14ac:dyDescent="0.15">
      <c r="J3" s="850">
        <f>'R-series ENT'!$G$33</f>
        <v>34.722222222222221</v>
      </c>
      <c r="K3" t="s">
        <v>13</v>
      </c>
      <c r="L3" s="122">
        <f>'R-series ENT'!$G$39</f>
        <v>90</v>
      </c>
      <c r="M3" t="s">
        <v>14</v>
      </c>
      <c r="P3" t="s">
        <v>34</v>
      </c>
      <c r="AA3" s="2" t="s">
        <v>53</v>
      </c>
    </row>
    <row r="4" spans="3:45" ht="16" x14ac:dyDescent="0.2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2674</v>
      </c>
      <c r="AF4" s="63"/>
      <c r="AG4" s="62" t="s">
        <v>405</v>
      </c>
      <c r="AH4" s="63"/>
      <c r="AI4" t="s">
        <v>10</v>
      </c>
      <c r="AK4" t="s">
        <v>409</v>
      </c>
      <c r="AM4" t="s">
        <v>12</v>
      </c>
      <c r="AO4" t="s">
        <v>410</v>
      </c>
      <c r="AS4" s="453" t="s">
        <v>2861</v>
      </c>
    </row>
    <row r="5" spans="3:45" x14ac:dyDescent="0.15">
      <c r="C5" t="s">
        <v>2</v>
      </c>
      <c r="D5" s="1"/>
      <c r="E5" s="1"/>
      <c r="H5" s="1"/>
      <c r="P5" s="52">
        <f t="array" ref="P5:Q5">LINEST(AI34:AI37,LN(AH34:AH37))</f>
        <v>20.919630090612117</v>
      </c>
      <c r="Q5" s="52">
        <v>-27.035755327020119</v>
      </c>
      <c r="R5" t="str">
        <f>AI33</f>
        <v>Poisto</v>
      </c>
      <c r="T5" s="4"/>
      <c r="U5" s="39" t="s">
        <v>43</v>
      </c>
      <c r="V5" t="s">
        <v>28</v>
      </c>
      <c r="W5" s="9">
        <f>$P$5*LN($J$3)+$Q$5</f>
        <v>47.174119801153246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I5" s="65" t="s">
        <v>14</v>
      </c>
      <c r="AJ5" s="66" t="s">
        <v>13</v>
      </c>
      <c r="AK5" s="65" t="s">
        <v>14</v>
      </c>
      <c r="AL5" s="66" t="s">
        <v>13</v>
      </c>
      <c r="AM5" s="65" t="s">
        <v>14</v>
      </c>
      <c r="AN5" s="66" t="s">
        <v>13</v>
      </c>
      <c r="AO5" s="65" t="s">
        <v>14</v>
      </c>
      <c r="AP5" s="66" t="s">
        <v>13</v>
      </c>
      <c r="AS5" t="s">
        <v>2862</v>
      </c>
    </row>
    <row r="6" spans="3:45" x14ac:dyDescent="0.15">
      <c r="C6" s="2" t="s">
        <v>3</v>
      </c>
      <c r="D6" s="1"/>
      <c r="E6" s="1"/>
      <c r="H6" s="1"/>
      <c r="P6" s="52">
        <f t="array" ref="P6:Q6">LINEST(AJ34:AJ37,LN(AH34:AH37))</f>
        <v>21.990938701197432</v>
      </c>
      <c r="Q6" s="52">
        <v>-16.538819690808083</v>
      </c>
      <c r="R6" t="str">
        <f>AJ33</f>
        <v>Jäte</v>
      </c>
      <c r="T6" s="4"/>
      <c r="U6" s="39" t="s">
        <v>43</v>
      </c>
      <c r="V6" t="s">
        <v>7</v>
      </c>
      <c r="W6" s="9">
        <f>$P$6*LN($J$3)+$Q$6</f>
        <v>61.471394060510931</v>
      </c>
      <c r="X6" t="s">
        <v>31</v>
      </c>
      <c r="AA6" s="55">
        <v>15</v>
      </c>
      <c r="AB6" s="56">
        <f t="shared" ref="AB6:AB12" si="0">(-$D$9-SQRT($D$9^2-(4*$C$9*($E$9-AA6))))/(2*$C$9)</f>
        <v>103.57553241263072</v>
      </c>
      <c r="AC6" s="55">
        <v>15</v>
      </c>
      <c r="AD6" s="57">
        <f t="shared" ref="AD6:AD12" si="1">(-$D$13-SQRT($D$13^2-(4*$C$13*($E$13-AC6))))/(2*$C$13)</f>
        <v>103.56426593475659</v>
      </c>
      <c r="AE6" s="55">
        <v>10</v>
      </c>
      <c r="AF6" s="57">
        <f t="shared" ref="AF6:AF12" si="2">(-$D$17-SQRT($D$17^2-(4*$C$17*($E$17-AE6))))/(2*$C$17)</f>
        <v>98.863748472513095</v>
      </c>
      <c r="AG6" s="56">
        <v>10</v>
      </c>
      <c r="AH6" s="57">
        <f t="shared" ref="AH6:AH11" si="3">(-$D$20-SQRT($D$20^2-(4*$C$20*($E$20-AG6))))/(2*$C$20)</f>
        <v>81.983013493976628</v>
      </c>
      <c r="AI6" s="56">
        <v>10</v>
      </c>
      <c r="AJ6" s="57">
        <f>(-$D$23-SQRT($D$23^2-(4*$C$23*($E$23-AI6))))/(2*$C$23)</f>
        <v>65.508263329639192</v>
      </c>
      <c r="AK6" s="56">
        <v>10</v>
      </c>
      <c r="AL6" s="57">
        <f>(-$D$26-SQRT($D$26^2-(4*$C$26*($E$26-AK6))))/(2*$C$26)</f>
        <v>48.797613651027639</v>
      </c>
      <c r="AM6" s="56">
        <v>8</v>
      </c>
      <c r="AN6" s="57">
        <f>(-$D$29-SQRT($D$29^2-(4*$C$29*($E$29-AM6))))/(2*$C$29)</f>
        <v>32.198829381813553</v>
      </c>
      <c r="AO6" s="56">
        <v>5</v>
      </c>
      <c r="AP6" s="57">
        <f>(-$D$32-SQRT($D$32^2-(4*$C$32*($E$32-AO6))))/(2*$C$32)</f>
        <v>16.041783235142876</v>
      </c>
    </row>
    <row r="7" spans="3:45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94.880901963147465</v>
      </c>
      <c r="AC7" s="55">
        <v>50</v>
      </c>
      <c r="AD7" s="57">
        <f t="shared" si="1"/>
        <v>100.68992023693473</v>
      </c>
      <c r="AE7" s="55">
        <v>40</v>
      </c>
      <c r="AF7" s="57">
        <f t="shared" si="2"/>
        <v>94.863745143000813</v>
      </c>
      <c r="AG7" s="56">
        <v>25</v>
      </c>
      <c r="AH7" s="57">
        <f t="shared" si="3"/>
        <v>79.696567243836242</v>
      </c>
      <c r="AI7" s="56">
        <v>20</v>
      </c>
      <c r="AJ7" s="57">
        <f t="shared" ref="AJ7:AJ11" si="4">(-$D$23-SQRT($D$23^2-(4*$C$23*($E$23-AI7))))/(2*$C$23)</f>
        <v>63.637604496298707</v>
      </c>
      <c r="AK7" s="56">
        <v>20</v>
      </c>
      <c r="AL7" s="57">
        <f t="shared" ref="AL7:AL10" si="5">(-$D$26-SQRT($D$26^2-(4*$C$26*($E$26-AK7))))/(2*$C$26)</f>
        <v>46.415338122451843</v>
      </c>
      <c r="AM7" s="56">
        <v>20</v>
      </c>
      <c r="AN7" s="57">
        <f t="shared" ref="AN7:AN9" si="6">(-$D$29-SQRT($D$29^2-(4*$C$29*($E$29-AM7))))/(2*$C$29)</f>
        <v>28.017033069008061</v>
      </c>
      <c r="AO7" s="56">
        <v>10</v>
      </c>
      <c r="AP7" s="57">
        <f t="shared" ref="AP7:AP9" si="7">(-$D$32-SQRT($D$32^2-(4*$C$32*($E$32-AO7))))/(2*$C$32)</f>
        <v>13.000281264577914</v>
      </c>
      <c r="AS7" t="s">
        <v>2872</v>
      </c>
    </row>
    <row r="8" spans="3:45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88.807959332100708</v>
      </c>
      <c r="AC8" s="55">
        <v>100</v>
      </c>
      <c r="AD8" s="57">
        <f t="shared" si="1"/>
        <v>96.312360679370698</v>
      </c>
      <c r="AE8" s="55">
        <v>60</v>
      </c>
      <c r="AF8" s="57">
        <f t="shared" si="2"/>
        <v>92.068115196745225</v>
      </c>
      <c r="AG8" s="56">
        <v>35</v>
      </c>
      <c r="AH8" s="57">
        <f t="shared" si="3"/>
        <v>78.122767590392229</v>
      </c>
      <c r="AI8" s="56">
        <v>40</v>
      </c>
      <c r="AJ8" s="57">
        <f t="shared" si="4"/>
        <v>59.6662850941036</v>
      </c>
      <c r="AK8" s="56">
        <v>60</v>
      </c>
      <c r="AL8" s="57">
        <f t="shared" si="5"/>
        <v>34.64658196138771</v>
      </c>
      <c r="AM8" s="56">
        <v>40</v>
      </c>
      <c r="AN8" s="57">
        <f t="shared" si="6"/>
        <v>18.151133945730049</v>
      </c>
      <c r="AO8" s="56">
        <v>12</v>
      </c>
      <c r="AP8" s="57">
        <f t="shared" si="7"/>
        <v>11.527166136435172</v>
      </c>
    </row>
    <row r="9" spans="3:45" x14ac:dyDescent="0.15">
      <c r="C9" s="1652">
        <f>X60</f>
        <v>-3.723574726091862E-2</v>
      </c>
      <c r="D9" s="1652">
        <f>Y60</f>
        <v>-4.6867453260920282</v>
      </c>
      <c r="E9" s="1652">
        <f>Z60</f>
        <v>899.89317716964842</v>
      </c>
      <c r="H9" s="2"/>
      <c r="P9" t="s">
        <v>2675</v>
      </c>
      <c r="Q9" s="52">
        <f t="array" ref="Q9:R9">LINEST(AM35:AM41,AL35:AL41)</f>
        <v>9.0206751523791109</v>
      </c>
      <c r="R9" s="52">
        <v>-5.6832344470096174</v>
      </c>
      <c r="S9" s="84">
        <f>(J3-R9)/Q9</f>
        <v>4.4792053794970448</v>
      </c>
      <c r="U9" s="39" t="s">
        <v>42</v>
      </c>
      <c r="V9" t="s">
        <v>44</v>
      </c>
      <c r="W9" s="9">
        <f>IF($J$3&gt;$AO$35,($J$3-$R$10)/$Q$10,($J$3-$R$9)/$Q$9)</f>
        <v>4.4792053794970448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83.402123627509837</v>
      </c>
      <c r="AC9" s="55">
        <v>150</v>
      </c>
      <c r="AD9" s="57">
        <f t="shared" si="1"/>
        <v>91.536434304785857</v>
      </c>
      <c r="AE9" s="55">
        <v>80</v>
      </c>
      <c r="AF9" s="57">
        <f t="shared" si="2"/>
        <v>89.154081732102</v>
      </c>
      <c r="AG9" s="56">
        <v>55</v>
      </c>
      <c r="AH9" s="57">
        <f t="shared" si="3"/>
        <v>74.841120229685856</v>
      </c>
      <c r="AI9" s="56">
        <v>60</v>
      </c>
      <c r="AJ9" s="57">
        <f t="shared" si="4"/>
        <v>55.313706862535192</v>
      </c>
      <c r="AK9" s="56">
        <v>80</v>
      </c>
      <c r="AL9" s="57">
        <f t="shared" si="5"/>
        <v>25.668533811416562</v>
      </c>
      <c r="AM9" s="1446">
        <v>42</v>
      </c>
      <c r="AN9" s="57">
        <f t="shared" si="6"/>
        <v>16.665786921223916</v>
      </c>
      <c r="AO9" s="1446">
        <v>14</v>
      </c>
      <c r="AP9" s="57">
        <f t="shared" si="7"/>
        <v>9.7946796341437654</v>
      </c>
    </row>
    <row r="10" spans="3:45" x14ac:dyDescent="0.15">
      <c r="C10" s="466"/>
      <c r="D10" s="2"/>
      <c r="E10" s="2"/>
      <c r="H10" s="2"/>
      <c r="P10" t="s">
        <v>2676</v>
      </c>
      <c r="Q10" s="52">
        <f t="array" ref="Q10:R10">LINEST(AO34:AO35,AN34:AN35)</f>
        <v>2.3346817549688623</v>
      </c>
      <c r="R10" s="52">
        <v>47.804712732272385</v>
      </c>
      <c r="S10" s="84">
        <f>(J3-R10)/Q10</f>
        <v>-5.603543387533195</v>
      </c>
      <c r="W10" t="b">
        <f>IF(AND(W9&gt;=0,W9&lt;=10.01,'R-series ENT'!E33&gt;=W11,P22),TRUE,FALSE)</f>
        <v>1</v>
      </c>
      <c r="AA10" s="55">
        <v>320</v>
      </c>
      <c r="AB10" s="56">
        <f t="shared" si="0"/>
        <v>76.831301252434912</v>
      </c>
      <c r="AC10" s="55">
        <v>170</v>
      </c>
      <c r="AD10" s="57">
        <f t="shared" si="1"/>
        <v>89.48699640745069</v>
      </c>
      <c r="AE10" s="55">
        <v>100</v>
      </c>
      <c r="AF10" s="57">
        <f t="shared" si="2"/>
        <v>86.10519059739714</v>
      </c>
      <c r="AG10" s="56">
        <v>180</v>
      </c>
      <c r="AH10" s="57">
        <f t="shared" si="3"/>
        <v>46.436616599215917</v>
      </c>
      <c r="AI10" s="56">
        <v>120</v>
      </c>
      <c r="AJ10" s="57">
        <f t="shared" si="4"/>
        <v>37.871590945814823</v>
      </c>
      <c r="AK10" s="1446">
        <v>82</v>
      </c>
      <c r="AL10" s="1447">
        <f t="shared" si="5"/>
        <v>24.458258401494632</v>
      </c>
    </row>
    <row r="11" spans="3:45" x14ac:dyDescent="0.15">
      <c r="C11" s="2" t="s">
        <v>408</v>
      </c>
      <c r="D11" s="1"/>
      <c r="E11" s="1"/>
      <c r="H11" s="1"/>
      <c r="V11" t="s">
        <v>348</v>
      </c>
      <c r="W11">
        <v>10</v>
      </c>
      <c r="X11" t="s">
        <v>13</v>
      </c>
      <c r="AA11" s="55">
        <v>370</v>
      </c>
      <c r="AB11" s="56">
        <f t="shared" si="0"/>
        <v>71.942009838283937</v>
      </c>
      <c r="AC11" s="55">
        <v>190</v>
      </c>
      <c r="AD11" s="57">
        <f t="shared" si="1"/>
        <v>87.341571419937026</v>
      </c>
      <c r="AE11" s="55">
        <v>270</v>
      </c>
      <c r="AF11" s="57">
        <f t="shared" si="2"/>
        <v>48.048861693966089</v>
      </c>
      <c r="AG11" s="56">
        <v>200</v>
      </c>
      <c r="AH11" s="57">
        <f t="shared" si="3"/>
        <v>38.256987148325678</v>
      </c>
      <c r="AI11" s="1446">
        <v>125</v>
      </c>
      <c r="AJ11" s="1447">
        <f t="shared" si="4"/>
        <v>35.792961681016124</v>
      </c>
    </row>
    <row r="12" spans="3:45" x14ac:dyDescent="0.15">
      <c r="C12" t="s">
        <v>4</v>
      </c>
      <c r="D12" t="s">
        <v>5</v>
      </c>
      <c r="E12" t="s">
        <v>6</v>
      </c>
      <c r="H12" s="1"/>
      <c r="P12" t="s">
        <v>51</v>
      </c>
      <c r="AA12" s="58">
        <v>460</v>
      </c>
      <c r="AB12" s="59">
        <f t="shared" si="0"/>
        <v>62.662556243440676</v>
      </c>
      <c r="AC12" s="58">
        <v>360</v>
      </c>
      <c r="AD12" s="60">
        <f t="shared" si="1"/>
        <v>60.282027789731337</v>
      </c>
      <c r="AE12" s="58">
        <v>280</v>
      </c>
      <c r="AF12" s="60">
        <f t="shared" si="2"/>
        <v>43.718181696062231</v>
      </c>
      <c r="AG12" s="59"/>
      <c r="AH12" s="60"/>
    </row>
    <row r="13" spans="3:45" x14ac:dyDescent="0.15">
      <c r="C13" s="1652">
        <f>X61</f>
        <v>-0.10408231780376659</v>
      </c>
      <c r="D13" s="1652">
        <f>Y61</f>
        <v>9.0825648636003962</v>
      </c>
      <c r="E13" s="1652">
        <f>Z61</f>
        <v>190.71168798244662</v>
      </c>
      <c r="P13" s="51">
        <f t="array" ref="P13:S13">LINEST(AE34:AE41,AC34:AC41^{1,2,3})</f>
        <v>2.2382873321225146E-4</v>
      </c>
      <c r="Q13" s="51">
        <v>5.5248871322716607E-3</v>
      </c>
      <c r="R13" s="51">
        <v>1.3636907730447564E-2</v>
      </c>
      <c r="S13" s="51">
        <v>3.3116369740646867</v>
      </c>
      <c r="U13" s="39" t="s">
        <v>43</v>
      </c>
      <c r="V13" t="s">
        <v>44</v>
      </c>
      <c r="W13" s="9">
        <f>$P$13*J3^3+$Q$13*J3^2+$R$13*J3+$S$13</f>
        <v>19.816099128316758</v>
      </c>
      <c r="X13" t="s">
        <v>49</v>
      </c>
      <c r="Y13" t="s">
        <v>592</v>
      </c>
    </row>
    <row r="14" spans="3:45" x14ac:dyDescent="0.15">
      <c r="H14" s="2"/>
      <c r="V14" t="s">
        <v>52</v>
      </c>
      <c r="W14" s="3">
        <f>IF(W13&gt;Y14,Y14,W13)</f>
        <v>19.816099128316758</v>
      </c>
      <c r="X14" t="s">
        <v>49</v>
      </c>
      <c r="Y14" s="8">
        <v>120.6</v>
      </c>
      <c r="Z14" t="s">
        <v>49</v>
      </c>
    </row>
    <row r="15" spans="3:45" x14ac:dyDescent="0.15">
      <c r="C15" s="2" t="s">
        <v>2673</v>
      </c>
      <c r="D15" s="1"/>
      <c r="E15" s="1"/>
      <c r="H15" s="2"/>
    </row>
    <row r="16" spans="3:45" x14ac:dyDescent="0.15">
      <c r="C16" t="s">
        <v>4</v>
      </c>
      <c r="D16" t="s">
        <v>5</v>
      </c>
      <c r="E16" t="s">
        <v>6</v>
      </c>
      <c r="H16" s="1"/>
      <c r="V16" t="s">
        <v>44</v>
      </c>
      <c r="W16">
        <f>'Laskenta tulopuoli 53mini_ENT'!W14</f>
        <v>19.704150231876277</v>
      </c>
    </row>
    <row r="17" spans="3:45" ht="14" thickBot="1" x14ac:dyDescent="0.2">
      <c r="C17" s="1652">
        <f>X62</f>
        <v>-5.0910794856209869E-2</v>
      </c>
      <c r="D17" s="1652">
        <f>Y62</f>
        <v>2.3628269282974625</v>
      </c>
      <c r="E17" s="1652">
        <f>Z62</f>
        <v>274.00625702898395</v>
      </c>
      <c r="H17" s="1"/>
      <c r="V17" t="s">
        <v>73</v>
      </c>
      <c r="W17">
        <v>4.4000000000000004</v>
      </c>
    </row>
    <row r="18" spans="3:45" x14ac:dyDescent="0.15">
      <c r="C18" s="2" t="s">
        <v>411</v>
      </c>
      <c r="D18" s="1"/>
      <c r="E18" s="1"/>
      <c r="H18" s="1"/>
      <c r="P18" s="228" t="s">
        <v>605</v>
      </c>
      <c r="Q18" s="230"/>
      <c r="R18" s="231"/>
    </row>
    <row r="19" spans="3:45" x14ac:dyDescent="0.15">
      <c r="C19" t="s">
        <v>4</v>
      </c>
      <c r="D19" t="s">
        <v>5</v>
      </c>
      <c r="E19" t="s">
        <v>6</v>
      </c>
      <c r="P19" s="232" t="s">
        <v>606</v>
      </c>
      <c r="Q19" s="8">
        <v>450</v>
      </c>
      <c r="R19" s="364" t="s">
        <v>14</v>
      </c>
      <c r="V19" s="74" t="s">
        <v>74</v>
      </c>
      <c r="W19" s="77">
        <f>W13+W16+W17</f>
        <v>43.920249360193033</v>
      </c>
      <c r="X19" s="75" t="s">
        <v>49</v>
      </c>
      <c r="AB19" s="6"/>
      <c r="AC19" s="6"/>
    </row>
    <row r="20" spans="3:45" x14ac:dyDescent="0.15">
      <c r="C20" s="1652">
        <f>X63</f>
        <v>-5.345519740871111E-2</v>
      </c>
      <c r="D20" s="1652">
        <f>Y63</f>
        <v>2.0822147710169085</v>
      </c>
      <c r="E20" s="1652">
        <f>Z63</f>
        <v>198.57760633720039</v>
      </c>
      <c r="H20" s="1"/>
      <c r="P20" s="232" t="s">
        <v>607</v>
      </c>
      <c r="Q20" s="8">
        <v>0.25</v>
      </c>
      <c r="R20" s="364"/>
      <c r="AB20" s="6"/>
      <c r="AC20" s="6"/>
    </row>
    <row r="21" spans="3:45" x14ac:dyDescent="0.15">
      <c r="C21" s="2" t="s">
        <v>10</v>
      </c>
      <c r="H21" s="1"/>
      <c r="P21" s="232"/>
      <c r="R21" s="364"/>
      <c r="V21" t="s">
        <v>78</v>
      </c>
      <c r="W21" s="110">
        <f>MAX(J3,'Laskenta tulopuoli 53mini_ENT'!J3)</f>
        <v>34.722222222222221</v>
      </c>
      <c r="X21" t="s">
        <v>13</v>
      </c>
      <c r="AB21" s="6"/>
      <c r="AC21" s="6"/>
    </row>
    <row r="22" spans="3:45" ht="16" thickBot="1" x14ac:dyDescent="0.2">
      <c r="C22" t="s">
        <v>4</v>
      </c>
      <c r="D22" t="s">
        <v>5</v>
      </c>
      <c r="E22" t="s">
        <v>6</v>
      </c>
      <c r="H22" s="1"/>
      <c r="P22" s="236" t="b">
        <f>IF(AND(L3&gt;Q19,U29&gt;Q20),FALSE,TRUE)</f>
        <v>1</v>
      </c>
      <c r="Q22" s="238"/>
      <c r="R22" s="239"/>
      <c r="V22" t="s">
        <v>75</v>
      </c>
      <c r="W22">
        <f>W19/W21</f>
        <v>1.2649031815735594</v>
      </c>
      <c r="X22" t="s">
        <v>77</v>
      </c>
      <c r="AB22" s="6"/>
      <c r="AC22" s="6"/>
    </row>
    <row r="23" spans="3:45" x14ac:dyDescent="0.15">
      <c r="C23" s="1652">
        <f>X64</f>
        <v>-5.2995838968433011E-2</v>
      </c>
      <c r="D23" s="1652">
        <f>Y64</f>
        <v>1.498483418007283</v>
      </c>
      <c r="E23" s="1652">
        <f>Z64</f>
        <v>139.25972320447949</v>
      </c>
      <c r="H23" s="1"/>
    </row>
    <row r="24" spans="3:45" x14ac:dyDescent="0.15">
      <c r="C24" s="2" t="s">
        <v>409</v>
      </c>
      <c r="H24" s="1"/>
      <c r="P24">
        <v>13</v>
      </c>
      <c r="Q24">
        <f>$C$23*P24^2+$D$23*P24+$E$23</f>
        <v>149.783710852909</v>
      </c>
    </row>
    <row r="25" spans="3:45" x14ac:dyDescent="0.15">
      <c r="C25" t="s">
        <v>4</v>
      </c>
      <c r="D25" t="s">
        <v>5</v>
      </c>
      <c r="E25" t="s">
        <v>6</v>
      </c>
      <c r="G25" s="2"/>
      <c r="H25" s="1"/>
      <c r="P25">
        <v>15</v>
      </c>
      <c r="Q25">
        <f>$C$23*P25^2+$D$23*P25+$E$23</f>
        <v>149.8129107066913</v>
      </c>
    </row>
    <row r="26" spans="3:45" x14ac:dyDescent="0.15">
      <c r="C26" s="1652">
        <f>X65</f>
        <v>-5.6450823457149156E-2</v>
      </c>
      <c r="D26" s="1652">
        <f>Y65</f>
        <v>1.1771822674537094</v>
      </c>
      <c r="E26" s="1652">
        <f>Z65</f>
        <v>86.977416022035143</v>
      </c>
      <c r="P26">
        <v>45</v>
      </c>
      <c r="Q26">
        <f>$C$23*P26^2+$D$23*P26+$E$23</f>
        <v>99.374903103730375</v>
      </c>
    </row>
    <row r="27" spans="3:45" x14ac:dyDescent="0.15">
      <c r="C27" s="2" t="s">
        <v>12</v>
      </c>
      <c r="U27" t="s">
        <v>37</v>
      </c>
    </row>
    <row r="28" spans="3:45" x14ac:dyDescent="0.15">
      <c r="C28" t="s">
        <v>4</v>
      </c>
      <c r="D28" t="s">
        <v>5</v>
      </c>
      <c r="E28" t="s">
        <v>6</v>
      </c>
      <c r="U28" s="4" t="s">
        <v>17</v>
      </c>
      <c r="AM28">
        <v>9</v>
      </c>
      <c r="AN28">
        <f>Q9*AM28+R9</f>
        <v>75.502841924402389</v>
      </c>
      <c r="AO28" t="s">
        <v>13</v>
      </c>
    </row>
    <row r="29" spans="3:45" x14ac:dyDescent="0.15">
      <c r="C29" s="1652">
        <f>X66</f>
        <v>-5.9966811135600998E-2</v>
      </c>
      <c r="D29" s="1652">
        <f>Y66</f>
        <v>0.74137302696118745</v>
      </c>
      <c r="E29" s="1652">
        <f>Z66</f>
        <v>46.300124169973344</v>
      </c>
      <c r="U29" s="4">
        <f>(L3/J3)^2/L3</f>
        <v>7.4649599999999997E-2</v>
      </c>
    </row>
    <row r="30" spans="3:45" x14ac:dyDescent="0.15">
      <c r="C30" s="2" t="s">
        <v>410</v>
      </c>
    </row>
    <row r="31" spans="3:45" x14ac:dyDescent="0.15">
      <c r="C31" t="s">
        <v>4</v>
      </c>
      <c r="D31" t="s">
        <v>5</v>
      </c>
      <c r="E31" t="s">
        <v>6</v>
      </c>
      <c r="U31" s="2" t="s">
        <v>16</v>
      </c>
      <c r="AS31" s="2" t="s">
        <v>1110</v>
      </c>
    </row>
    <row r="32" spans="3:45" x14ac:dyDescent="0.15">
      <c r="C32" s="1652">
        <f>X67</f>
        <v>-6.3406815061642571E-2</v>
      </c>
      <c r="D32" s="1652">
        <f>Y67</f>
        <v>0.19754018326988027</v>
      </c>
      <c r="E32" s="1652">
        <f>Z67</f>
        <v>18.148137493236938</v>
      </c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I32" s="10" t="s">
        <v>27</v>
      </c>
      <c r="AJ32" s="21"/>
      <c r="AL32" t="s">
        <v>79</v>
      </c>
      <c r="AN32" t="s">
        <v>2677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G33" s="1466" t="s">
        <v>365</v>
      </c>
      <c r="AH33" s="1466" t="s">
        <v>13</v>
      </c>
      <c r="AI33" s="14" t="s">
        <v>8</v>
      </c>
      <c r="AJ33" s="26" t="s">
        <v>57</v>
      </c>
      <c r="AL33" t="s">
        <v>25</v>
      </c>
      <c r="AM33" t="s">
        <v>13</v>
      </c>
      <c r="AN33" t="s">
        <v>25</v>
      </c>
      <c r="AO33" t="s">
        <v>13</v>
      </c>
      <c r="AS33" s="2" t="s">
        <v>1107</v>
      </c>
      <c r="AV33" t="s">
        <v>1115</v>
      </c>
    </row>
    <row r="34" spans="21:49" x14ac:dyDescent="0.15">
      <c r="U34" s="41">
        <v>10</v>
      </c>
      <c r="V34" s="1425">
        <f>C9</f>
        <v>-3.723574726091862E-2</v>
      </c>
      <c r="W34" s="1426">
        <f>D9</f>
        <v>-4.6867453260920282</v>
      </c>
      <c r="X34" s="1427">
        <f>E9</f>
        <v>899.89317716964842</v>
      </c>
      <c r="Y34" s="1428">
        <f>C9-U29</f>
        <v>-0.11188534726091862</v>
      </c>
      <c r="Z34" s="1429">
        <f>(-W34+SQRT(W34^2-(4*Y34*X34)))/(2*Y34)</f>
        <v>-113.04035165874464</v>
      </c>
      <c r="AA34" s="1430">
        <f>(-W34-SQRT(W34^2-(4*Y34*X34)))/(2*Y34)</f>
        <v>71.151530281961001</v>
      </c>
      <c r="AB34" s="1428">
        <f>AB6</f>
        <v>103.57553241263072</v>
      </c>
      <c r="AC34" s="1431">
        <f>IF(Z34&lt;0,AA34,IF(Z34&gt;AB34,AA34,Z34))</f>
        <v>71.151530281961001</v>
      </c>
      <c r="AD34" s="1431">
        <f>V34*AC34^2+W34*AC34+X34</f>
        <v>377.91660550224367</v>
      </c>
      <c r="AE34" s="1432">
        <f t="shared" ref="AE34:AE41" si="8">AD60*AC34^2+AE60*AC34+AF60</f>
        <v>113.44878218873009</v>
      </c>
      <c r="AG34" s="1466">
        <v>10</v>
      </c>
      <c r="AH34" s="917">
        <f>AC34</f>
        <v>71.151530281961001</v>
      </c>
      <c r="AI34" s="1424">
        <f>$H$60*AH34^2+$I$60*AH34+$J$60</f>
        <v>61.897154213324214</v>
      </c>
      <c r="AJ34" s="53">
        <f>$R$60*AH34^2+$S$60*AH34+$T$60</f>
        <v>77.169524732994375</v>
      </c>
      <c r="AL34">
        <v>10</v>
      </c>
      <c r="AM34" s="3">
        <f t="shared" ref="AM34:AM41" si="9">AC34</f>
        <v>71.151530281961001</v>
      </c>
      <c r="AN34">
        <v>10</v>
      </c>
      <c r="AO34" s="3">
        <f>AM34</f>
        <v>71.151530281961001</v>
      </c>
      <c r="AS34" s="616">
        <f>AC34/$J$3-1</f>
        <v>1.0491640721204769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C13</f>
        <v>-0.10408231780376659</v>
      </c>
      <c r="W35" s="99">
        <f>D13</f>
        <v>9.0825648636003962</v>
      </c>
      <c r="X35" s="100">
        <f>E13</f>
        <v>190.71168798244662</v>
      </c>
      <c r="Y35" s="36">
        <f>C13-U29</f>
        <v>-0.17873191780376657</v>
      </c>
      <c r="Z35" s="28">
        <f t="shared" ref="Z35:Z40" si="10">(-W35+SQRT(W35^2-(4*Y35*X35)))/(2*Y35)</f>
        <v>-15.975352674624757</v>
      </c>
      <c r="AA35" s="29">
        <f t="shared" ref="AA35:AA41" si="11">(-W35-SQRT(W35^2-(4*Y35*X35)))/(2*Y35)</f>
        <v>66.792044931977074</v>
      </c>
      <c r="AB35" s="36">
        <f>AD6</f>
        <v>103.56426593475659</v>
      </c>
      <c r="AC35" s="53">
        <f t="shared" ref="AC35:AC41" si="12">IF(Z35&lt;0,AA35,IF(Z35&gt;AB35,AA35,Z35))</f>
        <v>66.792044931977074</v>
      </c>
      <c r="AD35" s="53">
        <f>V35*AC35^2+W35*AC35+X35</f>
        <v>333.02509845056841</v>
      </c>
      <c r="AE35" s="1433">
        <f t="shared" si="8"/>
        <v>94.472202783794728</v>
      </c>
      <c r="AG35" s="1466">
        <v>7</v>
      </c>
      <c r="AH35" s="917">
        <f>AC36</f>
        <v>57.062018451198732</v>
      </c>
      <c r="AI35" s="1424">
        <f>$H$65*AH35^2+$I$65*AH35+$J$65</f>
        <v>57.723929624313243</v>
      </c>
      <c r="AJ35" s="53">
        <f>$R$65*AH35^2+$S$65*AH35+$T$65</f>
        <v>72.501049290856074</v>
      </c>
      <c r="AL35">
        <v>8</v>
      </c>
      <c r="AM35" s="3">
        <f t="shared" si="9"/>
        <v>66.792044931977074</v>
      </c>
      <c r="AN35">
        <v>8</v>
      </c>
      <c r="AO35" s="3">
        <f>Q9*AN35+R9</f>
        <v>66.482166772023277</v>
      </c>
      <c r="AS35" t="s">
        <v>1114</v>
      </c>
      <c r="AV35" t="s">
        <v>1116</v>
      </c>
    </row>
    <row r="36" spans="21:49" x14ac:dyDescent="0.15">
      <c r="U36" s="35">
        <v>7</v>
      </c>
      <c r="V36" s="98">
        <f>C17</f>
        <v>-5.0910794856209869E-2</v>
      </c>
      <c r="W36" s="99">
        <f>D17</f>
        <v>2.3628269282974625</v>
      </c>
      <c r="X36" s="100">
        <f>E17</f>
        <v>274.00625702898395</v>
      </c>
      <c r="Y36" s="36">
        <f>C17-U29</f>
        <v>-0.12556039485620987</v>
      </c>
      <c r="Z36" s="28">
        <f t="shared" si="10"/>
        <v>-38.243768229834416</v>
      </c>
      <c r="AA36" s="29">
        <f t="shared" si="11"/>
        <v>57.062018451198732</v>
      </c>
      <c r="AB36" s="36">
        <f>AF6</f>
        <v>98.863748472513095</v>
      </c>
      <c r="AC36" s="53">
        <f t="shared" si="12"/>
        <v>57.062018451198732</v>
      </c>
      <c r="AD36" s="53">
        <f>V36*AC36^2+W36*AC36+X36</f>
        <v>243.06461791738732</v>
      </c>
      <c r="AE36" s="1433">
        <f t="shared" si="8"/>
        <v>64.49630470945867</v>
      </c>
      <c r="AG36" s="1466">
        <v>6</v>
      </c>
      <c r="AH36" s="917">
        <f>AC37</f>
        <v>48.328571135845706</v>
      </c>
      <c r="AI36" s="1424">
        <f>$H$70*AH36^2+$I$70*AH36+$J$70</f>
        <v>54.40325803379536</v>
      </c>
      <c r="AJ36" s="53">
        <f>$R$70*AH36^2+$S$70*AH36+$T$70</f>
        <v>68.744443083108393</v>
      </c>
      <c r="AL36">
        <v>7</v>
      </c>
      <c r="AM36" s="3">
        <f t="shared" si="9"/>
        <v>57.062018451198732</v>
      </c>
      <c r="AS36" s="609">
        <f>Tulokset_ENT!$CR$16</f>
        <v>41.666666666666664</v>
      </c>
      <c r="AT36" t="s">
        <v>13</v>
      </c>
      <c r="AV36" s="617">
        <f>IF($AS$36&gt;$AO$35,($AS$36-$R$10)/$Q$10,($AS$36-$R$9)/$Q$9)</f>
        <v>5.2490418193574158</v>
      </c>
      <c r="AW36" t="s">
        <v>25</v>
      </c>
    </row>
    <row r="37" spans="21:49" x14ac:dyDescent="0.15">
      <c r="U37" s="35">
        <v>6</v>
      </c>
      <c r="V37" s="98">
        <f>C20</f>
        <v>-5.345519740871111E-2</v>
      </c>
      <c r="W37" s="99">
        <f>D20</f>
        <v>2.0822147710169085</v>
      </c>
      <c r="X37" s="100">
        <f>E20</f>
        <v>198.57760633720039</v>
      </c>
      <c r="Y37" s="36">
        <f>C20-$U$29</f>
        <v>-0.12810479740871111</v>
      </c>
      <c r="Z37" s="28">
        <f t="shared" si="10"/>
        <v>-32.074575866849493</v>
      </c>
      <c r="AA37" s="29">
        <f t="shared" si="11"/>
        <v>48.328571135845706</v>
      </c>
      <c r="AB37" s="36">
        <f>AH6</f>
        <v>81.983013493976628</v>
      </c>
      <c r="AC37" s="467">
        <f t="shared" si="12"/>
        <v>48.328571135845706</v>
      </c>
      <c r="AD37" s="467">
        <f>V37*AC37^2+W37*AC37+X37</f>
        <v>174.35539706631084</v>
      </c>
      <c r="AE37" s="1433">
        <f t="shared" si="8"/>
        <v>41.842133145993223</v>
      </c>
      <c r="AG37" s="1466">
        <v>4</v>
      </c>
      <c r="AH37" s="917">
        <f>AC39</f>
        <v>30.635324500032763</v>
      </c>
      <c r="AI37" s="1424">
        <f>$H$75*AH37^2+$I$75*AH37+$J$75</f>
        <v>44.369804106420354</v>
      </c>
      <c r="AJ37" s="53">
        <f>$R$75*AH37^2+$S$75*AH37+$T$75</f>
        <v>58.689063800326942</v>
      </c>
      <c r="AL37">
        <v>6</v>
      </c>
      <c r="AM37" s="3">
        <f t="shared" si="9"/>
        <v>48.328571135845706</v>
      </c>
      <c r="AS37" s="609">
        <f>Tulokset_ENT!$CR$17</f>
        <v>107.99999999999999</v>
      </c>
      <c r="AT37" t="s">
        <v>14</v>
      </c>
    </row>
    <row r="38" spans="21:49" x14ac:dyDescent="0.15">
      <c r="U38" s="35">
        <v>5</v>
      </c>
      <c r="V38" s="98">
        <f>C23</f>
        <v>-5.2995838968433011E-2</v>
      </c>
      <c r="W38" s="99">
        <f t="shared" ref="W38:X38" si="13">D23</f>
        <v>1.498483418007283</v>
      </c>
      <c r="X38" s="100">
        <f t="shared" si="13"/>
        <v>139.25972320447949</v>
      </c>
      <c r="Y38" s="36">
        <f>C23-$U$29</f>
        <v>-0.127645438968433</v>
      </c>
      <c r="Z38" s="28">
        <f t="shared" si="10"/>
        <v>-27.677899908524168</v>
      </c>
      <c r="AA38" s="29">
        <f t="shared" si="11"/>
        <v>39.417319899690959</v>
      </c>
      <c r="AB38" s="36">
        <f>AJ6</f>
        <v>65.508263329639192</v>
      </c>
      <c r="AC38" s="467">
        <f t="shared" si="12"/>
        <v>39.417319899690959</v>
      </c>
      <c r="AD38" s="467">
        <f t="shared" ref="AD38:AD41" si="14">V38*AC38^2+W38*AC38+X38</f>
        <v>115.98495782772365</v>
      </c>
      <c r="AE38" s="1433">
        <f t="shared" si="8"/>
        <v>26.122565933674103</v>
      </c>
      <c r="AL38">
        <v>5</v>
      </c>
      <c r="AM38" s="3">
        <f t="shared" si="9"/>
        <v>39.417319899690959</v>
      </c>
    </row>
    <row r="39" spans="21:49" x14ac:dyDescent="0.15">
      <c r="U39" s="35">
        <v>4</v>
      </c>
      <c r="V39" s="98">
        <f>C26</f>
        <v>-5.6450823457149156E-2</v>
      </c>
      <c r="W39" s="99">
        <f t="shared" ref="W39:X39" si="15">D26</f>
        <v>1.1771822674537094</v>
      </c>
      <c r="X39" s="100">
        <f t="shared" si="15"/>
        <v>86.977416022035143</v>
      </c>
      <c r="Y39" s="36">
        <f>C26-$U$29</f>
        <v>-0.13110042345714915</v>
      </c>
      <c r="Z39" s="28">
        <f t="shared" si="10"/>
        <v>-21.656083728636798</v>
      </c>
      <c r="AA39" s="29">
        <f t="shared" si="11"/>
        <v>30.635324500032763</v>
      </c>
      <c r="AB39" s="36">
        <f>AL6</f>
        <v>48.797613651027639</v>
      </c>
      <c r="AC39" s="467">
        <f t="shared" si="12"/>
        <v>30.635324500032763</v>
      </c>
      <c r="AD39" s="467">
        <f t="shared" si="14"/>
        <v>70.060374544902331</v>
      </c>
      <c r="AE39" s="1433">
        <f t="shared" si="8"/>
        <v>15.350759423478946</v>
      </c>
      <c r="AL39">
        <v>4</v>
      </c>
      <c r="AM39" s="3">
        <f t="shared" si="9"/>
        <v>30.635324500032763</v>
      </c>
    </row>
    <row r="40" spans="21:49" x14ac:dyDescent="0.15">
      <c r="U40" s="35">
        <v>3</v>
      </c>
      <c r="V40" s="98">
        <f>C29</f>
        <v>-5.9966811135600998E-2</v>
      </c>
      <c r="W40" s="99">
        <f t="shared" ref="W40:X40" si="16">D29</f>
        <v>0.74137302696118745</v>
      </c>
      <c r="X40" s="100">
        <f t="shared" si="16"/>
        <v>46.300124169973344</v>
      </c>
      <c r="Y40" s="36">
        <f>C29-$U$29</f>
        <v>-0.13461641113560099</v>
      </c>
      <c r="Z40" s="28">
        <f t="shared" si="10"/>
        <v>-15.995316299198716</v>
      </c>
      <c r="AA40" s="29">
        <f t="shared" si="11"/>
        <v>21.502616788842523</v>
      </c>
      <c r="AB40" s="36">
        <f>AN6</f>
        <v>32.198829381813553</v>
      </c>
      <c r="AC40" s="1434">
        <f t="shared" si="12"/>
        <v>21.502616788842523</v>
      </c>
      <c r="AD40" s="1434">
        <f t="shared" si="14"/>
        <v>34.515177827505688</v>
      </c>
      <c r="AE40" s="1433">
        <f t="shared" si="8"/>
        <v>8.3782032004231191</v>
      </c>
      <c r="AL40">
        <v>3</v>
      </c>
      <c r="AM40" s="3">
        <f t="shared" si="9"/>
        <v>21.502616788842523</v>
      </c>
    </row>
    <row r="41" spans="21:49" x14ac:dyDescent="0.15">
      <c r="U41" s="38">
        <v>2</v>
      </c>
      <c r="V41" s="101">
        <f>C32</f>
        <v>-6.3406815061642571E-2</v>
      </c>
      <c r="W41" s="102">
        <f>D32</f>
        <v>0.19754018326988027</v>
      </c>
      <c r="X41" s="103">
        <f>E32</f>
        <v>18.148137493236938</v>
      </c>
      <c r="Y41" s="37">
        <f>C32-$U$29</f>
        <v>-0.13805641506164257</v>
      </c>
      <c r="Z41" s="30">
        <f>(-W41+SQRT(W41^2-(4*Y41*X41)))/(2*Y41)</f>
        <v>-10.772227837950451</v>
      </c>
      <c r="AA41" s="31">
        <f t="shared" si="11"/>
        <v>12.203093496613818</v>
      </c>
      <c r="AB41" s="37">
        <f>AN7</f>
        <v>28.017033069008061</v>
      </c>
      <c r="AC41" s="1434">
        <f t="shared" si="12"/>
        <v>12.203093496613818</v>
      </c>
      <c r="AD41" s="1434">
        <f t="shared" si="14"/>
        <v>11.116481828525544</v>
      </c>
      <c r="AE41" s="1433">
        <f t="shared" si="8"/>
        <v>4.7205667577077097</v>
      </c>
      <c r="AL41">
        <v>2</v>
      </c>
      <c r="AM41" s="3">
        <f t="shared" si="9"/>
        <v>12.203093496613818</v>
      </c>
    </row>
    <row r="42" spans="21:49" x14ac:dyDescent="0.15">
      <c r="U42" s="2" t="s">
        <v>35</v>
      </c>
      <c r="W42" t="s">
        <v>36</v>
      </c>
    </row>
    <row r="44" spans="21:49" x14ac:dyDescent="0.15">
      <c r="U44" s="74"/>
      <c r="V44" s="128"/>
      <c r="W44" s="75"/>
      <c r="X44" s="43">
        <v>63</v>
      </c>
      <c r="Y44" s="44">
        <v>125</v>
      </c>
      <c r="Z44" s="44">
        <v>250</v>
      </c>
      <c r="AA44" s="44">
        <v>500</v>
      </c>
      <c r="AB44" s="44">
        <v>1000</v>
      </c>
      <c r="AC44" s="44">
        <v>2000</v>
      </c>
      <c r="AD44" s="44">
        <v>4000</v>
      </c>
      <c r="AE44" s="45">
        <v>8000</v>
      </c>
      <c r="AG44" s="43">
        <v>63</v>
      </c>
      <c r="AH44" s="44">
        <v>125</v>
      </c>
      <c r="AI44" s="44">
        <v>250</v>
      </c>
      <c r="AJ44" s="44">
        <v>500</v>
      </c>
      <c r="AK44" s="44">
        <v>1000</v>
      </c>
      <c r="AL44" s="44">
        <v>2000</v>
      </c>
      <c r="AM44" s="44">
        <v>4000</v>
      </c>
      <c r="AN44" s="45">
        <v>8000</v>
      </c>
      <c r="AO44" t="s">
        <v>70</v>
      </c>
      <c r="AP44" t="s">
        <v>71</v>
      </c>
    </row>
    <row r="45" spans="21:49" x14ac:dyDescent="0.15">
      <c r="U45" s="10" t="s">
        <v>55</v>
      </c>
      <c r="V45" s="21">
        <v>8.6999999999999993</v>
      </c>
      <c r="W45" s="971">
        <f>ABS($W$9-V45)</f>
        <v>4.2207946205029545</v>
      </c>
      <c r="X45" s="1469">
        <v>12</v>
      </c>
      <c r="Y45" s="843">
        <v>12</v>
      </c>
      <c r="Z45" s="843">
        <v>6</v>
      </c>
      <c r="AA45" s="843">
        <v>-7</v>
      </c>
      <c r="AB45" s="843">
        <v>-13</v>
      </c>
      <c r="AC45" s="843">
        <v>-25</v>
      </c>
      <c r="AD45" s="843">
        <v>-35</v>
      </c>
      <c r="AE45" s="843">
        <v>-41</v>
      </c>
      <c r="AF45" s="39" t="s">
        <v>42</v>
      </c>
      <c r="AG45" s="53">
        <f>$W$5+X49</f>
        <v>63.174119801153246</v>
      </c>
      <c r="AH45" s="53">
        <f t="shared" ref="AH45:AN45" si="17">$W$5+Y49</f>
        <v>60.174119801153246</v>
      </c>
      <c r="AI45" s="53">
        <f t="shared" si="17"/>
        <v>51.174119801153246</v>
      </c>
      <c r="AJ45" s="53">
        <f t="shared" si="17"/>
        <v>39.174119801153246</v>
      </c>
      <c r="AK45" s="53">
        <f t="shared" si="17"/>
        <v>35.174119801153246</v>
      </c>
      <c r="AL45" s="53">
        <f t="shared" si="17"/>
        <v>21.174119801153246</v>
      </c>
      <c r="AM45" s="53">
        <f t="shared" si="17"/>
        <v>15.174119801153246</v>
      </c>
      <c r="AN45" s="53">
        <f t="shared" si="17"/>
        <v>21.174119801153246</v>
      </c>
      <c r="AO45" s="5">
        <f t="array" ref="AO45">10*LOG10(SUM(10^(AG45:AN45/10)))</f>
        <v>65.133091355659062</v>
      </c>
      <c r="AP45" s="5">
        <f t="array" ref="AP45">10*LOG10(SUM(10^((AG45:AN45+AG53:AN53)/10)))</f>
        <v>47.496373226370316</v>
      </c>
      <c r="AQ45" t="str">
        <f>IF(ABS(W5-AP45)&lt;0.5,"OK","Tarkista laskenta!")</f>
        <v>OK</v>
      </c>
    </row>
    <row r="46" spans="21:49" x14ac:dyDescent="0.15">
      <c r="U46" s="12"/>
      <c r="V46" s="24">
        <v>7</v>
      </c>
      <c r="W46" s="42">
        <f t="shared" ref="W46:W48" si="18">ABS($W$9-V46)</f>
        <v>2.5207946205029552</v>
      </c>
      <c r="X46" s="1469">
        <v>13</v>
      </c>
      <c r="Y46" s="843">
        <v>13</v>
      </c>
      <c r="Z46" s="843">
        <v>5</v>
      </c>
      <c r="AA46" s="843">
        <v>-7</v>
      </c>
      <c r="AB46" s="843">
        <v>-13</v>
      </c>
      <c r="AC46" s="843">
        <v>-26</v>
      </c>
      <c r="AD46" s="843">
        <v>-36</v>
      </c>
      <c r="AE46" s="843">
        <v>-39</v>
      </c>
    </row>
    <row r="47" spans="21:49" x14ac:dyDescent="0.15">
      <c r="U47" s="12"/>
      <c r="V47" s="24">
        <v>6</v>
      </c>
      <c r="W47" s="42">
        <f t="shared" si="18"/>
        <v>1.5207946205029552</v>
      </c>
      <c r="X47" s="1469">
        <v>16</v>
      </c>
      <c r="Y47" s="843">
        <v>13</v>
      </c>
      <c r="Z47" s="843">
        <v>5</v>
      </c>
      <c r="AA47" s="843">
        <v>-8</v>
      </c>
      <c r="AB47" s="843">
        <v>-12</v>
      </c>
      <c r="AC47" s="843">
        <v>-26</v>
      </c>
      <c r="AD47" s="843">
        <v>-37</v>
      </c>
      <c r="AE47" s="843">
        <v>-36</v>
      </c>
    </row>
    <row r="48" spans="21:49" x14ac:dyDescent="0.15">
      <c r="U48" s="14"/>
      <c r="V48" s="26">
        <v>4</v>
      </c>
      <c r="W48" s="972">
        <f t="shared" si="18"/>
        <v>0.47920537949704478</v>
      </c>
      <c r="X48" s="1470">
        <v>16</v>
      </c>
      <c r="Y48" s="844">
        <v>13</v>
      </c>
      <c r="Z48" s="844">
        <v>4</v>
      </c>
      <c r="AA48" s="844">
        <v>-8</v>
      </c>
      <c r="AB48" s="844">
        <v>-12</v>
      </c>
      <c r="AC48" s="844">
        <v>-26</v>
      </c>
      <c r="AD48" s="844">
        <v>-32</v>
      </c>
      <c r="AE48" s="844">
        <v>-26</v>
      </c>
    </row>
    <row r="49" spans="3:43" x14ac:dyDescent="0.15">
      <c r="V49" s="297" t="s">
        <v>2694</v>
      </c>
      <c r="W49" s="609">
        <f>SMALL(W45:W48,1)</f>
        <v>0.47920537949704478</v>
      </c>
      <c r="X49" s="43">
        <f>INDEX(X45:X48,MATCH($W$49,$W$45:$W$48,0))</f>
        <v>16</v>
      </c>
      <c r="Y49" s="43">
        <f t="shared" ref="Y49:AE49" si="19">INDEX(Y45:Y48,MATCH($W$49,$W$45:$W$48,0))</f>
        <v>13</v>
      </c>
      <c r="Z49" s="43">
        <f t="shared" si="19"/>
        <v>4</v>
      </c>
      <c r="AA49" s="43">
        <f t="shared" si="19"/>
        <v>-8</v>
      </c>
      <c r="AB49" s="43">
        <f t="shared" si="19"/>
        <v>-12</v>
      </c>
      <c r="AC49" s="43">
        <f t="shared" si="19"/>
        <v>-26</v>
      </c>
      <c r="AD49" s="43">
        <f t="shared" si="19"/>
        <v>-32</v>
      </c>
      <c r="AE49" s="43">
        <f t="shared" si="19"/>
        <v>-26</v>
      </c>
      <c r="AG49" s="73"/>
      <c r="AH49" s="73"/>
      <c r="AI49" s="73"/>
      <c r="AJ49" s="73"/>
      <c r="AK49" s="73"/>
      <c r="AL49" s="73"/>
      <c r="AM49" s="73"/>
      <c r="AN49" s="73"/>
    </row>
    <row r="51" spans="3:43" x14ac:dyDescent="0.15">
      <c r="U51" s="10" t="s">
        <v>56</v>
      </c>
      <c r="V51" s="21">
        <v>8.6999999999999993</v>
      </c>
      <c r="W51" s="971">
        <f>ABS($W$9-V51)</f>
        <v>4.2207946205029545</v>
      </c>
      <c r="X51" s="1469">
        <v>8</v>
      </c>
      <c r="Y51" s="843">
        <v>7</v>
      </c>
      <c r="Z51" s="843">
        <v>4</v>
      </c>
      <c r="AA51" s="843">
        <v>-2</v>
      </c>
      <c r="AB51" s="843">
        <v>-7</v>
      </c>
      <c r="AC51" s="843">
        <v>-11</v>
      </c>
      <c r="AD51" s="843">
        <v>-17</v>
      </c>
      <c r="AE51" s="843">
        <v>-25</v>
      </c>
      <c r="AF51" s="39" t="s">
        <v>43</v>
      </c>
      <c r="AG51" s="53">
        <f>$W$6+X55</f>
        <v>73.471394060510931</v>
      </c>
      <c r="AH51" s="53">
        <f t="shared" ref="AH51:AN51" si="20">$W$6+Y55</f>
        <v>68.471394060510931</v>
      </c>
      <c r="AI51" s="53">
        <f t="shared" si="20"/>
        <v>63.471394060510931</v>
      </c>
      <c r="AJ51" s="53">
        <f t="shared" si="20"/>
        <v>58.471394060510931</v>
      </c>
      <c r="AK51" s="53">
        <f t="shared" si="20"/>
        <v>56.471394060510931</v>
      </c>
      <c r="AL51" s="53">
        <f t="shared" si="20"/>
        <v>49.471394060510931</v>
      </c>
      <c r="AM51" s="53">
        <f t="shared" si="20"/>
        <v>40.471394060510931</v>
      </c>
      <c r="AN51" s="53">
        <f t="shared" si="20"/>
        <v>29.471394060510931</v>
      </c>
      <c r="AO51" s="5">
        <f t="array" ref="AO51">10*LOG10(SUM(10^(AG51:AN51/10)))</f>
        <v>75.151431619413117</v>
      </c>
      <c r="AP51" s="5">
        <f t="array" ref="AP51">10*LOG10(SUM(10^((AG51:AN51+AG53:AN53)/10)))</f>
        <v>61.598075995292021</v>
      </c>
      <c r="AQ51" t="str">
        <f>IF(ABS(W6-AP51)&lt;0.5,"OK","Tarkista laskenta!")</f>
        <v>OK</v>
      </c>
    </row>
    <row r="52" spans="3:43" x14ac:dyDescent="0.15">
      <c r="U52" s="12"/>
      <c r="V52" s="24">
        <v>7</v>
      </c>
      <c r="W52" s="42">
        <f t="shared" ref="W52:W54" si="21">ABS($W$9-V52)</f>
        <v>2.5207946205029552</v>
      </c>
      <c r="X52" s="1469">
        <v>10</v>
      </c>
      <c r="Y52" s="843">
        <v>7</v>
      </c>
      <c r="Z52" s="843">
        <v>4</v>
      </c>
      <c r="AA52" s="843">
        <v>-3</v>
      </c>
      <c r="AB52" s="843">
        <v>-7</v>
      </c>
      <c r="AC52" s="843">
        <v>-11</v>
      </c>
      <c r="AD52" s="843">
        <v>-18</v>
      </c>
      <c r="AE52" s="843">
        <v>-26</v>
      </c>
    </row>
    <row r="53" spans="3:43" x14ac:dyDescent="0.15">
      <c r="U53" s="12"/>
      <c r="V53" s="24">
        <v>6</v>
      </c>
      <c r="W53" s="42">
        <f t="shared" si="21"/>
        <v>1.5207946205029552</v>
      </c>
      <c r="X53" s="1469">
        <v>11</v>
      </c>
      <c r="Y53" s="843">
        <v>7</v>
      </c>
      <c r="Z53" s="843">
        <v>4</v>
      </c>
      <c r="AA53" s="843">
        <v>-3</v>
      </c>
      <c r="AB53" s="843">
        <v>-6</v>
      </c>
      <c r="AC53" s="843">
        <v>-11</v>
      </c>
      <c r="AD53" s="843">
        <v>-18</v>
      </c>
      <c r="AE53" s="843">
        <v>-27</v>
      </c>
      <c r="AG53" s="73">
        <v>-26.2</v>
      </c>
      <c r="AH53" s="73">
        <v>-16.100000000000001</v>
      </c>
      <c r="AI53" s="73">
        <v>-8.6</v>
      </c>
      <c r="AJ53" s="73">
        <v>-3.2</v>
      </c>
      <c r="AK53" s="73">
        <v>0</v>
      </c>
      <c r="AL53" s="73">
        <v>1.2</v>
      </c>
      <c r="AM53" s="73">
        <v>1</v>
      </c>
      <c r="AN53" s="73">
        <v>-1.1000000000000001</v>
      </c>
    </row>
    <row r="54" spans="3:43" x14ac:dyDescent="0.15">
      <c r="U54" s="14"/>
      <c r="V54" s="26">
        <v>4</v>
      </c>
      <c r="W54" s="972">
        <f t="shared" si="21"/>
        <v>0.47920537949704478</v>
      </c>
      <c r="X54" s="1470">
        <v>12</v>
      </c>
      <c r="Y54" s="844">
        <v>7</v>
      </c>
      <c r="Z54" s="844">
        <v>2</v>
      </c>
      <c r="AA54" s="844">
        <v>-3</v>
      </c>
      <c r="AB54" s="844">
        <v>-5</v>
      </c>
      <c r="AC54" s="844">
        <v>-12</v>
      </c>
      <c r="AD54" s="844">
        <v>-21</v>
      </c>
      <c r="AE54" s="844">
        <v>-32</v>
      </c>
    </row>
    <row r="55" spans="3:43" x14ac:dyDescent="0.15">
      <c r="V55" s="297" t="s">
        <v>2694</v>
      </c>
      <c r="W55" s="609">
        <f>SMALL(W51:W54,1)</f>
        <v>0.47920537949704478</v>
      </c>
      <c r="X55" s="43">
        <f>INDEX(X51:X54,MATCH($W$49,$W$45:$W$48,0))</f>
        <v>12</v>
      </c>
      <c r="Y55" s="43">
        <f t="shared" ref="Y55:AE55" si="22">INDEX(Y51:Y54,MATCH($W$49,$W$45:$W$48,0))</f>
        <v>7</v>
      </c>
      <c r="Z55" s="43">
        <f t="shared" si="22"/>
        <v>2</v>
      </c>
      <c r="AA55" s="43">
        <f t="shared" si="22"/>
        <v>-3</v>
      </c>
      <c r="AB55" s="43">
        <f t="shared" si="22"/>
        <v>-5</v>
      </c>
      <c r="AC55" s="43">
        <f t="shared" si="22"/>
        <v>-12</v>
      </c>
      <c r="AD55" s="43">
        <f t="shared" si="22"/>
        <v>-21</v>
      </c>
      <c r="AE55" s="43">
        <f t="shared" si="22"/>
        <v>-32</v>
      </c>
    </row>
    <row r="56" spans="3:43" x14ac:dyDescent="0.15">
      <c r="C56" s="2" t="s">
        <v>45</v>
      </c>
    </row>
    <row r="57" spans="3:43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</row>
    <row r="58" spans="3:43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595</v>
      </c>
      <c r="T58" s="24"/>
      <c r="W58" s="241" t="s">
        <v>2689</v>
      </c>
      <c r="AC58" s="2" t="s">
        <v>50</v>
      </c>
    </row>
    <row r="59" spans="3:43" x14ac:dyDescent="0.15">
      <c r="C59" s="10" t="s">
        <v>3</v>
      </c>
      <c r="D59" s="67">
        <v>98.742746590211411</v>
      </c>
      <c r="E59" s="68">
        <v>61.265531640187902</v>
      </c>
      <c r="F59" s="69">
        <v>116.21024435328435</v>
      </c>
      <c r="H59" t="s">
        <v>4</v>
      </c>
      <c r="I59" t="s">
        <v>5</v>
      </c>
      <c r="K59" s="24"/>
      <c r="M59" s="10" t="s">
        <v>3</v>
      </c>
      <c r="N59" s="67">
        <v>98.652487497614416</v>
      </c>
      <c r="O59" s="68">
        <v>77.93610461192263</v>
      </c>
      <c r="P59" s="69">
        <v>116.5274562748061</v>
      </c>
      <c r="R59" t="s">
        <v>4</v>
      </c>
      <c r="S59" t="s">
        <v>5</v>
      </c>
      <c r="T59" s="24" t="s">
        <v>6</v>
      </c>
      <c r="X59" s="4" t="s">
        <v>4</v>
      </c>
      <c r="Y59" s="4" t="s">
        <v>5</v>
      </c>
      <c r="Z59" s="4" t="s">
        <v>6</v>
      </c>
      <c r="AD59" s="4" t="s">
        <v>4</v>
      </c>
      <c r="AE59" s="4" t="s">
        <v>5</v>
      </c>
      <c r="AF59" s="4" t="s">
        <v>6</v>
      </c>
    </row>
    <row r="60" spans="3:43" x14ac:dyDescent="0.15">
      <c r="C60" s="12"/>
      <c r="D60" s="67">
        <v>91.307230306676516</v>
      </c>
      <c r="E60" s="68">
        <v>62.209822222790692</v>
      </c>
      <c r="F60" s="69">
        <v>115.03221834091013</v>
      </c>
      <c r="H60" s="2">
        <f t="array" ref="H60:J60">LINEST(E59:E62,D59:D62^{1,2})</f>
        <v>-1.5869900074473315E-3</v>
      </c>
      <c r="I60" s="2">
        <v>0.25239613059470506</v>
      </c>
      <c r="J60" s="2">
        <v>51.97298409150973</v>
      </c>
      <c r="K60" s="24"/>
      <c r="M60" s="12"/>
      <c r="N60" s="67">
        <v>91.691329274443603</v>
      </c>
      <c r="O60" s="68">
        <v>77.444489766490562</v>
      </c>
      <c r="P60" s="69">
        <v>116.11077717775966</v>
      </c>
      <c r="R60" s="2">
        <f t="array" ref="R60:T60">LINEST(O59:O62,N59:N62^{1,2})</f>
        <v>1.9767571418684202E-3</v>
      </c>
      <c r="S60" s="2">
        <v>-0.30796909225502123</v>
      </c>
      <c r="T60" s="27">
        <v>89.074584308638563</v>
      </c>
      <c r="W60" s="2">
        <v>10</v>
      </c>
      <c r="X60" s="7">
        <f t="array" ref="X60:Z60">LINEST(I86:I95,C86:C95^{1,2})</f>
        <v>-3.723574726091862E-2</v>
      </c>
      <c r="Y60" s="7">
        <v>-4.6867453260920282</v>
      </c>
      <c r="Z60" s="7">
        <v>899.89317716964842</v>
      </c>
      <c r="AC60" t="s">
        <v>3</v>
      </c>
      <c r="AD60" s="54">
        <f t="array" ref="AD60:AF60">LINEST(K86:K102,C86:C102^{1,2})</f>
        <v>-3.2524659663453644E-3</v>
      </c>
      <c r="AE60" s="54">
        <v>0.6697971664420288</v>
      </c>
      <c r="AF60" s="54">
        <v>82.257428721525883</v>
      </c>
    </row>
    <row r="61" spans="3:43" ht="13.5" customHeight="1" x14ac:dyDescent="0.15">
      <c r="C61" s="12"/>
      <c r="D61" s="67">
        <v>82.853756230402922</v>
      </c>
      <c r="E61" s="68">
        <v>61.599338678817837</v>
      </c>
      <c r="F61" s="69">
        <v>113.87960125221184</v>
      </c>
      <c r="K61" s="24"/>
      <c r="M61" s="12"/>
      <c r="N61" s="67">
        <v>81.263362550605734</v>
      </c>
      <c r="O61" s="68">
        <v>77.111012956821682</v>
      </c>
      <c r="P61" s="69">
        <v>115.11642203590731</v>
      </c>
      <c r="T61" s="24"/>
      <c r="W61" s="2">
        <v>8</v>
      </c>
      <c r="X61" s="7">
        <f t="array" ref="X61:Z61">LINEST(I106:I115,C106:C115^{1,2})</f>
        <v>-0.10408231780376659</v>
      </c>
      <c r="Y61" s="7">
        <v>9.0825648636003962</v>
      </c>
      <c r="Z61" s="7">
        <v>190.71168798244662</v>
      </c>
      <c r="AC61" t="s">
        <v>408</v>
      </c>
      <c r="AD61" s="54">
        <f t="array" ref="AD61:AF61">LINEST(K110:K116,C110:C116^{1,2})</f>
        <v>1.5610007742922619E-3</v>
      </c>
      <c r="AE61" s="54">
        <v>0.85767953590354917</v>
      </c>
      <c r="AF61" s="54">
        <v>30.222131517701804</v>
      </c>
    </row>
    <row r="62" spans="3:43" x14ac:dyDescent="0.15">
      <c r="C62" s="14"/>
      <c r="D62" s="67">
        <v>74.241934545069</v>
      </c>
      <c r="E62" s="68">
        <v>62.089800135990373</v>
      </c>
      <c r="F62" s="69">
        <v>112.12193536557662</v>
      </c>
      <c r="K62" s="24"/>
      <c r="M62" s="14"/>
      <c r="N62" s="67">
        <v>71.053550839244878</v>
      </c>
      <c r="O62" s="68">
        <v>77.169274378833549</v>
      </c>
      <c r="P62" s="69">
        <v>114.40508998907229</v>
      </c>
      <c r="T62" s="24"/>
      <c r="W62" s="2">
        <v>7</v>
      </c>
      <c r="X62" s="7">
        <f t="array" ref="X62:Z62">LINEST(I120:I128,C120:C128^{1,2})</f>
        <v>-5.0910794856209869E-2</v>
      </c>
      <c r="Y62" s="7">
        <v>2.3628269282974625</v>
      </c>
      <c r="Z62" s="7">
        <v>274.00625702898395</v>
      </c>
      <c r="AC62" t="s">
        <v>2673</v>
      </c>
      <c r="AD62" s="54">
        <f t="array" ref="AD62:AF62">LINEST(K120:K134,C120:C134^{1,2})</f>
        <v>2.2193328023320368E-3</v>
      </c>
      <c r="AE62" s="54">
        <v>0.58162681287622731</v>
      </c>
      <c r="AF62" s="54">
        <v>24.081193057960071</v>
      </c>
    </row>
    <row r="63" spans="3:43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2">
        <v>6</v>
      </c>
      <c r="X63" s="7">
        <f t="array" ref="X63:Z63">LINEST(I138:I147,C138:C147^{1,2})</f>
        <v>-5.345519740871111E-2</v>
      </c>
      <c r="Y63" s="7">
        <v>2.0822147710169085</v>
      </c>
      <c r="Z63" s="7">
        <v>198.57760633720039</v>
      </c>
      <c r="AC63" t="s">
        <v>411</v>
      </c>
      <c r="AD63" s="54">
        <f t="array" ref="AD63:AF63">LINEST(K138:K153,C138:C153^{1,2})</f>
        <v>2.060251488830895E-3</v>
      </c>
      <c r="AE63" s="54">
        <v>0.4132037032112435</v>
      </c>
      <c r="AF63" s="54">
        <v>17.060560568320753</v>
      </c>
    </row>
    <row r="64" spans="3:43" x14ac:dyDescent="0.15">
      <c r="C64" s="10" t="s">
        <v>2673</v>
      </c>
      <c r="D64" s="67">
        <v>94.190053945822427</v>
      </c>
      <c r="E64" s="68">
        <v>59.705673498474269</v>
      </c>
      <c r="F64" s="69">
        <v>98.661858881069861</v>
      </c>
      <c r="H64" t="s">
        <v>4</v>
      </c>
      <c r="I64" t="s">
        <v>5</v>
      </c>
      <c r="K64" s="24"/>
      <c r="M64" s="10" t="s">
        <v>2673</v>
      </c>
      <c r="N64" s="67">
        <v>93.684238593623874</v>
      </c>
      <c r="O64" s="68">
        <v>76.373501407128956</v>
      </c>
      <c r="P64" s="69">
        <v>97.143807702138176</v>
      </c>
      <c r="R64" t="s">
        <v>4</v>
      </c>
      <c r="S64" t="s">
        <v>5</v>
      </c>
      <c r="T64" s="24" t="s">
        <v>6</v>
      </c>
      <c r="W64" s="2">
        <v>5</v>
      </c>
      <c r="X64" s="7">
        <f t="array" ref="X64:Z64">LINEST(I157:I164,C157:C164^{1,2})</f>
        <v>-5.2995838968433011E-2</v>
      </c>
      <c r="Y64" s="7">
        <v>1.498483418007283</v>
      </c>
      <c r="Z64" s="7">
        <v>139.25972320447949</v>
      </c>
      <c r="AC64" t="s">
        <v>10</v>
      </c>
      <c r="AD64" s="54">
        <f t="array" ref="AD64:AF64">LINEST(K157:K164,C157:C164^{1,2})</f>
        <v>1.6454534947341814E-3</v>
      </c>
      <c r="AE64" s="54">
        <v>0.29441752449449399</v>
      </c>
      <c r="AF64" s="54">
        <v>11.960833777661986</v>
      </c>
    </row>
    <row r="65" spans="3:32" x14ac:dyDescent="0.15">
      <c r="C65" s="12"/>
      <c r="D65" s="67">
        <v>84.079536443313629</v>
      </c>
      <c r="E65" s="68">
        <v>59.796816837604069</v>
      </c>
      <c r="F65" s="69">
        <v>86.695619421533181</v>
      </c>
      <c r="H65" s="2">
        <f t="array" ref="H65:J65">LINEST(E64:E67,D64:D67^{1,2})</f>
        <v>-4.0553283714940319E-4</v>
      </c>
      <c r="I65" s="2">
        <v>0.11941017792250978</v>
      </c>
      <c r="J65" s="2">
        <v>52.230588755238287</v>
      </c>
      <c r="K65" s="24"/>
      <c r="M65" s="12"/>
      <c r="N65" s="67">
        <v>84.938969521756022</v>
      </c>
      <c r="O65" s="68">
        <v>74.854988684210909</v>
      </c>
      <c r="P65" s="69">
        <v>86.483732412262924</v>
      </c>
      <c r="R65" s="2">
        <f t="array" ref="R65:T65">LINEST(O64:O67,N64:N67^{1,2})</f>
        <v>1.5614276710530961E-3</v>
      </c>
      <c r="S65" s="2">
        <v>-0.13186180809440309</v>
      </c>
      <c r="T65" s="27">
        <v>74.941226253251656</v>
      </c>
      <c r="W65" s="2">
        <v>4</v>
      </c>
      <c r="X65" s="7">
        <f t="array" ref="X65:Z65">LINEST(I168:I175,C168:C175^{1,2})</f>
        <v>-5.6450823457149156E-2</v>
      </c>
      <c r="Y65" s="7">
        <v>1.1771822674537094</v>
      </c>
      <c r="Z65" s="7">
        <v>86.977416022035143</v>
      </c>
      <c r="AC65" t="s">
        <v>409</v>
      </c>
      <c r="AD65" s="54">
        <f t="array" ref="AD65:AF65">LINEST(K168:K179,C168:C179^{1,2})</f>
        <v>9.1320250684533437E-4</v>
      </c>
      <c r="AE65" s="54">
        <v>0.21348217594901348</v>
      </c>
      <c r="AF65" s="54">
        <v>7.953602034060145</v>
      </c>
    </row>
    <row r="66" spans="3:32" x14ac:dyDescent="0.15">
      <c r="C66" s="12"/>
      <c r="D66" s="67">
        <v>69.435413257497288</v>
      </c>
      <c r="E66" s="68">
        <v>58.255891169795191</v>
      </c>
      <c r="F66" s="69">
        <v>76.36872224980641</v>
      </c>
      <c r="K66" s="24"/>
      <c r="M66" s="12"/>
      <c r="N66" s="67">
        <v>67.236714157684546</v>
      </c>
      <c r="O66" s="68">
        <v>73.232404836893735</v>
      </c>
      <c r="P66" s="69">
        <v>74.070932265823956</v>
      </c>
      <c r="T66" s="24"/>
      <c r="W66" s="2">
        <v>3</v>
      </c>
      <c r="X66" s="7">
        <f t="array" ref="X66:Z66">LINEST(I183:I187,C183:C187^{1,2})</f>
        <v>-5.9966811135600998E-2</v>
      </c>
      <c r="Y66" s="7">
        <v>0.74137302696118745</v>
      </c>
      <c r="Z66" s="7">
        <v>46.300124169973344</v>
      </c>
      <c r="AC66" t="s">
        <v>12</v>
      </c>
      <c r="AD66" s="54">
        <f t="array" ref="AD66:AF66">LINEST(K183:K187,C183:C187^{1,2})</f>
        <v>1.0529165371742438E-3</v>
      </c>
      <c r="AE66" s="54">
        <v>0.100601772299414</v>
      </c>
      <c r="AF66" s="54">
        <v>5.7281726896810952</v>
      </c>
    </row>
    <row r="67" spans="3:32" x14ac:dyDescent="0.15">
      <c r="C67" s="14"/>
      <c r="D67" s="67">
        <v>53.784361557743459</v>
      </c>
      <c r="E67" s="68">
        <v>57.571924509460288</v>
      </c>
      <c r="F67" s="69">
        <v>66.938060307139878</v>
      </c>
      <c r="K67" s="24"/>
      <c r="M67" s="14"/>
      <c r="N67" s="67">
        <v>48.914015326659239</v>
      </c>
      <c r="O67" s="68">
        <v>72.198652001358937</v>
      </c>
      <c r="P67" s="69">
        <v>63.873282244398268</v>
      </c>
      <c r="T67" s="24"/>
      <c r="W67" s="2">
        <v>2</v>
      </c>
      <c r="X67" s="7">
        <f t="array" ref="X67:Z67">LINEST(I191:I193,C191:C193^{1,2})</f>
        <v>-6.3406815061642571E-2</v>
      </c>
      <c r="Y67" s="7">
        <v>0.19754018326988027</v>
      </c>
      <c r="Z67" s="7">
        <v>18.148137493236938</v>
      </c>
      <c r="AC67" t="s">
        <v>410</v>
      </c>
      <c r="AD67" s="54">
        <f t="array" ref="AD67:AF67">LINEST(K191:K193,C191:C193^{1,2})</f>
        <v>1.2052533555816345E-3</v>
      </c>
      <c r="AE67" s="54">
        <v>3.2854437083050053E-2</v>
      </c>
      <c r="AF67" s="54">
        <v>4.1401600951148723</v>
      </c>
    </row>
    <row r="68" spans="3:32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</row>
    <row r="69" spans="3:32" x14ac:dyDescent="0.15">
      <c r="C69" s="10" t="s">
        <v>411</v>
      </c>
      <c r="D69" s="67">
        <v>78.286672626886102</v>
      </c>
      <c r="E69" s="68">
        <v>55.730044858160277</v>
      </c>
      <c r="F69" s="69">
        <v>61.834991560803509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78.629009779933412</v>
      </c>
      <c r="O69" s="68">
        <v>72.305242314882378</v>
      </c>
      <c r="P69" s="69">
        <v>62.705350004708741</v>
      </c>
      <c r="R69" t="s">
        <v>4</v>
      </c>
      <c r="S69" t="s">
        <v>5</v>
      </c>
      <c r="T69" s="24" t="s">
        <v>6</v>
      </c>
    </row>
    <row r="70" spans="3:32" x14ac:dyDescent="0.15">
      <c r="C70" s="12"/>
      <c r="D70" s="67">
        <v>70.13631814653786</v>
      </c>
      <c r="E70" s="68">
        <v>56.062204993388313</v>
      </c>
      <c r="F70" s="69">
        <v>55.197267659479841</v>
      </c>
      <c r="H70" s="2">
        <f t="array" ref="H70:J70">LINEST(E69:E72,D69:D72^{1,2})</f>
        <v>6.2013721464693335E-4</v>
      </c>
      <c r="I70" s="2">
        <v>-2.5387851361095892E-2</v>
      </c>
      <c r="J70" s="2">
        <v>54.181792640207973</v>
      </c>
      <c r="K70" s="24"/>
      <c r="M70" s="12"/>
      <c r="N70" s="67">
        <v>70.86179174027356</v>
      </c>
      <c r="O70" s="68">
        <v>70.929871069723376</v>
      </c>
      <c r="P70" s="69">
        <v>55.250037167637878</v>
      </c>
      <c r="R70" s="2">
        <f t="array" ref="R70:T70">LINEST(O69:O72,N69:N72^{1,2})</f>
        <v>1.9935214981797469E-3</v>
      </c>
      <c r="S70" s="2">
        <v>-0.1369557887646132</v>
      </c>
      <c r="T70" s="27">
        <v>70.70715060470161</v>
      </c>
    </row>
    <row r="71" spans="3:32" x14ac:dyDescent="0.15">
      <c r="C71" s="12"/>
      <c r="D71" s="67">
        <v>58.92131648445168</v>
      </c>
      <c r="E71" s="68">
        <v>54.362652724338176</v>
      </c>
      <c r="F71" s="69">
        <v>49.394813375094301</v>
      </c>
      <c r="K71" s="24"/>
      <c r="M71" s="12"/>
      <c r="N71" s="67">
        <v>56.953288719972342</v>
      </c>
      <c r="O71" s="68">
        <v>69.430318017613317</v>
      </c>
      <c r="P71" s="69">
        <v>47.631701083523424</v>
      </c>
      <c r="T71" s="24"/>
    </row>
    <row r="72" spans="3:32" x14ac:dyDescent="0.15">
      <c r="C72" s="14"/>
      <c r="D72" s="67">
        <v>45.778382609119895</v>
      </c>
      <c r="E72" s="68">
        <v>54.449785231889216</v>
      </c>
      <c r="F72" s="69">
        <v>43.392466041452437</v>
      </c>
      <c r="K72" s="24"/>
      <c r="M72" s="14"/>
      <c r="N72" s="67">
        <v>41.878833404632474</v>
      </c>
      <c r="O72" s="68">
        <v>68.451805138444385</v>
      </c>
      <c r="P72" s="69">
        <v>41.748943278383145</v>
      </c>
      <c r="T72" s="24"/>
    </row>
    <row r="73" spans="3:32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</row>
    <row r="74" spans="3:32" x14ac:dyDescent="0.15">
      <c r="C74" s="10" t="s">
        <v>409</v>
      </c>
      <c r="D74" s="67">
        <v>48.102429720469871</v>
      </c>
      <c r="E74" s="68">
        <v>45.556998303940148</v>
      </c>
      <c r="F74" s="69">
        <v>20.519391977210955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48.308451150254491</v>
      </c>
      <c r="O74" s="68">
        <v>61.383090130980236</v>
      </c>
      <c r="P74" s="69">
        <v>20.794763782396601</v>
      </c>
      <c r="R74" t="s">
        <v>4</v>
      </c>
      <c r="S74" t="s">
        <v>5</v>
      </c>
      <c r="T74" s="24" t="s">
        <v>6</v>
      </c>
    </row>
    <row r="75" spans="3:32" ht="15.75" customHeight="1" x14ac:dyDescent="0.15">
      <c r="C75" s="12"/>
      <c r="D75" s="67">
        <v>43.402594673017632</v>
      </c>
      <c r="E75" s="68">
        <v>45.29870597031541</v>
      </c>
      <c r="F75" s="69">
        <v>18.794457888074728</v>
      </c>
      <c r="H75" s="2">
        <f t="array" ref="H75:J75">LINEST(E74:E77,D74:D77^{1,2})</f>
        <v>7.6180118277779875E-4</v>
      </c>
      <c r="I75" s="2">
        <v>9.997751628399722E-3</v>
      </c>
      <c r="J75" s="2">
        <v>43.348551727867346</v>
      </c>
      <c r="K75" s="24"/>
      <c r="M75" s="12"/>
      <c r="N75" s="67">
        <v>43.742563491964916</v>
      </c>
      <c r="O75" s="68">
        <v>60.335167484587622</v>
      </c>
      <c r="P75" s="69">
        <v>18.728323193390299</v>
      </c>
      <c r="R75" s="2">
        <f t="array" ref="R75:T75">LINEST(O74:O77,N74:N77^{1,2})</f>
        <v>5.1380988824727709E-3</v>
      </c>
      <c r="S75" s="2">
        <v>-0.25409322094515385</v>
      </c>
      <c r="T75" s="27">
        <v>61.651067548846441</v>
      </c>
    </row>
    <row r="76" spans="3:32" x14ac:dyDescent="0.15">
      <c r="C76" s="12"/>
      <c r="D76" s="67">
        <v>37.059545515229644</v>
      </c>
      <c r="E76" s="68">
        <v>44.703669707368292</v>
      </c>
      <c r="F76" s="69">
        <v>17.429035529323933</v>
      </c>
      <c r="K76" s="24"/>
      <c r="M76" s="12"/>
      <c r="N76" s="67">
        <v>36.047788278297979</v>
      </c>
      <c r="O76" s="68">
        <v>59.190493799307653</v>
      </c>
      <c r="P76" s="69">
        <v>16.810299124934843</v>
      </c>
      <c r="T76" s="24"/>
    </row>
    <row r="77" spans="3:32" x14ac:dyDescent="0.15">
      <c r="C77" s="14"/>
      <c r="D77" s="67">
        <v>28.980933579546868</v>
      </c>
      <c r="E77" s="68">
        <v>44.293790386380152</v>
      </c>
      <c r="F77" s="69">
        <v>15.644540282791711</v>
      </c>
      <c r="G77" s="25"/>
      <c r="H77" s="25"/>
      <c r="I77" s="25"/>
      <c r="J77" s="25"/>
      <c r="K77" s="26"/>
      <c r="M77" s="14"/>
      <c r="N77" s="67">
        <v>26.870389836662625</v>
      </c>
      <c r="O77" s="68">
        <v>58.527477243791985</v>
      </c>
      <c r="P77" s="69">
        <v>15.213662513524133</v>
      </c>
      <c r="Q77" s="25"/>
      <c r="R77" s="25"/>
      <c r="S77" s="25"/>
      <c r="T77" s="26"/>
    </row>
    <row r="79" spans="3:32" x14ac:dyDescent="0.15">
      <c r="F79" s="5"/>
    </row>
    <row r="81" spans="2:13" x14ac:dyDescent="0.15">
      <c r="F81" s="5"/>
    </row>
    <row r="82" spans="2:13" x14ac:dyDescent="0.15">
      <c r="C82" s="2" t="s">
        <v>2690</v>
      </c>
    </row>
    <row r="83" spans="2:13" ht="13.5" customHeight="1" x14ac:dyDescent="0.15">
      <c r="C83" s="1826" t="s">
        <v>3</v>
      </c>
      <c r="D83" s="1826"/>
      <c r="E83" s="1826"/>
      <c r="F83" s="1826"/>
      <c r="G83" s="1826"/>
      <c r="H83" s="1826"/>
      <c r="I83" s="1826"/>
      <c r="J83" s="1826"/>
      <c r="K83" s="1826"/>
      <c r="L83" s="1826"/>
      <c r="M83" s="1826"/>
    </row>
    <row r="84" spans="2:13" ht="42" x14ac:dyDescent="0.15">
      <c r="C84" s="1435" t="s">
        <v>2678</v>
      </c>
      <c r="D84" s="1435" t="s">
        <v>2679</v>
      </c>
      <c r="E84" s="1435" t="s">
        <v>2680</v>
      </c>
      <c r="F84" s="1435" t="s">
        <v>2681</v>
      </c>
      <c r="G84" s="1435" t="s">
        <v>2682</v>
      </c>
      <c r="H84" s="1435" t="s">
        <v>2683</v>
      </c>
      <c r="I84" s="1435" t="s">
        <v>2686</v>
      </c>
      <c r="J84" s="1435" t="s">
        <v>2684</v>
      </c>
      <c r="K84" s="1435" t="s">
        <v>2685</v>
      </c>
      <c r="L84" s="1435" t="s">
        <v>2687</v>
      </c>
      <c r="M84" s="1435" t="s">
        <v>2688</v>
      </c>
    </row>
    <row r="85" spans="2:13" x14ac:dyDescent="0.15">
      <c r="C85" s="67">
        <v>21.614526689891914</v>
      </c>
      <c r="D85" s="67">
        <v>1.7613100878274561</v>
      </c>
      <c r="E85" s="67">
        <v>1.7613100878274561</v>
      </c>
      <c r="F85" s="67">
        <v>584.80513325703646</v>
      </c>
      <c r="G85" s="67">
        <v>-284.08439457117191</v>
      </c>
      <c r="H85" s="67">
        <v>300.76424757144861</v>
      </c>
      <c r="I85" s="67">
        <v>584.84864214262052</v>
      </c>
      <c r="J85" s="67">
        <v>582.98731420733088</v>
      </c>
      <c r="K85" s="67">
        <v>78.146310751985936</v>
      </c>
      <c r="L85" s="67">
        <v>3620</v>
      </c>
      <c r="M85" s="67">
        <v>3.6154532492507112</v>
      </c>
    </row>
    <row r="86" spans="2:13" x14ac:dyDescent="0.15">
      <c r="C86" s="67">
        <v>52.935794480610994</v>
      </c>
      <c r="D86" s="67">
        <v>4.3135965993399861</v>
      </c>
      <c r="E86" s="67">
        <v>4.3135965993399861</v>
      </c>
      <c r="F86" s="67">
        <v>542.640964446309</v>
      </c>
      <c r="G86" s="67">
        <v>-257.91519984200988</v>
      </c>
      <c r="H86" s="67">
        <v>284.72747516758307</v>
      </c>
      <c r="I86" s="67">
        <v>542.64267500959295</v>
      </c>
      <c r="J86" s="67">
        <v>531.47840563649049</v>
      </c>
      <c r="K86" s="67">
        <v>107.1717419780138</v>
      </c>
      <c r="L86" s="67">
        <v>3435</v>
      </c>
      <c r="M86" s="67">
        <v>2.0245609427335225</v>
      </c>
    </row>
    <row r="87" spans="2:13" x14ac:dyDescent="0.15">
      <c r="C87" s="67">
        <v>60.196416414121977</v>
      </c>
      <c r="D87" s="67">
        <v>4.9052453011075166</v>
      </c>
      <c r="E87" s="67">
        <v>4.9052453011075166</v>
      </c>
      <c r="F87" s="67">
        <v>487.02719907906192</v>
      </c>
      <c r="G87" s="67">
        <v>-228.18002977161933</v>
      </c>
      <c r="H87" s="67">
        <v>258.83857278191107</v>
      </c>
      <c r="I87" s="67">
        <v>487.0186025535304</v>
      </c>
      <c r="J87" s="67">
        <v>472.58174367510799</v>
      </c>
      <c r="K87" s="67">
        <v>111.86402712305474</v>
      </c>
      <c r="L87" s="67">
        <v>3333.3333333333335</v>
      </c>
      <c r="M87" s="67">
        <v>1.8583170525216122</v>
      </c>
    </row>
    <row r="88" spans="2:13" x14ac:dyDescent="0.15">
      <c r="C88" s="67">
        <v>66.850049956983753</v>
      </c>
      <c r="D88" s="67">
        <v>5.4474321390561844</v>
      </c>
      <c r="E88" s="67">
        <v>5.4474321390561844</v>
      </c>
      <c r="F88" s="67">
        <v>424.32853627377204</v>
      </c>
      <c r="G88" s="67">
        <v>-196.17183916674418</v>
      </c>
      <c r="H88" s="67">
        <v>228.13177047434243</v>
      </c>
      <c r="I88" s="67">
        <v>424.30360964108661</v>
      </c>
      <c r="J88" s="67">
        <v>406.49889949531325</v>
      </c>
      <c r="K88" s="67">
        <v>114.05230252357103</v>
      </c>
      <c r="L88" s="67">
        <v>3253.3333333333335</v>
      </c>
      <c r="M88" s="67">
        <v>1.7060915077394958</v>
      </c>
    </row>
    <row r="89" spans="2:13" x14ac:dyDescent="0.15">
      <c r="C89" s="67">
        <v>72.092515518762838</v>
      </c>
      <c r="D89" s="67">
        <v>5.8746266648270238</v>
      </c>
      <c r="E89" s="67">
        <v>5.8746266648270238</v>
      </c>
      <c r="F89" s="67">
        <v>367.98954559371833</v>
      </c>
      <c r="G89" s="67">
        <v>-172.91088304571173</v>
      </c>
      <c r="H89" s="67">
        <v>195.01345114337914</v>
      </c>
      <c r="I89" s="67">
        <v>367.92433418909087</v>
      </c>
      <c r="J89" s="67">
        <v>347.21759111843289</v>
      </c>
      <c r="K89" s="67">
        <v>115.20550247884994</v>
      </c>
      <c r="L89" s="67">
        <v>3180</v>
      </c>
      <c r="M89" s="67">
        <v>1.5980230631412284</v>
      </c>
    </row>
    <row r="90" spans="2:13" x14ac:dyDescent="0.15">
      <c r="C90" s="67">
        <v>78.430238209908183</v>
      </c>
      <c r="D90" s="67">
        <v>6.3910707706786472</v>
      </c>
      <c r="E90" s="67">
        <v>6.3910707706786472</v>
      </c>
      <c r="F90" s="67">
        <v>304.88207316610732</v>
      </c>
      <c r="G90" s="67">
        <v>-128.86591032112594</v>
      </c>
      <c r="H90" s="67">
        <v>176.00120338061569</v>
      </c>
      <c r="I90" s="67">
        <v>304.86711370174163</v>
      </c>
      <c r="J90" s="67">
        <v>280.35964234424785</v>
      </c>
      <c r="K90" s="67">
        <v>115.33462837521566</v>
      </c>
      <c r="L90" s="67">
        <v>3066.6666666666665</v>
      </c>
      <c r="M90" s="67">
        <v>1.4705377799126116</v>
      </c>
    </row>
    <row r="91" spans="2:13" x14ac:dyDescent="0.15">
      <c r="C91" s="67">
        <v>83.705668780180915</v>
      </c>
      <c r="D91" s="67">
        <v>6.8209515270035119</v>
      </c>
      <c r="E91" s="67">
        <v>6.8209515270035119</v>
      </c>
      <c r="F91" s="67">
        <v>245.91857633332859</v>
      </c>
      <c r="G91" s="67">
        <v>-91.277492575142361</v>
      </c>
      <c r="H91" s="67">
        <v>154.64526289734272</v>
      </c>
      <c r="I91" s="67">
        <v>245.92275547248508</v>
      </c>
      <c r="J91" s="67">
        <v>218.00752763224617</v>
      </c>
      <c r="K91" s="67">
        <v>115.89167490537216</v>
      </c>
      <c r="L91" s="67">
        <v>2986.6666666666665</v>
      </c>
      <c r="M91" s="67">
        <v>1.3845140549526553</v>
      </c>
    </row>
    <row r="92" spans="2:13" x14ac:dyDescent="0.15">
      <c r="C92" s="67">
        <v>88.850876918216699</v>
      </c>
      <c r="D92" s="67">
        <v>7.240220804906893</v>
      </c>
      <c r="E92" s="67">
        <v>7.240220804906893</v>
      </c>
      <c r="F92" s="67">
        <v>184.48556975373617</v>
      </c>
      <c r="G92" s="67">
        <v>-53.814142213620244</v>
      </c>
      <c r="H92" s="67">
        <v>130.68223303631169</v>
      </c>
      <c r="I92" s="67">
        <v>184.49637524993193</v>
      </c>
      <c r="J92" s="67">
        <v>153.04389686764796</v>
      </c>
      <c r="K92" s="67">
        <v>116.43062639071822</v>
      </c>
      <c r="L92" s="67">
        <v>2920</v>
      </c>
      <c r="M92" s="67">
        <v>1.3104049214718214</v>
      </c>
    </row>
    <row r="93" spans="2:13" ht="13.5" customHeight="1" x14ac:dyDescent="0.15">
      <c r="C93" s="67">
        <v>94.351532550284048</v>
      </c>
      <c r="D93" s="67">
        <v>7.6884545503608663</v>
      </c>
      <c r="E93" s="67">
        <v>7.6884545503608663</v>
      </c>
      <c r="F93" s="67">
        <v>124.67984643799007</v>
      </c>
      <c r="G93" s="67">
        <v>-17.843950214407705</v>
      </c>
      <c r="H93" s="67">
        <v>106.84580947288055</v>
      </c>
      <c r="I93" s="67">
        <v>124.68975968728824</v>
      </c>
      <c r="J93" s="67">
        <v>89.222359663509422</v>
      </c>
      <c r="K93" s="67">
        <v>116.88174825791347</v>
      </c>
      <c r="L93" s="67">
        <v>2833.3333333333335</v>
      </c>
      <c r="M93" s="67">
        <v>1.2387901404317103</v>
      </c>
    </row>
    <row r="94" spans="2:13" ht="13.5" customHeight="1" x14ac:dyDescent="0.15">
      <c r="C94" s="67">
        <v>99.246817401902931</v>
      </c>
      <c r="D94" s="67">
        <v>8.0873582467336131</v>
      </c>
      <c r="E94" s="67">
        <v>8.0873582467336131</v>
      </c>
      <c r="F94" s="67">
        <v>66.713699892832949</v>
      </c>
      <c r="G94" s="67">
        <v>10.536494034950135</v>
      </c>
      <c r="H94" s="67">
        <v>77.251285765467685</v>
      </c>
      <c r="I94" s="67">
        <v>66.714791730517547</v>
      </c>
      <c r="J94" s="67">
        <v>27.471573683911437</v>
      </c>
      <c r="K94" s="67">
        <v>117.27725841655079</v>
      </c>
      <c r="L94" s="67">
        <v>2760</v>
      </c>
      <c r="M94" s="67">
        <v>1.1816727375915044</v>
      </c>
    </row>
    <row r="95" spans="2:13" x14ac:dyDescent="0.15">
      <c r="C95" s="67">
        <v>104.32503301510096</v>
      </c>
      <c r="D95" s="67">
        <v>8.5011684826001908</v>
      </c>
      <c r="E95" s="67">
        <v>8.5011684826001908</v>
      </c>
      <c r="F95" s="67">
        <v>9.7234024467003746</v>
      </c>
      <c r="G95" s="67">
        <v>42.472088551606063</v>
      </c>
      <c r="H95" s="67">
        <v>52.195489139234887</v>
      </c>
      <c r="I95" s="67">
        <v>9.7234005876288236</v>
      </c>
      <c r="J95" s="67">
        <v>-33.638518754104069</v>
      </c>
      <c r="K95" s="67">
        <v>117.44447919875502</v>
      </c>
      <c r="L95" s="67">
        <v>2700</v>
      </c>
      <c r="M95" s="67">
        <v>1.125755495152875</v>
      </c>
    </row>
    <row r="96" spans="2:13" x14ac:dyDescent="0.15">
      <c r="B96" s="297" t="s">
        <v>2695</v>
      </c>
      <c r="C96" s="1468">
        <f>D59</f>
        <v>98.742746590211411</v>
      </c>
      <c r="D96" s="1467"/>
      <c r="E96" s="1467"/>
      <c r="F96" s="1467"/>
      <c r="G96" s="1467"/>
      <c r="H96" s="1467"/>
      <c r="I96" s="1467"/>
      <c r="J96" s="1467"/>
      <c r="K96" s="1468">
        <f>F59</f>
        <v>116.21024435328435</v>
      </c>
      <c r="L96" s="1467"/>
      <c r="M96" s="1467"/>
    </row>
    <row r="97" spans="3:13" x14ac:dyDescent="0.15">
      <c r="C97" s="1468">
        <f t="shared" ref="C97:C99" si="23">D60</f>
        <v>91.307230306676516</v>
      </c>
      <c r="D97" s="1467"/>
      <c r="E97" s="1467"/>
      <c r="F97" s="1467"/>
      <c r="G97" s="1467"/>
      <c r="H97" s="1467"/>
      <c r="I97" s="1467"/>
      <c r="J97" s="1467"/>
      <c r="K97" s="1468">
        <f t="shared" ref="K97:K99" si="24">F60</f>
        <v>115.03221834091013</v>
      </c>
      <c r="L97" s="1467"/>
      <c r="M97" s="1467"/>
    </row>
    <row r="98" spans="3:13" x14ac:dyDescent="0.15">
      <c r="C98" s="1468">
        <f t="shared" si="23"/>
        <v>82.853756230402922</v>
      </c>
      <c r="D98" s="1467"/>
      <c r="E98" s="1467"/>
      <c r="F98" s="1467"/>
      <c r="G98" s="1467"/>
      <c r="H98" s="1467"/>
      <c r="I98" s="1467"/>
      <c r="J98" s="1467"/>
      <c r="K98" s="1468">
        <f t="shared" si="24"/>
        <v>113.87960125221184</v>
      </c>
      <c r="L98" s="1467"/>
      <c r="M98" s="1467"/>
    </row>
    <row r="99" spans="3:13" x14ac:dyDescent="0.15">
      <c r="C99" s="1468">
        <f t="shared" si="23"/>
        <v>74.241934545069</v>
      </c>
      <c r="D99" s="1467"/>
      <c r="E99" s="1467"/>
      <c r="F99" s="1467"/>
      <c r="G99" s="1467"/>
      <c r="H99" s="1467"/>
      <c r="I99" s="1467"/>
      <c r="J99" s="1467"/>
      <c r="K99" s="1468">
        <f t="shared" si="24"/>
        <v>112.12193536557662</v>
      </c>
      <c r="L99" s="1467"/>
      <c r="M99" s="1467"/>
    </row>
    <row r="100" spans="3:13" x14ac:dyDescent="0.15">
      <c r="C100" s="1468">
        <f>N59</f>
        <v>98.652487497614416</v>
      </c>
      <c r="D100" s="1467"/>
      <c r="E100" s="1467"/>
      <c r="F100" s="1467"/>
      <c r="G100" s="1467"/>
      <c r="H100" s="1467"/>
      <c r="I100" s="1467"/>
      <c r="J100" s="1467"/>
      <c r="K100" s="1468">
        <f>P59</f>
        <v>116.5274562748061</v>
      </c>
      <c r="L100" s="1467"/>
      <c r="M100" s="1467"/>
    </row>
    <row r="101" spans="3:13" x14ac:dyDescent="0.15">
      <c r="C101" s="1468">
        <f t="shared" ref="C101:C102" si="25">N60</f>
        <v>91.691329274443603</v>
      </c>
      <c r="D101" s="1467"/>
      <c r="E101" s="1467"/>
      <c r="F101" s="1467"/>
      <c r="G101" s="1467"/>
      <c r="H101" s="1467"/>
      <c r="I101" s="1467"/>
      <c r="J101" s="1467"/>
      <c r="K101" s="1468">
        <f t="shared" ref="K101:K102" si="26">P60</f>
        <v>116.11077717775966</v>
      </c>
      <c r="L101" s="1467"/>
      <c r="M101" s="1467"/>
    </row>
    <row r="102" spans="3:13" x14ac:dyDescent="0.15">
      <c r="C102" s="1468">
        <f t="shared" si="25"/>
        <v>81.263362550605734</v>
      </c>
      <c r="D102" s="1467"/>
      <c r="E102" s="1467"/>
      <c r="F102" s="1467"/>
      <c r="G102" s="1467"/>
      <c r="H102" s="1467"/>
      <c r="I102" s="1467"/>
      <c r="J102" s="1467"/>
      <c r="K102" s="1468">
        <f t="shared" si="26"/>
        <v>115.11642203590731</v>
      </c>
      <c r="L102" s="1467"/>
      <c r="M102" s="1467"/>
    </row>
    <row r="104" spans="3:13" ht="14" x14ac:dyDescent="0.15">
      <c r="C104" s="1826" t="s">
        <v>408</v>
      </c>
      <c r="D104" s="1826"/>
      <c r="E104" s="1826"/>
      <c r="F104" s="1826"/>
      <c r="G104" s="1826"/>
      <c r="H104" s="1826"/>
      <c r="I104" s="1826"/>
      <c r="J104" s="1826"/>
      <c r="K104" s="1826"/>
      <c r="L104" s="1826"/>
      <c r="M104" s="1826"/>
    </row>
    <row r="105" spans="3:13" ht="42" x14ac:dyDescent="0.15">
      <c r="C105" s="1435" t="s">
        <v>2678</v>
      </c>
      <c r="D105" s="1435" t="s">
        <v>2679</v>
      </c>
      <c r="E105" s="1435" t="s">
        <v>2680</v>
      </c>
      <c r="F105" s="1435" t="s">
        <v>2681</v>
      </c>
      <c r="G105" s="1435" t="s">
        <v>2682</v>
      </c>
      <c r="H105" s="1435" t="s">
        <v>2683</v>
      </c>
      <c r="I105" s="1435" t="s">
        <v>2686</v>
      </c>
      <c r="J105" s="1435" t="s">
        <v>2684</v>
      </c>
      <c r="K105" s="1435" t="s">
        <v>2685</v>
      </c>
      <c r="L105" s="1435" t="s">
        <v>2687</v>
      </c>
      <c r="M105" s="1435" t="s">
        <v>2688</v>
      </c>
    </row>
    <row r="106" spans="3:13" x14ac:dyDescent="0.15">
      <c r="C106" s="67">
        <v>103.94174588353437</v>
      </c>
      <c r="D106" s="67">
        <v>8.4699354372946747</v>
      </c>
      <c r="E106" s="67">
        <v>8.4699354372946747</v>
      </c>
      <c r="F106" s="67">
        <v>11.969622874873078</v>
      </c>
      <c r="G106" s="67">
        <v>39.842961555169239</v>
      </c>
      <c r="H106" s="67">
        <v>51.812550084074402</v>
      </c>
      <c r="I106" s="67">
        <v>11.969588528905163</v>
      </c>
      <c r="J106" s="67">
        <v>-31.074295258258914</v>
      </c>
      <c r="K106" s="67">
        <v>116.70707987965309</v>
      </c>
      <c r="L106" s="67">
        <v>2706.6666666666665</v>
      </c>
      <c r="M106" s="67">
        <v>1.1228123877236211</v>
      </c>
    </row>
    <row r="107" spans="3:13" x14ac:dyDescent="0.15">
      <c r="C107" s="67">
        <v>100.53159996989147</v>
      </c>
      <c r="D107" s="67">
        <v>8.1920517489383755</v>
      </c>
      <c r="E107" s="67">
        <v>8.1920517489383755</v>
      </c>
      <c r="F107" s="67">
        <v>48.810503935524295</v>
      </c>
      <c r="G107" s="67">
        <v>18.705213081888836</v>
      </c>
      <c r="H107" s="67">
        <v>67.515371862900636</v>
      </c>
      <c r="I107" s="67">
        <v>48.8101587810118</v>
      </c>
      <c r="J107" s="67">
        <v>8.5443316666412272</v>
      </c>
      <c r="K107" s="67">
        <v>116.505022128734</v>
      </c>
      <c r="L107" s="67">
        <v>2733.3333333333335</v>
      </c>
      <c r="M107" s="67">
        <v>1.1588895647102648</v>
      </c>
    </row>
    <row r="108" spans="3:13" x14ac:dyDescent="0.15">
      <c r="C108" s="67">
        <v>96.237647420561686</v>
      </c>
      <c r="D108" s="67">
        <v>7.8421490168409012</v>
      </c>
      <c r="E108" s="67">
        <v>7.8421490168409012</v>
      </c>
      <c r="F108" s="67">
        <v>94.552358210893857</v>
      </c>
      <c r="G108" s="67">
        <v>-5.9032430113954888</v>
      </c>
      <c r="H108" s="67">
        <v>88.650767506981992</v>
      </c>
      <c r="I108" s="67">
        <v>94.554010518377481</v>
      </c>
      <c r="J108" s="67">
        <v>57.654429796974256</v>
      </c>
      <c r="K108" s="67">
        <v>116.10515324618711</v>
      </c>
      <c r="L108" s="67">
        <v>2806.6666666666665</v>
      </c>
      <c r="M108" s="67">
        <v>1.2064421394135267</v>
      </c>
    </row>
    <row r="109" spans="3:13" x14ac:dyDescent="0.15">
      <c r="C109" s="67">
        <v>91.842526989409251</v>
      </c>
      <c r="D109" s="67">
        <v>7.4840023840846293</v>
      </c>
      <c r="E109" s="67">
        <v>7.4840023840846293</v>
      </c>
      <c r="F109" s="67">
        <v>144.72222178543288</v>
      </c>
      <c r="G109" s="67">
        <v>-39.596260673609102</v>
      </c>
      <c r="H109" s="67">
        <v>105.11817271550782</v>
      </c>
      <c r="I109" s="67">
        <v>144.71443338911692</v>
      </c>
      <c r="J109" s="67">
        <v>111.10825837812627</v>
      </c>
      <c r="K109" s="67">
        <v>115.91022483481552</v>
      </c>
      <c r="L109" s="67">
        <v>2853.3333333333335</v>
      </c>
      <c r="M109" s="67">
        <v>1.2620539594711022</v>
      </c>
    </row>
    <row r="110" spans="3:13" x14ac:dyDescent="0.15">
      <c r="C110" s="67">
        <v>88.346620615970906</v>
      </c>
      <c r="D110" s="67">
        <v>7.1991303047660118</v>
      </c>
      <c r="E110" s="67">
        <v>7.1991303047660118</v>
      </c>
      <c r="F110" s="67">
        <v>183.19878715510382</v>
      </c>
      <c r="G110" s="67">
        <v>-59.265265613300734</v>
      </c>
      <c r="H110" s="67">
        <v>123.92952967860099</v>
      </c>
      <c r="I110" s="67">
        <v>183.19479529190173</v>
      </c>
      <c r="J110" s="67">
        <v>152.09830900490149</v>
      </c>
      <c r="K110" s="67">
        <v>115.62401354560232</v>
      </c>
      <c r="L110" s="67">
        <v>2906.6666666666665</v>
      </c>
      <c r="M110" s="67">
        <v>1.3087542312252329</v>
      </c>
    </row>
    <row r="111" spans="3:13" x14ac:dyDescent="0.15">
      <c r="C111" s="67">
        <v>84.392974971168883</v>
      </c>
      <c r="D111" s="67">
        <v>6.8769582739927708</v>
      </c>
      <c r="E111" s="67">
        <v>6.8769582739927708</v>
      </c>
      <c r="F111" s="67">
        <v>230.85335979251471</v>
      </c>
      <c r="G111" s="67">
        <v>-80.571787434053348</v>
      </c>
      <c r="H111" s="67">
        <v>150.29434043259261</v>
      </c>
      <c r="I111" s="67">
        <v>230.86612786664597</v>
      </c>
      <c r="J111" s="67">
        <v>202.4905948053034</v>
      </c>
      <c r="K111" s="67">
        <v>115.03512976188136</v>
      </c>
      <c r="L111" s="67">
        <v>2946.6666666666665</v>
      </c>
      <c r="M111" s="67">
        <v>1.3630889277357594</v>
      </c>
    </row>
    <row r="112" spans="3:13" x14ac:dyDescent="0.15">
      <c r="C112" s="67">
        <v>77.579823889888303</v>
      </c>
      <c r="D112" s="67">
        <v>6.3217727776125114</v>
      </c>
      <c r="E112" s="67">
        <v>6.3217727776125114</v>
      </c>
      <c r="F112" s="67">
        <v>271.94137929945913</v>
      </c>
      <c r="G112" s="67">
        <v>-109.24041687331498</v>
      </c>
      <c r="H112" s="67">
        <v>162.70274157105339</v>
      </c>
      <c r="I112" s="67">
        <v>271.94315844436835</v>
      </c>
      <c r="J112" s="67">
        <v>247.96427181331077</v>
      </c>
      <c r="K112" s="67">
        <v>108.0412609734754</v>
      </c>
      <c r="L112" s="67">
        <v>2960</v>
      </c>
      <c r="M112" s="67">
        <v>1.3926463809304601</v>
      </c>
    </row>
    <row r="113" spans="3:13" x14ac:dyDescent="0.15">
      <c r="C113" s="67">
        <v>68.157968954652915</v>
      </c>
      <c r="D113" s="67">
        <v>5.5540109671613198</v>
      </c>
      <c r="E113" s="67">
        <v>5.5540109671613198</v>
      </c>
      <c r="F113" s="67">
        <v>316.68688236203548</v>
      </c>
      <c r="G113" s="67">
        <v>-139.41476984999315</v>
      </c>
      <c r="H113" s="67">
        <v>177.26507746185524</v>
      </c>
      <c r="I113" s="67">
        <v>316.67984731184839</v>
      </c>
      <c r="J113" s="67">
        <v>298.17162461783948</v>
      </c>
      <c r="K113" s="67">
        <v>96.67737759856962</v>
      </c>
      <c r="L113" s="67">
        <v>2973.3333333333335</v>
      </c>
      <c r="M113" s="67">
        <v>1.4184310225395849</v>
      </c>
    </row>
    <row r="114" spans="3:13" x14ac:dyDescent="0.15">
      <c r="C114" s="67">
        <v>57.088283609370528</v>
      </c>
      <c r="D114" s="67">
        <v>4.6519718548804345</v>
      </c>
      <c r="E114" s="67">
        <v>4.6519718548804345</v>
      </c>
      <c r="F114" s="67">
        <v>363.31489631742176</v>
      </c>
      <c r="G114" s="67">
        <v>-170.95662108915326</v>
      </c>
      <c r="H114" s="67">
        <v>192.3374284433979</v>
      </c>
      <c r="I114" s="67">
        <v>363.29404953255118</v>
      </c>
      <c r="J114" s="67">
        <v>350.30954424939137</v>
      </c>
      <c r="K114" s="67">
        <v>83.928908513481048</v>
      </c>
      <c r="L114" s="67">
        <v>2980</v>
      </c>
      <c r="M114" s="67">
        <v>1.4701599558986369</v>
      </c>
    </row>
    <row r="115" spans="3:13" ht="13.5" customHeight="1" x14ac:dyDescent="0.15">
      <c r="C115" s="67">
        <v>45.821199046294701</v>
      </c>
      <c r="D115" s="67">
        <v>3.7338472072271065</v>
      </c>
      <c r="E115" s="67">
        <v>3.7338472072271065</v>
      </c>
      <c r="F115" s="67">
        <v>394.02345599025341</v>
      </c>
      <c r="G115" s="67">
        <v>-179.1771421897534</v>
      </c>
      <c r="H115" s="67">
        <v>214.89335134679015</v>
      </c>
      <c r="I115" s="67">
        <v>394.07049353654355</v>
      </c>
      <c r="J115" s="67">
        <v>385.70552455639296</v>
      </c>
      <c r="K115" s="67">
        <v>71.26197544176398</v>
      </c>
      <c r="L115" s="67">
        <v>2973.3333333333335</v>
      </c>
      <c r="M115" s="67">
        <v>1.5552184780185609</v>
      </c>
    </row>
    <row r="116" spans="3:13" x14ac:dyDescent="0.15">
      <c r="C116" s="67">
        <v>16.03249318817603</v>
      </c>
      <c r="D116" s="67">
        <v>1.306445076984502</v>
      </c>
      <c r="E116" s="67">
        <v>1.306445076984502</v>
      </c>
      <c r="F116" s="67">
        <v>402.79193494976369</v>
      </c>
      <c r="G116" s="67">
        <v>-143.06465823564255</v>
      </c>
      <c r="H116" s="67">
        <v>260.03396952318616</v>
      </c>
      <c r="I116" s="67">
        <v>403.09862775882868</v>
      </c>
      <c r="J116" s="67">
        <v>402.07454851532248</v>
      </c>
      <c r="K116" s="67">
        <v>44.86625036767358</v>
      </c>
      <c r="L116" s="67">
        <v>2973.3333333333335</v>
      </c>
      <c r="M116" s="67">
        <v>2.7984574726507576</v>
      </c>
    </row>
    <row r="118" spans="3:13" ht="14" x14ac:dyDescent="0.15">
      <c r="C118" s="1826" t="s">
        <v>2673</v>
      </c>
      <c r="D118" s="1826"/>
      <c r="E118" s="1826"/>
      <c r="F118" s="1826"/>
      <c r="G118" s="1826"/>
      <c r="H118" s="1826"/>
      <c r="I118" s="1826"/>
      <c r="J118" s="1826"/>
      <c r="K118" s="1826"/>
      <c r="L118" s="1826"/>
      <c r="M118" s="1826"/>
    </row>
    <row r="119" spans="3:13" ht="42" x14ac:dyDescent="0.15">
      <c r="C119" s="1435" t="s">
        <v>2678</v>
      </c>
      <c r="D119" s="1435" t="s">
        <v>2679</v>
      </c>
      <c r="E119" s="1435" t="s">
        <v>2680</v>
      </c>
      <c r="F119" s="1435" t="s">
        <v>2681</v>
      </c>
      <c r="G119" s="1435" t="s">
        <v>2682</v>
      </c>
      <c r="H119" s="1435" t="s">
        <v>2683</v>
      </c>
      <c r="I119" s="1435" t="s">
        <v>2686</v>
      </c>
      <c r="J119" s="1435" t="s">
        <v>2684</v>
      </c>
      <c r="K119" s="1435" t="s">
        <v>2685</v>
      </c>
      <c r="L119" s="1435" t="s">
        <v>2687</v>
      </c>
      <c r="M119" s="1435" t="s">
        <v>2688</v>
      </c>
    </row>
    <row r="120" spans="3:13" x14ac:dyDescent="0.15">
      <c r="C120" s="67">
        <v>15.799549507199115</v>
      </c>
      <c r="D120" s="67">
        <v>1.2874631181802794</v>
      </c>
      <c r="E120" s="67">
        <v>1.2874631181802794</v>
      </c>
      <c r="F120" s="67">
        <v>297.1479875287705</v>
      </c>
      <c r="G120" s="67">
        <v>-147.31758772996028</v>
      </c>
      <c r="H120" s="67">
        <v>149.8297422441718</v>
      </c>
      <c r="I120" s="67">
        <v>297.14732997413205</v>
      </c>
      <c r="J120" s="67">
        <v>296.15279320572733</v>
      </c>
      <c r="K120" s="67">
        <v>33.596537743665735</v>
      </c>
      <c r="L120" s="67">
        <v>2613.3333333333335</v>
      </c>
      <c r="M120" s="67">
        <v>2.1264237773588017</v>
      </c>
    </row>
    <row r="121" spans="3:13" x14ac:dyDescent="0.15">
      <c r="C121" s="67">
        <v>51.128838371369135</v>
      </c>
      <c r="D121" s="67">
        <v>4.1663525690111847</v>
      </c>
      <c r="E121" s="67">
        <v>4.1663525690111847</v>
      </c>
      <c r="F121" s="67">
        <v>267.08732112660431</v>
      </c>
      <c r="G121" s="67">
        <v>-119.79478975392821</v>
      </c>
      <c r="H121" s="67">
        <v>147.30108444281089</v>
      </c>
      <c r="I121" s="67">
        <v>267.09587419673909</v>
      </c>
      <c r="J121" s="67">
        <v>256.68077795915542</v>
      </c>
      <c r="K121" s="67">
        <v>59.590984922988532</v>
      </c>
      <c r="L121" s="67">
        <v>2622</v>
      </c>
      <c r="M121" s="67">
        <v>1.1655063330435058</v>
      </c>
    </row>
    <row r="122" spans="3:13" x14ac:dyDescent="0.15">
      <c r="C122" s="67">
        <v>60.245452542821475</v>
      </c>
      <c r="D122" s="67">
        <v>4.9092411243510954</v>
      </c>
      <c r="E122" s="67">
        <v>4.9092411243510954</v>
      </c>
      <c r="F122" s="67">
        <v>232.48755947138167</v>
      </c>
      <c r="G122" s="67">
        <v>-108.7815856976239</v>
      </c>
      <c r="H122" s="67">
        <v>123.67666511922583</v>
      </c>
      <c r="I122" s="67">
        <v>232.45825081684973</v>
      </c>
      <c r="J122" s="67">
        <v>217.99786176663773</v>
      </c>
      <c r="K122" s="67">
        <v>67.555205370176154</v>
      </c>
      <c r="L122" s="67">
        <v>2613.3333333333335</v>
      </c>
      <c r="M122" s="67">
        <v>1.1213328561547284</v>
      </c>
    </row>
    <row r="123" spans="3:13" x14ac:dyDescent="0.15">
      <c r="C123" s="67">
        <v>68.191354988839507</v>
      </c>
      <c r="D123" s="67">
        <v>5.5567315059752884</v>
      </c>
      <c r="E123" s="67">
        <v>5.5567315059752884</v>
      </c>
      <c r="F123" s="67">
        <v>197.48260916158716</v>
      </c>
      <c r="G123" s="67">
        <v>-87.229479814147652</v>
      </c>
      <c r="H123" s="67">
        <v>110.22735281784522</v>
      </c>
      <c r="I123" s="67">
        <v>197.45683263199288</v>
      </c>
      <c r="J123" s="67">
        <v>178.93047361429385</v>
      </c>
      <c r="K123" s="67">
        <v>73.937935233279433</v>
      </c>
      <c r="L123" s="67">
        <v>2620</v>
      </c>
      <c r="M123" s="67">
        <v>1.0842713896120768</v>
      </c>
    </row>
    <row r="124" spans="3:13" x14ac:dyDescent="0.15">
      <c r="C124" s="67">
        <v>74.926029613736688</v>
      </c>
      <c r="D124" s="67">
        <v>6.1055221653892753</v>
      </c>
      <c r="E124" s="67">
        <v>6.1055221653892753</v>
      </c>
      <c r="F124" s="67">
        <v>163.49706181938268</v>
      </c>
      <c r="G124" s="67">
        <v>-55.436159967058572</v>
      </c>
      <c r="H124" s="67">
        <v>108.06544713282136</v>
      </c>
      <c r="I124" s="67">
        <v>163.50160709987995</v>
      </c>
      <c r="J124" s="67">
        <v>141.13516655264411</v>
      </c>
      <c r="K124" s="67">
        <v>80.254864853355954</v>
      </c>
      <c r="L124" s="67">
        <v>2626.6666666666665</v>
      </c>
      <c r="M124" s="67">
        <v>1.0711212814437228</v>
      </c>
    </row>
    <row r="125" spans="3:13" x14ac:dyDescent="0.15">
      <c r="C125" s="67">
        <v>80.815123949068777</v>
      </c>
      <c r="D125" s="67">
        <v>6.5854087439761964</v>
      </c>
      <c r="E125" s="67">
        <v>6.5854087439761964</v>
      </c>
      <c r="F125" s="67">
        <v>129.53771293323427</v>
      </c>
      <c r="G125" s="67">
        <v>-38.28803592044283</v>
      </c>
      <c r="H125" s="67">
        <v>91.246334866437806</v>
      </c>
      <c r="I125" s="67">
        <v>129.53437078688063</v>
      </c>
      <c r="J125" s="67">
        <v>103.51380579173774</v>
      </c>
      <c r="K125" s="67">
        <v>86.055215808458428</v>
      </c>
      <c r="L125" s="67">
        <v>2613.3333333333335</v>
      </c>
      <c r="M125" s="67">
        <v>1.0648404853365325</v>
      </c>
    </row>
    <row r="126" spans="3:13" x14ac:dyDescent="0.15">
      <c r="C126" s="67">
        <v>86.150582458184942</v>
      </c>
      <c r="D126" s="67">
        <v>7.0201810168146235</v>
      </c>
      <c r="E126" s="67">
        <v>7.0201810168146235</v>
      </c>
      <c r="F126" s="67">
        <v>96.663503058982343</v>
      </c>
      <c r="G126" s="67">
        <v>-17.382438075715282</v>
      </c>
      <c r="H126" s="67">
        <v>79.279502585631832</v>
      </c>
      <c r="I126" s="67">
        <v>96.661940661347117</v>
      </c>
      <c r="J126" s="67">
        <v>67.092175756040476</v>
      </c>
      <c r="K126" s="67">
        <v>91.158449534674943</v>
      </c>
      <c r="L126" s="67">
        <v>2613.3333333333335</v>
      </c>
      <c r="M126" s="67">
        <v>1.0581292306284833</v>
      </c>
    </row>
    <row r="127" spans="3:13" x14ac:dyDescent="0.15">
      <c r="C127" s="67">
        <v>93.769133628379237</v>
      </c>
      <c r="D127" s="67">
        <v>7.6409964167173268</v>
      </c>
      <c r="E127" s="67">
        <v>7.6409964167173268</v>
      </c>
      <c r="F127" s="67">
        <v>47.380804853844268</v>
      </c>
      <c r="G127" s="67">
        <v>12.155690935504772</v>
      </c>
      <c r="H127" s="67">
        <v>59.535187577854686</v>
      </c>
      <c r="I127" s="67">
        <v>47.379496642349913</v>
      </c>
      <c r="J127" s="67">
        <v>12.3486008981777</v>
      </c>
      <c r="K127" s="67">
        <v>99.227558659690871</v>
      </c>
      <c r="L127" s="67">
        <v>2620</v>
      </c>
      <c r="M127" s="67">
        <v>1.0582113198671983</v>
      </c>
    </row>
    <row r="128" spans="3:13" x14ac:dyDescent="0.15">
      <c r="C128" s="67">
        <v>99.530285532717997</v>
      </c>
      <c r="D128" s="67">
        <v>8.1104573080984714</v>
      </c>
      <c r="E128" s="67">
        <v>8.1104573080984714</v>
      </c>
      <c r="F128" s="67">
        <v>9.2542602186117691</v>
      </c>
      <c r="G128" s="67">
        <v>38.266709428937759</v>
      </c>
      <c r="H128" s="67">
        <v>47.520969783868566</v>
      </c>
      <c r="I128" s="67">
        <v>9.2542603549308069</v>
      </c>
      <c r="J128" s="67">
        <v>-30.21345029296193</v>
      </c>
      <c r="K128" s="67">
        <v>105.49298198277867</v>
      </c>
      <c r="L128" s="67">
        <v>2620</v>
      </c>
      <c r="M128" s="67">
        <v>1.0599083627475439</v>
      </c>
    </row>
    <row r="129" spans="3:13" x14ac:dyDescent="0.15">
      <c r="C129" s="1468">
        <f>D64</f>
        <v>94.190053945822427</v>
      </c>
      <c r="D129" s="1467"/>
      <c r="E129" s="1467"/>
      <c r="F129" s="1467"/>
      <c r="G129" s="1467"/>
      <c r="H129" s="1467"/>
      <c r="I129" s="1467"/>
      <c r="J129" s="1467"/>
      <c r="K129" s="1468">
        <f>F64</f>
        <v>98.661858881069861</v>
      </c>
      <c r="L129" s="1467"/>
      <c r="M129" s="1467"/>
    </row>
    <row r="130" spans="3:13" x14ac:dyDescent="0.15">
      <c r="C130" s="1468">
        <f>D65</f>
        <v>84.079536443313629</v>
      </c>
      <c r="D130" s="1467"/>
      <c r="E130" s="1467"/>
      <c r="F130" s="1467"/>
      <c r="G130" s="1467"/>
      <c r="H130" s="1467"/>
      <c r="I130" s="1467"/>
      <c r="J130" s="1467"/>
      <c r="K130" s="1468">
        <f>F65</f>
        <v>86.695619421533181</v>
      </c>
      <c r="L130" s="1467"/>
      <c r="M130" s="1467"/>
    </row>
    <row r="131" spans="3:13" x14ac:dyDescent="0.15">
      <c r="C131" s="1468">
        <f>D66</f>
        <v>69.435413257497288</v>
      </c>
      <c r="D131" s="1467"/>
      <c r="E131" s="1467"/>
      <c r="F131" s="1467"/>
      <c r="G131" s="1467"/>
      <c r="H131" s="1467"/>
      <c r="I131" s="1467"/>
      <c r="J131" s="1467"/>
      <c r="K131" s="1468">
        <f>F66</f>
        <v>76.36872224980641</v>
      </c>
      <c r="L131" s="1467"/>
      <c r="M131" s="1467"/>
    </row>
    <row r="132" spans="3:13" x14ac:dyDescent="0.15">
      <c r="C132" s="1468">
        <f>N64</f>
        <v>93.684238593623874</v>
      </c>
      <c r="D132" s="1467"/>
      <c r="E132" s="1467"/>
      <c r="F132" s="1467"/>
      <c r="G132" s="1467"/>
      <c r="H132" s="1467"/>
      <c r="I132" s="1467"/>
      <c r="J132" s="1467"/>
      <c r="K132" s="1468">
        <f>P64</f>
        <v>97.143807702138176</v>
      </c>
      <c r="L132" s="1467"/>
      <c r="M132" s="1467"/>
    </row>
    <row r="133" spans="3:13" x14ac:dyDescent="0.15">
      <c r="C133" s="1468">
        <f t="shared" ref="C133:C134" si="27">N65</f>
        <v>84.938969521756022</v>
      </c>
      <c r="D133" s="1467"/>
      <c r="E133" s="1467"/>
      <c r="F133" s="1467"/>
      <c r="G133" s="1467"/>
      <c r="H133" s="1467"/>
      <c r="I133" s="1467"/>
      <c r="J133" s="1467"/>
      <c r="K133" s="1468">
        <f t="shared" ref="K133:K134" si="28">P65</f>
        <v>86.483732412262924</v>
      </c>
      <c r="L133" s="1467"/>
      <c r="M133" s="1467"/>
    </row>
    <row r="134" spans="3:13" x14ac:dyDescent="0.15">
      <c r="C134" s="1468">
        <f t="shared" si="27"/>
        <v>67.236714157684546</v>
      </c>
      <c r="D134" s="1467"/>
      <c r="E134" s="1467"/>
      <c r="F134" s="1467"/>
      <c r="G134" s="1467"/>
      <c r="H134" s="1467"/>
      <c r="I134" s="1467"/>
      <c r="J134" s="1467"/>
      <c r="K134" s="1468">
        <f t="shared" si="28"/>
        <v>74.070932265823956</v>
      </c>
      <c r="L134" s="1467"/>
      <c r="M134" s="1467"/>
    </row>
    <row r="136" spans="3:13" ht="13.5" customHeight="1" x14ac:dyDescent="0.15">
      <c r="C136" s="1827" t="s">
        <v>411</v>
      </c>
      <c r="D136" s="1828"/>
      <c r="E136" s="1828"/>
      <c r="F136" s="1828"/>
      <c r="G136" s="1828"/>
      <c r="H136" s="1828"/>
      <c r="I136" s="1828"/>
      <c r="J136" s="1828"/>
      <c r="K136" s="1828"/>
      <c r="L136" s="1828"/>
      <c r="M136" s="1829"/>
    </row>
    <row r="137" spans="3:13" ht="42" x14ac:dyDescent="0.15">
      <c r="C137" s="1435" t="s">
        <v>2678</v>
      </c>
      <c r="D137" s="1435" t="s">
        <v>2679</v>
      </c>
      <c r="E137" s="1435" t="s">
        <v>2680</v>
      </c>
      <c r="F137" s="1435" t="s">
        <v>2681</v>
      </c>
      <c r="G137" s="1435" t="s">
        <v>2682</v>
      </c>
      <c r="H137" s="1435" t="s">
        <v>2683</v>
      </c>
      <c r="I137" s="1435" t="s">
        <v>2686</v>
      </c>
      <c r="J137" s="1435" t="s">
        <v>2684</v>
      </c>
      <c r="K137" s="1435" t="s">
        <v>2685</v>
      </c>
      <c r="L137" s="1435" t="s">
        <v>2687</v>
      </c>
      <c r="M137" s="1435" t="s">
        <v>2688</v>
      </c>
    </row>
    <row r="138" spans="3:13" x14ac:dyDescent="0.15">
      <c r="C138" s="67">
        <v>82.810183971981445</v>
      </c>
      <c r="D138" s="67">
        <v>6.7479808601549269</v>
      </c>
      <c r="E138" s="67">
        <v>6.7479808601549269</v>
      </c>
      <c r="F138" s="67">
        <v>7.2654027805923924</v>
      </c>
      <c r="G138" s="67">
        <v>25.679743597835966</v>
      </c>
      <c r="H138" s="67">
        <v>32.945140493401809</v>
      </c>
      <c r="I138" s="67">
        <v>7.2653968955658428</v>
      </c>
      <c r="J138" s="67">
        <v>-20.055750517844494</v>
      </c>
      <c r="K138" s="67">
        <v>65.56240342406528</v>
      </c>
      <c r="L138" s="67">
        <v>2253.3333333333335</v>
      </c>
      <c r="M138" s="67">
        <v>0.7917190891188951</v>
      </c>
    </row>
    <row r="139" spans="3:13" x14ac:dyDescent="0.15">
      <c r="C139" s="67">
        <v>79.019673818076285</v>
      </c>
      <c r="D139" s="67">
        <v>6.4391023051039049</v>
      </c>
      <c r="E139" s="67">
        <v>6.4391023051039049</v>
      </c>
      <c r="F139" s="67">
        <v>29.716572985175993</v>
      </c>
      <c r="G139" s="67">
        <v>13.328557766147489</v>
      </c>
      <c r="H139" s="67">
        <v>43.045540265104648</v>
      </c>
      <c r="I139" s="67">
        <v>29.716982498957158</v>
      </c>
      <c r="J139" s="67">
        <v>4.8397594016005065</v>
      </c>
      <c r="K139" s="67">
        <v>62.81907768749317</v>
      </c>
      <c r="L139" s="67">
        <v>2246.6666666666665</v>
      </c>
      <c r="M139" s="67">
        <v>0.79498022014263092</v>
      </c>
    </row>
    <row r="140" spans="3:13" x14ac:dyDescent="0.15">
      <c r="C140" s="67">
        <v>75.001399095710752</v>
      </c>
      <c r="D140" s="67">
        <v>6.1116638233038723</v>
      </c>
      <c r="E140" s="67">
        <v>6.1116638233038723</v>
      </c>
      <c r="F140" s="67">
        <v>52.575757769306058</v>
      </c>
      <c r="G140" s="67">
        <v>-0.11782657561618848</v>
      </c>
      <c r="H140" s="67">
        <v>52.45919314760944</v>
      </c>
      <c r="I140" s="67">
        <v>52.577019723225632</v>
      </c>
      <c r="J140" s="67">
        <v>30.165558909776848</v>
      </c>
      <c r="K140" s="67">
        <v>60.138119223103722</v>
      </c>
      <c r="L140" s="67">
        <v>2253.3333333333335</v>
      </c>
      <c r="M140" s="67">
        <v>0.80182663187869729</v>
      </c>
    </row>
    <row r="141" spans="3:13" x14ac:dyDescent="0.15">
      <c r="C141" s="67">
        <v>70.47230092636191</v>
      </c>
      <c r="D141" s="67">
        <v>5.7425997022669071</v>
      </c>
      <c r="E141" s="67">
        <v>5.7425997022669071</v>
      </c>
      <c r="F141" s="67">
        <v>78.201509656302292</v>
      </c>
      <c r="G141" s="67">
        <v>-17.080243488150302</v>
      </c>
      <c r="H141" s="67">
        <v>61.121843961684533</v>
      </c>
      <c r="I141" s="67">
        <v>78.202087449834835</v>
      </c>
      <c r="J141" s="67">
        <v>58.41561664554925</v>
      </c>
      <c r="K141" s="67">
        <v>56.91973067067552</v>
      </c>
      <c r="L141" s="67">
        <v>2253.3333333333335</v>
      </c>
      <c r="M141" s="67">
        <v>0.80768940310537363</v>
      </c>
    </row>
    <row r="142" spans="3:13" x14ac:dyDescent="0.15">
      <c r="C142" s="67">
        <v>65.987694006431695</v>
      </c>
      <c r="D142" s="67">
        <v>5.3771610543918289</v>
      </c>
      <c r="E142" s="67">
        <v>5.3771610543918289</v>
      </c>
      <c r="F142" s="67">
        <v>102.52630353344513</v>
      </c>
      <c r="G142" s="67">
        <v>-31.94458936281768</v>
      </c>
      <c r="H142" s="67">
        <v>70.582383310119297</v>
      </c>
      <c r="I142" s="67">
        <v>102.52697267293698</v>
      </c>
      <c r="J142" s="67">
        <v>85.178656070016032</v>
      </c>
      <c r="K142" s="67">
        <v>53.094380526806766</v>
      </c>
      <c r="L142" s="67">
        <v>2253.3333333333335</v>
      </c>
      <c r="M142" s="67">
        <v>0.80461033418794359</v>
      </c>
    </row>
    <row r="143" spans="3:13" x14ac:dyDescent="0.15">
      <c r="C143" s="67">
        <v>60.592487002274083</v>
      </c>
      <c r="D143" s="67">
        <v>4.9375200361693903</v>
      </c>
      <c r="E143" s="67">
        <v>4.9375200361693903</v>
      </c>
      <c r="F143" s="67">
        <v>126.65649735950618</v>
      </c>
      <c r="G143" s="67">
        <v>-43.174155272522334</v>
      </c>
      <c r="H143" s="67">
        <v>83.489889739893172</v>
      </c>
      <c r="I143" s="67">
        <v>126.6640450124155</v>
      </c>
      <c r="J143" s="67">
        <v>112.03658254787099</v>
      </c>
      <c r="K143" s="67">
        <v>49.519056101056613</v>
      </c>
      <c r="L143" s="67">
        <v>2266.6666666666665</v>
      </c>
      <c r="M143" s="67">
        <v>0.81724746005553661</v>
      </c>
    </row>
    <row r="144" spans="3:13" x14ac:dyDescent="0.15">
      <c r="C144" s="67">
        <v>54.391055371869335</v>
      </c>
      <c r="D144" s="67">
        <v>4.4321819250780123</v>
      </c>
      <c r="E144" s="67">
        <v>4.4321819250780123</v>
      </c>
      <c r="F144" s="67">
        <v>151.58539566253739</v>
      </c>
      <c r="G144" s="67">
        <v>-62.888428969834301</v>
      </c>
      <c r="H144" s="67">
        <v>88.697041380826391</v>
      </c>
      <c r="I144" s="67">
        <v>151.5854703506607</v>
      </c>
      <c r="J144" s="67">
        <v>139.79892838046777</v>
      </c>
      <c r="K144" s="67">
        <v>45.677174086315709</v>
      </c>
      <c r="L144" s="67">
        <v>2253.3333333333335</v>
      </c>
      <c r="M144" s="67">
        <v>0.83979201679435733</v>
      </c>
    </row>
    <row r="145" spans="3:13" x14ac:dyDescent="0.15">
      <c r="C145" s="67">
        <v>49.007052658519648</v>
      </c>
      <c r="D145" s="67">
        <v>3.9934539146077253</v>
      </c>
      <c r="E145" s="67">
        <v>3.9934539146077253</v>
      </c>
      <c r="F145" s="67">
        <v>173.71229598685386</v>
      </c>
      <c r="G145" s="67">
        <v>-76.113489978823864</v>
      </c>
      <c r="H145" s="67">
        <v>97.59944567873444</v>
      </c>
      <c r="I145" s="67">
        <v>173.71293565755832</v>
      </c>
      <c r="J145" s="67">
        <v>164.14433115670087</v>
      </c>
      <c r="K145" s="67">
        <v>42.371673394046965</v>
      </c>
      <c r="L145" s="67">
        <v>2253.3333333333335</v>
      </c>
      <c r="M145" s="67">
        <v>0.86460358449409525</v>
      </c>
    </row>
    <row r="146" spans="3:13" x14ac:dyDescent="0.15">
      <c r="C146" s="67">
        <v>40.785937356594836</v>
      </c>
      <c r="D146" s="67">
        <v>3.3235371719364912</v>
      </c>
      <c r="E146" s="67">
        <v>3.3235371719364912</v>
      </c>
      <c r="F146" s="67">
        <v>198.92912734636795</v>
      </c>
      <c r="G146" s="67">
        <v>-91.55749640558156</v>
      </c>
      <c r="H146" s="67">
        <v>107.37330243810416</v>
      </c>
      <c r="I146" s="67">
        <v>198.93079884368572</v>
      </c>
      <c r="J146" s="67">
        <v>192.30325924373955</v>
      </c>
      <c r="K146" s="67">
        <v>37.175480838667852</v>
      </c>
      <c r="L146" s="67">
        <v>2253.3333333333335</v>
      </c>
      <c r="M146" s="67">
        <v>0.91147790753561786</v>
      </c>
    </row>
    <row r="147" spans="3:13" ht="15.5" customHeight="1" x14ac:dyDescent="0.15">
      <c r="C147" s="67">
        <v>13.907472545168961</v>
      </c>
      <c r="D147" s="67">
        <v>1.1332828167569731</v>
      </c>
      <c r="E147" s="67">
        <v>1.1332828167569731</v>
      </c>
      <c r="F147" s="67">
        <v>215.87468137456113</v>
      </c>
      <c r="G147" s="67">
        <v>-104.56816336930532</v>
      </c>
      <c r="H147" s="67">
        <v>111.31401741987577</v>
      </c>
      <c r="I147" s="67">
        <v>215.88218078918109</v>
      </c>
      <c r="J147" s="67">
        <v>215.11158282352713</v>
      </c>
      <c r="K147" s="67">
        <v>23.160696903004986</v>
      </c>
      <c r="L147" s="67">
        <v>2253.3333333333335</v>
      </c>
      <c r="M147" s="67">
        <v>1.6653419108168808</v>
      </c>
    </row>
    <row r="148" spans="3:13" ht="15.5" customHeight="1" x14ac:dyDescent="0.15">
      <c r="C148" s="1468">
        <f>D69</f>
        <v>78.286672626886102</v>
      </c>
      <c r="D148" s="1467"/>
      <c r="E148" s="1467"/>
      <c r="F148" s="1467"/>
      <c r="G148" s="1467"/>
      <c r="H148" s="1467"/>
      <c r="I148" s="1467"/>
      <c r="J148" s="1467"/>
      <c r="K148" s="1468">
        <f>F69</f>
        <v>61.834991560803509</v>
      </c>
      <c r="L148" s="1467"/>
      <c r="M148" s="1467"/>
    </row>
    <row r="149" spans="3:13" ht="15.5" customHeight="1" x14ac:dyDescent="0.15">
      <c r="C149" s="1468">
        <f>D70</f>
        <v>70.13631814653786</v>
      </c>
      <c r="D149" s="1467"/>
      <c r="E149" s="1467"/>
      <c r="F149" s="1467"/>
      <c r="G149" s="1467"/>
      <c r="H149" s="1467"/>
      <c r="I149" s="1467"/>
      <c r="J149" s="1467"/>
      <c r="K149" s="1468">
        <f>F70</f>
        <v>55.197267659479841</v>
      </c>
      <c r="L149" s="1467"/>
      <c r="M149" s="1467"/>
    </row>
    <row r="150" spans="3:13" ht="15.5" customHeight="1" x14ac:dyDescent="0.15">
      <c r="C150" s="1468">
        <f>D71</f>
        <v>58.92131648445168</v>
      </c>
      <c r="D150" s="1467"/>
      <c r="E150" s="1467"/>
      <c r="F150" s="1467"/>
      <c r="G150" s="1467"/>
      <c r="H150" s="1467"/>
      <c r="I150" s="1467"/>
      <c r="J150" s="1467"/>
      <c r="K150" s="1468">
        <f>F71</f>
        <v>49.394813375094301</v>
      </c>
      <c r="L150" s="1467"/>
      <c r="M150" s="1467"/>
    </row>
    <row r="151" spans="3:13" ht="15.5" customHeight="1" x14ac:dyDescent="0.15">
      <c r="C151" s="1468">
        <f>N69</f>
        <v>78.629009779933412</v>
      </c>
      <c r="D151" s="1467"/>
      <c r="E151" s="1467"/>
      <c r="F151" s="1467"/>
      <c r="G151" s="1467"/>
      <c r="H151" s="1467"/>
      <c r="I151" s="1467"/>
      <c r="J151" s="1467"/>
      <c r="K151" s="1468">
        <f>P69</f>
        <v>62.705350004708741</v>
      </c>
      <c r="L151" s="1467"/>
      <c r="M151" s="1467"/>
    </row>
    <row r="152" spans="3:13" ht="15.5" customHeight="1" x14ac:dyDescent="0.15">
      <c r="C152" s="1468">
        <f t="shared" ref="C152:C153" si="29">N70</f>
        <v>70.86179174027356</v>
      </c>
      <c r="D152" s="1467"/>
      <c r="E152" s="1467"/>
      <c r="F152" s="1467"/>
      <c r="G152" s="1467"/>
      <c r="H152" s="1467"/>
      <c r="I152" s="1467"/>
      <c r="J152" s="1467"/>
      <c r="K152" s="1468">
        <f t="shared" ref="K152:K153" si="30">P70</f>
        <v>55.250037167637878</v>
      </c>
      <c r="L152" s="1467"/>
      <c r="M152" s="1467"/>
    </row>
    <row r="153" spans="3:13" ht="15.5" customHeight="1" x14ac:dyDescent="0.15">
      <c r="C153" s="1468">
        <f t="shared" si="29"/>
        <v>56.953288719972342</v>
      </c>
      <c r="D153" s="1467"/>
      <c r="E153" s="1467"/>
      <c r="F153" s="1467"/>
      <c r="G153" s="1467"/>
      <c r="H153" s="1467"/>
      <c r="I153" s="1467"/>
      <c r="J153" s="1467"/>
      <c r="K153" s="1468">
        <f t="shared" si="30"/>
        <v>47.631701083523424</v>
      </c>
      <c r="L153" s="1467"/>
      <c r="M153" s="1467"/>
    </row>
    <row r="155" spans="3:13" ht="14" x14ac:dyDescent="0.15">
      <c r="C155" s="1826" t="s">
        <v>10</v>
      </c>
      <c r="D155" s="1826"/>
      <c r="E155" s="1826"/>
      <c r="F155" s="1826"/>
      <c r="G155" s="1826"/>
      <c r="H155" s="1826"/>
      <c r="I155" s="1826"/>
      <c r="J155" s="1826"/>
      <c r="K155" s="1826"/>
      <c r="L155" s="1826"/>
      <c r="M155" s="1826"/>
    </row>
    <row r="156" spans="3:13" ht="42" x14ac:dyDescent="0.15">
      <c r="C156" s="1435" t="s">
        <v>2678</v>
      </c>
      <c r="D156" s="1435" t="s">
        <v>2679</v>
      </c>
      <c r="E156" s="1435" t="s">
        <v>2680</v>
      </c>
      <c r="F156" s="1435" t="s">
        <v>2681</v>
      </c>
      <c r="G156" s="1435" t="s">
        <v>2682</v>
      </c>
      <c r="H156" s="1435" t="s">
        <v>2683</v>
      </c>
      <c r="I156" s="1435" t="s">
        <v>2686</v>
      </c>
      <c r="J156" s="1435" t="s">
        <v>2684</v>
      </c>
      <c r="K156" s="1435" t="s">
        <v>2685</v>
      </c>
      <c r="L156" s="1435" t="s">
        <v>2687</v>
      </c>
      <c r="M156" s="1435" t="s">
        <v>2688</v>
      </c>
    </row>
    <row r="157" spans="3:13" x14ac:dyDescent="0.15">
      <c r="C157" s="67">
        <v>11.384846984323948</v>
      </c>
      <c r="D157" s="67">
        <v>0.92772079303680721</v>
      </c>
      <c r="E157" s="67">
        <v>0.92772079303680721</v>
      </c>
      <c r="F157" s="67">
        <v>148.60895894033044</v>
      </c>
      <c r="G157" s="67">
        <v>-74.826436390081071</v>
      </c>
      <c r="H157" s="67">
        <v>73.779946961353261</v>
      </c>
      <c r="I157" s="67">
        <v>148.60638335143432</v>
      </c>
      <c r="J157" s="67">
        <v>148.08998382953462</v>
      </c>
      <c r="K157" s="67">
        <v>15.527629952437218</v>
      </c>
      <c r="L157" s="67">
        <v>1893.3333333333333</v>
      </c>
      <c r="M157" s="67">
        <v>1.3638856959445798</v>
      </c>
    </row>
    <row r="158" spans="3:13" x14ac:dyDescent="0.15">
      <c r="C158" s="67">
        <v>34.531370705214478</v>
      </c>
      <c r="D158" s="67">
        <v>2.8138692298104586</v>
      </c>
      <c r="E158" s="67">
        <v>2.8138692298104586</v>
      </c>
      <c r="F158" s="67">
        <v>130.63606825211616</v>
      </c>
      <c r="G158" s="67">
        <v>-61.076364250998559</v>
      </c>
      <c r="H158" s="67">
        <v>69.557822465328371</v>
      </c>
      <c r="I158" s="67">
        <v>130.63418671632692</v>
      </c>
      <c r="J158" s="67">
        <v>125.88347069084246</v>
      </c>
      <c r="K158" s="67">
        <v>24.064636961853513</v>
      </c>
      <c r="L158" s="67">
        <v>1893.3333333333333</v>
      </c>
      <c r="M158" s="67">
        <v>0.69689202804276706</v>
      </c>
    </row>
    <row r="159" spans="3:13" x14ac:dyDescent="0.15">
      <c r="C159" s="67">
        <v>41.425278265669888</v>
      </c>
      <c r="D159" s="67">
        <v>3.3756353561285737</v>
      </c>
      <c r="E159" s="67">
        <v>3.3756353561285737</v>
      </c>
      <c r="F159" s="67">
        <v>111.74038377015309</v>
      </c>
      <c r="G159" s="67">
        <v>-51.228163752278391</v>
      </c>
      <c r="H159" s="67">
        <v>60.507535477398022</v>
      </c>
      <c r="I159" s="67">
        <v>111.73569922967641</v>
      </c>
      <c r="J159" s="67">
        <v>104.89875079514924</v>
      </c>
      <c r="K159" s="67">
        <v>27.131810416410989</v>
      </c>
      <c r="L159" s="67">
        <v>1893.3333333333333</v>
      </c>
      <c r="M159" s="67">
        <v>0.65495783136104513</v>
      </c>
    </row>
    <row r="160" spans="3:13" x14ac:dyDescent="0.15">
      <c r="C160" s="67">
        <v>47.231349507173377</v>
      </c>
      <c r="D160" s="67">
        <v>3.8487566043994104</v>
      </c>
      <c r="E160" s="67">
        <v>3.8487566043994104</v>
      </c>
      <c r="F160" s="67">
        <v>90.643683723109632</v>
      </c>
      <c r="G160" s="67">
        <v>-34.642822177484391</v>
      </c>
      <c r="H160" s="67">
        <v>56.002173143237464</v>
      </c>
      <c r="I160" s="67">
        <v>90.644995320721847</v>
      </c>
      <c r="J160" s="67">
        <v>81.757238880776995</v>
      </c>
      <c r="K160" s="67">
        <v>29.313014435953669</v>
      </c>
      <c r="L160" s="67">
        <v>1893.3333333333333</v>
      </c>
      <c r="M160" s="67">
        <v>0.62062623113281323</v>
      </c>
    </row>
    <row r="161" spans="3:13" x14ac:dyDescent="0.15">
      <c r="C161" s="67">
        <v>51.746791312718564</v>
      </c>
      <c r="D161" s="67">
        <v>4.216707904800721</v>
      </c>
      <c r="E161" s="67">
        <v>4.216707904800721</v>
      </c>
      <c r="F161" s="67">
        <v>72.56020742214352</v>
      </c>
      <c r="G161" s="67">
        <v>-25.996847451370567</v>
      </c>
      <c r="H161" s="67">
        <v>46.561983783230986</v>
      </c>
      <c r="I161" s="67">
        <v>72.558831234601556</v>
      </c>
      <c r="J161" s="67">
        <v>61.890455901956223</v>
      </c>
      <c r="K161" s="67">
        <v>31.539347102768506</v>
      </c>
      <c r="L161" s="67">
        <v>1886.6666666666667</v>
      </c>
      <c r="M161" s="67">
        <v>0.60949377348188583</v>
      </c>
    </row>
    <row r="162" spans="3:13" x14ac:dyDescent="0.15">
      <c r="C162" s="67">
        <v>56.14997598416398</v>
      </c>
      <c r="D162" s="67">
        <v>4.5755116709739045</v>
      </c>
      <c r="E162" s="67">
        <v>4.5755116709739045</v>
      </c>
      <c r="F162" s="67">
        <v>54.07586684964636</v>
      </c>
      <c r="G162" s="67">
        <v>-14.645801929799346</v>
      </c>
      <c r="H162" s="67">
        <v>39.429106224713451</v>
      </c>
      <c r="I162" s="67">
        <v>54.074908154512798</v>
      </c>
      <c r="J162" s="67">
        <v>41.513723923781754</v>
      </c>
      <c r="K162" s="67">
        <v>33.892000573467882</v>
      </c>
      <c r="L162" s="67">
        <v>1893.3333333333333</v>
      </c>
      <c r="M162" s="67">
        <v>0.60359777505562018</v>
      </c>
    </row>
    <row r="163" spans="3:13" x14ac:dyDescent="0.15">
      <c r="C163" s="67">
        <v>61.498409350401033</v>
      </c>
      <c r="D163" s="67">
        <v>5.0113412302874423</v>
      </c>
      <c r="E163" s="67">
        <v>5.0113412302874423</v>
      </c>
      <c r="F163" s="67">
        <v>31.595123783917959</v>
      </c>
      <c r="G163" s="67">
        <v>1.5517978644458683</v>
      </c>
      <c r="H163" s="67">
        <v>33.147327325905216</v>
      </c>
      <c r="I163" s="67">
        <v>31.59552946145935</v>
      </c>
      <c r="J163" s="67">
        <v>16.527404905632036</v>
      </c>
      <c r="K163" s="67">
        <v>36.283209317974041</v>
      </c>
      <c r="L163" s="67">
        <v>1893.3333333333333</v>
      </c>
      <c r="M163" s="67">
        <v>0.5899861427511448</v>
      </c>
    </row>
    <row r="164" spans="3:13" x14ac:dyDescent="0.15">
      <c r="C164" s="67">
        <v>66.727911144381636</v>
      </c>
      <c r="D164" s="67">
        <v>5.4374793732224553</v>
      </c>
      <c r="E164" s="67">
        <v>5.4374793732224553</v>
      </c>
      <c r="F164" s="67">
        <v>5.0819555526250824</v>
      </c>
      <c r="G164" s="67">
        <v>16.365197226058413</v>
      </c>
      <c r="H164" s="67">
        <v>21.44714656477171</v>
      </c>
      <c r="I164" s="67">
        <v>5.0819493387132972</v>
      </c>
      <c r="J164" s="67">
        <v>-12.657759821818502</v>
      </c>
      <c r="K164" s="67">
        <v>38.887767903398796</v>
      </c>
      <c r="L164" s="67">
        <v>1900</v>
      </c>
      <c r="M164" s="67">
        <v>0.58278113665593245</v>
      </c>
    </row>
    <row r="166" spans="3:13" ht="14" x14ac:dyDescent="0.15">
      <c r="C166" s="1826" t="s">
        <v>409</v>
      </c>
      <c r="D166" s="1826"/>
      <c r="E166" s="1826"/>
      <c r="F166" s="1826"/>
      <c r="G166" s="1826"/>
      <c r="H166" s="1826"/>
      <c r="I166" s="1826"/>
      <c r="J166" s="1826"/>
      <c r="K166" s="1826"/>
      <c r="L166" s="1826"/>
      <c r="M166" s="1826"/>
    </row>
    <row r="167" spans="3:13" ht="42" x14ac:dyDescent="0.15">
      <c r="C167" s="1435" t="s">
        <v>2678</v>
      </c>
      <c r="D167" s="1435" t="s">
        <v>2679</v>
      </c>
      <c r="E167" s="1435" t="s">
        <v>2680</v>
      </c>
      <c r="F167" s="1435" t="s">
        <v>2681</v>
      </c>
      <c r="G167" s="1435" t="s">
        <v>2682</v>
      </c>
      <c r="H167" s="1435" t="s">
        <v>2683</v>
      </c>
      <c r="I167" s="1435" t="s">
        <v>2686</v>
      </c>
      <c r="J167" s="1435" t="s">
        <v>2684</v>
      </c>
      <c r="K167" s="1435" t="s">
        <v>2685</v>
      </c>
      <c r="L167" s="1435" t="s">
        <v>2687</v>
      </c>
      <c r="M167" s="1435" t="s">
        <v>2688</v>
      </c>
    </row>
    <row r="168" spans="3:13" x14ac:dyDescent="0.15">
      <c r="C168" s="67">
        <v>50.594110477267272</v>
      </c>
      <c r="D168" s="67">
        <v>4.1227790201828034</v>
      </c>
      <c r="E168" s="67">
        <v>4.1227790201828034</v>
      </c>
      <c r="F168" s="67">
        <v>2.9736129685587187</v>
      </c>
      <c r="G168" s="67">
        <v>9.4239386561221288</v>
      </c>
      <c r="H168" s="67">
        <v>12.397549952725434</v>
      </c>
      <c r="I168" s="67">
        <v>2.9736112966033055</v>
      </c>
      <c r="J168" s="67">
        <v>-7.2247728129523807</v>
      </c>
      <c r="K168" s="67">
        <v>21.095299339979306</v>
      </c>
      <c r="L168" s="67">
        <v>1520</v>
      </c>
      <c r="M168" s="67">
        <v>0.41695167957262053</v>
      </c>
    </row>
    <row r="169" spans="3:13" x14ac:dyDescent="0.15">
      <c r="C169" s="67">
        <v>47.171129229978334</v>
      </c>
      <c r="D169" s="67">
        <v>3.8438494147469529</v>
      </c>
      <c r="E169" s="67">
        <v>3.8438494147469529</v>
      </c>
      <c r="F169" s="67">
        <v>16.669559700257711</v>
      </c>
      <c r="G169" s="67">
        <v>1.297609579533396</v>
      </c>
      <c r="H169" s="67">
        <v>17.967172084695051</v>
      </c>
      <c r="I169" s="67">
        <v>16.669562505161654</v>
      </c>
      <c r="J169" s="67">
        <v>7.8044555112113585</v>
      </c>
      <c r="K169" s="67">
        <v>19.99420264023642</v>
      </c>
      <c r="L169" s="67">
        <v>1520</v>
      </c>
      <c r="M169" s="67">
        <v>0.42386525331536151</v>
      </c>
    </row>
    <row r="170" spans="3:13" x14ac:dyDescent="0.15">
      <c r="C170" s="67">
        <v>43.806261938415503</v>
      </c>
      <c r="D170" s="67">
        <v>3.5696553604491164</v>
      </c>
      <c r="E170" s="67">
        <v>3.5696553604491164</v>
      </c>
      <c r="F170" s="67">
        <v>30.049318638378267</v>
      </c>
      <c r="G170" s="67">
        <v>-4.7613696880298324</v>
      </c>
      <c r="H170" s="67">
        <v>25.288734012905039</v>
      </c>
      <c r="I170" s="67">
        <v>30.050103700934869</v>
      </c>
      <c r="J170" s="67">
        <v>22.404640065505003</v>
      </c>
      <c r="K170" s="67">
        <v>18.842965972102125</v>
      </c>
      <c r="L170" s="67">
        <v>1520</v>
      </c>
      <c r="M170" s="67">
        <v>0.43014320643455672</v>
      </c>
    </row>
    <row r="171" spans="3:13" x14ac:dyDescent="0.15">
      <c r="C171" s="67">
        <v>38.974923126839606</v>
      </c>
      <c r="D171" s="67">
        <v>3.1759624561987341</v>
      </c>
      <c r="E171" s="67">
        <v>3.1759624561987341</v>
      </c>
      <c r="F171" s="67">
        <v>45.540664344881343</v>
      </c>
      <c r="G171" s="67">
        <v>-16.746482681169841</v>
      </c>
      <c r="H171" s="67">
        <v>28.793818790621856</v>
      </c>
      <c r="I171" s="67">
        <v>45.540301471791693</v>
      </c>
      <c r="J171" s="67">
        <v>39.488258957881357</v>
      </c>
      <c r="K171" s="67">
        <v>17.599541615480167</v>
      </c>
      <c r="L171" s="67">
        <v>1520</v>
      </c>
      <c r="M171" s="67">
        <v>0.4515606498620765</v>
      </c>
    </row>
    <row r="172" spans="3:13" x14ac:dyDescent="0.15">
      <c r="C172" s="67">
        <v>34.217164679266496</v>
      </c>
      <c r="D172" s="67">
        <v>2.7882654194148717</v>
      </c>
      <c r="E172" s="67">
        <v>2.7882654194148717</v>
      </c>
      <c r="F172" s="67">
        <v>60.724689246455455</v>
      </c>
      <c r="G172" s="67">
        <v>-27.123111830952677</v>
      </c>
      <c r="H172" s="67">
        <v>33.599922649883496</v>
      </c>
      <c r="I172" s="67">
        <v>60.723034480836176</v>
      </c>
      <c r="J172" s="67">
        <v>56.058380051373305</v>
      </c>
      <c r="K172" s="67">
        <v>16.188317881157047</v>
      </c>
      <c r="L172" s="67">
        <v>1520</v>
      </c>
      <c r="M172" s="67">
        <v>0.47310518077396913</v>
      </c>
    </row>
    <row r="173" spans="3:13" x14ac:dyDescent="0.15">
      <c r="C173" s="67">
        <v>29.225164199935808</v>
      </c>
      <c r="D173" s="67">
        <v>2.3814806246871454</v>
      </c>
      <c r="E173" s="67">
        <v>2.3814806246871454</v>
      </c>
      <c r="F173" s="67">
        <v>74.297780966848876</v>
      </c>
      <c r="G173" s="67">
        <v>-32.284436882051864</v>
      </c>
      <c r="H173" s="67">
        <v>42.014586794794262</v>
      </c>
      <c r="I173" s="67">
        <v>74.299023676846133</v>
      </c>
      <c r="J173" s="67">
        <v>70.896153697389963</v>
      </c>
      <c r="K173" s="67">
        <v>14.808779834216191</v>
      </c>
      <c r="L173" s="67">
        <v>1513.3333333333333</v>
      </c>
      <c r="M173" s="67">
        <v>0.50671331503583883</v>
      </c>
    </row>
    <row r="174" spans="3:13" x14ac:dyDescent="0.15">
      <c r="C174" s="67">
        <v>21.708027585537948</v>
      </c>
      <c r="D174" s="67">
        <v>1.7689292262469563</v>
      </c>
      <c r="E174" s="67">
        <v>1.7689292262469563</v>
      </c>
      <c r="F174" s="67">
        <v>86.752424057317086</v>
      </c>
      <c r="G174" s="67">
        <v>-37.600579042421934</v>
      </c>
      <c r="H174" s="67">
        <v>49.156461295456431</v>
      </c>
      <c r="I174" s="67">
        <v>86.757040337878365</v>
      </c>
      <c r="J174" s="67">
        <v>84.879573973395978</v>
      </c>
      <c r="K174" s="67">
        <v>12.450211901002875</v>
      </c>
      <c r="L174" s="67">
        <v>1520</v>
      </c>
      <c r="M174" s="67">
        <v>0.57353031508478924</v>
      </c>
    </row>
    <row r="175" spans="3:13" x14ac:dyDescent="0.15">
      <c r="C175" s="67">
        <v>8.8472126181212989</v>
      </c>
      <c r="D175" s="67">
        <v>0.72093574182860476</v>
      </c>
      <c r="E175" s="67">
        <v>0.72093574182860476</v>
      </c>
      <c r="F175" s="67">
        <v>92.472834832666805</v>
      </c>
      <c r="G175" s="67">
        <v>-43.715840210346116</v>
      </c>
      <c r="H175" s="67">
        <v>48.759896293986955</v>
      </c>
      <c r="I175" s="67">
        <v>92.475736504333071</v>
      </c>
      <c r="J175" s="67">
        <v>92.163887498025488</v>
      </c>
      <c r="K175" s="67">
        <v>10.034532155755411</v>
      </c>
      <c r="L175" s="67">
        <v>1526.6666666666667</v>
      </c>
      <c r="M175" s="67">
        <v>1.134202667990841</v>
      </c>
    </row>
    <row r="176" spans="3:13" x14ac:dyDescent="0.15">
      <c r="C176" s="1468">
        <f>D74</f>
        <v>48.102429720469871</v>
      </c>
      <c r="D176" s="1467"/>
      <c r="E176" s="1467"/>
      <c r="F176" s="1467"/>
      <c r="G176" s="1467"/>
      <c r="H176" s="1467"/>
      <c r="I176" s="1467"/>
      <c r="J176" s="1467"/>
      <c r="K176" s="1468">
        <f>F74</f>
        <v>20.519391977210955</v>
      </c>
      <c r="L176" s="1467"/>
      <c r="M176" s="1467"/>
    </row>
    <row r="177" spans="3:13" x14ac:dyDescent="0.15">
      <c r="C177" s="1468">
        <f t="shared" ref="C177:C179" si="31">D75</f>
        <v>43.402594673017632</v>
      </c>
      <c r="D177" s="1467"/>
      <c r="E177" s="1467"/>
      <c r="F177" s="1467"/>
      <c r="G177" s="1467"/>
      <c r="H177" s="1467"/>
      <c r="I177" s="1467"/>
      <c r="J177" s="1467"/>
      <c r="K177" s="1468">
        <f t="shared" ref="K177:K179" si="32">F75</f>
        <v>18.794457888074728</v>
      </c>
      <c r="L177" s="1467"/>
      <c r="M177" s="1467"/>
    </row>
    <row r="178" spans="3:13" x14ac:dyDescent="0.15">
      <c r="C178" s="1468">
        <f t="shared" si="31"/>
        <v>37.059545515229644</v>
      </c>
      <c r="D178" s="1467"/>
      <c r="E178" s="1467"/>
      <c r="F178" s="1467"/>
      <c r="G178" s="1467"/>
      <c r="H178" s="1467"/>
      <c r="I178" s="1467"/>
      <c r="J178" s="1467"/>
      <c r="K178" s="1468">
        <f t="shared" si="32"/>
        <v>17.429035529323933</v>
      </c>
      <c r="L178" s="1467"/>
      <c r="M178" s="1467"/>
    </row>
    <row r="179" spans="3:13" x14ac:dyDescent="0.15">
      <c r="C179" s="1468">
        <f t="shared" si="31"/>
        <v>28.980933579546868</v>
      </c>
      <c r="D179" s="1467"/>
      <c r="E179" s="1467"/>
      <c r="F179" s="1467"/>
      <c r="G179" s="1467"/>
      <c r="H179" s="1467"/>
      <c r="I179" s="1467"/>
      <c r="J179" s="1467"/>
      <c r="K179" s="1468">
        <f t="shared" si="32"/>
        <v>15.644540282791711</v>
      </c>
      <c r="L179" s="1467"/>
      <c r="M179" s="1467"/>
    </row>
    <row r="181" spans="3:13" ht="14" x14ac:dyDescent="0.15">
      <c r="C181" s="1826" t="s">
        <v>12</v>
      </c>
      <c r="D181" s="1826"/>
      <c r="E181" s="1826"/>
      <c r="F181" s="1826"/>
      <c r="G181" s="1826"/>
      <c r="H181" s="1826"/>
      <c r="I181" s="1826"/>
      <c r="J181" s="1826"/>
      <c r="K181" s="1826"/>
      <c r="L181" s="1826"/>
      <c r="M181" s="1826"/>
    </row>
    <row r="182" spans="3:13" ht="42" x14ac:dyDescent="0.15">
      <c r="C182" s="1435" t="s">
        <v>2678</v>
      </c>
      <c r="D182" s="1435" t="s">
        <v>2679</v>
      </c>
      <c r="E182" s="1435" t="s">
        <v>2680</v>
      </c>
      <c r="F182" s="1435" t="s">
        <v>2681</v>
      </c>
      <c r="G182" s="1435" t="s">
        <v>2682</v>
      </c>
      <c r="H182" s="1435" t="s">
        <v>2683</v>
      </c>
      <c r="I182" s="1435" t="s">
        <v>2686</v>
      </c>
      <c r="J182" s="1435" t="s">
        <v>2684</v>
      </c>
      <c r="K182" s="1435" t="s">
        <v>2685</v>
      </c>
      <c r="L182" s="1435" t="s">
        <v>2687</v>
      </c>
      <c r="M182" s="1435" t="s">
        <v>2688</v>
      </c>
    </row>
    <row r="183" spans="3:13" x14ac:dyDescent="0.15">
      <c r="C183" s="67">
        <v>6.5509089256984874</v>
      </c>
      <c r="D183" s="67">
        <v>0.53381608308210282</v>
      </c>
      <c r="E183" s="67">
        <v>0.53381608308210282</v>
      </c>
      <c r="F183" s="67">
        <v>48.533314450392858</v>
      </c>
      <c r="G183" s="67">
        <v>-21.890101453633385</v>
      </c>
      <c r="H183" s="67">
        <v>26.64473441633514</v>
      </c>
      <c r="I183" s="67">
        <v>48.534835869968525</v>
      </c>
      <c r="J183" s="67">
        <v>48.363860103634252</v>
      </c>
      <c r="K183" s="67">
        <v>6.4300818035165612</v>
      </c>
      <c r="L183" s="67">
        <v>1146.6666666666667</v>
      </c>
      <c r="M183" s="67">
        <v>0.9815556705867281</v>
      </c>
    </row>
    <row r="184" spans="3:13" x14ac:dyDescent="0.15">
      <c r="C184" s="67">
        <v>19.707226791678767</v>
      </c>
      <c r="D184" s="67">
        <v>1.6058893099666993</v>
      </c>
      <c r="E184" s="67">
        <v>1.6058893099666993</v>
      </c>
      <c r="F184" s="67">
        <v>37.827364027348374</v>
      </c>
      <c r="G184" s="67">
        <v>-18.479212326924063</v>
      </c>
      <c r="H184" s="67">
        <v>19.347443092161818</v>
      </c>
      <c r="I184" s="67">
        <v>37.826655419085881</v>
      </c>
      <c r="J184" s="67">
        <v>36.279327133566689</v>
      </c>
      <c r="K184" s="67">
        <v>8.1252998518277533</v>
      </c>
      <c r="L184" s="67">
        <v>1146.6666666666667</v>
      </c>
      <c r="M184" s="67">
        <v>0.41230051989144417</v>
      </c>
    </row>
    <row r="185" spans="3:13" x14ac:dyDescent="0.15">
      <c r="C185" s="67">
        <v>26.753510871053262</v>
      </c>
      <c r="D185" s="67">
        <v>2.1800721920977333</v>
      </c>
      <c r="E185" s="67">
        <v>2.1800721920977333</v>
      </c>
      <c r="F185" s="67">
        <v>23.17925758513595</v>
      </c>
      <c r="G185" s="67">
        <v>-6.1593219524755929</v>
      </c>
      <c r="H185" s="67">
        <v>17.020659867482436</v>
      </c>
      <c r="I185" s="67">
        <v>23.17998181995803</v>
      </c>
      <c r="J185" s="67">
        <v>20.328352962303342</v>
      </c>
      <c r="K185" s="67">
        <v>9.1930343735982234</v>
      </c>
      <c r="L185" s="67">
        <v>1146.6666666666667</v>
      </c>
      <c r="M185" s="67">
        <v>0.34361973715924116</v>
      </c>
    </row>
    <row r="186" spans="3:13" x14ac:dyDescent="0.15">
      <c r="C186" s="67">
        <v>30.989531465025948</v>
      </c>
      <c r="D186" s="67">
        <v>2.5252542037814809</v>
      </c>
      <c r="E186" s="67">
        <v>2.5252542037814809</v>
      </c>
      <c r="F186" s="67">
        <v>11.269357387789519</v>
      </c>
      <c r="G186" s="67">
        <v>-0.97456058616668484</v>
      </c>
      <c r="H186" s="67">
        <v>10.294872418285184</v>
      </c>
      <c r="I186" s="67">
        <v>11.269433004451869</v>
      </c>
      <c r="J186" s="67">
        <v>7.4432877282222449</v>
      </c>
      <c r="K186" s="67">
        <v>9.8071738647800277</v>
      </c>
      <c r="L186" s="67">
        <v>1140</v>
      </c>
      <c r="M186" s="67">
        <v>0.31646731657908966</v>
      </c>
    </row>
    <row r="187" spans="3:13" x14ac:dyDescent="0.15">
      <c r="C187" s="67">
        <v>34.392515764513497</v>
      </c>
      <c r="D187" s="67">
        <v>2.8025543113155886</v>
      </c>
      <c r="E187" s="67">
        <v>2.8025543113155886</v>
      </c>
      <c r="F187" s="67">
        <v>1.1586606632004879</v>
      </c>
      <c r="G187" s="67">
        <v>4.6559433760410682</v>
      </c>
      <c r="H187" s="67">
        <v>5.8146040272312325</v>
      </c>
      <c r="I187" s="67">
        <v>1.1586606511901643</v>
      </c>
      <c r="J187" s="67">
        <v>-3.5539257495339918</v>
      </c>
      <c r="K187" s="67">
        <v>10.460232604253974</v>
      </c>
      <c r="L187" s="67">
        <v>1153.3333333333333</v>
      </c>
      <c r="M187" s="67">
        <v>0.30414269999541399</v>
      </c>
    </row>
    <row r="189" spans="3:13" ht="14" x14ac:dyDescent="0.15">
      <c r="C189" s="1826" t="s">
        <v>410</v>
      </c>
      <c r="D189" s="1826"/>
      <c r="E189" s="1826"/>
      <c r="F189" s="1826"/>
      <c r="G189" s="1826"/>
      <c r="H189" s="1826"/>
      <c r="I189" s="1826"/>
      <c r="J189" s="1826"/>
      <c r="K189" s="1826"/>
      <c r="L189" s="1826"/>
      <c r="M189" s="1826"/>
    </row>
    <row r="190" spans="3:13" ht="42" x14ac:dyDescent="0.15">
      <c r="C190" s="1435" t="s">
        <v>2678</v>
      </c>
      <c r="D190" s="1435" t="s">
        <v>2679</v>
      </c>
      <c r="E190" s="1435" t="s">
        <v>2680</v>
      </c>
      <c r="F190" s="1435" t="s">
        <v>2681</v>
      </c>
      <c r="G190" s="1435" t="s">
        <v>2682</v>
      </c>
      <c r="H190" s="1435" t="s">
        <v>2683</v>
      </c>
      <c r="I190" s="1435" t="s">
        <v>2686</v>
      </c>
      <c r="J190" s="1435" t="s">
        <v>2684</v>
      </c>
      <c r="K190" s="1435" t="s">
        <v>2685</v>
      </c>
      <c r="L190" s="1435" t="s">
        <v>2687</v>
      </c>
      <c r="M190" s="1435" t="s">
        <v>2688</v>
      </c>
    </row>
    <row r="191" spans="3:13" x14ac:dyDescent="0.15">
      <c r="C191" s="67">
        <v>18.490570762254922</v>
      </c>
      <c r="D191" s="67">
        <v>1.5067472575505132</v>
      </c>
      <c r="E191" s="67">
        <v>1.5067472575505132</v>
      </c>
      <c r="F191" s="67">
        <v>0.12190298688911994</v>
      </c>
      <c r="G191" s="67">
        <v>1.672202023317154</v>
      </c>
      <c r="H191" s="67">
        <v>1.7941036448676262</v>
      </c>
      <c r="I191" s="67">
        <v>0.12190162155047224</v>
      </c>
      <c r="J191" s="67">
        <v>-1.2402707573311231</v>
      </c>
      <c r="K191" s="67">
        <v>5.159734966004569</v>
      </c>
      <c r="L191" s="67">
        <v>760</v>
      </c>
      <c r="M191" s="67">
        <v>0.27904681971944384</v>
      </c>
    </row>
    <row r="192" spans="3:13" x14ac:dyDescent="0.15">
      <c r="C192" s="67">
        <v>11.623931053752894</v>
      </c>
      <c r="D192" s="67">
        <v>0.94720311570644844</v>
      </c>
      <c r="E192" s="67">
        <v>0.94720311570644844</v>
      </c>
      <c r="F192" s="67">
        <v>11.876947434021959</v>
      </c>
      <c r="G192" s="67">
        <v>-4.6178438120338132</v>
      </c>
      <c r="H192" s="67">
        <v>7.2592263123268603</v>
      </c>
      <c r="I192" s="67">
        <v>11.877070124360674</v>
      </c>
      <c r="J192" s="67">
        <v>11.338753878918272</v>
      </c>
      <c r="K192" s="67">
        <v>4.6849065455499943</v>
      </c>
      <c r="L192" s="67">
        <v>766.66666666666663</v>
      </c>
      <c r="M192" s="67">
        <v>0.40303977405624997</v>
      </c>
    </row>
    <row r="193" spans="3:13" x14ac:dyDescent="0.15">
      <c r="C193" s="67">
        <v>4.8404189048077955</v>
      </c>
      <c r="D193" s="67">
        <v>0.39443281681183695</v>
      </c>
      <c r="E193" s="67">
        <v>0.39443281681183695</v>
      </c>
      <c r="F193" s="67">
        <v>17.618149040831021</v>
      </c>
      <c r="G193" s="67">
        <v>-6.3186289269164702</v>
      </c>
      <c r="H193" s="67">
        <v>11.300085991302007</v>
      </c>
      <c r="I193" s="67">
        <v>17.618714918218476</v>
      </c>
      <c r="J193" s="67">
        <v>17.525368570031603</v>
      </c>
      <c r="K193" s="67">
        <v>4.3274280039970954</v>
      </c>
      <c r="L193" s="67">
        <v>760</v>
      </c>
      <c r="M193" s="67">
        <v>0.89401931715018168</v>
      </c>
    </row>
  </sheetData>
  <mergeCells count="8">
    <mergeCell ref="C181:M181"/>
    <mergeCell ref="C189:M189"/>
    <mergeCell ref="C83:M83"/>
    <mergeCell ref="C104:M104"/>
    <mergeCell ref="C118:M118"/>
    <mergeCell ref="C136:M136"/>
    <mergeCell ref="C155:M155"/>
    <mergeCell ref="C166:M166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68A96-380B-405E-9674-BEF799C571CC}">
  <dimension ref="C2:AW99"/>
  <sheetViews>
    <sheetView topLeftCell="A69" zoomScale="85" zoomScaleNormal="85" workbookViewId="0">
      <selection activeCell="R20" sqref="R20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 ENT'!$G$33</f>
        <v>34.722222222222221</v>
      </c>
      <c r="K3" t="s">
        <v>13</v>
      </c>
      <c r="L3" s="7">
        <f>'R-series ENT'!$G$39</f>
        <v>90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22.104299388291583</v>
      </c>
      <c r="Q5" s="52">
        <v>-32.192955151116905</v>
      </c>
      <c r="R5" t="s">
        <v>28</v>
      </c>
      <c r="T5" s="4"/>
      <c r="U5" s="39" t="s">
        <v>43</v>
      </c>
      <c r="V5" t="s">
        <v>8</v>
      </c>
      <c r="W5" s="9">
        <f>$P$5*LN($J$3)+$Q$5</f>
        <v>46.219392022125092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22.668466303019493</v>
      </c>
      <c r="Q6" s="52">
        <v>-22.341524786969487</v>
      </c>
      <c r="R6" t="s">
        <v>7</v>
      </c>
      <c r="T6" s="4"/>
      <c r="U6" s="39" t="s">
        <v>43</v>
      </c>
      <c r="V6" t="s">
        <v>57</v>
      </c>
      <c r="W6" s="9">
        <f>$P$6*LN($J$3)+$Q$6</f>
        <v>58.072136755219844</v>
      </c>
      <c r="X6" t="s">
        <v>31</v>
      </c>
      <c r="AA6" s="55">
        <v>25</v>
      </c>
      <c r="AB6" s="56">
        <f t="shared" ref="AB6:AB12" si="0">(-$D$9-SQRT($D$9^2-(4*$C$9*($E$9-AA6))))/(2*$C$9)</f>
        <v>149.37198438834608</v>
      </c>
      <c r="AC6" s="55">
        <v>20</v>
      </c>
      <c r="AD6" s="57">
        <f t="shared" ref="AD6:AD12" si="1">(-$D$14-SQRT($D$14^2-(4*$C$14*($E$14-AC6))))/(2*$C$14)</f>
        <v>133.17332240375293</v>
      </c>
      <c r="AE6" s="55">
        <v>15</v>
      </c>
      <c r="AF6" s="57">
        <f t="shared" ref="AF6:AF11" si="2">(-$D$19-SQRT($D$19^2-(4*$C$19*($E$19-AE6))))/(2*$C$19)</f>
        <v>99.999058386718588</v>
      </c>
      <c r="AG6" s="56">
        <v>10</v>
      </c>
      <c r="AH6" s="57">
        <f>(-$D$24-SQRT($D$24^2-(4*$C$24*($E$24-AG6))))/(2*$C$24)</f>
        <v>61.555446560450939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140.44019694340693</v>
      </c>
      <c r="AC7" s="55">
        <v>50</v>
      </c>
      <c r="AD7" s="57">
        <f t="shared" si="1"/>
        <v>128.50888008908166</v>
      </c>
      <c r="AE7" s="55">
        <v>40</v>
      </c>
      <c r="AF7" s="57">
        <f t="shared" si="2"/>
        <v>94.108238875868778</v>
      </c>
      <c r="AG7" s="56">
        <v>20</v>
      </c>
      <c r="AH7" s="57">
        <f>(-$D$24-SQRT($D$24^2-(4*$C$24*($E$24-AG7))))/(2*$C$24)</f>
        <v>57.822327947272591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133.12312176781919</v>
      </c>
      <c r="AC8" s="55">
        <v>100</v>
      </c>
      <c r="AD8" s="57">
        <f t="shared" si="1"/>
        <v>120.21047153971138</v>
      </c>
      <c r="AE8" s="55">
        <v>60</v>
      </c>
      <c r="AF8" s="57">
        <f t="shared" si="2"/>
        <v>89.069837468278507</v>
      </c>
      <c r="AG8" s="56">
        <v>30</v>
      </c>
      <c r="AH8" s="57">
        <f>(-$D$24-SQRT($D$24^2-(4*$C$24*($E$24-AG8))))/(2*$C$24)</f>
        <v>53.830589598087514</v>
      </c>
    </row>
    <row r="9" spans="3:34" x14ac:dyDescent="0.15">
      <c r="C9" s="8">
        <v>-6.5820291370216596E-2</v>
      </c>
      <c r="D9" s="8">
        <v>8.4393533003468324</v>
      </c>
      <c r="E9" s="8">
        <v>232.97871499992539</v>
      </c>
      <c r="H9" s="2"/>
      <c r="P9" t="s">
        <v>616</v>
      </c>
      <c r="Q9" s="52">
        <f t="array" ref="Q9:R9">LINEST(AM35:AM38,AL35:AL38)</f>
        <v>8.3937819103331535</v>
      </c>
      <c r="R9" s="52">
        <v>-2.1038623021087304</v>
      </c>
      <c r="S9" s="84">
        <f>(J3-R9)/Q9</f>
        <v>4.3873053788776968</v>
      </c>
      <c r="U9" s="39" t="s">
        <v>42</v>
      </c>
      <c r="V9" t="s">
        <v>58</v>
      </c>
      <c r="W9" s="9">
        <f>IF($J$3&gt;$AM$35,($J$3-$R$10)/$Q$10,($J$3-$R$9)/$Q$9)</f>
        <v>4.3873053788776968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126.16844933408204</v>
      </c>
      <c r="AC9" s="55">
        <v>150</v>
      </c>
      <c r="AD9" s="57">
        <f t="shared" si="1"/>
        <v>111.08472606866653</v>
      </c>
      <c r="AE9" s="55">
        <v>80</v>
      </c>
      <c r="AF9" s="57">
        <f t="shared" si="2"/>
        <v>83.675510586883604</v>
      </c>
      <c r="AG9" s="56">
        <v>35</v>
      </c>
      <c r="AH9" s="57">
        <f>(-$D$24-SQRT($D$24^2-(4*$C$24*($E$24-AG9))))/(2*$C$24)</f>
        <v>51.71915361429582</v>
      </c>
    </row>
    <row r="10" spans="3:34" x14ac:dyDescent="0.15">
      <c r="C10" s="2"/>
      <c r="D10" s="2"/>
      <c r="E10" s="2"/>
      <c r="H10" s="2"/>
      <c r="P10" t="s">
        <v>614</v>
      </c>
      <c r="Q10" s="52">
        <f t="array" ref="Q10:R10">LINEST(AM34:AM35,AL34:AL35)</f>
        <v>7.706572741283666</v>
      </c>
      <c r="R10" s="52">
        <v>3.5798441068149316</v>
      </c>
      <c r="S10" s="84">
        <f>(J3-R10)/Q10</f>
        <v>4.0410152685096143</v>
      </c>
      <c r="W10" t="b">
        <f>IF(AND(W9&gt;=0,W9&lt;=10.01,'R-series ENT'!G33&gt;=W11,P21),TRUE,FALSE)</f>
        <v>1</v>
      </c>
      <c r="AA10" s="55">
        <v>320</v>
      </c>
      <c r="AB10" s="56">
        <f t="shared" si="0"/>
        <v>116.90930697190107</v>
      </c>
      <c r="AC10" s="55">
        <v>170</v>
      </c>
      <c r="AD10" s="57">
        <f t="shared" si="1"/>
        <v>107.1393496264217</v>
      </c>
      <c r="AE10" s="55">
        <v>100</v>
      </c>
      <c r="AF10" s="57">
        <f t="shared" si="2"/>
        <v>77.837118713065038</v>
      </c>
      <c r="AG10" s="56">
        <v>80</v>
      </c>
      <c r="AH10" s="57">
        <f>(-$D$24-SQRT($D$24^2-(4*$C$24*($E$24-AG10))))/(2*$C$24)</f>
        <v>25.847865510561171</v>
      </c>
    </row>
    <row r="11" spans="3:34" x14ac:dyDescent="0.15">
      <c r="C11" s="2" t="s">
        <v>404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105.63452662019705</v>
      </c>
      <c r="AC11" s="55">
        <v>190</v>
      </c>
      <c r="AD11" s="57">
        <f t="shared" si="1"/>
        <v>102.9859461818326</v>
      </c>
      <c r="AE11" s="55">
        <v>185</v>
      </c>
      <c r="AF11" s="57">
        <f t="shared" si="2"/>
        <v>42.180912652297032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89.816310441248532</v>
      </c>
      <c r="AC12" s="58">
        <v>325</v>
      </c>
      <c r="AD12" s="60">
        <f t="shared" si="1"/>
        <v>64.002142123508037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LINEST(AE34:AE38,AC34:AC38^{1,2})</f>
        <v>3.7828712118503624E-2</v>
      </c>
      <c r="Q13" s="51">
        <v>-1.6742262352265163</v>
      </c>
      <c r="R13" s="51">
        <v>28.841102549757807</v>
      </c>
      <c r="U13" s="39" t="s">
        <v>43</v>
      </c>
      <c r="V13" t="s">
        <v>44</v>
      </c>
      <c r="W13" s="9">
        <f>$P$13*J3^2+$Q$13*J3+$R$13</f>
        <v>16.315780096029933</v>
      </c>
      <c r="X13" t="s">
        <v>49</v>
      </c>
      <c r="Y13" t="s">
        <v>592</v>
      </c>
    </row>
    <row r="14" spans="3:34" x14ac:dyDescent="0.15">
      <c r="C14" s="8">
        <v>-3.1350000000000003E-2</v>
      </c>
      <c r="D14" s="8">
        <v>1.7721</v>
      </c>
      <c r="E14" s="8">
        <v>340</v>
      </c>
      <c r="H14" s="2"/>
      <c r="V14" t="s">
        <v>52</v>
      </c>
      <c r="W14" s="3">
        <f>IF(W13&gt;Y14,Y14,W13)</f>
        <v>16.315780096029933</v>
      </c>
      <c r="X14" t="s">
        <v>49</v>
      </c>
      <c r="Y14">
        <v>168</v>
      </c>
    </row>
    <row r="15" spans="3:34" x14ac:dyDescent="0.15">
      <c r="C15" s="2"/>
      <c r="D15" s="2"/>
      <c r="E15" s="2"/>
      <c r="H15" s="2"/>
    </row>
    <row r="16" spans="3:34" ht="14" thickBot="1" x14ac:dyDescent="0.2">
      <c r="C16" s="2" t="s">
        <v>411</v>
      </c>
      <c r="D16" s="1"/>
      <c r="E16" s="1"/>
      <c r="H16" s="1"/>
      <c r="V16" t="s">
        <v>44</v>
      </c>
      <c r="W16">
        <f>'Laskenta tulopuoli 53mini_ENT'!W13</f>
        <v>19.704150231876277</v>
      </c>
    </row>
    <row r="17" spans="3:45" x14ac:dyDescent="0.15">
      <c r="C17" t="s">
        <v>11</v>
      </c>
      <c r="D17" s="1"/>
      <c r="E17" s="1"/>
      <c r="H17" s="1"/>
      <c r="P17" s="228" t="s">
        <v>605</v>
      </c>
      <c r="Q17" s="230"/>
      <c r="R17" s="231"/>
      <c r="V17" t="s">
        <v>73</v>
      </c>
      <c r="W17">
        <v>4.4000000000000004</v>
      </c>
    </row>
    <row r="18" spans="3:45" x14ac:dyDescent="0.15">
      <c r="C18" t="s">
        <v>4</v>
      </c>
      <c r="D18" t="s">
        <v>5</v>
      </c>
      <c r="E18" t="s">
        <v>6</v>
      </c>
      <c r="H18" s="1"/>
      <c r="P18" s="232" t="s">
        <v>606</v>
      </c>
      <c r="Q18">
        <v>350</v>
      </c>
      <c r="R18" s="364" t="s">
        <v>14</v>
      </c>
    </row>
    <row r="19" spans="3:45" x14ac:dyDescent="0.15">
      <c r="C19" s="8">
        <v>-2.5105053209823747E-2</v>
      </c>
      <c r="D19" s="8">
        <v>0.62918233099532539</v>
      </c>
      <c r="E19" s="8">
        <v>203.12816361709667</v>
      </c>
      <c r="P19" s="232" t="s">
        <v>607</v>
      </c>
      <c r="Q19">
        <v>0.32</v>
      </c>
      <c r="R19" s="364"/>
      <c r="V19" s="74" t="s">
        <v>74</v>
      </c>
      <c r="W19" s="77">
        <f>W13+W16+W17</f>
        <v>40.419930327906208</v>
      </c>
      <c r="X19" s="75" t="s">
        <v>49</v>
      </c>
      <c r="AB19" s="6"/>
      <c r="AC19" s="6"/>
    </row>
    <row r="20" spans="3:45" x14ac:dyDescent="0.15">
      <c r="C20" s="2"/>
      <c r="D20" s="2"/>
      <c r="E20" s="2"/>
      <c r="H20" s="1"/>
      <c r="P20" s="232"/>
      <c r="R20" s="364"/>
      <c r="AB20" s="6"/>
      <c r="AC20" s="6"/>
    </row>
    <row r="21" spans="3:45" ht="14" thickBot="1" x14ac:dyDescent="0.2">
      <c r="C21" s="2" t="s">
        <v>409</v>
      </c>
      <c r="D21" s="1"/>
      <c r="E21" s="1"/>
      <c r="H21" s="1"/>
      <c r="P21" s="236" t="b">
        <f>IF(AND(L3&gt;Q18,U29&gt;Q19),FALSE,TRUE)</f>
        <v>1</v>
      </c>
      <c r="Q21" s="238"/>
      <c r="R21" s="239"/>
      <c r="V21" t="s">
        <v>78</v>
      </c>
      <c r="W21">
        <f>MAX(J3,'Laskenta poistopuoli 60_ENT'!J3)</f>
        <v>34.722222222222221</v>
      </c>
      <c r="X21" t="s">
        <v>13</v>
      </c>
      <c r="AB21" s="6"/>
      <c r="AC21" s="6"/>
    </row>
    <row r="22" spans="3:45" ht="15" x14ac:dyDescent="0.15">
      <c r="C22" t="s">
        <v>11</v>
      </c>
      <c r="D22" s="1"/>
      <c r="E22" s="1"/>
      <c r="H22" s="1"/>
      <c r="V22" t="s">
        <v>75</v>
      </c>
      <c r="W22">
        <f>W19/W21</f>
        <v>1.1640939934436989</v>
      </c>
      <c r="X22" t="s">
        <v>77</v>
      </c>
      <c r="AB22" s="6"/>
      <c r="AC22" s="6"/>
    </row>
    <row r="23" spans="3:45" x14ac:dyDescent="0.15">
      <c r="C23" t="s">
        <v>4</v>
      </c>
      <c r="D23" t="s">
        <v>5</v>
      </c>
      <c r="E23" t="s">
        <v>6</v>
      </c>
      <c r="H23" s="1"/>
      <c r="P23">
        <v>80</v>
      </c>
      <c r="Q23">
        <f>$C$27*P23^2+$D$27*P23+$E$27</f>
        <v>382.29368625398979</v>
      </c>
    </row>
    <row r="24" spans="3:45" x14ac:dyDescent="0.15">
      <c r="C24" s="8">
        <v>-2.2466600463323962E-2</v>
      </c>
      <c r="D24" s="8">
        <v>3.287270399782534E-3</v>
      </c>
      <c r="E24" s="8">
        <v>94.925239848174741</v>
      </c>
      <c r="H24" s="1"/>
      <c r="P24">
        <v>90</v>
      </c>
      <c r="Q24">
        <f t="shared" ref="Q24:Q25" si="3">$C$27*P24^2+$D$27*P24+$E$27</f>
        <v>354.53081848682547</v>
      </c>
    </row>
    <row r="25" spans="3:45" x14ac:dyDescent="0.15">
      <c r="E25" s="2"/>
      <c r="F25" s="2"/>
      <c r="G25" s="2"/>
      <c r="H25" s="1"/>
      <c r="P25">
        <v>135</v>
      </c>
      <c r="Q25">
        <f t="shared" si="3"/>
        <v>131.92949072175963</v>
      </c>
    </row>
    <row r="26" spans="3:45" x14ac:dyDescent="0.15">
      <c r="C26" s="2" t="s">
        <v>591</v>
      </c>
    </row>
    <row r="27" spans="3:45" x14ac:dyDescent="0.15">
      <c r="C27" s="8">
        <v>-3.946198901528352E-2</v>
      </c>
      <c r="D27" s="8">
        <v>3.9322513558817733</v>
      </c>
      <c r="E27" s="8">
        <v>320.27030748126242</v>
      </c>
      <c r="U27" t="s">
        <v>37</v>
      </c>
    </row>
    <row r="28" spans="3:45" x14ac:dyDescent="0.15">
      <c r="C28" s="466" t="s">
        <v>594</v>
      </c>
      <c r="U28" s="4" t="s">
        <v>17</v>
      </c>
    </row>
    <row r="29" spans="3:45" x14ac:dyDescent="0.15">
      <c r="U29" s="4">
        <f>(L3/J3)^2/L3</f>
        <v>7.4649599999999997E-2</v>
      </c>
    </row>
    <row r="31" spans="3:45" x14ac:dyDescent="0.15">
      <c r="U31" s="2" t="s">
        <v>16</v>
      </c>
      <c r="AS31" s="2" t="s">
        <v>1110</v>
      </c>
    </row>
    <row r="32" spans="3:4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</row>
    <row r="34" spans="21:49" x14ac:dyDescent="0.15">
      <c r="U34" s="35">
        <v>10</v>
      </c>
      <c r="V34" s="98">
        <f>C9</f>
        <v>-6.5820291370216596E-2</v>
      </c>
      <c r="W34" s="99">
        <f>D9</f>
        <v>8.4393533003468324</v>
      </c>
      <c r="X34" s="100">
        <f>E9</f>
        <v>232.97871499992539</v>
      </c>
      <c r="Y34" s="36">
        <f>C9-U29</f>
        <v>-0.14046989137021659</v>
      </c>
      <c r="Z34" s="28">
        <f>(-W34+SQRT(W34^2-(4*Y34*X34)))/(2*Y34)</f>
        <v>-20.566125184034913</v>
      </c>
      <c r="AA34" s="29">
        <f>(-W34-SQRT(W34^2-(4*Y34*X34)))/(2*Y34)</f>
        <v>80.645571519651597</v>
      </c>
      <c r="AB34" s="36">
        <f>AB6</f>
        <v>149.37198438834608</v>
      </c>
      <c r="AC34" s="53">
        <f>IF(Z34&lt;0,AA34,IF(Z34&gt;AB34,AA34,Z34))</f>
        <v>80.645571519651597</v>
      </c>
      <c r="AD34" s="53">
        <f>V34*AC34^2+W34*AC34+X34</f>
        <v>485.49921607455474</v>
      </c>
      <c r="AE34" s="53">
        <f>X51*AC34^2+Y51*AC34+Z51</f>
        <v>137.58301783919649</v>
      </c>
      <c r="AF34" s="53">
        <f>$H$60*AC34^2+$I$60*AC34+$J$60</f>
        <v>64.198202762053668</v>
      </c>
      <c r="AG34" s="53">
        <f>$R$60*AC34^2+$S$60*AC34+$T$60</f>
        <v>76.995404581124063</v>
      </c>
      <c r="AI34">
        <v>10</v>
      </c>
      <c r="AJ34" s="3">
        <f>AC34</f>
        <v>80.645571519651597</v>
      </c>
      <c r="AL34">
        <v>10</v>
      </c>
      <c r="AM34" s="3">
        <f>AJ34</f>
        <v>80.645571519651597</v>
      </c>
      <c r="AS34" s="616">
        <f>AC34/$J$3-1</f>
        <v>1.322592459765966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C14</f>
        <v>-3.1350000000000003E-2</v>
      </c>
      <c r="W35" s="99">
        <f>D14</f>
        <v>1.7721</v>
      </c>
      <c r="X35" s="100">
        <f>E14</f>
        <v>340</v>
      </c>
      <c r="Y35" s="36">
        <f>C14-U29</f>
        <v>-0.1059996</v>
      </c>
      <c r="Z35" s="28">
        <f t="shared" ref="Z35:Z38" si="4">(-W35+SQRT(W35^2-(4*Y35*X35)))/(2*Y35)</f>
        <v>-48.88986689103335</v>
      </c>
      <c r="AA35" s="29">
        <f t="shared" ref="AA35:AA38" si="5">(-W35-SQRT(W35^2-(4*Y35*X35)))/(2*Y35)</f>
        <v>65.607854506080955</v>
      </c>
      <c r="AB35" s="36">
        <f>AD6</f>
        <v>133.17332240375293</v>
      </c>
      <c r="AC35" s="53">
        <f t="shared" ref="AC35:AC38" si="6">IF(Z35&lt;0,AA35,IF(Z35&gt;AB35,AA35,Z35))</f>
        <v>65.607854506080955</v>
      </c>
      <c r="AD35" s="53">
        <f>V35*AC35^2+W35*AC35+X35</f>
        <v>321.3210345100905</v>
      </c>
      <c r="AE35" s="53">
        <f t="shared" ref="AE35:AE37" si="7">X52*AC35^2+Y52*AC35+Z52</f>
        <v>79.155355991982901</v>
      </c>
      <c r="AF35" s="53">
        <f>$H$65*AC35^2+$I$65*AC35+$J$65</f>
        <v>60.78075482868131</v>
      </c>
      <c r="AG35" s="53">
        <f>$R$65*AC35^2+$S$65*AC35+$T$65</f>
        <v>73.046605586184342</v>
      </c>
      <c r="AI35">
        <v>8</v>
      </c>
      <c r="AJ35" s="3">
        <f t="shared" ref="AJ35:AJ38" si="8">AC35</f>
        <v>65.607854506080955</v>
      </c>
      <c r="AL35">
        <v>9</v>
      </c>
      <c r="AM35" s="3">
        <f>AJ38</f>
        <v>72.938998778367932</v>
      </c>
      <c r="AO35">
        <v>9</v>
      </c>
      <c r="AP35">
        <f>Q9*AO35+R9</f>
        <v>73.440174890889665</v>
      </c>
      <c r="AQ35" t="s">
        <v>13</v>
      </c>
      <c r="AS35" t="s">
        <v>1114</v>
      </c>
      <c r="AV35" t="s">
        <v>1116</v>
      </c>
    </row>
    <row r="36" spans="21:49" x14ac:dyDescent="0.15">
      <c r="U36" s="35">
        <v>6</v>
      </c>
      <c r="V36" s="98">
        <f>C19</f>
        <v>-2.5105053209823747E-2</v>
      </c>
      <c r="W36" s="99">
        <f>D19</f>
        <v>0.62918233099532539</v>
      </c>
      <c r="X36" s="100">
        <f>E19</f>
        <v>203.12816361709667</v>
      </c>
      <c r="Y36" s="36">
        <f>C19-U29</f>
        <v>-9.975465320982374E-2</v>
      </c>
      <c r="Z36" s="28">
        <f t="shared" si="4"/>
        <v>-42.081548326847148</v>
      </c>
      <c r="AA36" s="29">
        <f t="shared" si="5"/>
        <v>48.388846390145559</v>
      </c>
      <c r="AB36" s="36">
        <f>AF6</f>
        <v>99.999058386718588</v>
      </c>
      <c r="AC36" s="53">
        <f t="shared" si="6"/>
        <v>48.388846390145559</v>
      </c>
      <c r="AD36" s="53">
        <f>V36*AC36^2+W36*AC36+X36</f>
        <v>174.79057937126154</v>
      </c>
      <c r="AE36" s="53">
        <f t="shared" si="7"/>
        <v>35.951394967333044</v>
      </c>
      <c r="AF36" s="53">
        <f>$H$70*AC36^2+$I$70*AC36+$J$70</f>
        <v>54.120361064929838</v>
      </c>
      <c r="AG36" s="53">
        <f>$R$70*AC36^2+$S$70*AC36+$T$70</f>
        <v>65.050243860540661</v>
      </c>
      <c r="AI36">
        <v>6</v>
      </c>
      <c r="AJ36" s="3">
        <f t="shared" si="8"/>
        <v>48.388846390145559</v>
      </c>
      <c r="AL36">
        <v>8</v>
      </c>
      <c r="AM36" s="3">
        <f>AJ35</f>
        <v>65.607854506080955</v>
      </c>
      <c r="AS36" s="279">
        <f>Tulokset_ENT!$CS$16</f>
        <v>41.666666666666664</v>
      </c>
      <c r="AT36" t="s">
        <v>13</v>
      </c>
      <c r="AV36" s="617">
        <f>IF($AS$36&gt;$AM$35,($AS$36-$R$10)/$Q$10,($AS$36-$R$9)/$Q$9)</f>
        <v>5.2146373870986267</v>
      </c>
      <c r="AW36" t="s">
        <v>25</v>
      </c>
    </row>
    <row r="37" spans="21:49" ht="14" thickBot="1" x14ac:dyDescent="0.2">
      <c r="U37" s="38">
        <v>4</v>
      </c>
      <c r="V37" s="101">
        <f>C24</f>
        <v>-2.2466600463323962E-2</v>
      </c>
      <c r="W37" s="102">
        <f>D24</f>
        <v>3.287270399782534E-3</v>
      </c>
      <c r="X37" s="103">
        <f>E24</f>
        <v>94.925239848174741</v>
      </c>
      <c r="Y37" s="37">
        <f>C24-U29</f>
        <v>-9.7116200463323962E-2</v>
      </c>
      <c r="Z37" s="30">
        <f t="shared" si="4"/>
        <v>-31.247113859375169</v>
      </c>
      <c r="AA37" s="31">
        <f t="shared" si="5"/>
        <v>31.280962695965766</v>
      </c>
      <c r="AB37" s="37">
        <f>AH6</f>
        <v>61.555446560450939</v>
      </c>
      <c r="AC37" s="53">
        <f t="shared" si="6"/>
        <v>31.280962695965766</v>
      </c>
      <c r="AD37" s="53">
        <f>V37*AC37^2+W37*AC37+X37</f>
        <v>73.044531120014014</v>
      </c>
      <c r="AE37" s="53">
        <f t="shared" si="7"/>
        <v>13.80201235556201</v>
      </c>
      <c r="AF37" s="53">
        <f>$H$75*AC37^2+$I$75*AC37+$J$75</f>
        <v>43.499651470027679</v>
      </c>
      <c r="AG37" s="53">
        <f>$R$75*AC37^2+$S$75*AC37+$T$75</f>
        <v>55.880456465574987</v>
      </c>
      <c r="AI37">
        <v>4</v>
      </c>
      <c r="AJ37" s="3">
        <f t="shared" si="8"/>
        <v>31.280962695965766</v>
      </c>
      <c r="AL37">
        <v>6</v>
      </c>
      <c r="AM37" s="3">
        <f t="shared" ref="AM37:AM38" si="9">AJ36</f>
        <v>48.388846390145559</v>
      </c>
      <c r="AS37" s="279">
        <f>Tulokset_ENT!$CS$17</f>
        <v>129.59999999999997</v>
      </c>
      <c r="AT37" t="s">
        <v>14</v>
      </c>
    </row>
    <row r="38" spans="21:49" ht="14" thickBot="1" x14ac:dyDescent="0.2">
      <c r="U38" s="468">
        <v>9</v>
      </c>
      <c r="V38" s="469">
        <f>C27</f>
        <v>-3.946198901528352E-2</v>
      </c>
      <c r="W38" s="469">
        <f t="shared" ref="W38:X38" si="10">D27</f>
        <v>3.9322513558817733</v>
      </c>
      <c r="X38" s="469">
        <f t="shared" si="10"/>
        <v>320.27030748126242</v>
      </c>
      <c r="Y38" s="470">
        <f>C27-U29</f>
        <v>-0.11411158901528351</v>
      </c>
      <c r="Z38" s="471">
        <f t="shared" si="4"/>
        <v>-38.479296746218438</v>
      </c>
      <c r="AA38" s="472">
        <f t="shared" si="5"/>
        <v>72.938998778367932</v>
      </c>
      <c r="AB38" s="473">
        <v>120</v>
      </c>
      <c r="AC38" s="474">
        <f t="shared" si="6"/>
        <v>72.938998778367932</v>
      </c>
      <c r="AD38" s="475">
        <f>V38*AC38^2+W38*AC38+X38</f>
        <v>397.14315353031293</v>
      </c>
      <c r="AE38" s="53">
        <f>X55*AC38^2+Y55*AC38+Z55</f>
        <v>113.05016746907802</v>
      </c>
      <c r="AI38">
        <v>9</v>
      </c>
      <c r="AJ38" s="3">
        <f t="shared" si="8"/>
        <v>72.938998778367932</v>
      </c>
      <c r="AL38">
        <v>4</v>
      </c>
      <c r="AM38" s="3">
        <f t="shared" si="9"/>
        <v>31.280962695965766</v>
      </c>
    </row>
    <row r="40" spans="21:49" x14ac:dyDescent="0.15">
      <c r="U40" s="2" t="s">
        <v>35</v>
      </c>
      <c r="W40" t="s">
        <v>36</v>
      </c>
    </row>
    <row r="42" spans="21:49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15">
      <c r="U43" s="10" t="s">
        <v>55</v>
      </c>
      <c r="V43" s="21"/>
      <c r="W43" s="49">
        <v>11</v>
      </c>
      <c r="X43" s="49">
        <v>9</v>
      </c>
      <c r="Y43" s="49">
        <v>2</v>
      </c>
      <c r="Z43" s="49">
        <v>-3</v>
      </c>
      <c r="AA43" s="49">
        <v>-6</v>
      </c>
      <c r="AB43" s="49">
        <v>-13</v>
      </c>
      <c r="AC43" s="49">
        <v>-24</v>
      </c>
      <c r="AD43" s="49">
        <v>-32</v>
      </c>
      <c r="AE43" s="39" t="s">
        <v>42</v>
      </c>
      <c r="AF43" s="53">
        <f>$W$5+W43</f>
        <v>57.219392022125092</v>
      </c>
      <c r="AG43" s="53">
        <f t="shared" ref="AG43:AM43" si="11">$W$5+X43</f>
        <v>55.219392022125092</v>
      </c>
      <c r="AH43" s="53">
        <f t="shared" si="11"/>
        <v>48.219392022125092</v>
      </c>
      <c r="AI43" s="53">
        <f t="shared" si="11"/>
        <v>43.219392022125092</v>
      </c>
      <c r="AJ43" s="53">
        <f t="shared" si="11"/>
        <v>40.219392022125092</v>
      </c>
      <c r="AK43" s="53">
        <f t="shared" si="11"/>
        <v>33.219392022125092</v>
      </c>
      <c r="AL43" s="53">
        <f t="shared" si="11"/>
        <v>22.219392022125092</v>
      </c>
      <c r="AM43" s="53">
        <f t="shared" si="11"/>
        <v>14.219392022125092</v>
      </c>
      <c r="AN43" s="5">
        <f t="array" ref="AN43">10*LOG10(SUM(10^(AF43:AM43/10)))</f>
        <v>59.822397618171699</v>
      </c>
      <c r="AO43" s="5">
        <f t="array" ref="AO43">10*LOG10(SUM(10^((AF43:AM43+AF46:AM46)/10)))</f>
        <v>46.247974530656947</v>
      </c>
      <c r="AP43" t="str">
        <f>IF(ABS(W5-AO43)&lt;0.5,"OK","Tarkista laskenta!")</f>
        <v>OK</v>
      </c>
    </row>
    <row r="44" spans="21:49" x14ac:dyDescent="0.15">
      <c r="U44" s="14" t="s">
        <v>56</v>
      </c>
      <c r="V44" s="26"/>
      <c r="W44" s="49">
        <v>9</v>
      </c>
      <c r="X44" s="49">
        <v>7</v>
      </c>
      <c r="Y44" s="49">
        <v>3</v>
      </c>
      <c r="Z44" s="49">
        <v>-3</v>
      </c>
      <c r="AA44" s="49">
        <v>-7</v>
      </c>
      <c r="AB44" s="49">
        <v>-9</v>
      </c>
      <c r="AC44" s="49">
        <v>-16</v>
      </c>
      <c r="AD44" s="49">
        <v>-26</v>
      </c>
      <c r="AE44" s="39" t="s">
        <v>43</v>
      </c>
      <c r="AF44" s="53">
        <f>$W$6+W44</f>
        <v>67.072136755219844</v>
      </c>
      <c r="AG44" s="53">
        <f t="shared" ref="AG44:AM44" si="12">$W$6+X44</f>
        <v>65.072136755219844</v>
      </c>
      <c r="AH44" s="53">
        <f t="shared" si="12"/>
        <v>61.072136755219844</v>
      </c>
      <c r="AI44" s="53">
        <f t="shared" si="12"/>
        <v>55.072136755219844</v>
      </c>
      <c r="AJ44" s="53">
        <f t="shared" si="12"/>
        <v>51.072136755219844</v>
      </c>
      <c r="AK44" s="53">
        <f t="shared" si="12"/>
        <v>49.072136755219844</v>
      </c>
      <c r="AL44" s="53">
        <f t="shared" si="12"/>
        <v>42.072136755219844</v>
      </c>
      <c r="AM44" s="53">
        <f t="shared" si="12"/>
        <v>32.072136755219844</v>
      </c>
      <c r="AN44" s="5">
        <f t="array" ref="AN44">10*LOG10(SUM(10^(AF44:AM44/10)))</f>
        <v>70.059986613851606</v>
      </c>
      <c r="AO44" s="5">
        <f t="array" ref="AO44">10*LOG10(SUM(10^((AF44:AM44+AF46:AM46)/10)))</f>
        <v>58.31060645604456</v>
      </c>
      <c r="AP44" t="str">
        <f>IF(ABS(W6-AO44)&lt;0.5,"OK","Tarkista laskenta!")</f>
        <v>OK</v>
      </c>
    </row>
    <row r="46" spans="21:49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LINEST(Y63:Y68,X63:X68^{1,2})</f>
        <v>-3.0274832563156016E-3</v>
      </c>
      <c r="Y51" s="54">
        <v>1.3879338969223955</v>
      </c>
      <c r="Z51" s="54">
        <v>45.342163187206395</v>
      </c>
    </row>
    <row r="52" spans="3:26" x14ac:dyDescent="0.15">
      <c r="W52" t="s">
        <v>408</v>
      </c>
      <c r="X52" s="54">
        <f t="array" ref="X52:Z52">LINEST(Y70:Y76,X70:X76^{1,2})</f>
        <v>-6.9375042848578584E-4</v>
      </c>
      <c r="Y52" s="54">
        <v>0.77076346759496583</v>
      </c>
      <c r="Z52" s="54">
        <v>31.573391355723313</v>
      </c>
    </row>
    <row r="53" spans="3:26" x14ac:dyDescent="0.15">
      <c r="W53" t="s">
        <v>411</v>
      </c>
      <c r="X53" s="54">
        <f t="array" ref="X53:Z53">LINEST(Y78:Y82,X78:X82^{1,2})</f>
        <v>7.6069351029504787E-4</v>
      </c>
      <c r="Y53" s="54">
        <v>0.31458730059891832</v>
      </c>
      <c r="Z53" s="54">
        <v>18.947729415783744</v>
      </c>
    </row>
    <row r="54" spans="3:26" x14ac:dyDescent="0.15">
      <c r="W54" t="s">
        <v>409</v>
      </c>
      <c r="X54" s="54">
        <f t="array" ref="X54:Z54">LINEST(Y86:Y89,X86:X89^{1,2})</f>
        <v>8.5683317291663282E-4</v>
      </c>
      <c r="Y54" s="54">
        <v>0.11014162815087163</v>
      </c>
      <c r="Z54" s="54">
        <v>9.5182661106749684</v>
      </c>
    </row>
    <row r="55" spans="3:26" x14ac:dyDescent="0.15">
      <c r="W55" t="s">
        <v>590</v>
      </c>
      <c r="X55" s="54">
        <f t="array" ref="X55:Z55">LINEST(Y92:Y96,X92:X96^{1,2})</f>
        <v>9.9771165119116856E-4</v>
      </c>
      <c r="Y55" s="54">
        <v>0.77679628183755234</v>
      </c>
      <c r="Z55" s="54">
        <v>51.083501113172183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598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598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142.33692589140077</v>
      </c>
      <c r="E59" s="68">
        <v>63.504792074772809</v>
      </c>
      <c r="F59" s="69">
        <v>168.33790315370854</v>
      </c>
      <c r="H59" t="s">
        <v>4</v>
      </c>
      <c r="I59" t="s">
        <v>5</v>
      </c>
      <c r="K59" s="24"/>
      <c r="M59" s="10" t="s">
        <v>3</v>
      </c>
      <c r="N59" s="67">
        <v>142.31089483268275</v>
      </c>
      <c r="O59" s="68">
        <v>76.38069339977983</v>
      </c>
      <c r="P59" s="69">
        <v>167.82975742013372</v>
      </c>
      <c r="R59" t="s">
        <v>4</v>
      </c>
      <c r="S59" t="s">
        <v>5</v>
      </c>
      <c r="T59" s="24" t="s">
        <v>6</v>
      </c>
      <c r="W59" s="10" t="s">
        <v>3</v>
      </c>
      <c r="X59" s="476">
        <v>145.93280562131633</v>
      </c>
      <c r="Y59" s="476">
        <v>171.33659884692841</v>
      </c>
    </row>
    <row r="60" spans="3:26" x14ac:dyDescent="0.15">
      <c r="C60" s="12"/>
      <c r="D60" s="67">
        <v>135.55354520352333</v>
      </c>
      <c r="E60" s="68">
        <v>63.293976534273817</v>
      </c>
      <c r="F60" s="69">
        <v>167.96119247536888</v>
      </c>
      <c r="H60" s="2">
        <f t="array" ref="H60:J60">LINEST(E59:E62,D59:D62^{1,2})</f>
        <v>-9.1850769573138257E-5</v>
      </c>
      <c r="I60" s="2">
        <v>7.2580390796304749E-3</v>
      </c>
      <c r="J60" s="2">
        <v>64.210244656140446</v>
      </c>
      <c r="K60" s="24"/>
      <c r="M60" s="12"/>
      <c r="N60" s="67">
        <v>135.75297833011399</v>
      </c>
      <c r="O60" s="68">
        <v>75.606125966760828</v>
      </c>
      <c r="P60" s="69">
        <v>167.76294559554921</v>
      </c>
      <c r="R60" s="2">
        <f t="array" ref="R60:T60">LINEST(O59:O62,N59:N62^{1,2})</f>
        <v>1.581334526101662E-3</v>
      </c>
      <c r="S60" s="2">
        <v>-0.36419370419520597</v>
      </c>
      <c r="T60" s="27">
        <v>96.081475666391881</v>
      </c>
      <c r="W60" s="12"/>
      <c r="X60" s="476">
        <v>141.05384772765888</v>
      </c>
      <c r="Y60" s="476">
        <v>171.20476167067767</v>
      </c>
    </row>
    <row r="61" spans="3:26" x14ac:dyDescent="0.15">
      <c r="C61" s="12"/>
      <c r="D61" s="67">
        <v>120.87292567048598</v>
      </c>
      <c r="E61" s="68">
        <v>63.858494061413182</v>
      </c>
      <c r="F61" s="69">
        <v>167.82594932956198</v>
      </c>
      <c r="K61" s="24"/>
      <c r="M61" s="12"/>
      <c r="N61" s="67">
        <v>121.88498248796257</v>
      </c>
      <c r="O61" s="68">
        <v>75.27508361363077</v>
      </c>
      <c r="P61" s="69">
        <v>167.4384519738862</v>
      </c>
      <c r="T61" s="24"/>
      <c r="W61" s="12"/>
      <c r="X61" s="476">
        <v>137.14938858370206</v>
      </c>
      <c r="Y61" s="476">
        <v>170.53321022331545</v>
      </c>
    </row>
    <row r="62" spans="3:26" x14ac:dyDescent="0.15">
      <c r="C62" s="14"/>
      <c r="D62" s="67">
        <v>99.354279744439367</v>
      </c>
      <c r="E62" s="68">
        <v>64.001811053093547</v>
      </c>
      <c r="F62" s="69">
        <v>159.19453835625194</v>
      </c>
      <c r="K62" s="24"/>
      <c r="M62" s="14"/>
      <c r="N62" s="67">
        <v>98.845904208709058</v>
      </c>
      <c r="O62" s="68">
        <v>75.51677763329937</v>
      </c>
      <c r="P62" s="69">
        <v>158.82836306866963</v>
      </c>
      <c r="T62" s="24"/>
      <c r="W62" s="12"/>
      <c r="X62" s="476">
        <v>131.55494143634706</v>
      </c>
      <c r="Y62" s="476">
        <v>170.80421961235893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6">
        <v>126.45313821471686</v>
      </c>
      <c r="Y63" s="476">
        <v>170.40340335914607</v>
      </c>
    </row>
    <row r="64" spans="3:26" x14ac:dyDescent="0.15">
      <c r="C64" s="10" t="s">
        <v>408</v>
      </c>
      <c r="D64" s="67">
        <v>124.39615122000632</v>
      </c>
      <c r="E64" s="68">
        <v>60.755407441724529</v>
      </c>
      <c r="F64" s="69">
        <v>113.60317789708478</v>
      </c>
      <c r="H64" t="s">
        <v>4</v>
      </c>
      <c r="I64" t="s">
        <v>5</v>
      </c>
      <c r="K64" s="24"/>
      <c r="M64" s="10" t="s">
        <v>408</v>
      </c>
      <c r="N64" s="67">
        <v>124.39645653823712</v>
      </c>
      <c r="O64" s="68">
        <v>73.274158998284477</v>
      </c>
      <c r="P64" s="69">
        <v>113.30264950492825</v>
      </c>
      <c r="R64" t="s">
        <v>4</v>
      </c>
      <c r="S64" t="s">
        <v>5</v>
      </c>
      <c r="T64" s="24" t="s">
        <v>6</v>
      </c>
      <c r="W64" s="12"/>
      <c r="X64" s="476">
        <v>121.46818656102965</v>
      </c>
      <c r="Y64" s="476">
        <v>169.75780539499809</v>
      </c>
    </row>
    <row r="65" spans="3:25" x14ac:dyDescent="0.15">
      <c r="C65" s="12"/>
      <c r="D65" s="67">
        <v>115.28578026929198</v>
      </c>
      <c r="E65" s="68">
        <v>59.863910817556906</v>
      </c>
      <c r="F65" s="69">
        <v>105.55857205937565</v>
      </c>
      <c r="H65" s="2">
        <f t="array" ref="H65:J65">LINEST(E64:E67,D64:D67^{1,2})</f>
        <v>1.6134374569970276E-3</v>
      </c>
      <c r="I65" s="2">
        <v>-0.30791360766971593</v>
      </c>
      <c r="J65" s="2">
        <v>74.03744102127115</v>
      </c>
      <c r="K65" s="24"/>
      <c r="M65" s="12"/>
      <c r="N65" s="67">
        <v>115.27995865272432</v>
      </c>
      <c r="O65" s="68">
        <v>72.04948224384114</v>
      </c>
      <c r="P65" s="69">
        <v>105.29860193076772</v>
      </c>
      <c r="R65" s="2">
        <f t="array" ref="R65:T65">LINEST(O64:O67,N64:N67^{1,2})</f>
        <v>2.5889618018373542E-3</v>
      </c>
      <c r="S65" s="2">
        <v>-0.48813921193497006</v>
      </c>
      <c r="T65" s="27">
        <v>93.928469208123047</v>
      </c>
      <c r="W65" s="12"/>
      <c r="X65" s="476">
        <v>113.97454094383536</v>
      </c>
      <c r="Y65" s="476">
        <v>167.39901054092508</v>
      </c>
    </row>
    <row r="66" spans="3:25" x14ac:dyDescent="0.15">
      <c r="C66" s="12"/>
      <c r="D66" s="67">
        <v>101.60052829387213</v>
      </c>
      <c r="E66" s="68">
        <v>59.500309027733529</v>
      </c>
      <c r="F66" s="69">
        <v>97.976349714782643</v>
      </c>
      <c r="K66" s="24"/>
      <c r="M66" s="12"/>
      <c r="N66" s="67">
        <v>101.91624124775765</v>
      </c>
      <c r="O66" s="68">
        <v>71.079127309114256</v>
      </c>
      <c r="P66" s="69">
        <v>97.765855378849452</v>
      </c>
      <c r="T66" s="24"/>
      <c r="W66" s="12"/>
      <c r="X66" s="476">
        <v>98.894194031361593</v>
      </c>
      <c r="Y66" s="476">
        <v>151.94567006146681</v>
      </c>
    </row>
    <row r="67" spans="3:25" x14ac:dyDescent="0.15">
      <c r="C67" s="14"/>
      <c r="D67" s="67">
        <v>86.887542381488743</v>
      </c>
      <c r="E67" s="68">
        <v>59.437175303534943</v>
      </c>
      <c r="F67" s="69">
        <v>86.958592380060594</v>
      </c>
      <c r="K67" s="24"/>
      <c r="M67" s="14"/>
      <c r="N67" s="67">
        <v>83.81228756595587</v>
      </c>
      <c r="O67" s="68">
        <v>71.200535622630397</v>
      </c>
      <c r="P67" s="69">
        <v>86.752896620101637</v>
      </c>
      <c r="T67" s="24"/>
      <c r="W67" s="12"/>
      <c r="X67" s="476">
        <v>82.599850212683407</v>
      </c>
      <c r="Y67" s="476">
        <v>138.15078073532626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6">
        <v>59.628845690569321</v>
      </c>
      <c r="Y68" s="476">
        <v>117.90995300763927</v>
      </c>
    </row>
    <row r="69" spans="3:25" x14ac:dyDescent="0.15">
      <c r="C69" s="10" t="s">
        <v>411</v>
      </c>
      <c r="D69" s="67">
        <v>93.509550571045949</v>
      </c>
      <c r="E69" s="68">
        <v>54.415504897675802</v>
      </c>
      <c r="F69" s="69">
        <v>51.963408020334164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93.746035380865251</v>
      </c>
      <c r="O69" s="68">
        <v>66.574724987435175</v>
      </c>
      <c r="P69" s="69">
        <v>51.840740552727752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15">
      <c r="C70" s="12"/>
      <c r="D70" s="67">
        <v>84.603189103799437</v>
      </c>
      <c r="E70" s="68">
        <v>53.466522438874719</v>
      </c>
      <c r="F70" s="69">
        <v>49.172956811497492</v>
      </c>
      <c r="H70" s="2">
        <f t="array" ref="H70:J70">LINEST(E69:E72,D69:D72^{1,2})</f>
        <v>2.6630451607203005E-3</v>
      </c>
      <c r="I70" s="2">
        <v>-0.37155138973968388</v>
      </c>
      <c r="J70" s="2">
        <v>65.863835994561867</v>
      </c>
      <c r="K70" s="24"/>
      <c r="M70" s="12"/>
      <c r="N70" s="67">
        <v>83.885724032891446</v>
      </c>
      <c r="O70" s="68">
        <v>65.900228657656129</v>
      </c>
      <c r="P70" s="69">
        <v>49.063899227254822</v>
      </c>
      <c r="R70" s="2">
        <f t="array" ref="R70:T70">LINEST(O69:O72,N69:N72^{1,2})</f>
        <v>1.9061650395799758E-3</v>
      </c>
      <c r="S70" s="2">
        <v>-0.2353363488863206</v>
      </c>
      <c r="T70" s="27">
        <v>71.974650112696608</v>
      </c>
      <c r="W70" s="10" t="s">
        <v>408</v>
      </c>
      <c r="X70" s="68">
        <v>48.113768648848222</v>
      </c>
      <c r="Y70" s="68">
        <v>66.989400705630914</v>
      </c>
    </row>
    <row r="71" spans="3:25" x14ac:dyDescent="0.15">
      <c r="C71" s="12"/>
      <c r="D71" s="67">
        <v>73.637239543770193</v>
      </c>
      <c r="E71" s="68">
        <v>52.965459876340411</v>
      </c>
      <c r="F71" s="69">
        <v>44.587210284777143</v>
      </c>
      <c r="K71" s="24"/>
      <c r="M71" s="12"/>
      <c r="N71" s="67">
        <v>73.528916154304341</v>
      </c>
      <c r="O71" s="68">
        <v>64.745187392101812</v>
      </c>
      <c r="P71" s="69">
        <v>44.520187546631931</v>
      </c>
      <c r="T71" s="24"/>
      <c r="W71" s="12"/>
      <c r="X71" s="68">
        <v>69.725952249164479</v>
      </c>
      <c r="Y71" s="68">
        <v>81.624373459526382</v>
      </c>
    </row>
    <row r="72" spans="3:25" x14ac:dyDescent="0.15">
      <c r="C72" s="14"/>
      <c r="D72" s="67">
        <v>62.440986792248914</v>
      </c>
      <c r="E72" s="68">
        <v>53.03990267809472</v>
      </c>
      <c r="F72" s="69">
        <v>37.958786520928079</v>
      </c>
      <c r="K72" s="24"/>
      <c r="M72" s="14"/>
      <c r="N72" s="67">
        <v>61.604561271906874</v>
      </c>
      <c r="O72" s="68">
        <v>64.778560386905198</v>
      </c>
      <c r="P72" s="69">
        <v>37.896921857869309</v>
      </c>
      <c r="T72" s="24"/>
      <c r="W72" s="12"/>
      <c r="X72" s="68">
        <v>94.145823061534287</v>
      </c>
      <c r="Y72" s="68">
        <v>99.999477318025953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104.21457877159305</v>
      </c>
      <c r="Y73" s="68">
        <v>103.48805129721504</v>
      </c>
    </row>
    <row r="74" spans="3:25" x14ac:dyDescent="0.15">
      <c r="C74" s="10" t="s">
        <v>409</v>
      </c>
      <c r="D74" s="67">
        <v>58.440074597319764</v>
      </c>
      <c r="E74" s="68">
        <v>45.027312949970536</v>
      </c>
      <c r="F74" s="69">
        <v>18.288711059751751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58.419544531154315</v>
      </c>
      <c r="O74" s="68">
        <v>57.040901964604288</v>
      </c>
      <c r="P74" s="69">
        <v>18.223283778167332</v>
      </c>
      <c r="R74" t="s">
        <v>4</v>
      </c>
      <c r="S74" t="s">
        <v>5</v>
      </c>
      <c r="T74" s="24" t="s">
        <v>6</v>
      </c>
      <c r="W74" s="12"/>
      <c r="X74" s="68">
        <v>112.57223888931715</v>
      </c>
      <c r="Y74" s="68">
        <v>108.26752691162672</v>
      </c>
    </row>
    <row r="75" spans="3:25" x14ac:dyDescent="0.15">
      <c r="C75" s="12"/>
      <c r="D75" s="67">
        <v>52.756041556422801</v>
      </c>
      <c r="E75" s="68">
        <v>45.390878440304824</v>
      </c>
      <c r="F75" s="69">
        <v>17.173412186741277</v>
      </c>
      <c r="H75" s="2">
        <f t="array" ref="H75:J75">LINEST(E74:E77,D74:D77^{1,2})</f>
        <v>-3.866361630894018E-3</v>
      </c>
      <c r="I75" s="2">
        <v>0.40537622724715378</v>
      </c>
      <c r="J75" s="2">
        <v>34.602322375714095</v>
      </c>
      <c r="K75" s="24"/>
      <c r="M75" s="12"/>
      <c r="N75" s="67">
        <v>52.196889475840962</v>
      </c>
      <c r="O75" s="68">
        <v>56.496554636920223</v>
      </c>
      <c r="P75" s="69">
        <v>17.13701321504886</v>
      </c>
      <c r="R75" s="2">
        <f t="array" ref="R75:T75">LINEST(O74:O77,N74:N77^{1,2})</f>
        <v>3.1592328051334062E-3</v>
      </c>
      <c r="S75" s="2">
        <v>-0.23928025485327195</v>
      </c>
      <c r="T75" s="27">
        <v>60.274068228736084</v>
      </c>
      <c r="W75" s="12"/>
      <c r="X75" s="68">
        <v>121.08321064793208</v>
      </c>
      <c r="Y75" s="68">
        <v>114.19640879671721</v>
      </c>
    </row>
    <row r="76" spans="3:25" x14ac:dyDescent="0.15">
      <c r="C76" s="12"/>
      <c r="D76" s="67">
        <v>46.383102435328567</v>
      </c>
      <c r="E76" s="68">
        <v>44.940241651074359</v>
      </c>
      <c r="F76" s="69">
        <v>15.976519793234619</v>
      </c>
      <c r="K76" s="24"/>
      <c r="M76" s="12"/>
      <c r="N76" s="67">
        <v>45.892068901589042</v>
      </c>
      <c r="O76" s="68">
        <v>55.851746083342412</v>
      </c>
      <c r="P76" s="69">
        <v>15.9708209629559</v>
      </c>
      <c r="T76" s="24"/>
      <c r="W76" s="14"/>
      <c r="X76" s="68">
        <v>128.25979843355867</v>
      </c>
      <c r="Y76" s="68">
        <v>120.0773159902373</v>
      </c>
    </row>
    <row r="77" spans="3:25" x14ac:dyDescent="0.15">
      <c r="C77" s="14"/>
      <c r="D77" s="67">
        <v>39.332106321431894</v>
      </c>
      <c r="E77" s="71">
        <v>44.609229142732467</v>
      </c>
      <c r="F77" s="69">
        <v>14.286412768134158</v>
      </c>
      <c r="G77" s="25"/>
      <c r="H77" s="25"/>
      <c r="I77" s="25"/>
      <c r="J77" s="25"/>
      <c r="K77" s="26"/>
      <c r="M77" s="14"/>
      <c r="N77" s="67">
        <v>38.225352061782701</v>
      </c>
      <c r="O77" s="71">
        <v>55.770251275797165</v>
      </c>
      <c r="P77" s="69">
        <v>14.253213470630605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15">
      <c r="W78" s="10" t="s">
        <v>411</v>
      </c>
      <c r="X78" s="68">
        <v>95.288588606918864</v>
      </c>
      <c r="Y78" s="68">
        <v>55.926419615573145</v>
      </c>
    </row>
    <row r="79" spans="3:25" x14ac:dyDescent="0.15">
      <c r="F79" s="5"/>
      <c r="W79" s="12"/>
      <c r="X79" s="68">
        <v>84.236237037741418</v>
      </c>
      <c r="Y79" s="68">
        <v>50.599349202971588</v>
      </c>
    </row>
    <row r="80" spans="3:25" x14ac:dyDescent="0.15">
      <c r="F80" s="5"/>
      <c r="W80" s="12"/>
      <c r="X80" s="68">
        <v>67.284582916698795</v>
      </c>
      <c r="Y80" s="68">
        <v>43.796688567953638</v>
      </c>
    </row>
    <row r="81" spans="6:25" x14ac:dyDescent="0.15">
      <c r="F81" s="5"/>
      <c r="W81" s="12"/>
      <c r="X81" s="68">
        <v>38.781474840211665</v>
      </c>
      <c r="Y81" s="68">
        <v>32.110345134320482</v>
      </c>
    </row>
    <row r="82" spans="6:25" x14ac:dyDescent="0.15">
      <c r="F82" s="5"/>
      <c r="W82" s="12"/>
      <c r="X82" s="68">
        <v>28.199869006956831</v>
      </c>
      <c r="Y82" s="68">
        <v>28.517985540807324</v>
      </c>
    </row>
    <row r="83" spans="6:25" x14ac:dyDescent="0.15">
      <c r="W83" s="12"/>
      <c r="X83" s="17"/>
      <c r="Y83" s="13"/>
    </row>
    <row r="84" spans="6:25" x14ac:dyDescent="0.15">
      <c r="W84" s="14"/>
      <c r="X84" s="18"/>
      <c r="Y84" s="15"/>
    </row>
    <row r="85" spans="6:25" x14ac:dyDescent="0.15">
      <c r="W85" s="12"/>
      <c r="X85" s="16" t="s">
        <v>13</v>
      </c>
      <c r="Y85" s="11" t="s">
        <v>49</v>
      </c>
    </row>
    <row r="86" spans="6:25" x14ac:dyDescent="0.15">
      <c r="W86" s="10" t="s">
        <v>409</v>
      </c>
      <c r="X86" s="68">
        <v>18.229681878656653</v>
      </c>
      <c r="Y86" s="68">
        <v>11.829330691825657</v>
      </c>
    </row>
    <row r="87" spans="6:25" x14ac:dyDescent="0.15">
      <c r="F87" s="5"/>
      <c r="W87" s="12"/>
      <c r="X87" s="68">
        <v>38.356644506032225</v>
      </c>
      <c r="Y87" s="68">
        <v>14.906650602251696</v>
      </c>
    </row>
    <row r="88" spans="6:25" x14ac:dyDescent="0.15">
      <c r="F88" s="5"/>
      <c r="W88" s="12"/>
      <c r="X88" s="68">
        <v>50.652024686808119</v>
      </c>
      <c r="Y88" s="68">
        <v>17.447344781188477</v>
      </c>
    </row>
    <row r="89" spans="6:25" x14ac:dyDescent="0.15">
      <c r="F89" s="5"/>
      <c r="W89" s="12"/>
      <c r="X89" s="68">
        <v>58.713396920140099</v>
      </c>
      <c r="Y89" s="68">
        <v>18.86532265222845</v>
      </c>
    </row>
    <row r="90" spans="6:25" x14ac:dyDescent="0.15">
      <c r="F90" s="5"/>
      <c r="W90" s="12"/>
      <c r="X90" s="17"/>
      <c r="Y90" s="13"/>
    </row>
    <row r="91" spans="6:25" x14ac:dyDescent="0.15">
      <c r="F91" s="5"/>
      <c r="W91" s="12"/>
      <c r="X91" s="16" t="s">
        <v>13</v>
      </c>
      <c r="Y91" s="11" t="s">
        <v>49</v>
      </c>
    </row>
    <row r="92" spans="6:25" x14ac:dyDescent="0.15">
      <c r="F92" s="5"/>
      <c r="W92" s="10" t="s">
        <v>590</v>
      </c>
      <c r="X92" s="68">
        <v>120.12416008604148</v>
      </c>
      <c r="Y92" s="68">
        <v>158.71858363035491</v>
      </c>
    </row>
    <row r="93" spans="6:25" x14ac:dyDescent="0.15">
      <c r="F93" s="5"/>
      <c r="W93" s="12"/>
      <c r="X93" s="68">
        <v>104.28237943386655</v>
      </c>
      <c r="Y93" s="68">
        <v>143.40845802475638</v>
      </c>
    </row>
    <row r="94" spans="6:25" x14ac:dyDescent="0.15">
      <c r="F94" s="5"/>
      <c r="W94" s="12"/>
      <c r="X94" s="68">
        <v>70.69056308182347</v>
      </c>
      <c r="Y94" s="68">
        <v>111.60794943452888</v>
      </c>
    </row>
    <row r="95" spans="6:25" x14ac:dyDescent="0.15">
      <c r="F95" s="5"/>
      <c r="W95" s="12"/>
      <c r="X95" s="68">
        <v>49.564301038903714</v>
      </c>
      <c r="Y95" s="68">
        <v>91.87637660025311</v>
      </c>
    </row>
    <row r="96" spans="6:25" x14ac:dyDescent="0.15">
      <c r="F96" s="5"/>
      <c r="W96" s="14"/>
      <c r="X96" s="68">
        <v>88.638894657469507</v>
      </c>
      <c r="Y96" s="68">
        <v>126.91451442541967</v>
      </c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79CB8-023D-413E-95F6-A1E77C3D9D5B}">
  <dimension ref="C2:AL97"/>
  <sheetViews>
    <sheetView zoomScale="85" zoomScaleNormal="85" workbookViewId="0">
      <selection activeCell="BL19" sqref="BL19"/>
    </sheetView>
  </sheetViews>
  <sheetFormatPr baseColWidth="10" defaultColWidth="8.83203125" defaultRowHeight="13" x14ac:dyDescent="0.15"/>
  <cols>
    <col min="5" max="5" width="9.5" bestFit="1" customWidth="1"/>
    <col min="22" max="22" width="10.5" bestFit="1" customWidth="1"/>
  </cols>
  <sheetData>
    <row r="2" spans="3:38" x14ac:dyDescent="0.15">
      <c r="V2" t="s">
        <v>21</v>
      </c>
      <c r="W2" s="2">
        <f>Tulokset!$C$6</f>
        <v>1</v>
      </c>
    </row>
    <row r="3" spans="3:38" ht="14" thickBot="1" x14ac:dyDescent="0.2">
      <c r="C3" s="104">
        <v>1</v>
      </c>
      <c r="D3" s="2" t="str">
        <f>INDEX(Tulokset!$X$12:$X$18,MATCH(C3,Tulokset!$Y$12:$Y$18,0))</f>
        <v>Model 60</v>
      </c>
      <c r="L3" s="104">
        <v>1</v>
      </c>
      <c r="M3" s="2" t="str">
        <f>INDEX(Tulokset!$X$12:$X$18,MATCH(L3,Tulokset!$Y$12:$Y$18,0))</f>
        <v>Model 60</v>
      </c>
    </row>
    <row r="4" spans="3:38" ht="14" thickBot="1" x14ac:dyDescent="0.2">
      <c r="C4" s="1441" t="s">
        <v>7</v>
      </c>
      <c r="D4" s="1442" t="str">
        <f>D3</f>
        <v>Model 60</v>
      </c>
      <c r="E4" s="1442"/>
      <c r="F4" s="1442"/>
      <c r="G4" s="1442"/>
      <c r="H4" s="1442"/>
      <c r="I4" s="1442"/>
      <c r="J4" s="1443"/>
      <c r="L4" s="1441" t="s">
        <v>8</v>
      </c>
      <c r="M4" s="1442" t="str">
        <f>M3</f>
        <v>Model 60</v>
      </c>
      <c r="N4" s="1442"/>
      <c r="O4" s="1442"/>
      <c r="P4" s="1442"/>
      <c r="Q4" s="1442"/>
      <c r="R4" s="1442"/>
      <c r="S4" s="1443"/>
      <c r="V4" s="1452" t="str" cm="1">
        <f t="array" ref="V4">INDEX($C:$J,($W$2-1)*12+ROW(C4),COLUMN(C4)-2)</f>
        <v>Tulo</v>
      </c>
      <c r="W4" s="1453" t="str" cm="1">
        <f t="array" ref="W4">INDEX($C:$J,($W$2-1)*12+ROW(D4),COLUMN(D4)-2)</f>
        <v>Model 60</v>
      </c>
      <c r="X4" s="1454"/>
      <c r="Y4" s="1454"/>
      <c r="Z4" s="1454"/>
      <c r="AA4" s="1454"/>
      <c r="AB4" s="1454"/>
      <c r="AC4" s="1455"/>
      <c r="AE4" s="1452" t="str" cm="1">
        <f t="array" ref="AE4">INDEX($L:$S,($W$2-1)*12+ROW(L4),COLUMN(L4)-11)</f>
        <v>Poisto</v>
      </c>
      <c r="AF4" s="1453" t="str" cm="1">
        <f t="array" ref="AF4">INDEX($L:$S,($W$2-1)*12+ROW(M4),COLUMN(M4)-11)</f>
        <v>Model 60</v>
      </c>
      <c r="AG4" s="1454"/>
      <c r="AH4" s="1454"/>
      <c r="AI4" s="1454"/>
      <c r="AJ4" s="1454"/>
      <c r="AK4" s="1454"/>
      <c r="AL4" s="1455"/>
    </row>
    <row r="5" spans="3:38" x14ac:dyDescent="0.15">
      <c r="C5" s="1437" t="str">
        <f>'Laskenta tulopuoli 60'!$AA$4</f>
        <v>10 V</v>
      </c>
      <c r="D5" s="1444"/>
      <c r="E5" s="1437" t="str">
        <f>'Laskenta tulopuoli 60'!$AC$4</f>
        <v>7,5 V</v>
      </c>
      <c r="F5" s="1444"/>
      <c r="G5" s="1437" t="str">
        <f>'Laskenta tulopuoli 60'!$AE$4</f>
        <v>5 V</v>
      </c>
      <c r="H5" s="1444"/>
      <c r="I5" s="1437" t="str">
        <f>'Laskenta tulopuoli 60'!$AG$4</f>
        <v>3 V</v>
      </c>
      <c r="J5" s="231"/>
      <c r="L5" s="1437" t="str">
        <f>'Laskenta poistopuoli 60'!$AA$4</f>
        <v>10 V</v>
      </c>
      <c r="M5" s="1444"/>
      <c r="N5" s="1437" t="str">
        <f>'Laskenta poistopuoli 60'!$AC$4</f>
        <v>7,5 V</v>
      </c>
      <c r="O5" s="1444"/>
      <c r="P5" s="1437" t="str">
        <f>'Laskenta poistopuoli 60'!$AE$4</f>
        <v>5 V</v>
      </c>
      <c r="Q5" s="1444"/>
      <c r="R5" s="1437" t="str">
        <f>'Laskenta poistopuoli 60'!$AG$4</f>
        <v>3 V</v>
      </c>
      <c r="S5" s="231"/>
      <c r="V5" s="1460" t="str" cm="1">
        <f t="array" ref="V5">INDEX($C:$J,($W$2-1)*12+ROW(C5),COLUMN(C5)-2)</f>
        <v>10 V</v>
      </c>
      <c r="W5" s="1461"/>
      <c r="X5" s="1460" t="str" cm="1">
        <f t="array" ref="X5">INDEX($C:$J,($W$2-1)*12+ROW(E5),COLUMN(E5)-2)</f>
        <v>7,5 V</v>
      </c>
      <c r="Y5" s="1461"/>
      <c r="Z5" s="1460" t="str" cm="1">
        <f t="array" ref="Z5">INDEX($C:$J,($W$2-1)*12+ROW(G5),COLUMN(G5)-2)</f>
        <v>5 V</v>
      </c>
      <c r="AA5" s="1461"/>
      <c r="AB5" s="1462" t="str" cm="1">
        <f t="array" ref="AB5">INDEX($C:$J,($W$2-1)*12+ROW(I5),COLUMN(I5)-2)</f>
        <v>3 V</v>
      </c>
      <c r="AC5" s="1461"/>
      <c r="AE5" s="1460" t="str" cm="1">
        <f t="array" ref="AE5">INDEX($L:$S,($W$2-1)*12+ROW(L5),COLUMN(L5)-11)</f>
        <v>10 V</v>
      </c>
      <c r="AF5" s="1461"/>
      <c r="AG5" s="1460" t="str" cm="1">
        <f t="array" ref="AG5">INDEX($L:$S,($W$2-1)*12+ROW(N5),COLUMN(N5)-11)</f>
        <v>7,5 V</v>
      </c>
      <c r="AH5" s="1461"/>
      <c r="AI5" s="1460" t="str" cm="1">
        <f t="array" ref="AI5">INDEX($L:$S,($W$2-1)*12+ROW(P5),COLUMN(P5)-11)</f>
        <v>5 V</v>
      </c>
      <c r="AJ5" s="1461"/>
      <c r="AK5" s="1462" t="str" cm="1">
        <f t="array" ref="AK5">INDEX($L:$S,($W$2-1)*12+ROW(R5),COLUMN(R5)-11)</f>
        <v>3 V</v>
      </c>
      <c r="AL5" s="1461"/>
    </row>
    <row r="6" spans="3:38" ht="14" thickBot="1" x14ac:dyDescent="0.2">
      <c r="C6" s="306" t="s">
        <v>14</v>
      </c>
      <c r="D6" s="462" t="s">
        <v>13</v>
      </c>
      <c r="E6" s="306" t="s">
        <v>14</v>
      </c>
      <c r="F6" s="462" t="s">
        <v>13</v>
      </c>
      <c r="G6" s="306" t="s">
        <v>14</v>
      </c>
      <c r="H6" s="462" t="s">
        <v>13</v>
      </c>
      <c r="I6" s="306" t="s">
        <v>14</v>
      </c>
      <c r="J6" s="239" t="s">
        <v>13</v>
      </c>
      <c r="L6" s="306" t="s">
        <v>14</v>
      </c>
      <c r="M6" s="462" t="s">
        <v>13</v>
      </c>
      <c r="N6" s="306" t="s">
        <v>14</v>
      </c>
      <c r="O6" s="462" t="s">
        <v>13</v>
      </c>
      <c r="P6" s="306" t="s">
        <v>14</v>
      </c>
      <c r="Q6" s="462" t="s">
        <v>13</v>
      </c>
      <c r="R6" s="306" t="s">
        <v>14</v>
      </c>
      <c r="S6" s="239" t="s">
        <v>13</v>
      </c>
      <c r="V6" s="1458" t="str" cm="1">
        <f t="array" ref="V6">INDEX($C:$J,($W$2-1)*12+ROW(C6),COLUMN(C6)-2)</f>
        <v>Pa</v>
      </c>
      <c r="W6" s="1459" t="str" cm="1">
        <f t="array" ref="W6">INDEX($C:$J,($W$2-1)*12+ROW(D6),COLUMN(D6)-2)</f>
        <v>l/s</v>
      </c>
      <c r="X6" s="1458" t="str" cm="1">
        <f t="array" ref="X6">INDEX($C:$J,($W$2-1)*12+ROW(E6),COLUMN(E6)-2)</f>
        <v>Pa</v>
      </c>
      <c r="Y6" s="1459" t="str" cm="1">
        <f t="array" ref="Y6">INDEX($C:$J,($W$2-1)*12+ROW(F6),COLUMN(F6)-2)</f>
        <v>l/s</v>
      </c>
      <c r="Z6" s="1458" t="str" cm="1">
        <f t="array" ref="Z6">INDEX($C:$J,($W$2-1)*12+ROW(G6),COLUMN(G6)-2)</f>
        <v>Pa</v>
      </c>
      <c r="AA6" s="1459" t="str" cm="1">
        <f t="array" ref="AA6">INDEX($C:$J,($W$2-1)*12+ROW(H6),COLUMN(H6)-2)</f>
        <v>l/s</v>
      </c>
      <c r="AB6" s="1458" t="str" cm="1">
        <f t="array" ref="AB6">INDEX($C:$J,($W$2-1)*12+ROW(I6),COLUMN(I6)-2)</f>
        <v>Pa</v>
      </c>
      <c r="AC6" s="1459" t="str" cm="1">
        <f t="array" ref="AC6">INDEX($C:$J,($W$2-1)*12+ROW(J6),COLUMN(J6)-2)</f>
        <v>l/s</v>
      </c>
      <c r="AE6" s="1458" t="str" cm="1">
        <f t="array" ref="AE6">INDEX($L:$S,($W$2-1)*12+ROW(L6),COLUMN(L6)-11)</f>
        <v>Pa</v>
      </c>
      <c r="AF6" s="1459" t="str" cm="1">
        <f t="array" ref="AF6">INDEX($L:$S,($W$2-1)*12+ROW(M6),COLUMN(M6)-11)</f>
        <v>l/s</v>
      </c>
      <c r="AG6" s="1458" t="str" cm="1">
        <f t="array" ref="AG6">INDEX($L:$S,($W$2-1)*12+ROW(N6),COLUMN(N6)-11)</f>
        <v>Pa</v>
      </c>
      <c r="AH6" s="1459" t="str" cm="1">
        <f t="array" ref="AH6">INDEX($L:$S,($W$2-1)*12+ROW(O6),COLUMN(O6)-11)</f>
        <v>l/s</v>
      </c>
      <c r="AI6" s="1458" t="str" cm="1">
        <f t="array" ref="AI6">INDEX($L:$S,($W$2-1)*12+ROW(P6),COLUMN(P6)-11)</f>
        <v>Pa</v>
      </c>
      <c r="AJ6" s="1459" t="str" cm="1">
        <f t="array" ref="AJ6">INDEX($L:$S,($W$2-1)*12+ROW(Q6),COLUMN(Q6)-11)</f>
        <v>l/s</v>
      </c>
      <c r="AK6" s="1458" t="str" cm="1">
        <f t="array" ref="AK6">INDEX($L:$S,($W$2-1)*12+ROW(R6),COLUMN(R6)-11)</f>
        <v>Pa</v>
      </c>
      <c r="AL6" s="1459" t="str" cm="1">
        <f t="array" ref="AL6">INDEX($L:$S,($W$2-1)*12+ROW(S6),COLUMN(S6)-11)</f>
        <v>l/s</v>
      </c>
    </row>
    <row r="7" spans="3:38" x14ac:dyDescent="0.15">
      <c r="C7" s="1445">
        <f>'Laskenta tulopuoli 60'!$AA$6</f>
        <v>25</v>
      </c>
      <c r="D7" s="1438">
        <f>'Laskenta tulopuoli 60'!$AB$6</f>
        <v>109.72216307386144</v>
      </c>
      <c r="E7" s="1439">
        <f>'Laskenta tulopuoli 60'!$AC$6</f>
        <v>20</v>
      </c>
      <c r="F7" s="1438">
        <f>'Laskenta tulopuoli 60'!$AD$6</f>
        <v>96.507952803164471</v>
      </c>
      <c r="G7" s="1439">
        <f>'Laskenta tulopuoli 60'!$AE$6</f>
        <v>12</v>
      </c>
      <c r="H7" s="1438">
        <f>'Laskenta tulopuoli 60'!$AF$6</f>
        <v>59.097603965649029</v>
      </c>
      <c r="I7" s="1439">
        <f>'Laskenta tulopuoli 60'!$AG$6</f>
        <v>10</v>
      </c>
      <c r="J7" s="1440">
        <f>'Laskenta tulopuoli 60'!$AH$6</f>
        <v>24.856065562361952</v>
      </c>
      <c r="L7" s="1445">
        <f>'Laskenta poistopuoli 60'!$AA$6</f>
        <v>25</v>
      </c>
      <c r="M7" s="1438">
        <f>'Laskenta poistopuoli 60'!$AB$6</f>
        <v>116.53439357132875</v>
      </c>
      <c r="N7" s="1439">
        <f>'Laskenta poistopuoli 60'!$AC$6</f>
        <v>24</v>
      </c>
      <c r="O7" s="1438">
        <f>'Laskenta poistopuoli 60'!$AD$6</f>
        <v>112.6869797142791</v>
      </c>
      <c r="P7" s="1439">
        <f>'Laskenta poistopuoli 60'!$AE$6</f>
        <v>17</v>
      </c>
      <c r="Q7" s="1438">
        <f>'Laskenta poistopuoli 60'!$AF$6</f>
        <v>72.284594299567686</v>
      </c>
      <c r="R7" s="1439">
        <f>'Laskenta poistopuoli 60'!$AG$6</f>
        <v>10</v>
      </c>
      <c r="S7" s="1440">
        <f>'Laskenta poistopuoli 60'!$AH$6</f>
        <v>36.100405459595137</v>
      </c>
      <c r="V7" s="1456" cm="1">
        <f t="array" ref="V7">INDEX($C:$J,($W$2-1)*12+ROW(C7),COLUMN(C7)-2)</f>
        <v>25</v>
      </c>
      <c r="W7" s="1457" cm="1">
        <f t="array" ref="W7">INDEX($C:$J,($W$2-1)*12+ROW(D7),COLUMN(D7)-2)</f>
        <v>109.72216307386144</v>
      </c>
      <c r="X7" s="1456" cm="1">
        <f t="array" ref="X7">INDEX($C:$J,($W$2-1)*12+ROW(E7),COLUMN(E7)-2)</f>
        <v>20</v>
      </c>
      <c r="Y7" s="1457" cm="1">
        <f t="array" ref="Y7">INDEX($C:$J,($W$2-1)*12+ROW(F7),COLUMN(F7)-2)</f>
        <v>96.507952803164471</v>
      </c>
      <c r="Z7" s="1456" cm="1">
        <f t="array" ref="Z7">INDEX($C:$J,($W$2-1)*12+ROW(G7),COLUMN(G7)-2)</f>
        <v>12</v>
      </c>
      <c r="AA7" s="1457" cm="1">
        <f t="array" ref="AA7">INDEX($C:$J,($W$2-1)*12+ROW(H7),COLUMN(H7)-2)</f>
        <v>59.097603965649029</v>
      </c>
      <c r="AB7" s="1456" cm="1">
        <f t="array" ref="AB7">INDEX($C:$J,($W$2-1)*12+ROW(I7),COLUMN(I7)-2)</f>
        <v>10</v>
      </c>
      <c r="AC7" s="1457" cm="1">
        <f t="array" ref="AC7">INDEX($C:$J,($W$2-1)*12+ROW(J7),COLUMN(J7)-2)</f>
        <v>24.856065562361952</v>
      </c>
      <c r="AE7" s="1456" cm="1">
        <f t="array" ref="AE7">INDEX($L:$S,($W$2-1)*12+ROW(L7),COLUMN(L7)-11)</f>
        <v>25</v>
      </c>
      <c r="AF7" s="1457" cm="1">
        <f t="array" ref="AF7">INDEX($L:$S,($W$2-1)*12+ROW(M7),COLUMN(M7)-11)</f>
        <v>116.53439357132875</v>
      </c>
      <c r="AG7" s="1456" cm="1">
        <f t="array" ref="AG7">INDEX($L:$S,($W$2-1)*12+ROW(N7),COLUMN(N7)-11)</f>
        <v>24</v>
      </c>
      <c r="AH7" s="1457" cm="1">
        <f t="array" ref="AH7">INDEX($L:$S,($W$2-1)*12+ROW(O7),COLUMN(O7)-11)</f>
        <v>112.6869797142791</v>
      </c>
      <c r="AI7" s="1456" cm="1">
        <f t="array" ref="AI7">INDEX($L:$S,($W$2-1)*12+ROW(P7),COLUMN(P7)-11)</f>
        <v>17</v>
      </c>
      <c r="AJ7" s="1457" cm="1">
        <f t="array" ref="AJ7">INDEX($L:$S,($W$2-1)*12+ROW(Q7),COLUMN(Q7)-11)</f>
        <v>72.284594299567686</v>
      </c>
      <c r="AK7" s="1456" cm="1">
        <f t="array" ref="AK7">INDEX($L:$S,($W$2-1)*12+ROW(R7),COLUMN(R7)-11)</f>
        <v>10</v>
      </c>
      <c r="AL7" s="1457" cm="1">
        <f t="array" ref="AL7">INDEX($L:$S,($W$2-1)*12+ROW(S7),COLUMN(S7)-11)</f>
        <v>36.100405459595137</v>
      </c>
    </row>
    <row r="8" spans="3:38" x14ac:dyDescent="0.15">
      <c r="C8" s="304">
        <f>'Laskenta tulopuoli 60'!$AA$7</f>
        <v>120</v>
      </c>
      <c r="D8" s="463">
        <f>'Laskenta tulopuoli 60'!$AB$7</f>
        <v>96.04968080608154</v>
      </c>
      <c r="E8" s="305">
        <f>'Laskenta tulopuoli 60'!$AC$7</f>
        <v>100</v>
      </c>
      <c r="F8" s="463">
        <f>'Laskenta tulopuoli 60'!$AD$7</f>
        <v>83.332352890524646</v>
      </c>
      <c r="G8" s="305">
        <f>'Laskenta tulopuoli 60'!$AE$7</f>
        <v>40</v>
      </c>
      <c r="H8" s="463">
        <f>'Laskenta tulopuoli 60'!$AF$7</f>
        <v>51.041257936006687</v>
      </c>
      <c r="I8" s="305">
        <f>'Laskenta tulopuoli 60'!$AG$7</f>
        <v>20</v>
      </c>
      <c r="J8" s="460">
        <f>'Laskenta tulopuoli 60'!$AH$7</f>
        <v>20.145468303465908</v>
      </c>
      <c r="L8" s="304">
        <f>'Laskenta poistopuoli 60'!$AA$7</f>
        <v>120</v>
      </c>
      <c r="M8" s="463">
        <f>'Laskenta poistopuoli 60'!$AB$7</f>
        <v>106.04294190771634</v>
      </c>
      <c r="N8" s="305">
        <f>'Laskenta poistopuoli 60'!$AC$7</f>
        <v>100</v>
      </c>
      <c r="O8" s="463">
        <f>'Laskenta poistopuoli 60'!$AD$7</f>
        <v>101.16251296817727</v>
      </c>
      <c r="P8" s="305">
        <f>'Laskenta poistopuoli 60'!$AE$7</f>
        <v>40</v>
      </c>
      <c r="Q8" s="463">
        <f>'Laskenta poistopuoli 60'!$AF$7</f>
        <v>65.038512656650866</v>
      </c>
      <c r="R8" s="305">
        <f>'Laskenta poistopuoli 60'!$AG$7</f>
        <v>20</v>
      </c>
      <c r="S8" s="460">
        <f>'Laskenta poistopuoli 60'!$AH$7</f>
        <v>30.228941518656235</v>
      </c>
      <c r="V8" s="1448" cm="1">
        <f t="array" ref="V8">INDEX($C:$J,($W$2-1)*12+ROW(C8),COLUMN(C8)-2)</f>
        <v>120</v>
      </c>
      <c r="W8" s="1449" cm="1">
        <f t="array" ref="W8">INDEX($C:$J,($W$2-1)*12+ROW(D8),COLUMN(D8)-2)</f>
        <v>96.04968080608154</v>
      </c>
      <c r="X8" s="1448" cm="1">
        <f t="array" ref="X8">INDEX($C:$J,($W$2-1)*12+ROW(E8),COLUMN(E8)-2)</f>
        <v>100</v>
      </c>
      <c r="Y8" s="1449" cm="1">
        <f t="array" ref="Y8">INDEX($C:$J,($W$2-1)*12+ROW(F8),COLUMN(F8)-2)</f>
        <v>83.332352890524646</v>
      </c>
      <c r="Z8" s="1448" cm="1">
        <f t="array" ref="Z8">INDEX($C:$J,($W$2-1)*12+ROW(G8),COLUMN(G8)-2)</f>
        <v>40</v>
      </c>
      <c r="AA8" s="1449" cm="1">
        <f t="array" ref="AA8">INDEX($C:$J,($W$2-1)*12+ROW(H8),COLUMN(H8)-2)</f>
        <v>51.041257936006687</v>
      </c>
      <c r="AB8" s="1448" cm="1">
        <f t="array" ref="AB8">INDEX($C:$J,($W$2-1)*12+ROW(I8),COLUMN(I8)-2)</f>
        <v>20</v>
      </c>
      <c r="AC8" s="1449" cm="1">
        <f t="array" ref="AC8">INDEX($C:$J,($W$2-1)*12+ROW(J8),COLUMN(J8)-2)</f>
        <v>20.145468303465908</v>
      </c>
      <c r="AE8" s="1448" cm="1">
        <f t="array" ref="AE8">INDEX($L:$S,($W$2-1)*12+ROW(L8),COLUMN(L8)-11)</f>
        <v>120</v>
      </c>
      <c r="AF8" s="1449" cm="1">
        <f t="array" ref="AF8">INDEX($L:$S,($W$2-1)*12+ROW(M8),COLUMN(M8)-11)</f>
        <v>106.04294190771634</v>
      </c>
      <c r="AG8" s="1448" cm="1">
        <f t="array" ref="AG8">INDEX($L:$S,($W$2-1)*12+ROW(N8),COLUMN(N8)-11)</f>
        <v>100</v>
      </c>
      <c r="AH8" s="1449" cm="1">
        <f t="array" ref="AH8">INDEX($L:$S,($W$2-1)*12+ROW(O8),COLUMN(O8)-11)</f>
        <v>101.16251296817727</v>
      </c>
      <c r="AI8" s="1448" cm="1">
        <f t="array" ref="AI8">INDEX($L:$S,($W$2-1)*12+ROW(P8),COLUMN(P8)-11)</f>
        <v>40</v>
      </c>
      <c r="AJ8" s="1449" cm="1">
        <f t="array" ref="AJ8">INDEX($L:$S,($W$2-1)*12+ROW(Q8),COLUMN(Q8)-11)</f>
        <v>65.038512656650866</v>
      </c>
      <c r="AK8" s="1448" cm="1">
        <f t="array" ref="AK8">INDEX($L:$S,($W$2-1)*12+ROW(R8),COLUMN(R8)-11)</f>
        <v>20</v>
      </c>
      <c r="AL8" s="1449" cm="1">
        <f t="array" ref="AL8">INDEX($L:$S,($W$2-1)*12+ROW(S8),COLUMN(S8)-11)</f>
        <v>30.228941518656235</v>
      </c>
    </row>
    <row r="9" spans="3:38" x14ac:dyDescent="0.15">
      <c r="C9" s="304">
        <f>'Laskenta tulopuoli 60'!$AA$8</f>
        <v>190</v>
      </c>
      <c r="D9" s="463">
        <f>'Laskenta tulopuoli 60'!$AB$8</f>
        <v>84.980913804604299</v>
      </c>
      <c r="E9" s="305">
        <f>'Laskenta tulopuoli 60'!$AC$8</f>
        <v>150</v>
      </c>
      <c r="F9" s="463">
        <f>'Laskenta tulopuoli 60'!$AD$8</f>
        <v>74.171084186129335</v>
      </c>
      <c r="G9" s="305">
        <f>'Laskenta tulopuoli 60'!$AE$8</f>
        <v>60</v>
      </c>
      <c r="H9" s="463">
        <f>'Laskenta tulopuoli 60'!$AF$8</f>
        <v>44.852206368094706</v>
      </c>
      <c r="I9" s="305">
        <f>'Laskenta tulopuoli 60'!$AG$8</f>
        <v>30</v>
      </c>
      <c r="J9" s="460">
        <f>'Laskenta tulopuoli 60'!$AH$8</f>
        <v>15.25167922255933</v>
      </c>
      <c r="L9" s="304">
        <f>'Laskenta poistopuoli 60'!$AA$8</f>
        <v>190</v>
      </c>
      <c r="M9" s="463">
        <f>'Laskenta poistopuoli 60'!$AB$8</f>
        <v>97.229113962616722</v>
      </c>
      <c r="N9" s="305">
        <f>'Laskenta poistopuoli 60'!$AC$8</f>
        <v>150</v>
      </c>
      <c r="O9" s="463">
        <f>'Laskenta poistopuoli 60'!$AD$8</f>
        <v>92.618224317416534</v>
      </c>
      <c r="P9" s="305">
        <f>'Laskenta poistopuoli 60'!$AE$8</f>
        <v>60</v>
      </c>
      <c r="Q9" s="463">
        <f>'Laskenta poistopuoli 60'!$AF$8</f>
        <v>58.173257245729815</v>
      </c>
      <c r="R9" s="305">
        <f>'Laskenta poistopuoli 60'!$AG$8</f>
        <v>30</v>
      </c>
      <c r="S9" s="460">
        <f>'Laskenta poistopuoli 60'!$AH$8</f>
        <v>23.211710481821601</v>
      </c>
      <c r="V9" s="1448" cm="1">
        <f t="array" ref="V9">INDEX($C:$J,($W$2-1)*12+ROW(C9),COLUMN(C9)-2)</f>
        <v>190</v>
      </c>
      <c r="W9" s="1449" cm="1">
        <f t="array" ref="W9">INDEX($C:$J,($W$2-1)*12+ROW(D9),COLUMN(D9)-2)</f>
        <v>84.980913804604299</v>
      </c>
      <c r="X9" s="1448" cm="1">
        <f t="array" ref="X9">INDEX($C:$J,($W$2-1)*12+ROW(E9),COLUMN(E9)-2)</f>
        <v>150</v>
      </c>
      <c r="Y9" s="1449" cm="1">
        <f t="array" ref="Y9">INDEX($C:$J,($W$2-1)*12+ROW(F9),COLUMN(F9)-2)</f>
        <v>74.171084186129335</v>
      </c>
      <c r="Z9" s="1448" cm="1">
        <f t="array" ref="Z9">INDEX($C:$J,($W$2-1)*12+ROW(G9),COLUMN(G9)-2)</f>
        <v>60</v>
      </c>
      <c r="AA9" s="1449" cm="1">
        <f t="array" ref="AA9">INDEX($C:$J,($W$2-1)*12+ROW(H9),COLUMN(H9)-2)</f>
        <v>44.852206368094706</v>
      </c>
      <c r="AB9" s="1448" cm="1">
        <f t="array" ref="AB9">INDEX($C:$J,($W$2-1)*12+ROW(I9),COLUMN(I9)-2)</f>
        <v>30</v>
      </c>
      <c r="AC9" s="1449" cm="1">
        <f t="array" ref="AC9">INDEX($C:$J,($W$2-1)*12+ROW(J9),COLUMN(J9)-2)</f>
        <v>15.25167922255933</v>
      </c>
      <c r="AE9" s="1448" cm="1">
        <f t="array" ref="AE9">INDEX($L:$S,($W$2-1)*12+ROW(L9),COLUMN(L9)-11)</f>
        <v>190</v>
      </c>
      <c r="AF9" s="1449" cm="1">
        <f t="array" ref="AF9">INDEX($L:$S,($W$2-1)*12+ROW(M9),COLUMN(M9)-11)</f>
        <v>97.229113962616722</v>
      </c>
      <c r="AG9" s="1448" cm="1">
        <f t="array" ref="AG9">INDEX($L:$S,($W$2-1)*12+ROW(N9),COLUMN(N9)-11)</f>
        <v>150</v>
      </c>
      <c r="AH9" s="1449" cm="1">
        <f t="array" ref="AH9">INDEX($L:$S,($W$2-1)*12+ROW(O9),COLUMN(O9)-11)</f>
        <v>92.618224317416534</v>
      </c>
      <c r="AI9" s="1448" cm="1">
        <f t="array" ref="AI9">INDEX($L:$S,($W$2-1)*12+ROW(P9),COLUMN(P9)-11)</f>
        <v>60</v>
      </c>
      <c r="AJ9" s="1449" cm="1">
        <f t="array" ref="AJ9">INDEX($L:$S,($W$2-1)*12+ROW(Q9),COLUMN(Q9)-11)</f>
        <v>58.173257245729815</v>
      </c>
      <c r="AK9" s="1448" cm="1">
        <f t="array" ref="AK9">INDEX($L:$S,($W$2-1)*12+ROW(R9),COLUMN(R9)-11)</f>
        <v>30</v>
      </c>
      <c r="AL9" s="1449" cm="1">
        <f t="array" ref="AL9">INDEX($L:$S,($W$2-1)*12+ROW(S9),COLUMN(S9)-11)</f>
        <v>23.211710481821601</v>
      </c>
    </row>
    <row r="10" spans="3:38" x14ac:dyDescent="0.15">
      <c r="C10" s="304">
        <f>'Laskenta tulopuoli 60'!$AA$9</f>
        <v>250</v>
      </c>
      <c r="D10" s="463">
        <f>'Laskenta tulopuoli 60'!$AB$9</f>
        <v>74.605902678236006</v>
      </c>
      <c r="E10" s="305">
        <f>'Laskenta tulopuoli 60'!$AC$9</f>
        <v>200</v>
      </c>
      <c r="F10" s="463">
        <f>'Laskenta tulopuoli 60'!$AD$9</f>
        <v>64.022740261473061</v>
      </c>
      <c r="G10" s="305">
        <f>'Laskenta tulopuoli 60'!$AE$9</f>
        <v>80</v>
      </c>
      <c r="H10" s="463">
        <f>'Laskenta tulopuoli 60'!$AF$9</f>
        <v>38.211558072303703</v>
      </c>
      <c r="I10" s="305">
        <f>'Laskenta tulopuoli 60'!$AG$9</f>
        <v>35</v>
      </c>
      <c r="J10" s="460">
        <f>'Laskenta tulopuoli 60'!$AH$9</f>
        <v>12.729029407613163</v>
      </c>
      <c r="L10" s="304">
        <f>'Laskenta poistopuoli 60'!$AA$9</f>
        <v>250</v>
      </c>
      <c r="M10" s="463">
        <f>'Laskenta poistopuoli 60'!$AB$9</f>
        <v>88.57761083726021</v>
      </c>
      <c r="N10" s="305">
        <f>'Laskenta poistopuoli 60'!$AC$9</f>
        <v>200</v>
      </c>
      <c r="O10" s="463">
        <f>'Laskenta poistopuoli 60'!$AD$9</f>
        <v>82.962402646329451</v>
      </c>
      <c r="P10" s="305">
        <f>'Laskenta poistopuoli 60'!$AE$9</f>
        <v>80</v>
      </c>
      <c r="Q10" s="463">
        <f>'Laskenta poistopuoli 60'!$AF$9</f>
        <v>50.616285442767648</v>
      </c>
      <c r="R10" s="305">
        <f>'Laskenta poistopuoli 60'!$AG$9</f>
        <v>35</v>
      </c>
      <c r="S10" s="460">
        <f>'Laskenta poistopuoli 60'!$AH$9</f>
        <v>18.983097435077962</v>
      </c>
      <c r="V10" s="1448" cm="1">
        <f t="array" ref="V10">INDEX($C:$J,($W$2-1)*12+ROW(C10),COLUMN(C10)-2)</f>
        <v>250</v>
      </c>
      <c r="W10" s="1449" cm="1">
        <f t="array" ref="W10">INDEX($C:$J,($W$2-1)*12+ROW(D10),COLUMN(D10)-2)</f>
        <v>74.605902678236006</v>
      </c>
      <c r="X10" s="1448" cm="1">
        <f t="array" ref="X10">INDEX($C:$J,($W$2-1)*12+ROW(E10),COLUMN(E10)-2)</f>
        <v>200</v>
      </c>
      <c r="Y10" s="1449" cm="1">
        <f t="array" ref="Y10">INDEX($C:$J,($W$2-1)*12+ROW(F10),COLUMN(F10)-2)</f>
        <v>64.022740261473061</v>
      </c>
      <c r="Z10" s="1448" cm="1">
        <f t="array" ref="Z10">INDEX($C:$J,($W$2-1)*12+ROW(G10),COLUMN(G10)-2)</f>
        <v>80</v>
      </c>
      <c r="AA10" s="1449" cm="1">
        <f t="array" ref="AA10">INDEX($C:$J,($W$2-1)*12+ROW(H10),COLUMN(H10)-2)</f>
        <v>38.211558072303703</v>
      </c>
      <c r="AB10" s="1448" cm="1">
        <f t="array" ref="AB10">INDEX($C:$J,($W$2-1)*12+ROW(I10),COLUMN(I10)-2)</f>
        <v>35</v>
      </c>
      <c r="AC10" s="1449" cm="1">
        <f t="array" ref="AC10">INDEX($C:$J,($W$2-1)*12+ROW(J10),COLUMN(J10)-2)</f>
        <v>12.729029407613163</v>
      </c>
      <c r="AE10" s="1448" cm="1">
        <f t="array" ref="AE10">INDEX($L:$S,($W$2-1)*12+ROW(L10),COLUMN(L10)-11)</f>
        <v>250</v>
      </c>
      <c r="AF10" s="1449" cm="1">
        <f t="array" ref="AF10">INDEX($L:$S,($W$2-1)*12+ROW(M10),COLUMN(M10)-11)</f>
        <v>88.57761083726021</v>
      </c>
      <c r="AG10" s="1448" cm="1">
        <f t="array" ref="AG10">INDEX($L:$S,($W$2-1)*12+ROW(N10),COLUMN(N10)-11)</f>
        <v>200</v>
      </c>
      <c r="AH10" s="1449" cm="1">
        <f t="array" ref="AH10">INDEX($L:$S,($W$2-1)*12+ROW(O10),COLUMN(O10)-11)</f>
        <v>82.962402646329451</v>
      </c>
      <c r="AI10" s="1448" cm="1">
        <f t="array" ref="AI10">INDEX($L:$S,($W$2-1)*12+ROW(P10),COLUMN(P10)-11)</f>
        <v>80</v>
      </c>
      <c r="AJ10" s="1449" cm="1">
        <f t="array" ref="AJ10">INDEX($L:$S,($W$2-1)*12+ROW(Q10),COLUMN(Q10)-11)</f>
        <v>50.616285442767648</v>
      </c>
      <c r="AK10" s="1448" cm="1">
        <f t="array" ref="AK10">INDEX($L:$S,($W$2-1)*12+ROW(R10),COLUMN(R10)-11)</f>
        <v>35</v>
      </c>
      <c r="AL10" s="1449" cm="1">
        <f t="array" ref="AL10">INDEX($L:$S,($W$2-1)*12+ROW(S10),COLUMN(S10)-11)</f>
        <v>18.983097435077962</v>
      </c>
    </row>
    <row r="11" spans="3:38" x14ac:dyDescent="0.15">
      <c r="C11" s="304">
        <f>'Laskenta tulopuoli 60'!$AA$10</f>
        <v>320</v>
      </c>
      <c r="D11" s="463">
        <f>'Laskenta tulopuoli 60'!$AB$10</f>
        <v>61.093720132549571</v>
      </c>
      <c r="E11" s="305">
        <f>'Laskenta tulopuoli 60'!$AC$10</f>
        <v>250</v>
      </c>
      <c r="F11" s="463">
        <f>'Laskenta tulopuoli 60'!$AD$10</f>
        <v>52.476744908244925</v>
      </c>
      <c r="G11" s="305">
        <f>'Laskenta tulopuoli 60'!$AE$10</f>
        <v>100</v>
      </c>
      <c r="H11" s="463">
        <f>'Laskenta tulopuoli 60'!$AF$10</f>
        <v>31.003142403936327</v>
      </c>
      <c r="I11" s="305">
        <f>'Laskenta tulopuoli 60'!$AG$10</f>
        <v>40</v>
      </c>
      <c r="J11" s="460">
        <f>'Laskenta tulopuoli 60'!$AH$10</f>
        <v>10.151502560183829</v>
      </c>
      <c r="L11" s="304">
        <f>'Laskenta poistopuoli 60'!$AA$10</f>
        <v>320</v>
      </c>
      <c r="M11" s="463">
        <f>'Laskenta poistopuoli 60'!$AB$10</f>
        <v>76.366556139312408</v>
      </c>
      <c r="N11" s="305">
        <f>'Laskenta poistopuoli 60'!$AC$10</f>
        <v>250</v>
      </c>
      <c r="O11" s="463">
        <f>'Laskenta poistopuoli 60'!$AD$10</f>
        <v>71.599428630662572</v>
      </c>
      <c r="P11" s="305">
        <f>'Laskenta poistopuoli 60'!$AE$10</f>
        <v>100</v>
      </c>
      <c r="Q11" s="463">
        <f>'Laskenta poistopuoli 60'!$AF$10</f>
        <v>42.103641313068522</v>
      </c>
      <c r="R11" s="305">
        <f>'Laskenta poistopuoli 60'!$AG$10</f>
        <v>43</v>
      </c>
      <c r="S11" s="460">
        <f>'Laskenta poistopuoli 60'!$AH$10</f>
        <v>10.086604002383522</v>
      </c>
      <c r="V11" s="1448" cm="1">
        <f t="array" ref="V11">INDEX($C:$J,($W$2-1)*12+ROW(C11),COLUMN(C11)-2)</f>
        <v>320</v>
      </c>
      <c r="W11" s="1449" cm="1">
        <f t="array" ref="W11">INDEX($C:$J,($W$2-1)*12+ROW(D11),COLUMN(D11)-2)</f>
        <v>61.093720132549571</v>
      </c>
      <c r="X11" s="1448" cm="1">
        <f t="array" ref="X11">INDEX($C:$J,($W$2-1)*12+ROW(E11),COLUMN(E11)-2)</f>
        <v>250</v>
      </c>
      <c r="Y11" s="1449" cm="1">
        <f t="array" ref="Y11">INDEX($C:$J,($W$2-1)*12+ROW(F11),COLUMN(F11)-2)</f>
        <v>52.476744908244925</v>
      </c>
      <c r="Z11" s="1448" cm="1">
        <f t="array" ref="Z11">INDEX($C:$J,($W$2-1)*12+ROW(G11),COLUMN(G11)-2)</f>
        <v>100</v>
      </c>
      <c r="AA11" s="1449" cm="1">
        <f t="array" ref="AA11">INDEX($C:$J,($W$2-1)*12+ROW(H11),COLUMN(H11)-2)</f>
        <v>31.003142403936327</v>
      </c>
      <c r="AB11" s="1448" cm="1">
        <f t="array" ref="AB11">INDEX($C:$J,($W$2-1)*12+ROW(I11),COLUMN(I11)-2)</f>
        <v>40</v>
      </c>
      <c r="AC11" s="1449" cm="1">
        <f t="array" ref="AC11">INDEX($C:$J,($W$2-1)*12+ROW(J11),COLUMN(J11)-2)</f>
        <v>10.151502560183829</v>
      </c>
      <c r="AE11" s="1448" cm="1">
        <f t="array" ref="AE11">INDEX($L:$S,($W$2-1)*12+ROW(L11),COLUMN(L11)-11)</f>
        <v>320</v>
      </c>
      <c r="AF11" s="1449" cm="1">
        <f t="array" ref="AF11">INDEX($L:$S,($W$2-1)*12+ROW(M11),COLUMN(M11)-11)</f>
        <v>76.366556139312408</v>
      </c>
      <c r="AG11" s="1448" cm="1">
        <f t="array" ref="AG11">INDEX($L:$S,($W$2-1)*12+ROW(N11),COLUMN(N11)-11)</f>
        <v>250</v>
      </c>
      <c r="AH11" s="1449" cm="1">
        <f t="array" ref="AH11">INDEX($L:$S,($W$2-1)*12+ROW(O11),COLUMN(O11)-11)</f>
        <v>71.599428630662572</v>
      </c>
      <c r="AI11" s="1448" cm="1">
        <f t="array" ref="AI11">INDEX($L:$S,($W$2-1)*12+ROW(P11),COLUMN(P11)-11)</f>
        <v>100</v>
      </c>
      <c r="AJ11" s="1449" cm="1">
        <f t="array" ref="AJ11">INDEX($L:$S,($W$2-1)*12+ROW(Q11),COLUMN(Q11)-11)</f>
        <v>42.103641313068522</v>
      </c>
      <c r="AK11" s="1448" cm="1">
        <f t="array" ref="AK11">INDEX($L:$S,($W$2-1)*12+ROW(R11),COLUMN(R11)-11)</f>
        <v>43</v>
      </c>
      <c r="AL11" s="1449" cm="1">
        <f t="array" ref="AL11">INDEX($L:$S,($W$2-1)*12+ROW(S11),COLUMN(S11)-11)</f>
        <v>10.086604002383522</v>
      </c>
    </row>
    <row r="12" spans="3:38" x14ac:dyDescent="0.15">
      <c r="C12" s="304">
        <f>'Laskenta tulopuoli 60'!$AA$11</f>
        <v>390</v>
      </c>
      <c r="D12" s="463">
        <f>'Laskenta tulopuoli 60'!$AB$11</f>
        <v>45.335354941275455</v>
      </c>
      <c r="E12" s="305">
        <f>'Laskenta tulopuoli 60'!$AC$11</f>
        <v>300</v>
      </c>
      <c r="F12" s="463">
        <f>'Laskenta tulopuoli 60'!$AD$11</f>
        <v>38.721346925604863</v>
      </c>
      <c r="G12" s="305">
        <f>'Laskenta tulopuoli 60'!$AE$11</f>
        <v>125</v>
      </c>
      <c r="H12" s="463">
        <f>'Laskenta tulopuoli 60'!$AF$11</f>
        <v>20.915466815294725</v>
      </c>
      <c r="I12" s="305"/>
      <c r="J12" s="460"/>
      <c r="L12" s="304">
        <f>'Laskenta poistopuoli 60'!$AA$11</f>
        <v>390</v>
      </c>
      <c r="M12" s="463">
        <f>'Laskenta poistopuoli 60'!$AB$11</f>
        <v>58.980839057652446</v>
      </c>
      <c r="N12" s="305">
        <f>'Laskenta poistopuoli 60'!$AC$11</f>
        <v>300</v>
      </c>
      <c r="O12" s="463">
        <f>'Laskenta poistopuoli 60'!$AD$11</f>
        <v>57.073060803556054</v>
      </c>
      <c r="P12" s="305">
        <f>'Laskenta poistopuoli 60'!$AE$11</f>
        <v>140</v>
      </c>
      <c r="Q12" s="463">
        <f>'Laskenta poistopuoli 60'!$AF$11</f>
        <v>19.574933517601881</v>
      </c>
      <c r="R12" s="305"/>
      <c r="S12" s="460"/>
      <c r="V12" s="1448" cm="1">
        <f t="array" ref="V12">INDEX($C:$J,($W$2-1)*12+ROW(C12),COLUMN(C12)-2)</f>
        <v>390</v>
      </c>
      <c r="W12" s="1449" cm="1">
        <f t="array" ref="W12">INDEX($C:$J,($W$2-1)*12+ROW(D12),COLUMN(D12)-2)</f>
        <v>45.335354941275455</v>
      </c>
      <c r="X12" s="1448" cm="1">
        <f t="array" ref="X12">INDEX($C:$J,($W$2-1)*12+ROW(E12),COLUMN(E12)-2)</f>
        <v>300</v>
      </c>
      <c r="Y12" s="1449" cm="1">
        <f t="array" ref="Y12">INDEX($C:$J,($W$2-1)*12+ROW(F12),COLUMN(F12)-2)</f>
        <v>38.721346925604863</v>
      </c>
      <c r="Z12" s="1448" cm="1">
        <f t="array" ref="Z12">INDEX($C:$J,($W$2-1)*12+ROW(G12),COLUMN(G12)-2)</f>
        <v>125</v>
      </c>
      <c r="AA12" s="1449" cm="1">
        <f t="array" ref="AA12">INDEX($C:$J,($W$2-1)*12+ROW(H12),COLUMN(H12)-2)</f>
        <v>20.915466815294725</v>
      </c>
      <c r="AB12" s="1448"/>
      <c r="AC12" s="1449"/>
      <c r="AE12" s="1448" cm="1">
        <f t="array" ref="AE12">INDEX($L:$S,($W$2-1)*12+ROW(L12),COLUMN(L12)-11)</f>
        <v>390</v>
      </c>
      <c r="AF12" s="1449" cm="1">
        <f t="array" ref="AF12">INDEX($L:$S,($W$2-1)*12+ROW(M12),COLUMN(M12)-11)</f>
        <v>58.980839057652446</v>
      </c>
      <c r="AG12" s="1448" cm="1">
        <f t="array" ref="AG12">INDEX($L:$S,($W$2-1)*12+ROW(N12),COLUMN(N12)-11)</f>
        <v>300</v>
      </c>
      <c r="AH12" s="1449" cm="1">
        <f t="array" ref="AH12">INDEX($L:$S,($W$2-1)*12+ROW(O12),COLUMN(O12)-11)</f>
        <v>57.073060803556054</v>
      </c>
      <c r="AI12" s="1448" cm="1">
        <f t="array" ref="AI12">INDEX($L:$S,($W$2-1)*12+ROW(P12),COLUMN(P12)-11)</f>
        <v>140</v>
      </c>
      <c r="AJ12" s="1449" cm="1">
        <f t="array" ref="AJ12">INDEX($L:$S,($W$2-1)*12+ROW(Q12),COLUMN(Q12)-11)</f>
        <v>19.574933517601881</v>
      </c>
      <c r="AK12" s="1448" cm="1">
        <f t="array" ref="AK12">INDEX($L:$S,($W$2-1)*12+ROW(R12),COLUMN(R12)-11)</f>
        <v>0</v>
      </c>
      <c r="AL12" s="1449" cm="1">
        <f t="array" ref="AL12">INDEX($L:$S,($W$2-1)*12+ROW(S12),COLUMN(S12)-11)</f>
        <v>0</v>
      </c>
    </row>
    <row r="13" spans="3:38" ht="14" thickBot="1" x14ac:dyDescent="0.2">
      <c r="C13" s="306">
        <f>'Laskenta tulopuoli 60'!$AA$12</f>
        <v>410</v>
      </c>
      <c r="D13" s="464">
        <f>'Laskenta tulopuoli 60'!$AB$12</f>
        <v>40.227692796254239</v>
      </c>
      <c r="E13" s="307">
        <f>'Laskenta tulopuoli 60'!$AC$12</f>
        <v>315</v>
      </c>
      <c r="F13" s="464">
        <f>'Laskenta tulopuoli 60'!$AD$12</f>
        <v>33.921064483256508</v>
      </c>
      <c r="G13" s="307"/>
      <c r="H13" s="464"/>
      <c r="I13" s="307"/>
      <c r="J13" s="461"/>
      <c r="L13" s="306">
        <f>'Laskenta poistopuoli 60'!$AA$12</f>
        <v>422</v>
      </c>
      <c r="M13" s="464">
        <f>'Laskenta poistopuoli 60'!$AB$12</f>
        <v>44.277754454596312</v>
      </c>
      <c r="N13" s="307">
        <f>'Laskenta poistopuoli 60'!$AC$12</f>
        <v>340</v>
      </c>
      <c r="O13" s="464">
        <f>'Laskenta poistopuoli 60'!$AD$12</f>
        <v>39.254349206872753</v>
      </c>
      <c r="P13" s="307"/>
      <c r="Q13" s="464"/>
      <c r="R13" s="307"/>
      <c r="S13" s="461"/>
      <c r="V13" s="1450" cm="1">
        <f t="array" ref="V13">INDEX($C:$J,($W$2-1)*12+ROW(C13),COLUMN(C13)-2)</f>
        <v>410</v>
      </c>
      <c r="W13" s="1451" cm="1">
        <f t="array" ref="W13">INDEX($C:$J,($W$2-1)*12+ROW(D13),COLUMN(D13)-2)</f>
        <v>40.227692796254239</v>
      </c>
      <c r="X13" s="1450" cm="1">
        <f t="array" ref="X13">INDEX($C:$J,($W$2-1)*12+ROW(E13),COLUMN(E13)-2)</f>
        <v>315</v>
      </c>
      <c r="Y13" s="1451" cm="1">
        <f t="array" ref="Y13">INDEX($C:$J,($W$2-1)*12+ROW(F13),COLUMN(F13)-2)</f>
        <v>33.921064483256508</v>
      </c>
      <c r="Z13" s="1450"/>
      <c r="AA13" s="1451"/>
      <c r="AB13" s="1450"/>
      <c r="AC13" s="1451"/>
      <c r="AE13" s="1450" cm="1">
        <f t="array" ref="AE13">INDEX($L:$S,($W$2-1)*12+ROW(L13),COLUMN(L13)-11)</f>
        <v>422</v>
      </c>
      <c r="AF13" s="1451" cm="1">
        <f t="array" ref="AF13">INDEX($L:$S,($W$2-1)*12+ROW(M13),COLUMN(M13)-11)</f>
        <v>44.277754454596312</v>
      </c>
      <c r="AG13" s="1450" cm="1">
        <f t="array" ref="AG13">INDEX($L:$S,($W$2-1)*12+ROW(N13),COLUMN(N13)-11)</f>
        <v>340</v>
      </c>
      <c r="AH13" s="1451" cm="1">
        <f t="array" ref="AH13">INDEX($L:$S,($W$2-1)*12+ROW(O13),COLUMN(O13)-11)</f>
        <v>39.254349206872753</v>
      </c>
      <c r="AI13" s="1450" cm="1">
        <f t="array" ref="AI13">INDEX($L:$S,($W$2-1)*12+ROW(P13),COLUMN(P13)-11)</f>
        <v>0</v>
      </c>
      <c r="AJ13" s="1451" cm="1">
        <f t="array" ref="AJ13">INDEX($L:$S,($W$2-1)*12+ROW(Q13),COLUMN(Q13)-11)</f>
        <v>0</v>
      </c>
      <c r="AK13" s="1450" cm="1">
        <f t="array" ref="AK13">INDEX($L:$S,($W$2-1)*12+ROW(R13),COLUMN(R13)-11)</f>
        <v>0</v>
      </c>
      <c r="AL13" s="1451" cm="1">
        <f t="array" ref="AL13">INDEX($L:$S,($W$2-1)*12+ROW(S13),COLUMN(S13)-11)</f>
        <v>0</v>
      </c>
    </row>
    <row r="15" spans="3:38" ht="14" thickBot="1" x14ac:dyDescent="0.2">
      <c r="C15" s="104">
        <v>2</v>
      </c>
      <c r="D15" s="2" t="str">
        <f>INDEX(Tulokset!$X$12:$X$18,MATCH(C15,Tulokset!$Y$12:$Y$18,0))</f>
        <v>Model 100</v>
      </c>
      <c r="L15" s="104">
        <v>2</v>
      </c>
      <c r="M15" s="2" t="str">
        <f>INDEX(Tulokset!$X$12:$X$18,MATCH(L15,Tulokset!$Y$12:$Y$18,0))</f>
        <v>Model 100</v>
      </c>
    </row>
    <row r="16" spans="3:38" ht="14" thickBot="1" x14ac:dyDescent="0.2">
      <c r="C16" s="465" t="s">
        <v>7</v>
      </c>
      <c r="D16" s="1442" t="str">
        <f>D15</f>
        <v>Model 100</v>
      </c>
      <c r="E16" s="361"/>
      <c r="F16" s="361"/>
      <c r="G16" s="361"/>
      <c r="H16" s="361"/>
      <c r="I16" s="361"/>
      <c r="J16" s="362"/>
      <c r="L16" s="1441" t="s">
        <v>8</v>
      </c>
      <c r="M16" s="1442" t="str">
        <f>M15</f>
        <v>Model 100</v>
      </c>
      <c r="N16" s="361"/>
      <c r="O16" s="361"/>
      <c r="P16" s="361"/>
      <c r="Q16" s="361"/>
      <c r="R16" s="361"/>
      <c r="S16" s="362"/>
    </row>
    <row r="17" spans="3:19" x14ac:dyDescent="0.15">
      <c r="C17" s="1437" t="str">
        <f>'Laskenta tulopuoli 100'!$AA$4</f>
        <v>10 V</v>
      </c>
      <c r="D17" s="1444"/>
      <c r="E17" s="1437" t="str">
        <f>'Laskenta tulopuoli 100'!$AC$4</f>
        <v>6,5 V</v>
      </c>
      <c r="F17" s="1444"/>
      <c r="G17" s="1437" t="str">
        <f>'Laskenta tulopuoli 100'!$AE$4</f>
        <v>5 V</v>
      </c>
      <c r="H17" s="1444"/>
      <c r="I17" s="1437" t="str">
        <f>'Laskenta tulopuoli 100'!$AG$4</f>
        <v>3 V</v>
      </c>
      <c r="J17" s="231"/>
      <c r="L17" s="1437" t="str">
        <f>'Laskenta poistopuoli 100'!$AA$4</f>
        <v>10 V</v>
      </c>
      <c r="M17" s="1444"/>
      <c r="N17" s="1437" t="str">
        <f>'Laskenta poistopuoli 100'!$AC$4</f>
        <v>6,5 V</v>
      </c>
      <c r="O17" s="1444"/>
      <c r="P17" s="1437" t="str">
        <f>'Laskenta poistopuoli 100'!$AE$4</f>
        <v>5 V</v>
      </c>
      <c r="Q17" s="1444"/>
      <c r="R17" s="1437" t="str">
        <f>'Laskenta poistopuoli 100'!$AG$4</f>
        <v>3 V</v>
      </c>
      <c r="S17" s="231"/>
    </row>
    <row r="18" spans="3:19" ht="14" thickBot="1" x14ac:dyDescent="0.2">
      <c r="C18" s="306" t="s">
        <v>14</v>
      </c>
      <c r="D18" s="462" t="s">
        <v>13</v>
      </c>
      <c r="E18" s="306" t="s">
        <v>14</v>
      </c>
      <c r="F18" s="462" t="s">
        <v>13</v>
      </c>
      <c r="G18" s="306" t="s">
        <v>14</v>
      </c>
      <c r="H18" s="462" t="s">
        <v>13</v>
      </c>
      <c r="I18" s="306" t="s">
        <v>14</v>
      </c>
      <c r="J18" s="239" t="s">
        <v>13</v>
      </c>
      <c r="L18" s="306" t="s">
        <v>14</v>
      </c>
      <c r="M18" s="462" t="s">
        <v>13</v>
      </c>
      <c r="N18" s="306" t="s">
        <v>14</v>
      </c>
      <c r="O18" s="462" t="s">
        <v>13</v>
      </c>
      <c r="P18" s="306" t="s">
        <v>14</v>
      </c>
      <c r="Q18" s="462" t="s">
        <v>13</v>
      </c>
      <c r="R18" s="306" t="s">
        <v>14</v>
      </c>
      <c r="S18" s="239" t="s">
        <v>13</v>
      </c>
    </row>
    <row r="19" spans="3:19" x14ac:dyDescent="0.15">
      <c r="C19" s="1445">
        <f>'Laskenta tulopuoli 100'!$AA$6</f>
        <v>25</v>
      </c>
      <c r="D19" s="1438">
        <f>'Laskenta tulopuoli 100'!$AB$6</f>
        <v>105.55992375280067</v>
      </c>
      <c r="E19" s="1439">
        <f>'Laskenta tulopuoli 100'!$AC$6</f>
        <v>20</v>
      </c>
      <c r="F19" s="1438">
        <f>'Laskenta tulopuoli 100'!$AD$6</f>
        <v>80.704641716435873</v>
      </c>
      <c r="G19" s="1439">
        <f>'Laskenta tulopuoli 100'!$AE$6</f>
        <v>10</v>
      </c>
      <c r="H19" s="1438">
        <f>'Laskenta tulopuoli 100'!$AF$6</f>
        <v>54.339001915022031</v>
      </c>
      <c r="I19" s="1439">
        <f>'Laskenta tulopuoli 100'!$AG$6</f>
        <v>10</v>
      </c>
      <c r="J19" s="1440">
        <f>'Laskenta tulopuoli 100'!$AH$6</f>
        <v>20.411043893478237</v>
      </c>
      <c r="L19" s="1445">
        <f>'Laskenta poistopuoli 100'!$AA$6</f>
        <v>25</v>
      </c>
      <c r="M19" s="1438">
        <f>'Laskenta poistopuoli 100'!$AB$6</f>
        <v>115.67880715777122</v>
      </c>
      <c r="N19" s="1439">
        <f>'Laskenta poistopuoli 100'!$AC$6</f>
        <v>20</v>
      </c>
      <c r="O19" s="1438">
        <f>'Laskenta poistopuoli 100'!$AD$6</f>
        <v>91.988373586551461</v>
      </c>
      <c r="P19" s="1439">
        <f>'Laskenta poistopuoli 100'!$AE$6</f>
        <v>15</v>
      </c>
      <c r="Q19" s="1438">
        <f>'Laskenta poistopuoli 100'!$AF$6</f>
        <v>63.494874015749062</v>
      </c>
      <c r="R19" s="1439">
        <f>'Laskenta poistopuoli 100'!$AG$6</f>
        <v>10</v>
      </c>
      <c r="S19" s="1440">
        <f>'Laskenta poistopuoli 100'!$AH$6</f>
        <v>29.670491870313402</v>
      </c>
    </row>
    <row r="20" spans="3:19" x14ac:dyDescent="0.15">
      <c r="C20" s="304">
        <f>'Laskenta tulopuoli 100'!$AA$7</f>
        <v>120</v>
      </c>
      <c r="D20" s="463">
        <f>'Laskenta tulopuoli 100'!$AB$7</f>
        <v>91.334084830633799</v>
      </c>
      <c r="E20" s="305">
        <f>'Laskenta tulopuoli 100'!$AC$7</f>
        <v>50</v>
      </c>
      <c r="F20" s="463">
        <f>'Laskenta tulopuoli 100'!$AD$7</f>
        <v>73.838694391688321</v>
      </c>
      <c r="G20" s="305">
        <f>'Laskenta tulopuoli 100'!$AE$7</f>
        <v>40</v>
      </c>
      <c r="H20" s="463">
        <f>'Laskenta tulopuoli 100'!$AF$7</f>
        <v>44.807769064929076</v>
      </c>
      <c r="I20" s="305">
        <f>'Laskenta tulopuoli 100'!$AG$7</f>
        <v>20</v>
      </c>
      <c r="J20" s="460">
        <f>'Laskenta tulopuoli 100'!$AH$7</f>
        <v>15.414623288200497</v>
      </c>
      <c r="L20" s="304">
        <f>'Laskenta poistopuoli 100'!$AA$7</f>
        <v>120</v>
      </c>
      <c r="M20" s="463">
        <f>'Laskenta poistopuoli 100'!$AB$7</f>
        <v>103.49402125954791</v>
      </c>
      <c r="N20" s="305">
        <f>'Laskenta poistopuoli 100'!$AC$7</f>
        <v>50</v>
      </c>
      <c r="O20" s="463">
        <f>'Laskenta poistopuoli 100'!$AD$7</f>
        <v>86.286536155517794</v>
      </c>
      <c r="P20" s="305">
        <f>'Laskenta poistopuoli 100'!$AE$7</f>
        <v>40</v>
      </c>
      <c r="Q20" s="463">
        <f>'Laskenta poistopuoli 100'!$AF$7</f>
        <v>56.973770904089747</v>
      </c>
      <c r="R20" s="305">
        <f>'Laskenta poistopuoli 100'!$AG$7</f>
        <v>20</v>
      </c>
      <c r="S20" s="460">
        <f>'Laskenta poistopuoli 100'!$AH$7</f>
        <v>22.578901953211147</v>
      </c>
    </row>
    <row r="21" spans="3:19" x14ac:dyDescent="0.15">
      <c r="C21" s="304">
        <f>'Laskenta tulopuoli 100'!$AA$8</f>
        <v>190</v>
      </c>
      <c r="D21" s="463">
        <f>'Laskenta tulopuoli 100'!$AB$8</f>
        <v>79.861474107511413</v>
      </c>
      <c r="E21" s="305">
        <f>'Laskenta tulopuoli 100'!$AC$8</f>
        <v>100</v>
      </c>
      <c r="F21" s="463">
        <f>'Laskenta tulopuoli 100'!$AD$8</f>
        <v>61.665564184927057</v>
      </c>
      <c r="G21" s="305">
        <f>'Laskenta tulopuoli 100'!$AE$8</f>
        <v>60</v>
      </c>
      <c r="H21" s="463">
        <f>'Laskenta tulopuoli 100'!$AF$8</f>
        <v>38.065608935044438</v>
      </c>
      <c r="I21" s="305">
        <f>'Laskenta tulopuoli 100'!$AG$8</f>
        <v>25</v>
      </c>
      <c r="J21" s="460">
        <f>'Laskenta tulopuoli 100'!$AH$8</f>
        <v>12.814599421780468</v>
      </c>
      <c r="L21" s="304">
        <f>'Laskenta poistopuoli 100'!$AA$8</f>
        <v>190</v>
      </c>
      <c r="M21" s="463">
        <f>'Laskenta poistopuoli 100'!$AB$8</f>
        <v>93.392194792281046</v>
      </c>
      <c r="N21" s="305">
        <f>'Laskenta poistopuoli 100'!$AC$8</f>
        <v>100</v>
      </c>
      <c r="O21" s="463">
        <f>'Laskenta poistopuoli 100'!$AD$8</f>
        <v>75.900637350102883</v>
      </c>
      <c r="P21" s="305">
        <f>'Laskenta poistopuoli 100'!$AE$8</f>
        <v>60</v>
      </c>
      <c r="Q21" s="463">
        <f>'Laskenta poistopuoli 100'!$AF$8</f>
        <v>51.145153604780376</v>
      </c>
      <c r="R21" s="305">
        <f>'Laskenta poistopuoli 100'!$AG$8</f>
        <v>30</v>
      </c>
      <c r="S21" s="460">
        <f>'Laskenta poistopuoli 100'!$AH$8</f>
        <v>16.488965411522997</v>
      </c>
    </row>
    <row r="22" spans="3:19" x14ac:dyDescent="0.15">
      <c r="C22" s="304">
        <f>'Laskenta tulopuoli 100'!$AA$9</f>
        <v>250</v>
      </c>
      <c r="D22" s="463">
        <f>'Laskenta tulopuoli 100'!$AB$9</f>
        <v>69.154705393973089</v>
      </c>
      <c r="E22" s="305">
        <f>'Laskenta tulopuoli 100'!$AC$9</f>
        <v>150</v>
      </c>
      <c r="F22" s="463">
        <f>'Laskenta tulopuoli 100'!$AD$9</f>
        <v>48.356228284154241</v>
      </c>
      <c r="G22" s="305">
        <f>'Laskenta tulopuoli 100'!$AE$9</f>
        <v>80</v>
      </c>
      <c r="H22" s="463">
        <f>'Laskenta tulopuoli 100'!$AF$9</f>
        <v>30.953738781884212</v>
      </c>
      <c r="I22" s="305">
        <f>'Laskenta tulopuoli 100'!$AG$9</f>
        <v>30</v>
      </c>
      <c r="J22" s="460">
        <f>'Laskenta tulopuoli 100'!$AH$9</f>
        <v>10.138839913756215</v>
      </c>
      <c r="L22" s="304">
        <f>'Laskenta poistopuoli 100'!$AA$9</f>
        <v>250</v>
      </c>
      <c r="M22" s="463">
        <f>'Laskenta poistopuoli 100'!$AB$9</f>
        <v>83.647531933078071</v>
      </c>
      <c r="N22" s="305">
        <f>'Laskenta poistopuoli 100'!$AC$9</f>
        <v>150</v>
      </c>
      <c r="O22" s="463">
        <f>'Laskenta poistopuoli 100'!$AD$9</f>
        <v>63.979035472792781</v>
      </c>
      <c r="P22" s="305">
        <f>'Laskenta poistopuoli 100'!$AE$9</f>
        <v>80</v>
      </c>
      <c r="Q22" s="463">
        <f>'Laskenta poistopuoli 100'!$AF$9</f>
        <v>44.536021272153903</v>
      </c>
      <c r="R22" s="305">
        <f>'Laskenta poistopuoli 100'!$AG$9</f>
        <v>35</v>
      </c>
      <c r="S22" s="460">
        <f>'Laskenta poistopuoli 100'!$AH$9</f>
        <v>13.708304384736721</v>
      </c>
    </row>
    <row r="23" spans="3:19" x14ac:dyDescent="0.15">
      <c r="C23" s="304">
        <f>'Laskenta tulopuoli 100'!$AA$10</f>
        <v>320</v>
      </c>
      <c r="D23" s="463">
        <f>'Laskenta tulopuoli 100'!$AB$10</f>
        <v>55.301465600422567</v>
      </c>
      <c r="E23" s="305">
        <f>'Laskenta tulopuoli 100'!$AC$10</f>
        <v>170</v>
      </c>
      <c r="F23" s="463">
        <f>'Laskenta tulopuoli 100'!$AD$10</f>
        <v>42.633564679818207</v>
      </c>
      <c r="G23" s="305">
        <f>'Laskenta tulopuoli 100'!$AE$10</f>
        <v>100</v>
      </c>
      <c r="H23" s="463">
        <f>'Laskenta tulopuoli 100'!$AF$10</f>
        <v>23.403717201633526</v>
      </c>
      <c r="I23" s="305">
        <f>'Laskenta tulopuoli 100'!$AG$10</f>
        <v>34</v>
      </c>
      <c r="J23" s="460">
        <f>'Laskenta tulopuoli 100'!$AH$10</f>
        <v>7.9390146933981729</v>
      </c>
      <c r="L23" s="304">
        <f>'Laskenta poistopuoli 100'!$AA$10</f>
        <v>320</v>
      </c>
      <c r="M23" s="463">
        <f>'Laskenta poistopuoli 100'!$AB$10</f>
        <v>70.340226812771604</v>
      </c>
      <c r="N23" s="305">
        <f>'Laskenta poistopuoli 100'!$AC$10</f>
        <v>170</v>
      </c>
      <c r="O23" s="463">
        <f>'Laskenta poistopuoli 100'!$AD$10</f>
        <v>58.592403493552204</v>
      </c>
      <c r="P23" s="305">
        <f>'Laskenta poistopuoli 100'!$AE$10</f>
        <v>100</v>
      </c>
      <c r="Q23" s="463">
        <f>'Laskenta poistopuoli 100'!$AF$10</f>
        <v>36.710790610696051</v>
      </c>
      <c r="R23" s="305">
        <f>'Laskenta poistopuoli 100'!$AG$10</f>
        <v>40</v>
      </c>
      <c r="S23" s="460">
        <f>'Laskenta poistopuoli 100'!$AH$10</f>
        <v>11.06772203702376</v>
      </c>
    </row>
    <row r="24" spans="3:19" x14ac:dyDescent="0.15">
      <c r="C24" s="304">
        <f>'Laskenta tulopuoli 100'!$AA$11</f>
        <v>390</v>
      </c>
      <c r="D24" s="463">
        <f>'Laskenta tulopuoli 100'!$AB$11</f>
        <v>39.334311694441077</v>
      </c>
      <c r="E24" s="305">
        <f>'Laskenta tulopuoli 100'!$AC$11</f>
        <v>190</v>
      </c>
      <c r="F24" s="463">
        <f>'Laskenta tulopuoli 100'!$AD$11</f>
        <v>36.633999759441082</v>
      </c>
      <c r="G24" s="305">
        <f>'Laskenta tulopuoli 100'!$AE$11</f>
        <v>110</v>
      </c>
      <c r="H24" s="463">
        <f>'Laskenta tulopuoli 100'!$AF$11</f>
        <v>19.436728566723829</v>
      </c>
      <c r="I24" s="305"/>
      <c r="J24" s="460"/>
      <c r="L24" s="304">
        <f>'Laskenta poistopuoli 100'!$AA$11</f>
        <v>390</v>
      </c>
      <c r="M24" s="463">
        <f>'Laskenta poistopuoli 100'!$AB$11</f>
        <v>53.15774384679068</v>
      </c>
      <c r="N24" s="305">
        <f>'Laskenta poistopuoli 100'!$AC$11</f>
        <v>190</v>
      </c>
      <c r="O24" s="463">
        <f>'Laskenta poistopuoli 100'!$AD$11</f>
        <v>52.709351379206979</v>
      </c>
      <c r="P24" s="305">
        <f>'Laskenta poistopuoli 100'!$AE$11</f>
        <v>125</v>
      </c>
      <c r="Q24" s="463">
        <f>'Laskenta poistopuoli 100'!$AF$11</f>
        <v>23.297949159489587</v>
      </c>
      <c r="R24" s="305"/>
      <c r="S24" s="460"/>
    </row>
    <row r="25" spans="3:19" ht="14" thickBot="1" x14ac:dyDescent="0.2">
      <c r="C25" s="306">
        <f>'Laskenta tulopuoli 100'!$AA$12</f>
        <v>400</v>
      </c>
      <c r="D25" s="464">
        <f>'Laskenta tulopuoli 100'!$AB$12</f>
        <v>36.814967342900474</v>
      </c>
      <c r="E25" s="307">
        <f>'Laskenta tulopuoli 100'!$AC$12</f>
        <v>220</v>
      </c>
      <c r="F25" s="464">
        <f>'Laskenta tulopuoli 100'!$AD$12</f>
        <v>27.014459006801598</v>
      </c>
      <c r="G25" s="307"/>
      <c r="H25" s="464"/>
      <c r="I25" s="307"/>
      <c r="J25" s="461"/>
      <c r="L25" s="306">
        <f>'Laskenta poistopuoli 100'!$AA$12</f>
        <v>425</v>
      </c>
      <c r="M25" s="464">
        <f>'Laskenta poistopuoli 100'!$AB$12</f>
        <v>41.2632427578814</v>
      </c>
      <c r="N25" s="307">
        <f>'Laskenta poistopuoli 100'!$AC$12</f>
        <v>245</v>
      </c>
      <c r="O25" s="464">
        <f>'Laskenta poistopuoli 100'!$AD$12</f>
        <v>32.044849239800861</v>
      </c>
      <c r="P25" s="307"/>
      <c r="Q25" s="464"/>
      <c r="R25" s="307"/>
      <c r="S25" s="461"/>
    </row>
    <row r="27" spans="3:19" ht="14" thickBot="1" x14ac:dyDescent="0.2">
      <c r="C27" s="104">
        <v>3</v>
      </c>
      <c r="D27" s="2" t="str">
        <f>INDEX(Tulokset!$X$12:$X$18,MATCH(C27,Tulokset!$Y$12:$Y$18,0))</f>
        <v>Model 150</v>
      </c>
      <c r="L27" s="104">
        <v>3</v>
      </c>
      <c r="M27" s="2" t="str">
        <f>INDEX(Tulokset!$X$12:$X$18,MATCH(L27,Tulokset!$Y$12:$Y$18,0))</f>
        <v>Model 150</v>
      </c>
    </row>
    <row r="28" spans="3:19" ht="14" thickBot="1" x14ac:dyDescent="0.2">
      <c r="C28" s="465" t="s">
        <v>7</v>
      </c>
      <c r="D28" s="1442" t="str">
        <f>D27</f>
        <v>Model 150</v>
      </c>
      <c r="E28" s="361"/>
      <c r="F28" s="361"/>
      <c r="G28" s="361"/>
      <c r="H28" s="361"/>
      <c r="I28" s="361"/>
      <c r="J28" s="362"/>
      <c r="L28" s="1441" t="s">
        <v>8</v>
      </c>
      <c r="M28" s="1442" t="str">
        <f>M27</f>
        <v>Model 150</v>
      </c>
      <c r="N28" s="361"/>
      <c r="O28" s="361"/>
      <c r="P28" s="361"/>
      <c r="Q28" s="361"/>
      <c r="R28" s="361"/>
      <c r="S28" s="362"/>
    </row>
    <row r="29" spans="3:19" x14ac:dyDescent="0.15">
      <c r="C29" s="1437" t="str">
        <f>'Laskenta tulopuoli 150'!$AA$4</f>
        <v>10 V</v>
      </c>
      <c r="D29" s="1444"/>
      <c r="E29" s="1437" t="str">
        <f>'Laskenta tulopuoli 150'!$AC$4</f>
        <v>6,5 V</v>
      </c>
      <c r="F29" s="1444"/>
      <c r="G29" s="1437" t="str">
        <f>'Laskenta tulopuoli 150'!$AE$4</f>
        <v>5 V</v>
      </c>
      <c r="H29" s="1444"/>
      <c r="I29" s="1437" t="str">
        <f>'Laskenta tulopuoli 150'!$AG$4</f>
        <v>3 V</v>
      </c>
      <c r="J29" s="231"/>
      <c r="L29" s="1437" t="str">
        <f>'Laskenta poistopuoli 150'!$AA$4</f>
        <v>10 V</v>
      </c>
      <c r="M29" s="1444"/>
      <c r="N29" s="1437" t="str">
        <f>'Laskenta poistopuoli 150'!$AC$4</f>
        <v>6,5 V</v>
      </c>
      <c r="O29" s="1444"/>
      <c r="P29" s="1437" t="str">
        <f>'Laskenta poistopuoli 150'!$AE$4</f>
        <v>5 V</v>
      </c>
      <c r="Q29" s="1444"/>
      <c r="R29" s="1437" t="str">
        <f>'Laskenta poistopuoli 150'!$AG$4</f>
        <v>3 V</v>
      </c>
      <c r="S29" s="231"/>
    </row>
    <row r="30" spans="3:19" ht="14" thickBot="1" x14ac:dyDescent="0.2">
      <c r="C30" s="306" t="s">
        <v>14</v>
      </c>
      <c r="D30" s="462" t="s">
        <v>13</v>
      </c>
      <c r="E30" s="306" t="s">
        <v>14</v>
      </c>
      <c r="F30" s="462" t="s">
        <v>13</v>
      </c>
      <c r="G30" s="306" t="s">
        <v>14</v>
      </c>
      <c r="H30" s="462" t="s">
        <v>13</v>
      </c>
      <c r="I30" s="306" t="s">
        <v>14</v>
      </c>
      <c r="J30" s="239" t="s">
        <v>13</v>
      </c>
      <c r="L30" s="306" t="s">
        <v>14</v>
      </c>
      <c r="M30" s="462" t="s">
        <v>13</v>
      </c>
      <c r="N30" s="306" t="s">
        <v>14</v>
      </c>
      <c r="O30" s="462" t="s">
        <v>13</v>
      </c>
      <c r="P30" s="306" t="s">
        <v>14</v>
      </c>
      <c r="Q30" s="462" t="s">
        <v>13</v>
      </c>
      <c r="R30" s="306" t="s">
        <v>14</v>
      </c>
      <c r="S30" s="239" t="s">
        <v>13</v>
      </c>
    </row>
    <row r="31" spans="3:19" x14ac:dyDescent="0.15">
      <c r="C31" s="1445">
        <f>'Laskenta tulopuoli 150'!$AA$6</f>
        <v>60</v>
      </c>
      <c r="D31" s="1438">
        <f>'Laskenta tulopuoli 150'!$AB$6</f>
        <v>163.27621827727629</v>
      </c>
      <c r="E31" s="1439">
        <f>'Laskenta tulopuoli 150'!$AC$6</f>
        <v>40</v>
      </c>
      <c r="F31" s="1438">
        <f>'Laskenta tulopuoli 150'!$AD$6</f>
        <v>119.61125525000722</v>
      </c>
      <c r="G31" s="1439">
        <f>'Laskenta tulopuoli 150'!$AE$6</f>
        <v>25</v>
      </c>
      <c r="H31" s="1438">
        <f>'Laskenta tulopuoli 150'!$AF$6</f>
        <v>85.871546877565663</v>
      </c>
      <c r="I31" s="1439">
        <f>'Laskenta tulopuoli 150'!$AG$6</f>
        <v>10</v>
      </c>
      <c r="J31" s="1440">
        <f>'Laskenta tulopuoli 150'!$AH$6</f>
        <v>45.102913284775056</v>
      </c>
      <c r="L31" s="1445">
        <f>'Laskenta poistopuoli 150'!$AA$6</f>
        <v>100</v>
      </c>
      <c r="M31" s="1438">
        <f>'Laskenta poistopuoli 150'!$AB$6</f>
        <v>179.11691580328477</v>
      </c>
      <c r="N31" s="1439">
        <f>'Laskenta poistopuoli 150'!$AC$6</f>
        <v>50</v>
      </c>
      <c r="O31" s="1438">
        <f>'Laskenta poistopuoli 150'!$AD$6</f>
        <v>131.14254504164199</v>
      </c>
      <c r="P31" s="1439">
        <f>'Laskenta poistopuoli 150'!$AE$6</f>
        <v>35</v>
      </c>
      <c r="Q31" s="1438">
        <f>'Laskenta poistopuoli 150'!$AF$6</f>
        <v>96.216817804800328</v>
      </c>
      <c r="R31" s="1439">
        <f>'Laskenta poistopuoli 150'!$AG$6</f>
        <v>15</v>
      </c>
      <c r="S31" s="1440">
        <f>'Laskenta poistopuoli 150'!$AH$6</f>
        <v>52.354855059834129</v>
      </c>
    </row>
    <row r="32" spans="3:19" x14ac:dyDescent="0.15">
      <c r="C32" s="304">
        <f>'Laskenta tulopuoli 150'!$AA$7</f>
        <v>120</v>
      </c>
      <c r="D32" s="463">
        <f>'Laskenta tulopuoli 150'!$AB$7</f>
        <v>155.01781265788924</v>
      </c>
      <c r="E32" s="305">
        <f>'Laskenta tulopuoli 150'!$AC$7</f>
        <v>50</v>
      </c>
      <c r="F32" s="463">
        <f>'Laskenta tulopuoli 150'!$AD$7</f>
        <v>117.54420481108893</v>
      </c>
      <c r="G32" s="305">
        <f>'Laskenta tulopuoli 150'!$AE$7</f>
        <v>40</v>
      </c>
      <c r="H32" s="463">
        <f>'Laskenta tulopuoli 150'!$AF$7</f>
        <v>82.320877538980454</v>
      </c>
      <c r="I32" s="305">
        <f>'Laskenta tulopuoli 150'!$AG$7</f>
        <v>20</v>
      </c>
      <c r="J32" s="460">
        <f>'Laskenta tulopuoli 150'!$AH$7</f>
        <v>41.773612621820391</v>
      </c>
      <c r="L32" s="304">
        <f>'Laskenta poistopuoli 150'!$AA$7</f>
        <v>120</v>
      </c>
      <c r="M32" s="463">
        <f>'Laskenta poistopuoli 150'!$AB$7</f>
        <v>174.89861666422897</v>
      </c>
      <c r="N32" s="305">
        <f>'Laskenta poistopuoli 150'!$AC$7</f>
        <v>50</v>
      </c>
      <c r="O32" s="463">
        <f>'Laskenta poistopuoli 150'!$AD$7</f>
        <v>131.14254504164199</v>
      </c>
      <c r="P32" s="305">
        <f>'Laskenta poistopuoli 150'!$AE$7</f>
        <v>40</v>
      </c>
      <c r="Q32" s="463">
        <f>'Laskenta poistopuoli 150'!$AF$7</f>
        <v>94.729294500929157</v>
      </c>
      <c r="R32" s="305">
        <f>'Laskenta poistopuoli 150'!$AG$7</f>
        <v>20</v>
      </c>
      <c r="S32" s="460">
        <f>'Laskenta poistopuoli 150'!$AH$7</f>
        <v>50.492611628762866</v>
      </c>
    </row>
    <row r="33" spans="3:19" x14ac:dyDescent="0.15">
      <c r="C33" s="304">
        <f>'Laskenta tulopuoli 150'!$AA$8</f>
        <v>190</v>
      </c>
      <c r="D33" s="463">
        <f>'Laskenta tulopuoli 150'!$AB$8</f>
        <v>145.37230967576792</v>
      </c>
      <c r="E33" s="305">
        <f>'Laskenta tulopuoli 150'!$AC$8</f>
        <v>100</v>
      </c>
      <c r="F33" s="463">
        <f>'Laskenta tulopuoli 150'!$AD$8</f>
        <v>107.51569663316263</v>
      </c>
      <c r="G33" s="305">
        <f>'Laskenta tulopuoli 150'!$AE$8</f>
        <v>60</v>
      </c>
      <c r="H33" s="463">
        <f>'Laskenta tulopuoli 150'!$AF$8</f>
        <v>77.614114597794</v>
      </c>
      <c r="I33" s="305">
        <f>'Laskenta tulopuoli 150'!$AG$8</f>
        <v>25</v>
      </c>
      <c r="J33" s="460">
        <f>'Laskenta tulopuoli 150'!$AH$8</f>
        <v>40.043863570173315</v>
      </c>
      <c r="L33" s="304">
        <f>'Laskenta poistopuoli 150'!$AA$8</f>
        <v>190</v>
      </c>
      <c r="M33" s="463">
        <f>'Laskenta poistopuoli 150'!$AB$8</f>
        <v>162.27597672313368</v>
      </c>
      <c r="N33" s="305">
        <f>'Laskenta poistopuoli 150'!$AC$8</f>
        <v>100</v>
      </c>
      <c r="O33" s="463">
        <f>'Laskenta poistopuoli 150'!$AD$8</f>
        <v>119.35417996021101</v>
      </c>
      <c r="P33" s="305">
        <f>'Laskenta poistopuoli 150'!$AE$8</f>
        <v>60</v>
      </c>
      <c r="Q33" s="463">
        <f>'Laskenta poistopuoli 150'!$AF$8</f>
        <v>88.896594856540219</v>
      </c>
      <c r="R33" s="305">
        <f>'Laskenta poistopuoli 150'!$AG$8</f>
        <v>25</v>
      </c>
      <c r="S33" s="460">
        <f>'Laskenta poistopuoli 150'!$AH$8</f>
        <v>48.580002546231498</v>
      </c>
    </row>
    <row r="34" spans="3:19" x14ac:dyDescent="0.15">
      <c r="C34" s="304">
        <f>'Laskenta tulopuoli 150'!$AA$9</f>
        <v>250</v>
      </c>
      <c r="D34" s="463">
        <f>'Laskenta tulopuoli 150'!$AB$9</f>
        <v>137.09553750932855</v>
      </c>
      <c r="E34" s="305">
        <f>'Laskenta tulopuoli 150'!$AC$9</f>
        <v>150</v>
      </c>
      <c r="F34" s="463">
        <f>'Laskenta tulopuoli 150'!$AD$9</f>
        <v>97.947292697105993</v>
      </c>
      <c r="G34" s="305">
        <f>'Laskenta tulopuoli 150'!$AE$9</f>
        <v>80</v>
      </c>
      <c r="H34" s="463">
        <f>'Laskenta tulopuoli 150'!$AF$9</f>
        <v>72.938172794171322</v>
      </c>
      <c r="I34" s="305">
        <f>'Laskenta tulopuoli 150'!$AG$9</f>
        <v>30</v>
      </c>
      <c r="J34" s="460">
        <f>'Laskenta tulopuoli 150'!$AH$9</f>
        <v>38.265905843604642</v>
      </c>
      <c r="L34" s="304">
        <f>'Laskenta poistopuoli 150'!$AA$9</f>
        <v>250</v>
      </c>
      <c r="M34" s="463">
        <f>'Laskenta poistopuoli 150'!$AB$9</f>
        <v>153.16260121404989</v>
      </c>
      <c r="N34" s="305">
        <f>'Laskenta poistopuoli 150'!$AC$9</f>
        <v>150</v>
      </c>
      <c r="O34" s="463">
        <f>'Laskenta poistopuoli 150'!$AD$9</f>
        <v>107.93377609376739</v>
      </c>
      <c r="P34" s="305">
        <f>'Laskenta poistopuoli 150'!$AE$9</f>
        <v>80</v>
      </c>
      <c r="Q34" s="463">
        <f>'Laskenta poistopuoli 150'!$AF$9</f>
        <v>83.239100699553205</v>
      </c>
      <c r="R34" s="305">
        <f>'Laskenta poistopuoli 150'!$AG$9</f>
        <v>30</v>
      </c>
      <c r="S34" s="460">
        <f>'Laskenta poistopuoli 150'!$AH$9</f>
        <v>46.612705838811827</v>
      </c>
    </row>
    <row r="35" spans="3:19" x14ac:dyDescent="0.15">
      <c r="C35" s="304">
        <f>'Laskenta tulopuoli 150'!$AA$10</f>
        <v>320</v>
      </c>
      <c r="D35" s="463">
        <f>'Laskenta tulopuoli 150'!$AB$10</f>
        <v>127.42853528220249</v>
      </c>
      <c r="E35" s="305">
        <f>'Laskenta tulopuoli 150'!$AC$10</f>
        <v>170</v>
      </c>
      <c r="F35" s="463">
        <f>'Laskenta tulopuoli 150'!$AD$10</f>
        <v>94.235341332553887</v>
      </c>
      <c r="G35" s="305">
        <f>'Laskenta tulopuoli 150'!$AE$10</f>
        <v>100</v>
      </c>
      <c r="H35" s="463">
        <f>'Laskenta tulopuoli 150'!$AF$10</f>
        <v>68.292454467686269</v>
      </c>
      <c r="I35" s="305">
        <f>'Laskenta tulopuoli 150'!$AG$10</f>
        <v>50</v>
      </c>
      <c r="J35" s="460">
        <f>'Laskenta tulopuoli 150'!$AH$10</f>
        <v>30.575525636930571</v>
      </c>
      <c r="L35" s="304">
        <f>'Laskenta poistopuoli 150'!$AA$10</f>
        <v>320</v>
      </c>
      <c r="M35" s="463">
        <f>'Laskenta poistopuoli 150'!$AB$10</f>
        <v>143.78770801919913</v>
      </c>
      <c r="N35" s="305">
        <f>'Laskenta poistopuoli 150'!$AC$10</f>
        <v>170</v>
      </c>
      <c r="O35" s="463">
        <f>'Laskenta poistopuoli 150'!$AD$10</f>
        <v>103.46121449007943</v>
      </c>
      <c r="P35" s="305">
        <f>'Laskenta poistopuoli 150'!$AE$10</f>
        <v>100</v>
      </c>
      <c r="Q35" s="463">
        <f>'Laskenta poistopuoli 150'!$AF$10</f>
        <v>77.741912106746298</v>
      </c>
      <c r="R35" s="305">
        <f>'Laskenta poistopuoli 150'!$AG$10</f>
        <v>55</v>
      </c>
      <c r="S35" s="460">
        <f>'Laskenta poistopuoli 150'!$AH$10</f>
        <v>35.748954672957019</v>
      </c>
    </row>
    <row r="36" spans="3:19" x14ac:dyDescent="0.15">
      <c r="C36" s="304">
        <f>'Laskenta tulopuoli 150'!$AA$11</f>
        <v>350</v>
      </c>
      <c r="D36" s="463">
        <f>'Laskenta tulopuoli 150'!$AB$11</f>
        <v>123.28197466777817</v>
      </c>
      <c r="E36" s="305">
        <f>'Laskenta tulopuoli 150'!$AC$11</f>
        <v>190</v>
      </c>
      <c r="F36" s="463">
        <f>'Laskenta tulopuoli 150'!$AD$11</f>
        <v>90.584425650551594</v>
      </c>
      <c r="G36" s="305">
        <f>'Laskenta tulopuoli 150'!$AE$11</f>
        <v>130</v>
      </c>
      <c r="H36" s="463">
        <f>'Laskenta tulopuoli 150'!$AF$11</f>
        <v>61.379285336312044</v>
      </c>
      <c r="I36" s="305"/>
      <c r="J36" s="460"/>
      <c r="L36" s="304">
        <f>'Laskenta poistopuoli 150'!$AA$11</f>
        <v>390</v>
      </c>
      <c r="M36" s="463">
        <f>'Laskenta poistopuoli 150'!$AB$11</f>
        <v>135.37071942904149</v>
      </c>
      <c r="N36" s="305">
        <f>'Laskenta poistopuoli 150'!$AC$11</f>
        <v>190</v>
      </c>
      <c r="O36" s="463">
        <f>'Laskenta poistopuoli 150'!$AD$11</f>
        <v>99.040422729184755</v>
      </c>
      <c r="P36" s="305">
        <f>'Laskenta poistopuoli 150'!$AE$11</f>
        <v>138</v>
      </c>
      <c r="Q36" s="463">
        <f>'Laskenta poistopuoli 150'!$AF$11</f>
        <v>67.694020441116294</v>
      </c>
      <c r="R36" s="305"/>
      <c r="S36" s="460"/>
    </row>
    <row r="37" spans="3:19" ht="14" thickBot="1" x14ac:dyDescent="0.2">
      <c r="C37" s="306">
        <f>'Laskenta tulopuoli 150'!$AA$12</f>
        <v>420</v>
      </c>
      <c r="D37" s="464">
        <f>'Laskenta tulopuoli 150'!$AB$12</f>
        <v>113.59833638037064</v>
      </c>
      <c r="E37" s="307">
        <f>'Laskenta tulopuoli 150'!$AC$12</f>
        <v>240</v>
      </c>
      <c r="F37" s="464">
        <f>'Laskenta tulopuoli 150'!$AD$12</f>
        <v>81.705583352655495</v>
      </c>
      <c r="G37" s="307"/>
      <c r="H37" s="464"/>
      <c r="I37" s="307"/>
      <c r="J37" s="461"/>
      <c r="L37" s="306">
        <f>'Laskenta poistopuoli 150'!$AA$12</f>
        <v>450</v>
      </c>
      <c r="M37" s="464">
        <f>'Laskenta poistopuoli 150'!$AB$12</f>
        <v>128.73037088287538</v>
      </c>
      <c r="N37" s="307">
        <f>'Laskenta poistopuoli 150'!$AC$12</f>
        <v>235</v>
      </c>
      <c r="O37" s="464">
        <f>'Laskenta poistopuoli 150'!$AD$12</f>
        <v>89.273980043178298</v>
      </c>
      <c r="P37" s="307"/>
      <c r="Q37" s="464"/>
      <c r="R37" s="307"/>
      <c r="S37" s="461"/>
    </row>
    <row r="39" spans="3:19" ht="14" thickBot="1" x14ac:dyDescent="0.2">
      <c r="C39" s="104">
        <v>4</v>
      </c>
      <c r="D39" s="2" t="str">
        <f>INDEX(Tulokset!$X$12:$X$18,MATCH(C39,Tulokset!$Y$12:$Y$18,0))</f>
        <v>Model 250</v>
      </c>
      <c r="L39" s="104">
        <v>4</v>
      </c>
      <c r="M39" s="2" t="str">
        <f>INDEX(Tulokset!$X$12:$X$18,MATCH(L39,Tulokset!$Y$12:$Y$18,0))</f>
        <v>Model 250</v>
      </c>
    </row>
    <row r="40" spans="3:19" ht="14" thickBot="1" x14ac:dyDescent="0.2">
      <c r="C40" s="465" t="s">
        <v>7</v>
      </c>
      <c r="D40" s="1442" t="str">
        <f>D39</f>
        <v>Model 250</v>
      </c>
      <c r="E40" s="361"/>
      <c r="F40" s="361"/>
      <c r="G40" s="361"/>
      <c r="H40" s="361"/>
      <c r="I40" s="361"/>
      <c r="J40" s="362"/>
      <c r="L40" s="1441" t="s">
        <v>8</v>
      </c>
      <c r="M40" s="1442" t="str">
        <f>M39</f>
        <v>Model 250</v>
      </c>
      <c r="N40" s="361"/>
      <c r="O40" s="361"/>
      <c r="P40" s="361"/>
      <c r="Q40" s="361"/>
      <c r="R40" s="361"/>
      <c r="S40" s="362"/>
    </row>
    <row r="41" spans="3:19" x14ac:dyDescent="0.15">
      <c r="C41" s="1437" t="str">
        <f>'Laskenta tulopuoli 250'!$AA$4</f>
        <v>7,5 V</v>
      </c>
      <c r="D41" s="1444"/>
      <c r="E41" s="1437" t="str">
        <f>'Laskenta tulopuoli 250'!$AC$4</f>
        <v>7,5 V</v>
      </c>
      <c r="F41" s="1444"/>
      <c r="G41" s="1437" t="str">
        <f>'Laskenta tulopuoli 250'!$AE$4</f>
        <v>6 V</v>
      </c>
      <c r="H41" s="1444"/>
      <c r="I41" s="1437" t="str">
        <f>'Laskenta tulopuoli 250'!$AG$4</f>
        <v>4 V</v>
      </c>
      <c r="J41" s="231"/>
      <c r="L41" s="1437" t="str">
        <f>'Laskenta poistopuoli 250'!$AA$4</f>
        <v>7,5 V</v>
      </c>
      <c r="M41" s="1444"/>
      <c r="N41" s="1437" t="str">
        <f>'Laskenta poistopuoli 250'!$AC$4</f>
        <v>7,5 V</v>
      </c>
      <c r="O41" s="1444"/>
      <c r="P41" s="1437" t="str">
        <f>'Laskenta poistopuoli 250'!$AE$4</f>
        <v>6 V</v>
      </c>
      <c r="Q41" s="1444"/>
      <c r="R41" s="1437" t="str">
        <f>'Laskenta poistopuoli 250'!$AG$4</f>
        <v>4 V</v>
      </c>
      <c r="S41" s="231"/>
    </row>
    <row r="42" spans="3:19" ht="14" thickBot="1" x14ac:dyDescent="0.2">
      <c r="C42" s="306" t="s">
        <v>14</v>
      </c>
      <c r="D42" s="462" t="s">
        <v>13</v>
      </c>
      <c r="E42" s="306" t="s">
        <v>14</v>
      </c>
      <c r="F42" s="462" t="s">
        <v>13</v>
      </c>
      <c r="G42" s="306" t="s">
        <v>14</v>
      </c>
      <c r="H42" s="462" t="s">
        <v>13</v>
      </c>
      <c r="I42" s="306" t="s">
        <v>14</v>
      </c>
      <c r="J42" s="239" t="s">
        <v>13</v>
      </c>
      <c r="L42" s="306" t="s">
        <v>14</v>
      </c>
      <c r="M42" s="462" t="s">
        <v>13</v>
      </c>
      <c r="N42" s="306" t="s">
        <v>14</v>
      </c>
      <c r="O42" s="462" t="s">
        <v>13</v>
      </c>
      <c r="P42" s="306" t="s">
        <v>14</v>
      </c>
      <c r="Q42" s="462" t="s">
        <v>13</v>
      </c>
      <c r="R42" s="306" t="s">
        <v>14</v>
      </c>
      <c r="S42" s="239" t="s">
        <v>13</v>
      </c>
    </row>
    <row r="43" spans="3:19" x14ac:dyDescent="0.15">
      <c r="C43" s="1445">
        <f>'Laskenta tulopuoli 250'!$AA$6</f>
        <v>20</v>
      </c>
      <c r="D43" s="1438">
        <f>'Laskenta tulopuoli 250'!$AB$6</f>
        <v>276.93002872317612</v>
      </c>
      <c r="E43" s="1439">
        <f>'Laskenta tulopuoli 250'!$AC$6</f>
        <v>20</v>
      </c>
      <c r="F43" s="1438">
        <f>'Laskenta tulopuoli 250'!$AD$6</f>
        <v>276.93002872317612</v>
      </c>
      <c r="G43" s="1439">
        <f>'Laskenta tulopuoli 250'!$AE$6</f>
        <v>10</v>
      </c>
      <c r="H43" s="1438">
        <f>'Laskenta tulopuoli 250'!$AF$6</f>
        <v>213.61335762915562</v>
      </c>
      <c r="I43" s="1439">
        <f>'Laskenta tulopuoli 250'!$AG$6</f>
        <v>10</v>
      </c>
      <c r="J43" s="1440">
        <f>'Laskenta tulopuoli 250'!$AH$6</f>
        <v>122.85148290021115</v>
      </c>
      <c r="L43" s="1445">
        <f>'Laskenta poistopuoli 250'!$AA$6</f>
        <v>25</v>
      </c>
      <c r="M43" s="1438">
        <f>'Laskenta poistopuoli 250'!$AB$6</f>
        <v>296.29699977143565</v>
      </c>
      <c r="N43" s="1439">
        <f>'Laskenta poistopuoli 250'!$AC$6</f>
        <v>25</v>
      </c>
      <c r="O43" s="1438">
        <f>'Laskenta poistopuoli 250'!$AD$6</f>
        <v>296.29699977143565</v>
      </c>
      <c r="P43" s="1439">
        <f>'Laskenta poistopuoli 250'!$AE$6</f>
        <v>10</v>
      </c>
      <c r="Q43" s="1438">
        <f>'Laskenta poistopuoli 250'!$AF$6</f>
        <v>231.45482058174542</v>
      </c>
      <c r="R43" s="1439">
        <f>'Laskenta poistopuoli 250'!$AG$6</f>
        <v>10</v>
      </c>
      <c r="S43" s="1440">
        <f>'Laskenta poistopuoli 250'!$AH$6</f>
        <v>137.79479127749656</v>
      </c>
    </row>
    <row r="44" spans="3:19" x14ac:dyDescent="0.15">
      <c r="C44" s="304">
        <f>'Laskenta tulopuoli 250'!$AA$7</f>
        <v>50</v>
      </c>
      <c r="D44" s="463">
        <f>'Laskenta tulopuoli 250'!$AB$7</f>
        <v>266.48733485462003</v>
      </c>
      <c r="E44" s="305">
        <f>'Laskenta tulopuoli 250'!$AC$7</f>
        <v>50</v>
      </c>
      <c r="F44" s="463">
        <f>'Laskenta tulopuoli 250'!$AD$7</f>
        <v>266.48733485462003</v>
      </c>
      <c r="G44" s="305">
        <f>'Laskenta tulopuoli 250'!$AE$7</f>
        <v>50</v>
      </c>
      <c r="H44" s="463">
        <f>'Laskenta tulopuoli 250'!$AF$7</f>
        <v>195.72898551317115</v>
      </c>
      <c r="I44" s="305">
        <f>'Laskenta tulopuoli 250'!$AG$7</f>
        <v>20</v>
      </c>
      <c r="J44" s="460">
        <f>'Laskenta tulopuoli 250'!$AH$7</f>
        <v>114.87245597479257</v>
      </c>
      <c r="L44" s="304">
        <f>'Laskenta poistopuoli 250'!$AA$7</f>
        <v>100</v>
      </c>
      <c r="M44" s="463">
        <f>'Laskenta poistopuoli 250'!$AB$7</f>
        <v>266.84949561947269</v>
      </c>
      <c r="N44" s="305">
        <f>'Laskenta poistopuoli 250'!$AC$7</f>
        <v>100</v>
      </c>
      <c r="O44" s="463">
        <f>'Laskenta poistopuoli 250'!$AD$7</f>
        <v>266.84949561947269</v>
      </c>
      <c r="P44" s="305">
        <f>'Laskenta poistopuoli 250'!$AE$7</f>
        <v>50</v>
      </c>
      <c r="Q44" s="463">
        <f>'Laskenta poistopuoli 250'!$AF$7</f>
        <v>211.56213987435652</v>
      </c>
      <c r="R44" s="305">
        <f>'Laskenta poistopuoli 250'!$AG$7</f>
        <v>20</v>
      </c>
      <c r="S44" s="460">
        <f>'Laskenta poistopuoli 250'!$AH$7</f>
        <v>129.5056281141523</v>
      </c>
    </row>
    <row r="45" spans="3:19" x14ac:dyDescent="0.15">
      <c r="C45" s="304">
        <f>'Laskenta tulopuoli 250'!$AA$8</f>
        <v>100</v>
      </c>
      <c r="D45" s="463">
        <f>'Laskenta tulopuoli 250'!$AB$8</f>
        <v>247.90855499235673</v>
      </c>
      <c r="E45" s="305">
        <f>'Laskenta tulopuoli 250'!$AC$8</f>
        <v>100</v>
      </c>
      <c r="F45" s="463">
        <f>'Laskenta tulopuoli 250'!$AD$8</f>
        <v>247.90855499235673</v>
      </c>
      <c r="G45" s="305">
        <f>'Laskenta tulopuoli 250'!$AE$8</f>
        <v>90</v>
      </c>
      <c r="H45" s="463">
        <f>'Laskenta tulopuoli 250'!$AF$8</f>
        <v>175.4581740263832</v>
      </c>
      <c r="I45" s="305">
        <f>'Laskenta tulopuoli 250'!$AG$8</f>
        <v>40</v>
      </c>
      <c r="J45" s="460">
        <f>'Laskenta tulopuoli 250'!$AH$8</f>
        <v>97.290460384499539</v>
      </c>
      <c r="L45" s="304">
        <f>'Laskenta poistopuoli 250'!$AA$8</f>
        <v>200</v>
      </c>
      <c r="M45" s="463">
        <f>'Laskenta poistopuoli 250'!$AB$8</f>
        <v>220.17522952287823</v>
      </c>
      <c r="N45" s="305">
        <f>'Laskenta poistopuoli 250'!$AC$8</f>
        <v>200</v>
      </c>
      <c r="O45" s="463">
        <f>'Laskenta poistopuoli 250'!$AD$8</f>
        <v>220.17522952287823</v>
      </c>
      <c r="P45" s="305">
        <f>'Laskenta poistopuoli 250'!$AE$8</f>
        <v>90</v>
      </c>
      <c r="Q45" s="463">
        <f>'Laskenta poistopuoli 250'!$AF$8</f>
        <v>189.11321368100411</v>
      </c>
      <c r="R45" s="305">
        <f>'Laskenta poistopuoli 250'!$AG$8</f>
        <v>40</v>
      </c>
      <c r="S45" s="460">
        <f>'Laskenta poistopuoli 250'!$AH$8</f>
        <v>110.92570358593754</v>
      </c>
    </row>
    <row r="46" spans="3:19" x14ac:dyDescent="0.15">
      <c r="C46" s="304">
        <f>'Laskenta tulopuoli 250'!$AA$9</f>
        <v>150</v>
      </c>
      <c r="D46" s="463">
        <f>'Laskenta tulopuoli 250'!$AB$9</f>
        <v>227.47673751838894</v>
      </c>
      <c r="E46" s="305">
        <f>'Laskenta tulopuoli 250'!$AC$9</f>
        <v>150</v>
      </c>
      <c r="F46" s="463">
        <f>'Laskenta tulopuoli 250'!$AD$9</f>
        <v>227.47673751838894</v>
      </c>
      <c r="G46" s="305">
        <f>'Laskenta tulopuoli 250'!$AE$9</f>
        <v>130</v>
      </c>
      <c r="H46" s="463">
        <f>'Laskenta tulopuoli 250'!$AF$9</f>
        <v>151.47576534370617</v>
      </c>
      <c r="I46" s="305">
        <f>'Laskenta tulopuoli 250'!$AG$9</f>
        <v>60</v>
      </c>
      <c r="J46" s="460">
        <f>'Laskenta tulopuoli 250'!$AH$9</f>
        <v>76.542309887609477</v>
      </c>
      <c r="L46" s="304">
        <f>'Laskenta poistopuoli 250'!$AA$9</f>
        <v>230</v>
      </c>
      <c r="M46" s="463">
        <f>'Laskenta poistopuoli 250'!$AB$9</f>
        <v>203.56687017959618</v>
      </c>
      <c r="N46" s="305">
        <f>'Laskenta poistopuoli 250'!$AC$9</f>
        <v>230</v>
      </c>
      <c r="O46" s="463">
        <f>'Laskenta poistopuoli 250'!$AD$9</f>
        <v>203.56687017959618</v>
      </c>
      <c r="P46" s="305">
        <f>'Laskenta poistopuoli 250'!$AE$9</f>
        <v>130</v>
      </c>
      <c r="Q46" s="463">
        <f>'Laskenta poistopuoli 250'!$AF$9</f>
        <v>162.761483860868</v>
      </c>
      <c r="R46" s="305">
        <f>'Laskenta poistopuoli 250'!$AG$9</f>
        <v>60</v>
      </c>
      <c r="S46" s="460">
        <f>'Laskenta poistopuoli 250'!$AH$9</f>
        <v>88.098495554899614</v>
      </c>
    </row>
    <row r="47" spans="3:19" x14ac:dyDescent="0.15">
      <c r="C47" s="304">
        <f>'Laskenta tulopuoli 250'!$AA$10</f>
        <v>230</v>
      </c>
      <c r="D47" s="463">
        <f>'Laskenta tulopuoli 250'!$AB$10</f>
        <v>188.98765340427627</v>
      </c>
      <c r="E47" s="305">
        <f>'Laskenta tulopuoli 250'!$AC$10</f>
        <v>230</v>
      </c>
      <c r="F47" s="463">
        <f>'Laskenta tulopuoli 250'!$AD$10</f>
        <v>188.98765340427627</v>
      </c>
      <c r="G47" s="305">
        <f>'Laskenta tulopuoli 250'!$AE$10</f>
        <v>170</v>
      </c>
      <c r="H47" s="463">
        <f>'Laskenta tulopuoli 250'!$AF$10</f>
        <v>120.42188405539274</v>
      </c>
      <c r="I47" s="305">
        <f>'Laskenta tulopuoli 250'!$AG$10</f>
        <v>80</v>
      </c>
      <c r="J47" s="460">
        <f>'Laskenta tulopuoli 250'!$AH$10</f>
        <v>49.842265162290595</v>
      </c>
      <c r="L47" s="304">
        <f>'Laskenta poistopuoli 250'!$AA$10</f>
        <v>270</v>
      </c>
      <c r="M47" s="463">
        <f>'Laskenta poistopuoli 250'!$AB$10</f>
        <v>178.31318398600729</v>
      </c>
      <c r="N47" s="305">
        <f>'Laskenta poistopuoli 250'!$AC$10</f>
        <v>270</v>
      </c>
      <c r="O47" s="463">
        <f>'Laskenta poistopuoli 250'!$AD$10</f>
        <v>178.31318398600729</v>
      </c>
      <c r="P47" s="305">
        <f>'Laskenta poistopuoli 250'!$AE$10</f>
        <v>170</v>
      </c>
      <c r="Q47" s="463">
        <f>'Laskenta poistopuoli 250'!$AF$10</f>
        <v>129.26947010597144</v>
      </c>
      <c r="R47" s="305">
        <f>'Laskenta poistopuoli 250'!$AG$10</f>
        <v>80</v>
      </c>
      <c r="S47" s="460">
        <f>'Laskenta poistopuoli 250'!$AH$10</f>
        <v>55.102547399007342</v>
      </c>
    </row>
    <row r="48" spans="3:19" x14ac:dyDescent="0.15">
      <c r="C48" s="304">
        <f>'Laskenta tulopuoli 250'!$AA$11</f>
        <v>300</v>
      </c>
      <c r="D48" s="463">
        <f>'Laskenta tulopuoli 250'!$AB$11</f>
        <v>144.00838062097975</v>
      </c>
      <c r="E48" s="305">
        <f>'Laskenta tulopuoli 250'!$AC$11</f>
        <v>300</v>
      </c>
      <c r="F48" s="463">
        <f>'Laskenta tulopuoli 250'!$AD$11</f>
        <v>144.00838062097975</v>
      </c>
      <c r="G48" s="305">
        <f>'Laskenta tulopuoli 250'!$AE$11</f>
        <v>205</v>
      </c>
      <c r="H48" s="463">
        <f>'Laskenta tulopuoli 250'!$AF$11</f>
        <v>73.943002844798301</v>
      </c>
      <c r="I48" s="305"/>
      <c r="J48" s="460"/>
      <c r="L48" s="304">
        <f>'Laskenta poistopuoli 250'!$AA$11</f>
        <v>300</v>
      </c>
      <c r="M48" s="463">
        <f>'Laskenta poistopuoli 250'!$AB$11</f>
        <v>155.75560277579419</v>
      </c>
      <c r="N48" s="305">
        <f>'Laskenta poistopuoli 250'!$AC$11</f>
        <v>300</v>
      </c>
      <c r="O48" s="463">
        <f>'Laskenta poistopuoli 250'!$AD$11</f>
        <v>155.75560277579419</v>
      </c>
      <c r="P48" s="305">
        <f>'Laskenta poistopuoli 250'!$AE$11</f>
        <v>200</v>
      </c>
      <c r="Q48" s="463">
        <f>'Laskenta poistopuoli 250'!$AF$11</f>
        <v>92.408694768599474</v>
      </c>
      <c r="R48" s="305"/>
      <c r="S48" s="460"/>
    </row>
    <row r="49" spans="3:19" ht="14" thickBot="1" x14ac:dyDescent="0.2">
      <c r="C49" s="306">
        <f>'Laskenta tulopuoli 250'!$AA$12</f>
        <v>340</v>
      </c>
      <c r="D49" s="464">
        <f>'Laskenta tulopuoli 250'!$AB$12</f>
        <v>105.265386166816</v>
      </c>
      <c r="E49" s="307">
        <f>'Laskenta tulopuoli 250'!$AC$12</f>
        <v>340</v>
      </c>
      <c r="F49" s="464">
        <f>'Laskenta tulopuoli 250'!$AD$12</f>
        <v>105.265386166816</v>
      </c>
      <c r="G49" s="307"/>
      <c r="H49" s="464"/>
      <c r="I49" s="307"/>
      <c r="J49" s="461"/>
      <c r="L49" s="306">
        <f>'Laskenta poistopuoli 250'!$AA$12</f>
        <v>340</v>
      </c>
      <c r="M49" s="464">
        <f>'Laskenta poistopuoli 250'!$AB$12</f>
        <v>115.63284896931589</v>
      </c>
      <c r="N49" s="307">
        <f>'Laskenta poistopuoli 250'!$AC$12</f>
        <v>340</v>
      </c>
      <c r="O49" s="464">
        <f>'Laskenta poistopuoli 250'!$AD$12</f>
        <v>115.63284896931589</v>
      </c>
      <c r="P49" s="307"/>
      <c r="Q49" s="464"/>
      <c r="R49" s="307"/>
      <c r="S49" s="461"/>
    </row>
    <row r="51" spans="3:19" ht="14" thickBot="1" x14ac:dyDescent="0.2">
      <c r="C51" s="104">
        <v>5</v>
      </c>
      <c r="D51" s="2" t="str">
        <f>INDEX(Tulokset!$X$12:$X$18,MATCH(C51,Tulokset!$Y$12:$Y$18,0))</f>
        <v>Model 350</v>
      </c>
      <c r="L51" s="104">
        <v>5</v>
      </c>
      <c r="M51" s="2" t="str">
        <f>INDEX(Tulokset!$X$12:$X$18,MATCH(L51,Tulokset!$Y$12:$Y$18,0))</f>
        <v>Model 350</v>
      </c>
    </row>
    <row r="52" spans="3:19" ht="14" thickBot="1" x14ac:dyDescent="0.2">
      <c r="C52" s="465" t="s">
        <v>7</v>
      </c>
      <c r="D52" s="1442" t="str">
        <f>D51</f>
        <v>Model 350</v>
      </c>
      <c r="E52" s="361"/>
      <c r="F52" s="361"/>
      <c r="G52" s="361"/>
      <c r="H52" s="361"/>
      <c r="I52" s="361"/>
      <c r="J52" s="362"/>
      <c r="L52" s="1441" t="s">
        <v>8</v>
      </c>
      <c r="M52" s="1442" t="str">
        <f>M51</f>
        <v>Model 350</v>
      </c>
      <c r="N52" s="361"/>
      <c r="O52" s="361"/>
      <c r="P52" s="361"/>
      <c r="Q52" s="361"/>
      <c r="R52" s="361"/>
      <c r="S52" s="362"/>
    </row>
    <row r="53" spans="3:19" x14ac:dyDescent="0.15">
      <c r="C53" s="1437" t="str">
        <f>'Laskenta tulopuoli 350'!$AA$4</f>
        <v>10 V</v>
      </c>
      <c r="D53" s="1444"/>
      <c r="E53" s="1437" t="str">
        <f>'Laskenta tulopuoli 350'!$AC$4</f>
        <v>8 V</v>
      </c>
      <c r="F53" s="1444"/>
      <c r="G53" s="1437" t="str">
        <f>'Laskenta tulopuoli 350'!$AE$4</f>
        <v>6 V</v>
      </c>
      <c r="H53" s="1444"/>
      <c r="I53" s="1437" t="str">
        <f>'Laskenta tulopuoli 350'!$AG$4</f>
        <v>4 V</v>
      </c>
      <c r="J53" s="231"/>
      <c r="L53" s="1437" t="str">
        <f>'Laskenta poistopuoli 350'!$AA$4</f>
        <v>10 V</v>
      </c>
      <c r="M53" s="1444"/>
      <c r="N53" s="1437" t="str">
        <f>'Laskenta poistopuoli 350'!$AC$4</f>
        <v>8 V</v>
      </c>
      <c r="O53" s="1444"/>
      <c r="P53" s="1437" t="str">
        <f>'Laskenta poistopuoli 350'!$AE$4</f>
        <v>6 V</v>
      </c>
      <c r="Q53" s="1444"/>
      <c r="R53" s="1437" t="str">
        <f>'Laskenta poistopuoli 350'!$AG$4</f>
        <v>4 V</v>
      </c>
      <c r="S53" s="231"/>
    </row>
    <row r="54" spans="3:19" ht="14" thickBot="1" x14ac:dyDescent="0.2">
      <c r="C54" s="306" t="s">
        <v>14</v>
      </c>
      <c r="D54" s="462" t="s">
        <v>13</v>
      </c>
      <c r="E54" s="306" t="s">
        <v>14</v>
      </c>
      <c r="F54" s="462" t="s">
        <v>13</v>
      </c>
      <c r="G54" s="306" t="s">
        <v>14</v>
      </c>
      <c r="H54" s="462" t="s">
        <v>13</v>
      </c>
      <c r="I54" s="306" t="s">
        <v>14</v>
      </c>
      <c r="J54" s="239" t="s">
        <v>13</v>
      </c>
      <c r="L54" s="306" t="s">
        <v>14</v>
      </c>
      <c r="M54" s="462" t="s">
        <v>13</v>
      </c>
      <c r="N54" s="306" t="s">
        <v>14</v>
      </c>
      <c r="O54" s="462" t="s">
        <v>13</v>
      </c>
      <c r="P54" s="306" t="s">
        <v>14</v>
      </c>
      <c r="Q54" s="462" t="s">
        <v>13</v>
      </c>
      <c r="R54" s="306" t="s">
        <v>14</v>
      </c>
      <c r="S54" s="239" t="s">
        <v>13</v>
      </c>
    </row>
    <row r="55" spans="3:19" x14ac:dyDescent="0.15">
      <c r="C55" s="1445">
        <f>'Laskenta tulopuoli 350'!$AA$6</f>
        <v>25</v>
      </c>
      <c r="D55" s="1438">
        <f>'Laskenta tulopuoli 350'!$AB$6</f>
        <v>368.02333717549868</v>
      </c>
      <c r="E55" s="1439">
        <f>'Laskenta tulopuoli 350'!$AC$6</f>
        <v>20</v>
      </c>
      <c r="F55" s="1438">
        <f>'Laskenta tulopuoli 350'!$AD$6</f>
        <v>299.78303188704132</v>
      </c>
      <c r="G55" s="1439">
        <f>'Laskenta tulopuoli 350'!$AE$6</f>
        <v>10</v>
      </c>
      <c r="H55" s="1438">
        <f>'Laskenta tulopuoli 350'!$AF$6</f>
        <v>213.61335762915562</v>
      </c>
      <c r="I55" s="1439">
        <f>'Laskenta tulopuoli 350'!$AG$6</f>
        <v>10</v>
      </c>
      <c r="J55" s="1440">
        <f>'Laskenta tulopuoli 350'!$AH$6</f>
        <v>122.85148290021115</v>
      </c>
      <c r="L55" s="1445">
        <f>'Laskenta poistopuoli 350'!$AA$6</f>
        <v>25</v>
      </c>
      <c r="M55" s="1438">
        <f>'Laskenta poistopuoli 350'!$AB$6</f>
        <v>387.02425293331947</v>
      </c>
      <c r="N55" s="1439">
        <f>'Laskenta poistopuoli 350'!$AC$6</f>
        <v>20</v>
      </c>
      <c r="O55" s="1438">
        <f>'Laskenta poistopuoli 350'!$AD$6</f>
        <v>322.84873701660229</v>
      </c>
      <c r="P55" s="1439">
        <f>'Laskenta poistopuoli 350'!$AE$6</f>
        <v>10</v>
      </c>
      <c r="Q55" s="1438">
        <f>'Laskenta poistopuoli 350'!$AF$6</f>
        <v>231.45482058174542</v>
      </c>
      <c r="R55" s="1439">
        <f>'Laskenta poistopuoli 350'!$AG$6</f>
        <v>10</v>
      </c>
      <c r="S55" s="1440">
        <f>'Laskenta poistopuoli 350'!$AH$6</f>
        <v>137.79479127749656</v>
      </c>
    </row>
    <row r="56" spans="3:19" x14ac:dyDescent="0.15">
      <c r="C56" s="304">
        <f>'Laskenta tulopuoli 350'!$AA$7</f>
        <v>100</v>
      </c>
      <c r="D56" s="463">
        <f>'Laskenta tulopuoli 350'!$AB$7</f>
        <v>348.74296772600093</v>
      </c>
      <c r="E56" s="305">
        <f>'Laskenta tulopuoli 350'!$AC$7</f>
        <v>50</v>
      </c>
      <c r="F56" s="463">
        <f>'Laskenta tulopuoli 350'!$AD$7</f>
        <v>289.97555040775342</v>
      </c>
      <c r="G56" s="305">
        <f>'Laskenta tulopuoli 350'!$AE$7</f>
        <v>50</v>
      </c>
      <c r="H56" s="463">
        <f>'Laskenta tulopuoli 350'!$AF$7</f>
        <v>195.72898551317115</v>
      </c>
      <c r="I56" s="305">
        <f>'Laskenta tulopuoli 350'!$AG$7</f>
        <v>20</v>
      </c>
      <c r="J56" s="460">
        <f>'Laskenta tulopuoli 350'!$AH$7</f>
        <v>114.87245597479257</v>
      </c>
      <c r="L56" s="304">
        <f>'Laskenta poistopuoli 350'!$AA$7</f>
        <v>100</v>
      </c>
      <c r="M56" s="463">
        <f>'Laskenta poistopuoli 350'!$AB$7</f>
        <v>368.06471553994226</v>
      </c>
      <c r="N56" s="305">
        <f>'Laskenta poistopuoli 350'!$AC$7</f>
        <v>50</v>
      </c>
      <c r="O56" s="463">
        <f>'Laskenta poistopuoli 350'!$AD$7</f>
        <v>312.4056077515325</v>
      </c>
      <c r="P56" s="305">
        <f>'Laskenta poistopuoli 350'!$AE$7</f>
        <v>50</v>
      </c>
      <c r="Q56" s="463">
        <f>'Laskenta poistopuoli 350'!$AF$7</f>
        <v>211.56213987435652</v>
      </c>
      <c r="R56" s="305">
        <f>'Laskenta poistopuoli 350'!$AG$7</f>
        <v>20</v>
      </c>
      <c r="S56" s="460">
        <f>'Laskenta poistopuoli 350'!$AH$7</f>
        <v>129.5056281141523</v>
      </c>
    </row>
    <row r="57" spans="3:19" x14ac:dyDescent="0.15">
      <c r="C57" s="304">
        <f>'Laskenta tulopuoli 350'!$AA$8</f>
        <v>200</v>
      </c>
      <c r="D57" s="463">
        <f>'Laskenta tulopuoli 350'!$AB$8</f>
        <v>320.90760039583563</v>
      </c>
      <c r="E57" s="305">
        <f>'Laskenta tulopuoli 350'!$AC$8</f>
        <v>100</v>
      </c>
      <c r="F57" s="463">
        <f>'Laskenta tulopuoli 350'!$AD$8</f>
        <v>272.7308916827721</v>
      </c>
      <c r="G57" s="305">
        <f>'Laskenta tulopuoli 350'!$AE$8</f>
        <v>90</v>
      </c>
      <c r="H57" s="463">
        <f>'Laskenta tulopuoli 350'!$AF$8</f>
        <v>175.4581740263832</v>
      </c>
      <c r="I57" s="305">
        <f>'Laskenta tulopuoli 350'!$AG$8</f>
        <v>40</v>
      </c>
      <c r="J57" s="460">
        <f>'Laskenta tulopuoli 350'!$AH$8</f>
        <v>97.290460384499539</v>
      </c>
      <c r="L57" s="304">
        <f>'Laskenta poistopuoli 350'!$AA$8</f>
        <v>200</v>
      </c>
      <c r="M57" s="463">
        <f>'Laskenta poistopuoli 350'!$AB$8</f>
        <v>340.58746162202522</v>
      </c>
      <c r="N57" s="305">
        <f>'Laskenta poistopuoli 350'!$AC$8</f>
        <v>100</v>
      </c>
      <c r="O57" s="463">
        <f>'Laskenta poistopuoli 350'!$AD$8</f>
        <v>294.04327330941805</v>
      </c>
      <c r="P57" s="305">
        <f>'Laskenta poistopuoli 350'!$AE$8</f>
        <v>90</v>
      </c>
      <c r="Q57" s="463">
        <f>'Laskenta poistopuoli 350'!$AF$8</f>
        <v>189.11321368100411</v>
      </c>
      <c r="R57" s="305">
        <f>'Laskenta poistopuoli 350'!$AG$8</f>
        <v>40</v>
      </c>
      <c r="S57" s="460">
        <f>'Laskenta poistopuoli 350'!$AH$8</f>
        <v>110.92570358593754</v>
      </c>
    </row>
    <row r="58" spans="3:19" x14ac:dyDescent="0.15">
      <c r="C58" s="304">
        <f>'Laskenta tulopuoli 350'!$AA$9</f>
        <v>300</v>
      </c>
      <c r="D58" s="463">
        <f>'Laskenta tulopuoli 350'!$AB$9</f>
        <v>289.85995878473915</v>
      </c>
      <c r="E58" s="305">
        <f>'Laskenta tulopuoli 350'!$AC$9</f>
        <v>150</v>
      </c>
      <c r="F58" s="463">
        <f>'Laskenta tulopuoli 350'!$AD$9</f>
        <v>254.13099309054866</v>
      </c>
      <c r="G58" s="305">
        <f>'Laskenta tulopuoli 350'!$AE$9</f>
        <v>130</v>
      </c>
      <c r="H58" s="463">
        <f>'Laskenta tulopuoli 350'!$AF$9</f>
        <v>151.47576534370617</v>
      </c>
      <c r="I58" s="305">
        <f>'Laskenta tulopuoli 350'!$AG$9</f>
        <v>60</v>
      </c>
      <c r="J58" s="460">
        <f>'Laskenta tulopuoli 350'!$AH$9</f>
        <v>76.542309887609477</v>
      </c>
      <c r="L58" s="304">
        <f>'Laskenta poistopuoli 350'!$AA$9</f>
        <v>300</v>
      </c>
      <c r="M58" s="463">
        <f>'Laskenta poistopuoli 350'!$AB$9</f>
        <v>309.74196635006911</v>
      </c>
      <c r="N58" s="305">
        <f>'Laskenta poistopuoli 350'!$AC$9</f>
        <v>150</v>
      </c>
      <c r="O58" s="463">
        <f>'Laskenta poistopuoli 350'!$AD$9</f>
        <v>274.23785237808198</v>
      </c>
      <c r="P58" s="305">
        <f>'Laskenta poistopuoli 350'!$AE$9</f>
        <v>130</v>
      </c>
      <c r="Q58" s="463">
        <f>'Laskenta poistopuoli 350'!$AF$9</f>
        <v>162.761483860868</v>
      </c>
      <c r="R58" s="305">
        <f>'Laskenta poistopuoli 350'!$AG$9</f>
        <v>60</v>
      </c>
      <c r="S58" s="460">
        <f>'Laskenta poistopuoli 350'!$AH$9</f>
        <v>88.098495554899614</v>
      </c>
    </row>
    <row r="59" spans="3:19" x14ac:dyDescent="0.15">
      <c r="C59" s="304">
        <f>'Laskenta tulopuoli 350'!$AA$10</f>
        <v>400</v>
      </c>
      <c r="D59" s="463">
        <f>'Laskenta tulopuoli 350'!$AB$10</f>
        <v>254.13770997194598</v>
      </c>
      <c r="E59" s="305">
        <f>'Laskenta tulopuoli 350'!$AC$10</f>
        <v>230</v>
      </c>
      <c r="F59" s="463">
        <f>'Laskenta tulopuoli 350'!$AD$10</f>
        <v>220.52447882740637</v>
      </c>
      <c r="G59" s="305">
        <f>'Laskenta tulopuoli 350'!$AE$10</f>
        <v>170</v>
      </c>
      <c r="H59" s="463">
        <f>'Laskenta tulopuoli 350'!$AF$10</f>
        <v>120.42188405539274</v>
      </c>
      <c r="I59" s="305">
        <f>'Laskenta tulopuoli 350'!$AG$10</f>
        <v>80</v>
      </c>
      <c r="J59" s="460">
        <f>'Laskenta tulopuoli 350'!$AH$10</f>
        <v>49.842265162290595</v>
      </c>
      <c r="L59" s="304">
        <f>'Laskenta poistopuoli 350'!$AA$10</f>
        <v>400</v>
      </c>
      <c r="M59" s="463">
        <f>'Laskenta poistopuoli 350'!$AB$10</f>
        <v>273.86522624529636</v>
      </c>
      <c r="N59" s="305">
        <f>'Laskenta poistopuoli 350'!$AC$10</f>
        <v>170</v>
      </c>
      <c r="O59" s="463">
        <f>'Laskenta poistopuoli 350'!$AD$10</f>
        <v>265.8270250865362</v>
      </c>
      <c r="P59" s="305">
        <f>'Laskenta poistopuoli 350'!$AE$10</f>
        <v>170</v>
      </c>
      <c r="Q59" s="463">
        <f>'Laskenta poistopuoli 350'!$AF$10</f>
        <v>129.26947010597144</v>
      </c>
      <c r="R59" s="305">
        <f>'Laskenta poistopuoli 350'!$AG$10</f>
        <v>80</v>
      </c>
      <c r="S59" s="460">
        <f>'Laskenta poistopuoli 350'!$AH$10</f>
        <v>55.102547399007342</v>
      </c>
    </row>
    <row r="60" spans="3:19" x14ac:dyDescent="0.15">
      <c r="C60" s="304">
        <f>'Laskenta tulopuoli 350'!$AA$11</f>
        <v>500</v>
      </c>
      <c r="D60" s="463">
        <f>'Laskenta tulopuoli 350'!$AB$11</f>
        <v>210.64715881769263</v>
      </c>
      <c r="E60" s="305">
        <f>'Laskenta tulopuoli 350'!$AC$11</f>
        <v>320</v>
      </c>
      <c r="F60" s="463">
        <f>'Laskenta tulopuoli 350'!$AD$11</f>
        <v>173.2504723348554</v>
      </c>
      <c r="G60" s="305">
        <f>'Laskenta tulopuoli 350'!$AE$11</f>
        <v>205</v>
      </c>
      <c r="H60" s="463">
        <f>'Laskenta tulopuoli 350'!$AF$11</f>
        <v>73.943002844798301</v>
      </c>
      <c r="I60" s="305"/>
      <c r="J60" s="460"/>
      <c r="L60" s="304">
        <f>'Laskenta poistopuoli 350'!$AA$11</f>
        <v>500</v>
      </c>
      <c r="M60" s="463">
        <f>'Laskenta poistopuoli 350'!$AB$11</f>
        <v>229.19151617790286</v>
      </c>
      <c r="N60" s="305">
        <f>'Laskenta poistopuoli 350'!$AC$11</f>
        <v>190</v>
      </c>
      <c r="O60" s="463">
        <f>'Laskenta poistopuoli 350'!$AD$11</f>
        <v>257.08860009311786</v>
      </c>
      <c r="P60" s="305">
        <f>'Laskenta poistopuoli 350'!$AE$11</f>
        <v>200</v>
      </c>
      <c r="Q60" s="463">
        <f>'Laskenta poistopuoli 350'!$AF$11</f>
        <v>92.408694768599474</v>
      </c>
      <c r="R60" s="305"/>
      <c r="S60" s="460"/>
    </row>
    <row r="61" spans="3:19" ht="14" thickBot="1" x14ac:dyDescent="0.2">
      <c r="C61" s="306">
        <f>'Laskenta tulopuoli 350'!$AA$12</f>
        <v>610</v>
      </c>
      <c r="D61" s="464">
        <f>'Laskenta tulopuoli 350'!$AB$12</f>
        <v>141.35108796400908</v>
      </c>
      <c r="E61" s="307">
        <f>'Laskenta tulopuoli 350'!$AC$12</f>
        <v>395</v>
      </c>
      <c r="F61" s="464">
        <f>'Laskenta tulopuoli 350'!$AD$12</f>
        <v>114.64592676119456</v>
      </c>
      <c r="G61" s="307"/>
      <c r="H61" s="464"/>
      <c r="I61" s="307"/>
      <c r="J61" s="461"/>
      <c r="L61" s="306">
        <f>'Laskenta poistopuoli 350'!$AA$12</f>
        <v>580</v>
      </c>
      <c r="M61" s="464">
        <f>'Laskenta poistopuoli 350'!$AB$12</f>
        <v>178.92566610177286</v>
      </c>
      <c r="N61" s="307">
        <f>'Laskenta poistopuoli 350'!$AC$12</f>
        <v>380</v>
      </c>
      <c r="O61" s="464">
        <f>'Laskenta poistopuoli 350'!$AD$12</f>
        <v>141.35600404769997</v>
      </c>
      <c r="P61" s="307"/>
      <c r="Q61" s="464"/>
      <c r="R61" s="307"/>
      <c r="S61" s="461"/>
    </row>
    <row r="63" spans="3:19" ht="14" thickBot="1" x14ac:dyDescent="0.2">
      <c r="C63" s="104">
        <v>6</v>
      </c>
      <c r="D63" s="2" t="str">
        <f>INDEX(Tulokset!$X$12:$X$18,MATCH(C63,Tulokset!$Y$12:$Y$18,0))</f>
        <v>Model 130</v>
      </c>
      <c r="L63" s="104">
        <v>6</v>
      </c>
      <c r="M63" s="2" t="str">
        <f>INDEX(Tulokset!$X$12:$X$18,MATCH(L63,Tulokset!$Y$12:$Y$18,0))</f>
        <v>Model 130</v>
      </c>
    </row>
    <row r="64" spans="3:19" ht="14" thickBot="1" x14ac:dyDescent="0.2">
      <c r="C64" s="465" t="s">
        <v>7</v>
      </c>
      <c r="D64" s="1442" t="str">
        <f>D63</f>
        <v>Model 130</v>
      </c>
      <c r="E64" s="361"/>
      <c r="F64" s="361"/>
      <c r="G64" s="361"/>
      <c r="H64" s="361"/>
      <c r="I64" s="361"/>
      <c r="J64" s="362"/>
      <c r="L64" s="1441" t="s">
        <v>8</v>
      </c>
      <c r="M64" s="1442" t="str">
        <f>M63</f>
        <v>Model 130</v>
      </c>
      <c r="N64" s="361"/>
      <c r="O64" s="361"/>
      <c r="P64" s="361"/>
      <c r="Q64" s="361"/>
      <c r="R64" s="361"/>
      <c r="S64" s="362"/>
    </row>
    <row r="65" spans="3:19" x14ac:dyDescent="0.15">
      <c r="C65" s="1437" t="str">
        <f>'Laskenta tulopuoli 130'!$AA$4</f>
        <v>10 V</v>
      </c>
      <c r="D65" s="1444"/>
      <c r="E65" s="1437" t="str">
        <f>'Laskenta tulopuoli 130'!$AC$4</f>
        <v>8 V</v>
      </c>
      <c r="F65" s="1444"/>
      <c r="G65" s="1437" t="str">
        <f>'Laskenta tulopuoli 130'!$AE$4</f>
        <v>6 V</v>
      </c>
      <c r="H65" s="1444"/>
      <c r="I65" s="1437" t="str">
        <f>'Laskenta tulopuoli 130'!$AG$4</f>
        <v>4 V</v>
      </c>
      <c r="J65" s="231"/>
      <c r="L65" s="1437" t="str">
        <f>'Laskenta poistopuoli 130'!$AA$4</f>
        <v>10 V</v>
      </c>
      <c r="M65" s="1444"/>
      <c r="N65" s="1437" t="str">
        <f>'Laskenta poistopuoli 130'!$AC$4</f>
        <v>8 V</v>
      </c>
      <c r="O65" s="1444"/>
      <c r="P65" s="1437" t="str">
        <f>'Laskenta poistopuoli 130'!$AE$4</f>
        <v>6 V</v>
      </c>
      <c r="Q65" s="1444"/>
      <c r="R65" s="1437" t="str">
        <f>'Laskenta poistopuoli 130'!$AG$4</f>
        <v>4 V</v>
      </c>
      <c r="S65" s="231"/>
    </row>
    <row r="66" spans="3:19" ht="14" thickBot="1" x14ac:dyDescent="0.2">
      <c r="C66" s="306" t="s">
        <v>14</v>
      </c>
      <c r="D66" s="462" t="s">
        <v>13</v>
      </c>
      <c r="E66" s="306" t="s">
        <v>14</v>
      </c>
      <c r="F66" s="462" t="s">
        <v>13</v>
      </c>
      <c r="G66" s="306" t="s">
        <v>14</v>
      </c>
      <c r="H66" s="462" t="s">
        <v>13</v>
      </c>
      <c r="I66" s="306" t="s">
        <v>14</v>
      </c>
      <c r="J66" s="239" t="s">
        <v>13</v>
      </c>
      <c r="L66" s="306" t="s">
        <v>14</v>
      </c>
      <c r="M66" s="462" t="s">
        <v>13</v>
      </c>
      <c r="N66" s="306" t="s">
        <v>14</v>
      </c>
      <c r="O66" s="462" t="s">
        <v>13</v>
      </c>
      <c r="P66" s="306" t="s">
        <v>14</v>
      </c>
      <c r="Q66" s="462" t="s">
        <v>13</v>
      </c>
      <c r="R66" s="306" t="s">
        <v>14</v>
      </c>
      <c r="S66" s="239" t="s">
        <v>13</v>
      </c>
    </row>
    <row r="67" spans="3:19" x14ac:dyDescent="0.15">
      <c r="C67" s="1445">
        <f>'Laskenta tulopuoli 130'!$AA$6</f>
        <v>25</v>
      </c>
      <c r="D67" s="1438">
        <f>'Laskenta tulopuoli 130'!$AB$6</f>
        <v>131.65147221131414</v>
      </c>
      <c r="E67" s="1439">
        <f>'Laskenta tulopuoli 130'!$AC$6</f>
        <v>20</v>
      </c>
      <c r="F67" s="1438">
        <f>'Laskenta tulopuoli 130'!$AD$6</f>
        <v>116.85450849239542</v>
      </c>
      <c r="G67" s="1439">
        <f>'Laskenta tulopuoli 130'!$AE$6</f>
        <v>10</v>
      </c>
      <c r="H67" s="1438">
        <f>'Laskenta tulopuoli 130'!$AF$6</f>
        <v>86.014925141186822</v>
      </c>
      <c r="I67" s="1439">
        <f>'Laskenta tulopuoli 130'!$AG$6</f>
        <v>10</v>
      </c>
      <c r="J67" s="1440">
        <f>'Laskenta tulopuoli 130'!$AH$6</f>
        <v>49.481696828913591</v>
      </c>
      <c r="L67" s="1445">
        <f>'Laskenta poistopuoli 130'!$AA$6</f>
        <v>25</v>
      </c>
      <c r="M67" s="1438">
        <f>'Laskenta poistopuoli 130'!$AB$6</f>
        <v>149.37198438834608</v>
      </c>
      <c r="N67" s="1439">
        <f>'Laskenta poistopuoli 130'!$AC$6</f>
        <v>20</v>
      </c>
      <c r="O67" s="1438">
        <f>'Laskenta poistopuoli 130'!$AD$6</f>
        <v>133.17332240375293</v>
      </c>
      <c r="P67" s="1439">
        <f>'Laskenta poistopuoli 130'!$AE$6</f>
        <v>15</v>
      </c>
      <c r="Q67" s="1438">
        <f>'Laskenta poistopuoli 130'!$AF$6</f>
        <v>99.999058386718588</v>
      </c>
      <c r="R67" s="1439">
        <f>'Laskenta poistopuoli 130'!$AG$6</f>
        <v>10</v>
      </c>
      <c r="S67" s="1440">
        <f>'Laskenta poistopuoli 130'!$AH$6</f>
        <v>61.555446560450939</v>
      </c>
    </row>
    <row r="68" spans="3:19" x14ac:dyDescent="0.15">
      <c r="C68" s="304">
        <f>'Laskenta tulopuoli 130'!$AA$7</f>
        <v>120</v>
      </c>
      <c r="D68" s="463">
        <f>'Laskenta tulopuoli 130'!$AB$7</f>
        <v>122.52946208046407</v>
      </c>
      <c r="E68" s="305">
        <f>'Laskenta tulopuoli 130'!$AC$7</f>
        <v>50</v>
      </c>
      <c r="F68" s="463">
        <f>'Laskenta tulopuoli 130'!$AD$7</f>
        <v>112.30721540202725</v>
      </c>
      <c r="G68" s="305">
        <f>'Laskenta tulopuoli 130'!$AE$7</f>
        <v>40</v>
      </c>
      <c r="H68" s="463">
        <f>'Laskenta tulopuoli 130'!$AF$7</f>
        <v>78.95043720955195</v>
      </c>
      <c r="I68" s="305">
        <f>'Laskenta tulopuoli 130'!$AG$7</f>
        <v>20</v>
      </c>
      <c r="J68" s="460">
        <f>'Laskenta tulopuoli 130'!$AH$7</f>
        <v>45.39455871587581</v>
      </c>
      <c r="L68" s="304">
        <f>'Laskenta poistopuoli 130'!$AA$7</f>
        <v>120</v>
      </c>
      <c r="M68" s="463">
        <f>'Laskenta poistopuoli 130'!$AB$7</f>
        <v>140.44019694340693</v>
      </c>
      <c r="N68" s="305">
        <f>'Laskenta poistopuoli 130'!$AC$7</f>
        <v>50</v>
      </c>
      <c r="O68" s="463">
        <f>'Laskenta poistopuoli 130'!$AD$7</f>
        <v>128.50888008908166</v>
      </c>
      <c r="P68" s="305">
        <f>'Laskenta poistopuoli 130'!$AE$7</f>
        <v>40</v>
      </c>
      <c r="Q68" s="463">
        <f>'Laskenta poistopuoli 130'!$AF$7</f>
        <v>94.108238875868778</v>
      </c>
      <c r="R68" s="305">
        <f>'Laskenta poistopuoli 130'!$AG$7</f>
        <v>20</v>
      </c>
      <c r="S68" s="460">
        <f>'Laskenta poistopuoli 130'!$AH$7</f>
        <v>57.822327947272591</v>
      </c>
    </row>
    <row r="69" spans="3:19" x14ac:dyDescent="0.15">
      <c r="C69" s="304">
        <f>'Laskenta tulopuoli 130'!$AA$8</f>
        <v>190</v>
      </c>
      <c r="D69" s="463">
        <f>'Laskenta tulopuoli 130'!$AB$8</f>
        <v>115.04274265297924</v>
      </c>
      <c r="E69" s="305">
        <f>'Laskenta tulopuoli 130'!$AC$8</f>
        <v>100</v>
      </c>
      <c r="F69" s="463">
        <f>'Laskenta tulopuoli 130'!$AD$8</f>
        <v>104.21936943528442</v>
      </c>
      <c r="G69" s="305">
        <f>'Laskenta tulopuoli 130'!$AE$8</f>
        <v>60</v>
      </c>
      <c r="H69" s="463">
        <f>'Laskenta tulopuoli 130'!$AF$8</f>
        <v>73.965772403943234</v>
      </c>
      <c r="I69" s="305">
        <f>'Laskenta tulopuoli 130'!$AG$8</f>
        <v>25</v>
      </c>
      <c r="J69" s="460">
        <f>'Laskenta tulopuoli 130'!$AH$8</f>
        <v>43.286302856281061</v>
      </c>
      <c r="L69" s="304">
        <f>'Laskenta poistopuoli 130'!$AA$8</f>
        <v>190</v>
      </c>
      <c r="M69" s="463">
        <f>'Laskenta poistopuoli 130'!$AB$8</f>
        <v>133.12312176781919</v>
      </c>
      <c r="N69" s="305">
        <f>'Laskenta poistopuoli 130'!$AC$8</f>
        <v>100</v>
      </c>
      <c r="O69" s="463">
        <f>'Laskenta poistopuoli 130'!$AD$8</f>
        <v>120.21047153971138</v>
      </c>
      <c r="P69" s="305">
        <f>'Laskenta poistopuoli 130'!$AE$8</f>
        <v>60</v>
      </c>
      <c r="Q69" s="463">
        <f>'Laskenta poistopuoli 130'!$AF$8</f>
        <v>89.069837468278507</v>
      </c>
      <c r="R69" s="305">
        <f>'Laskenta poistopuoli 130'!$AG$8</f>
        <v>30</v>
      </c>
      <c r="S69" s="460">
        <f>'Laskenta poistopuoli 130'!$AH$8</f>
        <v>53.830589598087514</v>
      </c>
    </row>
    <row r="70" spans="3:19" x14ac:dyDescent="0.15">
      <c r="C70" s="304">
        <f>'Laskenta tulopuoli 130'!$AA$9</f>
        <v>250</v>
      </c>
      <c r="D70" s="463">
        <f>'Laskenta tulopuoli 130'!$AB$9</f>
        <v>107.91088932436708</v>
      </c>
      <c r="E70" s="305">
        <f>'Laskenta tulopuoli 130'!$AC$9</f>
        <v>150</v>
      </c>
      <c r="F70" s="463">
        <f>'Laskenta tulopuoli 130'!$AD$9</f>
        <v>95.329191153990706</v>
      </c>
      <c r="G70" s="305">
        <f>'Laskenta tulopuoli 130'!$AE$9</f>
        <v>80</v>
      </c>
      <c r="H70" s="463">
        <f>'Laskenta tulopuoli 130'!$AF$9</f>
        <v>68.721115310129704</v>
      </c>
      <c r="I70" s="305">
        <f>'Laskenta tulopuoli 130'!$AG$9</f>
        <v>30</v>
      </c>
      <c r="J70" s="460">
        <f>'Laskenta tulopuoli 130'!$AH$9</f>
        <v>41.131100017601455</v>
      </c>
      <c r="L70" s="304">
        <f>'Laskenta poistopuoli 130'!$AA$9</f>
        <v>250</v>
      </c>
      <c r="M70" s="463">
        <f>'Laskenta poistopuoli 130'!$AB$9</f>
        <v>126.16844933408204</v>
      </c>
      <c r="N70" s="305">
        <f>'Laskenta poistopuoli 130'!$AC$9</f>
        <v>150</v>
      </c>
      <c r="O70" s="463">
        <f>'Laskenta poistopuoli 130'!$AD$9</f>
        <v>111.08472606866653</v>
      </c>
      <c r="P70" s="305">
        <f>'Laskenta poistopuoli 130'!$AE$9</f>
        <v>80</v>
      </c>
      <c r="Q70" s="463">
        <f>'Laskenta poistopuoli 130'!$AF$9</f>
        <v>83.675510586883604</v>
      </c>
      <c r="R70" s="305">
        <f>'Laskenta poistopuoli 130'!$AG$9</f>
        <v>35</v>
      </c>
      <c r="S70" s="460">
        <f>'Laskenta poistopuoli 130'!$AH$9</f>
        <v>51.71915361429582</v>
      </c>
    </row>
    <row r="71" spans="3:19" x14ac:dyDescent="0.15">
      <c r="C71" s="304">
        <f>'Laskenta tulopuoli 130'!$AA$10</f>
        <v>320</v>
      </c>
      <c r="D71" s="463">
        <f>'Laskenta tulopuoli 130'!$AB$10</f>
        <v>98.380674781731599</v>
      </c>
      <c r="E71" s="305">
        <f>'Laskenta tulopuoli 130'!$AC$10</f>
        <v>170</v>
      </c>
      <c r="F71" s="463">
        <f>'Laskenta tulopuoli 130'!$AD$10</f>
        <v>91.487310242307103</v>
      </c>
      <c r="G71" s="305">
        <f>'Laskenta tulopuoli 130'!$AE$10</f>
        <v>100</v>
      </c>
      <c r="H71" s="463">
        <f>'Laskenta tulopuoli 130'!$AF$10</f>
        <v>63.170968273780559</v>
      </c>
      <c r="I71" s="305">
        <f>'Laskenta tulopuoli 130'!$AG$10</f>
        <v>70</v>
      </c>
      <c r="J71" s="460">
        <f>'Laskenta tulopuoli 130'!$AH$10</f>
        <v>21.698347502443017</v>
      </c>
      <c r="L71" s="304">
        <f>'Laskenta poistopuoli 130'!$AA$10</f>
        <v>320</v>
      </c>
      <c r="M71" s="463">
        <f>'Laskenta poistopuoli 130'!$AB$10</f>
        <v>116.90930697190107</v>
      </c>
      <c r="N71" s="305">
        <f>'Laskenta poistopuoli 130'!$AC$10</f>
        <v>170</v>
      </c>
      <c r="O71" s="463">
        <f>'Laskenta poistopuoli 130'!$AD$10</f>
        <v>107.1393496264217</v>
      </c>
      <c r="P71" s="305">
        <f>'Laskenta poistopuoli 130'!$AE$10</f>
        <v>100</v>
      </c>
      <c r="Q71" s="463">
        <f>'Laskenta poistopuoli 130'!$AF$10</f>
        <v>77.837118713065038</v>
      </c>
      <c r="R71" s="305">
        <f>'Laskenta poistopuoli 130'!$AG$10</f>
        <v>80</v>
      </c>
      <c r="S71" s="460">
        <f>'Laskenta poistopuoli 130'!$AH$10</f>
        <v>25.847865510561171</v>
      </c>
    </row>
    <row r="72" spans="3:19" x14ac:dyDescent="0.15">
      <c r="C72" s="304">
        <f>'Laskenta tulopuoli 130'!$AA$11</f>
        <v>390</v>
      </c>
      <c r="D72" s="463">
        <f>'Laskenta tulopuoli 130'!$AB$11</f>
        <v>86.68396882006833</v>
      </c>
      <c r="E72" s="305">
        <f>'Laskenta tulopuoli 130'!$AC$11</f>
        <v>190</v>
      </c>
      <c r="F72" s="463">
        <f>'Laskenta tulopuoli 130'!$AD$11</f>
        <v>87.444183357892655</v>
      </c>
      <c r="G72" s="305">
        <f>'Laskenta tulopuoli 130'!$AE$11</f>
        <v>180</v>
      </c>
      <c r="H72" s="463">
        <f>'Laskenta tulopuoli 130'!$AF$11</f>
        <v>36.255180897120141</v>
      </c>
      <c r="I72" s="305"/>
      <c r="J72" s="460"/>
      <c r="L72" s="304">
        <f>'Laskenta poistopuoli 130'!$AA$11</f>
        <v>390</v>
      </c>
      <c r="M72" s="463">
        <f>'Laskenta poistopuoli 130'!$AB$11</f>
        <v>105.63452662019705</v>
      </c>
      <c r="N72" s="305">
        <f>'Laskenta poistopuoli 130'!$AC$11</f>
        <v>190</v>
      </c>
      <c r="O72" s="463">
        <f>'Laskenta poistopuoli 130'!$AD$11</f>
        <v>102.9859461818326</v>
      </c>
      <c r="P72" s="305">
        <f>'Laskenta poistopuoli 130'!$AE$11</f>
        <v>185</v>
      </c>
      <c r="Q72" s="463">
        <f>'Laskenta poistopuoli 130'!$AF$11</f>
        <v>42.180912652297032</v>
      </c>
      <c r="R72" s="305"/>
      <c r="S72" s="460"/>
    </row>
    <row r="73" spans="3:19" ht="14" thickBot="1" x14ac:dyDescent="0.2">
      <c r="C73" s="306">
        <f>'Laskenta tulopuoli 130'!$AA$12</f>
        <v>460</v>
      </c>
      <c r="D73" s="464">
        <f>'Laskenta tulopuoli 130'!$AB$12</f>
        <v>69.837702333332686</v>
      </c>
      <c r="E73" s="307">
        <f>'Laskenta tulopuoli 130'!$AC$12</f>
        <v>320</v>
      </c>
      <c r="F73" s="464">
        <f>'Laskenta tulopuoli 130'!$AD$12</f>
        <v>51.732198585414771</v>
      </c>
      <c r="G73" s="307"/>
      <c r="H73" s="464"/>
      <c r="I73" s="307"/>
      <c r="J73" s="461"/>
      <c r="L73" s="306">
        <f>'Laskenta poistopuoli 130'!$AA$12</f>
        <v>460</v>
      </c>
      <c r="M73" s="464">
        <f>'Laskenta poistopuoli 130'!$AB$12</f>
        <v>89.816310441248532</v>
      </c>
      <c r="N73" s="307">
        <f>'Laskenta poistopuoli 130'!$AC$12</f>
        <v>325</v>
      </c>
      <c r="O73" s="464">
        <f>'Laskenta poistopuoli 130'!$AD$12</f>
        <v>64.002142123508037</v>
      </c>
      <c r="P73" s="307"/>
      <c r="Q73" s="464"/>
      <c r="R73" s="307"/>
      <c r="S73" s="461"/>
    </row>
    <row r="75" spans="3:19" ht="14" thickBot="1" x14ac:dyDescent="0.2">
      <c r="C75" s="104">
        <v>7</v>
      </c>
      <c r="D75" s="2" t="str">
        <f>INDEX(Tulokset!$X$12:$X$18,MATCH(C75,Tulokset!$Y$12:$Y$18,0))</f>
        <v>Model 53mini</v>
      </c>
      <c r="L75" s="104">
        <v>7</v>
      </c>
      <c r="M75" s="2" t="str">
        <f>INDEX(Tulokset!$X$12:$X$18,MATCH(L75,Tulokset!$Y$12:$Y$18,0))</f>
        <v>Model 53mini</v>
      </c>
    </row>
    <row r="76" spans="3:19" ht="14" thickBot="1" x14ac:dyDescent="0.2">
      <c r="C76" s="465" t="s">
        <v>7</v>
      </c>
      <c r="D76" s="1442" t="str">
        <f>D75</f>
        <v>Model 53mini</v>
      </c>
      <c r="E76" s="361"/>
      <c r="F76" s="361"/>
      <c r="G76" s="361"/>
      <c r="H76" s="361"/>
      <c r="I76" s="361"/>
      <c r="J76" s="362"/>
      <c r="L76" s="1441" t="s">
        <v>8</v>
      </c>
      <c r="M76" s="1442" t="str">
        <f>M75</f>
        <v>Model 53mini</v>
      </c>
      <c r="N76" s="361"/>
      <c r="O76" s="361"/>
      <c r="P76" s="361"/>
      <c r="Q76" s="361"/>
      <c r="R76" s="361"/>
      <c r="S76" s="362"/>
    </row>
    <row r="77" spans="3:19" x14ac:dyDescent="0.15">
      <c r="C77" s="1437" t="str">
        <f>'Laskenta tulopuoli 53mini'!$AA$4</f>
        <v>10 V</v>
      </c>
      <c r="D77" s="1444"/>
      <c r="E77" s="1437" t="str">
        <f>'Laskenta tulopuoli 53mini'!$AE$4</f>
        <v>7 V</v>
      </c>
      <c r="F77" s="1444"/>
      <c r="G77" s="1437" t="str">
        <f>'Laskenta tulopuoli 53mini'!$AG$4</f>
        <v>6 V</v>
      </c>
      <c r="H77" s="1444"/>
      <c r="I77" s="1437" t="str">
        <f>'Laskenta tulopuoli 53mini'!$AK$4</f>
        <v>4V</v>
      </c>
      <c r="J77" s="231"/>
      <c r="L77" s="1437" t="str">
        <f>'Laskenta poistopuoli 53mini'!$AA$4</f>
        <v>10 V</v>
      </c>
      <c r="M77" s="1444"/>
      <c r="N77" s="1437" t="str">
        <f>'Laskenta poistopuoli 53mini'!$AE$4</f>
        <v>7 V</v>
      </c>
      <c r="O77" s="1444"/>
      <c r="P77" s="1437" t="str">
        <f>'Laskenta poistopuoli 53mini'!$AG$4</f>
        <v>6 V</v>
      </c>
      <c r="Q77" s="1444"/>
      <c r="R77" s="1437" t="str">
        <f>'Laskenta poistopuoli 53mini'!$AK$4</f>
        <v>4V</v>
      </c>
      <c r="S77" s="231"/>
    </row>
    <row r="78" spans="3:19" ht="14" thickBot="1" x14ac:dyDescent="0.2">
      <c r="C78" s="306" t="s">
        <v>14</v>
      </c>
      <c r="D78" s="462" t="s">
        <v>13</v>
      </c>
      <c r="E78" s="306" t="s">
        <v>14</v>
      </c>
      <c r="F78" s="462" t="s">
        <v>13</v>
      </c>
      <c r="G78" s="306" t="s">
        <v>14</v>
      </c>
      <c r="H78" s="462" t="s">
        <v>13</v>
      </c>
      <c r="I78" s="306" t="s">
        <v>14</v>
      </c>
      <c r="J78" s="239" t="s">
        <v>13</v>
      </c>
      <c r="L78" s="306" t="s">
        <v>14</v>
      </c>
      <c r="M78" s="462" t="s">
        <v>13</v>
      </c>
      <c r="N78" s="306" t="s">
        <v>14</v>
      </c>
      <c r="O78" s="462" t="s">
        <v>13</v>
      </c>
      <c r="P78" s="306" t="s">
        <v>14</v>
      </c>
      <c r="Q78" s="462" t="s">
        <v>13</v>
      </c>
      <c r="R78" s="306" t="s">
        <v>14</v>
      </c>
      <c r="S78" s="239" t="s">
        <v>13</v>
      </c>
    </row>
    <row r="79" spans="3:19" x14ac:dyDescent="0.15">
      <c r="C79" s="1445">
        <f>'Laskenta tulopuoli 53mini'!$AA$6</f>
        <v>25</v>
      </c>
      <c r="D79" s="1438">
        <f>'Laskenta tulopuoli 53mini'!$AB$6</f>
        <v>95.380316017540977</v>
      </c>
      <c r="E79" s="1439">
        <f>'Laskenta tulopuoli 53mini'!$AE$6</f>
        <v>10</v>
      </c>
      <c r="F79" s="1438">
        <f>'Laskenta tulopuoli 53mini'!$AF$6</f>
        <v>84.039568816164177</v>
      </c>
      <c r="G79" s="1439">
        <f>'Laskenta tulopuoli 53mini'!$AG$6</f>
        <v>10</v>
      </c>
      <c r="H79" s="1438">
        <f>'Laskenta tulopuoli 53mini'!$AH$6</f>
        <v>69.526415226309226</v>
      </c>
      <c r="I79" s="1439">
        <f>'Laskenta tulopuoli 53mini'!$AK$6</f>
        <v>10</v>
      </c>
      <c r="J79" s="1440">
        <f>'Laskenta tulopuoli 53mini'!$AL$6</f>
        <v>40.015801166334754</v>
      </c>
      <c r="L79" s="1445">
        <f>'Laskenta poistopuoli 53mini'!$AA$6</f>
        <v>15</v>
      </c>
      <c r="M79" s="1438">
        <f>'Laskenta poistopuoli 53mini'!$AB$6</f>
        <v>103.57553241263072</v>
      </c>
      <c r="N79" s="1439">
        <f>'Laskenta poistopuoli 53mini'!$AE$6</f>
        <v>10</v>
      </c>
      <c r="O79" s="1438">
        <f>'Laskenta poistopuoli 53mini'!$AF$6</f>
        <v>98.863748472513095</v>
      </c>
      <c r="P79" s="1439">
        <f>'Laskenta poistopuoli 53mini'!$AG$6</f>
        <v>10</v>
      </c>
      <c r="Q79" s="1438">
        <f>'Laskenta poistopuoli 53mini'!$AH$6</f>
        <v>81.983013493976628</v>
      </c>
      <c r="R79" s="1439">
        <f>'Laskenta poistopuoli 53mini'!$AK$6</f>
        <v>10</v>
      </c>
      <c r="S79" s="1440">
        <f>'Laskenta poistopuoli 53mini'!$AL$6</f>
        <v>48.797613651027639</v>
      </c>
    </row>
    <row r="80" spans="3:19" x14ac:dyDescent="0.15">
      <c r="C80" s="304">
        <f>'Laskenta tulopuoli 53mini'!$AA$7</f>
        <v>120</v>
      </c>
      <c r="D80" s="463">
        <f>'Laskenta tulopuoli 53mini'!$AB$7</f>
        <v>88.947735868714446</v>
      </c>
      <c r="E80" s="305">
        <f>'Laskenta tulopuoli 53mini'!$AE$7</f>
        <v>40</v>
      </c>
      <c r="F80" s="463">
        <f>'Laskenta tulopuoli 53mini'!$AF$7</f>
        <v>80.225850223781507</v>
      </c>
      <c r="G80" s="305">
        <f>'Laskenta tulopuoli 53mini'!$AG$7</f>
        <v>25</v>
      </c>
      <c r="H80" s="463">
        <f>'Laskenta tulopuoli 53mini'!$AH$7</f>
        <v>67.297184955677153</v>
      </c>
      <c r="I80" s="305">
        <f>'Laskenta tulopuoli 53mini'!$AK$7</f>
        <v>20</v>
      </c>
      <c r="J80" s="460">
        <f>'Laskenta tulopuoli 53mini'!$AL$7</f>
        <v>37.747929468346427</v>
      </c>
      <c r="L80" s="304">
        <f>'Laskenta poistopuoli 53mini'!$AA$7</f>
        <v>120</v>
      </c>
      <c r="M80" s="463">
        <f>'Laskenta poistopuoli 53mini'!$AB$7</f>
        <v>94.880901963147465</v>
      </c>
      <c r="N80" s="305">
        <f>'Laskenta poistopuoli 53mini'!$AE$7</f>
        <v>40</v>
      </c>
      <c r="O80" s="463">
        <f>'Laskenta poistopuoli 53mini'!$AF$7</f>
        <v>94.863745143000813</v>
      </c>
      <c r="P80" s="305">
        <f>'Laskenta poistopuoli 53mini'!$AG$7</f>
        <v>25</v>
      </c>
      <c r="Q80" s="463">
        <f>'Laskenta poistopuoli 53mini'!$AH$7</f>
        <v>79.696567243836242</v>
      </c>
      <c r="R80" s="305">
        <f>'Laskenta poistopuoli 53mini'!$AK$7</f>
        <v>20</v>
      </c>
      <c r="S80" s="460">
        <f>'Laskenta poistopuoli 53mini'!$AL$7</f>
        <v>46.415338122451843</v>
      </c>
    </row>
    <row r="81" spans="3:19" x14ac:dyDescent="0.15">
      <c r="C81" s="304">
        <f>'Laskenta tulopuoli 53mini'!$AA$8</f>
        <v>190</v>
      </c>
      <c r="D81" s="463">
        <f>'Laskenta tulopuoli 53mini'!$AB$8</f>
        <v>83.762679772606006</v>
      </c>
      <c r="E81" s="305">
        <f>'Laskenta tulopuoli 53mini'!$AE$8</f>
        <v>60</v>
      </c>
      <c r="F81" s="463">
        <f>'Laskenta tulopuoli 53mini'!$AF$8</f>
        <v>77.567381007801956</v>
      </c>
      <c r="G81" s="305">
        <f>'Laskenta tulopuoli 53mini'!$AG$8</f>
        <v>35</v>
      </c>
      <c r="H81" s="463">
        <f>'Laskenta tulopuoli 53mini'!$AH$8</f>
        <v>65.758212482557326</v>
      </c>
      <c r="I81" s="305">
        <f>'Laskenta tulopuoli 53mini'!$AK$8</f>
        <v>40</v>
      </c>
      <c r="J81" s="460">
        <f>'Laskenta tulopuoli 53mini'!$AL$8</f>
        <v>32.617007985442889</v>
      </c>
      <c r="L81" s="304">
        <f>'Laskenta poistopuoli 53mini'!$AA$8</f>
        <v>190</v>
      </c>
      <c r="M81" s="463">
        <f>'Laskenta poistopuoli 53mini'!$AB$8</f>
        <v>88.807959332100708</v>
      </c>
      <c r="N81" s="305">
        <f>'Laskenta poistopuoli 53mini'!$AE$8</f>
        <v>60</v>
      </c>
      <c r="O81" s="463">
        <f>'Laskenta poistopuoli 53mini'!$AF$8</f>
        <v>92.068115196745225</v>
      </c>
      <c r="P81" s="305">
        <f>'Laskenta poistopuoli 53mini'!$AG$8</f>
        <v>35</v>
      </c>
      <c r="Q81" s="463">
        <f>'Laskenta poistopuoli 53mini'!$AH$8</f>
        <v>78.122767590392229</v>
      </c>
      <c r="R81" s="305">
        <f>'Laskenta poistopuoli 53mini'!$AK$8</f>
        <v>60</v>
      </c>
      <c r="S81" s="460">
        <f>'Laskenta poistopuoli 53mini'!$AL$8</f>
        <v>34.64658196138771</v>
      </c>
    </row>
    <row r="82" spans="3:19" x14ac:dyDescent="0.15">
      <c r="C82" s="304">
        <f>'Laskenta tulopuoli 53mini'!$AA$9</f>
        <v>250</v>
      </c>
      <c r="D82" s="463">
        <f>'Laskenta tulopuoli 53mini'!$AB$9</f>
        <v>78.926454069340437</v>
      </c>
      <c r="E82" s="305">
        <f>'Laskenta tulopuoli 53mini'!$AE$9</f>
        <v>80</v>
      </c>
      <c r="F82" s="463">
        <f>'Laskenta tulopuoli 53mini'!$AF$9</f>
        <v>74.803260102765194</v>
      </c>
      <c r="G82" s="305">
        <f>'Laskenta tulopuoli 53mini'!$AG$9</f>
        <v>55</v>
      </c>
      <c r="H82" s="463">
        <f>'Laskenta tulopuoli 53mini'!$AH$9</f>
        <v>62.53553498412861</v>
      </c>
      <c r="I82" s="305">
        <f>'Laskenta tulopuoli 53mini'!$AK$9</f>
        <v>50</v>
      </c>
      <c r="J82" s="460">
        <f>'Laskenta tulopuoli 53mini'!$AL$9</f>
        <v>29.619409120844775</v>
      </c>
      <c r="L82" s="304">
        <f>'Laskenta poistopuoli 53mini'!$AA$9</f>
        <v>250</v>
      </c>
      <c r="M82" s="463">
        <f>'Laskenta poistopuoli 53mini'!$AB$9</f>
        <v>83.402123627509837</v>
      </c>
      <c r="N82" s="305">
        <f>'Laskenta poistopuoli 53mini'!$AE$9</f>
        <v>80</v>
      </c>
      <c r="O82" s="463">
        <f>'Laskenta poistopuoli 53mini'!$AF$9</f>
        <v>89.154081732102</v>
      </c>
      <c r="P82" s="305">
        <f>'Laskenta poistopuoli 53mini'!$AG$9</f>
        <v>55</v>
      </c>
      <c r="Q82" s="463">
        <f>'Laskenta poistopuoli 53mini'!$AH$9</f>
        <v>74.841120229685856</v>
      </c>
      <c r="R82" s="305">
        <f>'Laskenta poistopuoli 53mini'!$AK$9</f>
        <v>80</v>
      </c>
      <c r="S82" s="460">
        <f>'Laskenta poistopuoli 53mini'!$AL$9</f>
        <v>25.668533811416562</v>
      </c>
    </row>
    <row r="83" spans="3:19" x14ac:dyDescent="0.15">
      <c r="C83" s="304">
        <f>'Laskenta tulopuoli 53mini'!$AA$10</f>
        <v>320</v>
      </c>
      <c r="D83" s="463">
        <f>'Laskenta tulopuoli 53mini'!$AB$10</f>
        <v>72.674163985891298</v>
      </c>
      <c r="E83" s="305">
        <f>'Laskenta tulopuoli 53mini'!$AE$10</f>
        <v>100</v>
      </c>
      <c r="F83" s="463">
        <f>'Laskenta tulopuoli 53mini'!$AF$10</f>
        <v>71.919790815766788</v>
      </c>
      <c r="G83" s="305">
        <f>'Laskenta tulopuoli 53mini'!$AG$10</f>
        <v>140</v>
      </c>
      <c r="H83" s="463">
        <f>'Laskenta tulopuoli 53mini'!$AH$10</f>
        <v>45.390768542105448</v>
      </c>
      <c r="I83" s="305">
        <f>'Laskenta tulopuoli 53mini'!$AK$10</f>
        <v>70</v>
      </c>
      <c r="J83" s="460">
        <f>'Laskenta tulopuoli 53mini'!$AL$10</f>
        <v>21.915925296244261</v>
      </c>
      <c r="L83" s="304">
        <f>'Laskenta poistopuoli 53mini'!$AA$10</f>
        <v>320</v>
      </c>
      <c r="M83" s="463">
        <f>'Laskenta poistopuoli 53mini'!$AB$10</f>
        <v>76.831301252434912</v>
      </c>
      <c r="N83" s="305">
        <f>'Laskenta poistopuoli 53mini'!$AE$10</f>
        <v>100</v>
      </c>
      <c r="O83" s="463">
        <f>'Laskenta poistopuoli 53mini'!$AF$10</f>
        <v>86.10519059739714</v>
      </c>
      <c r="P83" s="305">
        <f>'Laskenta poistopuoli 53mini'!$AG$10</f>
        <v>180</v>
      </c>
      <c r="Q83" s="463">
        <f>'Laskenta poistopuoli 53mini'!$AH$10</f>
        <v>46.436616599215917</v>
      </c>
      <c r="R83" s="305">
        <f>'Laskenta poistopuoli 53mini'!$AK$10</f>
        <v>82</v>
      </c>
      <c r="S83" s="460">
        <f>'Laskenta poistopuoli 53mini'!$AL$10</f>
        <v>24.458258401494632</v>
      </c>
    </row>
    <row r="84" spans="3:19" x14ac:dyDescent="0.15">
      <c r="C84" s="304">
        <f>'Laskenta tulopuoli 53mini'!$AA$11</f>
        <v>370</v>
      </c>
      <c r="D84" s="463">
        <f>'Laskenta tulopuoli 53mini'!$AB$11</f>
        <v>67.656938734011845</v>
      </c>
      <c r="E84" s="305">
        <f>'Laskenta tulopuoli 53mini'!$AE$11</f>
        <v>200</v>
      </c>
      <c r="F84" s="463">
        <f>'Laskenta tulopuoli 53mini'!$AF$11</f>
        <v>54.917543457145847</v>
      </c>
      <c r="G84" s="305">
        <f>'Laskenta tulopuoli 53mini'!$AG$11</f>
        <v>175</v>
      </c>
      <c r="H84" s="463">
        <f>'Laskenta tulopuoli 53mini'!$AH$11</f>
        <v>34.60923239891234</v>
      </c>
      <c r="I84" s="305"/>
      <c r="J84" s="460"/>
      <c r="L84" s="304">
        <f>'Laskenta poistopuoli 53mini'!$AA$11</f>
        <v>370</v>
      </c>
      <c r="M84" s="463">
        <f>'Laskenta poistopuoli 53mini'!$AB$11</f>
        <v>71.942009838283937</v>
      </c>
      <c r="N84" s="305">
        <f>'Laskenta poistopuoli 53mini'!$AE$11</f>
        <v>270</v>
      </c>
      <c r="O84" s="463">
        <f>'Laskenta poistopuoli 53mini'!$AF$11</f>
        <v>48.048861693966089</v>
      </c>
      <c r="P84" s="305">
        <f>'Laskenta poistopuoli 53mini'!$AG$11</f>
        <v>200</v>
      </c>
      <c r="Q84" s="463">
        <f>'Laskenta poistopuoli 53mini'!$AH$11</f>
        <v>38.256987148325678</v>
      </c>
      <c r="R84" s="305"/>
      <c r="S84" s="460"/>
    </row>
    <row r="85" spans="3:19" ht="14" thickBot="1" x14ac:dyDescent="0.2">
      <c r="C85" s="306">
        <f>'Laskenta tulopuoli 53mini'!$AA$12</f>
        <v>450</v>
      </c>
      <c r="D85" s="464">
        <f>'Laskenta tulopuoli 53mini'!$AB$12</f>
        <v>58.104961702759233</v>
      </c>
      <c r="E85" s="307">
        <f>'Laskenta tulopuoli 53mini'!$AE$12</f>
        <v>260</v>
      </c>
      <c r="F85" s="464">
        <f>'Laskenta tulopuoli 53mini'!$AF$12</f>
        <v>40.724118239289034</v>
      </c>
      <c r="G85" s="307"/>
      <c r="H85" s="464"/>
      <c r="I85" s="307"/>
      <c r="J85" s="461"/>
      <c r="L85" s="306">
        <f>'Laskenta poistopuoli 53mini'!$AA$12</f>
        <v>460</v>
      </c>
      <c r="M85" s="464">
        <f>'Laskenta poistopuoli 53mini'!$AB$12</f>
        <v>62.662556243440676</v>
      </c>
      <c r="N85" s="307">
        <f>'Laskenta poistopuoli 53mini'!$AE$12</f>
        <v>280</v>
      </c>
      <c r="O85" s="464">
        <f>'Laskenta poistopuoli 53mini'!$AF$12</f>
        <v>43.718181696062231</v>
      </c>
      <c r="P85" s="307"/>
      <c r="Q85" s="464"/>
      <c r="R85" s="307"/>
      <c r="S85" s="461"/>
    </row>
    <row r="87" spans="3:19" ht="14" thickBot="1" x14ac:dyDescent="0.2">
      <c r="C87" s="104">
        <v>8</v>
      </c>
      <c r="D87" s="2" t="s">
        <v>2691</v>
      </c>
      <c r="L87" s="104">
        <v>8</v>
      </c>
      <c r="M87" s="2" t="s">
        <v>2691</v>
      </c>
    </row>
    <row r="88" spans="3:19" ht="14" thickBot="1" x14ac:dyDescent="0.2">
      <c r="C88" s="465" t="s">
        <v>7</v>
      </c>
      <c r="D88" s="1442" t="str">
        <f>D87</f>
        <v>Varaus seuraavalle koneelle</v>
      </c>
      <c r="E88" s="361"/>
      <c r="F88" s="361"/>
      <c r="G88" s="361"/>
      <c r="H88" s="361"/>
      <c r="I88" s="361"/>
      <c r="J88" s="362"/>
      <c r="L88" s="465" t="s">
        <v>8</v>
      </c>
      <c r="M88" s="1442" t="str">
        <f>M87</f>
        <v>Varaus seuraavalle koneelle</v>
      </c>
      <c r="N88" s="361"/>
      <c r="O88" s="361"/>
      <c r="P88" s="361"/>
      <c r="Q88" s="361"/>
      <c r="R88" s="361"/>
      <c r="S88" s="362"/>
    </row>
    <row r="89" spans="3:19" x14ac:dyDescent="0.15">
      <c r="C89" s="1437"/>
      <c r="D89" s="1444"/>
      <c r="E89" s="1437"/>
      <c r="F89" s="1444"/>
      <c r="G89" s="1437"/>
      <c r="H89" s="1444"/>
      <c r="I89" s="1437"/>
      <c r="J89" s="231"/>
      <c r="L89" s="1437"/>
      <c r="M89" s="1444"/>
      <c r="N89" s="1437"/>
      <c r="O89" s="1444"/>
      <c r="P89" s="1437"/>
      <c r="Q89" s="1444"/>
      <c r="R89" s="1437"/>
      <c r="S89" s="231"/>
    </row>
    <row r="90" spans="3:19" ht="14" thickBot="1" x14ac:dyDescent="0.2">
      <c r="C90" s="306" t="s">
        <v>14</v>
      </c>
      <c r="D90" s="462" t="s">
        <v>13</v>
      </c>
      <c r="E90" s="306" t="s">
        <v>14</v>
      </c>
      <c r="F90" s="462" t="s">
        <v>13</v>
      </c>
      <c r="G90" s="306" t="s">
        <v>14</v>
      </c>
      <c r="H90" s="462" t="s">
        <v>13</v>
      </c>
      <c r="I90" s="306" t="s">
        <v>14</v>
      </c>
      <c r="J90" s="239" t="s">
        <v>13</v>
      </c>
      <c r="L90" s="306" t="s">
        <v>14</v>
      </c>
      <c r="M90" s="462" t="s">
        <v>13</v>
      </c>
      <c r="N90" s="306" t="s">
        <v>14</v>
      </c>
      <c r="O90" s="462" t="s">
        <v>13</v>
      </c>
      <c r="P90" s="306" t="s">
        <v>14</v>
      </c>
      <c r="Q90" s="462" t="s">
        <v>13</v>
      </c>
      <c r="R90" s="306" t="s">
        <v>14</v>
      </c>
      <c r="S90" s="239" t="s">
        <v>13</v>
      </c>
    </row>
    <row r="91" spans="3:19" x14ac:dyDescent="0.15">
      <c r="C91" s="1445"/>
      <c r="D91" s="1438"/>
      <c r="E91" s="1439"/>
      <c r="F91" s="1438"/>
      <c r="G91" s="1439"/>
      <c r="H91" s="1438"/>
      <c r="I91" s="1439"/>
      <c r="J91" s="1440"/>
      <c r="L91" s="1445"/>
      <c r="M91" s="1438"/>
      <c r="N91" s="1439"/>
      <c r="O91" s="1438"/>
      <c r="P91" s="1439"/>
      <c r="Q91" s="1438"/>
      <c r="R91" s="1439"/>
      <c r="S91" s="1440"/>
    </row>
    <row r="92" spans="3:19" x14ac:dyDescent="0.15">
      <c r="C92" s="304"/>
      <c r="D92" s="463"/>
      <c r="E92" s="305"/>
      <c r="F92" s="463"/>
      <c r="G92" s="305"/>
      <c r="H92" s="463"/>
      <c r="I92" s="305"/>
      <c r="J92" s="460"/>
      <c r="L92" s="304"/>
      <c r="M92" s="463"/>
      <c r="N92" s="305"/>
      <c r="O92" s="463"/>
      <c r="P92" s="305"/>
      <c r="Q92" s="463"/>
      <c r="R92" s="305"/>
      <c r="S92" s="460"/>
    </row>
    <row r="93" spans="3:19" x14ac:dyDescent="0.15">
      <c r="C93" s="304"/>
      <c r="D93" s="463"/>
      <c r="E93" s="305"/>
      <c r="F93" s="463"/>
      <c r="G93" s="305"/>
      <c r="H93" s="463"/>
      <c r="I93" s="305"/>
      <c r="J93" s="460"/>
      <c r="L93" s="304"/>
      <c r="M93" s="463"/>
      <c r="N93" s="305"/>
      <c r="O93" s="463"/>
      <c r="P93" s="305"/>
      <c r="Q93" s="463"/>
      <c r="R93" s="305"/>
      <c r="S93" s="460"/>
    </row>
    <row r="94" spans="3:19" x14ac:dyDescent="0.15">
      <c r="C94" s="304"/>
      <c r="D94" s="463"/>
      <c r="E94" s="305"/>
      <c r="F94" s="463"/>
      <c r="G94" s="305"/>
      <c r="H94" s="463"/>
      <c r="I94" s="305"/>
      <c r="J94" s="460"/>
      <c r="L94" s="304"/>
      <c r="M94" s="463"/>
      <c r="N94" s="305"/>
      <c r="O94" s="463"/>
      <c r="P94" s="305"/>
      <c r="Q94" s="463"/>
      <c r="R94" s="305"/>
      <c r="S94" s="460"/>
    </row>
    <row r="95" spans="3:19" x14ac:dyDescent="0.15">
      <c r="C95" s="304"/>
      <c r="D95" s="463"/>
      <c r="E95" s="305"/>
      <c r="F95" s="463"/>
      <c r="G95" s="305"/>
      <c r="H95" s="463"/>
      <c r="I95" s="305"/>
      <c r="J95" s="460"/>
      <c r="L95" s="304"/>
      <c r="M95" s="463"/>
      <c r="N95" s="305"/>
      <c r="O95" s="463"/>
      <c r="P95" s="305"/>
      <c r="Q95" s="463"/>
      <c r="R95" s="305"/>
      <c r="S95" s="460"/>
    </row>
    <row r="96" spans="3:19" x14ac:dyDescent="0.15">
      <c r="C96" s="304"/>
      <c r="D96" s="463"/>
      <c r="E96" s="305"/>
      <c r="F96" s="463"/>
      <c r="G96" s="305"/>
      <c r="H96" s="463"/>
      <c r="I96" s="305"/>
      <c r="J96" s="460"/>
      <c r="L96" s="304"/>
      <c r="M96" s="463"/>
      <c r="N96" s="305"/>
      <c r="O96" s="463"/>
      <c r="P96" s="305"/>
      <c r="Q96" s="463"/>
      <c r="R96" s="305"/>
      <c r="S96" s="460"/>
    </row>
    <row r="97" spans="3:19" ht="14" thickBot="1" x14ac:dyDescent="0.2">
      <c r="C97" s="306"/>
      <c r="D97" s="464"/>
      <c r="E97" s="307"/>
      <c r="F97" s="464"/>
      <c r="G97" s="307"/>
      <c r="H97" s="464"/>
      <c r="I97" s="307"/>
      <c r="J97" s="461"/>
      <c r="L97" s="306"/>
      <c r="M97" s="464"/>
      <c r="N97" s="307"/>
      <c r="O97" s="464"/>
      <c r="P97" s="307"/>
      <c r="Q97" s="464"/>
      <c r="R97" s="307"/>
      <c r="S97" s="461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E6BC3-7D02-4543-8CB9-4029021D2E6F}">
  <dimension ref="B3:AC91"/>
  <sheetViews>
    <sheetView workbookViewId="0">
      <selection activeCell="R20" sqref="R20"/>
    </sheetView>
  </sheetViews>
  <sheetFormatPr baseColWidth="10" defaultColWidth="8.83203125" defaultRowHeight="13" x14ac:dyDescent="0.15"/>
  <cols>
    <col min="2" max="2" width="22.5" customWidth="1"/>
  </cols>
  <sheetData>
    <row r="3" spans="2:12" x14ac:dyDescent="0.15">
      <c r="B3" s="2" t="s">
        <v>79</v>
      </c>
      <c r="E3" t="s">
        <v>2700</v>
      </c>
    </row>
    <row r="4" spans="2:12" x14ac:dyDescent="0.15">
      <c r="B4" t="s">
        <v>7</v>
      </c>
      <c r="C4" s="3">
        <f>'Laskenta tulopuoli 53mini_ENT'!W9</f>
        <v>4.6545920944986499</v>
      </c>
      <c r="D4" t="s">
        <v>25</v>
      </c>
      <c r="E4" s="3">
        <f>IF(C4&gt;K11,K11,C4)</f>
        <v>4.6545920944986499</v>
      </c>
      <c r="F4" t="s">
        <v>25</v>
      </c>
    </row>
    <row r="5" spans="2:12" x14ac:dyDescent="0.15">
      <c r="B5" t="s">
        <v>8</v>
      </c>
      <c r="C5" s="3">
        <f>'Laskenta poistopuoli 53mini_ENT'!W9</f>
        <v>4.4792053794970448</v>
      </c>
      <c r="D5" t="s">
        <v>25</v>
      </c>
      <c r="E5" s="3">
        <f>IF(C5&gt;8.5,8.5,C5)</f>
        <v>4.4792053794970448</v>
      </c>
      <c r="F5" t="s">
        <v>25</v>
      </c>
    </row>
    <row r="7" spans="2:12" x14ac:dyDescent="0.15">
      <c r="B7" s="2" t="s">
        <v>88</v>
      </c>
    </row>
    <row r="8" spans="2:12" x14ac:dyDescent="0.15">
      <c r="B8" t="s">
        <v>90</v>
      </c>
    </row>
    <row r="9" spans="2:12" x14ac:dyDescent="0.15">
      <c r="B9" t="s">
        <v>601</v>
      </c>
      <c r="K9" t="s">
        <v>599</v>
      </c>
    </row>
    <row r="10" spans="2:12" x14ac:dyDescent="0.15">
      <c r="K10" t="s">
        <v>365</v>
      </c>
      <c r="L10" t="s">
        <v>27</v>
      </c>
    </row>
    <row r="11" spans="2:12" x14ac:dyDescent="0.15">
      <c r="C11" t="s">
        <v>4</v>
      </c>
      <c r="D11" t="s">
        <v>5</v>
      </c>
      <c r="K11" s="8">
        <v>8.3000000000000007</v>
      </c>
      <c r="L11" s="479">
        <f>T21</f>
        <v>49.553859374815694</v>
      </c>
    </row>
    <row r="12" spans="2:12" x14ac:dyDescent="0.15">
      <c r="B12" t="s">
        <v>600</v>
      </c>
      <c r="C12" s="107">
        <f t="array" ref="C12:D12">LINEST(L11:L14,LN(K11:K14))</f>
        <v>22.836887047064646</v>
      </c>
      <c r="D12" s="107">
        <v>1.3011463277733739</v>
      </c>
      <c r="K12" s="8">
        <v>7</v>
      </c>
      <c r="L12" s="479">
        <f t="shared" ref="L12:L14" si="0">T22</f>
        <v>45.807948790518893</v>
      </c>
    </row>
    <row r="13" spans="2:12" x14ac:dyDescent="0.15">
      <c r="K13" s="8">
        <v>6</v>
      </c>
      <c r="L13" s="479">
        <f t="shared" si="0"/>
        <v>42.261905297078613</v>
      </c>
    </row>
    <row r="14" spans="2:12" x14ac:dyDescent="0.15">
      <c r="K14" s="8">
        <v>4</v>
      </c>
      <c r="L14" s="479">
        <f t="shared" si="0"/>
        <v>32.924946633813931</v>
      </c>
    </row>
    <row r="15" spans="2:12" x14ac:dyDescent="0.15">
      <c r="B15" t="s">
        <v>91</v>
      </c>
      <c r="C15" s="3">
        <f>MAX(E4,E5)</f>
        <v>4.6545920944986499</v>
      </c>
      <c r="D15" t="s">
        <v>25</v>
      </c>
      <c r="E15" s="82" t="s">
        <v>42</v>
      </c>
      <c r="F15" s="5">
        <f>$C$12*LN(C15)+$D$12</f>
        <v>36.420950803544628</v>
      </c>
      <c r="G15" t="s">
        <v>31</v>
      </c>
    </row>
    <row r="16" spans="2:12" x14ac:dyDescent="0.15">
      <c r="B16" t="s">
        <v>92</v>
      </c>
      <c r="C16" s="79">
        <f>(2*MAX(E4,E5)+MIN(E4,E5))/3</f>
        <v>4.5961298561647821</v>
      </c>
      <c r="D16" t="s">
        <v>25</v>
      </c>
      <c r="E16" s="82" t="s">
        <v>42</v>
      </c>
      <c r="F16" s="5">
        <f>$C$12*LN(C16)+$D$12</f>
        <v>36.132300184680041</v>
      </c>
      <c r="G16" t="s">
        <v>31</v>
      </c>
    </row>
    <row r="18" spans="2:21" ht="14" x14ac:dyDescent="0.15">
      <c r="B18" s="83" t="s">
        <v>82</v>
      </c>
    </row>
    <row r="20" spans="2:21" x14ac:dyDescent="0.15">
      <c r="B20" s="2" t="s">
        <v>84</v>
      </c>
      <c r="K20" s="16">
        <v>63</v>
      </c>
      <c r="L20" s="208">
        <v>125</v>
      </c>
      <c r="M20" s="208">
        <v>250</v>
      </c>
      <c r="N20" s="208">
        <v>500</v>
      </c>
      <c r="O20" s="208">
        <v>1000</v>
      </c>
      <c r="P20" s="208">
        <v>2000</v>
      </c>
      <c r="Q20" s="208">
        <v>4000</v>
      </c>
      <c r="R20" s="11">
        <v>8000</v>
      </c>
      <c r="S20" s="4" t="s">
        <v>391</v>
      </c>
      <c r="T20" s="4" t="s">
        <v>27</v>
      </c>
    </row>
    <row r="21" spans="2:21" x14ac:dyDescent="0.15">
      <c r="B21" t="s">
        <v>85</v>
      </c>
      <c r="C21" t="s">
        <v>28</v>
      </c>
      <c r="D21" s="3">
        <f>'R-series ENT'!N54</f>
        <v>51.350319413350157</v>
      </c>
      <c r="E21" t="s">
        <v>31</v>
      </c>
      <c r="J21" t="s">
        <v>2701</v>
      </c>
      <c r="K21" s="67">
        <f>N71</f>
        <v>62.653029259735398</v>
      </c>
      <c r="L21" s="68">
        <f t="shared" ref="L21:T24" si="1">O71</f>
        <v>60.506924487575631</v>
      </c>
      <c r="M21" s="68">
        <f t="shared" si="1"/>
        <v>55.940141049269116</v>
      </c>
      <c r="N21" s="68">
        <f t="shared" si="1"/>
        <v>43.080884046207942</v>
      </c>
      <c r="O21" s="68">
        <f t="shared" si="1"/>
        <v>34.34867450894226</v>
      </c>
      <c r="P21" s="68">
        <f t="shared" si="1"/>
        <v>28.470261744240361</v>
      </c>
      <c r="Q21" s="68">
        <f t="shared" si="1"/>
        <v>25.352642470228304</v>
      </c>
      <c r="R21" s="69">
        <f t="shared" si="1"/>
        <v>22.918047458230912</v>
      </c>
      <c r="S21" s="482">
        <f>V71</f>
        <v>65.292781728430796</v>
      </c>
      <c r="T21" s="482">
        <f>W71</f>
        <v>49.553859374815694</v>
      </c>
    </row>
    <row r="22" spans="2:21" x14ac:dyDescent="0.15">
      <c r="B22" s="25"/>
      <c r="C22" s="25" t="s">
        <v>8</v>
      </c>
      <c r="D22" s="81">
        <f>'R-series ENT'!N55</f>
        <v>51.65220443099701</v>
      </c>
      <c r="E22" t="s">
        <v>31</v>
      </c>
      <c r="J22" t="s">
        <v>2674</v>
      </c>
      <c r="K22" s="67">
        <f t="shared" ref="K22:K24" si="2">N72</f>
        <v>59.993931557001488</v>
      </c>
      <c r="L22" s="68">
        <f t="shared" si="1"/>
        <v>56.788747085959415</v>
      </c>
      <c r="M22" s="68">
        <f t="shared" si="1"/>
        <v>51.825046379537056</v>
      </c>
      <c r="N22" s="68">
        <f t="shared" si="1"/>
        <v>39.202749376109381</v>
      </c>
      <c r="O22" s="68">
        <f t="shared" si="1"/>
        <v>31.637135893529869</v>
      </c>
      <c r="P22" s="68">
        <f t="shared" si="1"/>
        <v>24.921497417494649</v>
      </c>
      <c r="Q22" s="68">
        <f t="shared" si="1"/>
        <v>21.868338915937663</v>
      </c>
      <c r="R22" s="69">
        <f t="shared" si="1"/>
        <v>18.396406537435915</v>
      </c>
      <c r="S22" s="482">
        <f t="shared" si="1"/>
        <v>62.144572960121138</v>
      </c>
      <c r="T22" s="482">
        <f t="shared" si="1"/>
        <v>45.807948790518893</v>
      </c>
    </row>
    <row r="23" spans="2:21" x14ac:dyDescent="0.15">
      <c r="C23" t="s">
        <v>87</v>
      </c>
      <c r="D23" s="3">
        <f>ABS(D21-D22)</f>
        <v>0.30188501764685327</v>
      </c>
      <c r="E23" t="s">
        <v>31</v>
      </c>
      <c r="J23" t="s">
        <v>405</v>
      </c>
      <c r="K23" s="67">
        <f t="shared" si="2"/>
        <v>56.850498602132042</v>
      </c>
      <c r="L23" s="68">
        <f t="shared" si="1"/>
        <v>54.179013560759245</v>
      </c>
      <c r="M23" s="68">
        <f t="shared" si="1"/>
        <v>47.864733713624013</v>
      </c>
      <c r="N23" s="68">
        <f t="shared" si="1"/>
        <v>35.735540941273015</v>
      </c>
      <c r="O23" s="68">
        <f t="shared" si="1"/>
        <v>28.84006146710599</v>
      </c>
      <c r="P23" s="68">
        <f t="shared" si="1"/>
        <v>21.573322111126462</v>
      </c>
      <c r="Q23" s="68">
        <f t="shared" si="1"/>
        <v>16.447985309194316</v>
      </c>
      <c r="R23" s="69">
        <f t="shared" si="1"/>
        <v>12.649026250202555</v>
      </c>
      <c r="S23" s="482">
        <f t="shared" si="1"/>
        <v>59.094839876503293</v>
      </c>
      <c r="T23" s="482">
        <f t="shared" si="1"/>
        <v>42.261905297078613</v>
      </c>
    </row>
    <row r="24" spans="2:21" x14ac:dyDescent="0.15">
      <c r="D24" s="3"/>
      <c r="J24" t="s">
        <v>406</v>
      </c>
      <c r="K24" s="67">
        <f t="shared" si="2"/>
        <v>51.608056744119033</v>
      </c>
      <c r="L24" s="71">
        <f t="shared" si="1"/>
        <v>44.63703172711709</v>
      </c>
      <c r="M24" s="71">
        <f t="shared" si="1"/>
        <v>37.330095427470894</v>
      </c>
      <c r="N24" s="71">
        <f t="shared" si="1"/>
        <v>25.799358600884709</v>
      </c>
      <c r="O24" s="71">
        <f t="shared" si="1"/>
        <v>20.321908282425998</v>
      </c>
      <c r="P24" s="71">
        <f t="shared" si="1"/>
        <v>12.199912204068715</v>
      </c>
      <c r="Q24" s="71">
        <f t="shared" si="1"/>
        <v>7.3910394231879746</v>
      </c>
      <c r="R24" s="72">
        <f t="shared" si="1"/>
        <v>5.141297766164362</v>
      </c>
      <c r="S24" s="482">
        <f t="shared" si="1"/>
        <v>52.548391866221692</v>
      </c>
      <c r="T24" s="482">
        <f t="shared" si="1"/>
        <v>32.924946633813931</v>
      </c>
    </row>
    <row r="25" spans="2:21" x14ac:dyDescent="0.15">
      <c r="B25" t="s">
        <v>86</v>
      </c>
      <c r="C25" t="s">
        <v>7</v>
      </c>
      <c r="D25" s="3">
        <f>'R-series ENT'!N53</f>
        <v>62.081900793182115</v>
      </c>
      <c r="E25" t="s">
        <v>31</v>
      </c>
    </row>
    <row r="26" spans="2:21" x14ac:dyDescent="0.15">
      <c r="B26" s="25"/>
      <c r="C26" s="25" t="s">
        <v>57</v>
      </c>
      <c r="D26" s="81">
        <f>'R-series ENT'!N56</f>
        <v>61.797611511157953</v>
      </c>
      <c r="E26" t="s">
        <v>31</v>
      </c>
      <c r="K26" s="19">
        <f>K21-$T21</f>
        <v>13.099169884919704</v>
      </c>
      <c r="L26" s="481">
        <f t="shared" ref="L26:R26" si="3">L21-$T21</f>
        <v>10.953065112759937</v>
      </c>
      <c r="M26" s="481">
        <f t="shared" si="3"/>
        <v>6.3862816744534214</v>
      </c>
      <c r="N26" s="481">
        <f t="shared" si="3"/>
        <v>-6.4729753286077525</v>
      </c>
      <c r="O26" s="481">
        <f t="shared" si="3"/>
        <v>-15.205184865873434</v>
      </c>
      <c r="P26" s="481">
        <f t="shared" si="3"/>
        <v>-21.083597630575333</v>
      </c>
      <c r="Q26" s="481">
        <f t="shared" si="3"/>
        <v>-24.20121690458739</v>
      </c>
      <c r="R26" s="20">
        <f t="shared" si="3"/>
        <v>-26.635811916584782</v>
      </c>
    </row>
    <row r="27" spans="2:21" x14ac:dyDescent="0.15">
      <c r="C27" t="s">
        <v>87</v>
      </c>
      <c r="D27" s="3">
        <f>ABS(D25-D26)</f>
        <v>0.28428928202416159</v>
      </c>
      <c r="E27" t="s">
        <v>31</v>
      </c>
      <c r="K27" s="17">
        <f t="shared" ref="K27:R29" si="4">K22-$T22</f>
        <v>14.185982766482596</v>
      </c>
      <c r="L27" s="5">
        <f t="shared" si="4"/>
        <v>10.980798295440522</v>
      </c>
      <c r="M27" s="5">
        <f t="shared" si="4"/>
        <v>6.0170975890181637</v>
      </c>
      <c r="N27" s="5">
        <f t="shared" si="4"/>
        <v>-6.6051994144095119</v>
      </c>
      <c r="O27" s="5">
        <f t="shared" si="4"/>
        <v>-14.170812896989023</v>
      </c>
      <c r="P27" s="5">
        <f t="shared" si="4"/>
        <v>-20.886451373024244</v>
      </c>
      <c r="Q27" s="5">
        <f t="shared" si="4"/>
        <v>-23.93960987458123</v>
      </c>
      <c r="R27" s="13">
        <f t="shared" si="4"/>
        <v>-27.411542253082978</v>
      </c>
    </row>
    <row r="28" spans="2:21" x14ac:dyDescent="0.15">
      <c r="K28" s="17">
        <f t="shared" si="4"/>
        <v>14.588593305053429</v>
      </c>
      <c r="L28" s="5">
        <f t="shared" si="4"/>
        <v>11.917108263680632</v>
      </c>
      <c r="M28" s="5">
        <f t="shared" si="4"/>
        <v>5.6028284165453996</v>
      </c>
      <c r="N28" s="5">
        <f t="shared" si="4"/>
        <v>-6.5263643558055975</v>
      </c>
      <c r="O28" s="5">
        <f t="shared" si="4"/>
        <v>-13.421843829972623</v>
      </c>
      <c r="P28" s="5">
        <f t="shared" si="4"/>
        <v>-20.688583185952151</v>
      </c>
      <c r="Q28" s="5">
        <f t="shared" si="4"/>
        <v>-25.813919987884297</v>
      </c>
      <c r="R28" s="13">
        <f t="shared" si="4"/>
        <v>-29.61287904687606</v>
      </c>
    </row>
    <row r="29" spans="2:21" x14ac:dyDescent="0.15">
      <c r="B29" t="s">
        <v>94</v>
      </c>
      <c r="C29" s="3">
        <f>AVERAGE(D27,D23)</f>
        <v>0.29308714983550743</v>
      </c>
      <c r="D29" t="s">
        <v>31</v>
      </c>
      <c r="K29" s="18">
        <f t="shared" si="4"/>
        <v>18.683110110305101</v>
      </c>
      <c r="L29" s="209">
        <f t="shared" si="4"/>
        <v>11.712085093303159</v>
      </c>
      <c r="M29" s="209">
        <f t="shared" si="4"/>
        <v>4.4051487936569629</v>
      </c>
      <c r="N29" s="209">
        <f t="shared" si="4"/>
        <v>-7.1255880329292225</v>
      </c>
      <c r="O29" s="209">
        <f t="shared" si="4"/>
        <v>-12.603038351387934</v>
      </c>
      <c r="P29" s="209">
        <f t="shared" si="4"/>
        <v>-20.725034429745214</v>
      </c>
      <c r="Q29" s="209">
        <f t="shared" si="4"/>
        <v>-25.533907210625955</v>
      </c>
      <c r="R29" s="15">
        <f t="shared" si="4"/>
        <v>-27.783648867649568</v>
      </c>
    </row>
    <row r="30" spans="2:21" x14ac:dyDescent="0.15">
      <c r="B30" t="s">
        <v>93</v>
      </c>
      <c r="C30" s="3">
        <f>-10*LOG10((1-10^(-C29/10)))-3</f>
        <v>8.853594809152499</v>
      </c>
      <c r="D30" t="s">
        <v>31</v>
      </c>
      <c r="J30" t="s">
        <v>419</v>
      </c>
      <c r="K30" s="6">
        <f>AVERAGE(K26:K29)</f>
        <v>15.139214016690207</v>
      </c>
      <c r="L30" s="6">
        <f t="shared" ref="L30:R30" si="5">AVERAGE(L26:L29)</f>
        <v>11.390764191296062</v>
      </c>
      <c r="M30" s="6">
        <f t="shared" si="5"/>
        <v>5.6028391184184869</v>
      </c>
      <c r="N30" s="6">
        <f t="shared" si="5"/>
        <v>-6.6825317829380211</v>
      </c>
      <c r="O30" s="6">
        <f t="shared" si="5"/>
        <v>-13.850219986055755</v>
      </c>
      <c r="P30" s="6">
        <f t="shared" si="5"/>
        <v>-20.845916654824237</v>
      </c>
      <c r="Q30" s="6">
        <f t="shared" si="5"/>
        <v>-24.872163494419716</v>
      </c>
      <c r="R30" s="6">
        <f t="shared" si="5"/>
        <v>-27.860970521048344</v>
      </c>
      <c r="T30" t="s">
        <v>604</v>
      </c>
    </row>
    <row r="31" spans="2:21" x14ac:dyDescent="0.15">
      <c r="J31" t="s">
        <v>602</v>
      </c>
      <c r="K31" s="108">
        <f>ROUND(K30,0)</f>
        <v>15</v>
      </c>
      <c r="L31" s="108">
        <f t="shared" ref="L31:R31" si="6">ROUND(L30,0)</f>
        <v>11</v>
      </c>
      <c r="M31" s="108">
        <f t="shared" si="6"/>
        <v>6</v>
      </c>
      <c r="N31" s="108">
        <f t="shared" si="6"/>
        <v>-7</v>
      </c>
      <c r="O31" s="108">
        <f t="shared" si="6"/>
        <v>-14</v>
      </c>
      <c r="P31" s="108">
        <f t="shared" si="6"/>
        <v>-21</v>
      </c>
      <c r="Q31" s="108">
        <f t="shared" si="6"/>
        <v>-25</v>
      </c>
      <c r="R31" s="108">
        <f t="shared" si="6"/>
        <v>-28</v>
      </c>
      <c r="T31" s="5">
        <f t="array" ref="T31">10*LOG10(SUM(10^((K31:R31+L43:S43)/10)))</f>
        <v>0.35598130228587072</v>
      </c>
      <c r="U31" t="s">
        <v>603</v>
      </c>
    </row>
    <row r="32" spans="2:21" x14ac:dyDescent="0.15">
      <c r="B32" t="s">
        <v>83</v>
      </c>
      <c r="C32" s="3">
        <f>F15+C30</f>
        <v>45.274545612697125</v>
      </c>
      <c r="D32" t="s">
        <v>31</v>
      </c>
    </row>
    <row r="33" spans="2:23" x14ac:dyDescent="0.15">
      <c r="B33" t="s">
        <v>95</v>
      </c>
      <c r="C33" s="3">
        <f>F15-2.6</f>
        <v>33.820950803544626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36.132300184680041</v>
      </c>
      <c r="D35" s="2" t="s">
        <v>31</v>
      </c>
      <c r="F35" s="5">
        <f>C35+C36+10*LOG10(4/10)</f>
        <v>31.230023437443386</v>
      </c>
      <c r="G35" s="5">
        <f>C35+C36+10*LOG10(4/2.5)</f>
        <v>37.250623350723011</v>
      </c>
    </row>
    <row r="36" spans="2:23" x14ac:dyDescent="0.15">
      <c r="B36" s="2" t="s">
        <v>2705</v>
      </c>
      <c r="C36" s="84">
        <f>W91</f>
        <v>-0.92287666051627992</v>
      </c>
      <c r="D36" s="2" t="s">
        <v>31</v>
      </c>
      <c r="F36" s="5"/>
      <c r="G36" s="5"/>
    </row>
    <row r="37" spans="2:23" x14ac:dyDescent="0.15">
      <c r="B37" s="2" t="s">
        <v>121</v>
      </c>
      <c r="C37" s="84">
        <f>C35+C36</f>
        <v>35.209423524163761</v>
      </c>
      <c r="D37" s="2" t="s">
        <v>31</v>
      </c>
      <c r="V37" s="3"/>
    </row>
    <row r="38" spans="2:23" x14ac:dyDescent="0.15">
      <c r="B38" s="2"/>
      <c r="C38" s="84"/>
      <c r="D38" s="2"/>
      <c r="V38" s="3"/>
    </row>
    <row r="39" spans="2:23" x14ac:dyDescent="0.15">
      <c r="B39" s="2" t="s">
        <v>35</v>
      </c>
      <c r="C39" t="s">
        <v>36</v>
      </c>
    </row>
    <row r="40" spans="2:23" x14ac:dyDescent="0.15">
      <c r="B40" s="10"/>
      <c r="C40" s="43">
        <v>63</v>
      </c>
      <c r="D40" s="44">
        <v>125</v>
      </c>
      <c r="E40" s="44">
        <v>250</v>
      </c>
      <c r="F40" s="44">
        <v>500</v>
      </c>
      <c r="G40" s="44">
        <v>1000</v>
      </c>
      <c r="H40" s="44">
        <v>2000</v>
      </c>
      <c r="I40" s="44">
        <v>4000</v>
      </c>
      <c r="J40" s="45">
        <v>8000</v>
      </c>
      <c r="L40" s="43">
        <v>63</v>
      </c>
      <c r="M40" s="44">
        <v>125</v>
      </c>
      <c r="N40" s="44">
        <v>250</v>
      </c>
      <c r="O40" s="44">
        <v>500</v>
      </c>
      <c r="P40" s="44">
        <v>1000</v>
      </c>
      <c r="Q40" s="44">
        <v>2000</v>
      </c>
      <c r="R40" s="44">
        <v>4000</v>
      </c>
      <c r="S40" s="45">
        <v>8000</v>
      </c>
      <c r="T40" t="s">
        <v>70</v>
      </c>
      <c r="U40" t="s">
        <v>71</v>
      </c>
    </row>
    <row r="41" spans="2:23" x14ac:dyDescent="0.15">
      <c r="B41" s="74" t="s">
        <v>96</v>
      </c>
      <c r="C41" s="480">
        <f t="shared" ref="C41:J41" si="7">K31</f>
        <v>15</v>
      </c>
      <c r="D41" s="480">
        <f t="shared" si="7"/>
        <v>11</v>
      </c>
      <c r="E41" s="480">
        <f t="shared" si="7"/>
        <v>6</v>
      </c>
      <c r="F41" s="480">
        <f t="shared" si="7"/>
        <v>-7</v>
      </c>
      <c r="G41" s="480">
        <f t="shared" si="7"/>
        <v>-14</v>
      </c>
      <c r="H41" s="480">
        <f t="shared" si="7"/>
        <v>-21</v>
      </c>
      <c r="I41" s="480">
        <f t="shared" si="7"/>
        <v>-25</v>
      </c>
      <c r="J41" s="480">
        <f t="shared" si="7"/>
        <v>-28</v>
      </c>
      <c r="K41" s="87" t="s">
        <v>42</v>
      </c>
      <c r="L41" s="86">
        <f>$C$35+$C$36+C41</f>
        <v>50.209423524163761</v>
      </c>
      <c r="M41" s="86">
        <f t="shared" ref="M41:S41" si="8">$C$35+$C$36+D41</f>
        <v>46.209423524163761</v>
      </c>
      <c r="N41" s="86">
        <f t="shared" si="8"/>
        <v>41.209423524163761</v>
      </c>
      <c r="O41" s="86">
        <f t="shared" si="8"/>
        <v>28.209423524163761</v>
      </c>
      <c r="P41" s="86">
        <f t="shared" si="8"/>
        <v>21.209423524163761</v>
      </c>
      <c r="Q41" s="86">
        <f t="shared" si="8"/>
        <v>14.209423524163761</v>
      </c>
      <c r="R41" s="86">
        <f t="shared" si="8"/>
        <v>10.209423524163761</v>
      </c>
      <c r="S41" s="86">
        <f t="shared" si="8"/>
        <v>7.2094235241637605</v>
      </c>
      <c r="T41" s="5">
        <f t="array" ref="T41">10*LOG10(SUM(10^(L41:S41/10)))</f>
        <v>52.061924765150522</v>
      </c>
      <c r="U41" s="5">
        <f t="array" ref="U41">10*LOG10(SUM(10^((L41:S41+L43:S43)/10)))</f>
        <v>35.565404826449637</v>
      </c>
      <c r="W41" t="str">
        <f>IF(ABS(C37-U41)&lt;0.5,"OK","Tarkista laskenta!")</f>
        <v>OK</v>
      </c>
    </row>
    <row r="42" spans="2:23" x14ac:dyDescent="0.15">
      <c r="C42" s="394"/>
    </row>
    <row r="43" spans="2:23" x14ac:dyDescent="0.15">
      <c r="L43" s="73">
        <v>-26.2</v>
      </c>
      <c r="M43" s="73">
        <v>-16.100000000000001</v>
      </c>
      <c r="N43" s="73">
        <v>-8.6</v>
      </c>
      <c r="O43" s="73">
        <v>-3.2</v>
      </c>
      <c r="P43" s="73">
        <v>0</v>
      </c>
      <c r="Q43" s="73">
        <v>1.2</v>
      </c>
      <c r="R43" s="73">
        <v>1</v>
      </c>
      <c r="S43" s="73">
        <v>-1.1000000000000001</v>
      </c>
    </row>
    <row r="49" spans="3:29" x14ac:dyDescent="0.15">
      <c r="P49" s="4"/>
      <c r="Q49" s="4"/>
    </row>
    <row r="50" spans="3:29" ht="14" thickBot="1" x14ac:dyDescent="0.2">
      <c r="P50" s="80"/>
      <c r="Q50" s="32"/>
    </row>
    <row r="51" spans="3:29" ht="18" thickBot="1" x14ac:dyDescent="0.2">
      <c r="C51" s="1840" t="s">
        <v>427</v>
      </c>
      <c r="D51" s="1841"/>
      <c r="E51" s="1841"/>
      <c r="F51" s="1841"/>
      <c r="G51" s="1842"/>
      <c r="H51" s="1840" t="s">
        <v>428</v>
      </c>
      <c r="I51" s="1841"/>
      <c r="J51" s="1841"/>
      <c r="K51" s="1841"/>
      <c r="L51" s="1842"/>
      <c r="M51" s="1843" t="s">
        <v>429</v>
      </c>
      <c r="N51" s="1815" t="s">
        <v>313</v>
      </c>
      <c r="O51" s="1816"/>
      <c r="P51" s="1816"/>
      <c r="Q51" s="1816"/>
      <c r="R51" s="1816"/>
      <c r="S51" s="1816"/>
      <c r="T51" s="1816"/>
      <c r="U51" s="1846"/>
      <c r="V51" s="1830" t="s">
        <v>430</v>
      </c>
      <c r="W51" s="1810" t="s">
        <v>431</v>
      </c>
    </row>
    <row r="52" spans="3:29" x14ac:dyDescent="0.15">
      <c r="C52" s="1834" t="s">
        <v>439</v>
      </c>
      <c r="D52" s="1836" t="s">
        <v>440</v>
      </c>
      <c r="E52" s="1836" t="s">
        <v>441</v>
      </c>
      <c r="F52" s="1836" t="s">
        <v>442</v>
      </c>
      <c r="G52" s="1838" t="s">
        <v>443</v>
      </c>
      <c r="H52" s="1834" t="s">
        <v>439</v>
      </c>
      <c r="I52" s="1836" t="s">
        <v>440</v>
      </c>
      <c r="J52" s="1836" t="s">
        <v>441</v>
      </c>
      <c r="K52" s="1836" t="s">
        <v>442</v>
      </c>
      <c r="L52" s="1838" t="s">
        <v>443</v>
      </c>
      <c r="M52" s="1844"/>
      <c r="N52" s="1848" t="s">
        <v>61</v>
      </c>
      <c r="O52" s="1809" t="s">
        <v>62</v>
      </c>
      <c r="P52" s="1809" t="s">
        <v>63</v>
      </c>
      <c r="Q52" s="1809" t="s">
        <v>64</v>
      </c>
      <c r="R52" s="1809" t="s">
        <v>65</v>
      </c>
      <c r="S52" s="1809" t="s">
        <v>66</v>
      </c>
      <c r="T52" s="1809" t="s">
        <v>67</v>
      </c>
      <c r="U52" s="1812" t="s">
        <v>68</v>
      </c>
      <c r="V52" s="1831"/>
      <c r="W52" s="1811"/>
      <c r="AA52" t="s">
        <v>2699</v>
      </c>
    </row>
    <row r="53" spans="3:29" ht="14" thickBot="1" x14ac:dyDescent="0.2">
      <c r="C53" s="1835"/>
      <c r="D53" s="1837"/>
      <c r="E53" s="1837"/>
      <c r="F53" s="1837"/>
      <c r="G53" s="1839"/>
      <c r="H53" s="1835"/>
      <c r="I53" s="1837"/>
      <c r="J53" s="1837"/>
      <c r="K53" s="1837"/>
      <c r="L53" s="1839"/>
      <c r="M53" s="1845"/>
      <c r="N53" s="1832"/>
      <c r="O53" s="1847"/>
      <c r="P53" s="1847"/>
      <c r="Q53" s="1847"/>
      <c r="R53" s="1847"/>
      <c r="S53" s="1847"/>
      <c r="T53" s="1847"/>
      <c r="U53" s="1833"/>
      <c r="V53" s="1832"/>
      <c r="W53" s="1833"/>
      <c r="Y53" t="s">
        <v>289</v>
      </c>
      <c r="Z53" t="s">
        <v>2698</v>
      </c>
      <c r="AA53" t="s">
        <v>17</v>
      </c>
    </row>
    <row r="54" spans="3:29" x14ac:dyDescent="0.15">
      <c r="C54" s="1479">
        <v>9.9943000000000008</v>
      </c>
      <c r="D54" s="1480">
        <v>92.736964330593551</v>
      </c>
      <c r="E54" s="1480">
        <v>-47.581956082212365</v>
      </c>
      <c r="F54" s="1480">
        <v>19.724250109392315</v>
      </c>
      <c r="G54" s="1481">
        <v>67.306206191604687</v>
      </c>
      <c r="H54" s="1482">
        <v>9.9943000000000008</v>
      </c>
      <c r="I54" s="1483">
        <v>98.809682297478119</v>
      </c>
      <c r="J54" s="1483">
        <v>-61.228806178399125</v>
      </c>
      <c r="K54" s="1483">
        <v>12.318810791103584</v>
      </c>
      <c r="L54" s="1484">
        <v>73.547616969502698</v>
      </c>
      <c r="M54" s="1485">
        <v>227.6162989988963</v>
      </c>
      <c r="N54" s="1486">
        <v>61.276759378913717</v>
      </c>
      <c r="O54" s="1480">
        <v>59.94355808801793</v>
      </c>
      <c r="P54" s="1480">
        <v>55.6740630534388</v>
      </c>
      <c r="Q54" s="1480">
        <v>43.676348358224942</v>
      </c>
      <c r="R54" s="1480">
        <v>35.175157312522344</v>
      </c>
      <c r="S54" s="1480">
        <v>28.185688548998993</v>
      </c>
      <c r="T54" s="1480">
        <v>24.536890696443692</v>
      </c>
      <c r="U54" s="1481">
        <v>21.913373878452003</v>
      </c>
      <c r="V54" s="1486">
        <v>64.355066882313395</v>
      </c>
      <c r="W54" s="1481">
        <v>49.374731096006954</v>
      </c>
      <c r="Y54" s="3">
        <f>AVERAGE(D54,I54)</f>
        <v>95.773323314035835</v>
      </c>
      <c r="Z54" s="3">
        <f>AVERAGE(G54,L54)</f>
        <v>70.426911580553693</v>
      </c>
      <c r="AA54" s="314">
        <f>(Z54/Y54^2)</f>
        <v>7.6780251181868637E-3</v>
      </c>
      <c r="AB54" s="3">
        <f>W54</f>
        <v>49.374731096006954</v>
      </c>
    </row>
    <row r="55" spans="3:29" x14ac:dyDescent="0.15">
      <c r="C55" s="1487">
        <v>9.9969999999999999</v>
      </c>
      <c r="D55" s="1488">
        <v>85.408147370083441</v>
      </c>
      <c r="E55" s="1488">
        <v>-80.203359629471237</v>
      </c>
      <c r="F55" s="1488">
        <v>82.91457774368584</v>
      </c>
      <c r="G55" s="1489">
        <v>163.11793737315708</v>
      </c>
      <c r="H55" s="1490">
        <v>9.9969999999999999</v>
      </c>
      <c r="I55" s="1491">
        <v>91.078070181651725</v>
      </c>
      <c r="J55" s="1491">
        <v>-85.930489308098515</v>
      </c>
      <c r="K55" s="1491">
        <v>78.922231506530665</v>
      </c>
      <c r="L55" s="1492">
        <v>164.85272081462918</v>
      </c>
      <c r="M55" s="1493">
        <v>226.81025105225081</v>
      </c>
      <c r="N55" s="1494">
        <v>62.792098197535083</v>
      </c>
      <c r="O55" s="1488">
        <v>60.171057383759539</v>
      </c>
      <c r="P55" s="1488">
        <v>55.940957448595611</v>
      </c>
      <c r="Q55" s="1488">
        <v>42.930794896156954</v>
      </c>
      <c r="R55" s="1488">
        <v>34.478182260628806</v>
      </c>
      <c r="S55" s="1488">
        <v>28.141731571446286</v>
      </c>
      <c r="T55" s="1488">
        <v>25.005449622882626</v>
      </c>
      <c r="U55" s="1489">
        <v>22.706790367550532</v>
      </c>
      <c r="V55" s="1494">
        <v>65.261451367572732</v>
      </c>
      <c r="W55" s="1489">
        <v>49.489374154097106</v>
      </c>
      <c r="Y55" s="3">
        <f t="shared" ref="Y55:Y69" si="9">AVERAGE(D55,I55)</f>
        <v>88.243108775867583</v>
      </c>
      <c r="Z55" s="3">
        <f t="shared" ref="Z55:Z69" si="10">AVERAGE(G55,L55)</f>
        <v>163.98532909389314</v>
      </c>
      <c r="AA55" s="314">
        <f t="shared" ref="AA55:AA69" si="11">(Z55/Y55^2)</f>
        <v>2.1059274050657315E-2</v>
      </c>
      <c r="AB55" s="3">
        <f t="shared" ref="AB55:AB69" si="12">W55</f>
        <v>49.489374154097106</v>
      </c>
    </row>
    <row r="56" spans="3:29" x14ac:dyDescent="0.15">
      <c r="C56" s="1487">
        <v>9.9958999999999989</v>
      </c>
      <c r="D56" s="1488">
        <v>76.683107105776557</v>
      </c>
      <c r="E56" s="1488">
        <v>-132.64238595286795</v>
      </c>
      <c r="F56" s="1488">
        <v>135.18458448445915</v>
      </c>
      <c r="G56" s="1489">
        <v>267.82697043732713</v>
      </c>
      <c r="H56" s="1490">
        <v>9.9958999999999989</v>
      </c>
      <c r="I56" s="1491">
        <v>81.744995386636546</v>
      </c>
      <c r="J56" s="1491">
        <v>-135.91608484558526</v>
      </c>
      <c r="K56" s="1491">
        <v>131.89301320887699</v>
      </c>
      <c r="L56" s="1492">
        <v>267.80909805446225</v>
      </c>
      <c r="M56" s="1493">
        <v>225.34712831814045</v>
      </c>
      <c r="N56" s="1494">
        <v>63.399222997874091</v>
      </c>
      <c r="O56" s="1488">
        <v>60.82041313335624</v>
      </c>
      <c r="P56" s="1488">
        <v>55.899587396524652</v>
      </c>
      <c r="Q56" s="1488">
        <v>42.750979420894467</v>
      </c>
      <c r="R56" s="1488">
        <v>33.945649952462936</v>
      </c>
      <c r="S56" s="1488">
        <v>28.590245504696753</v>
      </c>
      <c r="T56" s="1488">
        <v>25.632962060216467</v>
      </c>
      <c r="U56" s="1489">
        <v>22.924775875271756</v>
      </c>
      <c r="V56" s="1494">
        <v>65.805729869687411</v>
      </c>
      <c r="W56" s="1489">
        <v>49.55414099035287</v>
      </c>
      <c r="Y56" s="3">
        <f t="shared" si="9"/>
        <v>79.214051246206552</v>
      </c>
      <c r="Z56" s="3">
        <f t="shared" si="10"/>
        <v>267.81803424589469</v>
      </c>
      <c r="AA56" s="314">
        <f t="shared" si="11"/>
        <v>4.2681076835865292E-2</v>
      </c>
      <c r="AB56" s="3">
        <f t="shared" si="12"/>
        <v>49.55414099035287</v>
      </c>
    </row>
    <row r="57" spans="3:29" x14ac:dyDescent="0.15">
      <c r="C57" s="1487">
        <v>9.9913000000000007</v>
      </c>
      <c r="D57" s="1488">
        <v>66.851710429871645</v>
      </c>
      <c r="E57" s="1488">
        <v>-190.4475943965291</v>
      </c>
      <c r="F57" s="1488">
        <v>185.94056289184326</v>
      </c>
      <c r="G57" s="1489">
        <v>376.38815728837238</v>
      </c>
      <c r="H57" s="1490">
        <v>9.9913000000000007</v>
      </c>
      <c r="I57" s="1491">
        <v>71.67609082413054</v>
      </c>
      <c r="J57" s="1491">
        <v>-191.37990124592113</v>
      </c>
      <c r="K57" s="1491">
        <v>180.26561818453015</v>
      </c>
      <c r="L57" s="1492">
        <v>371.64551943045126</v>
      </c>
      <c r="M57" s="1493">
        <v>222.48499251202432</v>
      </c>
      <c r="N57" s="1494">
        <v>62.871509306369163</v>
      </c>
      <c r="O57" s="1488">
        <v>61.003862032536567</v>
      </c>
      <c r="P57" s="1488">
        <v>56.228024614156247</v>
      </c>
      <c r="Q57" s="1488">
        <v>42.904336586632105</v>
      </c>
      <c r="R57" s="1488">
        <v>33.636404032169224</v>
      </c>
      <c r="S57" s="1488">
        <v>28.916712561961901</v>
      </c>
      <c r="T57" s="1488">
        <v>26.076630511649121</v>
      </c>
      <c r="U57" s="1489">
        <v>23.895669528305014</v>
      </c>
      <c r="V57" s="1494">
        <v>65.610973644221119</v>
      </c>
      <c r="W57" s="1489">
        <v>49.786715378373472</v>
      </c>
      <c r="Y57" s="3">
        <f t="shared" si="9"/>
        <v>69.263900627001092</v>
      </c>
      <c r="Z57" s="3">
        <f t="shared" si="10"/>
        <v>374.01683835941185</v>
      </c>
      <c r="AA57" s="314">
        <f t="shared" si="11"/>
        <v>7.7960975371163047E-2</v>
      </c>
      <c r="AB57" s="3">
        <f t="shared" si="12"/>
        <v>49.786715378373472</v>
      </c>
      <c r="AC57" s="3"/>
    </row>
    <row r="58" spans="3:29" x14ac:dyDescent="0.15">
      <c r="C58" s="1487">
        <v>6.9930000000000003</v>
      </c>
      <c r="D58" s="1488">
        <v>79.267508520228475</v>
      </c>
      <c r="E58" s="1488">
        <v>-34.740991917284184</v>
      </c>
      <c r="F58" s="1488">
        <v>14.780040442988103</v>
      </c>
      <c r="G58" s="1489">
        <v>49.521032360272287</v>
      </c>
      <c r="H58" s="1490">
        <v>6.9930000000000003</v>
      </c>
      <c r="I58" s="1491">
        <v>93.686890793928868</v>
      </c>
      <c r="J58" s="1491">
        <v>-53.567851217070675</v>
      </c>
      <c r="K58" s="1491">
        <v>10.734957679068152</v>
      </c>
      <c r="L58" s="1492">
        <v>64.302808896138828</v>
      </c>
      <c r="M58" s="1493">
        <v>170.12191147183401</v>
      </c>
      <c r="N58" s="1494">
        <v>60.395607229538996</v>
      </c>
      <c r="O58" s="1488">
        <v>57.912405724720379</v>
      </c>
      <c r="P58" s="1488">
        <v>52.927045006505409</v>
      </c>
      <c r="Q58" s="1488">
        <v>40.808990833882255</v>
      </c>
      <c r="R58" s="1488">
        <v>33.119988142851973</v>
      </c>
      <c r="S58" s="1488">
        <v>25.840565035778926</v>
      </c>
      <c r="T58" s="1488">
        <v>21.747879887310127</v>
      </c>
      <c r="U58" s="1489">
        <v>19.282542166488387</v>
      </c>
      <c r="V58" s="1494">
        <v>62.843512714401477</v>
      </c>
      <c r="W58" s="1489">
        <v>47.024640295855804</v>
      </c>
      <c r="Y58" s="3">
        <f t="shared" si="9"/>
        <v>86.477199657078671</v>
      </c>
      <c r="Z58" s="3">
        <f t="shared" si="10"/>
        <v>56.911920628205557</v>
      </c>
      <c r="AA58" s="314">
        <f t="shared" si="11"/>
        <v>7.6102689790380458E-3</v>
      </c>
      <c r="AB58" s="3">
        <f t="shared" si="12"/>
        <v>47.024640295855804</v>
      </c>
      <c r="AC58" s="3">
        <f>AB58-$W$72</f>
        <v>1.216691505336911</v>
      </c>
    </row>
    <row r="59" spans="3:29" x14ac:dyDescent="0.15">
      <c r="C59" s="1487">
        <v>6.9949999999999992</v>
      </c>
      <c r="D59" s="1488">
        <v>70.51905992152524</v>
      </c>
      <c r="E59" s="1488">
        <v>-55.447021112394687</v>
      </c>
      <c r="F59" s="1488">
        <v>56.256196080690124</v>
      </c>
      <c r="G59" s="1489">
        <v>111.70321719308481</v>
      </c>
      <c r="H59" s="1490">
        <v>6.9949999999999992</v>
      </c>
      <c r="I59" s="1491">
        <v>84.076380954643469</v>
      </c>
      <c r="J59" s="1491">
        <v>-68.350970519330275</v>
      </c>
      <c r="K59" s="1491">
        <v>63.198527192870493</v>
      </c>
      <c r="L59" s="1492">
        <v>131.54949771220078</v>
      </c>
      <c r="M59" s="1493">
        <v>152.79226389037495</v>
      </c>
      <c r="N59" s="1494">
        <v>60.950937469259216</v>
      </c>
      <c r="O59" s="1488">
        <v>57.05321385785885</v>
      </c>
      <c r="P59" s="1488">
        <v>52.298995627667864</v>
      </c>
      <c r="Q59" s="1488">
        <v>39.4451541208742</v>
      </c>
      <c r="R59" s="1488">
        <v>32.432763291264443</v>
      </c>
      <c r="S59" s="1488">
        <v>25.40545115890588</v>
      </c>
      <c r="T59" s="1488">
        <v>24.057102161156653</v>
      </c>
      <c r="U59" s="1489">
        <v>18.647665411742175</v>
      </c>
      <c r="V59" s="1494">
        <v>62.862680158363425</v>
      </c>
      <c r="W59" s="1489">
        <v>46.25440157653405</v>
      </c>
      <c r="Y59" s="3">
        <f t="shared" si="9"/>
        <v>77.297720438084355</v>
      </c>
      <c r="Z59" s="3">
        <f t="shared" si="10"/>
        <v>121.62635745264279</v>
      </c>
      <c r="AA59" s="314">
        <f t="shared" si="11"/>
        <v>2.0356088364759866E-2</v>
      </c>
      <c r="AB59" s="3">
        <f t="shared" si="12"/>
        <v>46.25440157653405</v>
      </c>
      <c r="AC59" s="3">
        <f>AB59-$W$72</f>
        <v>0.4464527860151577</v>
      </c>
    </row>
    <row r="60" spans="3:29" x14ac:dyDescent="0.15">
      <c r="C60" s="1487">
        <v>6.9939999999999998</v>
      </c>
      <c r="D60" s="1488">
        <v>60.489467793608135</v>
      </c>
      <c r="E60" s="1488">
        <v>-84.558066754258007</v>
      </c>
      <c r="F60" s="1488">
        <v>84.620042591546124</v>
      </c>
      <c r="G60" s="1489">
        <v>169.17810934580413</v>
      </c>
      <c r="H60" s="1490">
        <v>6.9939999999999998</v>
      </c>
      <c r="I60" s="1491">
        <v>68.197113315319712</v>
      </c>
      <c r="J60" s="1491">
        <v>-97.537866680210513</v>
      </c>
      <c r="K60" s="1491">
        <v>95.761815860479871</v>
      </c>
      <c r="L60" s="1492">
        <v>193.29968254069036</v>
      </c>
      <c r="M60" s="1493">
        <v>134.38452078171318</v>
      </c>
      <c r="N60" s="1494">
        <v>59.671331474800894</v>
      </c>
      <c r="O60" s="1488">
        <v>56.221610165799149</v>
      </c>
      <c r="P60" s="1488">
        <v>51.232918553222973</v>
      </c>
      <c r="Q60" s="1488">
        <v>38.549811730233344</v>
      </c>
      <c r="R60" s="1488">
        <v>30.890456391311449</v>
      </c>
      <c r="S60" s="1488">
        <v>24.229784641043828</v>
      </c>
      <c r="T60" s="1488">
        <v>20.476008865620368</v>
      </c>
      <c r="U60" s="1489">
        <v>17.945414624259929</v>
      </c>
      <c r="V60" s="1494">
        <v>61.725209038973148</v>
      </c>
      <c r="W60" s="1489">
        <v>45.154815379323054</v>
      </c>
      <c r="Y60" s="3">
        <f t="shared" si="9"/>
        <v>64.34329055446392</v>
      </c>
      <c r="Z60" s="3">
        <f t="shared" si="10"/>
        <v>181.23889594324726</v>
      </c>
      <c r="AA60" s="314">
        <f t="shared" si="11"/>
        <v>4.3776886807526484E-2</v>
      </c>
      <c r="AB60" s="3">
        <f t="shared" si="12"/>
        <v>45.154815379323054</v>
      </c>
      <c r="AC60" s="3">
        <f>AB60-$W$72</f>
        <v>-0.65313341119583868</v>
      </c>
    </row>
    <row r="61" spans="3:29" x14ac:dyDescent="0.15">
      <c r="C61" s="1487">
        <v>6.9930000000000003</v>
      </c>
      <c r="D61" s="1488">
        <v>50.536143429560525</v>
      </c>
      <c r="E61" s="1488">
        <v>-111.15744722903051</v>
      </c>
      <c r="F61" s="1488">
        <v>106.73938912552676</v>
      </c>
      <c r="G61" s="1489">
        <v>217.89683635455725</v>
      </c>
      <c r="H61" s="1490">
        <v>6.9930000000000003</v>
      </c>
      <c r="I61" s="1491">
        <v>50.72568453002863</v>
      </c>
      <c r="J61" s="1491">
        <v>-124.33509736034819</v>
      </c>
      <c r="K61" s="1491">
        <v>118.10244488420859</v>
      </c>
      <c r="L61" s="1492">
        <v>242.43754224455677</v>
      </c>
      <c r="M61" s="1493">
        <v>116.5378865202901</v>
      </c>
      <c r="N61" s="1494">
        <v>58.616226120500976</v>
      </c>
      <c r="O61" s="1488">
        <v>55.621648007661634</v>
      </c>
      <c r="P61" s="1488">
        <v>50.418263583841672</v>
      </c>
      <c r="Q61" s="1488">
        <v>37.228208698141728</v>
      </c>
      <c r="R61" s="1488">
        <v>29.040253287886628</v>
      </c>
      <c r="S61" s="1488">
        <v>23.91791711895797</v>
      </c>
      <c r="T61" s="1488">
        <v>19.97295313924463</v>
      </c>
      <c r="U61" s="1489">
        <v>17.495850244567929</v>
      </c>
      <c r="V61" s="1494">
        <v>60.822955216989996</v>
      </c>
      <c r="W61" s="1489">
        <v>44.30843449976468</v>
      </c>
      <c r="Y61" s="3">
        <f t="shared" si="9"/>
        <v>50.630913979794578</v>
      </c>
      <c r="Z61" s="3">
        <f t="shared" si="10"/>
        <v>230.16718929955701</v>
      </c>
      <c r="AA61" s="314">
        <f t="shared" si="11"/>
        <v>8.9786673107239187E-2</v>
      </c>
      <c r="AB61" s="3">
        <f t="shared" si="12"/>
        <v>44.30843449976468</v>
      </c>
      <c r="AC61" s="3">
        <f>AB61-$W$72</f>
        <v>-1.4995142907542132</v>
      </c>
    </row>
    <row r="62" spans="3:29" x14ac:dyDescent="0.15">
      <c r="C62" s="1487">
        <v>5.9954000000000001</v>
      </c>
      <c r="D62" s="1488">
        <v>66.661987290810899</v>
      </c>
      <c r="E62" s="1488">
        <v>-24.587092529593175</v>
      </c>
      <c r="F62" s="1488">
        <v>10.860816137416712</v>
      </c>
      <c r="G62" s="1489">
        <v>35.447908667009891</v>
      </c>
      <c r="H62" s="1490">
        <v>5.9954000000000001</v>
      </c>
      <c r="I62" s="1491">
        <v>77.905715438534216</v>
      </c>
      <c r="J62" s="1491">
        <v>-37.667511135693474</v>
      </c>
      <c r="K62" s="1491">
        <v>7.7907594965927212</v>
      </c>
      <c r="L62" s="1492">
        <v>45.458270632286187</v>
      </c>
      <c r="M62" s="1493">
        <v>107.71468608225588</v>
      </c>
      <c r="N62" s="1494">
        <v>57.616181162318121</v>
      </c>
      <c r="O62" s="1488">
        <v>54.982189821666765</v>
      </c>
      <c r="P62" s="1488">
        <v>49.045504936898453</v>
      </c>
      <c r="Q62" s="1488">
        <v>37.163026547887505</v>
      </c>
      <c r="R62" s="1488">
        <v>29.112961822829281</v>
      </c>
      <c r="S62" s="1488">
        <v>22.320120165908548</v>
      </c>
      <c r="T62" s="1488">
        <v>16.958637039023564</v>
      </c>
      <c r="U62" s="1489">
        <v>13.726545057870943</v>
      </c>
      <c r="V62" s="1494">
        <v>59.908065148741834</v>
      </c>
      <c r="W62" s="1489">
        <v>43.376751224041797</v>
      </c>
      <c r="Y62" s="3">
        <f t="shared" si="9"/>
        <v>72.283851364672557</v>
      </c>
      <c r="Z62" s="3">
        <f t="shared" si="10"/>
        <v>40.453089649648035</v>
      </c>
      <c r="AA62" s="314">
        <f t="shared" si="11"/>
        <v>7.7422845456261349E-3</v>
      </c>
      <c r="AB62" s="3">
        <f t="shared" si="12"/>
        <v>43.376751224041797</v>
      </c>
      <c r="AC62" s="3">
        <f>AB62-$W$73</f>
        <v>1.1148459269631843</v>
      </c>
    </row>
    <row r="63" spans="3:29" x14ac:dyDescent="0.15">
      <c r="C63" s="1487">
        <v>5.9960000000000013</v>
      </c>
      <c r="D63" s="1488">
        <v>60.306760963215211</v>
      </c>
      <c r="E63" s="1488">
        <v>-39.899770956034025</v>
      </c>
      <c r="F63" s="1488">
        <v>39.454779478653833</v>
      </c>
      <c r="G63" s="1489">
        <v>79.354550434687866</v>
      </c>
      <c r="H63" s="1490">
        <v>5.9960000000000013</v>
      </c>
      <c r="I63" s="1491">
        <v>70.259162660060099</v>
      </c>
      <c r="J63" s="1491">
        <v>-48.368473128445068</v>
      </c>
      <c r="K63" s="1491">
        <v>45.084079992657706</v>
      </c>
      <c r="L63" s="1492">
        <v>93.452553121102767</v>
      </c>
      <c r="M63" s="1493">
        <v>97.482866862093942</v>
      </c>
      <c r="N63" s="1494">
        <v>56.98179137160799</v>
      </c>
      <c r="O63" s="1488">
        <v>54.18830898869934</v>
      </c>
      <c r="P63" s="1488">
        <v>48.189317675363341</v>
      </c>
      <c r="Q63" s="1488">
        <v>35.933999653067382</v>
      </c>
      <c r="R63" s="1488">
        <v>28.311111010901211</v>
      </c>
      <c r="S63" s="1488">
        <v>21.107716919524421</v>
      </c>
      <c r="T63" s="1488">
        <v>16.732535054892193</v>
      </c>
      <c r="U63" s="1489">
        <v>12.432150975986499</v>
      </c>
      <c r="V63" s="1494">
        <v>59.2018051558967</v>
      </c>
      <c r="W63" s="1489">
        <v>42.452032543265943</v>
      </c>
      <c r="Y63" s="3">
        <f t="shared" si="9"/>
        <v>65.282961811637648</v>
      </c>
      <c r="Z63" s="3">
        <f t="shared" si="10"/>
        <v>86.403551777895316</v>
      </c>
      <c r="AA63" s="314">
        <f t="shared" si="11"/>
        <v>2.0273647732094342E-2</v>
      </c>
      <c r="AB63" s="3">
        <f t="shared" si="12"/>
        <v>42.452032543265943</v>
      </c>
      <c r="AC63" s="3">
        <f>AB63-$W$73</f>
        <v>0.19012724618733046</v>
      </c>
    </row>
    <row r="64" spans="3:29" x14ac:dyDescent="0.15">
      <c r="C64" s="1487">
        <v>5.9960000000000013</v>
      </c>
      <c r="D64" s="1488">
        <v>50.557276181169627</v>
      </c>
      <c r="E64" s="1488">
        <v>-59.565700040029412</v>
      </c>
      <c r="F64" s="1488">
        <v>59.213262668352485</v>
      </c>
      <c r="G64" s="1489">
        <v>118.7789627083819</v>
      </c>
      <c r="H64" s="1490">
        <v>5.9960000000000013</v>
      </c>
      <c r="I64" s="1491">
        <v>57.738914271820875</v>
      </c>
      <c r="J64" s="1491">
        <v>-69.291546793891101</v>
      </c>
      <c r="K64" s="1491">
        <v>68.769781760469158</v>
      </c>
      <c r="L64" s="1492">
        <v>138.06132855436027</v>
      </c>
      <c r="M64" s="1493">
        <v>86.514824007603764</v>
      </c>
      <c r="N64" s="1494">
        <v>56.855265605312091</v>
      </c>
      <c r="O64" s="1488">
        <v>53.75456267086836</v>
      </c>
      <c r="P64" s="1488">
        <v>47.443812275923193</v>
      </c>
      <c r="Q64" s="1488">
        <v>35.476992280070085</v>
      </c>
      <c r="R64" s="1488">
        <v>30.61820731896432</v>
      </c>
      <c r="S64" s="1488">
        <v>22.04765385141128</v>
      </c>
      <c r="T64" s="1488">
        <v>16.317573759724542</v>
      </c>
      <c r="U64" s="1489">
        <v>12.239441476155513</v>
      </c>
      <c r="V64" s="1494">
        <v>58.935175640548387</v>
      </c>
      <c r="W64" s="1489">
        <v>41.936959298349102</v>
      </c>
      <c r="Y64" s="3">
        <f t="shared" si="9"/>
        <v>54.148095226495251</v>
      </c>
      <c r="Z64" s="3">
        <f t="shared" si="10"/>
        <v>128.4201456313711</v>
      </c>
      <c r="AA64" s="314">
        <f t="shared" si="11"/>
        <v>4.3799261716828373E-2</v>
      </c>
      <c r="AB64" s="3">
        <f t="shared" si="12"/>
        <v>41.936959298349102</v>
      </c>
      <c r="AC64" s="3">
        <f>AB64-$W$73</f>
        <v>-0.32494599872951113</v>
      </c>
    </row>
    <row r="65" spans="3:29" x14ac:dyDescent="0.15">
      <c r="C65" s="1487">
        <v>5.9949999999999992</v>
      </c>
      <c r="D65" s="1488">
        <v>38.438428037457328</v>
      </c>
      <c r="E65" s="1488">
        <v>-79.025350539441675</v>
      </c>
      <c r="F65" s="1488">
        <v>75.399292437475026</v>
      </c>
      <c r="G65" s="1489">
        <v>154.42464297691672</v>
      </c>
      <c r="H65" s="1490">
        <v>5.9949999999999992</v>
      </c>
      <c r="I65" s="1491">
        <v>43.858391344977704</v>
      </c>
      <c r="J65" s="1491">
        <v>-89.324941410559703</v>
      </c>
      <c r="K65" s="1491">
        <v>84.64758313821217</v>
      </c>
      <c r="L65" s="1492">
        <v>173.97252454877187</v>
      </c>
      <c r="M65" s="1493">
        <v>76.675106845732017</v>
      </c>
      <c r="N65" s="1494">
        <v>55.745796636600659</v>
      </c>
      <c r="O65" s="1488">
        <v>53.662275954652785</v>
      </c>
      <c r="P65" s="1488">
        <v>46.33018982092716</v>
      </c>
      <c r="Q65" s="1488">
        <v>33.672679868242874</v>
      </c>
      <c r="R65" s="1488">
        <v>26.194873199733625</v>
      </c>
      <c r="S65" s="1488">
        <v>20.596777197351074</v>
      </c>
      <c r="T65" s="1488">
        <v>15.675728393443185</v>
      </c>
      <c r="U65" s="1489">
        <v>11.979404821204184</v>
      </c>
      <c r="V65" s="1494">
        <v>58.15403819851602</v>
      </c>
      <c r="W65" s="1489">
        <v>40.922883343440034</v>
      </c>
      <c r="Y65" s="3">
        <f t="shared" si="9"/>
        <v>41.148409691217516</v>
      </c>
      <c r="Z65" s="3">
        <f t="shared" si="10"/>
        <v>164.19858376284429</v>
      </c>
      <c r="AA65" s="314">
        <f t="shared" si="11"/>
        <v>9.6975783373867405E-2</v>
      </c>
      <c r="AB65" s="3">
        <f t="shared" si="12"/>
        <v>40.922883343440034</v>
      </c>
      <c r="AC65" s="3">
        <f>AB65-$W$73</f>
        <v>-1.3390219536385786</v>
      </c>
    </row>
    <row r="66" spans="3:29" x14ac:dyDescent="0.15">
      <c r="C66" s="1487">
        <v>3.996</v>
      </c>
      <c r="D66" s="1488">
        <v>39.760922688497821</v>
      </c>
      <c r="E66" s="1488">
        <v>-8.7516756891165866</v>
      </c>
      <c r="F66" s="1488">
        <v>4.1968578718141334</v>
      </c>
      <c r="G66" s="1489">
        <v>12.94853356093072</v>
      </c>
      <c r="H66" s="1490">
        <v>3.996</v>
      </c>
      <c r="I66" s="1491">
        <v>47.871827008256481</v>
      </c>
      <c r="J66" s="1491">
        <v>-13.856749274862091</v>
      </c>
      <c r="K66" s="1491">
        <v>3.2798584199663265</v>
      </c>
      <c r="L66" s="1492">
        <v>17.13660769482842</v>
      </c>
      <c r="M66" s="1493">
        <v>35.623106886576402</v>
      </c>
      <c r="N66" s="1494">
        <v>51.832963173122828</v>
      </c>
      <c r="O66" s="1488">
        <v>45.369512677228592</v>
      </c>
      <c r="P66" s="1488">
        <v>38.761910876663087</v>
      </c>
      <c r="Q66" s="1488">
        <v>25.934114678548919</v>
      </c>
      <c r="R66" s="1488">
        <v>19.549831047813747</v>
      </c>
      <c r="S66" s="1488">
        <v>11.451973422235378</v>
      </c>
      <c r="T66" s="1488">
        <v>7.1520128446334095</v>
      </c>
      <c r="U66" s="1489">
        <v>3.744376093229826</v>
      </c>
      <c r="V66" s="1494">
        <v>52.899538874650801</v>
      </c>
      <c r="W66" s="1489">
        <v>33.750642023560445</v>
      </c>
      <c r="Y66" s="3">
        <f t="shared" si="9"/>
        <v>43.816374848377151</v>
      </c>
      <c r="Z66" s="3">
        <f t="shared" si="10"/>
        <v>15.04257062787957</v>
      </c>
      <c r="AA66" s="314">
        <f t="shared" si="11"/>
        <v>7.8351835095548279E-3</v>
      </c>
      <c r="AB66" s="3">
        <f t="shared" si="12"/>
        <v>33.750642023560445</v>
      </c>
      <c r="AC66" s="3">
        <f>AB66-$W$74</f>
        <v>0.8256953897465138</v>
      </c>
    </row>
    <row r="67" spans="3:29" x14ac:dyDescent="0.15">
      <c r="C67" s="1487">
        <v>3.996</v>
      </c>
      <c r="D67" s="1488">
        <v>36.523986261180021</v>
      </c>
      <c r="E67" s="1488">
        <v>-15.307010075930037</v>
      </c>
      <c r="F67" s="1488">
        <v>14.404343352352328</v>
      </c>
      <c r="G67" s="1489">
        <v>29.711353428282365</v>
      </c>
      <c r="H67" s="1490">
        <v>3.996</v>
      </c>
      <c r="I67" s="1491">
        <v>43.516843559237529</v>
      </c>
      <c r="J67" s="1491">
        <v>-18.473520442886667</v>
      </c>
      <c r="K67" s="1491">
        <v>18.254758488885329</v>
      </c>
      <c r="L67" s="1492">
        <v>36.728278931771996</v>
      </c>
      <c r="M67" s="1493">
        <v>33.203511348574423</v>
      </c>
      <c r="N67" s="1494">
        <v>52.267518352519133</v>
      </c>
      <c r="O67" s="1488">
        <v>44.723673673652186</v>
      </c>
      <c r="P67" s="1488">
        <v>36.804871041999114</v>
      </c>
      <c r="Q67" s="1488">
        <v>26.795163880215025</v>
      </c>
      <c r="R67" s="1488">
        <v>23.208859116310222</v>
      </c>
      <c r="S67" s="1488">
        <v>13.575098066992382</v>
      </c>
      <c r="T67" s="1488">
        <v>8.0026780652342495</v>
      </c>
      <c r="U67" s="1489">
        <v>5.5035704824450837</v>
      </c>
      <c r="V67" s="1494">
        <v>53.090851030298523</v>
      </c>
      <c r="W67" s="1489">
        <v>33.171207878116931</v>
      </c>
      <c r="Y67" s="3">
        <f t="shared" si="9"/>
        <v>40.020414910208771</v>
      </c>
      <c r="Z67" s="3">
        <f t="shared" si="10"/>
        <v>33.219816180027181</v>
      </c>
      <c r="AA67" s="314">
        <f t="shared" si="11"/>
        <v>2.074120821467363E-2</v>
      </c>
      <c r="AB67" s="3">
        <f t="shared" si="12"/>
        <v>33.171207878116931</v>
      </c>
      <c r="AC67" s="3">
        <f t="shared" ref="AC67:AC69" si="13">AB67-$W$74</f>
        <v>0.24626124430299967</v>
      </c>
    </row>
    <row r="68" spans="3:29" x14ac:dyDescent="0.15">
      <c r="C68" s="1487">
        <v>3.996</v>
      </c>
      <c r="D68" s="1488">
        <v>31.504143674519401</v>
      </c>
      <c r="E68" s="1488">
        <v>-23.27777308010895</v>
      </c>
      <c r="F68" s="1488">
        <v>22.218796799645389</v>
      </c>
      <c r="G68" s="1489">
        <v>45.49656987975434</v>
      </c>
      <c r="H68" s="1490">
        <v>3.996</v>
      </c>
      <c r="I68" s="1491">
        <v>36.675279273713343</v>
      </c>
      <c r="J68" s="1491">
        <v>-27.194349208142565</v>
      </c>
      <c r="K68" s="1491">
        <v>27.576565817200461</v>
      </c>
      <c r="L68" s="1492">
        <v>54.770915025343022</v>
      </c>
      <c r="M68" s="1493">
        <v>30.579007713431782</v>
      </c>
      <c r="N68" s="1494">
        <v>51.31668581289204</v>
      </c>
      <c r="O68" s="1488">
        <v>44.636417600921064</v>
      </c>
      <c r="P68" s="1488">
        <v>37.503641103964355</v>
      </c>
      <c r="Q68" s="1488">
        <v>24.450514048609101</v>
      </c>
      <c r="R68" s="1488">
        <v>16.932373021764342</v>
      </c>
      <c r="S68" s="1488">
        <v>11.708479507008443</v>
      </c>
      <c r="T68" s="1488">
        <v>7.6225254654009014</v>
      </c>
      <c r="U68" s="1489">
        <v>5.5841778243247662</v>
      </c>
      <c r="V68" s="1494">
        <v>52.316710826074512</v>
      </c>
      <c r="W68" s="1489">
        <v>32.710798038784162</v>
      </c>
      <c r="Y68" s="3">
        <f t="shared" si="9"/>
        <v>34.08971147411637</v>
      </c>
      <c r="Z68" s="3">
        <f t="shared" si="10"/>
        <v>50.133742452548681</v>
      </c>
      <c r="AA68" s="314">
        <f t="shared" si="11"/>
        <v>4.3140331166919822E-2</v>
      </c>
      <c r="AB68" s="3">
        <f t="shared" si="12"/>
        <v>32.710798038784162</v>
      </c>
      <c r="AC68" s="3">
        <f t="shared" si="13"/>
        <v>-0.21414859502976924</v>
      </c>
    </row>
    <row r="69" spans="3:29" ht="14" thickBot="1" x14ac:dyDescent="0.2">
      <c r="C69" s="1495">
        <v>3.9950000000000001</v>
      </c>
      <c r="D69" s="1496">
        <v>24.718489330743246</v>
      </c>
      <c r="E69" s="1496">
        <v>-31.633121808796027</v>
      </c>
      <c r="F69" s="1496">
        <v>29.336780123978677</v>
      </c>
      <c r="G69" s="1497">
        <v>60.969901932774704</v>
      </c>
      <c r="H69" s="1498">
        <v>3.9950000000000001</v>
      </c>
      <c r="I69" s="1499">
        <v>29.040082914131659</v>
      </c>
      <c r="J69" s="1499">
        <v>-35.832140723153842</v>
      </c>
      <c r="K69" s="1499">
        <v>33.715248952908468</v>
      </c>
      <c r="L69" s="1500">
        <v>69.547389676062309</v>
      </c>
      <c r="M69" s="1501">
        <v>27.990643567113821</v>
      </c>
      <c r="N69" s="1502">
        <v>50.890769762529231</v>
      </c>
      <c r="O69" s="1496">
        <v>43.647654065583808</v>
      </c>
      <c r="P69" s="1496">
        <v>35.671804381626991</v>
      </c>
      <c r="Q69" s="1496">
        <v>25.701660338636504</v>
      </c>
      <c r="R69" s="1496">
        <v>19.133960046199405</v>
      </c>
      <c r="S69" s="1496">
        <v>11.706845383746483</v>
      </c>
      <c r="T69" s="1496">
        <v>6.6727864962459291</v>
      </c>
      <c r="U69" s="1497">
        <v>5.4783419017886796</v>
      </c>
      <c r="V69" s="1502">
        <v>51.763662641570455</v>
      </c>
      <c r="W69" s="1497">
        <v>31.847966293203463</v>
      </c>
      <c r="Y69" s="3">
        <f t="shared" si="9"/>
        <v>26.879286122437453</v>
      </c>
      <c r="Z69" s="3">
        <f t="shared" si="10"/>
        <v>65.258645804418506</v>
      </c>
      <c r="AA69" s="314">
        <f t="shared" si="11"/>
        <v>9.0323882452608001E-2</v>
      </c>
      <c r="AB69" s="3">
        <f t="shared" si="12"/>
        <v>31.847966293203463</v>
      </c>
      <c r="AC69" s="3">
        <f t="shared" si="13"/>
        <v>-1.0769803406104685</v>
      </c>
    </row>
    <row r="71" spans="3:29" x14ac:dyDescent="0.15">
      <c r="M71" s="1477">
        <v>10</v>
      </c>
      <c r="N71" s="994">
        <f t="array" ref="N71">10*LOG10(AVERAGE(10^(N54:N57/10)))</f>
        <v>62.653029259735398</v>
      </c>
      <c r="O71" s="994">
        <f t="array" ref="O71">10*LOG10(AVERAGE(10^(O54:O57/10)))</f>
        <v>60.506924487575631</v>
      </c>
      <c r="P71" s="994">
        <f t="array" ref="P71">10*LOG10(AVERAGE(10^(P54:P57/10)))</f>
        <v>55.940141049269116</v>
      </c>
      <c r="Q71" s="994">
        <f t="array" ref="Q71">10*LOG10(AVERAGE(10^(Q54:Q57/10)))</f>
        <v>43.080884046207942</v>
      </c>
      <c r="R71" s="994">
        <f t="array" ref="R71">10*LOG10(AVERAGE(10^(R54:R57/10)))</f>
        <v>34.34867450894226</v>
      </c>
      <c r="S71" s="994">
        <f t="array" ref="S71">10*LOG10(AVERAGE(10^(S54:S57/10)))</f>
        <v>28.470261744240361</v>
      </c>
      <c r="T71" s="994">
        <f t="array" ref="T71">10*LOG10(AVERAGE(10^(T54:T57/10)))</f>
        <v>25.352642470228304</v>
      </c>
      <c r="U71" s="994">
        <f t="array" ref="U71">10*LOG10(AVERAGE(10^(U54:U57/10)))</f>
        <v>22.918047458230912</v>
      </c>
      <c r="V71" s="994">
        <f t="array" ref="V71">10*LOG10(AVERAGE(10^(V54:V57/10)))</f>
        <v>65.292781728430796</v>
      </c>
      <c r="W71" s="994">
        <f t="array" ref="W71">10*LOG10(AVERAGE(10^(W54:W57/10)))</f>
        <v>49.553859374815694</v>
      </c>
    </row>
    <row r="72" spans="3:29" x14ac:dyDescent="0.15">
      <c r="C72" s="1476"/>
      <c r="M72" s="1477">
        <v>7</v>
      </c>
      <c r="N72" s="994">
        <f t="array" ref="N72">10*LOG10(AVERAGE(10^(N58:N61/10)))</f>
        <v>59.993931557001488</v>
      </c>
      <c r="O72" s="994">
        <f t="array" ref="O72">10*LOG10(AVERAGE(10^(O58:O61/10)))</f>
        <v>56.788747085959415</v>
      </c>
      <c r="P72" s="994">
        <f t="array" ref="P72">10*LOG10(AVERAGE(10^(P58:P61/10)))</f>
        <v>51.825046379537056</v>
      </c>
      <c r="Q72" s="994">
        <f t="array" ref="Q72">10*LOG10(AVERAGE(10^(Q58:Q61/10)))</f>
        <v>39.202749376109381</v>
      </c>
      <c r="R72" s="994">
        <f t="array" ref="R72">10*LOG10(AVERAGE(10^(R58:R61/10)))</f>
        <v>31.637135893529869</v>
      </c>
      <c r="S72" s="994">
        <f t="array" ref="S72">10*LOG10(AVERAGE(10^(S58:S61/10)))</f>
        <v>24.921497417494649</v>
      </c>
      <c r="T72" s="994">
        <f t="array" ref="T72">10*LOG10(AVERAGE(10^(T58:T61/10)))</f>
        <v>21.868338915937663</v>
      </c>
      <c r="U72" s="994">
        <f t="array" ref="U72">10*LOG10(AVERAGE(10^(U58:U61/10)))</f>
        <v>18.396406537435915</v>
      </c>
      <c r="V72" s="994">
        <f t="array" ref="V72">10*LOG10(AVERAGE(10^(V58:V61/10)))</f>
        <v>62.144572960121138</v>
      </c>
      <c r="W72" s="994">
        <f t="array" ref="W72">10*LOG10(AVERAGE(10^(W58:W61/10)))</f>
        <v>45.807948790518893</v>
      </c>
    </row>
    <row r="73" spans="3:29" x14ac:dyDescent="0.15">
      <c r="C73" s="1476"/>
      <c r="M73" s="1477">
        <v>6</v>
      </c>
      <c r="N73" s="994">
        <f t="array" ref="N73">10*LOG10(AVERAGE(10^(N62:N65/10)))</f>
        <v>56.850498602132042</v>
      </c>
      <c r="O73" s="994">
        <f t="array" ref="O73">10*LOG10(AVERAGE(10^(O62:O65/10)))</f>
        <v>54.179013560759245</v>
      </c>
      <c r="P73" s="994">
        <f t="array" ref="P73">10*LOG10(AVERAGE(10^(P62:P65/10)))</f>
        <v>47.864733713624013</v>
      </c>
      <c r="Q73" s="994">
        <f t="array" ref="Q73">10*LOG10(AVERAGE(10^(Q62:Q65/10)))</f>
        <v>35.735540941273015</v>
      </c>
      <c r="R73" s="994">
        <f t="array" ref="R73">10*LOG10(AVERAGE(10^(R62:R65/10)))</f>
        <v>28.84006146710599</v>
      </c>
      <c r="S73" s="994">
        <f t="array" ref="S73">10*LOG10(AVERAGE(10^(S62:S65/10)))</f>
        <v>21.573322111126462</v>
      </c>
      <c r="T73" s="994">
        <f t="array" ref="T73">10*LOG10(AVERAGE(10^(T62:T65/10)))</f>
        <v>16.447985309194316</v>
      </c>
      <c r="U73" s="994">
        <f t="array" ref="U73">10*LOG10(AVERAGE(10^(U62:U65/10)))</f>
        <v>12.649026250202555</v>
      </c>
      <c r="V73" s="994">
        <f t="array" ref="V73">10*LOG10(AVERAGE(10^(V62:V65/10)))</f>
        <v>59.094839876503293</v>
      </c>
      <c r="W73" s="994">
        <f t="array" ref="W73">10*LOG10(AVERAGE(10^(W62:W65/10)))</f>
        <v>42.261905297078613</v>
      </c>
    </row>
    <row r="74" spans="3:29" x14ac:dyDescent="0.15">
      <c r="C74" s="1476"/>
      <c r="M74" s="1477">
        <v>4</v>
      </c>
      <c r="N74" s="994">
        <f t="array" ref="N74">10*LOG10(AVERAGE(10^(N66:N69/10)))</f>
        <v>51.608056744119033</v>
      </c>
      <c r="O74" s="994">
        <f t="array" ref="O74">10*LOG10(AVERAGE(10^(O66:O69/10)))</f>
        <v>44.63703172711709</v>
      </c>
      <c r="P74" s="994">
        <f t="array" ref="P74">10*LOG10(AVERAGE(10^(P66:P69/10)))</f>
        <v>37.330095427470894</v>
      </c>
      <c r="Q74" s="994">
        <f t="array" ref="Q74">10*LOG10(AVERAGE(10^(Q66:Q69/10)))</f>
        <v>25.799358600884709</v>
      </c>
      <c r="R74" s="994">
        <f t="array" ref="R74">10*LOG10(AVERAGE(10^(R66:R69/10)))</f>
        <v>20.321908282425998</v>
      </c>
      <c r="S74" s="994">
        <f t="array" ref="S74">10*LOG10(AVERAGE(10^(S66:S69/10)))</f>
        <v>12.199912204068715</v>
      </c>
      <c r="T74" s="994">
        <f t="array" ref="T74">10*LOG10(AVERAGE(10^(T66:T69/10)))</f>
        <v>7.3910394231879746</v>
      </c>
      <c r="U74" s="994">
        <f t="array" ref="U74">10*LOG10(AVERAGE(10^(U66:U69/10)))</f>
        <v>5.141297766164362</v>
      </c>
      <c r="V74" s="994">
        <f t="array" ref="V74">10*LOG10(AVERAGE(10^(V66:V69/10)))</f>
        <v>52.548391866221692</v>
      </c>
      <c r="W74" s="994" cm="1">
        <f t="array" ref="W74">10*LOG10(AVERAGE(10^(W66:W69/10)))</f>
        <v>32.924946633813931</v>
      </c>
    </row>
    <row r="75" spans="3:29" x14ac:dyDescent="0.15">
      <c r="C75" s="1476"/>
    </row>
    <row r="77" spans="3:29" x14ac:dyDescent="0.15">
      <c r="V77" t="s">
        <v>2702</v>
      </c>
    </row>
    <row r="78" spans="3:29" x14ac:dyDescent="0.15">
      <c r="V78">
        <f t="array" ref="V78:W78">LINEST(AC58:AC69,LN(AA58:AA69))</f>
        <v>-0.94214030490828837</v>
      </c>
      <c r="W78">
        <v>-3.4496606767773428</v>
      </c>
    </row>
    <row r="80" spans="3:29" x14ac:dyDescent="0.15">
      <c r="V80" t="s">
        <v>13</v>
      </c>
      <c r="W80" s="110">
        <f>AVERAGE('Laskenta tulopuoli 53mini_ENT'!J3,'Laskenta poistopuoli 53mini_ENT'!J3)</f>
        <v>34.722222222222221</v>
      </c>
    </row>
    <row r="81" spans="22:24" x14ac:dyDescent="0.15">
      <c r="V81" t="s">
        <v>14</v>
      </c>
      <c r="W81">
        <f>AVERAGE('Laskenta tulopuoli 53mini_ENT'!L3,'Laskenta poistopuoli 53mini_ENT'!L3)</f>
        <v>82.5</v>
      </c>
    </row>
    <row r="82" spans="22:24" x14ac:dyDescent="0.15">
      <c r="V82" t="s">
        <v>17</v>
      </c>
      <c r="W82" s="213">
        <f>W81/W80^2</f>
        <v>6.8428799999999998E-2</v>
      </c>
    </row>
    <row r="84" spans="22:24" x14ac:dyDescent="0.15">
      <c r="V84" t="s">
        <v>82</v>
      </c>
      <c r="W84" s="314">
        <f>V78*LN(W82)+W78</f>
        <v>-0.92287666051627992</v>
      </c>
      <c r="X84" t="s">
        <v>31</v>
      </c>
    </row>
    <row r="86" spans="22:24" x14ac:dyDescent="0.15">
      <c r="V86" t="s">
        <v>2704</v>
      </c>
      <c r="W86">
        <v>0</v>
      </c>
    </row>
    <row r="87" spans="22:24" x14ac:dyDescent="0.15">
      <c r="V87" t="s">
        <v>117</v>
      </c>
      <c r="W87" s="314">
        <f>IF(AVERAGE(C15:C16)&gt;7.5,0,W84)</f>
        <v>-0.92287666051627992</v>
      </c>
      <c r="X87" t="s">
        <v>31</v>
      </c>
    </row>
    <row r="89" spans="22:24" x14ac:dyDescent="0.15">
      <c r="V89" t="s">
        <v>592</v>
      </c>
      <c r="W89">
        <v>1.5</v>
      </c>
    </row>
    <row r="90" spans="22:24" x14ac:dyDescent="0.15">
      <c r="V90" t="s">
        <v>2703</v>
      </c>
      <c r="W90">
        <v>-1.5</v>
      </c>
    </row>
    <row r="91" spans="22:24" x14ac:dyDescent="0.15">
      <c r="V91" t="s">
        <v>52</v>
      </c>
      <c r="W91" s="1478">
        <f>IF(W87&gt;W89,W89,IF(W87&lt;W90,W90,W87))</f>
        <v>-0.92287666051627992</v>
      </c>
      <c r="X91" t="s">
        <v>31</v>
      </c>
    </row>
  </sheetData>
  <mergeCells count="24">
    <mergeCell ref="T52:T53"/>
    <mergeCell ref="U52:U53"/>
    <mergeCell ref="N52:N53"/>
    <mergeCell ref="O52:O53"/>
    <mergeCell ref="P52:P53"/>
    <mergeCell ref="Q52:Q53"/>
    <mergeCell ref="R52:R53"/>
    <mergeCell ref="S52:S53"/>
    <mergeCell ref="V51:V53"/>
    <mergeCell ref="W51:W53"/>
    <mergeCell ref="C52:C53"/>
    <mergeCell ref="D52:D53"/>
    <mergeCell ref="E52:E53"/>
    <mergeCell ref="F52:F53"/>
    <mergeCell ref="L52:L53"/>
    <mergeCell ref="C51:G51"/>
    <mergeCell ref="H51:L51"/>
    <mergeCell ref="M51:M53"/>
    <mergeCell ref="N51:U51"/>
    <mergeCell ref="G52:G53"/>
    <mergeCell ref="H52:H53"/>
    <mergeCell ref="I52:I53"/>
    <mergeCell ref="J52:J53"/>
    <mergeCell ref="K52:K53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F8812-1421-4535-9E89-8E3909D44597}">
  <dimension ref="A2:CY99"/>
  <sheetViews>
    <sheetView zoomScale="85" zoomScaleNormal="85" workbookViewId="0">
      <selection activeCell="R20" sqref="R20"/>
    </sheetView>
  </sheetViews>
  <sheetFormatPr baseColWidth="10" defaultColWidth="8.83203125" defaultRowHeight="13" x14ac:dyDescent="0.15"/>
  <cols>
    <col min="1" max="1" width="14.1640625" customWidth="1"/>
    <col min="16" max="16" width="10.83203125" customWidth="1"/>
    <col min="22" max="22" width="13" customWidth="1"/>
    <col min="25" max="25" width="10" customWidth="1"/>
  </cols>
  <sheetData>
    <row r="2" spans="1:60" x14ac:dyDescent="0.15">
      <c r="C2" s="2" t="s">
        <v>0</v>
      </c>
      <c r="J2" t="s">
        <v>15</v>
      </c>
    </row>
    <row r="3" spans="1:60" x14ac:dyDescent="0.15">
      <c r="J3" s="7">
        <f>'R-series ENT'!$E$33</f>
        <v>34.722222222222221</v>
      </c>
      <c r="K3" t="s">
        <v>13</v>
      </c>
      <c r="L3" s="122">
        <f>'R-series ENT'!$E$39</f>
        <v>75</v>
      </c>
      <c r="M3" t="s">
        <v>14</v>
      </c>
      <c r="P3" t="s">
        <v>34</v>
      </c>
      <c r="AA3" s="2" t="s">
        <v>53</v>
      </c>
    </row>
    <row r="4" spans="1:60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1:60" x14ac:dyDescent="0.15">
      <c r="C5" t="s">
        <v>2</v>
      </c>
      <c r="D5" s="1"/>
      <c r="E5" s="1"/>
      <c r="H5" s="1"/>
      <c r="P5" s="52">
        <f t="array" ref="P5:Q5">LINEST(AF34:AF37,LN(AC34:AC37))</f>
        <v>19.445898572605543</v>
      </c>
      <c r="Q5" s="52">
        <v>-24.719165505981834</v>
      </c>
      <c r="R5" t="s">
        <v>28</v>
      </c>
      <c r="T5" s="4"/>
      <c r="U5" s="39" t="s">
        <v>43</v>
      </c>
      <c r="V5" t="s">
        <v>28</v>
      </c>
      <c r="W5" s="9">
        <f>$P$5*LN($J$3)+$Q$5</f>
        <v>44.262824069243834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BA5" t="s">
        <v>2873</v>
      </c>
    </row>
    <row r="6" spans="1:60" x14ac:dyDescent="0.15">
      <c r="C6" s="2" t="s">
        <v>3</v>
      </c>
      <c r="D6" s="1"/>
      <c r="E6" s="1"/>
      <c r="H6" s="1"/>
      <c r="P6" s="52">
        <f t="array" ref="P6:Q6">LINEST(AG34:AG37,LN(AC34:AC37))</f>
        <v>20.339228045062526</v>
      </c>
      <c r="Q6" s="52">
        <v>-12.580467281561383</v>
      </c>
      <c r="R6" t="s">
        <v>7</v>
      </c>
      <c r="T6" s="4"/>
      <c r="U6" s="39" t="s">
        <v>43</v>
      </c>
      <c r="V6" t="s">
        <v>7</v>
      </c>
      <c r="W6" s="9">
        <f>$P$6*LN($J$3)+$Q$6</f>
        <v>59.570501301046434</v>
      </c>
      <c r="X6" t="s">
        <v>31</v>
      </c>
      <c r="AA6" s="55">
        <v>25</v>
      </c>
      <c r="AB6" s="56">
        <f t="shared" ref="AB6:AB12" si="0">(-$D$9-SQRT($D$9^2-(4*$C$9*($E$9-AA6))))/(2*$C$9)</f>
        <v>126.01974435017826</v>
      </c>
      <c r="AC6" s="55">
        <v>20</v>
      </c>
      <c r="AD6" s="57">
        <f t="shared" ref="AD6:AD12" si="1">(-$D$14-SQRT($D$14^2-(4*$C$14*($E$14-AC6))))/(2*$C$14)</f>
        <v>109.58070691735244</v>
      </c>
      <c r="AE6" s="55">
        <v>10</v>
      </c>
      <c r="AF6" s="57">
        <f t="shared" ref="AF6:AF11" si="2">(-$D$19-SQRT($D$19^2-(4*$C$19*($E$19-AE6))))/(2*$C$19)</f>
        <v>79.447008572256934</v>
      </c>
      <c r="AG6" s="56">
        <v>10</v>
      </c>
      <c r="AH6" s="57">
        <f>(-$D$24-SQRT($D$24^2-(4*$C$24*($E$24-AG6))))/(2*$C$24)</f>
        <v>44.757579886904097</v>
      </c>
    </row>
    <row r="7" spans="1:60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116.9551794907145</v>
      </c>
      <c r="AC7" s="55">
        <v>50</v>
      </c>
      <c r="AD7" s="57">
        <f t="shared" si="1"/>
        <v>105.19149757967907</v>
      </c>
      <c r="AE7" s="55">
        <v>40</v>
      </c>
      <c r="AF7" s="57">
        <f t="shared" si="2"/>
        <v>72.849851058462903</v>
      </c>
      <c r="AG7" s="56">
        <v>20</v>
      </c>
      <c r="AH7" s="57">
        <f>(-$D$24-SQRT($D$24^2-(4*$C$24*($E$24-AG7))))/(2*$C$24)</f>
        <v>41.068093478037703</v>
      </c>
      <c r="BA7" s="2" t="s">
        <v>2874</v>
      </c>
    </row>
    <row r="8" spans="1:60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109.49073106750077</v>
      </c>
      <c r="AC8" s="55">
        <v>100</v>
      </c>
      <c r="AD8" s="57">
        <f t="shared" si="1"/>
        <v>97.381640927517822</v>
      </c>
      <c r="AE8" s="55">
        <v>60</v>
      </c>
      <c r="AF8" s="57">
        <f t="shared" si="2"/>
        <v>68.197902980402219</v>
      </c>
      <c r="AG8" s="56">
        <v>25</v>
      </c>
      <c r="AH8" s="57">
        <f>(-$D$24-SQRT($D$24^2-(4*$C$24*($E$24-AG8))))/(2*$C$24)</f>
        <v>39.165523733600942</v>
      </c>
      <c r="BA8" t="s">
        <v>2875</v>
      </c>
    </row>
    <row r="9" spans="1:60" x14ac:dyDescent="0.15">
      <c r="A9" s="2" t="s">
        <v>2876</v>
      </c>
      <c r="C9" s="1652">
        <f>BB32</f>
        <v>-6.6706020184801582E-2</v>
      </c>
      <c r="D9" s="1652">
        <f t="shared" ref="D9:E9" si="3">BC32</f>
        <v>5.7275194698699661</v>
      </c>
      <c r="E9" s="1652">
        <f t="shared" si="3"/>
        <v>362.57616399428554</v>
      </c>
      <c r="H9" s="2"/>
      <c r="P9" t="s">
        <v>615</v>
      </c>
      <c r="Q9" s="52">
        <f t="array" ref="Q9:R9">LINEST(AM35:AM38,AL35:AL38)</f>
        <v>9.0544720108802554</v>
      </c>
      <c r="R9" s="52">
        <v>-7.4623024190867753</v>
      </c>
      <c r="S9" s="84">
        <f>(J3-R9)/Q9</f>
        <v>4.6589712343931486</v>
      </c>
      <c r="U9" s="39" t="s">
        <v>42</v>
      </c>
      <c r="V9" t="s">
        <v>44</v>
      </c>
      <c r="W9" s="9">
        <f>IF($J$3&gt;$AM$35,($J$3-$R$10)/$Q$10,($J$3-$R$9)/$Q$9)</f>
        <v>4.6589712343931486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102.35092924915141</v>
      </c>
      <c r="AC9" s="55">
        <v>150</v>
      </c>
      <c r="AD9" s="57">
        <f t="shared" si="1"/>
        <v>88.791077175548679</v>
      </c>
      <c r="AE9" s="55">
        <v>80</v>
      </c>
      <c r="AF9" s="57">
        <f t="shared" si="2"/>
        <v>63.306445013042172</v>
      </c>
      <c r="AG9" s="56">
        <v>30</v>
      </c>
      <c r="AH9" s="57">
        <f>(-$D$24-SQRT($D$24^2-(4*$C$24*($E$24-AG9))))/(2*$C$24)</f>
        <v>37.221020713685533</v>
      </c>
      <c r="BA9" t="s">
        <v>2877</v>
      </c>
    </row>
    <row r="10" spans="1:60" x14ac:dyDescent="0.15">
      <c r="C10" s="466" t="s">
        <v>589</v>
      </c>
      <c r="D10" s="2"/>
      <c r="E10" s="2"/>
      <c r="H10" s="2"/>
      <c r="P10" t="s">
        <v>614</v>
      </c>
      <c r="Q10" s="52">
        <f t="array" ref="Q10:R10">LINEST(AM34:AM35,AL34:AL35)</f>
        <v>5.7180784669395743</v>
      </c>
      <c r="R10" s="52">
        <v>22.531763893963038</v>
      </c>
      <c r="S10" s="84">
        <f>(J3-R10)/Q10</f>
        <v>2.1319151877228002</v>
      </c>
      <c r="W10" t="b">
        <f>IF(AND(W9&gt;=0,W9&lt;=10.01,'R-series ENT'!E33&gt;=W11,P22),TRUE,FALSE)</f>
        <v>1</v>
      </c>
      <c r="AA10" s="55">
        <v>320</v>
      </c>
      <c r="AB10" s="56">
        <f t="shared" si="0"/>
        <v>92.744114863169855</v>
      </c>
      <c r="AC10" s="55">
        <v>170</v>
      </c>
      <c r="AD10" s="57">
        <f t="shared" si="1"/>
        <v>85.076221283069771</v>
      </c>
      <c r="AE10" s="55">
        <v>100</v>
      </c>
      <c r="AF10" s="57">
        <f t="shared" si="2"/>
        <v>58.134168283347442</v>
      </c>
      <c r="AG10" s="56">
        <v>70</v>
      </c>
      <c r="AH10" s="57">
        <f>(-$D$24-SQRT($D$24^2-(4*$C$24*($E$24-AG10))))/(2*$C$24)</f>
        <v>19.714016122663523</v>
      </c>
      <c r="BA10" t="s">
        <v>2878</v>
      </c>
    </row>
    <row r="11" spans="1:60" x14ac:dyDescent="0.15">
      <c r="C11" s="2" t="s">
        <v>408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80.772307836137671</v>
      </c>
      <c r="AC11" s="55">
        <v>190</v>
      </c>
      <c r="AD11" s="57">
        <f t="shared" si="1"/>
        <v>81.164804640481279</v>
      </c>
      <c r="AE11" s="55">
        <v>180</v>
      </c>
      <c r="AF11" s="57">
        <f t="shared" si="2"/>
        <v>33.145608031307056</v>
      </c>
      <c r="AG11" s="56"/>
      <c r="AH11" s="57"/>
    </row>
    <row r="12" spans="1:60" x14ac:dyDescent="0.1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62.490705197281741</v>
      </c>
      <c r="AC12" s="58">
        <v>320</v>
      </c>
      <c r="AD12" s="60">
        <f t="shared" si="1"/>
        <v>46.424019513205216</v>
      </c>
      <c r="AE12" s="58"/>
      <c r="AF12" s="60"/>
      <c r="AG12" s="59"/>
      <c r="AH12" s="60"/>
      <c r="BA12" s="4" t="s">
        <v>1219</v>
      </c>
      <c r="BB12" s="4" t="s">
        <v>2868</v>
      </c>
      <c r="BC12" s="4" t="s">
        <v>2869</v>
      </c>
      <c r="BD12" t="s">
        <v>87</v>
      </c>
    </row>
    <row r="13" spans="1:60" x14ac:dyDescent="0.15">
      <c r="C13" t="s">
        <v>4</v>
      </c>
      <c r="D13" t="s">
        <v>5</v>
      </c>
      <c r="E13" t="s">
        <v>6</v>
      </c>
      <c r="P13" s="51">
        <f t="array" ref="P13:R13">LINEST(AE34:AE38,AC34:AC38^{1,2})</f>
        <v>3.617331186765884E-2</v>
      </c>
      <c r="Q13" s="51">
        <v>-1.5603127538407378</v>
      </c>
      <c r="R13" s="51">
        <v>29.443529612039924</v>
      </c>
      <c r="U13" s="39" t="s">
        <v>43</v>
      </c>
      <c r="V13" t="s">
        <v>44</v>
      </c>
      <c r="W13" s="9">
        <f>$P$13*J3^2+$Q$13*J3+$R$13</f>
        <v>18.877731672521207</v>
      </c>
      <c r="X13" t="s">
        <v>49</v>
      </c>
      <c r="Y13" t="s">
        <v>592</v>
      </c>
      <c r="BA13" s="4">
        <v>0</v>
      </c>
      <c r="BB13" s="5">
        <v>0</v>
      </c>
      <c r="BC13" s="5">
        <v>0</v>
      </c>
      <c r="BD13" s="4">
        <f>BC13-BB13</f>
        <v>0</v>
      </c>
      <c r="BF13" t="s">
        <v>2868</v>
      </c>
    </row>
    <row r="14" spans="1:60" x14ac:dyDescent="0.15">
      <c r="A14" s="2" t="s">
        <v>2876</v>
      </c>
      <c r="C14" s="1652">
        <f>BB33</f>
        <v>-3.5476308651737364E-2</v>
      </c>
      <c r="D14" s="1652">
        <f t="shared" ref="D14:E14" si="4">BC33</f>
        <v>0.78438102276474875</v>
      </c>
      <c r="E14" s="1652">
        <f t="shared" si="4"/>
        <v>360.04405111185304</v>
      </c>
      <c r="H14" s="2"/>
      <c r="V14" t="s">
        <v>52</v>
      </c>
      <c r="W14" s="3">
        <f>IF(W13&gt;Y14,Y14,W13)</f>
        <v>18.877731672521207</v>
      </c>
      <c r="X14" t="s">
        <v>49</v>
      </c>
      <c r="Y14">
        <v>168</v>
      </c>
      <c r="Z14" t="s">
        <v>49</v>
      </c>
      <c r="BA14" s="4">
        <v>20</v>
      </c>
      <c r="BB14" s="5">
        <v>10.663988849438311</v>
      </c>
      <c r="BC14" s="5">
        <v>7.5156214655086053</v>
      </c>
      <c r="BD14" s="5">
        <f t="shared" ref="BD14:BD20" si="5">BC14-BB14</f>
        <v>-3.1483673839297062</v>
      </c>
      <c r="BF14">
        <f t="array" ref="BF14:BH14">LINEST(BB13:BB20,BA13:BA20^{1,2})</f>
        <v>7.8152333610529978E-3</v>
      </c>
      <c r="BG14">
        <v>0.37742100021391006</v>
      </c>
      <c r="BH14">
        <v>-4.6044684267414482E-3</v>
      </c>
    </row>
    <row r="15" spans="1:60" x14ac:dyDescent="0.15">
      <c r="C15" s="2"/>
      <c r="D15" s="2"/>
      <c r="E15" s="2"/>
      <c r="H15" s="2"/>
      <c r="BA15" s="4">
        <v>40</v>
      </c>
      <c r="BB15" s="5">
        <v>27.594635574203007</v>
      </c>
      <c r="BC15" s="5">
        <v>18.000161056465664</v>
      </c>
      <c r="BD15" s="5">
        <f t="shared" si="5"/>
        <v>-9.5944745177373427</v>
      </c>
      <c r="BF15" t="s">
        <v>2869</v>
      </c>
    </row>
    <row r="16" spans="1:60" x14ac:dyDescent="0.15">
      <c r="C16" s="2" t="s">
        <v>411</v>
      </c>
      <c r="D16" s="1"/>
      <c r="E16" s="1"/>
      <c r="H16" s="1"/>
      <c r="V16" t="s">
        <v>58</v>
      </c>
      <c r="W16">
        <f>'Laskenta poistopuoli 130_ENT'!W13</f>
        <v>17.221555272096694</v>
      </c>
      <c r="BA16" s="4">
        <v>60</v>
      </c>
      <c r="BB16" s="5">
        <v>50.77615342540247</v>
      </c>
      <c r="BC16" s="5">
        <v>32.753775013829411</v>
      </c>
      <c r="BD16" s="5">
        <f t="shared" si="5"/>
        <v>-18.022378411573058</v>
      </c>
      <c r="BF16">
        <f t="array" ref="BF16:BH16">LINEST(BC13:BC20,BA13:BA20^{1,2})</f>
        <v>5.2009100162418807E-3</v>
      </c>
      <c r="BG16">
        <v>0.22842433158531805</v>
      </c>
      <c r="BH16">
        <v>0.37921223694615236</v>
      </c>
    </row>
    <row r="17" spans="1:103" ht="14" thickBot="1" x14ac:dyDescent="0.2">
      <c r="C17" t="s">
        <v>11</v>
      </c>
      <c r="D17" s="1"/>
      <c r="E17" s="1"/>
      <c r="H17" s="1"/>
      <c r="V17" t="s">
        <v>73</v>
      </c>
      <c r="W17">
        <v>4.4000000000000004</v>
      </c>
      <c r="BA17" s="4">
        <v>80</v>
      </c>
      <c r="BB17" s="5">
        <v>80.208542403036688</v>
      </c>
      <c r="BC17" s="5">
        <v>51.776463337599857</v>
      </c>
      <c r="BD17" s="5">
        <f t="shared" si="5"/>
        <v>-28.432079065436831</v>
      </c>
      <c r="BF17" t="s">
        <v>87</v>
      </c>
    </row>
    <row r="18" spans="1:103" x14ac:dyDescent="0.15">
      <c r="C18" t="s">
        <v>4</v>
      </c>
      <c r="D18" t="s">
        <v>5</v>
      </c>
      <c r="E18" t="s">
        <v>6</v>
      </c>
      <c r="H18" s="1"/>
      <c r="P18" s="228" t="s">
        <v>605</v>
      </c>
      <c r="Q18" s="230"/>
      <c r="R18" s="231"/>
      <c r="BA18" s="4">
        <v>100</v>
      </c>
      <c r="BB18" s="5">
        <v>115.89180250710567</v>
      </c>
      <c r="BC18" s="5">
        <v>75.068226027776973</v>
      </c>
      <c r="BD18" s="5">
        <f t="shared" si="5"/>
        <v>-40.823576479328693</v>
      </c>
      <c r="BF18" s="2">
        <f>BF16-BF14</f>
        <v>-2.6143233448111172E-3</v>
      </c>
      <c r="BG18" s="2">
        <f t="shared" ref="BG18:BH18" si="6">BG16-BG14</f>
        <v>-0.14899666862859201</v>
      </c>
      <c r="BH18" s="2">
        <f t="shared" si="6"/>
        <v>0.38381670537289381</v>
      </c>
    </row>
    <row r="19" spans="1:103" x14ac:dyDescent="0.15">
      <c r="A19" s="2" t="s">
        <v>2876</v>
      </c>
      <c r="C19" s="1652">
        <f>BB34</f>
        <v>-2.2058544801278432E-2</v>
      </c>
      <c r="D19" s="1652">
        <f t="shared" ref="D19:E19" si="7">BC34</f>
        <v>-1.1879659228014026</v>
      </c>
      <c r="E19" s="1652">
        <f t="shared" si="7"/>
        <v>243.61006128355274</v>
      </c>
      <c r="P19" s="232" t="s">
        <v>606</v>
      </c>
      <c r="Q19">
        <v>350</v>
      </c>
      <c r="R19" s="364" t="s">
        <v>14</v>
      </c>
      <c r="V19" s="74" t="s">
        <v>74</v>
      </c>
      <c r="W19" s="77">
        <f>W13+W16+W17</f>
        <v>40.4992869446179</v>
      </c>
      <c r="X19" s="75" t="s">
        <v>49</v>
      </c>
      <c r="AB19" s="6"/>
      <c r="AC19" s="6"/>
      <c r="BA19" s="4">
        <v>120</v>
      </c>
      <c r="BB19" s="5">
        <v>157.82593373760943</v>
      </c>
      <c r="BC19" s="5">
        <v>102.62906308436081</v>
      </c>
      <c r="BD19" s="5">
        <f t="shared" si="5"/>
        <v>-55.196870653248624</v>
      </c>
      <c r="BF19">
        <f t="array" ref="BF19:BH19">LINEST(BD13:BD20,BA13:BA20^{1,2})</f>
        <v>-2.6143233448111137E-3</v>
      </c>
      <c r="BG19">
        <v>-0.14899666862859198</v>
      </c>
      <c r="BH19">
        <v>0.3838167053728796</v>
      </c>
    </row>
    <row r="20" spans="1:103" x14ac:dyDescent="0.15">
      <c r="C20" s="2"/>
      <c r="D20" s="2"/>
      <c r="E20" s="2"/>
      <c r="H20" s="1"/>
      <c r="P20" s="232" t="s">
        <v>607</v>
      </c>
      <c r="Q20">
        <v>0.45</v>
      </c>
      <c r="R20" s="364"/>
      <c r="AB20" s="6"/>
      <c r="AC20" s="6"/>
      <c r="BA20" s="4">
        <v>140</v>
      </c>
      <c r="BB20" s="5">
        <v>206.01093609454793</v>
      </c>
      <c r="BC20" s="5">
        <v>134.45897450735134</v>
      </c>
      <c r="BD20" s="5">
        <f t="shared" si="5"/>
        <v>-71.551961587196587</v>
      </c>
      <c r="CY20" t="s">
        <v>2879</v>
      </c>
    </row>
    <row r="21" spans="1:103" x14ac:dyDescent="0.15">
      <c r="C21" s="2" t="s">
        <v>409</v>
      </c>
      <c r="D21" s="1"/>
      <c r="E21" s="1"/>
      <c r="H21" s="1"/>
      <c r="P21" s="232"/>
      <c r="R21" s="364"/>
      <c r="V21" t="s">
        <v>78</v>
      </c>
      <c r="W21">
        <f>MAX(J3,'Laskenta poistopuoli 130_ENT'!J3)</f>
        <v>34.722222222222221</v>
      </c>
      <c r="X21" t="s">
        <v>13</v>
      </c>
      <c r="AB21" s="6"/>
      <c r="AC21" s="6"/>
    </row>
    <row r="22" spans="1:103" ht="16" thickBot="1" x14ac:dyDescent="0.2">
      <c r="C22" t="s">
        <v>11</v>
      </c>
      <c r="D22" s="1"/>
      <c r="E22" s="1"/>
      <c r="H22" s="1"/>
      <c r="P22" s="236" t="b">
        <f>IF(AND(L3&gt;Q19,U29&gt;Q20),FALSE,TRUE)</f>
        <v>1</v>
      </c>
      <c r="Q22" s="238"/>
      <c r="R22" s="239"/>
      <c r="V22" t="s">
        <v>75</v>
      </c>
      <c r="W22">
        <f>W19/W21</f>
        <v>1.1663794640049956</v>
      </c>
      <c r="X22" t="s">
        <v>77</v>
      </c>
      <c r="AB22" s="6"/>
      <c r="AC22" s="6"/>
      <c r="BA22" s="2" t="s">
        <v>2880</v>
      </c>
    </row>
    <row r="23" spans="1:103" x14ac:dyDescent="0.15">
      <c r="C23" t="s">
        <v>4</v>
      </c>
      <c r="D23" t="s">
        <v>5</v>
      </c>
      <c r="E23" t="s">
        <v>6</v>
      </c>
      <c r="H23" s="1"/>
      <c r="BB23" t="s">
        <v>4</v>
      </c>
      <c r="BC23" t="s">
        <v>5</v>
      </c>
      <c r="BD23" t="s">
        <v>6</v>
      </c>
    </row>
    <row r="24" spans="1:103" x14ac:dyDescent="0.15">
      <c r="A24" s="2" t="s">
        <v>2876</v>
      </c>
      <c r="C24" s="1652">
        <f>BB35</f>
        <v>-1.4731575054118505E-2</v>
      </c>
      <c r="D24" s="1652">
        <f t="shared" ref="D24:E24" si="8">BC35</f>
        <v>-1.4460569980402744</v>
      </c>
      <c r="E24" s="1652">
        <f t="shared" si="8"/>
        <v>104.23290612523374</v>
      </c>
      <c r="H24" s="1"/>
      <c r="P24">
        <v>60</v>
      </c>
      <c r="Q24">
        <f>$C$27*P24^2+$D$27*P24+$E$27</f>
        <v>394.99311539262897</v>
      </c>
      <c r="BA24" t="s">
        <v>102</v>
      </c>
      <c r="BB24" s="8">
        <v>-6.409169683999047E-2</v>
      </c>
      <c r="BC24" s="8">
        <v>5.876516138498558</v>
      </c>
      <c r="BD24" s="8">
        <v>362.19234728891263</v>
      </c>
    </row>
    <row r="25" spans="1:103" x14ac:dyDescent="0.15">
      <c r="G25" s="2"/>
      <c r="H25" s="1"/>
      <c r="P25">
        <v>90</v>
      </c>
      <c r="Q25">
        <f t="shared" ref="Q25:Q26" si="9">$C$27*P25^2+$D$27*P25+$E$27</f>
        <v>260.6867185259527</v>
      </c>
      <c r="BA25" t="s">
        <v>404</v>
      </c>
      <c r="BB25" s="8">
        <v>-3.2861985306926245E-2</v>
      </c>
      <c r="BC25" s="8">
        <v>0.93337769139334081</v>
      </c>
      <c r="BD25" s="8">
        <v>359.66023440648013</v>
      </c>
    </row>
    <row r="26" spans="1:103" x14ac:dyDescent="0.15">
      <c r="C26" s="2" t="s">
        <v>591</v>
      </c>
      <c r="P26">
        <v>120</v>
      </c>
      <c r="Q26">
        <f t="shared" si="9"/>
        <v>60.013738172779824</v>
      </c>
      <c r="BA26" t="s">
        <v>405</v>
      </c>
      <c r="BB26" s="8">
        <v>-1.9444221456467313E-2</v>
      </c>
      <c r="BC26" s="8">
        <v>-1.0389692541728106</v>
      </c>
      <c r="BD26" s="8">
        <v>243.22624457817986</v>
      </c>
    </row>
    <row r="27" spans="1:103" x14ac:dyDescent="0.15">
      <c r="A27" s="2" t="s">
        <v>2876</v>
      </c>
      <c r="C27" s="1652">
        <f>BB36</f>
        <v>-3.6870324159164726E-2</v>
      </c>
      <c r="D27" s="1652">
        <f t="shared" ref="D27:E27" si="10">BC36</f>
        <v>1.0536687283188326</v>
      </c>
      <c r="E27" s="1652">
        <f t="shared" si="10"/>
        <v>464.50615866649201</v>
      </c>
      <c r="U27" t="s">
        <v>37</v>
      </c>
      <c r="BA27" t="s">
        <v>406</v>
      </c>
      <c r="BB27" s="8">
        <v>-1.2117251709307388E-2</v>
      </c>
      <c r="BC27" s="8">
        <v>-1.2970603294116825</v>
      </c>
      <c r="BD27" s="8">
        <v>103.84908941986085</v>
      </c>
    </row>
    <row r="28" spans="1:103" x14ac:dyDescent="0.15">
      <c r="U28" s="4" t="s">
        <v>17</v>
      </c>
      <c r="BA28" t="s">
        <v>2881</v>
      </c>
      <c r="BB28" s="8">
        <v>-3.4256000814353607E-2</v>
      </c>
      <c r="BC28" s="8">
        <v>1.2026653969474246</v>
      </c>
      <c r="BD28" s="8">
        <v>464.1223419611191</v>
      </c>
    </row>
    <row r="29" spans="1:103" x14ac:dyDescent="0.15">
      <c r="U29" s="4">
        <f>(L3/J3)^2/L3</f>
        <v>6.2208000000000006E-2</v>
      </c>
    </row>
    <row r="30" spans="1:103" x14ac:dyDescent="0.15">
      <c r="BA30" s="2" t="s">
        <v>2882</v>
      </c>
    </row>
    <row r="31" spans="1:103" x14ac:dyDescent="0.15">
      <c r="U31" s="2" t="s">
        <v>16</v>
      </c>
      <c r="AS31" s="2" t="s">
        <v>1110</v>
      </c>
      <c r="BB31" t="s">
        <v>4</v>
      </c>
      <c r="BC31" t="s">
        <v>5</v>
      </c>
      <c r="BD31" t="s">
        <v>6</v>
      </c>
    </row>
    <row r="32" spans="1:103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  <c r="BA32" t="s">
        <v>102</v>
      </c>
      <c r="BB32" s="1654">
        <f>BB24+$BF$18</f>
        <v>-6.6706020184801582E-2</v>
      </c>
      <c r="BC32" s="1654">
        <f>BC24+$BG$18</f>
        <v>5.7275194698699661</v>
      </c>
      <c r="BD32" s="1654">
        <f>BD24+$BH$18</f>
        <v>362.57616399428554</v>
      </c>
    </row>
    <row r="33" spans="21:78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  <c r="BA33" t="s">
        <v>404</v>
      </c>
      <c r="BB33" s="1654">
        <f t="shared" ref="BB33:BB36" si="11">BB25+$BF$18</f>
        <v>-3.5476308651737364E-2</v>
      </c>
      <c r="BC33" s="1654">
        <f t="shared" ref="BC33:BC36" si="12">BC25+$BG$18</f>
        <v>0.78438102276474875</v>
      </c>
      <c r="BD33" s="1654">
        <f t="shared" ref="BD33:BD36" si="13">BD25+$BH$18</f>
        <v>360.04405111185304</v>
      </c>
    </row>
    <row r="34" spans="21:78" x14ac:dyDescent="0.15">
      <c r="U34" s="35">
        <v>10</v>
      </c>
      <c r="V34" s="98">
        <f>C9</f>
        <v>-6.6706020184801582E-2</v>
      </c>
      <c r="W34" s="99">
        <f>D9</f>
        <v>5.7275194698699661</v>
      </c>
      <c r="X34" s="100">
        <f>E9</f>
        <v>362.57616399428554</v>
      </c>
      <c r="Y34" s="36">
        <f>C9-U29</f>
        <v>-0.12891402018480158</v>
      </c>
      <c r="Z34" s="28">
        <f>(-W34+SQRT(W34^2-(4*Y34*X34)))/(2*Y34)</f>
        <v>-35.283560454389566</v>
      </c>
      <c r="AA34" s="29">
        <f>(-W34-SQRT(W34^2-(4*Y34*X34)))/(2*Y34)</f>
        <v>79.71254856335878</v>
      </c>
      <c r="AB34" s="36">
        <f>AB6</f>
        <v>126.01974435017826</v>
      </c>
      <c r="AC34" s="53">
        <f>IF(Z34&lt;0,AA34,IF(Z34&gt;AB34,AA34,Z34))</f>
        <v>79.71254856335878</v>
      </c>
      <c r="AD34" s="53">
        <f>V34*AC34^2+W34*AC34+X34</f>
        <v>395.27525550776244</v>
      </c>
      <c r="AE34" s="53">
        <f>X51*AC34^2+Y51*AC34+Z51</f>
        <v>138.62051295915444</v>
      </c>
      <c r="AF34" s="53">
        <f>$H$60*AC34^2+$I$60*AC34+$J$60</f>
        <v>60.747302012956958</v>
      </c>
      <c r="AG34" s="53">
        <f>$R$60*AC34^2+$S$60*AC34+$T$60</f>
        <v>76.579829454000361</v>
      </c>
      <c r="AI34">
        <v>10</v>
      </c>
      <c r="AJ34" s="3">
        <f>AC34</f>
        <v>79.71254856335878</v>
      </c>
      <c r="AL34">
        <v>10</v>
      </c>
      <c r="AM34" s="3">
        <f>AJ34</f>
        <v>79.71254856335878</v>
      </c>
      <c r="AS34" s="616">
        <f>AC34/$J$3-1</f>
        <v>1.2957213986247331</v>
      </c>
      <c r="AV34" s="278" t="b">
        <f>IF(AS36&gt;AC34,FALSE,TRUE)</f>
        <v>1</v>
      </c>
      <c r="AW34" t="s">
        <v>1117</v>
      </c>
      <c r="BA34" t="s">
        <v>405</v>
      </c>
      <c r="BB34" s="1654">
        <f t="shared" si="11"/>
        <v>-2.2058544801278432E-2</v>
      </c>
      <c r="BC34" s="1654">
        <f t="shared" si="12"/>
        <v>-1.1879659228014026</v>
      </c>
      <c r="BD34" s="1654">
        <f t="shared" si="13"/>
        <v>243.61006128355274</v>
      </c>
      <c r="BJ34" t="s">
        <v>2883</v>
      </c>
      <c r="BS34" t="s">
        <v>2883</v>
      </c>
    </row>
    <row r="35" spans="21:78" x14ac:dyDescent="0.15">
      <c r="U35" s="35">
        <v>8</v>
      </c>
      <c r="V35" s="98">
        <f>C14</f>
        <v>-3.5476308651737364E-2</v>
      </c>
      <c r="W35" s="99">
        <f>D14</f>
        <v>0.78438102276474875</v>
      </c>
      <c r="X35" s="100">
        <f>E14</f>
        <v>360.04405111185304</v>
      </c>
      <c r="Y35" s="36">
        <f>C14-U29</f>
        <v>-9.768430865173737E-2</v>
      </c>
      <c r="Z35" s="28">
        <f t="shared" ref="Z35:Z38" si="14">(-W35+SQRT(W35^2-(4*Y35*X35)))/(2*Y35)</f>
        <v>-56.82845694020746</v>
      </c>
      <c r="AA35" s="29">
        <f t="shared" ref="AA35:AA38" si="15">(-W35-SQRT(W35^2-(4*Y35*X35)))/(2*Y35)</f>
        <v>64.858211499470514</v>
      </c>
      <c r="AB35" s="36">
        <f>AD6</f>
        <v>109.58070691735244</v>
      </c>
      <c r="AC35" s="53">
        <f t="shared" ref="AC35:AC38" si="16">IF(Z35&lt;0,AA35,IF(Z35&gt;AB35,AA35,Z35))</f>
        <v>64.858211499470514</v>
      </c>
      <c r="AD35" s="53">
        <f>V35*AC35^2+W35*AC35+X35</f>
        <v>261.68340135299644</v>
      </c>
      <c r="AE35" s="53">
        <f t="shared" ref="AE35:AE37" si="17">X52*AC35^2+Y52*AC35+Z52</f>
        <v>81.564932070539442</v>
      </c>
      <c r="AF35" s="53">
        <f>$H$65*AC35^2+$I$65*AC35+$J$65</f>
        <v>56.297471984586323</v>
      </c>
      <c r="AG35" s="53">
        <f>$R$65*AC35^2+$S$65*AC35+$T$65</f>
        <v>72.268480906531096</v>
      </c>
      <c r="AI35">
        <v>8</v>
      </c>
      <c r="AJ35" s="3">
        <f t="shared" ref="AJ35:AJ38" si="18">AC35</f>
        <v>64.858211499470514</v>
      </c>
      <c r="AL35">
        <v>9</v>
      </c>
      <c r="AM35" s="3">
        <f>AJ38</f>
        <v>73.994470096419207</v>
      </c>
      <c r="AO35">
        <v>9</v>
      </c>
      <c r="AP35">
        <f>Q9*AO35+R9</f>
        <v>74.027945678835522</v>
      </c>
      <c r="AQ35" t="s">
        <v>13</v>
      </c>
      <c r="AS35" t="s">
        <v>1114</v>
      </c>
      <c r="AV35" t="s">
        <v>1116</v>
      </c>
      <c r="BA35" t="s">
        <v>406</v>
      </c>
      <c r="BB35" s="1654">
        <f t="shared" si="11"/>
        <v>-1.4731575054118505E-2</v>
      </c>
      <c r="BC35" s="1654">
        <f t="shared" si="12"/>
        <v>-1.4460569980402744</v>
      </c>
      <c r="BD35" s="1654">
        <f t="shared" si="13"/>
        <v>104.23290612523374</v>
      </c>
      <c r="BJ35" s="2" t="s">
        <v>2884</v>
      </c>
      <c r="BS35" s="2" t="s">
        <v>2727</v>
      </c>
    </row>
    <row r="36" spans="21:78" x14ac:dyDescent="0.15">
      <c r="U36" s="35">
        <v>6</v>
      </c>
      <c r="V36" s="98">
        <f>C19</f>
        <v>-2.2058544801278432E-2</v>
      </c>
      <c r="W36" s="99">
        <f>D19</f>
        <v>-1.1879659228014026</v>
      </c>
      <c r="X36" s="100">
        <f>E19</f>
        <v>243.61006128355274</v>
      </c>
      <c r="Y36" s="36">
        <f>C19-U29</f>
        <v>-8.4266544801278431E-2</v>
      </c>
      <c r="Z36" s="28">
        <f t="shared" si="14"/>
        <v>-61.276460195833131</v>
      </c>
      <c r="AA36" s="29">
        <f t="shared" si="15"/>
        <v>47.178742939205094</v>
      </c>
      <c r="AB36" s="36">
        <f>AF6</f>
        <v>79.447008572256934</v>
      </c>
      <c r="AC36" s="53">
        <f t="shared" si="16"/>
        <v>47.178742939205094</v>
      </c>
      <c r="AD36" s="53">
        <f>V36*AC36^2+W36*AC36+X36</f>
        <v>138.46466811741016</v>
      </c>
      <c r="AE36" s="53">
        <f t="shared" si="17"/>
        <v>37.751166329819171</v>
      </c>
      <c r="AF36" s="53">
        <f>$H$70*AC36^2+$I$70*AC36+$J$70</f>
        <v>49.749987516037208</v>
      </c>
      <c r="AG36" s="53">
        <f>$R$70*AC36^2+$S$70*AC36+$T$70</f>
        <v>65.604899230395333</v>
      </c>
      <c r="AI36">
        <v>6</v>
      </c>
      <c r="AJ36" s="3">
        <f t="shared" si="18"/>
        <v>47.178742939205094</v>
      </c>
      <c r="AL36">
        <v>8</v>
      </c>
      <c r="AM36" s="3">
        <f>AJ35</f>
        <v>64.858211499470514</v>
      </c>
      <c r="AS36" s="609">
        <f>Tulokset_ENT!$CR$16</f>
        <v>41.666666666666664</v>
      </c>
      <c r="AT36" t="s">
        <v>13</v>
      </c>
      <c r="AV36" s="617">
        <f>IF($AS$36&gt;$AM$35,($AS$36-$R$10)/$Q$10,($AS$36-$R$9)/$Q$9)</f>
        <v>5.4259341711717584</v>
      </c>
      <c r="AW36" t="s">
        <v>25</v>
      </c>
      <c r="BA36" t="s">
        <v>2881</v>
      </c>
      <c r="BB36" s="1654">
        <f t="shared" si="11"/>
        <v>-3.6870324159164726E-2</v>
      </c>
      <c r="BC36" s="1654">
        <f t="shared" si="12"/>
        <v>1.0536687283188326</v>
      </c>
      <c r="BD36" s="1654">
        <f t="shared" si="13"/>
        <v>464.50615866649201</v>
      </c>
      <c r="BJ36" s="1655" t="s">
        <v>102</v>
      </c>
      <c r="BK36" s="1656"/>
      <c r="BL36" s="1655" t="s">
        <v>404</v>
      </c>
      <c r="BM36" s="1657"/>
      <c r="BN36" s="1655" t="s">
        <v>405</v>
      </c>
      <c r="BO36" s="1657"/>
      <c r="BP36" s="1656" t="s">
        <v>406</v>
      </c>
      <c r="BQ36" s="1657"/>
      <c r="BS36" s="1655" t="s">
        <v>102</v>
      </c>
      <c r="BT36" s="1656"/>
      <c r="BU36" s="1655" t="s">
        <v>404</v>
      </c>
      <c r="BV36" s="1657"/>
      <c r="BW36" s="1655" t="s">
        <v>405</v>
      </c>
      <c r="BX36" s="1657"/>
      <c r="BY36" s="1656" t="s">
        <v>406</v>
      </c>
      <c r="BZ36" s="1657"/>
    </row>
    <row r="37" spans="21:78" ht="14" thickBot="1" x14ac:dyDescent="0.2">
      <c r="U37" s="35">
        <v>4</v>
      </c>
      <c r="V37" s="98">
        <f>C24</f>
        <v>-1.4731575054118505E-2</v>
      </c>
      <c r="W37" s="99">
        <f>D24</f>
        <v>-1.4460569980402744</v>
      </c>
      <c r="X37" s="100">
        <f>E24</f>
        <v>104.23290612523374</v>
      </c>
      <c r="Y37" s="36">
        <f>C24-U29</f>
        <v>-7.6939575054118511E-2</v>
      </c>
      <c r="Z37" s="28">
        <f t="shared" si="14"/>
        <v>-47.384820048205789</v>
      </c>
      <c r="AA37" s="29">
        <f t="shared" si="15"/>
        <v>28.590110082325001</v>
      </c>
      <c r="AB37" s="36">
        <f>AH6</f>
        <v>44.757579886904097</v>
      </c>
      <c r="AC37" s="467">
        <f t="shared" si="16"/>
        <v>28.590110082325001</v>
      </c>
      <c r="AD37" s="467">
        <f>V37*AC37^2+W37*AC37+X37</f>
        <v>50.848470494266664</v>
      </c>
      <c r="AE37" s="53">
        <f t="shared" si="17"/>
        <v>13.806150483502689</v>
      </c>
      <c r="AF37" s="53">
        <f>$H$75*AC37^2+$I$75*AC37+$J$75</f>
        <v>40.749945168840291</v>
      </c>
      <c r="AG37" s="53">
        <f>$R$75*AC37^2+$S$75*AC37+$T$75</f>
        <v>55.723049601694498</v>
      </c>
      <c r="AI37">
        <v>4</v>
      </c>
      <c r="AJ37" s="3">
        <f t="shared" si="18"/>
        <v>28.590110082325001</v>
      </c>
      <c r="AL37">
        <v>6</v>
      </c>
      <c r="AM37" s="3">
        <f t="shared" ref="AM37:AM38" si="19">AJ36</f>
        <v>47.178742939205094</v>
      </c>
      <c r="AS37" s="609">
        <f>Tulokset_ENT!$CR$17</f>
        <v>107.99999999999999</v>
      </c>
      <c r="AT37" t="s">
        <v>14</v>
      </c>
      <c r="BJ37" s="1658" t="s">
        <v>14</v>
      </c>
      <c r="BK37" s="1659" t="s">
        <v>13</v>
      </c>
      <c r="BL37" s="1658" t="s">
        <v>14</v>
      </c>
      <c r="BM37" s="1660" t="s">
        <v>13</v>
      </c>
      <c r="BN37" s="1658" t="s">
        <v>14</v>
      </c>
      <c r="BO37" s="1660" t="s">
        <v>13</v>
      </c>
      <c r="BP37" s="1659" t="s">
        <v>14</v>
      </c>
      <c r="BQ37" s="1660" t="s">
        <v>13</v>
      </c>
      <c r="BS37" s="1658" t="s">
        <v>14</v>
      </c>
      <c r="BT37" s="1659" t="s">
        <v>13</v>
      </c>
      <c r="BU37" s="1658" t="s">
        <v>14</v>
      </c>
      <c r="BV37" s="1660" t="s">
        <v>13</v>
      </c>
      <c r="BW37" s="1658" t="s">
        <v>14</v>
      </c>
      <c r="BX37" s="1660" t="s">
        <v>13</v>
      </c>
      <c r="BY37" s="1659" t="s">
        <v>14</v>
      </c>
      <c r="BZ37" s="1660" t="s">
        <v>13</v>
      </c>
    </row>
    <row r="38" spans="21:78" ht="14" thickBot="1" x14ac:dyDescent="0.2">
      <c r="U38" s="468">
        <v>9</v>
      </c>
      <c r="V38" s="469">
        <f>C27</f>
        <v>-3.6870324159164726E-2</v>
      </c>
      <c r="W38" s="469">
        <f t="shared" ref="W38:X38" si="20">D27</f>
        <v>1.0536687283188326</v>
      </c>
      <c r="X38" s="469">
        <f t="shared" si="20"/>
        <v>464.50615866649201</v>
      </c>
      <c r="Y38" s="470">
        <f>C27-U29</f>
        <v>-9.9078324159164732E-2</v>
      </c>
      <c r="Z38" s="471">
        <f t="shared" si="14"/>
        <v>-63.359765308456076</v>
      </c>
      <c r="AA38" s="472">
        <f t="shared" si="15"/>
        <v>73.994470096419207</v>
      </c>
      <c r="AB38" s="473">
        <v>120</v>
      </c>
      <c r="AC38" s="474">
        <f t="shared" si="16"/>
        <v>73.994470096419207</v>
      </c>
      <c r="AD38" s="475">
        <f>V38*AC38^2+W38*AC38+X38</f>
        <v>340.60009727450125</v>
      </c>
      <c r="AE38" s="53">
        <f>X55*AC38^2+Y55*AC38+Z55</f>
        <v>106.37545483140913</v>
      </c>
      <c r="AI38">
        <v>9</v>
      </c>
      <c r="AJ38" s="3">
        <f t="shared" si="18"/>
        <v>73.994470096419207</v>
      </c>
      <c r="AL38">
        <v>4</v>
      </c>
      <c r="AM38" s="3">
        <f t="shared" si="19"/>
        <v>28.590110082325001</v>
      </c>
      <c r="BA38" t="s">
        <v>2885</v>
      </c>
      <c r="BJ38" s="1661">
        <v>25</v>
      </c>
      <c r="BK38" s="1662">
        <f>(-$BC$24-SQRT($BC$24^2-(4*$BB$24*($BD$24-BJ38))))/(2*$BB$24)</f>
        <v>131.65147221131414</v>
      </c>
      <c r="BL38" s="1661">
        <v>20</v>
      </c>
      <c r="BM38" s="1662">
        <f>(-$BC$25-SQRT($BC$25^2-(4*$BB$25*($BD$25-BL38))))/(2*$BB$25)</f>
        <v>116.85450849239542</v>
      </c>
      <c r="BN38" s="1661">
        <v>10</v>
      </c>
      <c r="BO38" s="1662">
        <f>(-$BC$26-SQRT($BC$26^2-(4*$BB$26*($BD$26-BN38))))/(2*$BB$26)</f>
        <v>86.014925141186822</v>
      </c>
      <c r="BP38" s="1661">
        <v>10</v>
      </c>
      <c r="BQ38" s="1662">
        <f>(-$BC$27-SQRT($BC$27^2-(4*$BB$27*($BD$27-BP38))))/(2*$BB$27)</f>
        <v>49.481696828913591</v>
      </c>
      <c r="BS38" s="1661">
        <v>25</v>
      </c>
      <c r="BT38" s="1662">
        <f>(-$BC$32-SQRT($BC$32^2-(4*$BB$32*($BD$32-BS38))))/(2*$BB$32)</f>
        <v>126.01974435017826</v>
      </c>
      <c r="BU38" s="1661">
        <v>20</v>
      </c>
      <c r="BV38" s="1662">
        <f t="array" ref="BV38">(-$BC$33-SQRT($BC$33^2-(4*$BB$33*($BD$33-BU38))))/(2*$BB$33)</f>
        <v>109.58070691735244</v>
      </c>
      <c r="BW38" s="1661">
        <v>10</v>
      </c>
      <c r="BX38" s="1662">
        <f>(-$BC$34-SQRT($BC$34^2-(4*$BB$34*($BD$34-BW38))))/(2*$BB$34)</f>
        <v>79.447008572256934</v>
      </c>
      <c r="BY38" s="1661">
        <v>10</v>
      </c>
      <c r="BZ38" s="1662">
        <f>(-$BC$35-SQRT($BC$35^2-(4*$BB$35*($BD$35-BY38))))/(2*$BB$35)</f>
        <v>44.757579886904097</v>
      </c>
    </row>
    <row r="39" spans="21:78" x14ac:dyDescent="0.15">
      <c r="BB39" t="s">
        <v>13</v>
      </c>
      <c r="BC39" s="4" t="s">
        <v>2886</v>
      </c>
      <c r="BD39" s="4" t="s">
        <v>2887</v>
      </c>
      <c r="BF39" t="s">
        <v>2119</v>
      </c>
      <c r="BJ39" s="55">
        <v>120</v>
      </c>
      <c r="BK39" s="57">
        <f t="shared" ref="BK39:BK44" si="21">(-$BC$24-SQRT($BC$24^2-(4*$BB$24*($BD$24-BJ39))))/(2*$BB$24)</f>
        <v>122.52946208046407</v>
      </c>
      <c r="BL39" s="55">
        <v>50</v>
      </c>
      <c r="BM39" s="57">
        <f>(-$BC$25-SQRT($BC$25^2-(4*$BB$25*($BD$25-BL39))))/(2*$BB$25)</f>
        <v>112.30721540202725</v>
      </c>
      <c r="BN39" s="55">
        <v>50</v>
      </c>
      <c r="BO39" s="57">
        <f t="shared" ref="BO39:BO43" si="22">(-$BC$26-SQRT($BC$26^2-(4*$BB$26*($BD$26-BN39))))/(2*$BB$26)</f>
        <v>76.488203324437805</v>
      </c>
      <c r="BP39" s="55">
        <v>20</v>
      </c>
      <c r="BQ39" s="57">
        <f t="shared" ref="BQ39:BQ42" si="23">(-$BC$27-SQRT($BC$27^2-(4*$BB$27*($BD$27-BP39))))/(2*$BB$27)</f>
        <v>45.39455871587581</v>
      </c>
      <c r="BS39" s="55">
        <v>120</v>
      </c>
      <c r="BT39" s="57">
        <f t="shared" ref="BT39:BT44" si="24">(-$BC$32-SQRT($BC$32^2-(4*$BB$32*($BD$32-BS39))))/(2*$BB$32)</f>
        <v>116.9551794907145</v>
      </c>
      <c r="BU39" s="55">
        <v>50</v>
      </c>
      <c r="BV39" s="57">
        <f t="array" ref="BV39">(-$BC$33-SQRT($BC$33^2-(4*$BB$33*($BD$33-BU39))))/(2*$BB$33)</f>
        <v>105.19149757967907</v>
      </c>
      <c r="BW39" s="55">
        <v>50</v>
      </c>
      <c r="BX39" s="57">
        <f t="shared" ref="BX39:BX43" si="25">(-$BC$34-SQRT($BC$34^2-(4*$BB$34*($BD$34-BW39))))/(2*$BB$34)</f>
        <v>70.55163127664099</v>
      </c>
      <c r="BY39" s="55">
        <v>20</v>
      </c>
      <c r="BZ39" s="57">
        <f t="shared" ref="BZ39:BZ42" si="26">(-$BC$35-SQRT($BC$35^2-(4*$BB$35*($BD$35-BY39))))/(2*$BB$35)</f>
        <v>41.068093478037703</v>
      </c>
    </row>
    <row r="40" spans="21:78" x14ac:dyDescent="0.15">
      <c r="U40" s="2" t="s">
        <v>35</v>
      </c>
      <c r="W40" t="s">
        <v>36</v>
      </c>
      <c r="BA40" t="s">
        <v>102</v>
      </c>
      <c r="BB40">
        <v>80</v>
      </c>
      <c r="BC40" s="5">
        <f>$BB$24*BB40^2+$BC$24*BB40+$BD$24</f>
        <v>422.12677859285827</v>
      </c>
      <c r="BD40" s="5">
        <f>$BB$32*BB40^2+$BC$32*BB40+$BD$32</f>
        <v>393.85919240115271</v>
      </c>
      <c r="BF40" s="3">
        <f>BD40-BC40</f>
        <v>-28.267586191705561</v>
      </c>
      <c r="BJ40" s="55">
        <v>190</v>
      </c>
      <c r="BK40" s="57">
        <f t="shared" si="21"/>
        <v>115.04274265297924</v>
      </c>
      <c r="BL40" s="55">
        <v>100</v>
      </c>
      <c r="BM40" s="57">
        <f t="shared" ref="BM40:BM44" si="27">(-$BC$25-SQRT($BC$25^2-(4*$BB$25*($BD$25-BL40))))/(2*$BB$25)</f>
        <v>104.21936943528442</v>
      </c>
      <c r="BN40" s="55">
        <v>90</v>
      </c>
      <c r="BO40" s="57">
        <f t="shared" si="22"/>
        <v>65.987586593828979</v>
      </c>
      <c r="BP40" s="55">
        <v>35</v>
      </c>
      <c r="BQ40" s="57">
        <f t="shared" si="23"/>
        <v>38.925666850998439</v>
      </c>
      <c r="BS40" s="55">
        <v>190</v>
      </c>
      <c r="BT40" s="57">
        <f t="shared" si="24"/>
        <v>109.49073106750077</v>
      </c>
      <c r="BU40" s="55">
        <v>100</v>
      </c>
      <c r="BV40" s="57">
        <f t="array" ref="BV40">(-$BC$33-SQRT($BC$33^2-(4*$BB$33*($BD$33-BU40))))/(2*$BB$33)</f>
        <v>97.381640927517822</v>
      </c>
      <c r="BW40" s="55">
        <v>90</v>
      </c>
      <c r="BX40" s="57">
        <f t="shared" si="25"/>
        <v>60.758451649660564</v>
      </c>
      <c r="BY40" s="55">
        <v>35</v>
      </c>
      <c r="BZ40" s="57">
        <f t="shared" si="26"/>
        <v>35.231683119514592</v>
      </c>
    </row>
    <row r="41" spans="21:78" x14ac:dyDescent="0.15">
      <c r="Z41" s="272" t="s">
        <v>596</v>
      </c>
      <c r="BB41">
        <v>50</v>
      </c>
      <c r="BC41" s="5">
        <f t="shared" ref="BC41:BC42" si="28">$BB$24*BB41^2+$BC$24*BB41+$BD$24</f>
        <v>495.7889121138644</v>
      </c>
      <c r="BD41" s="5">
        <f t="shared" ref="BD41:BD42" si="29">$BB$32*BB41^2+$BC$32*BB41+$BD$32</f>
        <v>482.18708702577987</v>
      </c>
      <c r="BF41" s="3">
        <f t="shared" ref="BF41:BF42" si="30">BD41-BC41</f>
        <v>-13.601825088084524</v>
      </c>
      <c r="BJ41" s="55">
        <v>250</v>
      </c>
      <c r="BK41" s="57">
        <f t="shared" si="21"/>
        <v>107.91088932436708</v>
      </c>
      <c r="BL41" s="55">
        <v>160</v>
      </c>
      <c r="BM41" s="57">
        <f t="shared" si="27"/>
        <v>93.431540814632683</v>
      </c>
      <c r="BN41" s="55">
        <v>130</v>
      </c>
      <c r="BO41" s="57">
        <f t="shared" si="22"/>
        <v>54.134504837324769</v>
      </c>
      <c r="BP41" s="55">
        <v>50</v>
      </c>
      <c r="BQ41" s="57">
        <f t="shared" si="23"/>
        <v>31.96867708479072</v>
      </c>
      <c r="BS41" s="55">
        <v>250</v>
      </c>
      <c r="BT41" s="57">
        <f t="shared" si="24"/>
        <v>102.35092924915141</v>
      </c>
      <c r="BU41" s="55">
        <v>160</v>
      </c>
      <c r="BV41" s="57">
        <f t="array" ref="BV41">(-$BC$33-SQRT($BC$33^2-(4*$BB$33*($BD$33-BU41))))/(2*$BB$33)</f>
        <v>86.956379745934314</v>
      </c>
      <c r="BW41" s="55">
        <v>130</v>
      </c>
      <c r="BX41" s="57">
        <f t="shared" si="25"/>
        <v>49.724123383608621</v>
      </c>
      <c r="BY41" s="55">
        <v>50</v>
      </c>
      <c r="BZ41" s="57">
        <f t="shared" si="26"/>
        <v>28.959997618885104</v>
      </c>
    </row>
    <row r="42" spans="21:78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  <c r="BB42">
        <v>25</v>
      </c>
      <c r="BC42" s="5">
        <f t="shared" si="28"/>
        <v>469.04794022638254</v>
      </c>
      <c r="BD42" s="5">
        <f t="shared" si="29"/>
        <v>464.07288812553372</v>
      </c>
      <c r="BF42" s="3">
        <f t="shared" si="30"/>
        <v>-4.9750521008488136</v>
      </c>
      <c r="BJ42" s="55">
        <v>320</v>
      </c>
      <c r="BK42" s="57">
        <f t="shared" si="21"/>
        <v>98.380674781731599</v>
      </c>
      <c r="BL42" s="55">
        <v>220</v>
      </c>
      <c r="BM42" s="57">
        <f t="shared" si="27"/>
        <v>80.921676740180061</v>
      </c>
      <c r="BN42" s="55">
        <v>160</v>
      </c>
      <c r="BO42" s="57">
        <f t="shared" si="22"/>
        <v>43.951833625457141</v>
      </c>
      <c r="BP42" s="55">
        <v>70</v>
      </c>
      <c r="BQ42" s="57">
        <f t="shared" si="23"/>
        <v>21.698347502443017</v>
      </c>
      <c r="BS42" s="55">
        <v>320</v>
      </c>
      <c r="BT42" s="57">
        <f t="shared" si="24"/>
        <v>92.744114863169855</v>
      </c>
      <c r="BU42" s="55">
        <v>220</v>
      </c>
      <c r="BV42" s="57">
        <f t="array" ref="BV42">(-$BC$33-SQRT($BC$33^2-(4*$BB$33*($BD$33-BU42))))/(2*$BB$33)</f>
        <v>74.849592000423684</v>
      </c>
      <c r="BW42" s="55">
        <v>160</v>
      </c>
      <c r="BX42" s="57">
        <f t="shared" si="25"/>
        <v>40.269638817294457</v>
      </c>
      <c r="BY42" s="55">
        <v>70</v>
      </c>
      <c r="BZ42" s="57">
        <f t="shared" si="26"/>
        <v>19.714016122663523</v>
      </c>
    </row>
    <row r="43" spans="21:78" x14ac:dyDescent="0.15">
      <c r="U43" s="10" t="s">
        <v>26</v>
      </c>
      <c r="V43" s="21"/>
      <c r="W43" s="49">
        <v>14</v>
      </c>
      <c r="X43" s="49">
        <v>11</v>
      </c>
      <c r="Y43" s="49">
        <v>4</v>
      </c>
      <c r="Z43" s="478">
        <v>-3</v>
      </c>
      <c r="AA43" s="49">
        <v>-11</v>
      </c>
      <c r="AB43" s="49">
        <v>-17</v>
      </c>
      <c r="AC43" s="49">
        <v>-25</v>
      </c>
      <c r="AD43" s="49">
        <v>-34</v>
      </c>
      <c r="AE43" s="39" t="s">
        <v>42</v>
      </c>
      <c r="AF43" s="53">
        <f>$W$5+W43</f>
        <v>58.262824069243834</v>
      </c>
      <c r="AG43" s="53">
        <f t="shared" ref="AG43:AM43" si="31">$W$5+X43</f>
        <v>55.262824069243834</v>
      </c>
      <c r="AH43" s="53">
        <f t="shared" si="31"/>
        <v>48.262824069243834</v>
      </c>
      <c r="AI43" s="53">
        <f t="shared" si="31"/>
        <v>41.262824069243834</v>
      </c>
      <c r="AJ43" s="53">
        <f t="shared" si="31"/>
        <v>33.262824069243834</v>
      </c>
      <c r="AK43" s="53">
        <f t="shared" si="31"/>
        <v>27.262824069243834</v>
      </c>
      <c r="AL43" s="53">
        <f t="shared" si="31"/>
        <v>19.262824069243834</v>
      </c>
      <c r="AM43" s="53">
        <f t="shared" si="31"/>
        <v>10.262824069243834</v>
      </c>
      <c r="AN43" s="5">
        <f t="array" ref="AN43">10*LOG10(SUM(10^(AF43:AM43/10)))</f>
        <v>60.371994295710834</v>
      </c>
      <c r="AO43" s="5">
        <f t="array" ref="AO43">10*LOG10(SUM(10^((AF43:AM43+AF46:AM46)/10)))</f>
        <v>44.540116011023088</v>
      </c>
      <c r="AP43" t="str">
        <f>IF(ABS(W5-AO43)&lt;0.5,"OK","Tarkista laskenta!")</f>
        <v>OK</v>
      </c>
      <c r="BA43" t="s">
        <v>405</v>
      </c>
      <c r="BB43">
        <v>50</v>
      </c>
      <c r="BC43" s="5">
        <f>$BB$26*BB43^2+$BC$26*BB43+$BD$26</f>
        <v>142.66722822837104</v>
      </c>
      <c r="BD43" s="5">
        <f>$BB$34*BB43^2+$BC$34*BB43+$BD$34</f>
        <v>129.06540314028652</v>
      </c>
      <c r="BF43" s="3">
        <f>BD43-BC43</f>
        <v>-13.601825088084524</v>
      </c>
      <c r="BJ43" s="55">
        <v>390</v>
      </c>
      <c r="BK43" s="57">
        <f t="shared" si="21"/>
        <v>86.68396882006833</v>
      </c>
      <c r="BL43" s="55">
        <v>270</v>
      </c>
      <c r="BM43" s="57">
        <f t="shared" si="27"/>
        <v>68.331598673084983</v>
      </c>
      <c r="BN43" s="55">
        <v>180</v>
      </c>
      <c r="BO43" s="57">
        <f t="shared" si="22"/>
        <v>36.255180897120141</v>
      </c>
      <c r="BP43" s="55"/>
      <c r="BQ43" s="57"/>
      <c r="BS43" s="55">
        <v>390</v>
      </c>
      <c r="BT43" s="57">
        <f t="shared" si="24"/>
        <v>80.772307836137671</v>
      </c>
      <c r="BU43" s="55">
        <v>270</v>
      </c>
      <c r="BV43" s="57">
        <f t="array" ref="BV43">(-$BC$33-SQRT($BC$33^2-(4*$BB$33*($BD$33-BU43))))/(2*$BB$33)</f>
        <v>62.633665607218042</v>
      </c>
      <c r="BW43" s="55">
        <v>180</v>
      </c>
      <c r="BX43" s="57">
        <f t="shared" si="25"/>
        <v>33.145608031307056</v>
      </c>
      <c r="BY43" s="55"/>
      <c r="BZ43" s="57"/>
    </row>
    <row r="44" spans="21:78" x14ac:dyDescent="0.15">
      <c r="U44" s="14" t="s">
        <v>29</v>
      </c>
      <c r="V44" s="26"/>
      <c r="W44" s="49">
        <v>10</v>
      </c>
      <c r="X44" s="49">
        <v>9</v>
      </c>
      <c r="Y44" s="49">
        <v>2</v>
      </c>
      <c r="Z44" s="49">
        <v>-3</v>
      </c>
      <c r="AA44" s="49">
        <v>-8</v>
      </c>
      <c r="AB44" s="49">
        <v>-9</v>
      </c>
      <c r="AC44" s="49">
        <v>-15</v>
      </c>
      <c r="AD44" s="49">
        <v>-25</v>
      </c>
      <c r="AE44" s="39" t="s">
        <v>43</v>
      </c>
      <c r="AF44" s="53">
        <f>$W$6+W44</f>
        <v>69.570501301046434</v>
      </c>
      <c r="AG44" s="53">
        <f t="shared" ref="AG44:AM44" si="32">$W$6+X44</f>
        <v>68.570501301046434</v>
      </c>
      <c r="AH44" s="53">
        <f t="shared" si="32"/>
        <v>61.570501301046434</v>
      </c>
      <c r="AI44" s="53">
        <f t="shared" si="32"/>
        <v>56.570501301046434</v>
      </c>
      <c r="AJ44" s="53">
        <f t="shared" si="32"/>
        <v>51.570501301046434</v>
      </c>
      <c r="AK44" s="53">
        <f t="shared" si="32"/>
        <v>50.570501301046434</v>
      </c>
      <c r="AL44" s="53">
        <f t="shared" si="32"/>
        <v>44.570501301046434</v>
      </c>
      <c r="AM44" s="53">
        <f t="shared" si="32"/>
        <v>34.570501301046434</v>
      </c>
      <c r="AN44" s="5">
        <f t="array" ref="AN44">10*LOG10(SUM(10^(AF44:AM44/10)))</f>
        <v>72.65583164233486</v>
      </c>
      <c r="AO44" s="5">
        <f t="array" ref="AO44">10*LOG10(SUM(10^((AF44:AM44+AF46:AM46)/10)))</f>
        <v>59.758944044581376</v>
      </c>
      <c r="AP44" t="str">
        <f>IF(ABS(W6-AO44)&lt;0.5,"OK","Tarkista laskenta!")</f>
        <v>OK</v>
      </c>
      <c r="BB44">
        <v>35</v>
      </c>
      <c r="BC44" s="5">
        <f t="shared" ref="BC44:BC45" si="33">$BB$26*BB44^2+$BC$26*BB44+$BD$26</f>
        <v>183.04314939795904</v>
      </c>
      <c r="BD44" s="5">
        <f t="shared" ref="BD44:BD45" si="34">$BB$34*BB44^2+$BC$34*BB44+$BD$34</f>
        <v>175.00953660393756</v>
      </c>
      <c r="BF44" s="3">
        <f t="shared" ref="BF44:BF45" si="35">BD44-BC44</f>
        <v>-8.0336127940214794</v>
      </c>
      <c r="BJ44" s="58">
        <v>460</v>
      </c>
      <c r="BK44" s="60">
        <f t="shared" si="21"/>
        <v>69.837702333332686</v>
      </c>
      <c r="BL44" s="58">
        <v>320</v>
      </c>
      <c r="BM44" s="60">
        <f t="shared" si="27"/>
        <v>51.732198585414771</v>
      </c>
      <c r="BN44" s="58"/>
      <c r="BO44" s="60"/>
      <c r="BP44" s="58"/>
      <c r="BQ44" s="60"/>
      <c r="BS44" s="58">
        <v>460</v>
      </c>
      <c r="BT44" s="60">
        <f t="shared" si="24"/>
        <v>62.490705197281741</v>
      </c>
      <c r="BU44" s="58">
        <v>320</v>
      </c>
      <c r="BV44" s="60">
        <f t="array" ref="BV44">(-$BC$33-SQRT($BC$33^2-(4*$BB$33*($BD$33-BU44))))/(2*$BB$33)</f>
        <v>46.424019513205216</v>
      </c>
      <c r="BW44" s="58"/>
      <c r="BX44" s="60"/>
      <c r="BY44" s="58"/>
      <c r="BZ44" s="60"/>
    </row>
    <row r="45" spans="21:78" x14ac:dyDescent="0.15">
      <c r="BB45">
        <v>20</v>
      </c>
      <c r="BC45" s="5">
        <f t="shared" si="33"/>
        <v>214.66917091213674</v>
      </c>
      <c r="BD45" s="5">
        <f t="shared" si="34"/>
        <v>211.02732490701331</v>
      </c>
      <c r="BF45" s="3">
        <f t="shared" si="35"/>
        <v>-3.6418460051234263</v>
      </c>
    </row>
    <row r="46" spans="21:78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LINEST(Y62:Y68,X62:X68^{1,2})</f>
        <v>-3.4236604592539389E-3</v>
      </c>
      <c r="Y51" s="54">
        <v>1.5421848224316317</v>
      </c>
      <c r="Z51" s="54">
        <v>37.443278459150719</v>
      </c>
    </row>
    <row r="52" spans="3:26" x14ac:dyDescent="0.15">
      <c r="W52" t="s">
        <v>408</v>
      </c>
      <c r="X52" s="54">
        <f t="array" ref="X52:Z52">LINEST(Y70:Y76,X70:X76^{1,2})</f>
        <v>9.4671948071448607E-4</v>
      </c>
      <c r="Y52" s="54">
        <v>0.65720019999995249</v>
      </c>
      <c r="Z52" s="54">
        <v>34.957644074228078</v>
      </c>
    </row>
    <row r="53" spans="3:26" x14ac:dyDescent="0.15">
      <c r="W53" t="s">
        <v>411</v>
      </c>
      <c r="X53" s="54">
        <f t="array" ref="X53:Z53">LINEST(Y78:Y82,X78:X82^{1,2})</f>
        <v>8.9726201042233825E-4</v>
      </c>
      <c r="Y53" s="54">
        <v>0.36354226451479688</v>
      </c>
      <c r="Z53" s="54">
        <v>18.602543187653659</v>
      </c>
    </row>
    <row r="54" spans="3:26" x14ac:dyDescent="0.15">
      <c r="W54" t="s">
        <v>409</v>
      </c>
      <c r="X54" s="54">
        <f t="array" ref="X54:Z54">LINEST(Y86:Y89,X86:X89^{1,2})</f>
        <v>6.4187170713691719E-4</v>
      </c>
      <c r="Y54" s="54">
        <v>0.15621011075667512</v>
      </c>
      <c r="Z54" s="54">
        <v>8.8154238855828133</v>
      </c>
    </row>
    <row r="55" spans="3:26" x14ac:dyDescent="0.15">
      <c r="W55" t="s">
        <v>590</v>
      </c>
      <c r="X55" s="54">
        <f t="array" ref="X55:Z55">LINEST(Y92:Y97,X92:X97^{1,2})</f>
        <v>2.0751024366382253E-3</v>
      </c>
      <c r="Y55" s="54">
        <v>0.46877906942341152</v>
      </c>
      <c r="Z55" s="54">
        <v>60.326833307870515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595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124.45552078709319</v>
      </c>
      <c r="E59" s="68">
        <v>59.464218542298468</v>
      </c>
      <c r="F59" s="69">
        <v>165.9919822255446</v>
      </c>
      <c r="H59" t="s">
        <v>4</v>
      </c>
      <c r="I59" t="s">
        <v>5</v>
      </c>
      <c r="K59" s="24"/>
      <c r="M59" s="10" t="s">
        <v>3</v>
      </c>
      <c r="N59" s="67">
        <v>124.49829752500722</v>
      </c>
      <c r="O59" s="68">
        <v>74.843704730864445</v>
      </c>
      <c r="P59" s="69">
        <v>165.86949773154004</v>
      </c>
      <c r="R59" t="s">
        <v>4</v>
      </c>
      <c r="S59" t="s">
        <v>5</v>
      </c>
      <c r="T59" s="24" t="s">
        <v>6</v>
      </c>
      <c r="W59" s="10" t="s">
        <v>3</v>
      </c>
      <c r="X59" s="476">
        <v>126.54627249330899</v>
      </c>
      <c r="Y59" s="476">
        <v>166.57546823070092</v>
      </c>
    </row>
    <row r="60" spans="3:26" x14ac:dyDescent="0.15">
      <c r="C60" s="12"/>
      <c r="D60" s="67">
        <v>116.51720534386456</v>
      </c>
      <c r="E60" s="68">
        <v>59.36196924526331</v>
      </c>
      <c r="F60" s="69">
        <v>165.84555811748919</v>
      </c>
      <c r="H60" s="2">
        <f t="array" ref="H60:J60">LINEST(E59:E62,D59:D62^{1,2})</f>
        <v>2.9785118681800921E-4</v>
      </c>
      <c r="I60" s="2">
        <v>-9.1487390304493876E-2</v>
      </c>
      <c r="J60" s="2">
        <v>66.147421689206922</v>
      </c>
      <c r="K60" s="24"/>
      <c r="M60" s="12"/>
      <c r="N60" s="67">
        <v>116.22872893281689</v>
      </c>
      <c r="O60" s="68">
        <v>74.987135559894881</v>
      </c>
      <c r="P60" s="69">
        <v>166.29135930641289</v>
      </c>
      <c r="R60" s="2">
        <f t="array" ref="R60:T60">LINEST(O59:O62,N59:N62^{1,2})</f>
        <v>4.3617810256051922E-5</v>
      </c>
      <c r="S60" s="2">
        <v>-4.897118835104744E-2</v>
      </c>
      <c r="T60" s="27">
        <v>80.206296174288539</v>
      </c>
      <c r="W60" s="12"/>
      <c r="X60" s="476">
        <v>124.17422218989299</v>
      </c>
      <c r="Y60" s="476">
        <v>167.97619510885116</v>
      </c>
    </row>
    <row r="61" spans="3:26" x14ac:dyDescent="0.15">
      <c r="C61" s="12"/>
      <c r="D61" s="67">
        <v>101.70534454841015</v>
      </c>
      <c r="E61" s="68">
        <v>60.027949452160676</v>
      </c>
      <c r="F61" s="69">
        <v>165.40944993196536</v>
      </c>
      <c r="K61" s="24"/>
      <c r="M61" s="12"/>
      <c r="N61" s="67">
        <v>102.73164382577521</v>
      </c>
      <c r="O61" s="68">
        <v>75.708977921572853</v>
      </c>
      <c r="P61" s="69">
        <v>165.85387179540533</v>
      </c>
      <c r="T61" s="24"/>
      <c r="W61" s="12"/>
      <c r="X61" s="476">
        <v>119.51684900019518</v>
      </c>
      <c r="Y61" s="476">
        <v>166.98982665915423</v>
      </c>
    </row>
    <row r="62" spans="3:26" x14ac:dyDescent="0.15">
      <c r="C62" s="14"/>
      <c r="D62" s="67">
        <v>82.365017043939588</v>
      </c>
      <c r="E62" s="68">
        <v>60.608228329655951</v>
      </c>
      <c r="F62" s="69">
        <v>141.33296670855381</v>
      </c>
      <c r="K62" s="24"/>
      <c r="M62" s="14"/>
      <c r="N62" s="67">
        <v>82.099032137491747</v>
      </c>
      <c r="O62" s="68">
        <v>76.464934909676941</v>
      </c>
      <c r="P62" s="69">
        <v>140.66995601793832</v>
      </c>
      <c r="T62" s="24"/>
      <c r="W62" s="12"/>
      <c r="X62" s="476">
        <v>115.07326296692654</v>
      </c>
      <c r="Y62" s="476">
        <v>167.55901865645629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6">
        <v>110.37714302386942</v>
      </c>
      <c r="Y63" s="476">
        <v>166.83068715224474</v>
      </c>
    </row>
    <row r="64" spans="3:26" x14ac:dyDescent="0.15">
      <c r="C64" s="10" t="s">
        <v>408</v>
      </c>
      <c r="D64" s="67">
        <v>108.61605915705071</v>
      </c>
      <c r="E64" s="68">
        <v>56.814264092463056</v>
      </c>
      <c r="F64" s="69">
        <v>113.88364344629936</v>
      </c>
      <c r="H64" t="s">
        <v>4</v>
      </c>
      <c r="I64" t="s">
        <v>5</v>
      </c>
      <c r="K64" s="24"/>
      <c r="M64" s="10" t="s">
        <v>408</v>
      </c>
      <c r="N64" s="67">
        <v>108.79901687814959</v>
      </c>
      <c r="O64" s="68">
        <v>72.000070714917115</v>
      </c>
      <c r="P64" s="69">
        <v>113.03683983307199</v>
      </c>
      <c r="R64" t="s">
        <v>4</v>
      </c>
      <c r="S64" t="s">
        <v>5</v>
      </c>
      <c r="T64" s="24" t="s">
        <v>6</v>
      </c>
      <c r="W64" s="12"/>
      <c r="X64" s="476">
        <v>103.29973361775856</v>
      </c>
      <c r="Y64" s="476">
        <v>163.1785428035638</v>
      </c>
    </row>
    <row r="65" spans="3:25" x14ac:dyDescent="0.15">
      <c r="C65" s="12"/>
      <c r="D65" s="67">
        <v>98.281498327194029</v>
      </c>
      <c r="E65" s="68">
        <v>56.095905975041596</v>
      </c>
      <c r="F65" s="69">
        <v>105.60183590543593</v>
      </c>
      <c r="H65" s="2">
        <f t="array" ref="H65:J65">LINEST(E64:E67,D64:D67^{1,2})</f>
        <v>1.5649693664364307E-3</v>
      </c>
      <c r="I65" s="2">
        <v>-0.26008301166913017</v>
      </c>
      <c r="J65" s="2">
        <v>66.582810233316422</v>
      </c>
      <c r="K65" s="24"/>
      <c r="M65" s="12"/>
      <c r="N65" s="67">
        <v>97.159742938215373</v>
      </c>
      <c r="O65" s="68">
        <v>71.638832438309009</v>
      </c>
      <c r="P65" s="69">
        <v>105.3675356622455</v>
      </c>
      <c r="R65" s="2">
        <f t="array" ref="R65:T65">LINEST(O64:O67,N64:N67^{1,2})</f>
        <v>8.6768554296753236E-4</v>
      </c>
      <c r="S65" s="2">
        <v>-0.15748307507892151</v>
      </c>
      <c r="T65" s="27">
        <v>78.832556252786034</v>
      </c>
      <c r="W65" s="12"/>
      <c r="X65" s="476">
        <v>92.00971203437571</v>
      </c>
      <c r="Y65" s="476">
        <v>149.02892706748165</v>
      </c>
    </row>
    <row r="66" spans="3:25" x14ac:dyDescent="0.15">
      <c r="C66" s="12"/>
      <c r="D66" s="67">
        <v>84.237915047166098</v>
      </c>
      <c r="E66" s="68">
        <v>55.812437707556704</v>
      </c>
      <c r="F66" s="69">
        <v>96.726317106350749</v>
      </c>
      <c r="K66" s="24"/>
      <c r="M66" s="12"/>
      <c r="N66" s="67">
        <v>85.227725522189502</v>
      </c>
      <c r="O66" s="68">
        <v>71.781837965876733</v>
      </c>
      <c r="P66" s="69">
        <v>97.125324970441312</v>
      </c>
      <c r="T66" s="24"/>
      <c r="W66" s="12"/>
      <c r="X66" s="476">
        <v>79.647869425429306</v>
      </c>
      <c r="Y66" s="476">
        <v>137.70061008294681</v>
      </c>
    </row>
    <row r="67" spans="3:25" x14ac:dyDescent="0.15">
      <c r="C67" s="14"/>
      <c r="D67" s="67">
        <v>68.226231139270695</v>
      </c>
      <c r="E67" s="68">
        <v>56.113551475189496</v>
      </c>
      <c r="F67" s="69">
        <v>80.48587455606517</v>
      </c>
      <c r="K67" s="24"/>
      <c r="M67" s="14"/>
      <c r="N67" s="67">
        <v>67.119168106658208</v>
      </c>
      <c r="O67" s="68">
        <v>72.155935238638762</v>
      </c>
      <c r="P67" s="69">
        <v>80.129145413246434</v>
      </c>
      <c r="T67" s="24"/>
      <c r="W67" s="12"/>
      <c r="X67" s="476">
        <v>68.418898324482583</v>
      </c>
      <c r="Y67" s="476">
        <v>126.95007636248987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6">
        <v>52.880453885014383</v>
      </c>
      <c r="Y68" s="476">
        <v>109.75920069451099</v>
      </c>
    </row>
    <row r="69" spans="3:25" x14ac:dyDescent="0.15">
      <c r="C69" s="10" t="s">
        <v>411</v>
      </c>
      <c r="D69" s="67">
        <v>78.91869125446334</v>
      </c>
      <c r="E69" s="68">
        <v>50.35449179308835</v>
      </c>
      <c r="F69" s="69">
        <v>50.836284857584332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79.189925082805274</v>
      </c>
      <c r="O69" s="68">
        <v>65.344965804359333</v>
      </c>
      <c r="P69" s="69">
        <v>50.70703394287019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15">
      <c r="C70" s="12"/>
      <c r="D70" s="67">
        <v>70.580249223838763</v>
      </c>
      <c r="E70" s="68">
        <v>49.716367440911277</v>
      </c>
      <c r="F70" s="69">
        <v>47.069382630623501</v>
      </c>
      <c r="H70" s="2">
        <f t="array" ref="H70:J70">LINEST(E69:E72,D69:D72^{1,2})</f>
        <v>2.7428549467869434E-3</v>
      </c>
      <c r="I70" s="2">
        <v>-0.32629820087661743</v>
      </c>
      <c r="J70" s="2">
        <v>59.039187247919919</v>
      </c>
      <c r="K70" s="24"/>
      <c r="M70" s="12"/>
      <c r="N70" s="67">
        <v>69.29180640070085</v>
      </c>
      <c r="O70" s="68">
        <v>65.19105994578031</v>
      </c>
      <c r="P70" s="69">
        <v>46.99743501140545</v>
      </c>
      <c r="R70" s="2">
        <f t="array" ref="R70:T70">LINEST(O69:O72,N69:N72^{1,2})</f>
        <v>1.0734400981006976E-3</v>
      </c>
      <c r="S70" s="2">
        <v>-0.14376398239124202</v>
      </c>
      <c r="T70" s="27">
        <v>69.998203962674538</v>
      </c>
      <c r="W70" s="10" t="s">
        <v>408</v>
      </c>
      <c r="X70" s="68">
        <v>42.211275851555982</v>
      </c>
      <c r="Y70" s="68">
        <v>64.573221113007946</v>
      </c>
    </row>
    <row r="71" spans="3:25" x14ac:dyDescent="0.15">
      <c r="C71" s="12"/>
      <c r="D71" s="67">
        <v>61.003247611336789</v>
      </c>
      <c r="E71" s="68">
        <v>49.303164455402957</v>
      </c>
      <c r="F71" s="69">
        <v>42.978374174843594</v>
      </c>
      <c r="K71" s="24"/>
      <c r="M71" s="12"/>
      <c r="N71" s="67">
        <v>61.072161700876308</v>
      </c>
      <c r="O71" s="68">
        <v>65.221443421121307</v>
      </c>
      <c r="P71" s="69">
        <v>43.141457558458256</v>
      </c>
      <c r="T71" s="24"/>
      <c r="W71" s="12"/>
      <c r="X71" s="68">
        <v>58.642949192646377</v>
      </c>
      <c r="Y71" s="68">
        <v>76.697210767145009</v>
      </c>
    </row>
    <row r="72" spans="3:25" x14ac:dyDescent="0.15">
      <c r="C72" s="14"/>
      <c r="D72" s="67">
        <v>50.009324712830463</v>
      </c>
      <c r="E72" s="68">
        <v>49.591899884279549</v>
      </c>
      <c r="F72" s="69">
        <v>35.922361330779701</v>
      </c>
      <c r="K72" s="24"/>
      <c r="M72" s="14"/>
      <c r="N72" s="67">
        <v>48.975695956645126</v>
      </c>
      <c r="O72" s="68">
        <v>65.532160154792763</v>
      </c>
      <c r="P72" s="69">
        <v>35.820839070720623</v>
      </c>
      <c r="T72" s="24"/>
      <c r="W72" s="12"/>
      <c r="X72" s="68">
        <v>71.897152256247168</v>
      </c>
      <c r="Y72" s="68">
        <v>86.468910889524679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89.052329006531664</v>
      </c>
      <c r="Y73" s="68">
        <v>101.34825145413782</v>
      </c>
    </row>
    <row r="74" spans="3:25" x14ac:dyDescent="0.15">
      <c r="C74" s="10" t="s">
        <v>409</v>
      </c>
      <c r="D74" s="67">
        <v>47.209584540076754</v>
      </c>
      <c r="E74" s="68">
        <v>41.263554965594018</v>
      </c>
      <c r="F74" s="69">
        <v>17.215072524447773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47.482793089946028</v>
      </c>
      <c r="O74" s="68">
        <v>55.826600262242778</v>
      </c>
      <c r="P74" s="69">
        <v>17.306027642812015</v>
      </c>
      <c r="R74" t="s">
        <v>4</v>
      </c>
      <c r="S74" t="s">
        <v>5</v>
      </c>
      <c r="T74" s="24" t="s">
        <v>6</v>
      </c>
      <c r="W74" s="12"/>
      <c r="X74" s="68">
        <v>97.587712481034103</v>
      </c>
      <c r="Y74" s="68">
        <v>108.33146437607296</v>
      </c>
    </row>
    <row r="75" spans="3:25" x14ac:dyDescent="0.15">
      <c r="C75" s="12"/>
      <c r="D75" s="67">
        <v>42.465356495567598</v>
      </c>
      <c r="E75" s="68">
        <v>40.752210874042227</v>
      </c>
      <c r="F75" s="69">
        <v>16.023545295394058</v>
      </c>
      <c r="H75" s="2">
        <f t="array" ref="H75:J75">LINEST(E74:E77,D74:D77^{1,2})</f>
        <v>2.8607603152526464E-3</v>
      </c>
      <c r="I75" s="2">
        <v>-0.19238470919133641</v>
      </c>
      <c r="J75" s="2">
        <v>43.91187573702544</v>
      </c>
      <c r="K75" s="24"/>
      <c r="M75" s="12"/>
      <c r="N75" s="67">
        <v>41.228509340499677</v>
      </c>
      <c r="O75" s="68">
        <v>55.930075733390261</v>
      </c>
      <c r="P75" s="69">
        <v>16.094799581803635</v>
      </c>
      <c r="R75" s="2">
        <f t="array" ref="R75:T75">LINEST(O74:O77,N74:N77^{1,2})</f>
        <v>-7.972785221342936E-4</v>
      </c>
      <c r="S75" s="2">
        <v>6.7108403572348707E-2</v>
      </c>
      <c r="T75" s="27">
        <v>54.45610395097529</v>
      </c>
      <c r="W75" s="12"/>
      <c r="X75" s="68">
        <v>104.27133188591066</v>
      </c>
      <c r="Y75" s="68">
        <v>114.30265628247243</v>
      </c>
    </row>
    <row r="76" spans="3:25" x14ac:dyDescent="0.15">
      <c r="C76" s="12"/>
      <c r="D76" s="67">
        <v>37.102816665150158</v>
      </c>
      <c r="E76" s="68">
        <v>40.829184240359169</v>
      </c>
      <c r="F76" s="69">
        <v>14.707852309873795</v>
      </c>
      <c r="K76" s="24"/>
      <c r="M76" s="12"/>
      <c r="N76" s="67">
        <v>36.475191125897595</v>
      </c>
      <c r="O76" s="68">
        <v>55.788583914062073</v>
      </c>
      <c r="P76" s="69">
        <v>14.963197928138866</v>
      </c>
      <c r="T76" s="24"/>
      <c r="W76" s="14"/>
      <c r="X76" s="68">
        <v>111.74275916804318</v>
      </c>
      <c r="Y76" s="68">
        <v>119.61292912838947</v>
      </c>
    </row>
    <row r="77" spans="3:25" x14ac:dyDescent="0.15">
      <c r="C77" s="14"/>
      <c r="D77" s="67">
        <v>29.182562373170153</v>
      </c>
      <c r="E77" s="68">
        <v>40.707367893087195</v>
      </c>
      <c r="F77" s="69">
        <v>13.182504343154573</v>
      </c>
      <c r="G77" s="25"/>
      <c r="H77" s="25"/>
      <c r="I77" s="25"/>
      <c r="J77" s="25"/>
      <c r="K77" s="26"/>
      <c r="M77" s="14"/>
      <c r="N77" s="67">
        <v>27.664795652547159</v>
      </c>
      <c r="O77" s="68">
        <v>55.713078457982796</v>
      </c>
      <c r="P77" s="69">
        <v>13.355668289558517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15">
      <c r="W78" s="10" t="s">
        <v>411</v>
      </c>
      <c r="X78" s="68">
        <v>81.198846939796766</v>
      </c>
      <c r="Y78" s="68">
        <v>53.948619317926948</v>
      </c>
    </row>
    <row r="79" spans="3:25" x14ac:dyDescent="0.15">
      <c r="F79" s="5"/>
      <c r="W79" s="12"/>
      <c r="X79" s="68">
        <v>70.254539314096192</v>
      </c>
      <c r="Y79" s="68">
        <v>48.762386933316016</v>
      </c>
    </row>
    <row r="80" spans="3:25" x14ac:dyDescent="0.15">
      <c r="F80" s="5"/>
      <c r="W80" s="12"/>
      <c r="X80" s="68">
        <v>52.851142891263699</v>
      </c>
      <c r="Y80" s="68">
        <v>40.17479588942841</v>
      </c>
    </row>
    <row r="81" spans="6:25" x14ac:dyDescent="0.15">
      <c r="F81" s="5"/>
      <c r="W81" s="12"/>
      <c r="X81" s="68">
        <v>35.427885488417679</v>
      </c>
      <c r="Y81" s="68">
        <v>32.654563666299268</v>
      </c>
    </row>
    <row r="82" spans="6:25" x14ac:dyDescent="0.15">
      <c r="F82" s="5"/>
      <c r="W82" s="12"/>
      <c r="X82" s="68">
        <v>24.980850337281851</v>
      </c>
      <c r="Y82" s="68">
        <v>28.243687599468238</v>
      </c>
    </row>
    <row r="83" spans="6:25" x14ac:dyDescent="0.15">
      <c r="W83" s="12"/>
      <c r="X83" s="17"/>
      <c r="Y83" s="13"/>
    </row>
    <row r="84" spans="6:25" x14ac:dyDescent="0.15">
      <c r="W84" s="14"/>
      <c r="X84" s="18"/>
      <c r="Y84" s="15"/>
    </row>
    <row r="85" spans="6:25" x14ac:dyDescent="0.15">
      <c r="W85" s="12"/>
      <c r="X85" s="16" t="s">
        <v>13</v>
      </c>
      <c r="Y85" s="11" t="s">
        <v>49</v>
      </c>
    </row>
    <row r="86" spans="6:25" x14ac:dyDescent="0.15">
      <c r="W86" s="10" t="s">
        <v>409</v>
      </c>
      <c r="X86" s="68">
        <v>11.711435293612686</v>
      </c>
      <c r="Y86" s="68">
        <v>10.725288918422793</v>
      </c>
    </row>
    <row r="87" spans="6:25" x14ac:dyDescent="0.15">
      <c r="F87" s="5"/>
      <c r="W87" s="12"/>
      <c r="X87" s="68">
        <v>27.818556286951857</v>
      </c>
      <c r="Y87" s="68">
        <v>13.699672910599288</v>
      </c>
    </row>
    <row r="88" spans="6:25" x14ac:dyDescent="0.15">
      <c r="F88" s="5"/>
      <c r="W88" s="12"/>
      <c r="X88" s="68">
        <v>36.046560556264176</v>
      </c>
      <c r="Y88" s="68">
        <v>15.230560172038357</v>
      </c>
    </row>
    <row r="89" spans="6:25" x14ac:dyDescent="0.15">
      <c r="F89" s="5"/>
      <c r="W89" s="12"/>
      <c r="X89" s="68">
        <v>46.471423023508507</v>
      </c>
      <c r="Y89" s="68">
        <v>17.476266161553145</v>
      </c>
    </row>
    <row r="90" spans="6:25" x14ac:dyDescent="0.15">
      <c r="F90" s="5"/>
      <c r="W90" s="12"/>
      <c r="X90" s="17"/>
      <c r="Y90" s="13"/>
    </row>
    <row r="91" spans="6:25" x14ac:dyDescent="0.15">
      <c r="F91" s="5"/>
      <c r="W91" s="12"/>
      <c r="X91" s="16" t="s">
        <v>13</v>
      </c>
      <c r="Y91" s="11" t="s">
        <v>49</v>
      </c>
    </row>
    <row r="92" spans="6:25" x14ac:dyDescent="0.15">
      <c r="F92" s="5"/>
      <c r="W92" s="10" t="s">
        <v>590</v>
      </c>
      <c r="X92" s="68">
        <v>141.10404124096343</v>
      </c>
      <c r="Y92" s="68">
        <v>167.93655444929746</v>
      </c>
    </row>
    <row r="93" spans="6:25" x14ac:dyDescent="0.15">
      <c r="F93" s="5"/>
      <c r="W93" s="12"/>
      <c r="X93" s="68">
        <v>124.94903554906834</v>
      </c>
      <c r="Y93" s="68">
        <v>151.20163489695867</v>
      </c>
    </row>
    <row r="94" spans="6:25" x14ac:dyDescent="0.15">
      <c r="F94" s="5"/>
      <c r="W94" s="12"/>
      <c r="X94" s="68">
        <v>106.62217899469141</v>
      </c>
      <c r="Y94" s="68">
        <v>133.50891905510676</v>
      </c>
    </row>
    <row r="95" spans="6:25" x14ac:dyDescent="0.15">
      <c r="F95" s="5"/>
      <c r="W95" s="12"/>
      <c r="X95" s="68">
        <v>64.419920557585854</v>
      </c>
      <c r="Y95" s="68">
        <v>99.092044063706723</v>
      </c>
    </row>
    <row r="96" spans="6:25" x14ac:dyDescent="0.15">
      <c r="F96" s="5"/>
      <c r="W96" s="14"/>
      <c r="X96" s="68">
        <v>56.229712184516153</v>
      </c>
      <c r="Y96" s="68">
        <v>93.114830247782109</v>
      </c>
    </row>
    <row r="97" spans="6:25" x14ac:dyDescent="0.15">
      <c r="F97" s="5"/>
      <c r="X97" s="68">
        <v>83.611180354954868</v>
      </c>
      <c r="Y97" s="68">
        <v>114.54522119951174</v>
      </c>
    </row>
    <row r="98" spans="6:25" x14ac:dyDescent="0.15">
      <c r="F98" s="5"/>
      <c r="W98" t="s">
        <v>597</v>
      </c>
    </row>
    <row r="99" spans="6:25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DCFC9-7D31-4C59-8BC5-3082C9523AEE}">
  <dimension ref="A2:BZ99"/>
  <sheetViews>
    <sheetView topLeftCell="C1" zoomScale="70" zoomScaleNormal="70" workbookViewId="0">
      <selection activeCell="R20" sqref="R20"/>
    </sheetView>
  </sheetViews>
  <sheetFormatPr baseColWidth="10" defaultColWidth="8.83203125" defaultRowHeight="13" x14ac:dyDescent="0.15"/>
  <cols>
    <col min="1" max="1" width="12.6640625" customWidth="1"/>
    <col min="16" max="16" width="10.83203125" customWidth="1"/>
    <col min="22" max="22" width="13" customWidth="1"/>
    <col min="25" max="25" width="10" customWidth="1"/>
  </cols>
  <sheetData>
    <row r="2" spans="1:60" x14ac:dyDescent="0.15">
      <c r="C2" s="2" t="s">
        <v>0</v>
      </c>
      <c r="J2" t="s">
        <v>15</v>
      </c>
    </row>
    <row r="3" spans="1:60" x14ac:dyDescent="0.15">
      <c r="J3" s="7">
        <f>'R-series ENT'!$G$33</f>
        <v>34.722222222222221</v>
      </c>
      <c r="K3" t="s">
        <v>13</v>
      </c>
      <c r="L3" s="7">
        <f>'R-series ENT'!$G$39</f>
        <v>90</v>
      </c>
      <c r="M3" t="s">
        <v>14</v>
      </c>
      <c r="P3" t="s">
        <v>34</v>
      </c>
      <c r="AA3" s="2" t="s">
        <v>53</v>
      </c>
    </row>
    <row r="4" spans="1:60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1:60" x14ac:dyDescent="0.15">
      <c r="C5" t="s">
        <v>2</v>
      </c>
      <c r="D5" s="1"/>
      <c r="E5" s="1"/>
      <c r="H5" s="1"/>
      <c r="P5" s="52">
        <f t="array" ref="P5:Q5">LINEST(AF34:AF37,LN(AC34:AC37))</f>
        <v>22.090748086017904</v>
      </c>
      <c r="Q5" s="52">
        <v>-31.463686196122495</v>
      </c>
      <c r="R5" t="s">
        <v>28</v>
      </c>
      <c r="T5" s="4"/>
      <c r="U5" s="39" t="s">
        <v>43</v>
      </c>
      <c r="V5" t="s">
        <v>8</v>
      </c>
      <c r="W5" s="9">
        <f>$P$5*LN($J$3)+$Q$5</f>
        <v>46.900589359925604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BA5" t="s">
        <v>2873</v>
      </c>
    </row>
    <row r="6" spans="1:60" x14ac:dyDescent="0.15">
      <c r="C6" s="2" t="s">
        <v>3</v>
      </c>
      <c r="D6" s="1"/>
      <c r="E6" s="1"/>
      <c r="H6" s="1"/>
      <c r="P6" s="52">
        <f t="array" ref="P6:Q6">LINEST(AG34:AG37,LN(AC34:AC37))</f>
        <v>22.626400953247547</v>
      </c>
      <c r="Q6" s="52">
        <v>-21.373841028628078</v>
      </c>
      <c r="R6" t="s">
        <v>7</v>
      </c>
      <c r="T6" s="4"/>
      <c r="U6" s="39" t="s">
        <v>43</v>
      </c>
      <c r="V6" t="s">
        <v>57</v>
      </c>
      <c r="W6" s="9">
        <f>$P$6*LN($J$3)+$Q$6</f>
        <v>58.890598737637035</v>
      </c>
      <c r="X6" t="s">
        <v>31</v>
      </c>
      <c r="AA6" s="55">
        <v>25</v>
      </c>
      <c r="AB6" s="56">
        <f t="shared" ref="AB6:AB12" si="0">(-$D$9-SQRT($D$9^2-(4*$C$9*($E$9-AA6))))/(2*$C$9)</f>
        <v>142.50784343790036</v>
      </c>
      <c r="AC6" s="55">
        <v>20</v>
      </c>
      <c r="AD6" s="57">
        <f t="shared" ref="AD6:AD12" si="1">(-$D$14-SQRT($D$14^2-(4*$C$14*($E$14-AC6))))/(2*$C$14)</f>
        <v>123.9136684003799</v>
      </c>
      <c r="AE6" s="55">
        <v>15</v>
      </c>
      <c r="AF6" s="57">
        <f t="shared" ref="AF6:AF11" si="2">(-$D$19-SQRT($D$19^2-(4*$C$19*($E$19-AE6))))/(2*$C$19)</f>
        <v>91.581706317939648</v>
      </c>
      <c r="AG6" s="56">
        <v>10</v>
      </c>
      <c r="AH6" s="57">
        <f>(-$D$24-SQRT($D$24^2-(4*$C$24*($E$24-AG6))))/(2*$C$24)</f>
        <v>55.48862206138228</v>
      </c>
    </row>
    <row r="7" spans="1:60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133.54670360166355</v>
      </c>
      <c r="AC7" s="55">
        <v>50</v>
      </c>
      <c r="AD7" s="57">
        <f t="shared" si="1"/>
        <v>119.39610535585672</v>
      </c>
      <c r="AE7" s="55">
        <v>40</v>
      </c>
      <c r="AF7" s="57">
        <f t="shared" si="2"/>
        <v>85.952274612072401</v>
      </c>
      <c r="AG7" s="56">
        <v>20</v>
      </c>
      <c r="AH7" s="57">
        <f>(-$D$24-SQRT($D$24^2-(4*$C$24*($E$24-AG7))))/(2*$C$24)</f>
        <v>51.968529040147651</v>
      </c>
      <c r="BA7" s="2" t="s">
        <v>2874</v>
      </c>
    </row>
    <row r="8" spans="1:60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126.16500651811565</v>
      </c>
      <c r="AC8" s="55">
        <v>100</v>
      </c>
      <c r="AD8" s="57">
        <f t="shared" si="1"/>
        <v>111.34979062702189</v>
      </c>
      <c r="AE8" s="55">
        <v>60</v>
      </c>
      <c r="AF8" s="57">
        <f t="shared" si="2"/>
        <v>81.134573528729419</v>
      </c>
      <c r="AG8" s="56">
        <v>30</v>
      </c>
      <c r="AH8" s="57">
        <f>(-$D$24-SQRT($D$24^2-(4*$C$24*($E$24-AG8))))/(2*$C$24)</f>
        <v>48.206575766589324</v>
      </c>
      <c r="BA8" t="s">
        <v>2888</v>
      </c>
    </row>
    <row r="9" spans="1:60" x14ac:dyDescent="0.15">
      <c r="A9" s="2" t="s">
        <v>2876</v>
      </c>
      <c r="C9" s="1652">
        <f>BB32</f>
        <v>-6.8434614715027708E-2</v>
      </c>
      <c r="D9" s="1652">
        <f t="shared" ref="D9:E9" si="3">BC32</f>
        <v>8.2903566317182396</v>
      </c>
      <c r="E9" s="1652">
        <f t="shared" si="3"/>
        <v>233.3625317052983</v>
      </c>
      <c r="H9" s="2"/>
      <c r="P9" t="s">
        <v>616</v>
      </c>
      <c r="Q9" s="52">
        <f t="array" ref="Q9:R9">LINEST(AM35:AM38,AL35:AL38)</f>
        <v>8.2415350171792952</v>
      </c>
      <c r="R9" s="52">
        <v>-2.5798358256481109</v>
      </c>
      <c r="S9" s="84">
        <f>(J3-R9)/Q9</f>
        <v>4.5261056308218102</v>
      </c>
      <c r="U9" s="39" t="s">
        <v>42</v>
      </c>
      <c r="V9" t="s">
        <v>58</v>
      </c>
      <c r="W9" s="9">
        <f>IF($J$3&gt;$AM$35,($J$3-$R$10)/$Q$10,($J$3-$R$9)/$Q$9)</f>
        <v>4.5261056308218102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119.10149788792224</v>
      </c>
      <c r="AC9" s="55">
        <v>150</v>
      </c>
      <c r="AD9" s="57">
        <f t="shared" si="1"/>
        <v>102.48393643561623</v>
      </c>
      <c r="AE9" s="55">
        <v>80</v>
      </c>
      <c r="AF9" s="57">
        <f t="shared" si="2"/>
        <v>75.97293214384446</v>
      </c>
      <c r="AG9" s="56">
        <v>35</v>
      </c>
      <c r="AH9" s="57">
        <f>(-$D$24-SQRT($D$24^2-(4*$C$24*($E$24-AG9))))/(2*$C$24)</f>
        <v>46.217679334679865</v>
      </c>
      <c r="BA9" t="s">
        <v>2877</v>
      </c>
    </row>
    <row r="10" spans="1:60" x14ac:dyDescent="0.15">
      <c r="C10" s="2"/>
      <c r="D10" s="2"/>
      <c r="E10" s="2"/>
      <c r="H10" s="2"/>
      <c r="P10" t="s">
        <v>614</v>
      </c>
      <c r="Q10" s="52">
        <f t="array" ref="Q10:R10">LINEST(AM34:AM35,AL34:AL35)</f>
        <v>7.6050865649033037</v>
      </c>
      <c r="R10" s="52">
        <v>2.6206202102794407</v>
      </c>
      <c r="S10" s="84">
        <f>(J3-R10)/Q10</f>
        <v>4.2210699034102239</v>
      </c>
      <c r="W10" t="b">
        <f>IF(AND(W9&gt;=0,W9&lt;=10.01,'R-series ENT'!G33&gt;=W11,P21),TRUE,FALSE)</f>
        <v>1</v>
      </c>
      <c r="AA10" s="55">
        <v>320</v>
      </c>
      <c r="AB10" s="56">
        <f t="shared" si="0"/>
        <v>109.59077137600245</v>
      </c>
      <c r="AC10" s="55">
        <v>170</v>
      </c>
      <c r="AD10" s="57">
        <f t="shared" si="1"/>
        <v>98.643736362646024</v>
      </c>
      <c r="AE10" s="55">
        <v>100</v>
      </c>
      <c r="AF10" s="57">
        <f t="shared" si="2"/>
        <v>70.381118945435134</v>
      </c>
      <c r="AG10" s="56">
        <v>80</v>
      </c>
      <c r="AH10" s="57">
        <f>(-$D$24-SQRT($D$24^2-(4*$C$24*($E$24-AG10))))/(2*$C$24)</f>
        <v>21.971393009889287</v>
      </c>
      <c r="BA10" t="s">
        <v>2878</v>
      </c>
    </row>
    <row r="11" spans="1:60" x14ac:dyDescent="0.15">
      <c r="C11" s="2" t="s">
        <v>404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97.720092125961884</v>
      </c>
      <c r="AC11" s="55">
        <v>190</v>
      </c>
      <c r="AD11" s="57">
        <f t="shared" si="1"/>
        <v>94.595258574250607</v>
      </c>
      <c r="AE11" s="55">
        <v>185</v>
      </c>
      <c r="AF11" s="57">
        <f t="shared" si="2"/>
        <v>35.916971395500518</v>
      </c>
      <c r="AG11" s="56"/>
      <c r="AH11" s="57"/>
    </row>
    <row r="12" spans="1:60" x14ac:dyDescent="0.1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79.469872844831499</v>
      </c>
      <c r="AC12" s="58">
        <v>325</v>
      </c>
      <c r="AD12" s="60">
        <f t="shared" si="1"/>
        <v>55.892288183544039</v>
      </c>
      <c r="AE12" s="58"/>
      <c r="AF12" s="60"/>
      <c r="AG12" s="59"/>
      <c r="AH12" s="60"/>
      <c r="BA12" s="4" t="s">
        <v>1219</v>
      </c>
      <c r="BB12" s="4" t="s">
        <v>2868</v>
      </c>
      <c r="BC12" s="4" t="s">
        <v>2869</v>
      </c>
      <c r="BD12" t="s">
        <v>87</v>
      </c>
    </row>
    <row r="13" spans="1:60" x14ac:dyDescent="0.15">
      <c r="C13" t="s">
        <v>4</v>
      </c>
      <c r="D13" t="s">
        <v>5</v>
      </c>
      <c r="E13" t="s">
        <v>6</v>
      </c>
      <c r="P13" s="51">
        <f t="array" ref="P13:R13">LINEST(AE34:AE38,AC34:AC38^{1,2})</f>
        <v>3.8987152489491098E-2</v>
      </c>
      <c r="Q13" s="51">
        <v>-1.67303250804935</v>
      </c>
      <c r="R13" s="51">
        <v>28.308775254651408</v>
      </c>
      <c r="U13" s="39" t="s">
        <v>43</v>
      </c>
      <c r="V13" t="s">
        <v>44</v>
      </c>
      <c r="W13" s="9">
        <f>$P$13*J3^2+$Q$13*J3+$R$13</f>
        <v>17.221555272096694</v>
      </c>
      <c r="X13" t="s">
        <v>49</v>
      </c>
      <c r="Y13" t="s">
        <v>592</v>
      </c>
      <c r="BA13" s="4">
        <v>0</v>
      </c>
      <c r="BB13" s="4">
        <v>0</v>
      </c>
      <c r="BC13" s="4">
        <v>0</v>
      </c>
      <c r="BD13" s="5">
        <f>BC13-BB13</f>
        <v>0</v>
      </c>
      <c r="BF13" t="s">
        <v>2868</v>
      </c>
    </row>
    <row r="14" spans="1:60" x14ac:dyDescent="0.15">
      <c r="A14" s="2" t="s">
        <v>2876</v>
      </c>
      <c r="C14" s="1652">
        <f>BB33</f>
        <v>-3.3964323344811122E-2</v>
      </c>
      <c r="D14" s="1652">
        <f t="shared" ref="D14:E14" si="4">BC33</f>
        <v>1.6231033313714081</v>
      </c>
      <c r="E14" s="1652">
        <f t="shared" si="4"/>
        <v>340.38381670537291</v>
      </c>
      <c r="H14" s="2"/>
      <c r="V14" t="s">
        <v>52</v>
      </c>
      <c r="W14" s="3">
        <f>IF(W13&gt;Y14,Y14,W13)</f>
        <v>17.221555272096694</v>
      </c>
      <c r="X14" t="s">
        <v>49</v>
      </c>
      <c r="Y14">
        <v>168</v>
      </c>
      <c r="BA14" s="4">
        <v>20</v>
      </c>
      <c r="BB14" s="5">
        <v>10.663988849438311</v>
      </c>
      <c r="BC14" s="5">
        <v>7.5156214655086053</v>
      </c>
      <c r="BD14" s="5">
        <f t="shared" ref="BD14:BD20" si="5">BC14-BB14</f>
        <v>-3.1483673839297062</v>
      </c>
      <c r="BF14">
        <f t="array" ref="BF14:BH14">LINEST(BB13:BB20,BA13:BA20^{1,2})</f>
        <v>7.8152333610529978E-3</v>
      </c>
      <c r="BG14">
        <v>0.37742100021391006</v>
      </c>
      <c r="BH14">
        <v>-4.6044684267414482E-3</v>
      </c>
    </row>
    <row r="15" spans="1:60" x14ac:dyDescent="0.15">
      <c r="C15" s="2"/>
      <c r="D15" s="2"/>
      <c r="E15" s="2"/>
      <c r="H15" s="2"/>
      <c r="BA15" s="4">
        <v>40</v>
      </c>
      <c r="BB15" s="5">
        <v>27.594635574203007</v>
      </c>
      <c r="BC15" s="5">
        <v>18.000161056465664</v>
      </c>
      <c r="BD15" s="5">
        <f t="shared" si="5"/>
        <v>-9.5944745177373427</v>
      </c>
      <c r="BF15" t="s">
        <v>2869</v>
      </c>
    </row>
    <row r="16" spans="1:60" ht="14" thickBot="1" x14ac:dyDescent="0.2">
      <c r="C16" s="2" t="s">
        <v>411</v>
      </c>
      <c r="D16" s="1"/>
      <c r="E16" s="1"/>
      <c r="H16" s="1"/>
      <c r="V16" t="s">
        <v>44</v>
      </c>
      <c r="W16">
        <f>'Laskenta tulopuoli 130_ENT'!W13</f>
        <v>18.877731672521207</v>
      </c>
      <c r="BA16" s="4">
        <v>60</v>
      </c>
      <c r="BB16" s="5">
        <v>50.77615342540247</v>
      </c>
      <c r="BC16" s="5">
        <v>32.753775013829411</v>
      </c>
      <c r="BD16" s="5">
        <f t="shared" si="5"/>
        <v>-18.022378411573058</v>
      </c>
      <c r="BF16">
        <f t="array" ref="BF16:BH16">LINEST(BC13:BC20,BA13:BA20^{1,2})</f>
        <v>5.2009100162418807E-3</v>
      </c>
      <c r="BG16">
        <v>0.22842433158531805</v>
      </c>
      <c r="BH16">
        <v>0.37921223694615236</v>
      </c>
    </row>
    <row r="17" spans="1:60" x14ac:dyDescent="0.15">
      <c r="C17" t="s">
        <v>11</v>
      </c>
      <c r="D17" s="1"/>
      <c r="E17" s="1"/>
      <c r="H17" s="1"/>
      <c r="P17" s="228" t="s">
        <v>605</v>
      </c>
      <c r="Q17" s="230"/>
      <c r="R17" s="231"/>
      <c r="V17" t="s">
        <v>73</v>
      </c>
      <c r="W17">
        <v>4.4000000000000004</v>
      </c>
      <c r="BA17" s="4">
        <v>80</v>
      </c>
      <c r="BB17" s="5">
        <v>80.208542403036688</v>
      </c>
      <c r="BC17" s="5">
        <v>51.776463337599857</v>
      </c>
      <c r="BD17" s="5">
        <f t="shared" si="5"/>
        <v>-28.432079065436831</v>
      </c>
      <c r="BF17" t="s">
        <v>87</v>
      </c>
    </row>
    <row r="18" spans="1:60" x14ac:dyDescent="0.15">
      <c r="C18" t="s">
        <v>4</v>
      </c>
      <c r="D18" t="s">
        <v>5</v>
      </c>
      <c r="E18" t="s">
        <v>6</v>
      </c>
      <c r="H18" s="1"/>
      <c r="P18" s="232" t="s">
        <v>606</v>
      </c>
      <c r="Q18">
        <v>350</v>
      </c>
      <c r="R18" s="364" t="s">
        <v>14</v>
      </c>
      <c r="BA18" s="4">
        <v>100</v>
      </c>
      <c r="BB18" s="5">
        <v>115.89180250710567</v>
      </c>
      <c r="BC18" s="5">
        <v>75.068226027776973</v>
      </c>
      <c r="BD18" s="5">
        <f t="shared" si="5"/>
        <v>-40.823576479328693</v>
      </c>
      <c r="BF18" s="2">
        <f>BF16-BF14</f>
        <v>-2.6143233448111172E-3</v>
      </c>
      <c r="BG18" s="2">
        <f t="shared" ref="BG18:BH18" si="6">BG16-BG14</f>
        <v>-0.14899666862859201</v>
      </c>
      <c r="BH18" s="2">
        <f t="shared" si="6"/>
        <v>0.38381670537289381</v>
      </c>
    </row>
    <row r="19" spans="1:60" x14ac:dyDescent="0.15">
      <c r="A19" s="2" t="s">
        <v>2876</v>
      </c>
      <c r="C19" s="1652">
        <f>BB34</f>
        <v>-2.7719376554634863E-2</v>
      </c>
      <c r="D19" s="1652">
        <f t="shared" ref="D19:E19" si="7">BC34</f>
        <v>0.48018566236673338</v>
      </c>
      <c r="E19" s="1652">
        <f t="shared" si="7"/>
        <v>203.51198032246958</v>
      </c>
      <c r="P19" s="232" t="s">
        <v>607</v>
      </c>
      <c r="Q19">
        <v>0.32</v>
      </c>
      <c r="R19" s="364"/>
      <c r="V19" s="74" t="s">
        <v>74</v>
      </c>
      <c r="W19" s="77">
        <f>W13+W16+W17</f>
        <v>40.4992869446179</v>
      </c>
      <c r="X19" s="75" t="s">
        <v>49</v>
      </c>
      <c r="AB19" s="6"/>
      <c r="AC19" s="6"/>
      <c r="BA19" s="4">
        <v>120</v>
      </c>
      <c r="BB19" s="5">
        <v>157.82593373760943</v>
      </c>
      <c r="BC19" s="5">
        <v>102.62906308436081</v>
      </c>
      <c r="BD19" s="5">
        <f t="shared" si="5"/>
        <v>-55.196870653248624</v>
      </c>
      <c r="BF19">
        <f t="array" ref="BF19:BH19">LINEST(BD13:BD20,BA13:BA20^{1,2})</f>
        <v>-2.6143233448111137E-3</v>
      </c>
      <c r="BG19">
        <v>-0.14899666862859198</v>
      </c>
      <c r="BH19">
        <v>0.3838167053728796</v>
      </c>
    </row>
    <row r="20" spans="1:60" x14ac:dyDescent="0.15">
      <c r="C20" s="2"/>
      <c r="D20" s="2"/>
      <c r="E20" s="2"/>
      <c r="H20" s="1"/>
      <c r="P20" s="232"/>
      <c r="R20" s="364"/>
      <c r="AB20" s="6"/>
      <c r="AC20" s="6"/>
      <c r="BA20" s="4">
        <v>140</v>
      </c>
      <c r="BB20" s="5">
        <v>206.01093609454793</v>
      </c>
      <c r="BC20" s="5">
        <v>134.45897450735134</v>
      </c>
      <c r="BD20" s="5">
        <f t="shared" si="5"/>
        <v>-71.551961587196587</v>
      </c>
    </row>
    <row r="21" spans="1:60" ht="14" thickBot="1" x14ac:dyDescent="0.2">
      <c r="C21" s="2" t="s">
        <v>409</v>
      </c>
      <c r="D21" s="1"/>
      <c r="E21" s="1"/>
      <c r="H21" s="1"/>
      <c r="P21" s="236" t="b">
        <f>IF(AND(L3&gt;Q18,U29&gt;Q19),FALSE,TRUE)</f>
        <v>1</v>
      </c>
      <c r="Q21" s="238"/>
      <c r="R21" s="239"/>
      <c r="V21" t="s">
        <v>78</v>
      </c>
      <c r="W21">
        <f>MAX(J3,'Laskenta poistopuoli 60_ENT'!J3)</f>
        <v>34.722222222222221</v>
      </c>
      <c r="X21" t="s">
        <v>13</v>
      </c>
      <c r="AB21" s="6"/>
      <c r="AC21" s="6"/>
    </row>
    <row r="22" spans="1:60" ht="15" x14ac:dyDescent="0.15">
      <c r="C22" t="s">
        <v>11</v>
      </c>
      <c r="D22" s="1"/>
      <c r="E22" s="1"/>
      <c r="H22" s="1"/>
      <c r="V22" t="s">
        <v>75</v>
      </c>
      <c r="W22">
        <f>W19/W21</f>
        <v>1.1663794640049956</v>
      </c>
      <c r="X22" t="s">
        <v>77</v>
      </c>
      <c r="AB22" s="6"/>
      <c r="AC22" s="6"/>
      <c r="BA22" s="2" t="s">
        <v>2880</v>
      </c>
    </row>
    <row r="23" spans="1:60" x14ac:dyDescent="0.15">
      <c r="C23" t="s">
        <v>4</v>
      </c>
      <c r="D23" t="s">
        <v>5</v>
      </c>
      <c r="E23" t="s">
        <v>6</v>
      </c>
      <c r="H23" s="1"/>
      <c r="P23">
        <v>80</v>
      </c>
      <c r="Q23">
        <f>$C$27*P23^2+$D$27*P23+$E$27</f>
        <v>354.02610006228417</v>
      </c>
      <c r="BB23" t="s">
        <v>4</v>
      </c>
      <c r="BC23" t="s">
        <v>5</v>
      </c>
      <c r="BD23" t="s">
        <v>6</v>
      </c>
    </row>
    <row r="24" spans="1:60" x14ac:dyDescent="0.15">
      <c r="A24" s="2" t="s">
        <v>2876</v>
      </c>
      <c r="C24" s="1652">
        <f>BB35</f>
        <v>-2.5080923808135078E-2</v>
      </c>
      <c r="D24" s="1652">
        <f t="shared" ref="D24:E24" si="8">BC35</f>
        <v>-0.14570939822880949</v>
      </c>
      <c r="E24" s="1652">
        <f t="shared" si="8"/>
        <v>95.309056553547634</v>
      </c>
      <c r="H24" s="1"/>
      <c r="P24">
        <v>90</v>
      </c>
      <c r="Q24">
        <f t="shared" ref="Q24:Q25" si="9">$C$27*P24^2+$D$27*P24+$E$27</f>
        <v>320.32891592265509</v>
      </c>
      <c r="BA24" t="s">
        <v>102</v>
      </c>
      <c r="BB24" s="8">
        <v>-6.5820291370216596E-2</v>
      </c>
      <c r="BC24" s="8">
        <v>8.4393533003468324</v>
      </c>
      <c r="BD24" s="8">
        <v>232.97871499992539</v>
      </c>
    </row>
    <row r="25" spans="1:60" x14ac:dyDescent="0.15">
      <c r="E25" s="2"/>
      <c r="F25" s="2"/>
      <c r="G25" s="2"/>
      <c r="H25" s="1"/>
      <c r="P25">
        <v>135</v>
      </c>
      <c r="Q25">
        <f t="shared" si="9"/>
        <v>64.552714203089977</v>
      </c>
      <c r="BA25" t="s">
        <v>404</v>
      </c>
      <c r="BB25" s="8">
        <v>-3.1350000000000003E-2</v>
      </c>
      <c r="BC25" s="8">
        <v>1.7721</v>
      </c>
      <c r="BD25" s="8">
        <v>340</v>
      </c>
    </row>
    <row r="26" spans="1:60" x14ac:dyDescent="0.15">
      <c r="C26" s="2" t="s">
        <v>591</v>
      </c>
      <c r="BA26" t="s">
        <v>405</v>
      </c>
      <c r="BB26" s="8">
        <v>-2.5105053209823747E-2</v>
      </c>
      <c r="BC26" s="8">
        <v>0.62918233099532539</v>
      </c>
      <c r="BD26" s="8">
        <v>203.12816361709667</v>
      </c>
    </row>
    <row r="27" spans="1:60" x14ac:dyDescent="0.15">
      <c r="A27" s="2" t="s">
        <v>2876</v>
      </c>
      <c r="C27" s="1652">
        <f>BB36</f>
        <v>-4.2076312360094639E-2</v>
      </c>
      <c r="D27" s="1652">
        <f t="shared" ref="D27:E27" si="10">BC36</f>
        <v>3.7832546872531814</v>
      </c>
      <c r="E27" s="1652">
        <f t="shared" si="10"/>
        <v>320.65412418663533</v>
      </c>
      <c r="U27" t="s">
        <v>37</v>
      </c>
      <c r="BA27" t="s">
        <v>406</v>
      </c>
      <c r="BB27" s="8">
        <v>-2.2466600463323962E-2</v>
      </c>
      <c r="BC27" s="8">
        <v>3.287270399782534E-3</v>
      </c>
      <c r="BD27" s="8">
        <v>94.925239848174741</v>
      </c>
    </row>
    <row r="28" spans="1:60" x14ac:dyDescent="0.15">
      <c r="C28" s="466" t="s">
        <v>594</v>
      </c>
      <c r="U28" s="4" t="s">
        <v>17</v>
      </c>
      <c r="BA28" t="s">
        <v>2881</v>
      </c>
      <c r="BB28" s="8">
        <v>-3.946198901528352E-2</v>
      </c>
      <c r="BC28" s="8">
        <v>3.9322513558817733</v>
      </c>
      <c r="BD28" s="8">
        <v>320.27030748126242</v>
      </c>
    </row>
    <row r="29" spans="1:60" x14ac:dyDescent="0.15">
      <c r="U29" s="4">
        <f>(L3/J3)^2/L3</f>
        <v>7.4649599999999997E-2</v>
      </c>
    </row>
    <row r="30" spans="1:60" x14ac:dyDescent="0.15">
      <c r="BA30" s="2" t="s">
        <v>2882</v>
      </c>
    </row>
    <row r="31" spans="1:60" x14ac:dyDescent="0.15">
      <c r="U31" s="2" t="s">
        <v>16</v>
      </c>
      <c r="AS31" s="2" t="s">
        <v>1110</v>
      </c>
      <c r="BB31" t="s">
        <v>4</v>
      </c>
      <c r="BC31" t="s">
        <v>5</v>
      </c>
      <c r="BD31" t="s">
        <v>6</v>
      </c>
    </row>
    <row r="32" spans="1:60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  <c r="BA32" t="s">
        <v>102</v>
      </c>
      <c r="BB32">
        <f>BB24+$BF$18</f>
        <v>-6.8434614715027708E-2</v>
      </c>
      <c r="BC32">
        <f>BC24+$BG$18</f>
        <v>8.2903566317182396</v>
      </c>
      <c r="BD32">
        <f>BD24+$BH$18</f>
        <v>233.3625317052983</v>
      </c>
    </row>
    <row r="33" spans="21:78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  <c r="BA33" t="s">
        <v>404</v>
      </c>
      <c r="BB33">
        <f t="shared" ref="BB33:BB36" si="11">BB25+$BF$18</f>
        <v>-3.3964323344811122E-2</v>
      </c>
      <c r="BC33">
        <f t="shared" ref="BC33:BC36" si="12">BC25+$BG$18</f>
        <v>1.6231033313714081</v>
      </c>
      <c r="BD33">
        <f t="shared" ref="BD33:BD36" si="13">BD25+$BH$18</f>
        <v>340.38381670537291</v>
      </c>
    </row>
    <row r="34" spans="21:78" x14ac:dyDescent="0.15">
      <c r="U34" s="35">
        <v>10</v>
      </c>
      <c r="V34" s="98">
        <f>C9</f>
        <v>-6.8434614715027708E-2</v>
      </c>
      <c r="W34" s="99">
        <f>D9</f>
        <v>8.2903566317182396</v>
      </c>
      <c r="X34" s="100">
        <f>E9</f>
        <v>233.3625317052983</v>
      </c>
      <c r="Y34" s="36">
        <f>C9-U29</f>
        <v>-0.14308421471502769</v>
      </c>
      <c r="Z34" s="28">
        <f>(-W34+SQRT(W34^2-(4*Y34*X34)))/(2*Y34)</f>
        <v>-20.731085877178547</v>
      </c>
      <c r="AA34" s="29">
        <f>(-W34-SQRT(W34^2-(4*Y34*X34)))/(2*Y34)</f>
        <v>78.671485859312483</v>
      </c>
      <c r="AB34" s="36">
        <f>AB6</f>
        <v>142.50784343790036</v>
      </c>
      <c r="AC34" s="53">
        <f>IF(Z34&lt;0,AA34,IF(Z34&gt;AB34,AA34,Z34))</f>
        <v>78.671485859312483</v>
      </c>
      <c r="AD34" s="53">
        <f>V34*AC34^2+W34*AC34+X34</f>
        <v>462.02150492676611</v>
      </c>
      <c r="AE34" s="53">
        <f>X51*AC34^2+Y51*AC34+Z51</f>
        <v>135.79527762681647</v>
      </c>
      <c r="AF34" s="53">
        <f>$H$60*AC34^2+$I$60*AC34+$J$60</f>
        <v>64.21276234508619</v>
      </c>
      <c r="AG34" s="53">
        <f>$R$60*AC34^2+$S$60*AC34+$T$60</f>
        <v>77.21701571523576</v>
      </c>
      <c r="AI34">
        <v>10</v>
      </c>
      <c r="AJ34" s="3">
        <f>AC34</f>
        <v>78.671485859312483</v>
      </c>
      <c r="AL34">
        <v>10</v>
      </c>
      <c r="AM34" s="3">
        <f>AJ34</f>
        <v>78.671485859312483</v>
      </c>
      <c r="AS34" s="616">
        <f>AC34/$J$3-1</f>
        <v>1.2657387927481998</v>
      </c>
      <c r="AV34" s="278" t="b">
        <f>IF(AS36&gt;AC34,FALSE,TRUE)</f>
        <v>1</v>
      </c>
      <c r="AW34" t="s">
        <v>1117</v>
      </c>
      <c r="BA34" t="s">
        <v>405</v>
      </c>
      <c r="BB34">
        <f t="shared" si="11"/>
        <v>-2.7719376554634863E-2</v>
      </c>
      <c r="BC34">
        <f t="shared" si="12"/>
        <v>0.48018566236673338</v>
      </c>
      <c r="BD34">
        <f t="shared" si="13"/>
        <v>203.51198032246958</v>
      </c>
      <c r="BJ34" t="s">
        <v>2883</v>
      </c>
      <c r="BS34" t="s">
        <v>2883</v>
      </c>
    </row>
    <row r="35" spans="21:78" x14ac:dyDescent="0.15">
      <c r="U35" s="35">
        <v>8</v>
      </c>
      <c r="V35" s="98">
        <f>C14</f>
        <v>-3.3964323344811122E-2</v>
      </c>
      <c r="W35" s="99">
        <f>D14</f>
        <v>1.6231033313714081</v>
      </c>
      <c r="X35" s="100">
        <f>E14</f>
        <v>340.38381670537291</v>
      </c>
      <c r="Y35" s="36">
        <f>C14-U29</f>
        <v>-0.10861392334481113</v>
      </c>
      <c r="Z35" s="28">
        <f t="shared" ref="Z35:Z38" si="14">(-W35+SQRT(W35^2-(4*Y35*X35)))/(2*Y35)</f>
        <v>-49.005683417851962</v>
      </c>
      <c r="AA35" s="29">
        <f t="shared" ref="AA35:AA38" si="15">(-W35-SQRT(W35^2-(4*Y35*X35)))/(2*Y35)</f>
        <v>63.949470378006446</v>
      </c>
      <c r="AB35" s="36">
        <f>AD6</f>
        <v>123.9136684003799</v>
      </c>
      <c r="AC35" s="53">
        <f t="shared" ref="AC35:AC38" si="16">IF(Z35&lt;0,AA35,IF(Z35&gt;AB35,AA35,Z35))</f>
        <v>63.949470378006446</v>
      </c>
      <c r="AD35" s="53">
        <f>V35*AC35^2+W35*AC35+X35</f>
        <v>305.28213414159006</v>
      </c>
      <c r="AE35" s="53">
        <f t="shared" ref="AE35:AE37" si="17">X52*AC35^2+Y52*AC35+Z52</f>
        <v>78.026190401950501</v>
      </c>
      <c r="AF35" s="53">
        <f>$H$65*AC35^2+$I$65*AC35+$J$65</f>
        <v>60.944737454712808</v>
      </c>
      <c r="AG35" s="53">
        <f>$R$65*AC35^2+$S$65*AC35+$T$65</f>
        <v>73.299874419283952</v>
      </c>
      <c r="AI35">
        <v>8</v>
      </c>
      <c r="AJ35" s="3">
        <f t="shared" ref="AJ35:AJ38" si="18">AC35</f>
        <v>63.949470378006446</v>
      </c>
      <c r="AL35">
        <v>9</v>
      </c>
      <c r="AM35" s="3">
        <f>AJ38</f>
        <v>71.06639929440918</v>
      </c>
      <c r="AO35">
        <v>9</v>
      </c>
      <c r="AP35">
        <f>Q9*AO35+R9</f>
        <v>71.59397932896556</v>
      </c>
      <c r="AQ35" t="s">
        <v>13</v>
      </c>
      <c r="AS35" t="s">
        <v>1114</v>
      </c>
      <c r="AV35" t="s">
        <v>1116</v>
      </c>
      <c r="BA35" t="s">
        <v>406</v>
      </c>
      <c r="BB35">
        <f t="shared" si="11"/>
        <v>-2.5080923808135078E-2</v>
      </c>
      <c r="BC35">
        <f t="shared" si="12"/>
        <v>-0.14570939822880949</v>
      </c>
      <c r="BD35">
        <f t="shared" si="13"/>
        <v>95.309056553547634</v>
      </c>
      <c r="BJ35" s="2" t="s">
        <v>2884</v>
      </c>
      <c r="BS35" s="2" t="s">
        <v>2727</v>
      </c>
    </row>
    <row r="36" spans="21:78" x14ac:dyDescent="0.15">
      <c r="U36" s="35">
        <v>6</v>
      </c>
      <c r="V36" s="98">
        <f>C19</f>
        <v>-2.7719376554634863E-2</v>
      </c>
      <c r="W36" s="99">
        <f>D19</f>
        <v>0.48018566236673338</v>
      </c>
      <c r="X36" s="100">
        <f>E19</f>
        <v>203.51198032246958</v>
      </c>
      <c r="Y36" s="36">
        <f>C19-U29</f>
        <v>-0.10236897655463487</v>
      </c>
      <c r="Z36" s="28">
        <f t="shared" si="14"/>
        <v>-42.303538001848651</v>
      </c>
      <c r="AA36" s="29">
        <f t="shared" si="15"/>
        <v>46.99427223137819</v>
      </c>
      <c r="AB36" s="36">
        <f>AF6</f>
        <v>91.581706317939648</v>
      </c>
      <c r="AC36" s="53">
        <f t="shared" si="16"/>
        <v>46.99427223137819</v>
      </c>
      <c r="AD36" s="53">
        <f>V36*AC36^2+W36*AC36+X36</f>
        <v>164.86077673922236</v>
      </c>
      <c r="AE36" s="53">
        <f t="shared" si="17"/>
        <v>35.411493084678412</v>
      </c>
      <c r="AF36" s="53">
        <f>$H$70*AC36^2+$I$70*AC36+$J$70</f>
        <v>54.284281873774873</v>
      </c>
      <c r="AG36" s="53">
        <f>$R$70*AC36^2+$S$70*AC36+$T$70</f>
        <v>65.124882003366267</v>
      </c>
      <c r="AI36">
        <v>6</v>
      </c>
      <c r="AJ36" s="3">
        <f t="shared" si="18"/>
        <v>46.99427223137819</v>
      </c>
      <c r="AL36">
        <v>8</v>
      </c>
      <c r="AM36" s="3">
        <f>AJ35</f>
        <v>63.949470378006446</v>
      </c>
      <c r="AS36" s="279">
        <f>Tulokset_ENT!$CS$16</f>
        <v>41.666666666666664</v>
      </c>
      <c r="AT36" t="s">
        <v>13</v>
      </c>
      <c r="AV36" s="617">
        <f>IF($AS$36&gt;$AM$35,($AS$36-$R$10)/$Q$10,($AS$36-$R$9)/$Q$9)</f>
        <v>5.3687210453008971</v>
      </c>
      <c r="AW36" t="s">
        <v>25</v>
      </c>
      <c r="BA36" t="s">
        <v>2881</v>
      </c>
      <c r="BB36">
        <f t="shared" si="11"/>
        <v>-4.2076312360094639E-2</v>
      </c>
      <c r="BC36">
        <f t="shared" si="12"/>
        <v>3.7832546872531814</v>
      </c>
      <c r="BD36">
        <f t="shared" si="13"/>
        <v>320.65412418663533</v>
      </c>
      <c r="BJ36" s="1655" t="s">
        <v>102</v>
      </c>
      <c r="BK36" s="1656"/>
      <c r="BL36" s="1655" t="s">
        <v>404</v>
      </c>
      <c r="BM36" s="1657"/>
      <c r="BN36" s="1655" t="s">
        <v>405</v>
      </c>
      <c r="BO36" s="1657"/>
      <c r="BP36" s="1656" t="s">
        <v>406</v>
      </c>
      <c r="BQ36" s="1657"/>
      <c r="BS36" s="1655" t="s">
        <v>102</v>
      </c>
      <c r="BT36" s="1656"/>
      <c r="BU36" s="1655" t="s">
        <v>404</v>
      </c>
      <c r="BV36" s="1657"/>
      <c r="BW36" s="1655" t="s">
        <v>405</v>
      </c>
      <c r="BX36" s="1657"/>
      <c r="BY36" s="1656" t="s">
        <v>406</v>
      </c>
      <c r="BZ36" s="1657"/>
    </row>
    <row r="37" spans="21:78" ht="14" thickBot="1" x14ac:dyDescent="0.2">
      <c r="U37" s="38">
        <v>4</v>
      </c>
      <c r="V37" s="101">
        <f>C24</f>
        <v>-2.5080923808135078E-2</v>
      </c>
      <c r="W37" s="102">
        <f>D24</f>
        <v>-0.14570939822880949</v>
      </c>
      <c r="X37" s="103">
        <f>E24</f>
        <v>95.309056553547634</v>
      </c>
      <c r="Y37" s="37">
        <f>C24-U29</f>
        <v>-9.9730523808135074E-2</v>
      </c>
      <c r="Z37" s="30">
        <f t="shared" si="14"/>
        <v>-31.652991370748886</v>
      </c>
      <c r="AA37" s="31">
        <f t="shared" si="15"/>
        <v>30.191960257454728</v>
      </c>
      <c r="AB37" s="37">
        <f>AH6</f>
        <v>55.48862206138228</v>
      </c>
      <c r="AC37" s="53">
        <f t="shared" si="16"/>
        <v>30.191960257454728</v>
      </c>
      <c r="AD37" s="53">
        <f>V37*AC37^2+W37*AC37+X37</f>
        <v>68.047176129828031</v>
      </c>
      <c r="AE37" s="53">
        <f t="shared" si="17"/>
        <v>13.624707874333732</v>
      </c>
      <c r="AF37" s="53">
        <f>$H$75*AC37^2+$I$75*AC37+$J$75</f>
        <v>43.317026113271524</v>
      </c>
      <c r="AG37" s="53">
        <f>$R$75*AC37^2+$S$75*AC37+$T$75</f>
        <v>55.929541050740127</v>
      </c>
      <c r="AI37">
        <v>4</v>
      </c>
      <c r="AJ37" s="3">
        <f t="shared" si="18"/>
        <v>30.191960257454728</v>
      </c>
      <c r="AL37">
        <v>6</v>
      </c>
      <c r="AM37" s="3">
        <f t="shared" ref="AM37:AM38" si="19">AJ36</f>
        <v>46.99427223137819</v>
      </c>
      <c r="AS37" s="279">
        <f>Tulokset_ENT!$CS$17</f>
        <v>129.59999999999997</v>
      </c>
      <c r="AT37" t="s">
        <v>14</v>
      </c>
      <c r="BJ37" s="1658" t="s">
        <v>14</v>
      </c>
      <c r="BK37" s="1659" t="s">
        <v>13</v>
      </c>
      <c r="BL37" s="1658" t="s">
        <v>14</v>
      </c>
      <c r="BM37" s="1660" t="s">
        <v>13</v>
      </c>
      <c r="BN37" s="1658" t="s">
        <v>14</v>
      </c>
      <c r="BO37" s="1660" t="s">
        <v>13</v>
      </c>
      <c r="BP37" s="1659" t="s">
        <v>14</v>
      </c>
      <c r="BQ37" s="1660" t="s">
        <v>13</v>
      </c>
      <c r="BS37" s="1658" t="s">
        <v>14</v>
      </c>
      <c r="BT37" s="1659" t="s">
        <v>13</v>
      </c>
      <c r="BU37" s="1658" t="s">
        <v>14</v>
      </c>
      <c r="BV37" s="1660" t="s">
        <v>13</v>
      </c>
      <c r="BW37" s="1658" t="s">
        <v>14</v>
      </c>
      <c r="BX37" s="1660" t="s">
        <v>13</v>
      </c>
      <c r="BY37" s="1659" t="s">
        <v>14</v>
      </c>
      <c r="BZ37" s="1660" t="s">
        <v>13</v>
      </c>
    </row>
    <row r="38" spans="21:78" ht="14" thickBot="1" x14ac:dyDescent="0.2">
      <c r="U38" s="468">
        <v>9</v>
      </c>
      <c r="V38" s="469">
        <f>C27</f>
        <v>-4.2076312360094639E-2</v>
      </c>
      <c r="W38" s="469">
        <f t="shared" ref="W38:X38" si="20">D27</f>
        <v>3.7832546872531814</v>
      </c>
      <c r="X38" s="469">
        <f t="shared" si="20"/>
        <v>320.65412418663533</v>
      </c>
      <c r="Y38" s="470">
        <f>C27-U29</f>
        <v>-0.11672591236009464</v>
      </c>
      <c r="Z38" s="471">
        <f t="shared" si="14"/>
        <v>-38.654961159044717</v>
      </c>
      <c r="AA38" s="472">
        <f t="shared" si="15"/>
        <v>71.06639929440918</v>
      </c>
      <c r="AB38" s="473">
        <v>120</v>
      </c>
      <c r="AC38" s="474">
        <f t="shared" si="16"/>
        <v>71.06639929440918</v>
      </c>
      <c r="AD38" s="475">
        <f>V38*AC38^2+W38*AC38+X38</f>
        <v>377.01281138915124</v>
      </c>
      <c r="AE38" s="53">
        <f>X55*AC38^2+Y55*AC38+Z55</f>
        <v>111.32649180473618</v>
      </c>
      <c r="AI38">
        <v>9</v>
      </c>
      <c r="AJ38" s="3">
        <f t="shared" si="18"/>
        <v>71.06639929440918</v>
      </c>
      <c r="AL38">
        <v>4</v>
      </c>
      <c r="AM38" s="3">
        <f t="shared" si="19"/>
        <v>30.191960257454728</v>
      </c>
      <c r="BA38" t="s">
        <v>2885</v>
      </c>
      <c r="BJ38" s="1661">
        <v>25</v>
      </c>
      <c r="BK38" s="1662">
        <f>(-$BC$24-SQRT($BC$24^2-(4*$BB$24*($BD$24-BJ38))))/(2*$BB$24)</f>
        <v>149.37198438834608</v>
      </c>
      <c r="BL38" s="1661">
        <v>20</v>
      </c>
      <c r="BM38" s="1662">
        <f>(-$BC$25-SQRT($BC$25^2-(4*$BB$25*($BD$25-BL38))))/(2*$BB$25)</f>
        <v>133.17332240375293</v>
      </c>
      <c r="BN38" s="1661">
        <v>10</v>
      </c>
      <c r="BO38" s="1662">
        <f>(-$BC$26-SQRT($BC$26^2-(4*$BB$26*($BD$26-BN38))))/(2*$BB$26)</f>
        <v>101.13023422901634</v>
      </c>
      <c r="BP38" s="1661">
        <v>10</v>
      </c>
      <c r="BQ38" s="1662">
        <f>(-$BC$27-SQRT($BC$27^2-(4*$BB$27*($BD$27-BP38))))/(2*$BB$27)</f>
        <v>61.555446560450939</v>
      </c>
      <c r="BS38" s="1661">
        <v>25</v>
      </c>
      <c r="BT38" s="1662">
        <f>(-$BC$32-SQRT($BC$32^2-(4*$BB$32*($BD$32-BS38))))/(2*$BB$32)</f>
        <v>142.50784343790036</v>
      </c>
      <c r="BU38" s="1661">
        <v>20</v>
      </c>
      <c r="BV38" s="1662">
        <f t="array" ref="BV38">(-$BC$33-SQRT($BC$33^2-(4*$BB$33*($BD$33-BU38))))/(2*$BB$33)</f>
        <v>123.9136684003799</v>
      </c>
      <c r="BW38" s="1661">
        <v>10</v>
      </c>
      <c r="BX38" s="1662">
        <f>(-$BC$34-SQRT($BC$34^2-(4*$BB$34*($BD$34-BW38))))/(2*$BB$34)</f>
        <v>92.662333128046768</v>
      </c>
      <c r="BY38" s="1661">
        <v>10</v>
      </c>
      <c r="BZ38" s="1662">
        <f>(-$BC$35-SQRT($BC$35^2-(4*$BB$35*($BD$35-BY38))))/(2*$BB$35)</f>
        <v>55.48862206138228</v>
      </c>
    </row>
    <row r="39" spans="21:78" x14ac:dyDescent="0.15">
      <c r="BB39" t="s">
        <v>13</v>
      </c>
      <c r="BC39" s="4" t="s">
        <v>2886</v>
      </c>
      <c r="BD39" s="4" t="s">
        <v>2887</v>
      </c>
      <c r="BF39" t="s">
        <v>2119</v>
      </c>
      <c r="BJ39" s="55">
        <v>120</v>
      </c>
      <c r="BK39" s="57">
        <f t="shared" ref="BK39:BK44" si="21">(-$BC$24-SQRT($BC$24^2-(4*$BB$24*($BD$24-BJ39))))/(2*$BB$24)</f>
        <v>140.44019694340693</v>
      </c>
      <c r="BL39" s="55">
        <v>50</v>
      </c>
      <c r="BM39" s="57">
        <f>(-$BC$25-SQRT($BC$25^2-(4*$BB$25*($BD$25-BL39))))/(2*$BB$25)</f>
        <v>128.50888008908166</v>
      </c>
      <c r="BN39" s="55">
        <v>50</v>
      </c>
      <c r="BO39" s="57">
        <f t="shared" ref="BO39:BO43" si="22">(-$BC$26-SQRT($BC$26^2-(4*$BB$26*($BD$26-BN39))))/(2*$BB$26)</f>
        <v>91.629165408458178</v>
      </c>
      <c r="BP39" s="55">
        <v>20</v>
      </c>
      <c r="BQ39" s="57">
        <f t="shared" ref="BQ39:BQ42" si="23">(-$BC$27-SQRT($BC$27^2-(4*$BB$27*($BD$27-BP39))))/(2*$BB$27)</f>
        <v>57.822327947272591</v>
      </c>
      <c r="BS39" s="55">
        <v>120</v>
      </c>
      <c r="BT39" s="57">
        <f t="shared" ref="BT39:BT44" si="24">(-$BC$32-SQRT($BC$32^2-(4*$BB$32*($BD$32-BS39))))/(2*$BB$32)</f>
        <v>133.54670360166355</v>
      </c>
      <c r="BU39" s="55">
        <v>50</v>
      </c>
      <c r="BV39" s="57">
        <f t="array" ref="BV39">(-$BC$33-SQRT($BC$33^2-(4*$BB$33*($BD$33-BU39))))/(2*$BB$33)</f>
        <v>119.39610535585672</v>
      </c>
      <c r="BW39" s="55">
        <v>50</v>
      </c>
      <c r="BX39" s="57">
        <f t="shared" ref="BX39:BX43" si="25">(-$BC$34-SQRT($BC$34^2-(4*$BB$34*($BD$34-BW39))))/(2*$BB$34)</f>
        <v>83.582158816330846</v>
      </c>
      <c r="BY39" s="55">
        <v>20</v>
      </c>
      <c r="BZ39" s="57">
        <f t="shared" ref="BZ39:BZ42" si="26">(-$BC$35-SQRT($BC$35^2-(4*$BB$35*($BD$35-BY39))))/(2*$BB$35)</f>
        <v>51.968529040147651</v>
      </c>
    </row>
    <row r="40" spans="21:78" x14ac:dyDescent="0.15">
      <c r="U40" s="2" t="s">
        <v>35</v>
      </c>
      <c r="W40" t="s">
        <v>36</v>
      </c>
      <c r="BA40" t="s">
        <v>102</v>
      </c>
      <c r="BB40">
        <v>80</v>
      </c>
      <c r="BC40" s="5">
        <f>$BB$24*BB40^2+$BC$24*BB40+$BD$24</f>
        <v>486.87711425828576</v>
      </c>
      <c r="BD40" s="5">
        <f>$BB$32*BB40^2+$BC$32*BB40+$BD$32</f>
        <v>458.60952806658014</v>
      </c>
      <c r="BF40" s="3">
        <f>BD40-BC40</f>
        <v>-28.267586191705618</v>
      </c>
      <c r="BJ40" s="55">
        <v>190</v>
      </c>
      <c r="BK40" s="57">
        <f t="shared" si="21"/>
        <v>133.12312176781919</v>
      </c>
      <c r="BL40" s="55">
        <v>100</v>
      </c>
      <c r="BM40" s="57">
        <f t="shared" ref="BM40:BM44" si="27">(-$BC$25-SQRT($BC$25^2-(4*$BB$25*($BD$25-BL40))))/(2*$BB$25)</f>
        <v>120.21047153971138</v>
      </c>
      <c r="BN40" s="55">
        <v>90</v>
      </c>
      <c r="BO40" s="57">
        <f t="shared" si="22"/>
        <v>80.818738743727678</v>
      </c>
      <c r="BP40" s="55">
        <v>35</v>
      </c>
      <c r="BQ40" s="57">
        <f t="shared" si="23"/>
        <v>51.71915361429582</v>
      </c>
      <c r="BS40" s="55">
        <v>190</v>
      </c>
      <c r="BT40" s="57">
        <f t="shared" si="24"/>
        <v>126.16500651811565</v>
      </c>
      <c r="BU40" s="55">
        <v>100</v>
      </c>
      <c r="BV40" s="57">
        <f t="array" ref="BV40">(-$BC$33-SQRT($BC$33^2-(4*$BB$33*($BD$33-BU40))))/(2*$BB$33)</f>
        <v>111.34979062702189</v>
      </c>
      <c r="BW40" s="55">
        <v>90</v>
      </c>
      <c r="BX40" s="57">
        <f t="shared" si="25"/>
        <v>73.237580218241973</v>
      </c>
      <c r="BY40" s="55">
        <v>35</v>
      </c>
      <c r="BZ40" s="57">
        <f t="shared" si="26"/>
        <v>46.217679334679865</v>
      </c>
    </row>
    <row r="41" spans="21:78" x14ac:dyDescent="0.15">
      <c r="BB41">
        <v>50</v>
      </c>
      <c r="BC41" s="5">
        <f t="shared" ref="BC41:BC42" si="28">$BB$24*BB41^2+$BC$24*BB41+$BD$24</f>
        <v>490.39565159172554</v>
      </c>
      <c r="BD41" s="5">
        <f t="shared" ref="BD41:BD42" si="29">$BB$32*BB41^2+$BC$32*BB41+$BD$32</f>
        <v>476.79382650364096</v>
      </c>
      <c r="BF41" s="3">
        <f t="shared" ref="BF41:BF42" si="30">BD41-BC41</f>
        <v>-13.601825088084581</v>
      </c>
      <c r="BJ41" s="55">
        <v>250</v>
      </c>
      <c r="BK41" s="57">
        <f t="shared" si="21"/>
        <v>126.16844933408204</v>
      </c>
      <c r="BL41" s="55">
        <v>160</v>
      </c>
      <c r="BM41" s="57">
        <f t="shared" si="27"/>
        <v>109.13610076465594</v>
      </c>
      <c r="BN41" s="55">
        <v>130</v>
      </c>
      <c r="BO41" s="57">
        <f t="shared" si="22"/>
        <v>67.937775729614941</v>
      </c>
      <c r="BP41" s="55">
        <v>50</v>
      </c>
      <c r="BQ41" s="57">
        <f t="shared" si="23"/>
        <v>44.790616499422576</v>
      </c>
      <c r="BS41" s="55">
        <v>250</v>
      </c>
      <c r="BT41" s="57">
        <f t="shared" si="24"/>
        <v>119.10149788792224</v>
      </c>
      <c r="BU41" s="55">
        <v>160</v>
      </c>
      <c r="BV41" s="57">
        <f t="array" ref="BV41">(-$BC$33-SQRT($BC$33^2-(4*$BB$33*($BD$33-BU41))))/(2*$BB$33)</f>
        <v>100.58787595577202</v>
      </c>
      <c r="BW41" s="55">
        <v>130</v>
      </c>
      <c r="BX41" s="57">
        <f t="shared" si="25"/>
        <v>60.882520142548941</v>
      </c>
      <c r="BY41" s="55">
        <v>50</v>
      </c>
      <c r="BZ41" s="57">
        <f t="shared" si="26"/>
        <v>39.697473289399944</v>
      </c>
    </row>
    <row r="42" spans="21:78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  <c r="BB42">
        <v>25</v>
      </c>
      <c r="BC42" s="5">
        <f t="shared" si="28"/>
        <v>402.82486540221083</v>
      </c>
      <c r="BD42" s="5">
        <f t="shared" si="29"/>
        <v>397.84981330136196</v>
      </c>
      <c r="BF42" s="3">
        <f t="shared" si="30"/>
        <v>-4.9750521008488704</v>
      </c>
      <c r="BJ42" s="55">
        <v>320</v>
      </c>
      <c r="BK42" s="57">
        <f t="shared" si="21"/>
        <v>116.90930697190107</v>
      </c>
      <c r="BL42" s="55">
        <v>220</v>
      </c>
      <c r="BM42" s="57">
        <f t="shared" si="27"/>
        <v>96.281958901187053</v>
      </c>
      <c r="BN42" s="55">
        <v>160</v>
      </c>
      <c r="BO42" s="57">
        <f t="shared" si="22"/>
        <v>55.831490726966067</v>
      </c>
      <c r="BP42" s="55">
        <v>70</v>
      </c>
      <c r="BQ42" s="57">
        <f t="shared" si="23"/>
        <v>33.381426227056068</v>
      </c>
      <c r="BS42" s="55">
        <v>320</v>
      </c>
      <c r="BT42" s="57">
        <f t="shared" si="24"/>
        <v>109.59077137600245</v>
      </c>
      <c r="BU42" s="55">
        <v>220</v>
      </c>
      <c r="BV42" s="57">
        <f t="array" ref="BV42">(-$BC$33-SQRT($BC$33^2-(4*$BB$33*($BD$33-BU42))))/(2*$BB$33)</f>
        <v>88.04526695723159</v>
      </c>
      <c r="BW42" s="55">
        <v>160</v>
      </c>
      <c r="BX42" s="57">
        <f t="shared" si="25"/>
        <v>49.217119830252535</v>
      </c>
      <c r="BY42" s="55">
        <v>70</v>
      </c>
      <c r="BZ42" s="57">
        <f t="shared" si="26"/>
        <v>28.994017872125497</v>
      </c>
    </row>
    <row r="43" spans="21:78" x14ac:dyDescent="0.15">
      <c r="U43" s="10" t="s">
        <v>55</v>
      </c>
      <c r="V43" s="21"/>
      <c r="W43" s="49">
        <v>11</v>
      </c>
      <c r="X43" s="49">
        <v>9</v>
      </c>
      <c r="Y43" s="49">
        <v>2</v>
      </c>
      <c r="Z43" s="49">
        <v>-3</v>
      </c>
      <c r="AA43" s="49">
        <v>-6</v>
      </c>
      <c r="AB43" s="49">
        <v>-13</v>
      </c>
      <c r="AC43" s="49">
        <v>-24</v>
      </c>
      <c r="AD43" s="49">
        <v>-32</v>
      </c>
      <c r="AE43" s="39" t="s">
        <v>42</v>
      </c>
      <c r="AF43" s="53">
        <f>$W$5+W43</f>
        <v>57.900589359925604</v>
      </c>
      <c r="AG43" s="53">
        <f t="shared" ref="AG43:AM43" si="31">$W$5+X43</f>
        <v>55.900589359925604</v>
      </c>
      <c r="AH43" s="53">
        <f t="shared" si="31"/>
        <v>48.900589359925604</v>
      </c>
      <c r="AI43" s="53">
        <f t="shared" si="31"/>
        <v>43.900589359925604</v>
      </c>
      <c r="AJ43" s="53">
        <f t="shared" si="31"/>
        <v>40.900589359925604</v>
      </c>
      <c r="AK43" s="53">
        <f t="shared" si="31"/>
        <v>33.900589359925604</v>
      </c>
      <c r="AL43" s="53">
        <f t="shared" si="31"/>
        <v>22.900589359925604</v>
      </c>
      <c r="AM43" s="53">
        <f t="shared" si="31"/>
        <v>14.900589359925604</v>
      </c>
      <c r="AN43" s="5">
        <f t="array" ref="AN43">10*LOG10(SUM(10^(AF43:AM43/10)))</f>
        <v>60.503594955972204</v>
      </c>
      <c r="AO43" s="5">
        <f t="array" ref="AO43">10*LOG10(SUM(10^((AF43:AM43+AF46:AM46)/10)))</f>
        <v>46.929171868457459</v>
      </c>
      <c r="AP43" t="str">
        <f>IF(ABS(W5-AO43)&lt;0.5,"OK","Tarkista laskenta!")</f>
        <v>OK</v>
      </c>
      <c r="BA43" t="s">
        <v>405</v>
      </c>
      <c r="BB43">
        <v>50</v>
      </c>
      <c r="BC43" s="5">
        <f>$BB$26*BB43^2+$BC$26*BB43+$BD$26</f>
        <v>171.82464714230358</v>
      </c>
      <c r="BD43" s="5">
        <f>$BB$34*BB43^2+$BC$34*BB43+$BD$34</f>
        <v>158.22282205421908</v>
      </c>
      <c r="BF43" s="3">
        <f>BD43-BC43</f>
        <v>-13.601825088084496</v>
      </c>
      <c r="BJ43" s="55">
        <v>390</v>
      </c>
      <c r="BK43" s="57">
        <f t="shared" si="21"/>
        <v>105.63452662019705</v>
      </c>
      <c r="BL43" s="55">
        <v>270</v>
      </c>
      <c r="BM43" s="57">
        <f t="shared" si="27"/>
        <v>83.323678766016627</v>
      </c>
      <c r="BN43" s="55">
        <v>180</v>
      </c>
      <c r="BO43" s="57">
        <f t="shared" si="22"/>
        <v>45.368179329793406</v>
      </c>
      <c r="BP43" s="55"/>
      <c r="BQ43" s="57"/>
      <c r="BS43" s="55">
        <v>390</v>
      </c>
      <c r="BT43" s="57">
        <f t="shared" si="24"/>
        <v>97.720092125961884</v>
      </c>
      <c r="BU43" s="55">
        <v>270</v>
      </c>
      <c r="BV43" s="57">
        <f t="array" ref="BV43">(-$BC$33-SQRT($BC$33^2-(4*$BB$33*($BD$33-BU43))))/(2*$BB$33)</f>
        <v>75.306508150349146</v>
      </c>
      <c r="BW43" s="55">
        <v>180</v>
      </c>
      <c r="BX43" s="57">
        <f t="shared" si="25"/>
        <v>39.046369357961204</v>
      </c>
      <c r="BY43" s="55"/>
      <c r="BZ43" s="57"/>
    </row>
    <row r="44" spans="21:78" x14ac:dyDescent="0.15">
      <c r="U44" s="14" t="s">
        <v>56</v>
      </c>
      <c r="V44" s="26"/>
      <c r="W44" s="49">
        <v>9</v>
      </c>
      <c r="X44" s="49">
        <v>7</v>
      </c>
      <c r="Y44" s="49">
        <v>3</v>
      </c>
      <c r="Z44" s="49">
        <v>-3</v>
      </c>
      <c r="AA44" s="49">
        <v>-7</v>
      </c>
      <c r="AB44" s="49">
        <v>-9</v>
      </c>
      <c r="AC44" s="49">
        <v>-16</v>
      </c>
      <c r="AD44" s="49">
        <v>-26</v>
      </c>
      <c r="AE44" s="39" t="s">
        <v>43</v>
      </c>
      <c r="AF44" s="53">
        <f>$W$6+W44</f>
        <v>67.890598737637035</v>
      </c>
      <c r="AG44" s="53">
        <f t="shared" ref="AG44:AM44" si="32">$W$6+X44</f>
        <v>65.890598737637035</v>
      </c>
      <c r="AH44" s="53">
        <f t="shared" si="32"/>
        <v>61.890598737637035</v>
      </c>
      <c r="AI44" s="53">
        <f t="shared" si="32"/>
        <v>55.890598737637035</v>
      </c>
      <c r="AJ44" s="53">
        <f t="shared" si="32"/>
        <v>51.890598737637035</v>
      </c>
      <c r="AK44" s="53">
        <f t="shared" si="32"/>
        <v>49.890598737637035</v>
      </c>
      <c r="AL44" s="53">
        <f t="shared" si="32"/>
        <v>42.890598737637035</v>
      </c>
      <c r="AM44" s="53">
        <f t="shared" si="32"/>
        <v>32.890598737637035</v>
      </c>
      <c r="AN44" s="5">
        <f t="array" ref="AN44">10*LOG10(SUM(10^(AF44:AM44/10)))</f>
        <v>70.878448596268782</v>
      </c>
      <c r="AO44" s="5">
        <f t="array" ref="AO44">10*LOG10(SUM(10^((AF44:AM44+AF46:AM46)/10)))</f>
        <v>59.129068438461744</v>
      </c>
      <c r="AP44" t="str">
        <f>IF(ABS(W6-AO44)&lt;0.5,"OK","Tarkista laskenta!")</f>
        <v>OK</v>
      </c>
      <c r="BB44">
        <v>35</v>
      </c>
      <c r="BC44" s="5">
        <f t="shared" ref="BC44:BC45" si="33">$BB$26*BB44^2+$BC$26*BB44+$BD$26</f>
        <v>194.39585501989896</v>
      </c>
      <c r="BD44" s="5">
        <f t="shared" ref="BD44:BD45" si="34">$BB$34*BB44^2+$BC$34*BB44+$BD$34</f>
        <v>186.36224222587754</v>
      </c>
      <c r="BF44" s="3">
        <f t="shared" ref="BF44:BF45" si="35">BD44-BC44</f>
        <v>-8.0336127940214226</v>
      </c>
      <c r="BJ44" s="58">
        <v>460</v>
      </c>
      <c r="BK44" s="60">
        <f t="shared" si="21"/>
        <v>89.816310441248532</v>
      </c>
      <c r="BL44" s="58">
        <v>320</v>
      </c>
      <c r="BM44" s="60">
        <f t="shared" si="27"/>
        <v>66.167836060870897</v>
      </c>
      <c r="BN44" s="58"/>
      <c r="BO44" s="60"/>
      <c r="BP44" s="58"/>
      <c r="BQ44" s="60"/>
      <c r="BS44" s="58">
        <v>460</v>
      </c>
      <c r="BT44" s="60">
        <f t="shared" si="24"/>
        <v>79.469872844831499</v>
      </c>
      <c r="BU44" s="58">
        <v>320</v>
      </c>
      <c r="BV44" s="60">
        <f t="array" ref="BV44">(-$BC$33-SQRT($BC$33^2-(4*$BB$33*($BD$33-BU44))))/(2*$BB$33)</f>
        <v>58.115408599793952</v>
      </c>
      <c r="BW44" s="58"/>
      <c r="BX44" s="60"/>
      <c r="BY44" s="58"/>
      <c r="BZ44" s="60"/>
    </row>
    <row r="45" spans="21:78" x14ac:dyDescent="0.15">
      <c r="BB45">
        <v>20</v>
      </c>
      <c r="BC45" s="5">
        <f t="shared" si="33"/>
        <v>205.66978895307369</v>
      </c>
      <c r="BD45" s="5">
        <f t="shared" si="34"/>
        <v>202.02794294795029</v>
      </c>
      <c r="BF45" s="3">
        <f t="shared" si="35"/>
        <v>-3.6418460051233978</v>
      </c>
    </row>
    <row r="46" spans="21:78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LINEST(Y63:Y68,X63:X68^{1,2})</f>
        <v>-3.0274832563156016E-3</v>
      </c>
      <c r="Y51" s="54">
        <v>1.3879338969223955</v>
      </c>
      <c r="Z51" s="54">
        <v>45.342163187206395</v>
      </c>
    </row>
    <row r="52" spans="3:26" x14ac:dyDescent="0.15">
      <c r="W52" t="s">
        <v>408</v>
      </c>
      <c r="X52" s="54">
        <f t="array" ref="X52:Z52">LINEST(Y70:Y76,X70:X76^{1,2})</f>
        <v>-6.9375042848578584E-4</v>
      </c>
      <c r="Y52" s="54">
        <v>0.77076346759496583</v>
      </c>
      <c r="Z52" s="54">
        <v>31.573391355723313</v>
      </c>
    </row>
    <row r="53" spans="3:26" x14ac:dyDescent="0.15">
      <c r="W53" t="s">
        <v>411</v>
      </c>
      <c r="X53" s="54">
        <f t="array" ref="X53:Z53">LINEST(Y78:Y82,X78:X82^{1,2})</f>
        <v>7.6069351029504787E-4</v>
      </c>
      <c r="Y53" s="54">
        <v>0.31458730059891832</v>
      </c>
      <c r="Z53" s="54">
        <v>18.947729415783744</v>
      </c>
    </row>
    <row r="54" spans="3:26" x14ac:dyDescent="0.15">
      <c r="W54" t="s">
        <v>409</v>
      </c>
      <c r="X54" s="54">
        <f t="array" ref="X54:Z54">LINEST(Y86:Y89,X86:X89^{1,2})</f>
        <v>8.5683317291663282E-4</v>
      </c>
      <c r="Y54" s="54">
        <v>0.11014162815087163</v>
      </c>
      <c r="Z54" s="54">
        <v>9.5182661106749684</v>
      </c>
    </row>
    <row r="55" spans="3:26" x14ac:dyDescent="0.15">
      <c r="W55" t="s">
        <v>590</v>
      </c>
      <c r="X55" s="54">
        <f t="array" ref="X55:Z55">LINEST(Y92:Y96,X92:X96^{1,2})</f>
        <v>9.9771165119116856E-4</v>
      </c>
      <c r="Y55" s="54">
        <v>0.77679628183755234</v>
      </c>
      <c r="Z55" s="54">
        <v>51.083501113172183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598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598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142.33692589140077</v>
      </c>
      <c r="E59" s="68">
        <v>63.504792074772809</v>
      </c>
      <c r="F59" s="69">
        <v>168.33790315370854</v>
      </c>
      <c r="H59" t="s">
        <v>4</v>
      </c>
      <c r="I59" t="s">
        <v>5</v>
      </c>
      <c r="K59" s="24"/>
      <c r="M59" s="10" t="s">
        <v>3</v>
      </c>
      <c r="N59" s="67">
        <v>142.31089483268275</v>
      </c>
      <c r="O59" s="68">
        <v>76.38069339977983</v>
      </c>
      <c r="P59" s="69">
        <v>167.82975742013372</v>
      </c>
      <c r="R59" t="s">
        <v>4</v>
      </c>
      <c r="S59" t="s">
        <v>5</v>
      </c>
      <c r="T59" s="24" t="s">
        <v>6</v>
      </c>
      <c r="W59" s="10" t="s">
        <v>3</v>
      </c>
      <c r="X59" s="476">
        <v>145.93280562131633</v>
      </c>
      <c r="Y59" s="476">
        <v>171.33659884692841</v>
      </c>
    </row>
    <row r="60" spans="3:26" x14ac:dyDescent="0.15">
      <c r="C60" s="12"/>
      <c r="D60" s="67">
        <v>135.55354520352333</v>
      </c>
      <c r="E60" s="68">
        <v>63.293976534273817</v>
      </c>
      <c r="F60" s="69">
        <v>167.96119247536888</v>
      </c>
      <c r="H60" s="2">
        <f t="array" ref="H60:J60">LINEST(E59:E62,D59:D62^{1,2})</f>
        <v>-9.1850769573138257E-5</v>
      </c>
      <c r="I60" s="2">
        <v>7.2580390796304749E-3</v>
      </c>
      <c r="J60" s="2">
        <v>64.210244656140446</v>
      </c>
      <c r="K60" s="24"/>
      <c r="M60" s="12"/>
      <c r="N60" s="67">
        <v>135.75297833011399</v>
      </c>
      <c r="O60" s="68">
        <v>75.606125966760828</v>
      </c>
      <c r="P60" s="69">
        <v>167.76294559554921</v>
      </c>
      <c r="R60" s="2">
        <f t="array" ref="R60:T60">LINEST(O59:O62,N59:N62^{1,2})</f>
        <v>1.581334526101662E-3</v>
      </c>
      <c r="S60" s="2">
        <v>-0.36419370419520597</v>
      </c>
      <c r="T60" s="27">
        <v>96.081475666391881</v>
      </c>
      <c r="W60" s="12"/>
      <c r="X60" s="476">
        <v>141.05384772765888</v>
      </c>
      <c r="Y60" s="476">
        <v>171.20476167067767</v>
      </c>
    </row>
    <row r="61" spans="3:26" x14ac:dyDescent="0.15">
      <c r="C61" s="12"/>
      <c r="D61" s="67">
        <v>120.87292567048598</v>
      </c>
      <c r="E61" s="68">
        <v>63.858494061413182</v>
      </c>
      <c r="F61" s="69">
        <v>167.82594932956198</v>
      </c>
      <c r="K61" s="24"/>
      <c r="M61" s="12"/>
      <c r="N61" s="67">
        <v>121.88498248796257</v>
      </c>
      <c r="O61" s="68">
        <v>75.27508361363077</v>
      </c>
      <c r="P61" s="69">
        <v>167.4384519738862</v>
      </c>
      <c r="T61" s="24"/>
      <c r="W61" s="12"/>
      <c r="X61" s="476">
        <v>137.14938858370206</v>
      </c>
      <c r="Y61" s="476">
        <v>170.53321022331545</v>
      </c>
    </row>
    <row r="62" spans="3:26" x14ac:dyDescent="0.15">
      <c r="C62" s="14"/>
      <c r="D62" s="67">
        <v>99.354279744439367</v>
      </c>
      <c r="E62" s="68">
        <v>64.001811053093547</v>
      </c>
      <c r="F62" s="69">
        <v>159.19453835625194</v>
      </c>
      <c r="K62" s="24"/>
      <c r="M62" s="14"/>
      <c r="N62" s="67">
        <v>98.845904208709058</v>
      </c>
      <c r="O62" s="68">
        <v>75.51677763329937</v>
      </c>
      <c r="P62" s="69">
        <v>158.82836306866963</v>
      </c>
      <c r="T62" s="24"/>
      <c r="W62" s="12"/>
      <c r="X62" s="476">
        <v>131.55494143634706</v>
      </c>
      <c r="Y62" s="476">
        <v>170.80421961235893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6">
        <v>126.45313821471686</v>
      </c>
      <c r="Y63" s="476">
        <v>170.40340335914607</v>
      </c>
    </row>
    <row r="64" spans="3:26" x14ac:dyDescent="0.15">
      <c r="C64" s="10" t="s">
        <v>408</v>
      </c>
      <c r="D64" s="67">
        <v>124.39615122000632</v>
      </c>
      <c r="E64" s="68">
        <v>60.755407441724529</v>
      </c>
      <c r="F64" s="69">
        <v>113.60317789708478</v>
      </c>
      <c r="H64" t="s">
        <v>4</v>
      </c>
      <c r="I64" t="s">
        <v>5</v>
      </c>
      <c r="K64" s="24"/>
      <c r="M64" s="10" t="s">
        <v>408</v>
      </c>
      <c r="N64" s="67">
        <v>124.39645653823712</v>
      </c>
      <c r="O64" s="68">
        <v>73.274158998284477</v>
      </c>
      <c r="P64" s="69">
        <v>113.30264950492825</v>
      </c>
      <c r="R64" t="s">
        <v>4</v>
      </c>
      <c r="S64" t="s">
        <v>5</v>
      </c>
      <c r="T64" s="24" t="s">
        <v>6</v>
      </c>
      <c r="W64" s="12"/>
      <c r="X64" s="476">
        <v>121.46818656102965</v>
      </c>
      <c r="Y64" s="476">
        <v>169.75780539499809</v>
      </c>
    </row>
    <row r="65" spans="3:25" x14ac:dyDescent="0.15">
      <c r="C65" s="12"/>
      <c r="D65" s="67">
        <v>115.28578026929198</v>
      </c>
      <c r="E65" s="68">
        <v>59.863910817556906</v>
      </c>
      <c r="F65" s="69">
        <v>105.55857205937565</v>
      </c>
      <c r="H65" s="2">
        <f t="array" ref="H65:J65">LINEST(E64:E67,D64:D67^{1,2})</f>
        <v>1.6134374569970276E-3</v>
      </c>
      <c r="I65" s="2">
        <v>-0.30791360766971593</v>
      </c>
      <c r="J65" s="2">
        <v>74.03744102127115</v>
      </c>
      <c r="K65" s="24"/>
      <c r="M65" s="12"/>
      <c r="N65" s="67">
        <v>115.27995865272432</v>
      </c>
      <c r="O65" s="68">
        <v>72.04948224384114</v>
      </c>
      <c r="P65" s="69">
        <v>105.29860193076772</v>
      </c>
      <c r="R65" s="2">
        <f t="array" ref="R65:T65">LINEST(O64:O67,N64:N67^{1,2})</f>
        <v>2.5889618018373542E-3</v>
      </c>
      <c r="S65" s="2">
        <v>-0.48813921193497006</v>
      </c>
      <c r="T65" s="27">
        <v>93.928469208123047</v>
      </c>
      <c r="W65" s="12"/>
      <c r="X65" s="476">
        <v>113.97454094383536</v>
      </c>
      <c r="Y65" s="476">
        <v>167.39901054092508</v>
      </c>
    </row>
    <row r="66" spans="3:25" x14ac:dyDescent="0.15">
      <c r="C66" s="12"/>
      <c r="D66" s="67">
        <v>101.60052829387213</v>
      </c>
      <c r="E66" s="68">
        <v>59.500309027733529</v>
      </c>
      <c r="F66" s="69">
        <v>97.976349714782643</v>
      </c>
      <c r="K66" s="24"/>
      <c r="M66" s="12"/>
      <c r="N66" s="67">
        <v>101.91624124775765</v>
      </c>
      <c r="O66" s="68">
        <v>71.079127309114256</v>
      </c>
      <c r="P66" s="69">
        <v>97.765855378849452</v>
      </c>
      <c r="T66" s="24"/>
      <c r="W66" s="12"/>
      <c r="X66" s="476">
        <v>98.894194031361593</v>
      </c>
      <c r="Y66" s="476">
        <v>151.94567006146681</v>
      </c>
    </row>
    <row r="67" spans="3:25" x14ac:dyDescent="0.15">
      <c r="C67" s="14"/>
      <c r="D67" s="67">
        <v>86.887542381488743</v>
      </c>
      <c r="E67" s="68">
        <v>59.437175303534943</v>
      </c>
      <c r="F67" s="69">
        <v>86.958592380060594</v>
      </c>
      <c r="K67" s="24"/>
      <c r="M67" s="14"/>
      <c r="N67" s="67">
        <v>83.81228756595587</v>
      </c>
      <c r="O67" s="68">
        <v>71.200535622630397</v>
      </c>
      <c r="P67" s="69">
        <v>86.752896620101637</v>
      </c>
      <c r="T67" s="24"/>
      <c r="W67" s="12"/>
      <c r="X67" s="476">
        <v>82.599850212683407</v>
      </c>
      <c r="Y67" s="476">
        <v>138.15078073532626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6">
        <v>59.628845690569321</v>
      </c>
      <c r="Y68" s="476">
        <v>117.90995300763927</v>
      </c>
    </row>
    <row r="69" spans="3:25" x14ac:dyDescent="0.15">
      <c r="C69" s="10" t="s">
        <v>411</v>
      </c>
      <c r="D69" s="67">
        <v>93.509550571045949</v>
      </c>
      <c r="E69" s="68">
        <v>54.415504897675802</v>
      </c>
      <c r="F69" s="69">
        <v>51.963408020334164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93.746035380865251</v>
      </c>
      <c r="O69" s="68">
        <v>66.574724987435175</v>
      </c>
      <c r="P69" s="69">
        <v>51.840740552727752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15">
      <c r="C70" s="12"/>
      <c r="D70" s="67">
        <v>84.603189103799437</v>
      </c>
      <c r="E70" s="68">
        <v>53.466522438874719</v>
      </c>
      <c r="F70" s="69">
        <v>49.172956811497492</v>
      </c>
      <c r="H70" s="2">
        <f t="array" ref="H70:J70">LINEST(E69:E72,D69:D72^{1,2})</f>
        <v>2.6630451607203005E-3</v>
      </c>
      <c r="I70" s="2">
        <v>-0.37155138973968388</v>
      </c>
      <c r="J70" s="2">
        <v>65.863835994561867</v>
      </c>
      <c r="K70" s="24"/>
      <c r="M70" s="12"/>
      <c r="N70" s="67">
        <v>83.885724032891446</v>
      </c>
      <c r="O70" s="68">
        <v>65.900228657656129</v>
      </c>
      <c r="P70" s="69">
        <v>49.063899227254822</v>
      </c>
      <c r="R70" s="2">
        <f t="array" ref="R70:T70">LINEST(O69:O72,N69:N72^{1,2})</f>
        <v>1.9061650395799758E-3</v>
      </c>
      <c r="S70" s="2">
        <v>-0.2353363488863206</v>
      </c>
      <c r="T70" s="27">
        <v>71.974650112696608</v>
      </c>
      <c r="W70" s="10" t="s">
        <v>408</v>
      </c>
      <c r="X70" s="68">
        <v>48.113768648848222</v>
      </c>
      <c r="Y70" s="68">
        <v>66.989400705630914</v>
      </c>
    </row>
    <row r="71" spans="3:25" x14ac:dyDescent="0.15">
      <c r="C71" s="12"/>
      <c r="D71" s="67">
        <v>73.637239543770193</v>
      </c>
      <c r="E71" s="68">
        <v>52.965459876340411</v>
      </c>
      <c r="F71" s="69">
        <v>44.587210284777143</v>
      </c>
      <c r="K71" s="24"/>
      <c r="M71" s="12"/>
      <c r="N71" s="67">
        <v>73.528916154304341</v>
      </c>
      <c r="O71" s="68">
        <v>64.745187392101812</v>
      </c>
      <c r="P71" s="69">
        <v>44.520187546631931</v>
      </c>
      <c r="T71" s="24"/>
      <c r="W71" s="12"/>
      <c r="X71" s="68">
        <v>69.725952249164479</v>
      </c>
      <c r="Y71" s="68">
        <v>81.624373459526382</v>
      </c>
    </row>
    <row r="72" spans="3:25" x14ac:dyDescent="0.15">
      <c r="C72" s="14"/>
      <c r="D72" s="67">
        <v>62.440986792248914</v>
      </c>
      <c r="E72" s="68">
        <v>53.03990267809472</v>
      </c>
      <c r="F72" s="69">
        <v>37.958786520928079</v>
      </c>
      <c r="K72" s="24"/>
      <c r="M72" s="14"/>
      <c r="N72" s="67">
        <v>61.604561271906874</v>
      </c>
      <c r="O72" s="68">
        <v>64.778560386905198</v>
      </c>
      <c r="P72" s="69">
        <v>37.896921857869309</v>
      </c>
      <c r="T72" s="24"/>
      <c r="W72" s="12"/>
      <c r="X72" s="68">
        <v>94.145823061534287</v>
      </c>
      <c r="Y72" s="68">
        <v>99.999477318025953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104.21457877159305</v>
      </c>
      <c r="Y73" s="68">
        <v>103.48805129721504</v>
      </c>
    </row>
    <row r="74" spans="3:25" x14ac:dyDescent="0.15">
      <c r="C74" s="10" t="s">
        <v>409</v>
      </c>
      <c r="D74" s="67">
        <v>58.440074597319764</v>
      </c>
      <c r="E74" s="68">
        <v>45.027312949970536</v>
      </c>
      <c r="F74" s="69">
        <v>18.288711059751751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58.419544531154315</v>
      </c>
      <c r="O74" s="68">
        <v>57.040901964604288</v>
      </c>
      <c r="P74" s="69">
        <v>18.223283778167332</v>
      </c>
      <c r="R74" t="s">
        <v>4</v>
      </c>
      <c r="S74" t="s">
        <v>5</v>
      </c>
      <c r="T74" s="24" t="s">
        <v>6</v>
      </c>
      <c r="W74" s="12"/>
      <c r="X74" s="68">
        <v>112.57223888931715</v>
      </c>
      <c r="Y74" s="68">
        <v>108.26752691162672</v>
      </c>
    </row>
    <row r="75" spans="3:25" x14ac:dyDescent="0.15">
      <c r="C75" s="12"/>
      <c r="D75" s="67">
        <v>52.756041556422801</v>
      </c>
      <c r="E75" s="68">
        <v>45.390878440304824</v>
      </c>
      <c r="F75" s="69">
        <v>17.173412186741277</v>
      </c>
      <c r="H75" s="2">
        <f t="array" ref="H75:J75">LINEST(E74:E77,D74:D77^{1,2})</f>
        <v>-3.866361630894018E-3</v>
      </c>
      <c r="I75" s="2">
        <v>0.40537622724715378</v>
      </c>
      <c r="J75" s="2">
        <v>34.602322375714095</v>
      </c>
      <c r="K75" s="24"/>
      <c r="M75" s="12"/>
      <c r="N75" s="67">
        <v>52.196889475840962</v>
      </c>
      <c r="O75" s="68">
        <v>56.496554636920223</v>
      </c>
      <c r="P75" s="69">
        <v>17.13701321504886</v>
      </c>
      <c r="R75" s="2">
        <f t="array" ref="R75:T75">LINEST(O74:O77,N74:N77^{1,2})</f>
        <v>3.1592328051334062E-3</v>
      </c>
      <c r="S75" s="2">
        <v>-0.23928025485327195</v>
      </c>
      <c r="T75" s="27">
        <v>60.274068228736084</v>
      </c>
      <c r="W75" s="12"/>
      <c r="X75" s="68">
        <v>121.08321064793208</v>
      </c>
      <c r="Y75" s="68">
        <v>114.19640879671721</v>
      </c>
    </row>
    <row r="76" spans="3:25" x14ac:dyDescent="0.15">
      <c r="C76" s="12"/>
      <c r="D76" s="67">
        <v>46.383102435328567</v>
      </c>
      <c r="E76" s="68">
        <v>44.940241651074359</v>
      </c>
      <c r="F76" s="69">
        <v>15.976519793234619</v>
      </c>
      <c r="K76" s="24"/>
      <c r="M76" s="12"/>
      <c r="N76" s="67">
        <v>45.892068901589042</v>
      </c>
      <c r="O76" s="68">
        <v>55.851746083342412</v>
      </c>
      <c r="P76" s="69">
        <v>15.9708209629559</v>
      </c>
      <c r="T76" s="24"/>
      <c r="W76" s="14"/>
      <c r="X76" s="68">
        <v>128.25979843355867</v>
      </c>
      <c r="Y76" s="68">
        <v>120.0773159902373</v>
      </c>
    </row>
    <row r="77" spans="3:25" x14ac:dyDescent="0.15">
      <c r="C77" s="14"/>
      <c r="D77" s="67">
        <v>39.332106321431894</v>
      </c>
      <c r="E77" s="71">
        <v>44.609229142732467</v>
      </c>
      <c r="F77" s="69">
        <v>14.286412768134158</v>
      </c>
      <c r="G77" s="25"/>
      <c r="H77" s="25"/>
      <c r="I77" s="25"/>
      <c r="J77" s="25"/>
      <c r="K77" s="26"/>
      <c r="M77" s="14"/>
      <c r="N77" s="67">
        <v>38.225352061782701</v>
      </c>
      <c r="O77" s="71">
        <v>55.770251275797165</v>
      </c>
      <c r="P77" s="69">
        <v>14.253213470630605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15">
      <c r="W78" s="10" t="s">
        <v>411</v>
      </c>
      <c r="X78" s="68">
        <v>95.288588606918864</v>
      </c>
      <c r="Y78" s="68">
        <v>55.926419615573145</v>
      </c>
    </row>
    <row r="79" spans="3:25" x14ac:dyDescent="0.15">
      <c r="F79" s="5"/>
      <c r="W79" s="12"/>
      <c r="X79" s="68">
        <v>84.236237037741418</v>
      </c>
      <c r="Y79" s="68">
        <v>50.599349202971588</v>
      </c>
    </row>
    <row r="80" spans="3:25" x14ac:dyDescent="0.15">
      <c r="F80" s="5"/>
      <c r="W80" s="12"/>
      <c r="X80" s="68">
        <v>67.284582916698795</v>
      </c>
      <c r="Y80" s="68">
        <v>43.796688567953638</v>
      </c>
    </row>
    <row r="81" spans="6:25" x14ac:dyDescent="0.15">
      <c r="F81" s="5"/>
      <c r="W81" s="12"/>
      <c r="X81" s="68">
        <v>38.781474840211665</v>
      </c>
      <c r="Y81" s="68">
        <v>32.110345134320482</v>
      </c>
    </row>
    <row r="82" spans="6:25" x14ac:dyDescent="0.15">
      <c r="F82" s="5"/>
      <c r="W82" s="12"/>
      <c r="X82" s="68">
        <v>28.199869006956831</v>
      </c>
      <c r="Y82" s="68">
        <v>28.517985540807324</v>
      </c>
    </row>
    <row r="83" spans="6:25" x14ac:dyDescent="0.15">
      <c r="W83" s="12"/>
      <c r="X83" s="17"/>
      <c r="Y83" s="13"/>
    </row>
    <row r="84" spans="6:25" x14ac:dyDescent="0.15">
      <c r="W84" s="14"/>
      <c r="X84" s="18"/>
      <c r="Y84" s="15"/>
    </row>
    <row r="85" spans="6:25" x14ac:dyDescent="0.15">
      <c r="W85" s="12"/>
      <c r="X85" s="16" t="s">
        <v>13</v>
      </c>
      <c r="Y85" s="11" t="s">
        <v>49</v>
      </c>
    </row>
    <row r="86" spans="6:25" x14ac:dyDescent="0.15">
      <c r="W86" s="10" t="s">
        <v>409</v>
      </c>
      <c r="X86" s="68">
        <v>18.229681878656653</v>
      </c>
      <c r="Y86" s="68">
        <v>11.829330691825657</v>
      </c>
    </row>
    <row r="87" spans="6:25" x14ac:dyDescent="0.15">
      <c r="F87" s="5"/>
      <c r="W87" s="12"/>
      <c r="X87" s="68">
        <v>38.356644506032225</v>
      </c>
      <c r="Y87" s="68">
        <v>14.906650602251696</v>
      </c>
    </row>
    <row r="88" spans="6:25" x14ac:dyDescent="0.15">
      <c r="F88" s="5"/>
      <c r="W88" s="12"/>
      <c r="X88" s="68">
        <v>50.652024686808119</v>
      </c>
      <c r="Y88" s="68">
        <v>17.447344781188477</v>
      </c>
    </row>
    <row r="89" spans="6:25" x14ac:dyDescent="0.15">
      <c r="F89" s="5"/>
      <c r="W89" s="12"/>
      <c r="X89" s="68">
        <v>58.713396920140099</v>
      </c>
      <c r="Y89" s="68">
        <v>18.86532265222845</v>
      </c>
    </row>
    <row r="90" spans="6:25" x14ac:dyDescent="0.15">
      <c r="F90" s="5"/>
      <c r="W90" s="12"/>
      <c r="X90" s="17"/>
      <c r="Y90" s="13"/>
    </row>
    <row r="91" spans="6:25" x14ac:dyDescent="0.15">
      <c r="F91" s="5"/>
      <c r="W91" s="12"/>
      <c r="X91" s="16" t="s">
        <v>13</v>
      </c>
      <c r="Y91" s="11" t="s">
        <v>49</v>
      </c>
    </row>
    <row r="92" spans="6:25" x14ac:dyDescent="0.15">
      <c r="F92" s="5"/>
      <c r="W92" s="10" t="s">
        <v>590</v>
      </c>
      <c r="X92" s="68">
        <v>120.12416008604148</v>
      </c>
      <c r="Y92" s="68">
        <v>158.71858363035491</v>
      </c>
    </row>
    <row r="93" spans="6:25" x14ac:dyDescent="0.15">
      <c r="F93" s="5"/>
      <c r="W93" s="12"/>
      <c r="X93" s="68">
        <v>104.28237943386655</v>
      </c>
      <c r="Y93" s="68">
        <v>143.40845802475638</v>
      </c>
    </row>
    <row r="94" spans="6:25" x14ac:dyDescent="0.15">
      <c r="F94" s="5"/>
      <c r="W94" s="12"/>
      <c r="X94" s="68">
        <v>70.69056308182347</v>
      </c>
      <c r="Y94" s="68">
        <v>111.60794943452888</v>
      </c>
    </row>
    <row r="95" spans="6:25" x14ac:dyDescent="0.15">
      <c r="F95" s="5"/>
      <c r="W95" s="12"/>
      <c r="X95" s="68">
        <v>49.564301038903714</v>
      </c>
      <c r="Y95" s="68">
        <v>91.87637660025311</v>
      </c>
    </row>
    <row r="96" spans="6:25" x14ac:dyDescent="0.15">
      <c r="F96" s="5"/>
      <c r="W96" s="14"/>
      <c r="X96" s="68">
        <v>88.638894657469507</v>
      </c>
      <c r="Y96" s="68">
        <v>126.91451442541967</v>
      </c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366DB-C116-430B-947F-74FAE9CECFA8}">
  <dimension ref="B3:W49"/>
  <sheetViews>
    <sheetView workbookViewId="0">
      <selection activeCell="R20" sqref="R20"/>
    </sheetView>
  </sheetViews>
  <sheetFormatPr baseColWidth="10" defaultColWidth="8.83203125" defaultRowHeight="13" x14ac:dyDescent="0.15"/>
  <cols>
    <col min="2" max="2" width="22.5" customWidth="1"/>
  </cols>
  <sheetData>
    <row r="3" spans="2:12" x14ac:dyDescent="0.15">
      <c r="B3" s="2" t="s">
        <v>79</v>
      </c>
    </row>
    <row r="4" spans="2:12" x14ac:dyDescent="0.15">
      <c r="B4" t="s">
        <v>7</v>
      </c>
      <c r="C4" s="3">
        <f>'Laskenta tulopuoli 130_ENT'!W9</f>
        <v>4.6589712343931486</v>
      </c>
      <c r="D4" t="s">
        <v>25</v>
      </c>
    </row>
    <row r="5" spans="2:12" x14ac:dyDescent="0.15">
      <c r="B5" t="s">
        <v>8</v>
      </c>
      <c r="C5" s="3">
        <f>'Laskenta poistopuoli 130_ENT'!W9</f>
        <v>4.5261056308218102</v>
      </c>
      <c r="D5" t="s">
        <v>25</v>
      </c>
    </row>
    <row r="7" spans="2:12" x14ac:dyDescent="0.15">
      <c r="B7" s="2" t="s">
        <v>88</v>
      </c>
      <c r="K7" t="s">
        <v>599</v>
      </c>
    </row>
    <row r="8" spans="2:12" x14ac:dyDescent="0.15">
      <c r="B8" t="s">
        <v>90</v>
      </c>
      <c r="K8" t="s">
        <v>365</v>
      </c>
      <c r="L8" t="s">
        <v>27</v>
      </c>
    </row>
    <row r="9" spans="2:12" x14ac:dyDescent="0.15">
      <c r="B9" t="s">
        <v>601</v>
      </c>
      <c r="K9" s="8">
        <v>10</v>
      </c>
      <c r="L9" s="479">
        <v>50.727797451867104</v>
      </c>
    </row>
    <row r="10" spans="2:12" x14ac:dyDescent="0.15">
      <c r="K10" s="8">
        <v>10</v>
      </c>
      <c r="L10" s="479">
        <v>50.906829010197214</v>
      </c>
    </row>
    <row r="11" spans="2:12" x14ac:dyDescent="0.15">
      <c r="C11" t="s">
        <v>4</v>
      </c>
      <c r="D11" t="s">
        <v>5</v>
      </c>
      <c r="K11" s="8">
        <v>10</v>
      </c>
      <c r="L11" s="479">
        <v>51.633663631872835</v>
      </c>
    </row>
    <row r="12" spans="2:12" x14ac:dyDescent="0.15">
      <c r="B12" t="s">
        <v>600</v>
      </c>
      <c r="C12" s="107">
        <f t="array" ref="C12:D12">LINEST(L9:L14,LN(K9:K14))</f>
        <v>21.378327428349703</v>
      </c>
      <c r="D12" s="107">
        <v>1.951498036236309</v>
      </c>
      <c r="K12" s="8">
        <v>8</v>
      </c>
      <c r="L12" s="479">
        <v>46.855554140426776</v>
      </c>
    </row>
    <row r="13" spans="2:12" x14ac:dyDescent="0.15">
      <c r="K13" s="8">
        <v>6</v>
      </c>
      <c r="L13" s="479">
        <v>40.081737985343281</v>
      </c>
    </row>
    <row r="14" spans="2:12" x14ac:dyDescent="0.15">
      <c r="K14" s="8">
        <v>4</v>
      </c>
      <c r="L14" s="479">
        <v>31.57611766294508</v>
      </c>
    </row>
    <row r="15" spans="2:12" x14ac:dyDescent="0.15">
      <c r="B15" t="s">
        <v>91</v>
      </c>
      <c r="C15" s="3">
        <f>MAX(C4,C5)</f>
        <v>4.6589712343931486</v>
      </c>
      <c r="D15" t="s">
        <v>25</v>
      </c>
      <c r="E15" s="82" t="s">
        <v>42</v>
      </c>
      <c r="F15" s="5">
        <f>$C$12*LN(C15)+$D$12</f>
        <v>34.848354093074661</v>
      </c>
      <c r="G15" t="s">
        <v>31</v>
      </c>
    </row>
    <row r="16" spans="2:12" x14ac:dyDescent="0.15">
      <c r="B16" t="s">
        <v>92</v>
      </c>
      <c r="C16" s="79">
        <f>(2*MAX(C4,C5)+MIN(C4,C5))/3</f>
        <v>4.6146826998693689</v>
      </c>
      <c r="D16" t="s">
        <v>25</v>
      </c>
      <c r="E16" s="82" t="s">
        <v>42</v>
      </c>
      <c r="F16" s="5">
        <f>$C$12*LN(C16)+$D$12</f>
        <v>34.644157991431605</v>
      </c>
      <c r="G16" t="s">
        <v>31</v>
      </c>
    </row>
    <row r="18" spans="2:21" ht="14" x14ac:dyDescent="0.15">
      <c r="B18" s="83" t="s">
        <v>82</v>
      </c>
    </row>
    <row r="20" spans="2:21" x14ac:dyDescent="0.15">
      <c r="B20" s="2" t="s">
        <v>84</v>
      </c>
      <c r="K20" s="16">
        <v>63</v>
      </c>
      <c r="L20" s="208">
        <v>125</v>
      </c>
      <c r="M20" s="208">
        <v>250</v>
      </c>
      <c r="N20" s="208">
        <v>500</v>
      </c>
      <c r="O20" s="208">
        <v>1000</v>
      </c>
      <c r="P20" s="208">
        <v>2000</v>
      </c>
      <c r="Q20" s="208">
        <v>4000</v>
      </c>
      <c r="R20" s="11">
        <v>8000</v>
      </c>
      <c r="S20" s="4" t="s">
        <v>391</v>
      </c>
      <c r="T20" s="4" t="s">
        <v>27</v>
      </c>
    </row>
    <row r="21" spans="2:21" x14ac:dyDescent="0.15">
      <c r="B21" t="s">
        <v>85</v>
      </c>
      <c r="C21" t="s">
        <v>28</v>
      </c>
      <c r="D21" s="3">
        <f>'R-series ENT'!N54</f>
        <v>51.350319413350157</v>
      </c>
      <c r="E21" t="s">
        <v>31</v>
      </c>
      <c r="J21" t="s">
        <v>102</v>
      </c>
      <c r="K21" s="67">
        <v>60.474617706832497</v>
      </c>
      <c r="L21" s="68">
        <v>60.947060754539201</v>
      </c>
      <c r="M21" s="68">
        <v>56.105989537342928</v>
      </c>
      <c r="N21" s="68">
        <v>46.761998862738068</v>
      </c>
      <c r="O21" s="68">
        <v>37.367803478832741</v>
      </c>
      <c r="P21" s="68">
        <v>30.663147021711609</v>
      </c>
      <c r="Q21" s="68">
        <v>28.38770669872595</v>
      </c>
      <c r="R21" s="69">
        <v>22.173900769877921</v>
      </c>
      <c r="S21" s="482">
        <v>64.50559432031443</v>
      </c>
      <c r="T21" s="68">
        <v>50.727797451867104</v>
      </c>
    </row>
    <row r="22" spans="2:21" x14ac:dyDescent="0.15">
      <c r="B22" s="25"/>
      <c r="C22" s="25" t="s">
        <v>8</v>
      </c>
      <c r="D22" s="81">
        <f>'R-series ENT'!N55</f>
        <v>51.65220443099701</v>
      </c>
      <c r="E22" t="s">
        <v>31</v>
      </c>
      <c r="J22" t="s">
        <v>404</v>
      </c>
      <c r="K22" s="67">
        <v>58.092495979814174</v>
      </c>
      <c r="L22" s="68">
        <v>57.911606468677959</v>
      </c>
      <c r="M22" s="68">
        <v>51.76386948867129</v>
      </c>
      <c r="N22" s="68">
        <v>42.07803596728656</v>
      </c>
      <c r="O22" s="68">
        <v>33.319524299041937</v>
      </c>
      <c r="P22" s="68">
        <v>27.671075521806255</v>
      </c>
      <c r="Q22" s="68">
        <v>24.872746120590968</v>
      </c>
      <c r="R22" s="69">
        <v>16.80244799255383</v>
      </c>
      <c r="S22" s="482">
        <v>61.559765602426999</v>
      </c>
      <c r="T22" s="68">
        <v>46.855554140426776</v>
      </c>
    </row>
    <row r="23" spans="2:21" x14ac:dyDescent="0.15">
      <c r="C23" t="s">
        <v>87</v>
      </c>
      <c r="D23" s="3">
        <f>ABS(D21-D22)</f>
        <v>0.30188501764685327</v>
      </c>
      <c r="E23" t="s">
        <v>31</v>
      </c>
      <c r="J23" t="s">
        <v>405</v>
      </c>
      <c r="K23" s="67">
        <v>52.817304171160437</v>
      </c>
      <c r="L23" s="68">
        <v>51.755570891184455</v>
      </c>
      <c r="M23" s="68">
        <v>44.384721983016384</v>
      </c>
      <c r="N23" s="68">
        <v>35.691045949143046</v>
      </c>
      <c r="O23" s="68">
        <v>27.734165354176238</v>
      </c>
      <c r="P23" s="68">
        <v>21.672976734286667</v>
      </c>
      <c r="Q23" s="68">
        <v>17.577062138013034</v>
      </c>
      <c r="R23" s="69">
        <v>7.5290216118441364</v>
      </c>
      <c r="S23" s="482">
        <v>55.718008949083085</v>
      </c>
      <c r="T23" s="68">
        <v>40.081737985343281</v>
      </c>
    </row>
    <row r="24" spans="2:21" x14ac:dyDescent="0.15">
      <c r="D24" s="3"/>
      <c r="J24" t="s">
        <v>406</v>
      </c>
      <c r="K24" s="70">
        <v>45.015484898296272</v>
      </c>
      <c r="L24" s="71">
        <v>42.229058492899583</v>
      </c>
      <c r="M24" s="71">
        <v>35.569278172526609</v>
      </c>
      <c r="N24" s="71">
        <v>29.02976791085376</v>
      </c>
      <c r="O24" s="71">
        <v>20.367356929802241</v>
      </c>
      <c r="P24" s="71">
        <v>11.962003772058438</v>
      </c>
      <c r="Q24" s="71">
        <v>5.3019472550635438</v>
      </c>
      <c r="R24" s="72">
        <v>3.6170763585564285</v>
      </c>
      <c r="S24" s="482">
        <v>47.24097360410785</v>
      </c>
      <c r="T24" s="68">
        <v>31.57611766294508</v>
      </c>
    </row>
    <row r="25" spans="2:21" x14ac:dyDescent="0.15">
      <c r="B25" t="s">
        <v>86</v>
      </c>
      <c r="C25" t="s">
        <v>7</v>
      </c>
      <c r="D25" s="3">
        <f>'R-series ENT'!N53</f>
        <v>62.081900793182115</v>
      </c>
      <c r="E25" t="s">
        <v>31</v>
      </c>
    </row>
    <row r="26" spans="2:21" x14ac:dyDescent="0.15">
      <c r="B26" s="25"/>
      <c r="C26" s="25" t="s">
        <v>57</v>
      </c>
      <c r="D26" s="81">
        <f>'R-series ENT'!N56</f>
        <v>61.797611511157953</v>
      </c>
      <c r="E26" t="s">
        <v>31</v>
      </c>
      <c r="K26" s="19">
        <f>K21-$T21</f>
        <v>9.7468202549653924</v>
      </c>
      <c r="L26" s="481">
        <f t="shared" ref="L26:R26" si="0">L21-$T21</f>
        <v>10.219263302672097</v>
      </c>
      <c r="M26" s="481">
        <f t="shared" si="0"/>
        <v>5.3781920854758241</v>
      </c>
      <c r="N26" s="481">
        <f t="shared" si="0"/>
        <v>-3.9657985891290366</v>
      </c>
      <c r="O26" s="481">
        <f t="shared" si="0"/>
        <v>-13.359993973034364</v>
      </c>
      <c r="P26" s="481">
        <f t="shared" si="0"/>
        <v>-20.064650430155496</v>
      </c>
      <c r="Q26" s="481">
        <f t="shared" si="0"/>
        <v>-22.340090753141155</v>
      </c>
      <c r="R26" s="20">
        <f t="shared" si="0"/>
        <v>-28.553896681989183</v>
      </c>
    </row>
    <row r="27" spans="2:21" x14ac:dyDescent="0.15">
      <c r="C27" t="s">
        <v>87</v>
      </c>
      <c r="D27" s="3">
        <f>ABS(D25-D26)</f>
        <v>0.28428928202416159</v>
      </c>
      <c r="E27" t="s">
        <v>31</v>
      </c>
      <c r="K27" s="17">
        <f t="shared" ref="K27:R29" si="1">K22-$T22</f>
        <v>11.236941839387399</v>
      </c>
      <c r="L27" s="5">
        <f t="shared" si="1"/>
        <v>11.056052328251184</v>
      </c>
      <c r="M27" s="5">
        <f t="shared" si="1"/>
        <v>4.9083153482445141</v>
      </c>
      <c r="N27" s="5">
        <f t="shared" si="1"/>
        <v>-4.7775181731402157</v>
      </c>
      <c r="O27" s="5">
        <f t="shared" si="1"/>
        <v>-13.536029841384838</v>
      </c>
      <c r="P27" s="5">
        <f t="shared" si="1"/>
        <v>-19.184478618620521</v>
      </c>
      <c r="Q27" s="5">
        <f t="shared" si="1"/>
        <v>-21.982808019835808</v>
      </c>
      <c r="R27" s="13">
        <f t="shared" si="1"/>
        <v>-30.053106147872946</v>
      </c>
    </row>
    <row r="28" spans="2:21" x14ac:dyDescent="0.15">
      <c r="K28" s="17">
        <f t="shared" si="1"/>
        <v>12.735566185817156</v>
      </c>
      <c r="L28" s="5">
        <f t="shared" si="1"/>
        <v>11.673832905841174</v>
      </c>
      <c r="M28" s="5">
        <f t="shared" si="1"/>
        <v>4.3029839976731026</v>
      </c>
      <c r="N28" s="5">
        <f t="shared" si="1"/>
        <v>-4.3906920362002353</v>
      </c>
      <c r="O28" s="5">
        <f t="shared" si="1"/>
        <v>-12.347572631167044</v>
      </c>
      <c r="P28" s="5">
        <f t="shared" si="1"/>
        <v>-18.408761251056614</v>
      </c>
      <c r="Q28" s="5">
        <f t="shared" si="1"/>
        <v>-22.504675847330248</v>
      </c>
      <c r="R28" s="13">
        <f t="shared" si="1"/>
        <v>-32.552716373499145</v>
      </c>
    </row>
    <row r="29" spans="2:21" x14ac:dyDescent="0.15">
      <c r="B29" t="s">
        <v>94</v>
      </c>
      <c r="C29" s="3">
        <f>AVERAGE(D27,D23)</f>
        <v>0.29308714983550743</v>
      </c>
      <c r="D29" t="s">
        <v>31</v>
      </c>
      <c r="K29" s="18">
        <f t="shared" si="1"/>
        <v>13.439367235351192</v>
      </c>
      <c r="L29" s="209">
        <f t="shared" si="1"/>
        <v>10.652940829954503</v>
      </c>
      <c r="M29" s="209">
        <f t="shared" si="1"/>
        <v>3.9931605095815286</v>
      </c>
      <c r="N29" s="209">
        <f t="shared" si="1"/>
        <v>-2.5463497520913201</v>
      </c>
      <c r="O29" s="209">
        <f t="shared" si="1"/>
        <v>-11.208760733142839</v>
      </c>
      <c r="P29" s="209">
        <f t="shared" si="1"/>
        <v>-19.614113890886642</v>
      </c>
      <c r="Q29" s="209">
        <f t="shared" si="1"/>
        <v>-26.274170407881535</v>
      </c>
      <c r="R29" s="15">
        <f t="shared" si="1"/>
        <v>-27.959041304388652</v>
      </c>
    </row>
    <row r="30" spans="2:21" x14ac:dyDescent="0.15">
      <c r="B30" t="s">
        <v>93</v>
      </c>
      <c r="C30" s="3">
        <f>-10*LOG10((1-10^(-C29/10)))-3</f>
        <v>8.853594809152499</v>
      </c>
      <c r="D30" t="s">
        <v>31</v>
      </c>
      <c r="J30" t="s">
        <v>419</v>
      </c>
      <c r="K30" s="6">
        <f>AVERAGE(K26:K29)</f>
        <v>11.789673878880285</v>
      </c>
      <c r="L30" s="6">
        <f t="shared" ref="L30:R30" si="2">AVERAGE(L26:L29)</f>
        <v>10.900522341679739</v>
      </c>
      <c r="M30" s="6">
        <f t="shared" si="2"/>
        <v>4.6456629852437423</v>
      </c>
      <c r="N30" s="6">
        <f t="shared" si="2"/>
        <v>-3.9200896376402019</v>
      </c>
      <c r="O30" s="6">
        <f t="shared" si="2"/>
        <v>-12.613089294682272</v>
      </c>
      <c r="P30" s="6">
        <f t="shared" si="2"/>
        <v>-19.318001047679818</v>
      </c>
      <c r="Q30" s="6">
        <f t="shared" si="2"/>
        <v>-23.27543625704719</v>
      </c>
      <c r="R30" s="6">
        <f t="shared" si="2"/>
        <v>-29.779690126937481</v>
      </c>
      <c r="T30" t="s">
        <v>604</v>
      </c>
    </row>
    <row r="31" spans="2:21" x14ac:dyDescent="0.15">
      <c r="J31" t="s">
        <v>602</v>
      </c>
      <c r="K31" s="108">
        <f>ROUND(K30,0)</f>
        <v>12</v>
      </c>
      <c r="L31" s="108">
        <f t="shared" ref="L31:R31" si="3">ROUND(L30,0)</f>
        <v>11</v>
      </c>
      <c r="M31" s="108">
        <f t="shared" si="3"/>
        <v>5</v>
      </c>
      <c r="N31" s="108">
        <f t="shared" si="3"/>
        <v>-4</v>
      </c>
      <c r="O31" s="108">
        <f t="shared" si="3"/>
        <v>-13</v>
      </c>
      <c r="P31" s="108">
        <f t="shared" si="3"/>
        <v>-19</v>
      </c>
      <c r="Q31" s="108">
        <f t="shared" si="3"/>
        <v>-23</v>
      </c>
      <c r="R31" s="108">
        <f t="shared" si="3"/>
        <v>-30</v>
      </c>
      <c r="T31" s="5">
        <f t="array" ref="T31">10*LOG10(SUM(10^((K31:R31+L41:S41)/10)))</f>
        <v>0.20324316281360399</v>
      </c>
      <c r="U31" t="s">
        <v>603</v>
      </c>
    </row>
    <row r="32" spans="2:21" x14ac:dyDescent="0.15">
      <c r="B32" t="s">
        <v>83</v>
      </c>
      <c r="C32" s="3">
        <f>F15+C30</f>
        <v>43.701948902227159</v>
      </c>
      <c r="D32" t="s">
        <v>31</v>
      </c>
    </row>
    <row r="33" spans="2:23" x14ac:dyDescent="0.15">
      <c r="B33" t="s">
        <v>95</v>
      </c>
      <c r="C33" s="3">
        <f>F15-2.6</f>
        <v>32.24835409307466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34.644157991431605</v>
      </c>
      <c r="D35" s="2" t="s">
        <v>31</v>
      </c>
      <c r="F35" s="5">
        <f>C35+10*LOG10(4/10)</f>
        <v>30.66475790471123</v>
      </c>
      <c r="G35" s="5">
        <f>C35+10*LOG10(4/2.5)</f>
        <v>36.685357817990855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480">
        <f>K31</f>
        <v>12</v>
      </c>
      <c r="D39" s="480">
        <f t="shared" ref="D39:J39" si="4">L31</f>
        <v>11</v>
      </c>
      <c r="E39" s="480">
        <f t="shared" si="4"/>
        <v>5</v>
      </c>
      <c r="F39" s="480">
        <f t="shared" si="4"/>
        <v>-4</v>
      </c>
      <c r="G39" s="480">
        <f t="shared" si="4"/>
        <v>-13</v>
      </c>
      <c r="H39" s="480">
        <f t="shared" si="4"/>
        <v>-19</v>
      </c>
      <c r="I39" s="480">
        <f t="shared" si="4"/>
        <v>-23</v>
      </c>
      <c r="J39" s="480">
        <f t="shared" si="4"/>
        <v>-30</v>
      </c>
      <c r="K39" s="87" t="s">
        <v>42</v>
      </c>
      <c r="L39" s="86">
        <f>$C$35+C39</f>
        <v>46.644157991431605</v>
      </c>
      <c r="M39" s="86">
        <f t="shared" ref="M39:S39" si="5">$C$35+D39</f>
        <v>45.644157991431605</v>
      </c>
      <c r="N39" s="86">
        <f t="shared" si="5"/>
        <v>39.644157991431605</v>
      </c>
      <c r="O39" s="86">
        <f t="shared" si="5"/>
        <v>30.644157991431605</v>
      </c>
      <c r="P39" s="86">
        <f t="shared" si="5"/>
        <v>21.644157991431605</v>
      </c>
      <c r="Q39" s="86">
        <f t="shared" si="5"/>
        <v>15.644157991431605</v>
      </c>
      <c r="R39" s="86">
        <f t="shared" si="5"/>
        <v>11.644157991431605</v>
      </c>
      <c r="S39" s="86">
        <f t="shared" si="5"/>
        <v>4.6441579914316051</v>
      </c>
      <c r="T39" s="5">
        <f t="array" ref="T39">10*LOG10(SUM(10^(L39:S39/10)))</f>
        <v>49.704780682791252</v>
      </c>
      <c r="U39" s="5">
        <f t="array" ref="U39">10*LOG10(SUM(10^((L39:S39+L41:S41)/10)))</f>
        <v>34.847401154245212</v>
      </c>
      <c r="W39" t="str">
        <f>IF(ABS(C35-U39)&lt;0.5,"OK","Tarkista laskenta!")</f>
        <v>OK</v>
      </c>
    </row>
    <row r="40" spans="2:23" x14ac:dyDescent="0.15">
      <c r="C40" s="394"/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7B4B7-2831-4667-BAEA-D0776FFFCCC4}">
  <dimension ref="C4:BN113"/>
  <sheetViews>
    <sheetView zoomScaleNormal="100" workbookViewId="0">
      <selection activeCell="R20" sqref="R20"/>
    </sheetView>
  </sheetViews>
  <sheetFormatPr baseColWidth="10" defaultColWidth="8.83203125" defaultRowHeight="13" x14ac:dyDescent="0.15"/>
  <cols>
    <col min="3" max="3" width="12.1640625" customWidth="1"/>
    <col min="12" max="12" width="12.83203125" customWidth="1"/>
    <col min="13" max="13" width="11.6640625" customWidth="1"/>
    <col min="14" max="14" width="9" bestFit="1" customWidth="1"/>
    <col min="15" max="15" width="12.33203125" bestFit="1" customWidth="1"/>
    <col min="16" max="16" width="11.1640625" bestFit="1" customWidth="1"/>
    <col min="17" max="17" width="9.33203125" bestFit="1" customWidth="1"/>
    <col min="23" max="23" width="12.6640625" customWidth="1"/>
    <col min="24" max="24" width="12.33203125" customWidth="1"/>
  </cols>
  <sheetData>
    <row r="4" spans="3:17" x14ac:dyDescent="0.15">
      <c r="C4" s="2" t="s">
        <v>2889</v>
      </c>
    </row>
    <row r="5" spans="3:17" x14ac:dyDescent="0.15">
      <c r="C5" t="s">
        <v>2890</v>
      </c>
      <c r="G5" t="s">
        <v>2794</v>
      </c>
    </row>
    <row r="7" spans="3:17" x14ac:dyDescent="0.15">
      <c r="C7" s="2" t="s">
        <v>2795</v>
      </c>
    </row>
    <row r="8" spans="3:17" x14ac:dyDescent="0.15">
      <c r="C8" s="628" t="s">
        <v>2797</v>
      </c>
      <c r="D8" s="628" t="s">
        <v>1219</v>
      </c>
      <c r="E8" s="628" t="s">
        <v>2798</v>
      </c>
      <c r="F8" s="628" t="s">
        <v>2799</v>
      </c>
      <c r="G8" s="628" t="s">
        <v>2800</v>
      </c>
      <c r="H8" s="628" t="s">
        <v>2801</v>
      </c>
      <c r="I8" s="628" t="s">
        <v>2802</v>
      </c>
      <c r="J8" s="628" t="s">
        <v>2803</v>
      </c>
      <c r="K8" s="628" t="s">
        <v>2804</v>
      </c>
      <c r="L8" s="628" t="s">
        <v>2805</v>
      </c>
      <c r="M8" s="628" t="s">
        <v>419</v>
      </c>
    </row>
    <row r="9" spans="3:17" x14ac:dyDescent="0.15">
      <c r="C9" s="38">
        <v>1080</v>
      </c>
      <c r="D9" s="1614">
        <v>300</v>
      </c>
      <c r="E9" s="1615">
        <v>0.73000000000000009</v>
      </c>
      <c r="F9" s="1615">
        <v>0.74499999999999988</v>
      </c>
      <c r="G9" s="1615">
        <v>0.748</v>
      </c>
      <c r="H9" s="1615">
        <v>0.73499999999999999</v>
      </c>
      <c r="I9" s="1615">
        <v>0.73076923076923073</v>
      </c>
      <c r="J9" s="1615">
        <v>0.75</v>
      </c>
      <c r="K9" s="1615">
        <v>0.74444444444444446</v>
      </c>
      <c r="L9" s="1615">
        <v>0.75142857142857145</v>
      </c>
      <c r="M9" s="1616">
        <f>AVERAGE(E9:K9,I9,I9)</f>
        <v>0.73830579297245957</v>
      </c>
      <c r="O9" s="2">
        <f>EXP(Q9)</f>
        <v>1.2883674867224006</v>
      </c>
      <c r="P9" s="2">
        <f t="array" ref="P9:Q9">LINEST(LN(M9:M12),LN(D9:D12))</f>
        <v>-9.8086803148965507E-2</v>
      </c>
      <c r="Q9">
        <v>0.25337590276561694</v>
      </c>
    </row>
    <row r="10" spans="3:17" x14ac:dyDescent="0.15">
      <c r="C10" s="344">
        <v>810</v>
      </c>
      <c r="D10" s="279">
        <v>225</v>
      </c>
      <c r="E10" s="733">
        <v>0.75</v>
      </c>
      <c r="F10" s="733">
        <v>0.76500000000000001</v>
      </c>
      <c r="G10" s="733">
        <v>0.76800000000000002</v>
      </c>
      <c r="H10" s="733">
        <v>0.75500000000000012</v>
      </c>
      <c r="I10" s="733">
        <v>0.74615384615384606</v>
      </c>
      <c r="J10" s="733">
        <v>0.76666666666666672</v>
      </c>
      <c r="K10" s="733">
        <v>0.76296296296296306</v>
      </c>
      <c r="L10" s="733">
        <v>0.77142857142857146</v>
      </c>
      <c r="M10" s="1616">
        <f t="shared" ref="M10:M12" si="0">AVERAGE(E10:K10,I10,I10)</f>
        <v>0.75623235201012973</v>
      </c>
      <c r="O10" s="2"/>
      <c r="P10" s="2"/>
    </row>
    <row r="11" spans="3:17" x14ac:dyDescent="0.15">
      <c r="C11" s="344">
        <v>540</v>
      </c>
      <c r="D11" s="279">
        <v>150</v>
      </c>
      <c r="E11" s="733">
        <v>0.78</v>
      </c>
      <c r="F11" s="733">
        <v>0.79</v>
      </c>
      <c r="G11" s="733">
        <v>0.79599999999999993</v>
      </c>
      <c r="H11" s="733">
        <v>0.78499999999999992</v>
      </c>
      <c r="I11" s="733">
        <v>0.77692307692307705</v>
      </c>
      <c r="J11" s="733">
        <v>0.79999999999999993</v>
      </c>
      <c r="K11" s="733">
        <v>0.79259259259259252</v>
      </c>
      <c r="L11" s="733">
        <v>0.8</v>
      </c>
      <c r="M11" s="1616">
        <f t="shared" si="0"/>
        <v>0.78604020259575813</v>
      </c>
    </row>
    <row r="12" spans="3:17" x14ac:dyDescent="0.15">
      <c r="C12" s="344">
        <v>234</v>
      </c>
      <c r="D12" s="279">
        <v>65</v>
      </c>
      <c r="E12" s="733">
        <v>0.85</v>
      </c>
      <c r="F12" s="733">
        <v>0.86</v>
      </c>
      <c r="G12" s="733">
        <v>0.8640000000000001</v>
      </c>
      <c r="H12" s="733">
        <v>0.85500000000000009</v>
      </c>
      <c r="I12" s="733">
        <v>0.85384615384615392</v>
      </c>
      <c r="J12" s="733">
        <v>0.86111111111111116</v>
      </c>
      <c r="K12" s="733">
        <v>0.85925925925925928</v>
      </c>
      <c r="L12" s="733">
        <v>0.86571428571428577</v>
      </c>
      <c r="M12" s="1616">
        <f t="shared" si="0"/>
        <v>0.85676764798987037</v>
      </c>
      <c r="O12">
        <v>70</v>
      </c>
      <c r="P12" t="s">
        <v>470</v>
      </c>
    </row>
    <row r="13" spans="3:17" x14ac:dyDescent="0.15">
      <c r="O13" s="1537">
        <f>O9*O12^P9</f>
        <v>0.8492977786380137</v>
      </c>
    </row>
    <row r="15" spans="3:17" x14ac:dyDescent="0.15">
      <c r="O15" s="2" t="s">
        <v>2806</v>
      </c>
    </row>
    <row r="16" spans="3:17" x14ac:dyDescent="0.15">
      <c r="O16" s="4" t="s">
        <v>1219</v>
      </c>
      <c r="P16" s="4" t="s">
        <v>2807</v>
      </c>
    </row>
    <row r="17" spans="15:19" x14ac:dyDescent="0.15">
      <c r="O17" s="1617">
        <v>40</v>
      </c>
      <c r="P17" s="1618">
        <f>S17</f>
        <v>0.85</v>
      </c>
      <c r="Q17" s="314">
        <f>P17*100</f>
        <v>85</v>
      </c>
      <c r="S17" s="1619">
        <v>0.85</v>
      </c>
    </row>
    <row r="18" spans="15:19" x14ac:dyDescent="0.15">
      <c r="O18" s="1617">
        <v>78</v>
      </c>
      <c r="P18" s="1618">
        <f>$O$9*O18^$P$9</f>
        <v>0.84033073012510295</v>
      </c>
      <c r="Q18" s="314">
        <f t="shared" ref="Q18:Q23" si="1">P18*100</f>
        <v>84.0330730125103</v>
      </c>
    </row>
    <row r="19" spans="15:19" x14ac:dyDescent="0.15">
      <c r="O19" s="1617">
        <v>110</v>
      </c>
      <c r="P19" s="1618">
        <f t="shared" ref="P19:P23" si="2">$O$9*O19^$P$9</f>
        <v>0.81246764299333762</v>
      </c>
      <c r="Q19" s="314">
        <f t="shared" si="1"/>
        <v>81.246764299333762</v>
      </c>
    </row>
    <row r="20" spans="15:19" x14ac:dyDescent="0.15">
      <c r="O20" s="1617">
        <v>160</v>
      </c>
      <c r="P20" s="1618">
        <f t="shared" si="2"/>
        <v>0.78314949742262241</v>
      </c>
      <c r="Q20" s="314">
        <f t="shared" si="1"/>
        <v>78.314949742262243</v>
      </c>
    </row>
    <row r="21" spans="15:19" x14ac:dyDescent="0.15">
      <c r="O21" s="1617">
        <v>220</v>
      </c>
      <c r="P21" s="1618">
        <f t="shared" si="2"/>
        <v>0.75906506499293136</v>
      </c>
      <c r="Q21" s="314">
        <f t="shared" si="1"/>
        <v>75.90650649929313</v>
      </c>
    </row>
    <row r="22" spans="15:19" x14ac:dyDescent="0.15">
      <c r="O22" s="1617">
        <v>280</v>
      </c>
      <c r="P22" s="1618">
        <f t="shared" si="2"/>
        <v>0.74132022404676445</v>
      </c>
      <c r="Q22" s="314">
        <f t="shared" si="1"/>
        <v>74.132022404676448</v>
      </c>
    </row>
    <row r="23" spans="15:19" x14ac:dyDescent="0.15">
      <c r="O23" s="1617">
        <v>340</v>
      </c>
      <c r="P23" s="1618">
        <f t="shared" si="2"/>
        <v>0.7273359973145842</v>
      </c>
      <c r="Q23" s="314">
        <f t="shared" si="1"/>
        <v>72.733599731458426</v>
      </c>
    </row>
    <row r="24" spans="15:19" x14ac:dyDescent="0.15">
      <c r="O24" s="4"/>
    </row>
    <row r="25" spans="15:19" x14ac:dyDescent="0.15">
      <c r="O25" t="s">
        <v>2808</v>
      </c>
    </row>
    <row r="26" spans="15:19" x14ac:dyDescent="0.15">
      <c r="O26" t="s">
        <v>2809</v>
      </c>
    </row>
    <row r="27" spans="15:19" x14ac:dyDescent="0.15">
      <c r="O27" t="s">
        <v>2810</v>
      </c>
    </row>
    <row r="36" spans="3:27" x14ac:dyDescent="0.15">
      <c r="C36" s="2" t="s">
        <v>2811</v>
      </c>
    </row>
    <row r="37" spans="3:27" x14ac:dyDescent="0.15">
      <c r="C37" s="2"/>
    </row>
    <row r="38" spans="3:27" x14ac:dyDescent="0.15">
      <c r="C38" s="2"/>
      <c r="T38" s="2" t="s">
        <v>2812</v>
      </c>
    </row>
    <row r="39" spans="3:27" x14ac:dyDescent="0.15">
      <c r="E39" s="628" t="s">
        <v>2798</v>
      </c>
      <c r="F39" s="628" t="s">
        <v>2799</v>
      </c>
      <c r="G39" s="628" t="s">
        <v>2800</v>
      </c>
      <c r="H39" s="628" t="s">
        <v>2801</v>
      </c>
      <c r="I39" s="628" t="s">
        <v>2802</v>
      </c>
      <c r="J39" s="628" t="s">
        <v>2803</v>
      </c>
      <c r="K39" s="628" t="s">
        <v>2804</v>
      </c>
      <c r="L39" s="628" t="s">
        <v>2813</v>
      </c>
      <c r="M39" s="628" t="s">
        <v>2231</v>
      </c>
      <c r="T39" s="628" t="s">
        <v>2814</v>
      </c>
      <c r="U39" s="628" t="s">
        <v>2815</v>
      </c>
      <c r="V39" s="628" t="s">
        <v>2816</v>
      </c>
      <c r="W39" s="628" t="s">
        <v>2817</v>
      </c>
      <c r="X39" s="628" t="s">
        <v>2231</v>
      </c>
    </row>
    <row r="40" spans="3:27" x14ac:dyDescent="0.15">
      <c r="C40" s="95" t="s">
        <v>2818</v>
      </c>
      <c r="D40" s="75"/>
      <c r="E40" s="1620">
        <v>25</v>
      </c>
      <c r="F40" s="1620">
        <v>25</v>
      </c>
      <c r="G40" s="1620">
        <v>22</v>
      </c>
      <c r="H40" s="1620">
        <v>22</v>
      </c>
      <c r="I40" s="1620">
        <v>20</v>
      </c>
      <c r="J40" s="1620">
        <v>20</v>
      </c>
      <c r="K40" s="1620">
        <v>20</v>
      </c>
      <c r="L40" s="1620">
        <v>25</v>
      </c>
      <c r="M40" s="1621">
        <f>'R-series ENT'!T39</f>
        <v>20</v>
      </c>
      <c r="T40" s="1620">
        <v>25</v>
      </c>
      <c r="U40" s="1620">
        <v>25</v>
      </c>
      <c r="V40" s="1620">
        <v>25</v>
      </c>
      <c r="W40" s="1620">
        <v>25</v>
      </c>
      <c r="X40" s="1621">
        <f>'R-series ENT'!T47</f>
        <v>25</v>
      </c>
    </row>
    <row r="41" spans="3:27" x14ac:dyDescent="0.15">
      <c r="C41" s="95" t="s">
        <v>2819</v>
      </c>
      <c r="D41" s="75"/>
      <c r="E41" s="1620">
        <v>26.9</v>
      </c>
      <c r="F41" s="1620">
        <v>50</v>
      </c>
      <c r="G41" s="1620">
        <v>46.5</v>
      </c>
      <c r="H41" s="1620">
        <v>43.8</v>
      </c>
      <c r="I41" s="1620">
        <v>36.799999999999997</v>
      </c>
      <c r="J41" s="1620">
        <v>58.4</v>
      </c>
      <c r="K41" s="1620">
        <v>36.799999999999997</v>
      </c>
      <c r="L41" s="1620">
        <v>55</v>
      </c>
      <c r="M41" s="1621">
        <f>'R-series ENT'!T40</f>
        <v>35</v>
      </c>
      <c r="T41" s="1620">
        <v>50</v>
      </c>
      <c r="U41" s="1620">
        <v>50</v>
      </c>
      <c r="V41" s="1620">
        <v>50</v>
      </c>
      <c r="W41" s="1620">
        <v>50</v>
      </c>
      <c r="X41" s="1621">
        <f>'R-series ENT'!T48</f>
        <v>50</v>
      </c>
    </row>
    <row r="42" spans="3:27" x14ac:dyDescent="0.15">
      <c r="C42" s="95" t="s">
        <v>2820</v>
      </c>
      <c r="D42" s="75"/>
      <c r="E42" s="1622">
        <v>5.28</v>
      </c>
      <c r="F42" s="1622">
        <v>9.8800000000000008</v>
      </c>
      <c r="G42" s="1622">
        <v>7.64</v>
      </c>
      <c r="H42" s="1622">
        <v>7.19</v>
      </c>
      <c r="I42" s="1622">
        <v>5.33</v>
      </c>
      <c r="J42" s="1622">
        <v>8.5</v>
      </c>
      <c r="K42" s="1622">
        <v>5.33</v>
      </c>
      <c r="L42" s="1622">
        <v>10.9</v>
      </c>
      <c r="M42" s="627">
        <f>F54</f>
        <v>5.0522031878521858</v>
      </c>
      <c r="T42" s="1622">
        <v>9.8800000000000008</v>
      </c>
      <c r="U42" s="1622">
        <v>9.8800000000000008</v>
      </c>
      <c r="V42" s="1622">
        <v>9.8800000000000008</v>
      </c>
      <c r="W42" s="1622">
        <v>9.8800000000000008</v>
      </c>
      <c r="X42" s="627">
        <f>V54</f>
        <v>9.8525879076250362</v>
      </c>
    </row>
    <row r="43" spans="3:27" x14ac:dyDescent="0.15">
      <c r="C43" s="95" t="s">
        <v>2821</v>
      </c>
      <c r="D43" s="75"/>
      <c r="E43" s="1620">
        <v>5</v>
      </c>
      <c r="F43" s="1620">
        <v>5</v>
      </c>
      <c r="G43" s="1620">
        <v>-3</v>
      </c>
      <c r="H43" s="1620">
        <v>2</v>
      </c>
      <c r="I43" s="1620">
        <v>7</v>
      </c>
      <c r="J43" s="1620">
        <v>2</v>
      </c>
      <c r="K43" s="1620">
        <v>-7</v>
      </c>
      <c r="L43" s="1620">
        <v>2</v>
      </c>
      <c r="M43" s="1621">
        <f>'R-series ENT'!T41</f>
        <v>7</v>
      </c>
      <c r="T43" s="1620">
        <v>35</v>
      </c>
      <c r="U43" s="1620">
        <v>35</v>
      </c>
      <c r="V43" s="1620">
        <v>35</v>
      </c>
      <c r="W43" s="1620">
        <v>46</v>
      </c>
      <c r="X43" s="1621">
        <f>'R-series ENT'!T49</f>
        <v>35</v>
      </c>
    </row>
    <row r="44" spans="3:27" x14ac:dyDescent="0.15">
      <c r="C44" s="95" t="s">
        <v>2822</v>
      </c>
      <c r="D44" s="75"/>
      <c r="E44" s="1620">
        <v>70</v>
      </c>
      <c r="F44" s="1620">
        <v>71.5</v>
      </c>
      <c r="G44" s="1620">
        <v>93.7</v>
      </c>
      <c r="H44" s="1620">
        <v>80.400000000000006</v>
      </c>
      <c r="I44" s="1620">
        <v>65</v>
      </c>
      <c r="J44" s="1620">
        <v>83.6</v>
      </c>
      <c r="K44" s="1620">
        <v>74.3</v>
      </c>
      <c r="L44" s="1620">
        <v>50</v>
      </c>
      <c r="M44" s="1621">
        <f>'R-series ENT'!T42</f>
        <v>55</v>
      </c>
      <c r="T44" s="1620">
        <v>39.6</v>
      </c>
      <c r="U44" s="1620">
        <v>48.7</v>
      </c>
      <c r="V44" s="1620">
        <v>58.6</v>
      </c>
      <c r="W44" s="1620">
        <v>28.1</v>
      </c>
      <c r="X44" s="1621">
        <f>'R-series ENT'!T50</f>
        <v>45</v>
      </c>
    </row>
    <row r="45" spans="3:27" ht="14" thickBot="1" x14ac:dyDescent="0.2">
      <c r="C45" s="1623" t="s">
        <v>2823</v>
      </c>
      <c r="D45" s="1624"/>
      <c r="E45" s="1625">
        <v>3.77</v>
      </c>
      <c r="F45" s="1625">
        <v>3.85</v>
      </c>
      <c r="G45" s="1625">
        <v>2.83</v>
      </c>
      <c r="H45" s="1625">
        <v>3.5</v>
      </c>
      <c r="I45" s="1625">
        <v>4.0199999999999996</v>
      </c>
      <c r="J45" s="1625">
        <v>3.64</v>
      </c>
      <c r="K45" s="1625">
        <v>1.65</v>
      </c>
      <c r="L45" s="1625">
        <v>2.2000000000000002</v>
      </c>
      <c r="M45" s="1626">
        <f>F58</f>
        <v>3.3972871410816272</v>
      </c>
      <c r="T45" s="1622">
        <v>13.98</v>
      </c>
      <c r="U45" s="1622">
        <v>17.28</v>
      </c>
      <c r="V45" s="1622">
        <v>20.91</v>
      </c>
      <c r="W45" s="1622">
        <v>17.89</v>
      </c>
      <c r="X45" s="627">
        <f>V58</f>
        <v>15.900771910871322</v>
      </c>
    </row>
    <row r="46" spans="3:27" ht="14" thickTop="1" x14ac:dyDescent="0.15">
      <c r="C46" s="1627" t="s">
        <v>2797</v>
      </c>
      <c r="D46" s="1627" t="s">
        <v>1219</v>
      </c>
      <c r="E46" s="1627">
        <f>E42-E45</f>
        <v>1.5100000000000002</v>
      </c>
      <c r="F46" s="1627">
        <f t="shared" ref="F46:L46" si="3">F42-F45</f>
        <v>6.0300000000000011</v>
      </c>
      <c r="G46" s="1627">
        <f t="shared" si="3"/>
        <v>4.8099999999999996</v>
      </c>
      <c r="H46" s="1627">
        <f t="shared" si="3"/>
        <v>3.6900000000000004</v>
      </c>
      <c r="I46" s="1627">
        <f t="shared" si="3"/>
        <v>1.3100000000000005</v>
      </c>
      <c r="J46" s="1627">
        <f t="shared" si="3"/>
        <v>4.8599999999999994</v>
      </c>
      <c r="K46" s="1627">
        <f t="shared" si="3"/>
        <v>3.68</v>
      </c>
      <c r="L46" s="1627">
        <f t="shared" si="3"/>
        <v>8.6999999999999993</v>
      </c>
      <c r="M46" s="1628">
        <f>F60</f>
        <v>1.6549160467705586</v>
      </c>
      <c r="O46" s="2" t="s">
        <v>2845</v>
      </c>
      <c r="S46" s="628" t="s">
        <v>1219</v>
      </c>
      <c r="T46" s="1627">
        <v>4.0999999999999996</v>
      </c>
      <c r="U46" s="1627">
        <v>7.4</v>
      </c>
      <c r="V46" s="1627">
        <v>11.03</v>
      </c>
      <c r="W46" s="1634">
        <v>8.01</v>
      </c>
      <c r="X46" s="627">
        <f>V60</f>
        <v>6.0481840032462859</v>
      </c>
      <c r="Z46" s="2" t="s">
        <v>2845</v>
      </c>
    </row>
    <row r="47" spans="3:27" x14ac:dyDescent="0.15">
      <c r="C47" s="38">
        <v>1080</v>
      </c>
      <c r="D47" s="1614">
        <v>300</v>
      </c>
      <c r="E47" s="1615">
        <v>0.25827814569536428</v>
      </c>
      <c r="F47" s="1615">
        <v>0.49585406301824198</v>
      </c>
      <c r="G47" s="1615">
        <v>0.50519750519750517</v>
      </c>
      <c r="H47" s="1615">
        <v>0.43360433604336029</v>
      </c>
      <c r="I47" s="1615">
        <v>0.23664122137404608</v>
      </c>
      <c r="J47" s="1615">
        <v>0.48559670781893005</v>
      </c>
      <c r="K47" s="1615">
        <v>0.47554347826086957</v>
      </c>
      <c r="L47" s="1615">
        <v>0.57701149425287357</v>
      </c>
      <c r="M47" s="1635">
        <f>O47*LN($M$46)+P47</f>
        <v>0.28781352636481972</v>
      </c>
      <c r="O47" s="2">
        <f t="array" ref="O47:P47">LINEST(E47:L47,LN(E46:L46))</f>
        <v>0.18285171023507055</v>
      </c>
      <c r="P47" s="2">
        <v>0.19570192604116138</v>
      </c>
      <c r="S47" s="1614">
        <f>D47</f>
        <v>300</v>
      </c>
      <c r="T47" s="1615">
        <v>0.31707317073170754</v>
      </c>
      <c r="U47" s="1615">
        <v>0.39594594594594612</v>
      </c>
      <c r="V47" s="1615">
        <v>0.44877606527651853</v>
      </c>
      <c r="W47" s="1636">
        <v>0.34207240948813988</v>
      </c>
      <c r="X47" s="1635">
        <f>Z47*LN($X$46)+AA47</f>
        <v>0.36890288543577887</v>
      </c>
      <c r="Z47" s="2">
        <f t="array" ref="Z47:AA47">LINEST(T47:V47,LN($T$46:$V$46))</f>
        <v>0.1331198132654651</v>
      </c>
      <c r="AA47" s="2">
        <v>0.12931942826849113</v>
      </c>
    </row>
    <row r="48" spans="3:27" x14ac:dyDescent="0.15">
      <c r="C48" s="344">
        <v>810</v>
      </c>
      <c r="D48" s="279">
        <v>225</v>
      </c>
      <c r="E48" s="733">
        <v>0.31125827814569546</v>
      </c>
      <c r="F48" s="733">
        <v>0.55223880597014907</v>
      </c>
      <c r="G48" s="733">
        <v>0.56133056133056136</v>
      </c>
      <c r="H48" s="733">
        <v>0.49051490514905133</v>
      </c>
      <c r="I48" s="733">
        <v>0.29007633587786308</v>
      </c>
      <c r="J48" s="733">
        <v>0.54115226337448552</v>
      </c>
      <c r="K48" s="733">
        <v>0.53260869565217384</v>
      </c>
      <c r="L48" s="733">
        <v>0.6344827586206897</v>
      </c>
      <c r="M48" s="1635">
        <f>O48*LN($M$46)+P48</f>
        <v>0.34177152479831696</v>
      </c>
      <c r="O48" s="2">
        <f t="array" ref="O48:P48">LINEST(E48:L48,LN(E46:L46))</f>
        <v>0.1850912883162939</v>
      </c>
      <c r="P48" s="2">
        <v>0.24853173638800599</v>
      </c>
      <c r="S48" s="1614">
        <f>D48</f>
        <v>225</v>
      </c>
      <c r="T48" s="733">
        <v>0.34146341463414648</v>
      </c>
      <c r="U48" s="733">
        <v>0.41891891891891908</v>
      </c>
      <c r="V48" s="733">
        <v>0.47325475974614695</v>
      </c>
      <c r="W48" s="1637">
        <v>0.36704119850187283</v>
      </c>
      <c r="X48" s="1635">
        <f t="shared" ref="X48:X50" si="4">Z48*LN($X$46)+AA48</f>
        <v>0.39286394831634669</v>
      </c>
      <c r="Z48" s="2">
        <f t="array" ref="Z48:AA48">LINEST(T48:V48,LN($T$46:$V$46))</f>
        <v>0.13302006426224899</v>
      </c>
      <c r="AA48" s="2">
        <v>0.1534600152217967</v>
      </c>
    </row>
    <row r="49" spans="3:66" x14ac:dyDescent="0.15">
      <c r="C49" s="344">
        <v>540</v>
      </c>
      <c r="D49" s="279">
        <v>150</v>
      </c>
      <c r="E49" s="733">
        <v>0.37086092715231783</v>
      </c>
      <c r="F49" s="733">
        <v>0.60862354892205617</v>
      </c>
      <c r="G49" s="733">
        <v>0.61746361746361744</v>
      </c>
      <c r="H49" s="733">
        <v>0.5447154471544714</v>
      </c>
      <c r="I49" s="733">
        <v>0.34351145038167941</v>
      </c>
      <c r="J49" s="733">
        <v>0.594650205761317</v>
      </c>
      <c r="K49" s="733">
        <v>0.58695652173913049</v>
      </c>
      <c r="L49" s="733">
        <v>0.69080459770114955</v>
      </c>
      <c r="M49" s="1635">
        <f>O49*LN($M$46)+P49</f>
        <v>0.39746657263650281</v>
      </c>
      <c r="O49" s="2">
        <f t="array" ref="O49:P49">LINEST(E49:L49,LN(E46:L46))</f>
        <v>0.18483445412819607</v>
      </c>
      <c r="P49" s="2">
        <v>0.30435616452049208</v>
      </c>
      <c r="S49" s="1614">
        <f>D49</f>
        <v>150</v>
      </c>
      <c r="T49" s="733">
        <v>0.36829268292682926</v>
      </c>
      <c r="U49" s="733">
        <v>0.445945945945946</v>
      </c>
      <c r="V49" s="733">
        <v>0.50045330915684494</v>
      </c>
      <c r="W49" s="1637">
        <v>0.39575530586766544</v>
      </c>
      <c r="X49" s="1635">
        <f t="shared" si="4"/>
        <v>0.41983115939804005</v>
      </c>
      <c r="Z49" s="2">
        <f t="array" ref="Z49:AA49">LINEST(T49:V49,LN($T$46:$V$46))</f>
        <v>0.13339030878352579</v>
      </c>
      <c r="AA49" s="2">
        <v>0.1797608757413251</v>
      </c>
    </row>
    <row r="50" spans="3:66" x14ac:dyDescent="0.15">
      <c r="C50" s="344">
        <v>234</v>
      </c>
      <c r="D50" s="279">
        <v>65</v>
      </c>
      <c r="E50" s="733">
        <v>0.43708609271523152</v>
      </c>
      <c r="F50" s="733">
        <v>0.67827529021558852</v>
      </c>
      <c r="G50" s="733">
        <v>0.68814968814968813</v>
      </c>
      <c r="H50" s="733">
        <v>0.61517615176151741</v>
      </c>
      <c r="I50" s="733">
        <v>0.41221374045801512</v>
      </c>
      <c r="J50" s="733">
        <v>0.66460905349794241</v>
      </c>
      <c r="K50" s="733">
        <v>0.65760869565217395</v>
      </c>
      <c r="L50" s="733">
        <v>0.76206896551724146</v>
      </c>
      <c r="M50" s="1635">
        <f>O50*LN($M$46)+P50</f>
        <v>0.46562709608304786</v>
      </c>
      <c r="O50" s="2">
        <f t="array" ref="O50:P50">LINEST(E50:L50,LN(E46:L46))</f>
        <v>0.18676732413296579</v>
      </c>
      <c r="P50" s="2">
        <v>0.37154300415993435</v>
      </c>
      <c r="S50" s="1614">
        <f>D50</f>
        <v>65</v>
      </c>
      <c r="T50" s="733">
        <v>0.3878048780487805</v>
      </c>
      <c r="U50" s="733">
        <v>0.46756756756756768</v>
      </c>
      <c r="V50" s="733">
        <v>0.52130553037171357</v>
      </c>
      <c r="W50" s="1637">
        <v>0.41822721598002516</v>
      </c>
      <c r="X50" s="1635">
        <f t="shared" si="4"/>
        <v>0.44028315121883815</v>
      </c>
      <c r="Z50" s="2">
        <f t="array" ref="Z50:AA50">LINEST(T50:V50,LN($T$46:$V$46))</f>
        <v>0.13491289168078757</v>
      </c>
      <c r="AA50" s="2">
        <v>0.19747258671736029</v>
      </c>
    </row>
    <row r="51" spans="3:66" x14ac:dyDescent="0.15">
      <c r="O51" s="2" t="s">
        <v>2846</v>
      </c>
      <c r="Z51" s="2" t="s">
        <v>2839</v>
      </c>
    </row>
    <row r="52" spans="3:66" x14ac:dyDescent="0.15">
      <c r="C52" t="s">
        <v>228</v>
      </c>
      <c r="F52">
        <f>M40</f>
        <v>20</v>
      </c>
      <c r="G52" t="s">
        <v>230</v>
      </c>
      <c r="O52" s="1638">
        <f t="array" ref="O52:Q52">LINEST(M47:M50,D47:D50^{1,2})</f>
        <v>2.7043706024671762E-7</v>
      </c>
      <c r="P52" s="1638">
        <v>-8.543101114752103E-4</v>
      </c>
      <c r="Q52" s="1638">
        <v>0.51990264008551379</v>
      </c>
      <c r="S52" t="s">
        <v>228</v>
      </c>
      <c r="V52">
        <f>X40</f>
        <v>25</v>
      </c>
      <c r="W52" t="s">
        <v>230</v>
      </c>
      <c r="Z52" s="1638">
        <f t="array" ref="Z52:AA52">LINEST(X47:X50,S47:S50)</f>
        <v>-3.0836384129469762E-4</v>
      </c>
      <c r="AA52" s="1638">
        <v>0.46251759673177001</v>
      </c>
    </row>
    <row r="53" spans="3:66" x14ac:dyDescent="0.15">
      <c r="C53" t="s">
        <v>2824</v>
      </c>
      <c r="F53" s="227">
        <f>M41/100</f>
        <v>0.35</v>
      </c>
      <c r="G53" t="s">
        <v>2825</v>
      </c>
      <c r="S53" t="s">
        <v>2824</v>
      </c>
      <c r="V53" s="227">
        <f>X41/100</f>
        <v>0.5</v>
      </c>
      <c r="W53" t="s">
        <v>2825</v>
      </c>
    </row>
    <row r="54" spans="3:66" x14ac:dyDescent="0.15">
      <c r="C54" t="s">
        <v>2826</v>
      </c>
      <c r="F54" s="314">
        <f>1000*0.62198*(F53*(6.112*EXP((17.62*F52)/(243.12+F52))))/(1013.25-(F53*(6.112*EXP((17.62*F52)/(243.12+F52)))))</f>
        <v>5.0522031878521858</v>
      </c>
      <c r="G54" t="s">
        <v>2827</v>
      </c>
      <c r="S54" t="s">
        <v>2826</v>
      </c>
      <c r="V54" s="314">
        <f>1000*0.62198*(V53*(6.112*EXP((17.62*V52)/(243.12+V52))))/(1013.25-(V53*(6.112*EXP((17.62*V52)/(243.12+V52)))))</f>
        <v>9.8525879076250362</v>
      </c>
      <c r="W54" t="s">
        <v>2827</v>
      </c>
    </row>
    <row r="56" spans="3:66" x14ac:dyDescent="0.15">
      <c r="C56" t="s">
        <v>2828</v>
      </c>
      <c r="F56">
        <f>M43</f>
        <v>7</v>
      </c>
      <c r="G56" t="s">
        <v>230</v>
      </c>
      <c r="S56" t="s">
        <v>2828</v>
      </c>
      <c r="V56">
        <f>X43</f>
        <v>35</v>
      </c>
      <c r="W56" t="s">
        <v>230</v>
      </c>
    </row>
    <row r="57" spans="3:66" x14ac:dyDescent="0.15">
      <c r="C57" t="s">
        <v>2824</v>
      </c>
      <c r="F57" s="245">
        <f>M44/100</f>
        <v>0.55000000000000004</v>
      </c>
      <c r="G57" t="s">
        <v>2825</v>
      </c>
      <c r="S57" t="s">
        <v>2824</v>
      </c>
      <c r="V57" s="245">
        <f>X44/100</f>
        <v>0.45</v>
      </c>
      <c r="W57" t="s">
        <v>2825</v>
      </c>
      <c r="BN57" t="s">
        <v>2829</v>
      </c>
    </row>
    <row r="58" spans="3:66" x14ac:dyDescent="0.15">
      <c r="C58" t="s">
        <v>2826</v>
      </c>
      <c r="F58" s="314">
        <f>1000*0.62198*(F57*(6.112*EXP((17.62*F56)/(243.12+F56))))/(1013.25-(F57*(6.112*EXP((17.62*F56)/(243.12+F56)))))</f>
        <v>3.3972871410816272</v>
      </c>
      <c r="G58" t="s">
        <v>2827</v>
      </c>
      <c r="S58" t="s">
        <v>2826</v>
      </c>
      <c r="V58" s="314">
        <f>1000*0.62198*(V57*(6.112*EXP((17.62*V56)/(243.12+V56))))/(1013.25-(V57*(6.112*EXP((17.62*V56)/(243.12+V56)))))</f>
        <v>15.900771910871322</v>
      </c>
      <c r="W58" t="s">
        <v>2827</v>
      </c>
    </row>
    <row r="60" spans="3:66" x14ac:dyDescent="0.15">
      <c r="C60" t="s">
        <v>2830</v>
      </c>
      <c r="F60" s="314">
        <f>F54-F58</f>
        <v>1.6549160467705586</v>
      </c>
      <c r="G60" t="s">
        <v>2827</v>
      </c>
      <c r="I60" s="110">
        <f>'R-series ENT'!$E$38</f>
        <v>34.722222222222221</v>
      </c>
      <c r="J60" t="s">
        <v>311</v>
      </c>
      <c r="S60" t="s">
        <v>2830</v>
      </c>
      <c r="V60" s="314">
        <f>V58-V54</f>
        <v>6.0481840032462859</v>
      </c>
      <c r="W60" t="s">
        <v>2827</v>
      </c>
      <c r="Y60" s="110">
        <f>'R-series ENT'!$E$38</f>
        <v>34.722222222222221</v>
      </c>
      <c r="Z60" t="s">
        <v>311</v>
      </c>
    </row>
    <row r="61" spans="3:66" x14ac:dyDescent="0.15">
      <c r="C61" t="s">
        <v>485</v>
      </c>
      <c r="F61" s="110">
        <f>'R-series ENT'!E38</f>
        <v>34.722222222222221</v>
      </c>
      <c r="G61" t="s">
        <v>1219</v>
      </c>
      <c r="I61" s="110">
        <f>'R-series ENT'!$G$38</f>
        <v>34.722222222222221</v>
      </c>
      <c r="J61" t="s">
        <v>312</v>
      </c>
      <c r="S61" t="s">
        <v>485</v>
      </c>
      <c r="V61" s="110">
        <f>'R-series ENT'!E38</f>
        <v>34.722222222222221</v>
      </c>
      <c r="W61" t="s">
        <v>1219</v>
      </c>
      <c r="Y61" s="110">
        <f>'R-series ENT'!$G$38</f>
        <v>34.722222222222221</v>
      </c>
      <c r="Z61" t="s">
        <v>312</v>
      </c>
    </row>
    <row r="62" spans="3:66" ht="17" x14ac:dyDescent="0.25">
      <c r="I62">
        <f>I60/I61</f>
        <v>1</v>
      </c>
      <c r="J62" t="s">
        <v>297</v>
      </c>
      <c r="K62">
        <f>IF(I61&lt;=I60,1/I62,1/I62*0.95)</f>
        <v>1</v>
      </c>
      <c r="Y62">
        <f>Y61/Y60</f>
        <v>1</v>
      </c>
      <c r="Z62" t="s">
        <v>297</v>
      </c>
      <c r="AA62">
        <f>1/Y62</f>
        <v>1</v>
      </c>
    </row>
    <row r="63" spans="3:66" x14ac:dyDescent="0.15">
      <c r="E63" t="s">
        <v>2831</v>
      </c>
      <c r="F63" s="1629">
        <f>O52*F61^2+P52*F61+Q52</f>
        <v>0.49056514231564574</v>
      </c>
      <c r="U63" t="s">
        <v>2831</v>
      </c>
      <c r="V63" s="1629">
        <f>Z52*V61+AA52</f>
        <v>0.45181051890903745</v>
      </c>
    </row>
    <row r="64" spans="3:66" x14ac:dyDescent="0.15">
      <c r="E64" t="s">
        <v>2832</v>
      </c>
      <c r="F64" s="245">
        <f>F63-D113/100</f>
        <v>0.48481352648339565</v>
      </c>
      <c r="I64" s="1631">
        <f>F64*K62</f>
        <v>0.48481352648339565</v>
      </c>
      <c r="J64" t="s">
        <v>2833</v>
      </c>
      <c r="U64" t="s">
        <v>2832</v>
      </c>
      <c r="V64" s="245">
        <f>V63-T113/100</f>
        <v>0.44492127919784963</v>
      </c>
      <c r="Y64" s="1631">
        <f>V64*AA62</f>
        <v>0.44492127919784963</v>
      </c>
      <c r="Z64" t="s">
        <v>2833</v>
      </c>
    </row>
    <row r="65" spans="8:26" x14ac:dyDescent="0.15">
      <c r="H65" t="s">
        <v>52</v>
      </c>
      <c r="I65" s="1639">
        <f>IF(I64&lt;0.05,0.05,IF(I64&gt;0.95,0.95,I64))</f>
        <v>0.48481352648339565</v>
      </c>
      <c r="J65" t="s">
        <v>2847</v>
      </c>
      <c r="X65" t="s">
        <v>52</v>
      </c>
      <c r="Y65" s="1639">
        <f>IF(Y64&lt;0.05,0.05,IF(Y64&gt;0.95,0.95,Y64))</f>
        <v>0.44492127919784963</v>
      </c>
      <c r="Z65" t="s">
        <v>2847</v>
      </c>
    </row>
    <row r="89" spans="3:21" x14ac:dyDescent="0.15">
      <c r="C89" t="s">
        <v>2834</v>
      </c>
      <c r="S89" t="s">
        <v>2834</v>
      </c>
    </row>
    <row r="90" spans="3:21" x14ac:dyDescent="0.15">
      <c r="C90" t="s">
        <v>2891</v>
      </c>
      <c r="S90" t="s">
        <v>2892</v>
      </c>
    </row>
    <row r="92" spans="3:21" x14ac:dyDescent="0.15">
      <c r="C92" t="s">
        <v>2836</v>
      </c>
      <c r="S92" t="s">
        <v>2836</v>
      </c>
    </row>
    <row r="93" spans="3:21" x14ac:dyDescent="0.15">
      <c r="C93" t="s">
        <v>312</v>
      </c>
      <c r="D93" s="314">
        <f>F54</f>
        <v>5.0522031878521858</v>
      </c>
      <c r="E93" s="1632">
        <f>F52</f>
        <v>20</v>
      </c>
      <c r="S93" t="s">
        <v>312</v>
      </c>
      <c r="T93" s="314">
        <f>V54</f>
        <v>9.8525879076250362</v>
      </c>
      <c r="U93" s="1632">
        <f>V52</f>
        <v>25</v>
      </c>
    </row>
    <row r="94" spans="3:21" x14ac:dyDescent="0.15">
      <c r="C94" t="s">
        <v>544</v>
      </c>
      <c r="D94" s="314">
        <f>F58</f>
        <v>3.3972871410816272</v>
      </c>
      <c r="E94" s="1632">
        <f>F56</f>
        <v>7</v>
      </c>
      <c r="S94" t="s">
        <v>544</v>
      </c>
      <c r="T94" s="314">
        <f>V58</f>
        <v>15.900771910871322</v>
      </c>
      <c r="U94" s="1632">
        <f>V56</f>
        <v>35</v>
      </c>
    </row>
    <row r="95" spans="3:21" x14ac:dyDescent="0.15">
      <c r="C95" t="s">
        <v>2837</v>
      </c>
      <c r="D95" s="314">
        <f>AVERAGE(D93:D94)</f>
        <v>4.2247451644669063</v>
      </c>
      <c r="E95" s="1632">
        <f>AVERAGE(E93:E94)</f>
        <v>13.5</v>
      </c>
      <c r="S95" t="s">
        <v>2837</v>
      </c>
      <c r="T95" s="314">
        <f>AVERAGE(T93:T94)</f>
        <v>12.876679909248178</v>
      </c>
      <c r="U95" s="1632">
        <f>AVERAGE(U93:U94)</f>
        <v>30</v>
      </c>
    </row>
    <row r="96" spans="3:21" x14ac:dyDescent="0.15">
      <c r="C96" t="s">
        <v>2119</v>
      </c>
      <c r="D96" s="314">
        <f>D93-D94</f>
        <v>1.6549160467705586</v>
      </c>
      <c r="E96" s="1632">
        <f>E94-E93</f>
        <v>-13</v>
      </c>
      <c r="S96" t="s">
        <v>2119</v>
      </c>
      <c r="T96" s="314">
        <f>T94-T93</f>
        <v>6.0481840032462859</v>
      </c>
      <c r="U96" s="1632">
        <f>U94-U93</f>
        <v>10</v>
      </c>
    </row>
    <row r="97" spans="3:22" x14ac:dyDescent="0.15">
      <c r="C97" t="s">
        <v>1283</v>
      </c>
      <c r="D97">
        <f>IF(D96&gt;7,7,IF(D96&lt;0.5,0.5,D96))</f>
        <v>1.6549160467705586</v>
      </c>
      <c r="S97" t="s">
        <v>1283</v>
      </c>
      <c r="T97">
        <f>IF(T96&gt;6,6,IF(T96&lt;0.5,0.5,T96))</f>
        <v>6</v>
      </c>
    </row>
    <row r="99" spans="3:22" x14ac:dyDescent="0.15">
      <c r="C99" s="2" t="s">
        <v>2838</v>
      </c>
      <c r="S99" s="2" t="s">
        <v>2838</v>
      </c>
    </row>
    <row r="100" spans="3:22" x14ac:dyDescent="0.15">
      <c r="D100" t="s">
        <v>2839</v>
      </c>
      <c r="F100" t="s">
        <v>2840</v>
      </c>
      <c r="T100" t="s">
        <v>2839</v>
      </c>
      <c r="V100" t="s">
        <v>2840</v>
      </c>
    </row>
    <row r="101" spans="3:22" x14ac:dyDescent="0.15">
      <c r="C101" s="344" t="s">
        <v>2841</v>
      </c>
      <c r="D101" s="628" t="s">
        <v>4</v>
      </c>
      <c r="E101" s="628" t="s">
        <v>5</v>
      </c>
      <c r="F101" s="1640">
        <f>E95</f>
        <v>13.5</v>
      </c>
      <c r="S101" s="344" t="s">
        <v>2841</v>
      </c>
      <c r="T101" s="628" t="s">
        <v>4</v>
      </c>
      <c r="U101" s="628" t="s">
        <v>5</v>
      </c>
      <c r="V101" s="1640">
        <f>U95</f>
        <v>30</v>
      </c>
    </row>
    <row r="102" spans="3:22" x14ac:dyDescent="0.15">
      <c r="C102" s="1641">
        <v>6</v>
      </c>
      <c r="D102" s="1642">
        <v>0.95739484396200802</v>
      </c>
      <c r="E102" s="1642">
        <v>-10.858208955223883</v>
      </c>
      <c r="F102" s="1643">
        <f>D102*$F$101+E102</f>
        <v>2.0666214382632244</v>
      </c>
      <c r="S102" s="1641">
        <v>6</v>
      </c>
      <c r="T102" s="1642">
        <v>1.0765065502183406</v>
      </c>
      <c r="U102" s="1642">
        <v>-31.586812227074237</v>
      </c>
      <c r="V102" s="1643">
        <f>T102*$V$101+U102</f>
        <v>0.70838427947598248</v>
      </c>
    </row>
    <row r="103" spans="3:22" x14ac:dyDescent="0.15">
      <c r="C103" s="1641">
        <v>4</v>
      </c>
      <c r="D103" s="1642">
        <v>0.82807017543859651</v>
      </c>
      <c r="E103" s="1642">
        <v>-9.6350877192982463</v>
      </c>
      <c r="F103" s="1643">
        <f t="shared" ref="F103:F106" si="5">D103*$F$101+E103</f>
        <v>1.5438596491228065</v>
      </c>
      <c r="S103" s="1641">
        <v>4</v>
      </c>
      <c r="T103" s="1642">
        <v>0.98235807860262081</v>
      </c>
      <c r="U103" s="1642">
        <v>-28.812401746724912</v>
      </c>
      <c r="V103" s="1643">
        <f t="shared" ref="V103:V106" si="6">T103*$V$101+U103</f>
        <v>0.65834061135371158</v>
      </c>
    </row>
    <row r="104" spans="3:22" x14ac:dyDescent="0.15">
      <c r="C104" s="1641">
        <v>3</v>
      </c>
      <c r="D104" s="1642">
        <v>0.81093279839518562</v>
      </c>
      <c r="E104" s="1642">
        <v>-9.7118355065195594</v>
      </c>
      <c r="F104" s="1643">
        <f t="shared" si="5"/>
        <v>1.2357572718154461</v>
      </c>
      <c r="S104" s="1641">
        <v>3</v>
      </c>
      <c r="T104" s="1642">
        <v>0.92646288209606986</v>
      </c>
      <c r="U104" s="1642">
        <v>-27.18139737991266</v>
      </c>
      <c r="V104" s="1643">
        <f t="shared" si="6"/>
        <v>0.61248908296943583</v>
      </c>
    </row>
    <row r="105" spans="3:22" x14ac:dyDescent="0.15">
      <c r="C105" s="1641">
        <v>2</v>
      </c>
      <c r="D105" s="1642">
        <v>0.73456464379947239</v>
      </c>
      <c r="E105" s="1642">
        <v>-8.9496042216358838</v>
      </c>
      <c r="F105" s="1643">
        <f t="shared" si="5"/>
        <v>0.96701846965699367</v>
      </c>
      <c r="S105" s="1641">
        <v>2</v>
      </c>
      <c r="T105" s="1642">
        <v>0.82934497816593888</v>
      </c>
      <c r="U105" s="1642">
        <v>-24.438777292576418</v>
      </c>
      <c r="V105" s="1643">
        <f t="shared" si="6"/>
        <v>0.44157205240174946</v>
      </c>
    </row>
    <row r="106" spans="3:22" x14ac:dyDescent="0.15">
      <c r="C106" s="1641">
        <v>1</v>
      </c>
      <c r="D106" s="1642">
        <v>0.5764119601328902</v>
      </c>
      <c r="E106" s="1642">
        <v>-7.8064784053156133</v>
      </c>
      <c r="F106" s="1643">
        <f t="shared" si="5"/>
        <v>-2.4916943521595236E-2</v>
      </c>
      <c r="S106" s="1641">
        <v>1</v>
      </c>
      <c r="T106" s="1642">
        <v>0.70800000000000063</v>
      </c>
      <c r="U106" s="1642">
        <v>-20.882666666666683</v>
      </c>
      <c r="V106" s="1643">
        <f t="shared" si="6"/>
        <v>0.35733333333333661</v>
      </c>
    </row>
    <row r="107" spans="3:22" x14ac:dyDescent="0.15">
      <c r="C107" s="1633"/>
      <c r="D107" s="32"/>
      <c r="E107" s="32"/>
      <c r="F107" s="84"/>
      <c r="S107" s="1633"/>
      <c r="T107" s="32"/>
      <c r="U107" s="32"/>
      <c r="V107" s="84"/>
    </row>
    <row r="108" spans="3:22" x14ac:dyDescent="0.15">
      <c r="C108" s="1633"/>
      <c r="D108" s="32"/>
      <c r="E108" s="32"/>
      <c r="F108" s="84"/>
      <c r="S108" s="1633"/>
      <c r="T108" s="32"/>
      <c r="U108" s="32"/>
      <c r="V108" s="84"/>
    </row>
    <row r="109" spans="3:22" x14ac:dyDescent="0.15">
      <c r="C109" t="s">
        <v>2845</v>
      </c>
      <c r="E109" s="2" cm="1">
        <f t="array" ref="E109:F109">LINEST(F102:F106,LN(C102:C106))</f>
        <v>1.1265213910828409</v>
      </c>
      <c r="F109" s="2">
        <v>3.7947778735303084E-2</v>
      </c>
      <c r="U109" cm="1">
        <f t="array" ref="U109:V109">LINEST(V102:V106,LN(S102:S106))</f>
        <v>0.21253438671013947</v>
      </c>
      <c r="V109">
        <v>0.34437262756898712</v>
      </c>
    </row>
    <row r="111" spans="3:22" x14ac:dyDescent="0.15">
      <c r="C111" t="s">
        <v>82</v>
      </c>
      <c r="D111" s="3">
        <f>E109*LN(D97)+F109</f>
        <v>0.60543324550001154</v>
      </c>
      <c r="E111" t="s">
        <v>2842</v>
      </c>
      <c r="S111" t="s">
        <v>82</v>
      </c>
      <c r="T111" s="3">
        <f>U109*LN(T97)+V109</f>
        <v>0.72518312749345681</v>
      </c>
      <c r="U111" t="s">
        <v>2842</v>
      </c>
    </row>
    <row r="112" spans="3:22" x14ac:dyDescent="0.15">
      <c r="C112" t="s">
        <v>2843</v>
      </c>
      <c r="S112" t="s">
        <v>2843</v>
      </c>
    </row>
    <row r="113" spans="3:21" x14ac:dyDescent="0.15">
      <c r="C113" s="618">
        <v>0.95</v>
      </c>
      <c r="D113" s="3">
        <f>D111*C113</f>
        <v>0.57516158322501099</v>
      </c>
      <c r="E113" t="s">
        <v>2842</v>
      </c>
      <c r="S113" s="618">
        <v>0.95</v>
      </c>
      <c r="T113" s="3">
        <f>T111*S113</f>
        <v>0.6889239711187839</v>
      </c>
      <c r="U113" t="s">
        <v>2842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D31B7-4045-46DA-B270-1C635F12CC68}">
  <dimension ref="A2:BQ99"/>
  <sheetViews>
    <sheetView topLeftCell="AK1" zoomScale="85" zoomScaleNormal="85" workbookViewId="0">
      <selection activeCell="R20" sqref="R20"/>
    </sheetView>
  </sheetViews>
  <sheetFormatPr baseColWidth="10" defaultColWidth="8.83203125" defaultRowHeight="13" x14ac:dyDescent="0.15"/>
  <cols>
    <col min="1" max="1" width="14.83203125" customWidth="1"/>
    <col min="16" max="16" width="10.83203125" customWidth="1"/>
    <col min="22" max="22" width="13" customWidth="1"/>
    <col min="25" max="25" width="10" customWidth="1"/>
  </cols>
  <sheetData>
    <row r="2" spans="1:51" x14ac:dyDescent="0.15">
      <c r="C2" s="2" t="s">
        <v>0</v>
      </c>
      <c r="J2" t="s">
        <v>15</v>
      </c>
    </row>
    <row r="3" spans="1:51" x14ac:dyDescent="0.15">
      <c r="J3" s="7">
        <f>'R-series ENT'!$E$33</f>
        <v>34.722222222222221</v>
      </c>
      <c r="K3" t="s">
        <v>13</v>
      </c>
      <c r="L3" s="7">
        <f>'R-series ENT'!$E$39</f>
        <v>75</v>
      </c>
      <c r="M3" t="s">
        <v>14</v>
      </c>
      <c r="P3" t="s">
        <v>34</v>
      </c>
      <c r="AA3" s="2" t="s">
        <v>53</v>
      </c>
      <c r="AR3" t="s">
        <v>2873</v>
      </c>
    </row>
    <row r="4" spans="1:51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30</v>
      </c>
      <c r="AD4" s="63"/>
      <c r="AE4" s="61" t="s">
        <v>103</v>
      </c>
      <c r="AF4" s="63"/>
      <c r="AG4" s="62" t="s">
        <v>104</v>
      </c>
      <c r="AH4" s="63"/>
    </row>
    <row r="5" spans="1:51" x14ac:dyDescent="0.15">
      <c r="C5" t="s">
        <v>2</v>
      </c>
      <c r="D5" s="1"/>
      <c r="E5" s="1"/>
      <c r="H5" s="1"/>
      <c r="P5" s="52">
        <f t="array" ref="P5:Q5">LINEST(AF34:AF37,LN(AC34:AC37))</f>
        <v>15.989179891896026</v>
      </c>
      <c r="Q5" s="52">
        <v>-5.3693758221780499</v>
      </c>
      <c r="R5" t="s">
        <v>28</v>
      </c>
      <c r="T5" s="4"/>
      <c r="U5" s="39" t="s">
        <v>43</v>
      </c>
      <c r="V5" t="s">
        <v>28</v>
      </c>
      <c r="W5" s="9">
        <f>$P$5*LN($J$3)+$Q$5</f>
        <v>51.350319413350157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R5" s="2" t="s">
        <v>2874</v>
      </c>
    </row>
    <row r="6" spans="1:51" x14ac:dyDescent="0.15">
      <c r="C6" s="2" t="s">
        <v>3</v>
      </c>
      <c r="D6" s="1"/>
      <c r="E6" s="1"/>
      <c r="H6" s="1"/>
      <c r="P6" s="52">
        <f t="array" ref="P6:Q6">LINEST(AG34:AG37,LN(AC34:AC37))</f>
        <v>16.956641200594714</v>
      </c>
      <c r="Q6" s="52">
        <v>1.9302527650427379</v>
      </c>
      <c r="R6" t="s">
        <v>7</v>
      </c>
      <c r="T6" s="4"/>
      <c r="U6" s="39" t="s">
        <v>43</v>
      </c>
      <c r="V6" t="s">
        <v>7</v>
      </c>
      <c r="W6" s="9">
        <f>$P$6*LN($J$3)+$Q$6</f>
        <v>62.081900793182115</v>
      </c>
      <c r="X6" t="s">
        <v>31</v>
      </c>
      <c r="AA6" s="55">
        <v>25</v>
      </c>
      <c r="AB6" s="56">
        <f t="shared" ref="AB6:AB12" si="0">(-$D$9-SQRT($D$9^2-(4*$C$9*($E$9-AA6))))/(2*$C$9)</f>
        <v>105.26808093221356</v>
      </c>
      <c r="AC6" s="55">
        <v>20</v>
      </c>
      <c r="AD6" s="57">
        <f t="shared" ref="AD6:AD12" si="1">(-$D$14-SQRT($D$14^2-(4*$C$14*($E$14-AC6))))/(2*$C$14)</f>
        <v>92.28328004472813</v>
      </c>
      <c r="AE6" s="55">
        <v>10</v>
      </c>
      <c r="AF6" s="57">
        <f t="shared" ref="AF6:AF11" si="2">(-$D$19-SQRT($D$19^2-(4*$C$19*($E$19-AE6))))/(2*$C$19)</f>
        <v>55.763696891943106</v>
      </c>
      <c r="AG6" s="56">
        <v>8</v>
      </c>
      <c r="AH6" s="57">
        <f>(-$D$24-SQRT($D$24^2-(4*$C$24*($E$24-AG6))))/(2*$C$24)</f>
        <v>23.449319019710408</v>
      </c>
      <c r="AR6" t="s">
        <v>2893</v>
      </c>
    </row>
    <row r="7" spans="1:51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91.962861509951423</v>
      </c>
      <c r="AC7" s="55">
        <v>100</v>
      </c>
      <c r="AD7" s="57">
        <f t="shared" si="1"/>
        <v>79.435729930187975</v>
      </c>
      <c r="AE7" s="55">
        <v>40</v>
      </c>
      <c r="AF7" s="57">
        <f t="shared" si="2"/>
        <v>47.566017805685647</v>
      </c>
      <c r="AG7" s="56">
        <v>20</v>
      </c>
      <c r="AH7" s="57">
        <f>(-$D$24-SQRT($D$24^2-(4*$C$24*($E$24-AG7))))/(2*$C$24)</f>
        <v>18.291755745789882</v>
      </c>
      <c r="AR7" t="s">
        <v>2894</v>
      </c>
    </row>
    <row r="8" spans="1:51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81.202962921026909</v>
      </c>
      <c r="AC8" s="55">
        <v>150</v>
      </c>
      <c r="AD8" s="57">
        <f t="shared" si="1"/>
        <v>70.512999015413541</v>
      </c>
      <c r="AE8" s="55">
        <v>60</v>
      </c>
      <c r="AF8" s="57">
        <f t="shared" si="2"/>
        <v>41.687978895362349</v>
      </c>
      <c r="AG8" s="56">
        <v>30</v>
      </c>
      <c r="AH8" s="57">
        <f>(-$D$24-SQRT($D$24^2-(4*$C$24*($E$24-AG8))))/(2*$C$24)</f>
        <v>13.819633588455394</v>
      </c>
      <c r="AR8" t="s">
        <v>2878</v>
      </c>
    </row>
    <row r="9" spans="1:51" x14ac:dyDescent="0.15">
      <c r="A9" s="2" t="s">
        <v>2876</v>
      </c>
      <c r="C9" s="1654">
        <f>AS30</f>
        <v>-2.6362538203587541E-2</v>
      </c>
      <c r="D9" s="1654">
        <f t="shared" ref="D9:E9" si="3">AT30</f>
        <v>-1.9405468605310938</v>
      </c>
      <c r="E9" s="1654">
        <f t="shared" si="3"/>
        <v>521.41065397000546</v>
      </c>
      <c r="H9" s="2"/>
      <c r="P9" t="s">
        <v>23</v>
      </c>
      <c r="Q9" s="52">
        <f t="array" ref="Q9:R9">LINEST(AC35:AC37,U35:U37)</f>
        <v>8.9279748731283313</v>
      </c>
      <c r="R9" s="52">
        <v>-8.7771487296034252</v>
      </c>
      <c r="U9" s="39" t="s">
        <v>42</v>
      </c>
      <c r="V9" t="s">
        <v>44</v>
      </c>
      <c r="W9" s="9">
        <f>IF($J$3&gt;$AC$35,($J$3-$R$10)/$Q$10,($J$3-$R$9)/$Q$9)</f>
        <v>4.8722550824769089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71.129807185062404</v>
      </c>
      <c r="AC9" s="55">
        <v>200</v>
      </c>
      <c r="AD9" s="57">
        <f t="shared" si="1"/>
        <v>60.642675332748922</v>
      </c>
      <c r="AE9" s="55">
        <v>80</v>
      </c>
      <c r="AF9" s="57">
        <f t="shared" si="2"/>
        <v>35.399229865105674</v>
      </c>
      <c r="AG9" s="56">
        <v>35</v>
      </c>
      <c r="AH9" s="57">
        <f>(-$D$24-SQRT($D$24^2-(4*$C$24*($E$24-AG9))))/(2*$C$24)</f>
        <v>11.5179687754458</v>
      </c>
      <c r="AS9" s="104" t="s">
        <v>2895</v>
      </c>
      <c r="AT9" s="104" t="s">
        <v>2896</v>
      </c>
      <c r="AU9" s="104" t="s">
        <v>87</v>
      </c>
    </row>
    <row r="10" spans="1:51" x14ac:dyDescent="0.15">
      <c r="C10" s="2"/>
      <c r="D10" s="2"/>
      <c r="E10" s="2"/>
      <c r="H10" s="2"/>
      <c r="P10" t="s">
        <v>24</v>
      </c>
      <c r="Q10" s="52">
        <f t="array" ref="Q10:R10">LINEST(AC34:AC35,U34:U35)</f>
        <v>3.3130189169276449</v>
      </c>
      <c r="R10" s="52">
        <v>33.419591032043321</v>
      </c>
      <c r="W10" t="b">
        <f>IF(AND(W9&lt;=10.01,'R-series ENT'!E33&gt;=W11),TRUE,FALSE)</f>
        <v>1</v>
      </c>
      <c r="AA10" s="55">
        <v>320</v>
      </c>
      <c r="AB10" s="56">
        <f t="shared" si="0"/>
        <v>58.035074833885083</v>
      </c>
      <c r="AC10" s="55">
        <v>250</v>
      </c>
      <c r="AD10" s="57">
        <f t="shared" si="1"/>
        <v>49.437913155445834</v>
      </c>
      <c r="AE10" s="55">
        <v>100</v>
      </c>
      <c r="AF10" s="57">
        <f t="shared" si="2"/>
        <v>28.599362859180573</v>
      </c>
      <c r="AG10" s="56">
        <v>40</v>
      </c>
      <c r="AH10" s="57">
        <f>(-$D$24-SQRT($D$24^2-(4*$C$24*($E$24-AG10))))/(2*$C$24)</f>
        <v>9.1689881805203886</v>
      </c>
      <c r="AR10" s="628" t="s">
        <v>13</v>
      </c>
      <c r="AS10" s="628" t="s">
        <v>14</v>
      </c>
      <c r="AT10" s="628" t="s">
        <v>14</v>
      </c>
      <c r="AU10" s="628" t="s">
        <v>14</v>
      </c>
    </row>
    <row r="11" spans="1:51" x14ac:dyDescent="0.15">
      <c r="C11" s="2" t="s">
        <v>9</v>
      </c>
      <c r="D11" s="1"/>
      <c r="E11" s="1"/>
      <c r="H11" s="1"/>
      <c r="V11" t="s">
        <v>346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42.815079257983498</v>
      </c>
      <c r="AC11" s="55">
        <v>300</v>
      </c>
      <c r="AD11" s="57">
        <f t="shared" si="1"/>
        <v>36.143851235640447</v>
      </c>
      <c r="AE11" s="55">
        <v>125</v>
      </c>
      <c r="AF11" s="57">
        <f t="shared" si="2"/>
        <v>19.145333011745933</v>
      </c>
      <c r="AG11" s="56"/>
      <c r="AH11" s="57"/>
      <c r="AR11" s="628">
        <v>0</v>
      </c>
      <c r="AS11" s="344">
        <v>0</v>
      </c>
      <c r="AT11" s="344">
        <v>0</v>
      </c>
      <c r="AU11" s="628">
        <v>0</v>
      </c>
      <c r="AW11" t="s">
        <v>2868</v>
      </c>
    </row>
    <row r="12" spans="1:51" x14ac:dyDescent="0.15">
      <c r="C12" t="s">
        <v>11</v>
      </c>
      <c r="D12" s="1"/>
      <c r="E12" s="1"/>
      <c r="H12" s="1"/>
      <c r="P12" t="s">
        <v>51</v>
      </c>
      <c r="AA12" s="58">
        <v>398</v>
      </c>
      <c r="AB12" s="59">
        <f t="shared" si="0"/>
        <v>40.886029956479234</v>
      </c>
      <c r="AC12" s="58">
        <v>315</v>
      </c>
      <c r="AD12" s="60">
        <f t="shared" si="1"/>
        <v>31.526091801720298</v>
      </c>
      <c r="AE12" s="58"/>
      <c r="AF12" s="60"/>
      <c r="AG12" s="59"/>
      <c r="AH12" s="60"/>
      <c r="AR12" s="628">
        <v>30</v>
      </c>
      <c r="AS12" s="344">
        <v>31.01</v>
      </c>
      <c r="AT12" s="344">
        <v>25</v>
      </c>
      <c r="AU12" s="628">
        <f>AT12-AS12</f>
        <v>-6.0100000000000016</v>
      </c>
      <c r="AW12">
        <f t="array" ref="AW12:AY12">LINEST(AS11:AS18,AR11:AR18^{1,2})</f>
        <v>1.0192659376454163E-2</v>
      </c>
      <c r="AX12">
        <v>0.72366100511866049</v>
      </c>
      <c r="AY12">
        <v>3.4739413680767939E-2</v>
      </c>
    </row>
    <row r="13" spans="1:51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3.2683935240452919E-2</v>
      </c>
      <c r="Q13" s="51">
        <v>-0.99959597482148932</v>
      </c>
      <c r="R13" s="51">
        <v>14.028373797703324</v>
      </c>
      <c r="U13" s="39" t="s">
        <v>43</v>
      </c>
      <c r="V13" t="s">
        <v>44</v>
      </c>
      <c r="W13" s="9">
        <f>$P$13*J3^2+$Q$13*J3+$R$13</f>
        <v>18.725001842642108</v>
      </c>
      <c r="X13" t="s">
        <v>49</v>
      </c>
      <c r="AR13" s="628">
        <v>40</v>
      </c>
      <c r="AS13" s="344">
        <v>45.3</v>
      </c>
      <c r="AT13" s="344">
        <v>35</v>
      </c>
      <c r="AU13" s="628">
        <f t="shared" ref="AU13:AU18" si="4">AT13-AS13</f>
        <v>-10.299999999999997</v>
      </c>
      <c r="AW13" t="s">
        <v>2869</v>
      </c>
    </row>
    <row r="14" spans="1:51" x14ac:dyDescent="0.15">
      <c r="A14" s="2" t="s">
        <v>2876</v>
      </c>
      <c r="C14" s="1654">
        <f>AS31</f>
        <v>-2.8626297168567655E-2</v>
      </c>
      <c r="D14" s="1654">
        <f t="shared" ref="D14:E14" si="5">AT31</f>
        <v>-1.311188693193365</v>
      </c>
      <c r="E14" s="1654">
        <f t="shared" si="5"/>
        <v>384.78817339996579</v>
      </c>
      <c r="H14" s="2"/>
      <c r="V14" t="s">
        <v>52</v>
      </c>
      <c r="W14" s="3">
        <f>IF(W13&gt;118,118,W13)</f>
        <v>18.725001842642108</v>
      </c>
      <c r="X14" t="s">
        <v>49</v>
      </c>
      <c r="AR14" s="628">
        <v>50</v>
      </c>
      <c r="AS14" s="344">
        <v>61.68</v>
      </c>
      <c r="AT14" s="344">
        <v>49</v>
      </c>
      <c r="AU14" s="628">
        <f t="shared" si="4"/>
        <v>-12.68</v>
      </c>
      <c r="AW14">
        <f t="array" ref="AW14:AY14">LINEST(AT11:AT18,AR11:AR18^{1,2})</f>
        <v>9.0577012563983188E-3</v>
      </c>
      <c r="AX14">
        <v>0.54025127966496067</v>
      </c>
      <c r="AY14">
        <v>-6.5146579804551408E-2</v>
      </c>
    </row>
    <row r="15" spans="1:51" x14ac:dyDescent="0.15">
      <c r="C15" s="2"/>
      <c r="D15" s="2"/>
      <c r="E15" s="2"/>
      <c r="H15" s="2"/>
      <c r="AR15" s="628">
        <v>60</v>
      </c>
      <c r="AS15" s="344">
        <v>80.12</v>
      </c>
      <c r="AT15" s="344">
        <v>65</v>
      </c>
      <c r="AU15" s="628">
        <f t="shared" si="4"/>
        <v>-15.120000000000005</v>
      </c>
      <c r="AW15" t="s">
        <v>87</v>
      </c>
    </row>
    <row r="16" spans="1:51" x14ac:dyDescent="0.15">
      <c r="C16" s="2" t="s">
        <v>10</v>
      </c>
      <c r="D16" s="1"/>
      <c r="E16" s="1"/>
      <c r="H16" s="1"/>
      <c r="V16" t="s">
        <v>58</v>
      </c>
      <c r="W16">
        <f>'Laskenta poistopuoli 60_ENT'!W14</f>
        <v>18.17041705048598</v>
      </c>
      <c r="AR16" s="628">
        <v>70</v>
      </c>
      <c r="AS16" s="344">
        <v>100.6</v>
      </c>
      <c r="AT16" s="344">
        <v>83</v>
      </c>
      <c r="AU16" s="628">
        <f t="shared" si="4"/>
        <v>-17.599999999999994</v>
      </c>
      <c r="AW16" s="2">
        <f>AW14-AW12</f>
        <v>-1.1349581200558439E-3</v>
      </c>
      <c r="AX16" s="2">
        <f t="shared" ref="AX16:AY16" si="6">AX14-AX12</f>
        <v>-0.18340972545369982</v>
      </c>
      <c r="AY16" s="2">
        <f t="shared" si="6"/>
        <v>-9.9885993485319347E-2</v>
      </c>
    </row>
    <row r="17" spans="1:62" x14ac:dyDescent="0.15">
      <c r="C17" t="s">
        <v>11</v>
      </c>
      <c r="D17" s="1"/>
      <c r="E17" s="1"/>
      <c r="H17" s="1"/>
      <c r="V17" t="s">
        <v>73</v>
      </c>
      <c r="W17">
        <v>3</v>
      </c>
      <c r="AR17" s="628">
        <v>80</v>
      </c>
      <c r="AS17" s="344">
        <v>123.1</v>
      </c>
      <c r="AT17" s="344">
        <v>102</v>
      </c>
      <c r="AU17" s="628">
        <f t="shared" si="4"/>
        <v>-21.099999999999994</v>
      </c>
      <c r="AW17">
        <f t="array" ref="AW17:AY17">LINEST(AU11:AU18,AR11:AR18^{1,2})</f>
        <v>-1.1349581200558413E-3</v>
      </c>
      <c r="AX17">
        <v>-0.18340972545369938</v>
      </c>
      <c r="AY17">
        <v>-9.988599348533711E-2</v>
      </c>
    </row>
    <row r="18" spans="1:62" x14ac:dyDescent="0.15">
      <c r="C18" t="s">
        <v>4</v>
      </c>
      <c r="D18" t="s">
        <v>5</v>
      </c>
      <c r="E18" t="s">
        <v>6</v>
      </c>
      <c r="H18" s="1"/>
      <c r="AR18" s="628">
        <v>90</v>
      </c>
      <c r="AS18" s="344">
        <v>147.80000000000001</v>
      </c>
      <c r="AT18" s="344">
        <v>121</v>
      </c>
      <c r="AU18" s="628">
        <f t="shared" si="4"/>
        <v>-26.800000000000011</v>
      </c>
    </row>
    <row r="19" spans="1:62" x14ac:dyDescent="0.15">
      <c r="A19" s="2" t="s">
        <v>2876</v>
      </c>
      <c r="C19" s="1654">
        <f>AS32</f>
        <v>-1.8263867218314987E-2</v>
      </c>
      <c r="D19" s="1654">
        <f t="shared" ref="D19:E19" si="7">AT32</f>
        <v>-1.7723721954267146</v>
      </c>
      <c r="E19" s="1654">
        <f t="shared" si="7"/>
        <v>165.62716275915363</v>
      </c>
      <c r="V19" s="74" t="s">
        <v>74</v>
      </c>
      <c r="W19" s="77">
        <f>W13+W16+W17</f>
        <v>39.895418893128088</v>
      </c>
      <c r="X19" s="75" t="s">
        <v>49</v>
      </c>
      <c r="AB19" s="6"/>
      <c r="AC19" s="6"/>
    </row>
    <row r="20" spans="1:62" x14ac:dyDescent="0.15">
      <c r="C20" s="2"/>
      <c r="D20" s="2"/>
      <c r="E20" s="2"/>
      <c r="H20" s="1"/>
      <c r="AB20" s="6"/>
      <c r="AC20" s="6"/>
      <c r="AR20" s="2" t="s">
        <v>2880</v>
      </c>
    </row>
    <row r="21" spans="1:62" x14ac:dyDescent="0.15">
      <c r="C21" s="2" t="s">
        <v>12</v>
      </c>
      <c r="D21" s="1"/>
      <c r="E21" s="1"/>
      <c r="H21" s="1"/>
      <c r="V21" t="s">
        <v>78</v>
      </c>
      <c r="W21">
        <f>MAX(J3,'Laskenta poistopuoli 60_ENT'!J3)</f>
        <v>34.722222222222221</v>
      </c>
      <c r="X21" t="s">
        <v>13</v>
      </c>
      <c r="AB21" s="6"/>
      <c r="AC21" s="6"/>
      <c r="AS21" t="s">
        <v>4</v>
      </c>
      <c r="AT21" t="s">
        <v>5</v>
      </c>
      <c r="AU21" t="s">
        <v>6</v>
      </c>
    </row>
    <row r="22" spans="1:62" ht="15" x14ac:dyDescent="0.15">
      <c r="C22" t="s">
        <v>11</v>
      </c>
      <c r="D22" s="1"/>
      <c r="E22" s="1"/>
      <c r="H22" s="1"/>
      <c r="V22" t="s">
        <v>75</v>
      </c>
      <c r="W22">
        <f>W19/W21</f>
        <v>1.1489880641220889</v>
      </c>
      <c r="X22" t="s">
        <v>77</v>
      </c>
      <c r="AB22" s="6"/>
      <c r="AC22" s="6"/>
      <c r="AR22">
        <v>10</v>
      </c>
      <c r="AS22" s="8">
        <v>-2.5227580083531695E-2</v>
      </c>
      <c r="AT22" s="8">
        <v>-1.7571371350773939</v>
      </c>
      <c r="AU22" s="8">
        <v>521.51053996349083</v>
      </c>
    </row>
    <row r="23" spans="1:62" x14ac:dyDescent="0.15">
      <c r="C23" t="s">
        <v>4</v>
      </c>
      <c r="D23" t="s">
        <v>5</v>
      </c>
      <c r="E23" t="s">
        <v>6</v>
      </c>
      <c r="H23" s="1"/>
      <c r="AR23">
        <v>7.5</v>
      </c>
      <c r="AS23" s="8">
        <v>-2.7491339048511813E-2</v>
      </c>
      <c r="AT23" s="8">
        <v>-1.127778967739665</v>
      </c>
      <c r="AU23" s="8">
        <v>384.8880593934511</v>
      </c>
    </row>
    <row r="24" spans="1:62" x14ac:dyDescent="0.15">
      <c r="A24" s="2" t="s">
        <v>2876</v>
      </c>
      <c r="C24" s="1654">
        <f>AS33</f>
        <v>-9.4089528151372181E-3</v>
      </c>
      <c r="D24" s="1654">
        <f t="shared" ref="D24:E24" si="8">AT33</f>
        <v>-1.9339403292792037</v>
      </c>
      <c r="E24" s="1654">
        <f t="shared" si="8"/>
        <v>58.523289923235851</v>
      </c>
      <c r="H24" s="1"/>
      <c r="AR24">
        <v>5</v>
      </c>
      <c r="AS24" s="8">
        <v>-1.7128909098259142E-2</v>
      </c>
      <c r="AT24" s="8">
        <v>-1.5889624699730147</v>
      </c>
      <c r="AU24" s="8">
        <v>165.72704875263895</v>
      </c>
    </row>
    <row r="25" spans="1:62" x14ac:dyDescent="0.15">
      <c r="E25" s="2"/>
      <c r="F25" s="2"/>
      <c r="G25" s="2"/>
      <c r="H25" s="1"/>
      <c r="AR25">
        <v>3</v>
      </c>
      <c r="AS25" s="8">
        <v>-8.2739946950813742E-3</v>
      </c>
      <c r="AT25" s="8">
        <v>-1.7505306038255037</v>
      </c>
      <c r="AU25" s="8">
        <v>58.623175916721166</v>
      </c>
    </row>
    <row r="27" spans="1:62" x14ac:dyDescent="0.15">
      <c r="U27" t="s">
        <v>37</v>
      </c>
    </row>
    <row r="28" spans="1:62" x14ac:dyDescent="0.15">
      <c r="U28" s="4" t="s">
        <v>17</v>
      </c>
      <c r="AR28" s="2" t="s">
        <v>2882</v>
      </c>
    </row>
    <row r="29" spans="1:62" x14ac:dyDescent="0.15">
      <c r="U29" s="4">
        <f>(L3/J3)^2/L3</f>
        <v>6.2208000000000006E-2</v>
      </c>
      <c r="AS29" t="s">
        <v>4</v>
      </c>
      <c r="AT29" t="s">
        <v>5</v>
      </c>
      <c r="AU29" t="s">
        <v>6</v>
      </c>
    </row>
    <row r="30" spans="1:62" x14ac:dyDescent="0.15">
      <c r="AR30">
        <f>AR22</f>
        <v>10</v>
      </c>
      <c r="AS30" s="1654">
        <f>AS22+$AW$16</f>
        <v>-2.6362538203587541E-2</v>
      </c>
      <c r="AT30" s="1654">
        <f>AT22+$AX$16</f>
        <v>-1.9405468605310938</v>
      </c>
      <c r="AU30" s="1654">
        <f>AU22+$AY$16</f>
        <v>521.41065397000546</v>
      </c>
    </row>
    <row r="31" spans="1:62" x14ac:dyDescent="0.15">
      <c r="U31" s="2" t="s">
        <v>16</v>
      </c>
      <c r="AI31" s="2" t="s">
        <v>1110</v>
      </c>
      <c r="AR31">
        <f t="shared" ref="AR31:AR33" si="9">AR23</f>
        <v>7.5</v>
      </c>
      <c r="AS31" s="1654">
        <f>AS23+$AW$16</f>
        <v>-2.8626297168567655E-2</v>
      </c>
      <c r="AT31" s="1654">
        <f>AT23+$AX$16</f>
        <v>-1.311188693193365</v>
      </c>
      <c r="AU31" s="1654">
        <f>AU23+$AY$16</f>
        <v>384.78817339996579</v>
      </c>
    </row>
    <row r="32" spans="1:6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R32">
        <f t="shared" si="9"/>
        <v>5</v>
      </c>
      <c r="AS32" s="1654">
        <f>AS24+$AW$16</f>
        <v>-1.8263867218314987E-2</v>
      </c>
      <c r="AT32" s="1654">
        <f>AT24+$AX$16</f>
        <v>-1.7723721954267146</v>
      </c>
      <c r="AU32" s="1654">
        <f>AU24+$AY$16</f>
        <v>165.62716275915363</v>
      </c>
      <c r="BA32" t="s">
        <v>2883</v>
      </c>
      <c r="BJ32" t="s">
        <v>2883</v>
      </c>
    </row>
    <row r="33" spans="21:6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s="2" t="s">
        <v>1107</v>
      </c>
      <c r="AL33" t="s">
        <v>1115</v>
      </c>
      <c r="AR33">
        <f t="shared" si="9"/>
        <v>3</v>
      </c>
      <c r="AS33" s="1654">
        <f>AS25+$AW$16</f>
        <v>-9.4089528151372181E-3</v>
      </c>
      <c r="AT33" s="1654">
        <f>AT25+$AX$16</f>
        <v>-1.9339403292792037</v>
      </c>
      <c r="AU33" s="1654">
        <f>AU25+$AY$16</f>
        <v>58.523289923235851</v>
      </c>
      <c r="BA33" s="2" t="s">
        <v>2884</v>
      </c>
      <c r="BJ33" s="2" t="s">
        <v>2727</v>
      </c>
    </row>
    <row r="34" spans="21:69" x14ac:dyDescent="0.15">
      <c r="U34" s="35">
        <v>10</v>
      </c>
      <c r="V34" s="28">
        <f>C9</f>
        <v>-2.6362538203587541E-2</v>
      </c>
      <c r="W34" s="32">
        <f>D9</f>
        <v>-1.9405468605310938</v>
      </c>
      <c r="X34" s="29">
        <f>E9</f>
        <v>521.41065397000546</v>
      </c>
      <c r="Y34" s="36">
        <f>C9-U29</f>
        <v>-8.857053820358754E-2</v>
      </c>
      <c r="Z34" s="28">
        <f>(-W34+SQRT(W34^2-(4*Y34*X34)))/(2*Y34)</f>
        <v>-88.459400486911463</v>
      </c>
      <c r="AA34" s="29">
        <f>(-W34-SQRT(W34^2-(4*Y34*X34)))/(2*Y34)</f>
        <v>66.549780201319777</v>
      </c>
      <c r="AB34" s="36">
        <f>AB6</f>
        <v>105.26808093221356</v>
      </c>
      <c r="AC34" s="53">
        <f>IF(Z34&lt;0,AA34,IF(Z34&gt;AB34,AA34,Z34))</f>
        <v>66.549780201319777</v>
      </c>
      <c r="AD34" s="53">
        <f>V34*AC34^2+W34*AC34+X34</f>
        <v>275.511346815254</v>
      </c>
      <c r="AE34" s="53">
        <f>X51*AC34^2+Y51*AC34+Z51</f>
        <v>92.695136238806455</v>
      </c>
      <c r="AF34" s="53">
        <f>$H$60*AC34+$I$60</f>
        <v>61.853933115991808</v>
      </c>
      <c r="AG34" s="53">
        <f>$R$60*AC34^2+$S$60*AC34+$T$60</f>
        <v>73.358847338996128</v>
      </c>
      <c r="AI34" s="616">
        <f>AC34/$J$3-1</f>
        <v>0.91663366979800953</v>
      </c>
      <c r="AL34" s="278" t="b">
        <f>IF(AI36&gt;AC34,FALSE,TRUE)</f>
        <v>1</v>
      </c>
      <c r="AM34" t="s">
        <v>1117</v>
      </c>
      <c r="BA34" s="1655" t="s">
        <v>102</v>
      </c>
      <c r="BB34" s="1656"/>
      <c r="BC34" s="1655" t="s">
        <v>564</v>
      </c>
      <c r="BD34" s="1657"/>
      <c r="BE34" s="1655" t="s">
        <v>103</v>
      </c>
      <c r="BF34" s="1657"/>
      <c r="BG34" s="1656" t="s">
        <v>104</v>
      </c>
      <c r="BH34" s="1657"/>
      <c r="BJ34" s="1655" t="s">
        <v>102</v>
      </c>
      <c r="BK34" s="1656"/>
      <c r="BL34" s="1655" t="s">
        <v>564</v>
      </c>
      <c r="BM34" s="1657"/>
      <c r="BN34" s="1655" t="s">
        <v>103</v>
      </c>
      <c r="BO34" s="1657"/>
      <c r="BP34" s="1656" t="s">
        <v>104</v>
      </c>
      <c r="BQ34" s="1657"/>
    </row>
    <row r="35" spans="21:69" x14ac:dyDescent="0.15">
      <c r="U35" s="35">
        <v>7.5</v>
      </c>
      <c r="V35" s="28">
        <f>C14</f>
        <v>-2.8626297168567655E-2</v>
      </c>
      <c r="W35" s="32">
        <f>D14</f>
        <v>-1.311188693193365</v>
      </c>
      <c r="X35" s="29">
        <f>E14</f>
        <v>384.78817339996579</v>
      </c>
      <c r="Y35" s="36">
        <f>C14-U29</f>
        <v>-9.0834297168567668E-2</v>
      </c>
      <c r="Z35" s="28">
        <f t="shared" ref="Z35:Z37" si="10">(-W35+SQRT(W35^2-(4*Y35*X35)))/(2*Y35)</f>
        <v>-72.702184618486555</v>
      </c>
      <c r="AA35" s="29">
        <f t="shared" ref="AA35:AA37" si="11">(-W35-SQRT(W35^2-(4*Y35*X35)))/(2*Y35)</f>
        <v>58.267232909000661</v>
      </c>
      <c r="AB35" s="36">
        <f>AD6</f>
        <v>92.28328004472813</v>
      </c>
      <c r="AC35" s="53">
        <f t="shared" ref="AC35:AC37" si="12">IF(Z35&lt;0,AA35,IF(Z35&gt;AB35,AA35,Z35))</f>
        <v>58.267232909000661</v>
      </c>
      <c r="AD35" s="53">
        <f>V35*AC35^2+W35*AC35+X35</f>
        <v>211.20054136366861</v>
      </c>
      <c r="AE35" s="53">
        <f t="shared" ref="AE35:AE37" si="13">X52*AC35^2+Y52*AC35+Z52</f>
        <v>66.029153231115629</v>
      </c>
      <c r="AF35" s="53">
        <f>$H$65*AC35+$I$65</f>
        <v>59.809318453903948</v>
      </c>
      <c r="AG35" s="53">
        <f>$R$65*AC35^2+$S$65*AC35+$T$65</f>
        <v>71.028969903907566</v>
      </c>
      <c r="AI35" t="s">
        <v>1114</v>
      </c>
      <c r="AL35" t="s">
        <v>1116</v>
      </c>
      <c r="BA35" s="1658" t="s">
        <v>14</v>
      </c>
      <c r="BB35" s="1659" t="s">
        <v>13</v>
      </c>
      <c r="BC35" s="1658" t="s">
        <v>14</v>
      </c>
      <c r="BD35" s="1660" t="s">
        <v>13</v>
      </c>
      <c r="BE35" s="1658" t="s">
        <v>14</v>
      </c>
      <c r="BF35" s="1660" t="s">
        <v>13</v>
      </c>
      <c r="BG35" s="1659" t="s">
        <v>14</v>
      </c>
      <c r="BH35" s="1660" t="s">
        <v>13</v>
      </c>
      <c r="BJ35" s="1658" t="s">
        <v>14</v>
      </c>
      <c r="BK35" s="1659" t="s">
        <v>13</v>
      </c>
      <c r="BL35" s="1658" t="s">
        <v>14</v>
      </c>
      <c r="BM35" s="1660" t="s">
        <v>13</v>
      </c>
      <c r="BN35" s="1658" t="s">
        <v>14</v>
      </c>
      <c r="BO35" s="1660" t="s">
        <v>13</v>
      </c>
      <c r="BP35" s="1659" t="s">
        <v>14</v>
      </c>
      <c r="BQ35" s="1660" t="s">
        <v>13</v>
      </c>
    </row>
    <row r="36" spans="21:69" x14ac:dyDescent="0.15">
      <c r="U36" s="35">
        <v>5</v>
      </c>
      <c r="V36" s="28">
        <f>C19</f>
        <v>-1.8263867218314987E-2</v>
      </c>
      <c r="W36" s="32">
        <f>D19</f>
        <v>-1.7723721954267146</v>
      </c>
      <c r="X36" s="29">
        <f>E19</f>
        <v>165.62716275915363</v>
      </c>
      <c r="Y36" s="36">
        <f>C19-U29</f>
        <v>-8.0471867218314994E-2</v>
      </c>
      <c r="Z36" s="28">
        <f t="shared" si="10"/>
        <v>-57.697185948295726</v>
      </c>
      <c r="AA36" s="29">
        <f t="shared" si="11"/>
        <v>35.672442933219621</v>
      </c>
      <c r="AB36" s="36">
        <f>AF6</f>
        <v>55.763696891943106</v>
      </c>
      <c r="AC36" s="53">
        <f t="shared" si="12"/>
        <v>35.672442933219621</v>
      </c>
      <c r="AD36" s="53">
        <f>V36*AC36^2+W36*AC36+X36</f>
        <v>79.161122281519596</v>
      </c>
      <c r="AE36" s="53">
        <f t="shared" si="13"/>
        <v>20.40292239718174</v>
      </c>
      <c r="AF36" s="53">
        <f>$H$70*AC36^2+$I$70*AC36+$J$70</f>
        <v>51.273245624294567</v>
      </c>
      <c r="AG36" s="53">
        <f>$R$70*AC36^2+$S$70*AC36+$T$70</f>
        <v>61.776568661666523</v>
      </c>
      <c r="AI36" s="609">
        <f>Tulokset_ENT!$CR$16</f>
        <v>41.666666666666664</v>
      </c>
      <c r="AJ36" t="s">
        <v>13</v>
      </c>
      <c r="AL36" s="617">
        <f>IF($AI$36&gt;$AC$35,($AI$36-$R$10)/$Q$10,($AI$36-$R$9)/$Q$9)</f>
        <v>5.6500848303345137</v>
      </c>
      <c r="AM36" t="s">
        <v>25</v>
      </c>
      <c r="AR36" t="s">
        <v>2885</v>
      </c>
      <c r="BA36" s="1661">
        <v>25</v>
      </c>
      <c r="BB36" s="1662">
        <f t="shared" ref="BB36:BB42" si="14">(-$AT$22-SQRT($AT$22^2-(4*$AS$22*($AU$22-BA36))))/(2*$AS$22)</f>
        <v>109.72216307386144</v>
      </c>
      <c r="BC36" s="1661">
        <v>20</v>
      </c>
      <c r="BD36" s="1662">
        <f t="shared" ref="BD36:BD42" si="15">(-$AT$23-SQRT($AT$23^2-(4*$AS$23*($AU$23-BC36))))/(2*$AS$23)</f>
        <v>96.507952803164471</v>
      </c>
      <c r="BE36" s="1661">
        <v>10</v>
      </c>
      <c r="BF36" s="1662">
        <f t="shared" ref="BF36:BF41" si="16">(-$AT$24-SQRT($AT$24^2-(4*$AS$24*($AU$24-BE36))))/(2*$AS$24)</f>
        <v>59.649636760414339</v>
      </c>
      <c r="BG36" s="1661">
        <v>10</v>
      </c>
      <c r="BH36" s="1662">
        <f>(-$AT$25-SQRT($AT$25^2-(4*$AS$25*($AU$25-BG36))))/(2*$AS$25)</f>
        <v>24.856065562361952</v>
      </c>
      <c r="BJ36" s="1661">
        <v>25</v>
      </c>
      <c r="BK36" s="1662">
        <f t="shared" ref="BK36:BK42" si="17">(-$AT$30-SQRT($AT$30^2-(4*$AS$30*($AU$30-BJ36))))/(2*$AS$30)</f>
        <v>105.26808093221356</v>
      </c>
      <c r="BL36" s="1661">
        <v>20</v>
      </c>
      <c r="BM36" s="1662">
        <f t="array" ref="BM36">(-$AT$31-SQRT($AT$31^2-(4*$AS$31*($AU$31-BL36))))/(2*$AS$31)</f>
        <v>92.28328004472813</v>
      </c>
      <c r="BN36" s="1661">
        <v>10</v>
      </c>
      <c r="BO36" s="1662">
        <f t="shared" ref="BO36:BO41" si="18">(-$AT$32-SQRT($AT$32^2-(4*$AS$32*($AU$32-BN36))))/(2*$AS$32)</f>
        <v>55.763696891943106</v>
      </c>
      <c r="BP36" s="1661">
        <v>10</v>
      </c>
      <c r="BQ36" s="1662">
        <f>(-$AT$33-SQRT($AT$33^2-(4*$AS$33*($AU$33-BP36))))/(2*$AS$33)</f>
        <v>22.604459750360256</v>
      </c>
    </row>
    <row r="37" spans="21:69" x14ac:dyDescent="0.15">
      <c r="U37" s="38">
        <v>3</v>
      </c>
      <c r="V37" s="30">
        <f>C24</f>
        <v>-9.4089528151372181E-3</v>
      </c>
      <c r="W37" s="33">
        <f>D24</f>
        <v>-1.9339403292792037</v>
      </c>
      <c r="X37" s="31">
        <f>E24</f>
        <v>58.523289923235851</v>
      </c>
      <c r="Y37" s="37">
        <f>C24-U29</f>
        <v>-7.1616952815137219E-2</v>
      </c>
      <c r="Z37" s="30">
        <f t="shared" si="10"/>
        <v>-45.116434541202068</v>
      </c>
      <c r="AA37" s="31">
        <f t="shared" si="11"/>
        <v>18.112488502458582</v>
      </c>
      <c r="AB37" s="37">
        <f>AH6</f>
        <v>23.449319019710408</v>
      </c>
      <c r="AC37" s="53">
        <f t="shared" si="12"/>
        <v>18.112488502458582</v>
      </c>
      <c r="AD37" s="53">
        <f>V37*AC37^2+W37*AC37+X37</f>
        <v>20.408095810473384</v>
      </c>
      <c r="AE37" s="53">
        <f t="shared" si="13"/>
        <v>6.4871972459202514</v>
      </c>
      <c r="AF37" s="53">
        <f>$H$75*AC37^2+$I$75*AC37+$J$75</f>
        <v>41.170101031998307</v>
      </c>
      <c r="AG37" s="53">
        <f>$R$75*AC37^2+$S$75*AC37+$T$75</f>
        <v>51.395272851180231</v>
      </c>
      <c r="AI37" s="609">
        <f>Tulokset_ENT!$CR$17</f>
        <v>107.99999999999999</v>
      </c>
      <c r="AJ37" t="s">
        <v>14</v>
      </c>
      <c r="AS37" t="s">
        <v>13</v>
      </c>
      <c r="AT37" s="4" t="s">
        <v>2886</v>
      </c>
      <c r="AU37" s="4" t="s">
        <v>2887</v>
      </c>
      <c r="AW37" t="s">
        <v>2119</v>
      </c>
      <c r="BA37" s="55">
        <v>50</v>
      </c>
      <c r="BB37" s="57">
        <f t="shared" si="14"/>
        <v>106.25266801078834</v>
      </c>
      <c r="BC37" s="55">
        <v>50</v>
      </c>
      <c r="BD37" s="57">
        <f t="shared" si="15"/>
        <v>91.748465553178107</v>
      </c>
      <c r="BE37" s="55">
        <v>35</v>
      </c>
      <c r="BF37" s="57">
        <f t="shared" si="16"/>
        <v>52.528029513724647</v>
      </c>
      <c r="BG37" s="55">
        <v>20</v>
      </c>
      <c r="BH37" s="57">
        <f>(-$AT$25-SQRT($AT$25^2-(4*$AS$25*($AU$25-BG37))))/(2*$AS$25)</f>
        <v>20.145468303465908</v>
      </c>
      <c r="BJ37" s="55">
        <v>50</v>
      </c>
      <c r="BK37" s="57">
        <f t="shared" si="17"/>
        <v>101.89051188227744</v>
      </c>
      <c r="BL37" s="55">
        <v>50</v>
      </c>
      <c r="BM37" s="57">
        <f t="array" ref="BM37">(-$AT$31-SQRT($AT$31^2-(4*$AS$31*($AU$31-BL37))))/(2*$AS$31)</f>
        <v>87.640569343772725</v>
      </c>
      <c r="BN37" s="55">
        <v>35</v>
      </c>
      <c r="BO37" s="57">
        <f t="shared" si="18"/>
        <v>48.980173328519527</v>
      </c>
      <c r="BP37" s="55">
        <v>20</v>
      </c>
      <c r="BQ37" s="57">
        <f>(-$AT$33-SQRT($AT$33^2-(4*$AS$33*($AU$33-BP37))))/(2*$AS$33)</f>
        <v>18.291755745789882</v>
      </c>
    </row>
    <row r="38" spans="21:69" x14ac:dyDescent="0.15">
      <c r="AR38" t="s">
        <v>102</v>
      </c>
      <c r="AS38">
        <v>80</v>
      </c>
      <c r="AT38" s="5">
        <f>$AS$22*AS38^2+$AT$22*AS38+$AU$22</f>
        <v>219.48305662269649</v>
      </c>
      <c r="AU38" s="5">
        <f>$AS$30*AS38^2+$AT$30*AS38+$AU$30</f>
        <v>197.44666062455769</v>
      </c>
      <c r="AW38" s="3">
        <f>AU38-AT38</f>
        <v>-22.036395998138801</v>
      </c>
      <c r="BA38" s="55">
        <v>100</v>
      </c>
      <c r="BB38" s="57">
        <f t="shared" si="14"/>
        <v>99.044193301475019</v>
      </c>
      <c r="BC38" s="55">
        <v>100</v>
      </c>
      <c r="BD38" s="57">
        <f t="shared" si="15"/>
        <v>83.332352890524646</v>
      </c>
      <c r="BE38" s="55">
        <v>60</v>
      </c>
      <c r="BF38" s="57">
        <f t="shared" si="16"/>
        <v>44.852206368094706</v>
      </c>
      <c r="BG38" s="55">
        <v>30</v>
      </c>
      <c r="BH38" s="57">
        <f>(-$AT$25-SQRT($AT$25^2-(4*$AS$25*($AU$25-BG38))))/(2*$AS$25)</f>
        <v>15.25167922255933</v>
      </c>
      <c r="BJ38" s="55">
        <v>100</v>
      </c>
      <c r="BK38" s="57">
        <f t="shared" si="17"/>
        <v>94.875729045247922</v>
      </c>
      <c r="BL38" s="55">
        <v>100</v>
      </c>
      <c r="BM38" s="57">
        <f t="array" ref="BM38">(-$AT$31-SQRT($AT$31^2-(4*$AS$31*($AU$31-BL38))))/(2*$AS$31)</f>
        <v>79.435729930187975</v>
      </c>
      <c r="BN38" s="55">
        <v>60</v>
      </c>
      <c r="BO38" s="57">
        <f t="shared" si="18"/>
        <v>41.687978895362349</v>
      </c>
      <c r="BP38" s="55">
        <v>30</v>
      </c>
      <c r="BQ38" s="57">
        <f>(-$AT$33-SQRT($AT$33^2-(4*$AS$33*($AU$33-BP38))))/(2*$AS$33)</f>
        <v>13.819633588455394</v>
      </c>
    </row>
    <row r="39" spans="21:69" x14ac:dyDescent="0.15">
      <c r="AS39">
        <v>50</v>
      </c>
      <c r="AT39" s="5">
        <f>$AS$22*AS39^2+$AT$22*AS39+$AU$22</f>
        <v>370.58473300079191</v>
      </c>
      <c r="AU39" s="5">
        <f>$AS$30*AS39^2+$AT$30*AS39+$AU$30</f>
        <v>358.47696543448194</v>
      </c>
      <c r="AW39" s="3">
        <f t="shared" ref="AW39:AW40" si="19">AU39-AT39</f>
        <v>-12.107767566309974</v>
      </c>
      <c r="BA39" s="55">
        <v>250</v>
      </c>
      <c r="BB39" s="57">
        <f t="shared" si="14"/>
        <v>74.605902678236006</v>
      </c>
      <c r="BC39" s="55">
        <v>160</v>
      </c>
      <c r="BD39" s="57">
        <f t="shared" si="15"/>
        <v>72.230297201360045</v>
      </c>
      <c r="BE39" s="55">
        <v>80</v>
      </c>
      <c r="BF39" s="57">
        <f t="shared" si="16"/>
        <v>38.211558072303703</v>
      </c>
      <c r="BG39" s="55">
        <v>35</v>
      </c>
      <c r="BH39" s="57">
        <f>(-$AT$25-SQRT($AT$25^2-(4*$AS$25*($AU$25-BG39))))/(2*$AS$25)</f>
        <v>12.729029407613163</v>
      </c>
      <c r="BJ39" s="55">
        <v>250</v>
      </c>
      <c r="BK39" s="57">
        <f t="shared" si="17"/>
        <v>71.129807185062404</v>
      </c>
      <c r="BL39" s="55">
        <v>160</v>
      </c>
      <c r="BM39" s="57">
        <f t="array" ref="BM39">(-$AT$31-SQRT($AT$31^2-(4*$AS$31*($AU$31-BL39))))/(2*$AS$31)</f>
        <v>68.624128611195772</v>
      </c>
      <c r="BN39" s="55">
        <v>80</v>
      </c>
      <c r="BO39" s="57">
        <f t="shared" si="18"/>
        <v>35.399229865105674</v>
      </c>
      <c r="BP39" s="55">
        <v>35</v>
      </c>
      <c r="BQ39" s="57">
        <f>(-$AT$33-SQRT($AT$33^2-(4*$AS$33*($AU$33-BP39))))/(2*$AS$33)</f>
        <v>11.5179687754458</v>
      </c>
    </row>
    <row r="40" spans="21:69" x14ac:dyDescent="0.15">
      <c r="U40" s="2" t="s">
        <v>35</v>
      </c>
      <c r="W40" t="s">
        <v>36</v>
      </c>
      <c r="AS40">
        <v>25</v>
      </c>
      <c r="AT40" s="5">
        <f>$AS$22*AS40^2+$AT$22*AS40+$AU$22</f>
        <v>461.81487403434869</v>
      </c>
      <c r="AU40" s="5">
        <f>$AS$30*AS40^2+$AT$30*AS40+$AU$30</f>
        <v>456.4203960794859</v>
      </c>
      <c r="AW40" s="3">
        <f t="shared" si="19"/>
        <v>-5.3944779548627935</v>
      </c>
      <c r="BA40" s="55">
        <v>320</v>
      </c>
      <c r="BB40" s="57">
        <f t="shared" si="14"/>
        <v>61.093720132549571</v>
      </c>
      <c r="BC40" s="55">
        <v>220</v>
      </c>
      <c r="BD40" s="57">
        <f t="shared" si="15"/>
        <v>59.604267555597346</v>
      </c>
      <c r="BE40" s="55">
        <v>100</v>
      </c>
      <c r="BF40" s="57">
        <f t="shared" si="16"/>
        <v>31.003142403936327</v>
      </c>
      <c r="BG40" s="55">
        <v>40</v>
      </c>
      <c r="BH40" s="57">
        <f>(-$AT$25-SQRT($AT$25^2-(4*$AS$25*($AU$25-BG40))))/(2*$AS$25)</f>
        <v>10.151502560183829</v>
      </c>
      <c r="BJ40" s="55">
        <v>320</v>
      </c>
      <c r="BK40" s="57">
        <f t="shared" si="17"/>
        <v>58.035074833885083</v>
      </c>
      <c r="BL40" s="55">
        <v>220</v>
      </c>
      <c r="BM40" s="57">
        <f t="array" ref="BM40">(-$AT$31-SQRT($AT$31^2-(4*$AS$31*($AU$31-BL40))))/(2*$AS$31)</f>
        <v>56.351094248561431</v>
      </c>
      <c r="BN40" s="55">
        <v>100</v>
      </c>
      <c r="BO40" s="57">
        <f t="shared" si="18"/>
        <v>28.599362859180573</v>
      </c>
      <c r="BP40" s="55">
        <v>40</v>
      </c>
      <c r="BQ40" s="57">
        <f>(-$AT$33-SQRT($AT$33^2-(4*$AS$33*($AU$33-BP40))))/(2*$AS$33)</f>
        <v>9.1689881805203886</v>
      </c>
    </row>
    <row r="41" spans="21:69" x14ac:dyDescent="0.15">
      <c r="AR41" t="s">
        <v>103</v>
      </c>
      <c r="AS41">
        <v>45</v>
      </c>
      <c r="AT41" s="5">
        <f>$AS$24*AS41^2+$AT$24*AS41+$AU$24</f>
        <v>59.537696679878536</v>
      </c>
      <c r="AU41" s="5">
        <f>$AS$32*AS41^2+$AT$32*AS41+$AU$32</f>
        <v>48.886082847863634</v>
      </c>
      <c r="AW41" s="3">
        <f>AU41-AT41</f>
        <v>-10.651613832014903</v>
      </c>
      <c r="BA41" s="55">
        <v>360</v>
      </c>
      <c r="BB41" s="57">
        <f t="shared" si="14"/>
        <v>52.438090812861518</v>
      </c>
      <c r="BC41" s="55">
        <v>270</v>
      </c>
      <c r="BD41" s="57">
        <f t="shared" si="15"/>
        <v>47.31019547628518</v>
      </c>
      <c r="BE41" s="55">
        <v>125</v>
      </c>
      <c r="BF41" s="57">
        <f t="shared" si="16"/>
        <v>20.915466815294725</v>
      </c>
      <c r="BG41" s="55"/>
      <c r="BH41" s="57"/>
      <c r="BJ41" s="55">
        <v>360</v>
      </c>
      <c r="BK41" s="57">
        <f t="shared" si="17"/>
        <v>49.666586936102448</v>
      </c>
      <c r="BL41" s="55">
        <v>270</v>
      </c>
      <c r="BM41" s="57">
        <f t="array" ref="BM41">(-$AT$31-SQRT($AT$31^2-(4*$AS$31*($AU$31-BL41))))/(2*$AS$31)</f>
        <v>44.435975564976872</v>
      </c>
      <c r="BN41" s="55">
        <v>125</v>
      </c>
      <c r="BO41" s="57">
        <f t="shared" si="18"/>
        <v>19.145333011745933</v>
      </c>
      <c r="BP41" s="55"/>
      <c r="BQ41" s="57"/>
    </row>
    <row r="42" spans="21:69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  <c r="AS42">
        <v>30</v>
      </c>
      <c r="AT42" s="5">
        <f>$AS$24*AS42^2+$AT$24*AS42+$AU$24</f>
        <v>102.64215646501529</v>
      </c>
      <c r="AU42" s="5">
        <f>$AS$32*AS42^2+$AT$32*AS42+$AU$32</f>
        <v>96.018516399868702</v>
      </c>
      <c r="AW42" s="3">
        <f t="shared" ref="AW42:AW43" si="20">AU42-AT42</f>
        <v>-6.6236400651465885</v>
      </c>
      <c r="BA42" s="58">
        <v>410</v>
      </c>
      <c r="BB42" s="60">
        <f t="shared" si="14"/>
        <v>40.227692796254239</v>
      </c>
      <c r="BC42" s="58">
        <v>315</v>
      </c>
      <c r="BD42" s="60">
        <f t="shared" si="15"/>
        <v>33.921064483256508</v>
      </c>
      <c r="BE42" s="58"/>
      <c r="BF42" s="60"/>
      <c r="BG42" s="58"/>
      <c r="BH42" s="60"/>
      <c r="BJ42" s="58">
        <v>410</v>
      </c>
      <c r="BK42" s="60">
        <f t="shared" si="17"/>
        <v>37.89911507523545</v>
      </c>
      <c r="BL42" s="58">
        <v>315</v>
      </c>
      <c r="BM42" s="60">
        <f t="array" ref="BM42">(-$AT$31-SQRT($AT$31^2-(4*$AS$31*($AU$31-BL42))))/(2*$AS$31)</f>
        <v>31.526091801720298</v>
      </c>
      <c r="BN42" s="58"/>
      <c r="BO42" s="60"/>
      <c r="BP42" s="58"/>
      <c r="BQ42" s="60"/>
    </row>
    <row r="43" spans="21:69" x14ac:dyDescent="0.15">
      <c r="U43" s="10" t="s">
        <v>26</v>
      </c>
      <c r="V43" s="21"/>
      <c r="W43" s="49">
        <v>23</v>
      </c>
      <c r="X43" s="49">
        <v>6</v>
      </c>
      <c r="Y43" s="49">
        <v>3</v>
      </c>
      <c r="Z43" s="49">
        <v>-6</v>
      </c>
      <c r="AA43" s="49">
        <v>-16</v>
      </c>
      <c r="AB43" s="49">
        <v>-22</v>
      </c>
      <c r="AC43" s="49">
        <v>-30</v>
      </c>
      <c r="AD43" s="49">
        <v>-33</v>
      </c>
      <c r="AE43" s="39" t="s">
        <v>42</v>
      </c>
      <c r="AF43" s="53">
        <f>$W$5+W43</f>
        <v>74.350319413350149</v>
      </c>
      <c r="AG43" s="53">
        <f t="shared" ref="AG43:AM43" si="21">$W$5+X43</f>
        <v>57.350319413350157</v>
      </c>
      <c r="AH43" s="53">
        <f t="shared" si="21"/>
        <v>54.350319413350157</v>
      </c>
      <c r="AI43" s="53">
        <f t="shared" si="21"/>
        <v>45.350319413350157</v>
      </c>
      <c r="AJ43" s="53">
        <f t="shared" si="21"/>
        <v>35.350319413350157</v>
      </c>
      <c r="AK43" s="53">
        <f t="shared" si="21"/>
        <v>29.350319413350157</v>
      </c>
      <c r="AL43" s="53">
        <f t="shared" si="21"/>
        <v>21.350319413350157</v>
      </c>
      <c r="AM43" s="53">
        <f t="shared" si="21"/>
        <v>18.350319413350157</v>
      </c>
      <c r="AN43" s="5">
        <f t="array" ref="AN43">10*LOG10(SUM(10^(AF43:AM43/10)))</f>
        <v>74.484492099851025</v>
      </c>
      <c r="AO43" s="5">
        <f t="array" ref="AO43">10*LOG10(SUM(10^((AF43:AM43+AF46:AM46)/10)))</f>
        <v>51.380991903274868</v>
      </c>
      <c r="AP43" t="str">
        <f>IF(ABS(W5-AO43)&lt;0.5,"OK","Tarkista laskenta!")</f>
        <v>OK</v>
      </c>
      <c r="AS43">
        <v>20</v>
      </c>
      <c r="AT43" s="5">
        <f>$AS$24*AS43^2+$AT$24*AS43+$AU$24</f>
        <v>127.09623571387499</v>
      </c>
      <c r="AU43" s="5">
        <f>$AS$32*AS43^2+$AT$32*AS43+$AU$32</f>
        <v>122.87417196329335</v>
      </c>
      <c r="AW43" s="3">
        <f t="shared" si="20"/>
        <v>-4.2220637505816399</v>
      </c>
    </row>
    <row r="44" spans="21:69" x14ac:dyDescent="0.15">
      <c r="U44" s="14" t="s">
        <v>29</v>
      </c>
      <c r="V44" s="26"/>
      <c r="W44" s="49">
        <v>21</v>
      </c>
      <c r="X44" s="49">
        <v>4</v>
      </c>
      <c r="Y44" s="49">
        <v>0</v>
      </c>
      <c r="Z44" s="49">
        <v>-3</v>
      </c>
      <c r="AA44" s="49">
        <v>-9</v>
      </c>
      <c r="AB44" s="49">
        <v>-11</v>
      </c>
      <c r="AC44" s="49">
        <v>-16</v>
      </c>
      <c r="AD44" s="49">
        <v>-24</v>
      </c>
      <c r="AE44" s="39" t="s">
        <v>43</v>
      </c>
      <c r="AF44" s="53">
        <f>$W$6+W44</f>
        <v>83.081900793182115</v>
      </c>
      <c r="AG44" s="53">
        <f t="shared" ref="AG44:AM44" si="22">$W$6+X44</f>
        <v>66.081900793182115</v>
      </c>
      <c r="AH44" s="53">
        <f t="shared" si="22"/>
        <v>62.081900793182115</v>
      </c>
      <c r="AI44" s="53">
        <f t="shared" si="22"/>
        <v>59.081900793182115</v>
      </c>
      <c r="AJ44" s="53">
        <f t="shared" si="22"/>
        <v>53.081900793182115</v>
      </c>
      <c r="AK44" s="53">
        <f t="shared" si="22"/>
        <v>51.081900793182115</v>
      </c>
      <c r="AL44" s="53">
        <f t="shared" si="22"/>
        <v>46.081900793182115</v>
      </c>
      <c r="AM44" s="53">
        <f t="shared" si="22"/>
        <v>38.081900793182115</v>
      </c>
      <c r="AN44" s="5">
        <f t="array" ref="AN44">10*LOG10(SUM(10^(AF44:AM44/10)))</f>
        <v>83.226010156859843</v>
      </c>
      <c r="AO44" s="5">
        <f t="array" ref="AO44">10*LOG10(SUM(10^((AF44:AM44+AF46:AM46)/10)))</f>
        <v>62.111742025921345</v>
      </c>
      <c r="AP44" t="str">
        <f>IF(ABS(W6-AO44)&lt;0.5,"OK","Tarkista laskenta!")</f>
        <v>OK</v>
      </c>
    </row>
    <row r="46" spans="21:69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LINEST(Y59:Y65,X59:X65^{1,2})</f>
        <v>-2.0231098860687587E-3</v>
      </c>
      <c r="Y51" s="54">
        <v>0.98155588131709259</v>
      </c>
      <c r="Z51" s="54">
        <v>36.332905327630492</v>
      </c>
    </row>
    <row r="52" spans="3:26" x14ac:dyDescent="0.15">
      <c r="W52" t="s">
        <v>9</v>
      </c>
      <c r="X52" s="54">
        <f t="array" ref="X52:Z52">LINEST(Y67:Y73,X67:X73^{1,2})</f>
        <v>-3.4459913539103392E-3</v>
      </c>
      <c r="Y52" s="54">
        <v>1.0151910704779696</v>
      </c>
      <c r="Z52" s="54">
        <v>18.576162031138701</v>
      </c>
    </row>
    <row r="53" spans="3:26" x14ac:dyDescent="0.15">
      <c r="W53" t="s">
        <v>10</v>
      </c>
      <c r="X53" s="54">
        <f t="array" ref="X53:Z53">LINEST(Y75:Y81,X75:X81^{1,2})</f>
        <v>1.059869318974052E-3</v>
      </c>
      <c r="Y53" s="54">
        <v>0.20072896972064355</v>
      </c>
      <c r="Z53" s="54">
        <v>11.89372139850021</v>
      </c>
    </row>
    <row r="54" spans="3:26" x14ac:dyDescent="0.15">
      <c r="W54" t="s">
        <v>12</v>
      </c>
      <c r="X54" s="54">
        <f t="array" ref="X54:Z54">LINEST(Y83:Y89,X83:X89^{1,2})</f>
        <v>1.9762401886598813E-3</v>
      </c>
      <c r="Y54" s="54">
        <v>6.0953198401276498E-3</v>
      </c>
      <c r="Z54" s="54">
        <v>5.7284660528180602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96.723636363636345</v>
      </c>
      <c r="E59" s="68">
        <v>60.599066890970008</v>
      </c>
      <c r="F59" s="69">
        <v>113.27948964249916</v>
      </c>
      <c r="H59" t="s">
        <v>4</v>
      </c>
      <c r="I59" t="s">
        <v>5</v>
      </c>
      <c r="K59" s="24"/>
      <c r="M59" s="10" t="s">
        <v>3</v>
      </c>
      <c r="N59" s="67">
        <v>100.80833333333335</v>
      </c>
      <c r="O59" s="68">
        <v>73.463084655756148</v>
      </c>
      <c r="P59" s="69">
        <v>113.65438305372545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96.723636363636345</v>
      </c>
      <c r="Y59" s="20">
        <f>F59</f>
        <v>113.27948964249916</v>
      </c>
    </row>
    <row r="60" spans="3:26" x14ac:dyDescent="0.15">
      <c r="C60" s="12"/>
      <c r="D60" s="67">
        <v>80.354545454545459</v>
      </c>
      <c r="E60" s="68">
        <v>61.362739164604648</v>
      </c>
      <c r="F60" s="69">
        <v>102.87442469929833</v>
      </c>
      <c r="H60" s="2">
        <f t="array" ref="H60:I60">LINEST(E59:E62,D59:D62)</f>
        <v>-4.0951820359822956E-2</v>
      </c>
      <c r="I60" s="2">
        <v>64.579267759781956</v>
      </c>
      <c r="K60" s="24"/>
      <c r="M60" s="12"/>
      <c r="N60" s="67">
        <v>84.36272727272727</v>
      </c>
      <c r="O60" s="68">
        <v>72.844325501453028</v>
      </c>
      <c r="P60" s="69">
        <v>104.87036922149747</v>
      </c>
      <c r="R60" s="2">
        <f t="array" ref="R60:T60">LINEST(O59:O62,N59:N62^{1,2})</f>
        <v>2.0059070272867075E-3</v>
      </c>
      <c r="S60" s="2">
        <v>-0.332497384000217</v>
      </c>
      <c r="T60" s="27">
        <v>86.602567196929783</v>
      </c>
      <c r="W60" s="12"/>
      <c r="X60" s="17">
        <f t="shared" ref="X60" si="23">D60</f>
        <v>80.354545454545459</v>
      </c>
      <c r="Y60" s="13">
        <f>F60</f>
        <v>102.87442469929833</v>
      </c>
    </row>
    <row r="61" spans="3:26" x14ac:dyDescent="0.15">
      <c r="C61" s="12"/>
      <c r="D61" s="67">
        <v>63.446363636363643</v>
      </c>
      <c r="E61" s="68">
        <v>61.896602572706271</v>
      </c>
      <c r="F61" s="69">
        <v>83.349675561449914</v>
      </c>
      <c r="K61" s="24"/>
      <c r="M61" s="12"/>
      <c r="N61" s="67">
        <v>66.019090909090906</v>
      </c>
      <c r="O61" s="68">
        <v>73.377484864511445</v>
      </c>
      <c r="P61" s="69">
        <v>91.726942216503261</v>
      </c>
      <c r="T61" s="24"/>
      <c r="W61" s="12"/>
      <c r="X61" s="17">
        <f>D62</f>
        <v>42.587272727272719</v>
      </c>
      <c r="Y61" s="13">
        <f>F62</f>
        <v>75.245481502293231</v>
      </c>
    </row>
    <row r="62" spans="3:26" x14ac:dyDescent="0.15">
      <c r="C62" s="14"/>
      <c r="D62" s="67">
        <v>42.587272727272719</v>
      </c>
      <c r="E62" s="68">
        <v>62.864718090922231</v>
      </c>
      <c r="F62" s="69">
        <v>75.245481502293231</v>
      </c>
      <c r="K62" s="24"/>
      <c r="M62" s="14"/>
      <c r="N62" s="67">
        <v>50.885454545454543</v>
      </c>
      <c r="O62" s="68">
        <v>74.883615288580316</v>
      </c>
      <c r="P62" s="69">
        <v>80.123569584691879</v>
      </c>
      <c r="T62" s="24"/>
      <c r="W62" s="12"/>
      <c r="X62" s="17">
        <f>N59</f>
        <v>100.80833333333335</v>
      </c>
      <c r="Y62" s="13">
        <f>P59</f>
        <v>113.65438305372545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N60</f>
        <v>84.36272727272727</v>
      </c>
      <c r="Y63" s="13">
        <f>P60</f>
        <v>104.87036922149747</v>
      </c>
    </row>
    <row r="64" spans="3:26" x14ac:dyDescent="0.15">
      <c r="C64" s="10" t="s">
        <v>30</v>
      </c>
      <c r="D64" s="67">
        <v>82.99727272727273</v>
      </c>
      <c r="E64" s="68">
        <v>59.138026796221006</v>
      </c>
      <c r="F64" s="69">
        <v>78.255958790207444</v>
      </c>
      <c r="H64" t="s">
        <v>4</v>
      </c>
      <c r="I64" t="s">
        <v>5</v>
      </c>
      <c r="K64" s="24"/>
      <c r="M64" s="10" t="s">
        <v>30</v>
      </c>
      <c r="N64" s="67">
        <v>89.261428571428567</v>
      </c>
      <c r="O64" s="68">
        <v>70.897854605553789</v>
      </c>
      <c r="P64" s="69">
        <v>81.810295802939748</v>
      </c>
      <c r="R64" t="s">
        <v>4</v>
      </c>
      <c r="S64" t="s">
        <v>5</v>
      </c>
      <c r="T64" s="24" t="s">
        <v>6</v>
      </c>
      <c r="W64" s="12"/>
      <c r="X64" s="17">
        <f>N61</f>
        <v>66.019090909090906</v>
      </c>
      <c r="Y64" s="13">
        <f>P61</f>
        <v>91.726942216503261</v>
      </c>
    </row>
    <row r="65" spans="3:25" x14ac:dyDescent="0.15">
      <c r="C65" s="12"/>
      <c r="D65" s="67">
        <v>70.897272727272721</v>
      </c>
      <c r="E65" s="68">
        <v>59.317875533330209</v>
      </c>
      <c r="F65" s="69">
        <v>72.802553211280866</v>
      </c>
      <c r="H65" s="2">
        <f t="array" ref="H65:I65">LINEST(E64:E67,D64:D67)</f>
        <v>-3.3241298187670444E-2</v>
      </c>
      <c r="I65" s="2">
        <v>61.746196917602482</v>
      </c>
      <c r="K65" s="24"/>
      <c r="M65" s="12"/>
      <c r="N65" s="67">
        <v>74.599090909090918</v>
      </c>
      <c r="O65" s="68">
        <v>70.710057546995316</v>
      </c>
      <c r="P65" s="69">
        <v>76.627890610641956</v>
      </c>
      <c r="R65" s="2">
        <f t="array" ref="R65:T65">LINEST(O64:O67,N64:N67^{1,2})</f>
        <v>2.2925201254309843E-3</v>
      </c>
      <c r="S65" s="2">
        <v>-0.33950166700790002</v>
      </c>
      <c r="T65" s="27">
        <v>83.02752531842178</v>
      </c>
      <c r="W65" s="14"/>
      <c r="X65" s="18">
        <f>N62</f>
        <v>50.885454545454543</v>
      </c>
      <c r="Y65" s="15">
        <f>P62</f>
        <v>80.123569584691879</v>
      </c>
    </row>
    <row r="66" spans="3:25" x14ac:dyDescent="0.15">
      <c r="C66" s="12"/>
      <c r="D66" s="67">
        <v>54.980909090909087</v>
      </c>
      <c r="E66" s="68">
        <v>59.664136609223121</v>
      </c>
      <c r="F66" s="69">
        <v>56.467153435229974</v>
      </c>
      <c r="K66" s="24"/>
      <c r="M66" s="12"/>
      <c r="N66" s="67">
        <v>57.18545454545454</v>
      </c>
      <c r="O66" s="68">
        <v>70.830937471938014</v>
      </c>
      <c r="P66" s="69">
        <v>65.407494463167055</v>
      </c>
      <c r="T66" s="24"/>
      <c r="W66" s="12"/>
      <c r="X66" s="16" t="s">
        <v>13</v>
      </c>
      <c r="Y66" s="11" t="s">
        <v>49</v>
      </c>
    </row>
    <row r="67" spans="3:25" x14ac:dyDescent="0.15">
      <c r="C67" s="14"/>
      <c r="D67" s="67">
        <v>37.382727272727273</v>
      </c>
      <c r="E67" s="68">
        <v>60.67880707866388</v>
      </c>
      <c r="F67" s="69">
        <v>52.379014670595019</v>
      </c>
      <c r="K67" s="24"/>
      <c r="M67" s="14"/>
      <c r="N67" s="67">
        <v>45.010909090909095</v>
      </c>
      <c r="O67" s="68">
        <v>72.509865191750777</v>
      </c>
      <c r="P67" s="69">
        <v>56.273097889950385</v>
      </c>
      <c r="T67" s="24"/>
      <c r="W67" s="10" t="s">
        <v>9</v>
      </c>
      <c r="X67" s="19">
        <f>D64</f>
        <v>82.99727272727273</v>
      </c>
      <c r="Y67" s="20">
        <f>F64</f>
        <v>78.255958790207444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2"/>
      <c r="X68" s="17">
        <f t="shared" ref="X68" si="24">D65</f>
        <v>70.897272727272721</v>
      </c>
      <c r="Y68" s="13">
        <f t="shared" ref="Y68" si="25">F65</f>
        <v>72.802553211280866</v>
      </c>
    </row>
    <row r="69" spans="3:25" x14ac:dyDescent="0.15">
      <c r="C69" s="10" t="s">
        <v>10</v>
      </c>
      <c r="D69" s="67">
        <v>52.310909090909099</v>
      </c>
      <c r="E69" s="68">
        <v>50.94529100608618</v>
      </c>
      <c r="F69" s="69">
        <v>25.325845818272938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54.800000000000018</v>
      </c>
      <c r="O69" s="68">
        <v>61.425878439568542</v>
      </c>
      <c r="P69" s="69">
        <v>25.952768140673616</v>
      </c>
      <c r="R69" t="s">
        <v>4</v>
      </c>
      <c r="S69" t="s">
        <v>5</v>
      </c>
      <c r="T69" s="24" t="s">
        <v>6</v>
      </c>
      <c r="W69" s="12"/>
      <c r="X69" s="17">
        <f>D67</f>
        <v>37.382727272727273</v>
      </c>
      <c r="Y69" s="13">
        <f>F67</f>
        <v>52.379014670595019</v>
      </c>
    </row>
    <row r="70" spans="3:25" x14ac:dyDescent="0.15">
      <c r="C70" s="12"/>
      <c r="D70" s="67">
        <v>45.190909090909088</v>
      </c>
      <c r="E70" s="68">
        <v>50.931209616046694</v>
      </c>
      <c r="F70" s="69">
        <v>22.775988006105152</v>
      </c>
      <c r="H70" s="2">
        <f t="array" ref="H70:J70">LINEST(E69:E72,D69:D72^{1,2})</f>
        <v>-1.0142167228149672E-3</v>
      </c>
      <c r="I70" s="2">
        <v>6.4609006666790328E-2</v>
      </c>
      <c r="J70" s="2">
        <v>50.259098815219552</v>
      </c>
      <c r="K70" s="24"/>
      <c r="M70" s="12"/>
      <c r="N70" s="67">
        <v>46.856363636363632</v>
      </c>
      <c r="O70" s="68">
        <v>61.425103707020618</v>
      </c>
      <c r="P70" s="69">
        <v>24.143815384871559</v>
      </c>
      <c r="R70" s="2">
        <f t="array" ref="R70:T70">LINEST(O69:O72,N69:N72^{1,2})</f>
        <v>-1.084947951295763E-3</v>
      </c>
      <c r="S70" s="2">
        <v>7.5669240483334399E-2</v>
      </c>
      <c r="T70" s="27">
        <v>60.457883421075657</v>
      </c>
      <c r="W70" s="12"/>
      <c r="X70" s="17">
        <f>N64</f>
        <v>89.261428571428567</v>
      </c>
      <c r="Y70" s="13">
        <f>P64</f>
        <v>81.810295802939748</v>
      </c>
    </row>
    <row r="71" spans="3:25" x14ac:dyDescent="0.15">
      <c r="C71" s="12"/>
      <c r="D71" s="67">
        <v>33.940000000000005</v>
      </c>
      <c r="E71" s="68">
        <v>51.422351987256611</v>
      </c>
      <c r="F71" s="69">
        <v>18.165718058774672</v>
      </c>
      <c r="K71" s="24"/>
      <c r="M71" s="12"/>
      <c r="N71" s="67">
        <v>36.492727272727272</v>
      </c>
      <c r="O71" s="68">
        <v>61.951981129231115</v>
      </c>
      <c r="P71" s="69">
        <v>20.500649722172916</v>
      </c>
      <c r="T71" s="24"/>
      <c r="W71" s="12"/>
      <c r="X71" s="17">
        <f>N65</f>
        <v>74.599090909090918</v>
      </c>
      <c r="Y71" s="13">
        <f>P65</f>
        <v>76.627890610641956</v>
      </c>
    </row>
    <row r="72" spans="3:25" x14ac:dyDescent="0.15">
      <c r="C72" s="14"/>
      <c r="D72" s="67">
        <v>23.01</v>
      </c>
      <c r="E72" s="68">
        <v>51.164647526699852</v>
      </c>
      <c r="F72" s="69">
        <v>17.067596645961789</v>
      </c>
      <c r="K72" s="24"/>
      <c r="M72" s="14"/>
      <c r="N72" s="67">
        <v>26.934545454545454</v>
      </c>
      <c r="O72" s="68">
        <v>61.648215190594982</v>
      </c>
      <c r="P72" s="69">
        <v>18.132714267956356</v>
      </c>
      <c r="T72" s="24"/>
      <c r="W72" s="12"/>
      <c r="X72" s="17">
        <f>N66</f>
        <v>57.18545454545454</v>
      </c>
      <c r="Y72" s="13">
        <f>P66</f>
        <v>65.407494463167055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4"/>
      <c r="X73" s="18">
        <f>N67</f>
        <v>45.010909090909095</v>
      </c>
      <c r="Y73" s="15">
        <f>P67</f>
        <v>56.273097889950385</v>
      </c>
    </row>
    <row r="74" spans="3:25" x14ac:dyDescent="0.15">
      <c r="C74" s="10" t="s">
        <v>12</v>
      </c>
      <c r="D74" s="67">
        <v>26.16090909090909</v>
      </c>
      <c r="E74" s="68">
        <v>39.950577720506828</v>
      </c>
      <c r="F74" s="69">
        <v>7.1297314567323751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26.427857142857146</v>
      </c>
      <c r="O74" s="68">
        <v>50.527020875026068</v>
      </c>
      <c r="P74" s="69">
        <v>7.2464039897962467</v>
      </c>
      <c r="R74" t="s">
        <v>4</v>
      </c>
      <c r="S74" t="s">
        <v>5</v>
      </c>
      <c r="T74" s="24" t="s">
        <v>6</v>
      </c>
      <c r="W74" s="12"/>
      <c r="X74" s="16" t="s">
        <v>13</v>
      </c>
      <c r="Y74" s="11" t="s">
        <v>49</v>
      </c>
    </row>
    <row r="75" spans="3:25" x14ac:dyDescent="0.15">
      <c r="C75" s="12"/>
      <c r="D75" s="67">
        <v>23.122727272727271</v>
      </c>
      <c r="E75" s="68">
        <v>40.891244214226447</v>
      </c>
      <c r="F75" s="69">
        <v>7.1955342389818666</v>
      </c>
      <c r="H75" s="2">
        <f t="array" ref="H75:J75">LINEST(E74:E77,D74:D77^{1,2})</f>
        <v>-2.775240017932579E-2</v>
      </c>
      <c r="I75" s="2">
        <v>1.079841467966675</v>
      </c>
      <c r="J75" s="2">
        <v>30.715999420288853</v>
      </c>
      <c r="K75" s="24"/>
      <c r="M75" s="12"/>
      <c r="N75" s="67">
        <v>23.416363636363634</v>
      </c>
      <c r="O75" s="68">
        <v>50.680435128406216</v>
      </c>
      <c r="P75" s="69">
        <v>6.9733060287072117</v>
      </c>
      <c r="R75" s="2">
        <f t="array" ref="R75:T75">LINEST(O74:O77,N74:N77^{1,2})</f>
        <v>-5.7281961522839151E-3</v>
      </c>
      <c r="S75" s="2">
        <v>0.13956611470695213</v>
      </c>
      <c r="T75" s="27">
        <v>50.746588062673041</v>
      </c>
      <c r="W75" s="10" t="s">
        <v>10</v>
      </c>
      <c r="X75" s="19">
        <f>D69</f>
        <v>52.310909090909099</v>
      </c>
      <c r="Y75" s="20">
        <f>F69</f>
        <v>25.325845818272938</v>
      </c>
    </row>
    <row r="76" spans="3:25" x14ac:dyDescent="0.15">
      <c r="C76" s="12"/>
      <c r="D76" s="67">
        <v>18.288181818181819</v>
      </c>
      <c r="E76" s="68">
        <v>41.152225282467427</v>
      </c>
      <c r="F76" s="69">
        <v>6.0547261318075511</v>
      </c>
      <c r="K76" s="24"/>
      <c r="M76" s="12"/>
      <c r="N76" s="67">
        <v>18.350000000000001</v>
      </c>
      <c r="O76" s="68">
        <v>51.5281753279952</v>
      </c>
      <c r="P76" s="69">
        <v>6.7232744090643006</v>
      </c>
      <c r="T76" s="24"/>
      <c r="W76" s="12"/>
      <c r="X76" s="17">
        <f t="shared" ref="X76" si="26">D70</f>
        <v>45.190909090909088</v>
      </c>
      <c r="Y76" s="13">
        <f>F70</f>
        <v>22.775988006105152</v>
      </c>
    </row>
    <row r="77" spans="3:25" x14ac:dyDescent="0.15">
      <c r="C77" s="14"/>
      <c r="D77" s="70">
        <v>11.878181818181817</v>
      </c>
      <c r="E77" s="71">
        <v>39.634068965353691</v>
      </c>
      <c r="F77" s="72">
        <v>6.0735968016280397</v>
      </c>
      <c r="G77" s="25"/>
      <c r="H77" s="25"/>
      <c r="I77" s="25"/>
      <c r="J77" s="25"/>
      <c r="K77" s="26"/>
      <c r="M77" s="14"/>
      <c r="N77" s="70">
        <v>13.623636363636363</v>
      </c>
      <c r="O77" s="71">
        <v>51.53606298607442</v>
      </c>
      <c r="P77" s="72">
        <v>6.2531096612725054</v>
      </c>
      <c r="Q77" s="25"/>
      <c r="R77" s="25"/>
      <c r="S77" s="25"/>
      <c r="T77" s="26"/>
      <c r="W77" s="12"/>
      <c r="X77" s="17">
        <f>D72</f>
        <v>23.01</v>
      </c>
      <c r="Y77" s="13">
        <f>F72</f>
        <v>17.067596645961789</v>
      </c>
    </row>
    <row r="78" spans="3:25" x14ac:dyDescent="0.15">
      <c r="W78" s="12"/>
      <c r="X78" s="17">
        <f>N69</f>
        <v>54.800000000000018</v>
      </c>
      <c r="Y78" s="13">
        <f>P69</f>
        <v>25.952768140673616</v>
      </c>
    </row>
    <row r="79" spans="3:25" x14ac:dyDescent="0.15">
      <c r="F79" s="5"/>
      <c r="W79" s="12"/>
      <c r="X79" s="17">
        <f>N70</f>
        <v>46.856363636363632</v>
      </c>
      <c r="Y79" s="13">
        <f>P70</f>
        <v>24.143815384871559</v>
      </c>
    </row>
    <row r="80" spans="3:25" x14ac:dyDescent="0.15">
      <c r="F80" s="5"/>
      <c r="W80" s="12"/>
      <c r="X80" s="17">
        <f>N71</f>
        <v>36.492727272727272</v>
      </c>
      <c r="Y80" s="13">
        <f>P71</f>
        <v>20.500649722172916</v>
      </c>
    </row>
    <row r="81" spans="6:25" x14ac:dyDescent="0.15">
      <c r="F81" s="5"/>
      <c r="W81" s="14"/>
      <c r="X81" s="18">
        <f>N72</f>
        <v>26.934545454545454</v>
      </c>
      <c r="Y81" s="15">
        <f>P72</f>
        <v>18.132714267956356</v>
      </c>
    </row>
    <row r="82" spans="6:25" x14ac:dyDescent="0.15">
      <c r="F82" s="5"/>
      <c r="W82" s="12"/>
      <c r="X82" s="16" t="s">
        <v>13</v>
      </c>
      <c r="Y82" s="11" t="s">
        <v>49</v>
      </c>
    </row>
    <row r="83" spans="6:25" x14ac:dyDescent="0.15">
      <c r="W83" s="10" t="s">
        <v>12</v>
      </c>
      <c r="X83" s="19">
        <f>D74</f>
        <v>26.16090909090909</v>
      </c>
      <c r="Y83" s="20">
        <f>F74</f>
        <v>7.1297314567323751</v>
      </c>
    </row>
    <row r="84" spans="6:25" x14ac:dyDescent="0.15">
      <c r="W84" s="12"/>
      <c r="X84" s="17">
        <f t="shared" ref="X84:X85" si="27">D75</f>
        <v>23.122727272727271</v>
      </c>
      <c r="Y84" s="13">
        <f>F75</f>
        <v>7.1955342389818666</v>
      </c>
    </row>
    <row r="85" spans="6:25" x14ac:dyDescent="0.15">
      <c r="W85" s="12"/>
      <c r="X85" s="17">
        <f t="shared" si="27"/>
        <v>18.288181818181819</v>
      </c>
      <c r="Y85" s="13">
        <f>F76</f>
        <v>6.0547261318075511</v>
      </c>
    </row>
    <row r="86" spans="6:25" x14ac:dyDescent="0.15">
      <c r="W86" s="12"/>
      <c r="X86" s="17">
        <f>N74</f>
        <v>26.427857142857146</v>
      </c>
      <c r="Y86" s="13">
        <f>P74</f>
        <v>7.2464039897962467</v>
      </c>
    </row>
    <row r="87" spans="6:25" x14ac:dyDescent="0.15">
      <c r="F87" s="5"/>
      <c r="W87" s="12"/>
      <c r="X87" s="17">
        <f t="shared" ref="X87:X89" si="28">N75</f>
        <v>23.416363636363634</v>
      </c>
      <c r="Y87" s="13">
        <f>P75</f>
        <v>6.9733060287072117</v>
      </c>
    </row>
    <row r="88" spans="6:25" x14ac:dyDescent="0.15">
      <c r="F88" s="5"/>
      <c r="W88" s="12"/>
      <c r="X88" s="17">
        <f t="shared" si="28"/>
        <v>18.350000000000001</v>
      </c>
      <c r="Y88" s="13">
        <f>P76</f>
        <v>6.7232744090643006</v>
      </c>
    </row>
    <row r="89" spans="6:25" x14ac:dyDescent="0.15">
      <c r="F89" s="5"/>
      <c r="W89" s="14"/>
      <c r="X89" s="18">
        <f t="shared" si="28"/>
        <v>13.623636363636363</v>
      </c>
      <c r="Y89" s="15">
        <f>P77</f>
        <v>6.2531096612725054</v>
      </c>
    </row>
    <row r="90" spans="6:25" x14ac:dyDescent="0.15">
      <c r="F90" s="5"/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FC714-F34B-4131-8258-B1DD638C4A94}">
  <dimension ref="A2:BQ99"/>
  <sheetViews>
    <sheetView topLeftCell="AK13" zoomScale="85" zoomScaleNormal="85" workbookViewId="0">
      <selection activeCell="R20" sqref="R20"/>
    </sheetView>
  </sheetViews>
  <sheetFormatPr baseColWidth="10" defaultColWidth="8.83203125" defaultRowHeight="13" x14ac:dyDescent="0.15"/>
  <cols>
    <col min="1" max="1" width="14" customWidth="1"/>
    <col min="16" max="16" width="10.83203125" customWidth="1"/>
    <col min="22" max="22" width="14.83203125" customWidth="1"/>
    <col min="25" max="25" width="10" customWidth="1"/>
  </cols>
  <sheetData>
    <row r="2" spans="1:51" x14ac:dyDescent="0.15">
      <c r="C2" s="2" t="s">
        <v>59</v>
      </c>
      <c r="J2" t="s">
        <v>15</v>
      </c>
    </row>
    <row r="3" spans="1:51" x14ac:dyDescent="0.15">
      <c r="J3" s="7">
        <f>'R-series ENT'!G33</f>
        <v>34.722222222222221</v>
      </c>
      <c r="K3" t="s">
        <v>13</v>
      </c>
      <c r="L3" s="7">
        <f>'R-series ENT'!G39</f>
        <v>90</v>
      </c>
      <c r="M3" t="s">
        <v>14</v>
      </c>
      <c r="P3" t="s">
        <v>34</v>
      </c>
      <c r="AA3" s="2" t="s">
        <v>53</v>
      </c>
      <c r="AR3" t="s">
        <v>2873</v>
      </c>
    </row>
    <row r="4" spans="1:51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30</v>
      </c>
      <c r="AD4" s="63"/>
      <c r="AE4" s="61" t="s">
        <v>103</v>
      </c>
      <c r="AF4" s="63"/>
      <c r="AG4" s="62" t="s">
        <v>104</v>
      </c>
      <c r="AH4" s="63"/>
    </row>
    <row r="5" spans="1:51" x14ac:dyDescent="0.15">
      <c r="C5" t="s">
        <v>2</v>
      </c>
      <c r="D5" s="1"/>
      <c r="E5" s="1"/>
      <c r="H5" s="1"/>
      <c r="P5" s="52">
        <f t="array" ref="P5:Q5">LINEST(AF34:AF37,LN(AC34:AC37))</f>
        <v>18.979711323120018</v>
      </c>
      <c r="Q5" s="52">
        <v>-15.676041869571399</v>
      </c>
      <c r="R5" t="s">
        <v>8</v>
      </c>
      <c r="T5" s="4"/>
      <c r="U5" s="39" t="s">
        <v>43</v>
      </c>
      <c r="V5" t="s">
        <v>8</v>
      </c>
      <c r="W5" s="9">
        <f>$P$5*LN($J$3)+$Q$5</f>
        <v>51.65220443099701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R5" s="2" t="s">
        <v>2874</v>
      </c>
    </row>
    <row r="6" spans="1:51" x14ac:dyDescent="0.15">
      <c r="C6" s="2" t="s">
        <v>3</v>
      </c>
      <c r="D6" s="1"/>
      <c r="E6" s="1"/>
      <c r="H6" s="1"/>
      <c r="P6" s="52">
        <f t="array" ref="P6:Q6">LINEST(AG34:AG37,LN(AC34:AC37))</f>
        <v>19.17426216361892</v>
      </c>
      <c r="Q6" s="52">
        <v>-6.2207805289368707</v>
      </c>
      <c r="R6" t="s">
        <v>57</v>
      </c>
      <c r="T6" s="4"/>
      <c r="U6" s="39" t="s">
        <v>43</v>
      </c>
      <c r="V6" t="s">
        <v>57</v>
      </c>
      <c r="W6" s="9">
        <f>$P$6*LN($J$3)+$Q$6</f>
        <v>61.797611511157953</v>
      </c>
      <c r="X6" t="s">
        <v>31</v>
      </c>
      <c r="AA6" s="55">
        <v>25</v>
      </c>
      <c r="AB6" s="56">
        <f t="shared" ref="AB6:AB12" si="0">(-$D$9-SQRT($D$9^2-(4*$C$9*($E$9-AA6))))/(2*$C$9)</f>
        <v>112.80414235212891</v>
      </c>
      <c r="AC6" s="55">
        <v>24</v>
      </c>
      <c r="AD6" s="57">
        <f t="shared" ref="AD6:AD12" si="1">(-$D$14-SQRT($D$14^2-(4*$C$14*($E$14-AC6))))/(2*$C$14)</f>
        <v>107.85190341399138</v>
      </c>
      <c r="AE6" s="55">
        <v>13</v>
      </c>
      <c r="AF6" s="57">
        <f t="shared" ref="AF6:AF11" si="2">(-$D$19-SQRT($D$19^2-(4*$C$19*($E$19-AE6))))/(2*$C$19)</f>
        <v>68.004206299119801</v>
      </c>
      <c r="AG6" s="56">
        <v>8</v>
      </c>
      <c r="AH6" s="57">
        <f>(-$D$24-SQRT($D$24^2-(4*$C$24*($E$24-AG6))))/(2*$C$24)</f>
        <v>33.03961500314464</v>
      </c>
      <c r="AR6" t="s">
        <v>2893</v>
      </c>
    </row>
    <row r="7" spans="1:51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102.30954363902759</v>
      </c>
      <c r="AC7" s="55">
        <v>100</v>
      </c>
      <c r="AD7" s="57">
        <f t="shared" si="1"/>
        <v>96.433525303653425</v>
      </c>
      <c r="AE7" s="55">
        <v>40</v>
      </c>
      <c r="AF7" s="57">
        <f t="shared" si="2"/>
        <v>59.892207421150687</v>
      </c>
      <c r="AG7" s="56">
        <v>20</v>
      </c>
      <c r="AH7" s="57">
        <f>(-$D$24-SQRT($D$24^2-(4*$C$24*($E$24-AG7))))/(2*$C$24)</f>
        <v>26.39211753991631</v>
      </c>
      <c r="AR7" t="s">
        <v>2894</v>
      </c>
    </row>
    <row r="8" spans="1:51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93.466153966574225</v>
      </c>
      <c r="AC8" s="55">
        <v>150</v>
      </c>
      <c r="AD8" s="57">
        <f t="shared" si="1"/>
        <v>87.95448303233907</v>
      </c>
      <c r="AE8" s="55">
        <v>60</v>
      </c>
      <c r="AF8" s="57">
        <f t="shared" si="2"/>
        <v>53.313493809492236</v>
      </c>
      <c r="AG8" s="56">
        <v>30</v>
      </c>
      <c r="AH8" s="57">
        <f>(-$D$24-SQRT($D$24^2-(4*$C$24*($E$24-AG8))))/(2*$C$24)</f>
        <v>19.739311494193096</v>
      </c>
      <c r="AR8" t="s">
        <v>2878</v>
      </c>
    </row>
    <row r="9" spans="1:51" x14ac:dyDescent="0.15">
      <c r="A9" s="2" t="s">
        <v>2876</v>
      </c>
      <c r="C9" s="1654">
        <f>AS30</f>
        <v>-5.8783712985598889E-2</v>
      </c>
      <c r="D9" s="1654">
        <f t="shared" ref="D9:E9" si="3">AT30</f>
        <v>3.5929055634667413</v>
      </c>
      <c r="E9" s="1654">
        <f t="shared" si="3"/>
        <v>367.71486324469407</v>
      </c>
      <c r="H9" s="2"/>
      <c r="P9" t="s">
        <v>23</v>
      </c>
      <c r="Q9" s="52">
        <f t="array" ref="Q9:R9">LINEST(AC35:AC37,U35:U37)</f>
        <v>9.0455342119806712</v>
      </c>
      <c r="R9" s="52">
        <v>-7.5546667814917967</v>
      </c>
      <c r="U9" s="39" t="s">
        <v>42</v>
      </c>
      <c r="V9" t="s">
        <v>58</v>
      </c>
      <c r="W9" s="273">
        <f>IF($J$3&gt;$AC$35,($J$3-$R$10)/$Q$10,($J$3-$R$9)/$Q$9)</f>
        <v>4.6737857613449663</v>
      </c>
      <c r="X9" t="s">
        <v>25</v>
      </c>
      <c r="AA9" s="55">
        <v>250</v>
      </c>
      <c r="AB9" s="56">
        <f t="shared" si="0"/>
        <v>84.749359155674398</v>
      </c>
      <c r="AC9" s="55">
        <v>200</v>
      </c>
      <c r="AD9" s="57">
        <f t="shared" si="1"/>
        <v>78.352266317306643</v>
      </c>
      <c r="AE9" s="55">
        <v>80</v>
      </c>
      <c r="AF9" s="57">
        <f t="shared" si="2"/>
        <v>46.091391635961443</v>
      </c>
      <c r="AG9" s="56">
        <v>35</v>
      </c>
      <c r="AH9" s="57">
        <f>(-$D$24-SQRT($D$24^2-(4*$C$24*($E$24-AG9))))/(2*$C$24)</f>
        <v>15.777519598102133</v>
      </c>
      <c r="AS9" s="104" t="s">
        <v>2895</v>
      </c>
      <c r="AT9" s="104" t="s">
        <v>2896</v>
      </c>
      <c r="AU9" s="104" t="s">
        <v>87</v>
      </c>
    </row>
    <row r="10" spans="1:51" x14ac:dyDescent="0.15">
      <c r="C10" s="2"/>
      <c r="D10" s="2"/>
      <c r="E10" s="2"/>
      <c r="H10" s="2"/>
      <c r="P10" t="s">
        <v>24</v>
      </c>
      <c r="Q10" s="52">
        <f t="array" ref="Q10:R10">LINEST(AC34:AC35,U34:U35)</f>
        <v>2.8303956386484681</v>
      </c>
      <c r="R10" s="52">
        <v>39.353951789440799</v>
      </c>
      <c r="W10" t="b">
        <f>IF(AND(W9&lt;=10.01,'R-series ENT'!G33&gt;=W11),TRUE,FALSE)</f>
        <v>1</v>
      </c>
      <c r="AA10" s="55">
        <v>320</v>
      </c>
      <c r="AB10" s="56">
        <f t="shared" si="0"/>
        <v>72.341229155244577</v>
      </c>
      <c r="AC10" s="55">
        <v>250</v>
      </c>
      <c r="AD10" s="57">
        <f t="shared" si="1"/>
        <v>67.009582209175775</v>
      </c>
      <c r="AE10" s="55">
        <v>100</v>
      </c>
      <c r="AF10" s="57">
        <f t="shared" si="2"/>
        <v>37.98948241846751</v>
      </c>
      <c r="AG10" s="56">
        <v>41</v>
      </c>
      <c r="AH10" s="57">
        <f>(-$D$24-SQRT($D$24^2-(4*$C$24*($E$24-AG10))))/(2*$C$24)</f>
        <v>10.014958659989722</v>
      </c>
      <c r="AR10" s="628" t="s">
        <v>13</v>
      </c>
      <c r="AS10" s="628" t="s">
        <v>14</v>
      </c>
      <c r="AT10" s="628" t="s">
        <v>14</v>
      </c>
      <c r="AU10" s="628" t="s">
        <v>14</v>
      </c>
    </row>
    <row r="11" spans="1:51" x14ac:dyDescent="0.15">
      <c r="C11" s="2" t="s">
        <v>9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54.115277912677698</v>
      </c>
      <c r="AC11" s="55">
        <v>300</v>
      </c>
      <c r="AD11" s="57">
        <f t="shared" si="1"/>
        <v>52.37799716899908</v>
      </c>
      <c r="AE11" s="55">
        <v>136</v>
      </c>
      <c r="AF11" s="57">
        <f t="shared" si="2"/>
        <v>19.49607603794357</v>
      </c>
      <c r="AG11" s="56"/>
      <c r="AH11" s="57"/>
      <c r="AR11" s="628">
        <v>0</v>
      </c>
      <c r="AS11" s="344">
        <v>0</v>
      </c>
      <c r="AT11" s="344">
        <v>0</v>
      </c>
      <c r="AU11" s="628">
        <v>0</v>
      </c>
      <c r="AW11" t="s">
        <v>2868</v>
      </c>
    </row>
    <row r="12" spans="1:51" x14ac:dyDescent="0.15">
      <c r="C12" t="s">
        <v>11</v>
      </c>
      <c r="D12" s="1"/>
      <c r="E12" s="1"/>
      <c r="H12" s="1"/>
      <c r="P12" t="s">
        <v>51</v>
      </c>
      <c r="AA12" s="58">
        <v>412</v>
      </c>
      <c r="AB12" s="59">
        <f t="shared" si="0"/>
        <v>43.998379520182048</v>
      </c>
      <c r="AC12" s="58">
        <v>340</v>
      </c>
      <c r="AD12" s="60">
        <f t="shared" si="1"/>
        <v>33.765245166408228</v>
      </c>
      <c r="AE12" s="58"/>
      <c r="AF12" s="60"/>
      <c r="AG12" s="59"/>
      <c r="AH12" s="60"/>
      <c r="AR12" s="628">
        <v>30</v>
      </c>
      <c r="AS12" s="344">
        <v>31.01</v>
      </c>
      <c r="AT12" s="344">
        <v>25</v>
      </c>
      <c r="AU12" s="628">
        <f>AT12-AS12</f>
        <v>-6.0100000000000016</v>
      </c>
      <c r="AW12">
        <f t="array" ref="AW12:AY12">LINEST(AS11:AS18,AR11:AR18^{1,2})</f>
        <v>1.0192659376454163E-2</v>
      </c>
      <c r="AX12">
        <v>0.72366100511866049</v>
      </c>
      <c r="AY12">
        <v>3.4739413680767939E-2</v>
      </c>
    </row>
    <row r="13" spans="1:51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3.5726850557636768E-2</v>
      </c>
      <c r="Q13" s="51">
        <v>-1.2072320666827638</v>
      </c>
      <c r="R13" s="51">
        <v>17.014737269943481</v>
      </c>
      <c r="U13" s="39" t="s">
        <v>43</v>
      </c>
      <c r="V13" t="s">
        <v>58</v>
      </c>
      <c r="W13" s="9">
        <f>$P$13*J3^2+$Q$13*J3+$R$13</f>
        <v>18.17041705048598</v>
      </c>
      <c r="X13" t="s">
        <v>49</v>
      </c>
      <c r="AR13" s="628">
        <v>40</v>
      </c>
      <c r="AS13" s="344">
        <v>45.3</v>
      </c>
      <c r="AT13" s="344">
        <v>35</v>
      </c>
      <c r="AU13" s="628">
        <f t="shared" ref="AU13:AU18" si="4">AT13-AS13</f>
        <v>-10.299999999999997</v>
      </c>
      <c r="AW13" t="s">
        <v>2869</v>
      </c>
    </row>
    <row r="14" spans="1:51" x14ac:dyDescent="0.15">
      <c r="A14" s="2" t="s">
        <v>2876</v>
      </c>
      <c r="C14" s="1654">
        <f>AS31</f>
        <v>-3.8147865853830593E-2</v>
      </c>
      <c r="D14" s="1654">
        <f t="shared" ref="D14:E14" si="5">AT31</f>
        <v>1.1371165986819527</v>
      </c>
      <c r="E14" s="1654">
        <f t="shared" si="5"/>
        <v>345.09704759098713</v>
      </c>
      <c r="H14" s="2"/>
      <c r="V14" t="s">
        <v>52</v>
      </c>
      <c r="W14" s="3">
        <f>IF(W13&gt;118,118,W13)</f>
        <v>18.17041705048598</v>
      </c>
      <c r="X14" t="s">
        <v>49</v>
      </c>
      <c r="AR14" s="628">
        <v>50</v>
      </c>
      <c r="AS14" s="344">
        <v>61.68</v>
      </c>
      <c r="AT14" s="344">
        <v>49</v>
      </c>
      <c r="AU14" s="628">
        <f t="shared" si="4"/>
        <v>-12.68</v>
      </c>
      <c r="AW14">
        <f t="array" ref="AW14:AY14">LINEST(AT11:AT18,AR11:AR18^{1,2})</f>
        <v>9.0577012563983188E-3</v>
      </c>
      <c r="AX14">
        <v>0.54025127966496067</v>
      </c>
      <c r="AY14">
        <v>-6.5146579804551408E-2</v>
      </c>
    </row>
    <row r="15" spans="1:51" x14ac:dyDescent="0.15">
      <c r="C15" s="2"/>
      <c r="D15" s="2"/>
      <c r="E15" s="2"/>
      <c r="H15" s="2"/>
      <c r="AR15" s="628">
        <v>60</v>
      </c>
      <c r="AS15" s="344">
        <v>80.12</v>
      </c>
      <c r="AT15" s="344">
        <v>65</v>
      </c>
      <c r="AU15" s="628">
        <f t="shared" si="4"/>
        <v>-15.120000000000005</v>
      </c>
      <c r="AW15" t="s">
        <v>87</v>
      </c>
    </row>
    <row r="16" spans="1:51" x14ac:dyDescent="0.15">
      <c r="C16" s="2" t="s">
        <v>10</v>
      </c>
      <c r="D16" s="1"/>
      <c r="E16" s="1"/>
      <c r="H16" s="1"/>
      <c r="AR16" s="628">
        <v>70</v>
      </c>
      <c r="AS16" s="344">
        <v>100.6</v>
      </c>
      <c r="AT16" s="344">
        <v>83</v>
      </c>
      <c r="AU16" s="628">
        <f t="shared" si="4"/>
        <v>-17.599999999999994</v>
      </c>
      <c r="AW16" s="2">
        <f>AW14-AW12</f>
        <v>-1.1349581200558439E-3</v>
      </c>
      <c r="AX16" s="2">
        <f t="shared" ref="AX16:AY16" si="6">AX14-AX12</f>
        <v>-0.18340972545369982</v>
      </c>
      <c r="AY16" s="2">
        <f t="shared" si="6"/>
        <v>-9.9885993485319347E-2</v>
      </c>
    </row>
    <row r="17" spans="1:62" x14ac:dyDescent="0.15">
      <c r="C17" t="s">
        <v>11</v>
      </c>
      <c r="D17" s="1"/>
      <c r="E17" s="1"/>
      <c r="H17" s="1"/>
      <c r="AR17" s="628">
        <v>80</v>
      </c>
      <c r="AS17" s="344">
        <v>123.1</v>
      </c>
      <c r="AT17" s="344">
        <v>102</v>
      </c>
      <c r="AU17" s="628">
        <f t="shared" si="4"/>
        <v>-21.099999999999994</v>
      </c>
      <c r="AW17">
        <f t="array" ref="AW17:AY17">LINEST(AU11:AU18,AR11:AR18^{1,2})</f>
        <v>-1.1349581200558413E-3</v>
      </c>
      <c r="AX17">
        <v>-0.18340972545369938</v>
      </c>
      <c r="AY17">
        <v>-9.988599348533711E-2</v>
      </c>
    </row>
    <row r="18" spans="1:62" x14ac:dyDescent="0.15">
      <c r="C18" t="s">
        <v>4</v>
      </c>
      <c r="D18" t="s">
        <v>5</v>
      </c>
      <c r="E18" t="s">
        <v>6</v>
      </c>
      <c r="H18" s="1"/>
      <c r="AR18" s="628">
        <v>90</v>
      </c>
      <c r="AS18" s="344">
        <v>147.80000000000001</v>
      </c>
      <c r="AT18" s="344">
        <v>121</v>
      </c>
      <c r="AU18" s="628">
        <f t="shared" si="4"/>
        <v>-26.800000000000011</v>
      </c>
    </row>
    <row r="19" spans="1:62" x14ac:dyDescent="0.15">
      <c r="A19" s="2" t="s">
        <v>2876</v>
      </c>
      <c r="C19" s="1654">
        <f>AS32</f>
        <v>-1.9624290467918221E-2</v>
      </c>
      <c r="D19" s="1654">
        <f t="shared" ref="D19:E19" si="7">AT32</f>
        <v>-0.81852645458835727</v>
      </c>
      <c r="E19" s="1654">
        <f t="shared" si="7"/>
        <v>159.41718755643743</v>
      </c>
      <c r="AB19" s="6"/>
      <c r="AC19" s="6"/>
    </row>
    <row r="20" spans="1:62" x14ac:dyDescent="0.15">
      <c r="C20" s="2"/>
      <c r="D20" s="2"/>
      <c r="E20" s="2"/>
      <c r="H20" s="1"/>
      <c r="AB20" s="6"/>
      <c r="AC20" s="6"/>
      <c r="AR20" s="2" t="s">
        <v>2880</v>
      </c>
    </row>
    <row r="21" spans="1:62" x14ac:dyDescent="0.15">
      <c r="C21" s="2" t="s">
        <v>12</v>
      </c>
      <c r="D21" s="1"/>
      <c r="E21" s="1"/>
      <c r="H21" s="1"/>
      <c r="AB21" s="6"/>
      <c r="AC21" s="6"/>
      <c r="AS21" t="s">
        <v>4</v>
      </c>
      <c r="AT21" t="s">
        <v>5</v>
      </c>
      <c r="AU21" t="s">
        <v>6</v>
      </c>
    </row>
    <row r="22" spans="1:62" x14ac:dyDescent="0.15">
      <c r="C22" t="s">
        <v>11</v>
      </c>
      <c r="D22" s="1"/>
      <c r="E22" s="1"/>
      <c r="H22" s="1"/>
      <c r="AB22" s="6"/>
      <c r="AC22" s="6"/>
      <c r="AR22">
        <v>10</v>
      </c>
      <c r="AS22" s="8">
        <v>-5.7648754865543043E-2</v>
      </c>
      <c r="AT22" s="8">
        <v>3.7763152889204412</v>
      </c>
      <c r="AU22" s="8">
        <v>367.81474923817939</v>
      </c>
    </row>
    <row r="23" spans="1:62" x14ac:dyDescent="0.15">
      <c r="C23" t="s">
        <v>4</v>
      </c>
      <c r="D23" t="s">
        <v>5</v>
      </c>
      <c r="E23" t="s">
        <v>6</v>
      </c>
      <c r="H23" s="1"/>
      <c r="AR23">
        <v>7.5</v>
      </c>
      <c r="AS23" s="8">
        <v>-3.7012907733774747E-2</v>
      </c>
      <c r="AT23" s="8">
        <v>1.3205263241356524</v>
      </c>
      <c r="AU23" s="8">
        <v>345.19693358447245</v>
      </c>
    </row>
    <row r="24" spans="1:62" x14ac:dyDescent="0.15">
      <c r="A24" s="2" t="s">
        <v>2876</v>
      </c>
      <c r="C24" s="1654">
        <f>AS33</f>
        <v>-2.2711171405985157E-2</v>
      </c>
      <c r="D24" s="1654">
        <f t="shared" ref="D24:E24" si="8">AT33</f>
        <v>-0.45542634516682007</v>
      </c>
      <c r="E24" s="1654">
        <f t="shared" si="8"/>
        <v>47.838992815821015</v>
      </c>
      <c r="H24" s="1"/>
      <c r="AR24">
        <v>5</v>
      </c>
      <c r="AS24" s="8">
        <v>-1.8489332347862378E-2</v>
      </c>
      <c r="AT24" s="8">
        <v>-0.63511672913465744</v>
      </c>
      <c r="AU24" s="8">
        <v>159.51707354992274</v>
      </c>
    </row>
    <row r="25" spans="1:62" x14ac:dyDescent="0.15">
      <c r="E25" s="2"/>
      <c r="F25" s="2"/>
      <c r="G25" s="2"/>
      <c r="H25" s="1"/>
      <c r="AR25">
        <v>3</v>
      </c>
      <c r="AS25" s="8">
        <v>-2.1576213285929312E-2</v>
      </c>
      <c r="AT25" s="8">
        <v>-0.27201661971312024</v>
      </c>
      <c r="AU25" s="8">
        <v>47.938878809306331</v>
      </c>
    </row>
    <row r="27" spans="1:62" x14ac:dyDescent="0.15">
      <c r="U27" t="s">
        <v>37</v>
      </c>
    </row>
    <row r="28" spans="1:62" x14ac:dyDescent="0.15">
      <c r="U28" s="4" t="s">
        <v>17</v>
      </c>
      <c r="AR28" s="2" t="s">
        <v>2882</v>
      </c>
    </row>
    <row r="29" spans="1:62" x14ac:dyDescent="0.15">
      <c r="U29" s="4">
        <f>(L3/J3)^2/L3</f>
        <v>7.4649599999999997E-2</v>
      </c>
      <c r="AS29" t="s">
        <v>4</v>
      </c>
      <c r="AT29" t="s">
        <v>5</v>
      </c>
      <c r="AU29" t="s">
        <v>6</v>
      </c>
    </row>
    <row r="30" spans="1:62" x14ac:dyDescent="0.15">
      <c r="AR30">
        <f>AR22</f>
        <v>10</v>
      </c>
      <c r="AS30" s="1654">
        <f>AS22+$AW$16</f>
        <v>-5.8783712985598889E-2</v>
      </c>
      <c r="AT30" s="1654">
        <f>AT22+$AX$16</f>
        <v>3.5929055634667413</v>
      </c>
      <c r="AU30" s="1654">
        <f>AU22+$AY$16</f>
        <v>367.71486324469407</v>
      </c>
    </row>
    <row r="31" spans="1:62" x14ac:dyDescent="0.15">
      <c r="U31" s="2" t="s">
        <v>16</v>
      </c>
      <c r="AI31" s="2" t="s">
        <v>1110</v>
      </c>
      <c r="AR31">
        <f t="shared" ref="AR31:AR33" si="9">AR23</f>
        <v>7.5</v>
      </c>
      <c r="AS31" s="1654">
        <f>AS23+$AW$16</f>
        <v>-3.8147865853830593E-2</v>
      </c>
      <c r="AT31" s="1654">
        <f>AT23+$AX$16</f>
        <v>1.1371165986819527</v>
      </c>
      <c r="AU31" s="1654">
        <f>AU23+$AY$16</f>
        <v>345.09704759098713</v>
      </c>
    </row>
    <row r="32" spans="1:6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R32">
        <f t="shared" si="9"/>
        <v>5</v>
      </c>
      <c r="AS32" s="1654">
        <f>AS24+$AW$16</f>
        <v>-1.9624290467918221E-2</v>
      </c>
      <c r="AT32" s="1654">
        <f>AT24+$AX$16</f>
        <v>-0.81852645458835727</v>
      </c>
      <c r="AU32" s="1654">
        <f>AU24+$AY$16</f>
        <v>159.41718755643743</v>
      </c>
      <c r="BA32" t="s">
        <v>2883</v>
      </c>
      <c r="BJ32" t="s">
        <v>2883</v>
      </c>
    </row>
    <row r="33" spans="21:6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s="2" t="s">
        <v>1107</v>
      </c>
      <c r="AL33" t="s">
        <v>1115</v>
      </c>
      <c r="AR33">
        <f t="shared" si="9"/>
        <v>3</v>
      </c>
      <c r="AS33" s="1654">
        <f>AS25+$AW$16</f>
        <v>-2.2711171405985157E-2</v>
      </c>
      <c r="AT33" s="1654">
        <f>AT25+$AX$16</f>
        <v>-0.45542634516682007</v>
      </c>
      <c r="AU33" s="1654">
        <f>AU25+$AY$16</f>
        <v>47.838992815821015</v>
      </c>
      <c r="BA33" s="2" t="s">
        <v>2884</v>
      </c>
      <c r="BJ33" s="2" t="s">
        <v>2727</v>
      </c>
    </row>
    <row r="34" spans="21:69" x14ac:dyDescent="0.15">
      <c r="U34" s="35">
        <v>10</v>
      </c>
      <c r="V34" s="28">
        <f>C9</f>
        <v>-5.8783712985598889E-2</v>
      </c>
      <c r="W34" s="32">
        <f>D9</f>
        <v>3.5929055634667413</v>
      </c>
      <c r="X34" s="29">
        <f>E9</f>
        <v>367.71486324469407</v>
      </c>
      <c r="Y34" s="36">
        <f>C9-U29</f>
        <v>-0.13343331298559888</v>
      </c>
      <c r="Z34" s="28">
        <f>(-W34+SQRT(W34^2-(4*Y34*X34)))/(2*Y34)</f>
        <v>-40.731307291373398</v>
      </c>
      <c r="AA34" s="29">
        <f>(-W34-SQRT(W34^2-(4*Y34*X34)))/(2*Y34)</f>
        <v>67.657908175925471</v>
      </c>
      <c r="AB34" s="36">
        <f>AB6</f>
        <v>112.80414235212891</v>
      </c>
      <c r="AC34" s="53">
        <f>IF(Z34&lt;0,AA34,IF(Z34&gt;AB34,AA34,Z34))</f>
        <v>67.657908175925471</v>
      </c>
      <c r="AD34" s="53">
        <f>V34*AC34^2+W34*AC34+X34</f>
        <v>341.71545198007209</v>
      </c>
      <c r="AE34" s="53">
        <f>X51*AC34^2+Y51*AC34+Z51</f>
        <v>100.10242168873168</v>
      </c>
      <c r="AF34" s="53">
        <f>$H$60*AC34+$I$60</f>
        <v>64.496012372706616</v>
      </c>
      <c r="AG34" s="53">
        <f>$R$60*AC34^2+$S$60*AC34+$T$60</f>
        <v>74.529467038556561</v>
      </c>
      <c r="AI34" s="616">
        <f>AC34/J3-1</f>
        <v>0.94854775546665349</v>
      </c>
      <c r="AL34" s="278" t="b">
        <f>IF(AI36&gt;AC34,FALSE,TRUE)</f>
        <v>1</v>
      </c>
      <c r="AM34" t="s">
        <v>1117</v>
      </c>
      <c r="BA34" s="1655" t="s">
        <v>102</v>
      </c>
      <c r="BB34" s="1656"/>
      <c r="BC34" s="1655" t="s">
        <v>564</v>
      </c>
      <c r="BD34" s="1657"/>
      <c r="BE34" s="1655" t="s">
        <v>103</v>
      </c>
      <c r="BF34" s="1657"/>
      <c r="BG34" s="1656" t="s">
        <v>104</v>
      </c>
      <c r="BH34" s="1657"/>
      <c r="BJ34" s="1655" t="s">
        <v>102</v>
      </c>
      <c r="BK34" s="1656"/>
      <c r="BL34" s="1655" t="s">
        <v>564</v>
      </c>
      <c r="BM34" s="1657"/>
      <c r="BN34" s="1655" t="s">
        <v>103</v>
      </c>
      <c r="BO34" s="1657"/>
      <c r="BP34" s="1656" t="s">
        <v>104</v>
      </c>
      <c r="BQ34" s="1657"/>
    </row>
    <row r="35" spans="21:69" x14ac:dyDescent="0.15">
      <c r="U35" s="35">
        <v>7.5</v>
      </c>
      <c r="V35" s="28">
        <f>C14</f>
        <v>-3.8147865853830593E-2</v>
      </c>
      <c r="W35" s="32">
        <f>D14</f>
        <v>1.1371165986819527</v>
      </c>
      <c r="X35" s="29">
        <f>E14</f>
        <v>345.09704759098713</v>
      </c>
      <c r="Y35" s="36">
        <f>C14-U29</f>
        <v>-0.11279746585383059</v>
      </c>
      <c r="Z35" s="28">
        <f t="shared" ref="Z35:Z37" si="10">(-W35+SQRT(W35^2-(4*Y35*X35)))/(2*Y35)</f>
        <v>-50.500871689857682</v>
      </c>
      <c r="AA35" s="29">
        <f t="shared" ref="AA35:AA37" si="11">(-W35-SQRT(W35^2-(4*Y35*X35)))/(2*Y35)</f>
        <v>60.581919079304299</v>
      </c>
      <c r="AB35" s="36">
        <f>AD6</f>
        <v>107.85190341399138</v>
      </c>
      <c r="AC35" s="53">
        <f t="shared" ref="AC35:AC37" si="12">IF(Z35&lt;0,AA35,IF(Z35&gt;AB35,AA35,Z35))</f>
        <v>60.581919079304299</v>
      </c>
      <c r="AD35" s="53">
        <f>V35*AC35^2+W35*AC35+X35</f>
        <v>273.97664176051927</v>
      </c>
      <c r="AE35" s="53">
        <f t="shared" ref="AE35:AE37" si="13">X52*AC35^2+Y52*AC35+Z52</f>
        <v>73.134054320651217</v>
      </c>
      <c r="AF35" s="53">
        <f>$H$65*AC35+$I$65</f>
        <v>61.805526530285</v>
      </c>
      <c r="AG35" s="53">
        <f>$R$65*AC35^2+$S$65*AC35+$T$65</f>
        <v>72.562767194420701</v>
      </c>
      <c r="AI35" t="s">
        <v>1114</v>
      </c>
      <c r="AL35" t="s">
        <v>1116</v>
      </c>
      <c r="BA35" s="1658" t="s">
        <v>14</v>
      </c>
      <c r="BB35" s="1659" t="s">
        <v>13</v>
      </c>
      <c r="BC35" s="1658" t="s">
        <v>14</v>
      </c>
      <c r="BD35" s="1660" t="s">
        <v>13</v>
      </c>
      <c r="BE35" s="1658" t="s">
        <v>14</v>
      </c>
      <c r="BF35" s="1660" t="s">
        <v>13</v>
      </c>
      <c r="BG35" s="1659" t="s">
        <v>14</v>
      </c>
      <c r="BH35" s="1660" t="s">
        <v>13</v>
      </c>
      <c r="BJ35" s="1658" t="s">
        <v>14</v>
      </c>
      <c r="BK35" s="1659" t="s">
        <v>13</v>
      </c>
      <c r="BL35" s="1658" t="s">
        <v>14</v>
      </c>
      <c r="BM35" s="1660" t="s">
        <v>13</v>
      </c>
      <c r="BN35" s="1658" t="s">
        <v>14</v>
      </c>
      <c r="BO35" s="1660" t="s">
        <v>13</v>
      </c>
      <c r="BP35" s="1659" t="s">
        <v>14</v>
      </c>
      <c r="BQ35" s="1660" t="s">
        <v>13</v>
      </c>
    </row>
    <row r="36" spans="21:69" x14ac:dyDescent="0.15">
      <c r="U36" s="35">
        <v>5</v>
      </c>
      <c r="V36" s="28">
        <f>C19</f>
        <v>-1.9624290467918221E-2</v>
      </c>
      <c r="W36" s="32">
        <f>D19</f>
        <v>-0.81852645458835727</v>
      </c>
      <c r="X36" s="29">
        <f>E19</f>
        <v>159.41718755643743</v>
      </c>
      <c r="Y36" s="36">
        <f>C19-U29</f>
        <v>-9.4273890467918217E-2</v>
      </c>
      <c r="Z36" s="28">
        <f t="shared" si="10"/>
        <v>-45.691505916386191</v>
      </c>
      <c r="AA36" s="29">
        <f t="shared" si="11"/>
        <v>37.009075918794181</v>
      </c>
      <c r="AB36" s="36">
        <f>AF6</f>
        <v>68.004206299119801</v>
      </c>
      <c r="AC36" s="53">
        <f t="shared" si="12"/>
        <v>37.009075918794181</v>
      </c>
      <c r="AD36" s="53">
        <f>V36*AC36^2+W36*AC36+X36</f>
        <v>102.24544456342312</v>
      </c>
      <c r="AE36" s="53">
        <f t="shared" si="13"/>
        <v>22.297397254625139</v>
      </c>
      <c r="AF36" s="53">
        <f>$H$70*AC36^2+$I$70*AC36+$J$70</f>
        <v>53.240623766654544</v>
      </c>
      <c r="AG36" s="53">
        <f>$R$70*AC36^2+$S$70*AC36+$T$70</f>
        <v>62.971029110256765</v>
      </c>
      <c r="AI36" s="279">
        <f>Tulokset_ENT!$CS$16</f>
        <v>41.666666666666664</v>
      </c>
      <c r="AJ36" t="s">
        <v>13</v>
      </c>
      <c r="AL36" s="617">
        <f>IF($AI$36&gt;$AC$35,($AI$36-$R$10)/$Q$10,($AI$36-$R$9)/$Q$9)</f>
        <v>5.4415065262774158</v>
      </c>
      <c r="AM36" t="s">
        <v>25</v>
      </c>
      <c r="AR36" t="s">
        <v>2885</v>
      </c>
      <c r="BA36" s="1661">
        <v>25</v>
      </c>
      <c r="BB36" s="1662">
        <f t="shared" ref="BB36:BB42" si="14">(-$AT$22-SQRT($AT$22^2-(4*$AS$22*($AU$22-BA36))))/(2*$AS$22)</f>
        <v>116.53439357132875</v>
      </c>
      <c r="BC36" s="1661">
        <v>20</v>
      </c>
      <c r="BD36" s="1662">
        <f t="shared" ref="BD36:BD42" si="15">(-$AT$23-SQRT($AT$23^2-(4*$AS$23*($AU$23-BC36))))/(2*$AS$23)</f>
        <v>113.25498059465359</v>
      </c>
      <c r="BE36" s="1661">
        <v>10</v>
      </c>
      <c r="BF36" s="1662">
        <f t="shared" ref="BF36:BF41" si="16">(-$AT$24-SQRT($AT$24^2-(4*$AS$24*($AU$24-BE36))))/(2*$AS$24)</f>
        <v>74.376159344662398</v>
      </c>
      <c r="BG36" s="1661">
        <v>10</v>
      </c>
      <c r="BH36" s="1662">
        <f>(-$AT$25-SQRT($AT$25^2-(4*$AS$25*($AU$25-BG36))))/(2*$AS$25)</f>
        <v>36.100405459595137</v>
      </c>
      <c r="BJ36" s="1661">
        <v>25</v>
      </c>
      <c r="BK36" s="1662">
        <f t="shared" ref="BK36:BK42" si="17">(-$AT$30-SQRT($AT$30^2-(4*$AS$30*($AU$30-BJ36))))/(2*$AS$30)</f>
        <v>112.80414235212891</v>
      </c>
      <c r="BL36" s="1661">
        <v>20</v>
      </c>
      <c r="BM36" s="1662">
        <f t="array" ref="BM36">(-$AT$31-SQRT($AT$31^2-(4*$AS$31*($AU$31-BL36))))/(2*$AS$31)</f>
        <v>108.41425594989306</v>
      </c>
      <c r="BN36" s="1661">
        <v>10</v>
      </c>
      <c r="BO36" s="1662">
        <f t="shared" ref="BO36:BO41" si="18">(-$AT$32-SQRT($AT$32^2-(4*$AS$32*($AU$32-BN36))))/(2*$AS$32)</f>
        <v>68.860274234481238</v>
      </c>
      <c r="BP36" s="1661">
        <v>10</v>
      </c>
      <c r="BQ36" s="1662">
        <f>(-$AT$33-SQRT($AT$33^2-(4*$AS$33*($AU$33-BP36))))/(2*$AS$33)</f>
        <v>32.004772139129201</v>
      </c>
    </row>
    <row r="37" spans="21:69" x14ac:dyDescent="0.15">
      <c r="U37" s="38">
        <v>3</v>
      </c>
      <c r="V37" s="30">
        <f>C24</f>
        <v>-2.2711171405985157E-2</v>
      </c>
      <c r="W37" s="33">
        <f>D24</f>
        <v>-0.45542634516682007</v>
      </c>
      <c r="X37" s="31">
        <f>E24</f>
        <v>47.838992815821015</v>
      </c>
      <c r="Y37" s="37">
        <f>C24-U29</f>
        <v>-9.7360771405985147E-2</v>
      </c>
      <c r="Z37" s="30">
        <f t="shared" si="10"/>
        <v>-24.6285040962312</v>
      </c>
      <c r="AA37" s="31">
        <f t="shared" si="11"/>
        <v>19.950784943126553</v>
      </c>
      <c r="AB37" s="37">
        <f>AH6</f>
        <v>33.03961500314464</v>
      </c>
      <c r="AC37" s="53">
        <f t="shared" si="12"/>
        <v>19.950784943126553</v>
      </c>
      <c r="AD37" s="53">
        <f>V37*AC37^2+W37*AC37+X37</f>
        <v>29.713065438042037</v>
      </c>
      <c r="AE37" s="53">
        <f t="shared" si="13"/>
        <v>6.7671655791680472</v>
      </c>
      <c r="AF37" s="53">
        <f>$H$75*AC37^2+$I$75*AC37+$J$75</f>
        <v>40.985859623669391</v>
      </c>
      <c r="AG37" s="53">
        <f>$R$75*AC37^2+$S$75*AC37+$T$75</f>
        <v>51.189065570828859</v>
      </c>
      <c r="AI37" s="279">
        <f>Tulokset_ENT!$CS$17</f>
        <v>129.59999999999997</v>
      </c>
      <c r="AJ37" t="s">
        <v>14</v>
      </c>
      <c r="AS37" t="s">
        <v>13</v>
      </c>
      <c r="AT37" s="4" t="s">
        <v>2886</v>
      </c>
      <c r="AU37" s="4" t="s">
        <v>2887</v>
      </c>
      <c r="AW37" t="s">
        <v>2119</v>
      </c>
      <c r="BA37" s="55">
        <v>50</v>
      </c>
      <c r="BB37" s="57">
        <f t="shared" si="14"/>
        <v>113.90509359548167</v>
      </c>
      <c r="BC37" s="55">
        <v>50</v>
      </c>
      <c r="BD37" s="57">
        <f t="shared" si="15"/>
        <v>108.90866384447838</v>
      </c>
      <c r="BE37" s="55">
        <v>35</v>
      </c>
      <c r="BF37" s="57">
        <f t="shared" si="16"/>
        <v>66.667036893483839</v>
      </c>
      <c r="BG37" s="55">
        <v>20</v>
      </c>
      <c r="BH37" s="57">
        <f>(-$AT$25-SQRT($AT$25^2-(4*$AS$25*($AU$25-BG37))))/(2*$AS$25)</f>
        <v>30.228941518656235</v>
      </c>
      <c r="BJ37" s="55">
        <v>50</v>
      </c>
      <c r="BK37" s="57">
        <f t="shared" si="17"/>
        <v>110.17663814901476</v>
      </c>
      <c r="BL37" s="55">
        <v>50</v>
      </c>
      <c r="BM37" s="57">
        <f t="array" ref="BM37">(-$AT$31-SQRT($AT$31^2-(4*$AS$31*($AU$31-BL37))))/(2*$AS$31)</f>
        <v>104.11024314351721</v>
      </c>
      <c r="BN37" s="55">
        <v>35</v>
      </c>
      <c r="BO37" s="57">
        <f t="shared" si="18"/>
        <v>61.454768576392006</v>
      </c>
      <c r="BP37" s="55">
        <v>20</v>
      </c>
      <c r="BQ37" s="57">
        <f>(-$AT$33-SQRT($AT$33^2-(4*$AS$33*($AU$33-BP37))))/(2*$AS$33)</f>
        <v>26.39211753991631</v>
      </c>
    </row>
    <row r="38" spans="21:69" x14ac:dyDescent="0.15">
      <c r="AR38" t="s">
        <v>102</v>
      </c>
      <c r="AS38">
        <v>80</v>
      </c>
      <c r="AT38" s="5">
        <f>$AS$22*AS38^2+$AT$22*AS38+$AU$22</f>
        <v>300.96794121233921</v>
      </c>
      <c r="AU38" s="5">
        <f>$AS$30*AS38^2+$AT$30*AS38+$AU$30</f>
        <v>278.93154521420047</v>
      </c>
      <c r="AW38" s="3">
        <f>AU38-AT38</f>
        <v>-22.036395998138744</v>
      </c>
      <c r="BA38" s="55">
        <v>100</v>
      </c>
      <c r="BB38" s="57">
        <f t="shared" si="14"/>
        <v>108.37272746234329</v>
      </c>
      <c r="BC38" s="55">
        <v>100</v>
      </c>
      <c r="BD38" s="57">
        <f t="shared" si="15"/>
        <v>101.16251296817727</v>
      </c>
      <c r="BE38" s="55">
        <v>60</v>
      </c>
      <c r="BF38" s="57">
        <f t="shared" si="16"/>
        <v>58.173257245729815</v>
      </c>
      <c r="BG38" s="55">
        <v>30</v>
      </c>
      <c r="BH38" s="57">
        <f>(-$AT$25-SQRT($AT$25^2-(4*$AS$25*($AU$25-BG38))))/(2*$AS$25)</f>
        <v>23.211710481821601</v>
      </c>
      <c r="BJ38" s="55">
        <v>100</v>
      </c>
      <c r="BK38" s="57">
        <f t="shared" si="17"/>
        <v>104.64258293446007</v>
      </c>
      <c r="BL38" s="55">
        <v>100</v>
      </c>
      <c r="BM38" s="57">
        <f t="array" ref="BM38">(-$AT$31-SQRT($AT$31^2-(4*$AS$31*($AU$31-BL38))))/(2*$AS$31)</f>
        <v>96.433525303653425</v>
      </c>
      <c r="BN38" s="55">
        <v>60</v>
      </c>
      <c r="BO38" s="57">
        <f t="shared" si="18"/>
        <v>53.313493809492236</v>
      </c>
      <c r="BP38" s="55">
        <v>30</v>
      </c>
      <c r="BQ38" s="57">
        <f>(-$AT$33-SQRT($AT$33^2-(4*$AS$33*($AU$33-BP38))))/(2*$AS$33)</f>
        <v>19.739311494193096</v>
      </c>
    </row>
    <row r="39" spans="21:69" x14ac:dyDescent="0.15">
      <c r="AS39">
        <v>50</v>
      </c>
      <c r="AT39" s="5">
        <f>$AS$22*AS39^2+$AT$22*AS39+$AU$22</f>
        <v>412.5086265203438</v>
      </c>
      <c r="AU39" s="5">
        <f>$AS$30*AS39^2+$AT$30*AS39+$AU$30</f>
        <v>400.40085895403388</v>
      </c>
      <c r="AW39" s="3">
        <f t="shared" ref="AW39:AW40" si="19">AU39-AT39</f>
        <v>-12.107767566309917</v>
      </c>
      <c r="BA39" s="55">
        <v>250</v>
      </c>
      <c r="BB39" s="57">
        <f t="shared" si="14"/>
        <v>88.57761083726021</v>
      </c>
      <c r="BC39" s="55">
        <v>160</v>
      </c>
      <c r="BD39" s="57">
        <f t="shared" si="15"/>
        <v>90.789376080077659</v>
      </c>
      <c r="BE39" s="55">
        <v>80</v>
      </c>
      <c r="BF39" s="57">
        <f t="shared" si="16"/>
        <v>50.616285442767648</v>
      </c>
      <c r="BG39" s="55">
        <v>35</v>
      </c>
      <c r="BH39" s="57">
        <f>(-$AT$25-SQRT($AT$25^2-(4*$AS$25*($AU$25-BG39))))/(2*$AS$25)</f>
        <v>18.983097435077962</v>
      </c>
      <c r="BJ39" s="55">
        <v>250</v>
      </c>
      <c r="BK39" s="57">
        <f t="shared" si="17"/>
        <v>84.749359155674398</v>
      </c>
      <c r="BL39" s="55">
        <v>160</v>
      </c>
      <c r="BM39" s="57">
        <f t="array" ref="BM39">(-$AT$31-SQRT($AT$31^2-(4*$AS$31*($AU$31-BL39))))/(2*$AS$31)</f>
        <v>86.137664586057781</v>
      </c>
      <c r="BN39" s="55">
        <v>80</v>
      </c>
      <c r="BO39" s="57">
        <f t="shared" si="18"/>
        <v>46.091391635961443</v>
      </c>
      <c r="BP39" s="55">
        <v>35</v>
      </c>
      <c r="BQ39" s="57">
        <f>(-$AT$33-SQRT($AT$33^2-(4*$AS$33*($AU$33-BP39))))/(2*$AS$33)</f>
        <v>15.777519598102133</v>
      </c>
    </row>
    <row r="40" spans="21:69" x14ac:dyDescent="0.15">
      <c r="U40" s="2" t="s">
        <v>35</v>
      </c>
      <c r="W40" t="s">
        <v>36</v>
      </c>
      <c r="AS40">
        <v>25</v>
      </c>
      <c r="AT40" s="5">
        <f>$AS$22*AS40^2+$AT$22*AS40+$AU$22</f>
        <v>426.19215967022603</v>
      </c>
      <c r="AU40" s="5">
        <f>$AS$30*AS40^2+$AT$30*AS40+$AU$30</f>
        <v>420.7976817153633</v>
      </c>
      <c r="AW40" s="3">
        <f t="shared" si="19"/>
        <v>-5.3944779548627366</v>
      </c>
      <c r="BA40" s="55">
        <v>320</v>
      </c>
      <c r="BB40" s="57">
        <f t="shared" si="14"/>
        <v>76.366556139312408</v>
      </c>
      <c r="BC40" s="55">
        <v>220</v>
      </c>
      <c r="BD40" s="57">
        <f t="shared" si="15"/>
        <v>78.672443751631207</v>
      </c>
      <c r="BE40" s="55">
        <v>100</v>
      </c>
      <c r="BF40" s="57">
        <f t="shared" si="16"/>
        <v>42.103641313068522</v>
      </c>
      <c r="BG40" s="55">
        <v>40</v>
      </c>
      <c r="BH40" s="57">
        <f>(-$AT$25-SQRT($AT$25^2-(4*$AS$25*($AU$25-BG40))))/(2*$AS$25)</f>
        <v>13.887502521415811</v>
      </c>
      <c r="BJ40" s="55">
        <v>320</v>
      </c>
      <c r="BK40" s="57">
        <f t="shared" si="17"/>
        <v>72.341229155244577</v>
      </c>
      <c r="BL40" s="55">
        <v>220</v>
      </c>
      <c r="BM40" s="57">
        <f t="array" ref="BM40">(-$AT$31-SQRT($AT$31^2-(4*$AS$31*($AU$31-BL40))))/(2*$AS$31)</f>
        <v>74.076681302356633</v>
      </c>
      <c r="BN40" s="55">
        <v>100</v>
      </c>
      <c r="BO40" s="57">
        <f t="shared" si="18"/>
        <v>37.98948241846751</v>
      </c>
      <c r="BP40" s="55">
        <v>40</v>
      </c>
      <c r="BQ40" s="57">
        <f>(-$AT$33-SQRT($AT$33^2-(4*$AS$33*($AU$33-BP40))))/(2*$AS$33)</f>
        <v>11.084902037539171</v>
      </c>
    </row>
    <row r="41" spans="21:69" x14ac:dyDescent="0.15">
      <c r="AR41" t="s">
        <v>103</v>
      </c>
      <c r="AS41">
        <v>45</v>
      </c>
      <c r="AT41" s="5">
        <f>$AS$24*AS41^2+$AT$24*AS41+$AU$24</f>
        <v>93.495922734441848</v>
      </c>
      <c r="AU41" s="5">
        <f>$AS$32*AS41^2+$AT$32*AS41+$AU$32</f>
        <v>82.844308902426945</v>
      </c>
      <c r="AW41" s="3">
        <f>AU41-AT41</f>
        <v>-10.651613832014903</v>
      </c>
      <c r="BA41" s="55">
        <v>360</v>
      </c>
      <c r="BB41" s="57">
        <f t="shared" si="14"/>
        <v>67.513449293721223</v>
      </c>
      <c r="BC41" s="55">
        <v>270</v>
      </c>
      <c r="BD41" s="57">
        <f t="shared" si="15"/>
        <v>66.314091915110509</v>
      </c>
      <c r="BE41" s="55">
        <v>125</v>
      </c>
      <c r="BF41" s="57">
        <f t="shared" si="16"/>
        <v>29.320504397547527</v>
      </c>
      <c r="BG41" s="55"/>
      <c r="BH41" s="57"/>
      <c r="BJ41" s="55">
        <v>360</v>
      </c>
      <c r="BK41" s="57">
        <f t="shared" si="17"/>
        <v>63.197455727081774</v>
      </c>
      <c r="BL41" s="55">
        <v>270</v>
      </c>
      <c r="BM41" s="57">
        <f t="array" ref="BM41">(-$AT$31-SQRT($AT$31^2-(4*$AS$31*($AU$31-BL41))))/(2*$AS$31)</f>
        <v>61.709077464980375</v>
      </c>
      <c r="BN41" s="55">
        <v>125</v>
      </c>
      <c r="BO41" s="57">
        <f t="shared" si="18"/>
        <v>25.92897206923454</v>
      </c>
      <c r="BP41" s="55"/>
      <c r="BQ41" s="57"/>
    </row>
    <row r="42" spans="21:69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  <c r="AS42">
        <v>30</v>
      </c>
      <c r="AT42" s="5">
        <f>$AS$24*AS42^2+$AT$24*AS42+$AU$24</f>
        <v>123.82317256280687</v>
      </c>
      <c r="AU42" s="5">
        <f>$AS$32*AS42^2+$AT$32*AS42+$AU$32</f>
        <v>117.1995324976603</v>
      </c>
      <c r="AW42" s="3">
        <f t="shared" ref="AW42:AW43" si="20">AU42-AT42</f>
        <v>-6.6236400651465743</v>
      </c>
      <c r="BA42" s="58">
        <v>410</v>
      </c>
      <c r="BB42" s="60">
        <f t="shared" si="14"/>
        <v>51.218487025908864</v>
      </c>
      <c r="BC42" s="58">
        <v>315</v>
      </c>
      <c r="BD42" s="60">
        <f t="shared" si="15"/>
        <v>51.514666799900681</v>
      </c>
      <c r="BE42" s="58"/>
      <c r="BF42" s="60"/>
      <c r="BG42" s="58"/>
      <c r="BH42" s="60"/>
      <c r="BJ42" s="58">
        <v>410</v>
      </c>
      <c r="BK42" s="60">
        <f t="shared" si="17"/>
        <v>45.209709943810218</v>
      </c>
      <c r="BL42" s="58">
        <v>315</v>
      </c>
      <c r="BM42" s="60">
        <f t="array" ref="BM42">(-$AT$31-SQRT($AT$31^2-(4*$AS$31*($AU$31-BL42))))/(2*$AS$31)</f>
        <v>46.701687410386292</v>
      </c>
      <c r="BN42" s="58"/>
      <c r="BO42" s="60"/>
      <c r="BP42" s="58"/>
      <c r="BQ42" s="60"/>
    </row>
    <row r="43" spans="21:69" x14ac:dyDescent="0.15">
      <c r="U43" s="10" t="s">
        <v>55</v>
      </c>
      <c r="V43" s="21"/>
      <c r="W43" s="49">
        <v>23</v>
      </c>
      <c r="X43" s="49">
        <v>4</v>
      </c>
      <c r="Y43" s="49">
        <v>-1</v>
      </c>
      <c r="Z43" s="49">
        <v>-4</v>
      </c>
      <c r="AA43" s="49">
        <v>-10</v>
      </c>
      <c r="AB43" s="49">
        <v>-17</v>
      </c>
      <c r="AC43" s="49">
        <v>-26</v>
      </c>
      <c r="AD43" s="49">
        <v>-32</v>
      </c>
      <c r="AE43" s="39" t="s">
        <v>42</v>
      </c>
      <c r="AF43" s="53">
        <f>$W$5+W43</f>
        <v>74.652204430997017</v>
      </c>
      <c r="AG43" s="53">
        <f t="shared" ref="AG43:AM43" si="21">$W$5+X43</f>
        <v>55.65220443099701</v>
      </c>
      <c r="AH43" s="53">
        <f t="shared" si="21"/>
        <v>50.65220443099701</v>
      </c>
      <c r="AI43" s="53">
        <f t="shared" si="21"/>
        <v>47.65220443099701</v>
      </c>
      <c r="AJ43" s="53">
        <f t="shared" si="21"/>
        <v>41.65220443099701</v>
      </c>
      <c r="AK43" s="53">
        <f t="shared" si="21"/>
        <v>34.65220443099701</v>
      </c>
      <c r="AL43" s="53">
        <f t="shared" si="21"/>
        <v>25.65220443099701</v>
      </c>
      <c r="AM43" s="53">
        <f t="shared" si="21"/>
        <v>19.65220443099701</v>
      </c>
      <c r="AN43" s="5">
        <f t="array" ref="AN43">10*LOG10(SUM(10^(AF43:AM43/10)))</f>
        <v>74.734724125118092</v>
      </c>
      <c r="AO43" s="5">
        <f t="array" ref="AO43">10*LOG10(SUM(10^((AF43:AM43+AF46:AM46)/10)))</f>
        <v>51.521883358080686</v>
      </c>
      <c r="AP43" t="str">
        <f>IF(ABS(W5-AO43)&lt;0.5,"OK","Tarkista laskenta!")</f>
        <v>OK</v>
      </c>
      <c r="AS43">
        <v>20</v>
      </c>
      <c r="AT43" s="5">
        <f>$AS$24*AS43^2+$AT$24*AS43+$AU$24</f>
        <v>139.41900602808465</v>
      </c>
      <c r="AU43" s="5">
        <f>$AS$32*AS43^2+$AT$32*AS43+$AU$32</f>
        <v>135.19694227750298</v>
      </c>
      <c r="AW43" s="3">
        <f t="shared" si="20"/>
        <v>-4.2220637505816683</v>
      </c>
    </row>
    <row r="44" spans="21:69" x14ac:dyDescent="0.15">
      <c r="U44" s="14" t="s">
        <v>56</v>
      </c>
      <c r="V44" s="26"/>
      <c r="W44" s="49">
        <v>20</v>
      </c>
      <c r="X44" s="49">
        <v>4</v>
      </c>
      <c r="Y44" s="49">
        <v>2</v>
      </c>
      <c r="Z44" s="49">
        <v>-5</v>
      </c>
      <c r="AA44" s="49">
        <v>-8</v>
      </c>
      <c r="AB44" s="49">
        <v>-10</v>
      </c>
      <c r="AC44" s="49">
        <v>-15</v>
      </c>
      <c r="AD44" s="49">
        <v>-19</v>
      </c>
      <c r="AE44" s="39" t="s">
        <v>43</v>
      </c>
      <c r="AF44" s="53">
        <f>$W$6+W44</f>
        <v>81.797611511157953</v>
      </c>
      <c r="AG44" s="53">
        <f t="shared" ref="AG44:AM44" si="22">$W$6+X44</f>
        <v>65.797611511157953</v>
      </c>
      <c r="AH44" s="53">
        <f t="shared" si="22"/>
        <v>63.797611511157953</v>
      </c>
      <c r="AI44" s="53">
        <f t="shared" si="22"/>
        <v>56.797611511157953</v>
      </c>
      <c r="AJ44" s="53">
        <f t="shared" si="22"/>
        <v>53.797611511157953</v>
      </c>
      <c r="AK44" s="53">
        <f t="shared" si="22"/>
        <v>51.797611511157953</v>
      </c>
      <c r="AL44" s="53">
        <f t="shared" si="22"/>
        <v>46.797611511157953</v>
      </c>
      <c r="AM44" s="53">
        <f t="shared" si="22"/>
        <v>42.797611511157953</v>
      </c>
      <c r="AN44" s="5">
        <f t="array" ref="AN44">10*LOG10(SUM(10^(AF44:AM44/10)))</f>
        <v>81.997729875925586</v>
      </c>
      <c r="AO44" s="5">
        <f t="array" ref="AO44">10*LOG10(SUM(10^((AF44:AM44+AF46:AM46)/10)))</f>
        <v>61.847584495628681</v>
      </c>
      <c r="AP44" t="str">
        <f>IF(ABS(W6-AO44)&lt;0.5,"OK","Tarkista laskenta!")</f>
        <v>OK</v>
      </c>
    </row>
    <row r="46" spans="21:69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LINEST(Y59:Y65,X59:X65^{1,2})</f>
        <v>-1.3543588948920359E-2</v>
      </c>
      <c r="Y51" s="54">
        <v>2.7451535643955243</v>
      </c>
      <c r="Z51" s="54">
        <v>-23.631894379589269</v>
      </c>
    </row>
    <row r="52" spans="3:26" x14ac:dyDescent="0.15">
      <c r="W52" t="s">
        <v>9</v>
      </c>
      <c r="X52" s="54">
        <f t="array" ref="X52:Z52">LINEST(Y67:Y74,X67:X74^{1,2})</f>
        <v>2.3760486244052246E-4</v>
      </c>
      <c r="Y52" s="54">
        <v>0.64970759674500533</v>
      </c>
      <c r="Z52" s="54">
        <v>32.901471288224826</v>
      </c>
    </row>
    <row r="53" spans="3:26" x14ac:dyDescent="0.15">
      <c r="W53" t="s">
        <v>10</v>
      </c>
      <c r="X53" s="54">
        <f t="array" ref="X53:Z53">LINEST(Y76:Y82,X76:X82^{1,2})</f>
        <v>-1.3805580669731764E-3</v>
      </c>
      <c r="Y53" s="54">
        <v>0.47197019966020703</v>
      </c>
      <c r="Z53" s="54">
        <v>6.7211276190331919</v>
      </c>
    </row>
    <row r="54" spans="3:26" x14ac:dyDescent="0.15">
      <c r="W54" t="s">
        <v>12</v>
      </c>
      <c r="X54" s="54">
        <f t="array" ref="X54:Z54">LINEST(Y84:Y90,X84:X90^{1,2})</f>
        <v>2.5923496714234362E-3</v>
      </c>
      <c r="Y54" s="54">
        <v>-1.8306120187920719E-2</v>
      </c>
      <c r="Z54" s="54">
        <v>6.1005442040847928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107.87470909090911</v>
      </c>
      <c r="E59" s="68">
        <v>63.493905363116568</v>
      </c>
      <c r="F59" s="69">
        <v>115.5265385403938</v>
      </c>
      <c r="H59" t="s">
        <v>4</v>
      </c>
      <c r="I59" t="s">
        <v>5</v>
      </c>
      <c r="K59" s="24"/>
      <c r="M59" s="10" t="s">
        <v>3</v>
      </c>
      <c r="N59" s="67">
        <v>105.87988000000001</v>
      </c>
      <c r="O59" s="68">
        <v>74.153114524051219</v>
      </c>
      <c r="P59" s="69">
        <v>114.51147458167894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107.87470909090911</v>
      </c>
      <c r="Y59" s="20">
        <f>F59</f>
        <v>115.5265385403938</v>
      </c>
    </row>
    <row r="60" spans="3:26" x14ac:dyDescent="0.15">
      <c r="C60" s="12"/>
      <c r="D60" s="67">
        <v>100.38941818181817</v>
      </c>
      <c r="E60" s="68">
        <v>63.297960771432606</v>
      </c>
      <c r="F60" s="69">
        <v>115.61548841235609</v>
      </c>
      <c r="H60" s="2">
        <f t="array" ref="H60:I60">LINEST(E59:E62,D59:D62)</f>
        <v>-2.8460911121789619E-2</v>
      </c>
      <c r="I60" s="2">
        <v>66.421618083987838</v>
      </c>
      <c r="K60" s="24"/>
      <c r="M60" s="12"/>
      <c r="N60" s="67">
        <v>93.874200000000016</v>
      </c>
      <c r="O60" s="68">
        <v>74.019684338213324</v>
      </c>
      <c r="P60" s="69">
        <v>114.59145317497428</v>
      </c>
      <c r="R60" s="2">
        <f t="array" ref="R60:T60">LINEST(O59:O62,N59:N62^{1,2})</f>
        <v>1.6442760010941017E-4</v>
      </c>
      <c r="S60" s="2">
        <v>-4.0116730499039355E-2</v>
      </c>
      <c r="T60" s="27">
        <v>76.490998551554824</v>
      </c>
      <c r="W60" s="12"/>
      <c r="X60" s="17">
        <f t="shared" ref="X60" si="23">D60</f>
        <v>100.38941818181817</v>
      </c>
      <c r="Y60" s="13">
        <f>F60</f>
        <v>115.61548841235609</v>
      </c>
    </row>
    <row r="61" spans="3:26" x14ac:dyDescent="0.15">
      <c r="C61" s="12"/>
      <c r="D61" s="67">
        <v>81.448654545454545</v>
      </c>
      <c r="E61" s="68">
        <v>64.272693827427119</v>
      </c>
      <c r="F61" s="69">
        <v>105.53121203262157</v>
      </c>
      <c r="K61" s="24"/>
      <c r="M61" s="12"/>
      <c r="N61" s="67">
        <v>78.199472727272749</v>
      </c>
      <c r="O61" s="68">
        <v>74.473808384522599</v>
      </c>
      <c r="P61" s="69">
        <v>107.97492327537397</v>
      </c>
      <c r="T61" s="24"/>
      <c r="W61" s="12"/>
      <c r="X61" s="17">
        <f>D62</f>
        <v>53.089945454545457</v>
      </c>
      <c r="Y61" s="13">
        <f>F62</f>
        <v>82.467336854174889</v>
      </c>
    </row>
    <row r="62" spans="3:26" x14ac:dyDescent="0.15">
      <c r="C62" s="14"/>
      <c r="D62" s="67">
        <v>53.089945454545457</v>
      </c>
      <c r="E62" s="68">
        <v>64.865434420758902</v>
      </c>
      <c r="F62" s="69">
        <v>82.467336854174889</v>
      </c>
      <c r="K62" s="24"/>
      <c r="M62" s="14"/>
      <c r="N62" s="67">
        <v>56.082470000000015</v>
      </c>
      <c r="O62" s="68">
        <v>74.731939131631037</v>
      </c>
      <c r="P62" s="69">
        <v>89.453528617995275</v>
      </c>
      <c r="T62" s="24"/>
      <c r="W62" s="12"/>
      <c r="X62" s="17">
        <f>N59</f>
        <v>105.87988000000001</v>
      </c>
      <c r="Y62" s="13">
        <f>P59</f>
        <v>114.51147458167894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N60</f>
        <v>93.874200000000016</v>
      </c>
      <c r="Y63" s="13">
        <f>P60</f>
        <v>114.59145317497428</v>
      </c>
    </row>
    <row r="64" spans="3:26" x14ac:dyDescent="0.15">
      <c r="C64" s="10" t="s">
        <v>30</v>
      </c>
      <c r="D64" s="67">
        <v>101.3108</v>
      </c>
      <c r="E64" s="68">
        <v>61.793578745932216</v>
      </c>
      <c r="F64" s="69">
        <v>98.884138967030296</v>
      </c>
      <c r="H64" t="s">
        <v>4</v>
      </c>
      <c r="I64" t="s">
        <v>5</v>
      </c>
      <c r="K64" s="24"/>
      <c r="M64" s="10" t="s">
        <v>30</v>
      </c>
      <c r="N64" s="67">
        <v>102.35830999999999</v>
      </c>
      <c r="O64" s="68">
        <v>73.498378980241881</v>
      </c>
      <c r="P64" s="69">
        <v>105.13583741824799</v>
      </c>
      <c r="R64" t="s">
        <v>4</v>
      </c>
      <c r="S64" t="s">
        <v>5</v>
      </c>
      <c r="T64" s="24" t="s">
        <v>6</v>
      </c>
      <c r="W64" s="12"/>
      <c r="X64" s="17">
        <f>N61</f>
        <v>78.199472727272749</v>
      </c>
      <c r="Y64" s="13">
        <f>P61</f>
        <v>107.97492327537397</v>
      </c>
    </row>
    <row r="65" spans="3:25" x14ac:dyDescent="0.15">
      <c r="C65" s="12"/>
      <c r="D65" s="67">
        <v>91.942481818181818</v>
      </c>
      <c r="E65" s="68">
        <v>61.699170450617359</v>
      </c>
      <c r="F65" s="69">
        <v>90.840740895422627</v>
      </c>
      <c r="H65" s="2">
        <f t="array" ref="H65:I65">LINEST(E64:E67,D64:D67)</f>
        <v>-3.39532370790682E-3</v>
      </c>
      <c r="I65" s="2">
        <v>62.011221756405455</v>
      </c>
      <c r="K65" s="24"/>
      <c r="M65" s="12"/>
      <c r="N65" s="67">
        <v>86.961870000000005</v>
      </c>
      <c r="O65" s="68">
        <v>72.346734218995607</v>
      </c>
      <c r="P65" s="69">
        <v>94.442699474731185</v>
      </c>
      <c r="R65" s="2">
        <f t="array" ref="R65:T65">LINEST(O64:O67,N64:N67^{1,2})</f>
        <v>9.235080960323267E-4</v>
      </c>
      <c r="S65" s="2">
        <v>-0.13111430655115566</v>
      </c>
      <c r="T65" s="27">
        <v>77.116492793233164</v>
      </c>
      <c r="W65" s="14"/>
      <c r="X65" s="18">
        <f>N62</f>
        <v>56.082470000000015</v>
      </c>
      <c r="Y65" s="15">
        <f>P62</f>
        <v>89.453528617995275</v>
      </c>
    </row>
    <row r="66" spans="3:25" x14ac:dyDescent="0.15">
      <c r="C66" s="12"/>
      <c r="D66" s="67">
        <v>73.066327272727278</v>
      </c>
      <c r="E66" s="68">
        <v>61.499502073968259</v>
      </c>
      <c r="F66" s="69">
        <v>77.408747968745246</v>
      </c>
      <c r="K66" s="24"/>
      <c r="M66" s="12"/>
      <c r="N66" s="67">
        <v>71.166445454545453</v>
      </c>
      <c r="O66" s="68">
        <v>72.760088595110957</v>
      </c>
      <c r="P66" s="69">
        <v>84.026670350589114</v>
      </c>
      <c r="T66" s="24"/>
      <c r="W66" s="12"/>
      <c r="X66" s="16" t="s">
        <v>13</v>
      </c>
      <c r="Y66" s="11" t="s">
        <v>49</v>
      </c>
    </row>
    <row r="67" spans="3:25" x14ac:dyDescent="0.15">
      <c r="C67" s="14"/>
      <c r="D67" s="67">
        <v>47.035418181818187</v>
      </c>
      <c r="E67" s="68">
        <v>61.988694002013098</v>
      </c>
      <c r="F67" s="69">
        <v>60.596137104000228</v>
      </c>
      <c r="K67" s="24"/>
      <c r="M67" s="14"/>
      <c r="N67" s="67">
        <v>48.991949999999996</v>
      </c>
      <c r="O67" s="68">
        <v>72.837280093152657</v>
      </c>
      <c r="P67" s="69">
        <v>68.8379859505214</v>
      </c>
      <c r="T67" s="24"/>
      <c r="W67" s="10" t="s">
        <v>9</v>
      </c>
      <c r="X67" s="19">
        <f>D64</f>
        <v>101.3108</v>
      </c>
      <c r="Y67" s="20">
        <f>F64</f>
        <v>98.884138967030296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2"/>
      <c r="X68" s="17">
        <f t="shared" ref="X68:X69" si="24">D65</f>
        <v>91.942481818181818</v>
      </c>
      <c r="Y68" s="13">
        <f t="shared" ref="Y68:Y69" si="25">F65</f>
        <v>90.840740895422627</v>
      </c>
    </row>
    <row r="69" spans="3:25" x14ac:dyDescent="0.15">
      <c r="C69" s="10" t="s">
        <v>10</v>
      </c>
      <c r="D69" s="67">
        <v>65.452754545454553</v>
      </c>
      <c r="E69" s="68">
        <v>52.868290053988929</v>
      </c>
      <c r="F69" s="69">
        <v>31.212721729490024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64.71593</v>
      </c>
      <c r="O69" s="68">
        <v>63.976360137079489</v>
      </c>
      <c r="P69" s="69">
        <v>31.955364545733858</v>
      </c>
      <c r="R69" t="s">
        <v>4</v>
      </c>
      <c r="S69" t="s">
        <v>5</v>
      </c>
      <c r="T69" s="24" t="s">
        <v>6</v>
      </c>
      <c r="W69" s="12"/>
      <c r="X69" s="17">
        <f t="shared" si="24"/>
        <v>73.066327272727278</v>
      </c>
      <c r="Y69" s="13">
        <f t="shared" si="25"/>
        <v>77.408747968745246</v>
      </c>
    </row>
    <row r="70" spans="3:25" x14ac:dyDescent="0.15">
      <c r="C70" s="12"/>
      <c r="D70" s="67">
        <v>57.993681818181834</v>
      </c>
      <c r="E70" s="68">
        <v>52.712110718059428</v>
      </c>
      <c r="F70" s="69">
        <v>28.459703322904957</v>
      </c>
      <c r="H70" s="2">
        <f t="array" ref="H70:J70">LINEST(E69:E72,D69:D72^{1,2})</f>
        <v>1.2182598011191148E-3</v>
      </c>
      <c r="I70" s="2">
        <v>-0.13873179543764957</v>
      </c>
      <c r="J70" s="2">
        <v>56.706343343074344</v>
      </c>
      <c r="K70" s="24"/>
      <c r="M70" s="12"/>
      <c r="N70" s="67">
        <v>56.397649999999999</v>
      </c>
      <c r="O70" s="68">
        <v>63.699748362510455</v>
      </c>
      <c r="P70" s="69">
        <v>30.238845390907304</v>
      </c>
      <c r="R70" s="2">
        <f t="array" ref="R70:T70">LINEST(O69:O72,N69:N72^{1,2})</f>
        <v>6.8252849511760822E-4</v>
      </c>
      <c r="S70" s="2">
        <v>-3.1472385145352687E-2</v>
      </c>
      <c r="T70" s="27">
        <v>63.200953036992672</v>
      </c>
      <c r="W70" s="12"/>
      <c r="X70" s="17">
        <f>D67</f>
        <v>47.035418181818187</v>
      </c>
      <c r="Y70" s="13">
        <f>F67</f>
        <v>60.596137104000228</v>
      </c>
    </row>
    <row r="71" spans="3:25" x14ac:dyDescent="0.15">
      <c r="C71" s="12"/>
      <c r="D71" s="67">
        <v>44.934218181818181</v>
      </c>
      <c r="E71" s="68">
        <v>52.963067261199228</v>
      </c>
      <c r="F71" s="69">
        <v>23.590297436442608</v>
      </c>
      <c r="K71" s="24"/>
      <c r="M71" s="12"/>
      <c r="N71" s="67">
        <v>44.364674999999998</v>
      </c>
      <c r="O71" s="68">
        <v>63.071506226769486</v>
      </c>
      <c r="P71" s="69">
        <v>24.543088740881917</v>
      </c>
      <c r="T71" s="24"/>
      <c r="W71" s="12"/>
      <c r="X71" s="17">
        <f>N64</f>
        <v>102.35830999999999</v>
      </c>
      <c r="Y71" s="13">
        <f>P64</f>
        <v>105.13583741824799</v>
      </c>
    </row>
    <row r="72" spans="3:25" x14ac:dyDescent="0.15">
      <c r="C72" s="14"/>
      <c r="D72" s="67">
        <v>29.378409090909091</v>
      </c>
      <c r="E72" s="68">
        <v>53.674108156872919</v>
      </c>
      <c r="F72" s="69">
        <v>18.71431127175531</v>
      </c>
      <c r="K72" s="24"/>
      <c r="M72" s="14"/>
      <c r="N72" s="67">
        <v>29.709320000000002</v>
      </c>
      <c r="O72" s="68">
        <v>62.888425314827082</v>
      </c>
      <c r="P72" s="69">
        <v>20.317309915841626</v>
      </c>
      <c r="T72" s="24"/>
      <c r="W72" s="12"/>
      <c r="X72" s="17">
        <f>N65</f>
        <v>86.961870000000005</v>
      </c>
      <c r="Y72" s="13">
        <f>P65</f>
        <v>94.442699474731185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71.166445454545453</v>
      </c>
      <c r="Y73" s="13">
        <f>P66</f>
        <v>84.026670350589114</v>
      </c>
    </row>
    <row r="74" spans="3:25" x14ac:dyDescent="0.15">
      <c r="C74" s="10" t="s">
        <v>12</v>
      </c>
      <c r="D74" s="67">
        <v>34.816809090909096</v>
      </c>
      <c r="E74" s="68">
        <v>42.366259498052571</v>
      </c>
      <c r="F74" s="69">
        <v>8.57527594617628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35.238360000000007</v>
      </c>
      <c r="O74" s="68">
        <v>51.518710353097447</v>
      </c>
      <c r="P74" s="69">
        <v>8.7614555456006471</v>
      </c>
      <c r="R74" t="s">
        <v>4</v>
      </c>
      <c r="S74" t="s">
        <v>5</v>
      </c>
      <c r="T74" s="24" t="s">
        <v>6</v>
      </c>
      <c r="W74" s="14"/>
      <c r="X74" s="18">
        <f>N67</f>
        <v>48.991949999999996</v>
      </c>
      <c r="Y74" s="15">
        <f>P67</f>
        <v>68.8379859505214</v>
      </c>
    </row>
    <row r="75" spans="3:25" x14ac:dyDescent="0.15">
      <c r="C75" s="12"/>
      <c r="D75" s="67">
        <v>30.149972727272729</v>
      </c>
      <c r="E75" s="68">
        <v>42.107331253167118</v>
      </c>
      <c r="F75" s="69">
        <v>7.4900016895483406</v>
      </c>
      <c r="H75" s="2">
        <f t="array" ref="H75:J75">LINEST(E74:E77,D74:D77^{1,2})</f>
        <v>-3.9836603844324789E-3</v>
      </c>
      <c r="I75" s="2">
        <v>0.31070328209938664</v>
      </c>
      <c r="J75" s="2">
        <v>36.37271682116932</v>
      </c>
      <c r="K75" s="24"/>
      <c r="M75" s="12"/>
      <c r="N75" s="67">
        <v>30.224881818181821</v>
      </c>
      <c r="O75" s="68">
        <v>51.287101111206105</v>
      </c>
      <c r="P75" s="69">
        <v>8.1736959880407234</v>
      </c>
      <c r="R75" s="2">
        <f t="array" ref="R75:T75">LINEST(O74:O77,N74:N77^{1,2})</f>
        <v>-2.601327092242099E-3</v>
      </c>
      <c r="S75" s="2">
        <v>0.15980211313381038</v>
      </c>
      <c r="T75" s="27">
        <v>49.036304137435344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24.396954545454545</v>
      </c>
      <c r="E76" s="68">
        <v>41.590965679616225</v>
      </c>
      <c r="F76" s="69">
        <v>6.8879062319654958</v>
      </c>
      <c r="K76" s="24"/>
      <c r="M76" s="12"/>
      <c r="N76" s="67">
        <v>24.517433333333333</v>
      </c>
      <c r="O76" s="68">
        <v>51.541325939689521</v>
      </c>
      <c r="P76" s="69">
        <v>7.6407882843044428</v>
      </c>
      <c r="T76" s="24"/>
      <c r="W76" s="10" t="s">
        <v>10</v>
      </c>
      <c r="X76" s="19">
        <f>D69</f>
        <v>65.452754545454553</v>
      </c>
      <c r="Y76" s="20">
        <f>F69</f>
        <v>31.212721729490024</v>
      </c>
    </row>
    <row r="77" spans="3:25" x14ac:dyDescent="0.15">
      <c r="C77" s="14"/>
      <c r="D77" s="70">
        <v>16.460336363636365</v>
      </c>
      <c r="E77" s="71">
        <v>40.405469839560325</v>
      </c>
      <c r="F77" s="72">
        <v>6.1089657970871434</v>
      </c>
      <c r="G77" s="25"/>
      <c r="H77" s="25"/>
      <c r="I77" s="25"/>
      <c r="J77" s="25"/>
      <c r="K77" s="26"/>
      <c r="M77" s="14"/>
      <c r="N77" s="70">
        <v>14.840427272727274</v>
      </c>
      <c r="O77" s="71">
        <v>50.805528934021993</v>
      </c>
      <c r="P77" s="72">
        <v>6.3783448520588015</v>
      </c>
      <c r="Q77" s="25"/>
      <c r="R77" s="25"/>
      <c r="S77" s="25"/>
      <c r="T77" s="26"/>
      <c r="W77" s="12"/>
      <c r="X77" s="17">
        <f t="shared" ref="X77" si="26">D70</f>
        <v>57.993681818181834</v>
      </c>
      <c r="Y77" s="13">
        <f>F70</f>
        <v>28.459703322904957</v>
      </c>
    </row>
    <row r="78" spans="3:25" x14ac:dyDescent="0.15">
      <c r="W78" s="12"/>
      <c r="X78" s="17">
        <f>D72</f>
        <v>29.378409090909091</v>
      </c>
      <c r="Y78" s="13">
        <f>F72</f>
        <v>18.71431127175531</v>
      </c>
    </row>
    <row r="79" spans="3:25" x14ac:dyDescent="0.15">
      <c r="F79" s="5"/>
      <c r="W79" s="12"/>
      <c r="X79" s="17">
        <f>N69</f>
        <v>64.71593</v>
      </c>
      <c r="Y79" s="13">
        <f>P69</f>
        <v>31.955364545733858</v>
      </c>
    </row>
    <row r="80" spans="3:25" x14ac:dyDescent="0.15">
      <c r="F80" s="5"/>
      <c r="W80" s="12"/>
      <c r="X80" s="17">
        <f>N70</f>
        <v>56.397649999999999</v>
      </c>
      <c r="Y80" s="13">
        <f>P70</f>
        <v>30.238845390907304</v>
      </c>
    </row>
    <row r="81" spans="6:25" x14ac:dyDescent="0.15">
      <c r="F81" s="5"/>
      <c r="W81" s="12"/>
      <c r="X81" s="17">
        <f>N71</f>
        <v>44.364674999999998</v>
      </c>
      <c r="Y81" s="13">
        <f>P71</f>
        <v>24.543088740881917</v>
      </c>
    </row>
    <row r="82" spans="6:25" x14ac:dyDescent="0.15">
      <c r="F82" s="5"/>
      <c r="W82" s="14"/>
      <c r="X82" s="18">
        <f>N72</f>
        <v>29.709320000000002</v>
      </c>
      <c r="Y82" s="15">
        <f>P72</f>
        <v>20.317309915841626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34.816809090909096</v>
      </c>
      <c r="Y84" s="20">
        <f>F74</f>
        <v>8.57527594617628</v>
      </c>
    </row>
    <row r="85" spans="6:25" x14ac:dyDescent="0.15">
      <c r="W85" s="12"/>
      <c r="X85" s="17">
        <f>D75</f>
        <v>30.149972727272729</v>
      </c>
      <c r="Y85" s="13">
        <f>F75</f>
        <v>7.4900016895483406</v>
      </c>
    </row>
    <row r="86" spans="6:25" x14ac:dyDescent="0.15">
      <c r="W86" s="12"/>
      <c r="X86" s="17">
        <f>D76</f>
        <v>24.396954545454545</v>
      </c>
      <c r="Y86" s="13">
        <f>F76</f>
        <v>6.8879062319654958</v>
      </c>
    </row>
    <row r="87" spans="6:25" x14ac:dyDescent="0.15">
      <c r="F87" s="5"/>
      <c r="W87" s="12"/>
      <c r="X87" s="17">
        <f>N74</f>
        <v>35.238360000000007</v>
      </c>
      <c r="Y87" s="13">
        <f>P74</f>
        <v>8.7614555456006471</v>
      </c>
    </row>
    <row r="88" spans="6:25" x14ac:dyDescent="0.15">
      <c r="F88" s="5"/>
      <c r="L88" t="s">
        <v>101</v>
      </c>
      <c r="W88" s="12"/>
      <c r="X88" s="17">
        <f>N75</f>
        <v>30.224881818181821</v>
      </c>
      <c r="Y88" s="13">
        <f>P75</f>
        <v>8.1736959880407234</v>
      </c>
    </row>
    <row r="89" spans="6:25" x14ac:dyDescent="0.15">
      <c r="F89" s="5"/>
      <c r="W89" s="12"/>
      <c r="X89" s="17">
        <f>N76</f>
        <v>24.517433333333333</v>
      </c>
      <c r="Y89" s="13">
        <f>P76</f>
        <v>7.6407882843044428</v>
      </c>
    </row>
    <row r="90" spans="6:25" x14ac:dyDescent="0.15">
      <c r="F90" s="5"/>
      <c r="W90" s="14"/>
      <c r="X90" s="18">
        <f>N77</f>
        <v>14.840427272727274</v>
      </c>
      <c r="Y90" s="15">
        <f>P77</f>
        <v>6.3783448520588015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65238-7B93-49FF-AAA6-5EFDF576277B}">
  <dimension ref="A1:L34"/>
  <sheetViews>
    <sheetView workbookViewId="0">
      <selection activeCell="R20" sqref="R20"/>
    </sheetView>
  </sheetViews>
  <sheetFormatPr baseColWidth="10" defaultColWidth="8.83203125" defaultRowHeight="13" x14ac:dyDescent="0.15"/>
  <cols>
    <col min="2" max="2" width="44.6640625" customWidth="1"/>
    <col min="8" max="8" width="10" customWidth="1"/>
  </cols>
  <sheetData>
    <row r="1" spans="1:11" x14ac:dyDescent="0.15">
      <c r="A1" s="39" t="s">
        <v>362</v>
      </c>
    </row>
    <row r="4" spans="1:11" x14ac:dyDescent="0.15">
      <c r="B4" s="2" t="s">
        <v>363</v>
      </c>
    </row>
    <row r="6" spans="1:11" ht="15" x14ac:dyDescent="0.15">
      <c r="B6" t="s">
        <v>289</v>
      </c>
      <c r="C6" s="4">
        <f>'R-series ENT'!G33</f>
        <v>34.722222222222221</v>
      </c>
      <c r="D6" s="4" t="s">
        <v>72</v>
      </c>
      <c r="E6" s="4"/>
      <c r="F6" s="4"/>
      <c r="G6" s="4"/>
      <c r="H6" s="4"/>
      <c r="I6" s="4"/>
      <c r="J6" s="4"/>
      <c r="K6" s="4"/>
    </row>
    <row r="7" spans="1:11" x14ac:dyDescent="0.15">
      <c r="B7" t="s">
        <v>364</v>
      </c>
      <c r="C7" s="4">
        <f>'R-series ENT'!G39</f>
        <v>90</v>
      </c>
      <c r="D7" s="4" t="s">
        <v>14</v>
      </c>
      <c r="E7" s="4"/>
      <c r="F7" s="4"/>
      <c r="G7" s="4"/>
      <c r="H7" s="4"/>
      <c r="I7" s="4"/>
      <c r="J7" s="4"/>
      <c r="K7" s="4"/>
    </row>
    <row r="8" spans="1:11" x14ac:dyDescent="0.15">
      <c r="B8" t="s">
        <v>365</v>
      </c>
      <c r="C8" s="4">
        <f>'R-series ENT'!G42</f>
        <v>4.6737857613449663</v>
      </c>
      <c r="D8" s="4" t="s">
        <v>25</v>
      </c>
      <c r="E8" s="4"/>
      <c r="F8" s="4"/>
      <c r="G8" s="4"/>
      <c r="H8" s="4"/>
      <c r="I8" s="4"/>
      <c r="J8" s="4"/>
      <c r="K8" s="4"/>
    </row>
    <row r="9" spans="1:11" x14ac:dyDescent="0.15">
      <c r="C9" s="4"/>
      <c r="D9" s="4"/>
      <c r="E9" s="4"/>
      <c r="F9" s="4"/>
      <c r="G9" s="4"/>
      <c r="H9" s="4"/>
      <c r="I9" s="4"/>
      <c r="J9" s="4"/>
      <c r="K9" s="4"/>
    </row>
    <row r="10" spans="1:11" x14ac:dyDescent="0.15">
      <c r="B10" s="2" t="s">
        <v>368</v>
      </c>
      <c r="C10" s="4"/>
      <c r="D10" s="4"/>
      <c r="E10" s="4"/>
      <c r="F10" s="4"/>
      <c r="G10" s="4"/>
      <c r="H10" s="4"/>
      <c r="I10" s="4"/>
      <c r="J10" s="4"/>
      <c r="K10" s="4"/>
    </row>
    <row r="11" spans="1:11" x14ac:dyDescent="0.15">
      <c r="B11" s="2" t="s">
        <v>369</v>
      </c>
      <c r="C11" s="104" t="s">
        <v>4</v>
      </c>
      <c r="D11" s="104" t="s">
        <v>5</v>
      </c>
      <c r="E11" s="4"/>
      <c r="F11" s="4"/>
      <c r="G11" s="4"/>
      <c r="H11" s="4"/>
      <c r="I11" s="4"/>
      <c r="J11" s="4"/>
      <c r="K11" s="4"/>
    </row>
    <row r="12" spans="1:11" ht="17" x14ac:dyDescent="0.25">
      <c r="B12" t="s">
        <v>370</v>
      </c>
      <c r="C12" s="5">
        <v>22.944657855695581</v>
      </c>
      <c r="D12" s="5">
        <v>22.011112500835296</v>
      </c>
      <c r="E12" s="82" t="s">
        <v>375</v>
      </c>
      <c r="F12" s="5">
        <f>$C$12*LN($C$8)+$D$12</f>
        <v>57.391072780513916</v>
      </c>
      <c r="G12" s="4" t="s">
        <v>31</v>
      </c>
      <c r="H12" s="4"/>
      <c r="I12" s="4"/>
      <c r="J12" s="4"/>
      <c r="K12" s="4"/>
    </row>
    <row r="13" spans="1:11" x14ac:dyDescent="0.15">
      <c r="C13" s="4"/>
      <c r="D13" s="4"/>
      <c r="E13" s="4"/>
      <c r="F13" s="4"/>
      <c r="G13" s="4"/>
      <c r="H13" s="4"/>
      <c r="I13" s="4"/>
      <c r="J13" s="4"/>
      <c r="K13" s="4"/>
    </row>
    <row r="14" spans="1:11" x14ac:dyDescent="0.15">
      <c r="B14" s="2" t="s">
        <v>373</v>
      </c>
      <c r="C14" s="104" t="s">
        <v>4</v>
      </c>
      <c r="D14" s="104" t="s">
        <v>5</v>
      </c>
      <c r="E14" s="4"/>
      <c r="F14" s="4"/>
      <c r="G14" s="4"/>
      <c r="H14" s="4"/>
      <c r="I14" s="4"/>
      <c r="J14" s="4"/>
      <c r="K14" s="4"/>
    </row>
    <row r="15" spans="1:11" ht="17" x14ac:dyDescent="0.25">
      <c r="B15" t="s">
        <v>374</v>
      </c>
      <c r="C15" s="4">
        <v>0.977199807616978</v>
      </c>
      <c r="D15" s="4">
        <v>60.969790372343709</v>
      </c>
      <c r="E15" s="82" t="s">
        <v>375</v>
      </c>
      <c r="F15" s="5">
        <f>$C$15*$C$8+$D$15</f>
        <v>65.53701291917298</v>
      </c>
      <c r="G15" s="4" t="s">
        <v>31</v>
      </c>
      <c r="H15" s="4"/>
      <c r="I15" s="4"/>
      <c r="J15" s="4"/>
      <c r="K15" s="4"/>
    </row>
    <row r="16" spans="1:11" x14ac:dyDescent="0.15">
      <c r="C16" s="4"/>
      <c r="D16" s="4"/>
      <c r="E16" s="4"/>
      <c r="F16" s="4"/>
      <c r="G16" s="4"/>
      <c r="H16" s="4"/>
      <c r="I16" s="4"/>
      <c r="J16" s="4"/>
      <c r="K16" s="4"/>
    </row>
    <row r="17" spans="2:12" x14ac:dyDescent="0.15">
      <c r="B17" s="2" t="s">
        <v>381</v>
      </c>
      <c r="C17" s="104" t="s">
        <v>27</v>
      </c>
      <c r="D17" s="6">
        <f>IF(C8&lt;=7.5,F12,F15)</f>
        <v>57.391072780513916</v>
      </c>
      <c r="E17" s="104" t="s">
        <v>31</v>
      </c>
      <c r="F17" s="4"/>
      <c r="G17" s="4"/>
      <c r="H17" s="4"/>
      <c r="I17" s="4"/>
      <c r="J17" s="4"/>
      <c r="K17" s="4"/>
    </row>
    <row r="19" spans="2:12" x14ac:dyDescent="0.15">
      <c r="C19" s="4"/>
      <c r="D19" s="4"/>
      <c r="H19" s="1849" t="s">
        <v>386</v>
      </c>
      <c r="I19" s="1850"/>
      <c r="J19" s="128"/>
      <c r="K19" s="276"/>
      <c r="L19" s="277"/>
    </row>
    <row r="20" spans="2:12" x14ac:dyDescent="0.15">
      <c r="B20" s="2" t="s">
        <v>382</v>
      </c>
      <c r="C20" s="4"/>
      <c r="D20" s="4"/>
      <c r="H20" s="1851" t="s">
        <v>387</v>
      </c>
      <c r="I20" s="1852"/>
      <c r="J20" s="4" t="s">
        <v>371</v>
      </c>
      <c r="K20" s="4" t="s">
        <v>367</v>
      </c>
      <c r="L20" s="153" t="s">
        <v>372</v>
      </c>
    </row>
    <row r="21" spans="2:12" x14ac:dyDescent="0.15">
      <c r="B21" t="s">
        <v>366</v>
      </c>
      <c r="C21" s="4">
        <f>'Laskenta poistopuoli 60_ENT'!U29</f>
        <v>7.4649599999999997E-2</v>
      </c>
      <c r="D21" s="4"/>
      <c r="H21" s="1853" t="s">
        <v>388</v>
      </c>
      <c r="I21" s="1854"/>
      <c r="J21" s="208">
        <v>0.30199999999999999</v>
      </c>
      <c r="K21" s="208">
        <v>5.0999999999999997E-2</v>
      </c>
      <c r="L21" s="11">
        <v>1.3100000000000001E-2</v>
      </c>
    </row>
    <row r="22" spans="2:12" x14ac:dyDescent="0.15">
      <c r="B22" t="s">
        <v>389</v>
      </c>
      <c r="C22" s="4">
        <f>SQRT(C21)</f>
        <v>0.27322078983854797</v>
      </c>
      <c r="D22" s="4"/>
      <c r="H22" s="1855" t="s">
        <v>389</v>
      </c>
      <c r="I22" s="1856"/>
      <c r="J22" s="102">
        <f>SQRT(J21)</f>
        <v>0.54954526656136349</v>
      </c>
      <c r="K22" s="102">
        <f t="shared" ref="K22:L22" si="0">SQRT(K21)</f>
        <v>0.22583179581272428</v>
      </c>
      <c r="L22" s="103">
        <f t="shared" si="0"/>
        <v>0.11445523142259598</v>
      </c>
    </row>
    <row r="23" spans="2:12" x14ac:dyDescent="0.15">
      <c r="H23" s="1855" t="s">
        <v>383</v>
      </c>
      <c r="I23" s="1856"/>
      <c r="J23" s="50">
        <v>-2.4</v>
      </c>
      <c r="K23" s="50">
        <v>0</v>
      </c>
      <c r="L23" s="48">
        <v>1</v>
      </c>
    </row>
    <row r="24" spans="2:12" x14ac:dyDescent="0.15">
      <c r="C24" s="4" t="s">
        <v>4</v>
      </c>
      <c r="D24" s="4" t="s">
        <v>5</v>
      </c>
    </row>
    <row r="25" spans="2:12" x14ac:dyDescent="0.15">
      <c r="B25" t="s">
        <v>380</v>
      </c>
      <c r="C25" s="4">
        <f t="array" ref="C25:D25">LINEST(J23:L23,J22:L22)</f>
        <v>-7.7246547675588397</v>
      </c>
      <c r="D25" s="4">
        <v>1.8245490902014569</v>
      </c>
      <c r="E25" s="39" t="s">
        <v>375</v>
      </c>
      <c r="F25" s="274">
        <f>C25*C22+D25</f>
        <v>-0.28598718662107436</v>
      </c>
      <c r="G25" s="104" t="s">
        <v>31</v>
      </c>
    </row>
    <row r="27" spans="2:12" ht="17" x14ac:dyDescent="0.25">
      <c r="B27" s="2" t="s">
        <v>384</v>
      </c>
      <c r="C27" s="104" t="s">
        <v>385</v>
      </c>
      <c r="D27" s="6">
        <f>D17+F25</f>
        <v>57.105085593892845</v>
      </c>
      <c r="E27" s="104" t="s">
        <v>31</v>
      </c>
    </row>
    <row r="30" spans="2:12" x14ac:dyDescent="0.15">
      <c r="B30" s="2" t="s">
        <v>377</v>
      </c>
      <c r="C30" s="275">
        <v>63</v>
      </c>
      <c r="D30" s="275">
        <v>125</v>
      </c>
      <c r="E30" s="275">
        <v>250</v>
      </c>
      <c r="F30" s="275">
        <v>500</v>
      </c>
      <c r="G30" s="275">
        <v>1000</v>
      </c>
      <c r="H30" s="275">
        <v>2000</v>
      </c>
      <c r="I30" s="275">
        <v>4000</v>
      </c>
      <c r="J30" s="275">
        <v>8000</v>
      </c>
      <c r="K30" t="s">
        <v>391</v>
      </c>
      <c r="L30" t="s">
        <v>378</v>
      </c>
    </row>
    <row r="31" spans="2:12" x14ac:dyDescent="0.15">
      <c r="B31" t="s">
        <v>376</v>
      </c>
      <c r="C31" s="4">
        <v>13</v>
      </c>
      <c r="D31" s="4">
        <v>8</v>
      </c>
      <c r="E31" s="4">
        <v>4</v>
      </c>
      <c r="F31" s="4">
        <v>-3</v>
      </c>
      <c r="G31" s="4">
        <v>-6</v>
      </c>
      <c r="H31" s="4">
        <v>-15</v>
      </c>
      <c r="I31" s="4">
        <v>-26</v>
      </c>
      <c r="J31" s="4">
        <v>-34</v>
      </c>
    </row>
    <row r="32" spans="2:12" x14ac:dyDescent="0.15">
      <c r="B32" t="s">
        <v>379</v>
      </c>
      <c r="C32" s="108">
        <f>ROUND($D$27+C31,0)</f>
        <v>70</v>
      </c>
      <c r="D32" s="108">
        <f t="shared" ref="D32:J32" si="1">ROUND($D$27+D31,0)</f>
        <v>65</v>
      </c>
      <c r="E32" s="108">
        <f t="shared" si="1"/>
        <v>61</v>
      </c>
      <c r="F32" s="108">
        <f t="shared" si="1"/>
        <v>54</v>
      </c>
      <c r="G32" s="108">
        <f t="shared" si="1"/>
        <v>51</v>
      </c>
      <c r="H32" s="108">
        <f t="shared" si="1"/>
        <v>42</v>
      </c>
      <c r="I32" s="108">
        <f t="shared" si="1"/>
        <v>31</v>
      </c>
      <c r="J32" s="108">
        <f t="shared" si="1"/>
        <v>23</v>
      </c>
      <c r="K32" s="5">
        <f t="array" ref="K32">10*LOG10(SUM(10^(C32:J32/10)))</f>
        <v>71.707189991030333</v>
      </c>
      <c r="L32" s="5">
        <f t="array" ref="L32">10*LOG10(SUM(10^((C32:J32+$C$34:$J$34)/10)))</f>
        <v>57.357145188304898</v>
      </c>
    </row>
    <row r="34" spans="2:11" x14ac:dyDescent="0.15">
      <c r="B34" t="s">
        <v>185</v>
      </c>
      <c r="C34" s="4">
        <v>-26.2</v>
      </c>
      <c r="D34" s="4">
        <v>-16.100000000000001</v>
      </c>
      <c r="E34" s="4">
        <v>-8.6</v>
      </c>
      <c r="F34" s="4">
        <v>-3.2</v>
      </c>
      <c r="G34" s="4">
        <v>0</v>
      </c>
      <c r="H34" s="4">
        <v>1.2</v>
      </c>
      <c r="I34" s="4">
        <v>1</v>
      </c>
      <c r="J34" s="4">
        <v>-1.1000000000000001</v>
      </c>
      <c r="K34" s="4"/>
    </row>
  </sheetData>
  <mergeCells count="5">
    <mergeCell ref="H19:I19"/>
    <mergeCell ref="H20:I20"/>
    <mergeCell ref="H21:I21"/>
    <mergeCell ref="H22:I22"/>
    <mergeCell ref="H23:I23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E0D24-4E4C-4AC7-A8DA-8B8A5296C217}">
  <dimension ref="B3:W49"/>
  <sheetViews>
    <sheetView workbookViewId="0">
      <selection activeCell="R20" sqref="R20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>
        <f>Tulokset_ENT!E23</f>
        <v>4.8722550824769089</v>
      </c>
      <c r="D4" t="s">
        <v>25</v>
      </c>
    </row>
    <row r="5" spans="2:7" x14ac:dyDescent="0.15">
      <c r="B5" t="s">
        <v>8</v>
      </c>
      <c r="C5" s="3">
        <f>Tulokset_ENT!H23</f>
        <v>4.6737857613449663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80</v>
      </c>
      <c r="C12" s="8">
        <v>6.5052438643146573</v>
      </c>
      <c r="D12" s="8">
        <v>34.283693221863942</v>
      </c>
    </row>
    <row r="13" spans="2:7" x14ac:dyDescent="0.15">
      <c r="B13" t="s">
        <v>81</v>
      </c>
      <c r="C13" s="8">
        <v>24.744215720124998</v>
      </c>
      <c r="D13" s="8">
        <v>-2.5012573171610342</v>
      </c>
    </row>
    <row r="15" spans="2:7" x14ac:dyDescent="0.15">
      <c r="B15" t="s">
        <v>91</v>
      </c>
      <c r="C15" s="3">
        <f>MAX(C4,C5)</f>
        <v>4.8722550824769089</v>
      </c>
      <c r="D15" t="s">
        <v>25</v>
      </c>
      <c r="E15" s="82" t="s">
        <v>42</v>
      </c>
      <c r="F15" s="5">
        <f>IF(C15&gt;7.5,C12*LN(C15)+D12,C13*LN(C15)+D13)</f>
        <v>36.682615871827821</v>
      </c>
      <c r="G15" t="s">
        <v>31</v>
      </c>
    </row>
    <row r="16" spans="2:7" x14ac:dyDescent="0.15">
      <c r="B16" t="s">
        <v>92</v>
      </c>
      <c r="C16" s="79">
        <f>(2*MAX(C4,C5)+MIN(C4,C5))/3</f>
        <v>4.8060986420995944</v>
      </c>
      <c r="D16" t="s">
        <v>25</v>
      </c>
      <c r="E16" s="82" t="s">
        <v>42</v>
      </c>
      <c r="F16" s="5">
        <f>IF(C16&gt;7.5,C12*LN(C16)+D12,C13*LN(C16)+D13)</f>
        <v>36.344332156454733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>
        <f>'R-series ENT'!N54</f>
        <v>51.350319413350157</v>
      </c>
      <c r="E21" t="s">
        <v>31</v>
      </c>
    </row>
    <row r="22" spans="2:5" x14ac:dyDescent="0.15">
      <c r="B22" s="25"/>
      <c r="C22" s="25" t="s">
        <v>8</v>
      </c>
      <c r="D22" s="81">
        <f>'R-series ENT'!N55</f>
        <v>51.65220443099701</v>
      </c>
      <c r="E22" t="s">
        <v>31</v>
      </c>
    </row>
    <row r="23" spans="2:5" x14ac:dyDescent="0.15">
      <c r="C23" t="s">
        <v>87</v>
      </c>
      <c r="D23" s="3">
        <f>ABS(D21-D22)</f>
        <v>0.30188501764685327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>
        <f>'R-series ENT'!N53</f>
        <v>62.081900793182115</v>
      </c>
      <c r="E25" t="s">
        <v>31</v>
      </c>
    </row>
    <row r="26" spans="2:5" x14ac:dyDescent="0.15">
      <c r="B26" s="25"/>
      <c r="C26" s="25" t="s">
        <v>57</v>
      </c>
      <c r="D26" s="81">
        <f>'R-series ENT'!N56</f>
        <v>61.797611511157953</v>
      </c>
      <c r="E26" t="s">
        <v>31</v>
      </c>
    </row>
    <row r="27" spans="2:5" x14ac:dyDescent="0.15">
      <c r="C27" t="s">
        <v>87</v>
      </c>
      <c r="D27" s="3">
        <f>ABS(D25-D26)</f>
        <v>0.28428928202416159</v>
      </c>
      <c r="E27" t="s">
        <v>31</v>
      </c>
    </row>
    <row r="29" spans="2:5" x14ac:dyDescent="0.15">
      <c r="B29" t="s">
        <v>94</v>
      </c>
      <c r="C29" s="3">
        <f>AVERAGE(D27,D23)</f>
        <v>0.29308714983550743</v>
      </c>
      <c r="D29" t="s">
        <v>31</v>
      </c>
    </row>
    <row r="30" spans="2:5" x14ac:dyDescent="0.15">
      <c r="B30" t="s">
        <v>93</v>
      </c>
      <c r="C30" s="3">
        <f>-10*LOG10((1-10^(-C29/10)))-3</f>
        <v>8.853594809152499</v>
      </c>
      <c r="D30" t="s">
        <v>31</v>
      </c>
    </row>
    <row r="32" spans="2:5" x14ac:dyDescent="0.15">
      <c r="B32" t="s">
        <v>83</v>
      </c>
      <c r="C32" s="3">
        <f>F15+C30</f>
        <v>45.536210680980318</v>
      </c>
      <c r="D32" t="s">
        <v>31</v>
      </c>
    </row>
    <row r="33" spans="2:23" x14ac:dyDescent="0.15">
      <c r="B33" t="s">
        <v>95</v>
      </c>
      <c r="C33" s="3">
        <f>F15-2.6</f>
        <v>34.082615871827819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36.344332156454733</v>
      </c>
      <c r="D35" s="2" t="s">
        <v>31</v>
      </c>
      <c r="F35" s="5">
        <f>C35+10*LOG10(4/10)</f>
        <v>32.364932069734358</v>
      </c>
      <c r="G35" s="5">
        <f>C35+10*LOG10(4/2.5)</f>
        <v>38.385531983013983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14</v>
      </c>
      <c r="D39" s="85">
        <v>10</v>
      </c>
      <c r="E39" s="85">
        <v>5</v>
      </c>
      <c r="F39" s="85">
        <v>-4</v>
      </c>
      <c r="G39" s="85">
        <v>-12</v>
      </c>
      <c r="H39" s="85">
        <v>-18</v>
      </c>
      <c r="I39" s="85">
        <v>-25</v>
      </c>
      <c r="J39" s="85">
        <v>-26</v>
      </c>
      <c r="K39" s="87" t="s">
        <v>42</v>
      </c>
      <c r="L39" s="86">
        <f>$C$35+C39</f>
        <v>50.344332156454733</v>
      </c>
      <c r="M39" s="86">
        <f t="shared" ref="M39:S39" si="0">$C$35+D39</f>
        <v>46.344332156454733</v>
      </c>
      <c r="N39" s="86">
        <f t="shared" si="0"/>
        <v>41.344332156454733</v>
      </c>
      <c r="O39" s="86">
        <f t="shared" si="0"/>
        <v>32.344332156454733</v>
      </c>
      <c r="P39" s="86">
        <f t="shared" si="0"/>
        <v>24.344332156454733</v>
      </c>
      <c r="Q39" s="86">
        <f t="shared" si="0"/>
        <v>18.344332156454733</v>
      </c>
      <c r="R39" s="86">
        <f t="shared" si="0"/>
        <v>11.344332156454733</v>
      </c>
      <c r="S39" s="86">
        <f t="shared" si="0"/>
        <v>10.344332156454733</v>
      </c>
      <c r="T39" s="5">
        <f t="array" ref="T39">10*LOG10(SUM(10^(L39:S39/10)))</f>
        <v>52.228603214066268</v>
      </c>
      <c r="U39" s="5">
        <f t="array" ref="U39">10*LOG10(SUM(10^((L39:S39+L41:S41)/10)))</f>
        <v>36.44185024358174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CCE0A-F687-4848-A9C5-B482755BB2FC}">
  <dimension ref="A1:CD99"/>
  <sheetViews>
    <sheetView zoomScale="70" zoomScaleNormal="70" workbookViewId="0">
      <selection activeCell="R20" sqref="R20"/>
    </sheetView>
  </sheetViews>
  <sheetFormatPr baseColWidth="10" defaultColWidth="8.83203125" defaultRowHeight="13" x14ac:dyDescent="0.15"/>
  <cols>
    <col min="1" max="1" width="21.5" customWidth="1"/>
    <col min="7" max="7" width="10.5" customWidth="1"/>
    <col min="8" max="8" width="12.33203125" bestFit="1" customWidth="1"/>
    <col min="9" max="11" width="9" bestFit="1" customWidth="1"/>
    <col min="16" max="16" width="10.83203125" customWidth="1"/>
    <col min="17" max="17" width="12.5" bestFit="1" customWidth="1"/>
    <col min="18" max="18" width="9.6640625" bestFit="1" customWidth="1"/>
    <col min="19" max="19" width="9" bestFit="1" customWidth="1"/>
    <col min="22" max="22" width="13" customWidth="1"/>
    <col min="25" max="25" width="10" customWidth="1"/>
    <col min="69" max="69" width="11.6640625" bestFit="1" customWidth="1"/>
  </cols>
  <sheetData>
    <row r="1" spans="1:64" x14ac:dyDescent="0.15">
      <c r="P1" t="s">
        <v>518</v>
      </c>
      <c r="Z1" s="2" t="s">
        <v>30</v>
      </c>
      <c r="AA1" s="2">
        <f t="array" ref="AA1:AC1">LINEST(AA6:AA12,AB6:AB12^{1,2})</f>
        <v>-6.0788019373483422E-3</v>
      </c>
      <c r="AB1" s="2">
        <v>0.55178811089739077</v>
      </c>
      <c r="AC1" s="2">
        <v>355.22971897304285</v>
      </c>
    </row>
    <row r="2" spans="1:64" x14ac:dyDescent="0.15">
      <c r="C2" s="2" t="s">
        <v>0</v>
      </c>
      <c r="J2" t="s">
        <v>15</v>
      </c>
      <c r="P2" s="259">
        <f t="array" ref="P2:R2">LINEST(AL34:AL37,AC34:AC37^{1,2})</f>
        <v>4.8447978794809249E-2</v>
      </c>
      <c r="Q2" s="259">
        <v>1.8012916620170054</v>
      </c>
      <c r="R2" s="259">
        <v>-24.439786790868197</v>
      </c>
      <c r="V2" t="s">
        <v>519</v>
      </c>
      <c r="W2" s="84">
        <f>P2*J3^2+Q2*J3+R2</f>
        <v>96.51553084621105</v>
      </c>
      <c r="X2" t="s">
        <v>14</v>
      </c>
      <c r="AU2" t="s">
        <v>533</v>
      </c>
    </row>
    <row r="3" spans="1:64" ht="18" thickBot="1" x14ac:dyDescent="0.3">
      <c r="J3" s="7">
        <f>'R-series ENT'!E33</f>
        <v>34.722222222222221</v>
      </c>
      <c r="K3" t="s">
        <v>13</v>
      </c>
      <c r="L3" s="122">
        <f>'R-series ENT'!E39</f>
        <v>75</v>
      </c>
      <c r="M3" t="s">
        <v>14</v>
      </c>
      <c r="P3" t="s">
        <v>34</v>
      </c>
      <c r="AA3" s="2" t="s">
        <v>53</v>
      </c>
      <c r="AM3" s="2" t="s">
        <v>524</v>
      </c>
      <c r="AU3" t="s">
        <v>3</v>
      </c>
      <c r="AV3" s="1652">
        <v>-6.1345083678257606E-3</v>
      </c>
      <c r="AW3" s="1652">
        <v>0.65916919450130906</v>
      </c>
      <c r="AX3" s="1652">
        <v>647.82084035613195</v>
      </c>
      <c r="BE3" t="s">
        <v>2873</v>
      </c>
    </row>
    <row r="4" spans="1:6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430" t="s">
        <v>30</v>
      </c>
      <c r="AB4" s="431"/>
      <c r="AC4" s="432" t="s">
        <v>30</v>
      </c>
      <c r="AD4" s="433"/>
      <c r="AE4" s="432" t="s">
        <v>405</v>
      </c>
      <c r="AF4" s="433"/>
      <c r="AG4" s="431" t="s">
        <v>406</v>
      </c>
      <c r="AH4" s="434"/>
      <c r="AU4" t="s">
        <v>408</v>
      </c>
      <c r="AV4" s="1652">
        <v>-5.7159036887344042E-3</v>
      </c>
      <c r="AW4" s="1652">
        <v>0.44164292165834573</v>
      </c>
      <c r="AX4" s="1652">
        <v>426.04915743171608</v>
      </c>
    </row>
    <row r="5" spans="1:64" x14ac:dyDescent="0.15">
      <c r="C5" t="s">
        <v>2</v>
      </c>
      <c r="D5" s="1"/>
      <c r="E5" s="1"/>
      <c r="H5" s="1"/>
      <c r="P5" s="52">
        <f t="array" ref="P5:Q5">LINEST(AF34:AF37,LN(AC34:AC37))</f>
        <v>19.805972755241232</v>
      </c>
      <c r="Q5" s="52">
        <v>-32.918447519878178</v>
      </c>
      <c r="R5" t="s">
        <v>28</v>
      </c>
      <c r="T5" s="4"/>
      <c r="U5" s="39" t="s">
        <v>43</v>
      </c>
      <c r="V5" t="s">
        <v>28</v>
      </c>
      <c r="W5" s="9">
        <f>$P$5*LN($J$3)+$Q$5</f>
        <v>37.340861970400134</v>
      </c>
      <c r="X5" t="s">
        <v>31</v>
      </c>
      <c r="AA5" s="435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436" t="s">
        <v>13</v>
      </c>
      <c r="AM5" s="129" t="s">
        <v>523</v>
      </c>
      <c r="AN5">
        <v>0</v>
      </c>
      <c r="AU5" t="s">
        <v>411</v>
      </c>
      <c r="AV5" s="1652">
        <v>-6.723071255184605E-3</v>
      </c>
      <c r="AW5" s="1652">
        <v>0.61287592453183071</v>
      </c>
      <c r="AX5" s="1652">
        <v>200.62777170919733</v>
      </c>
      <c r="BE5" s="2" t="s">
        <v>2874</v>
      </c>
    </row>
    <row r="6" spans="1:64" x14ac:dyDescent="0.15">
      <c r="C6" s="2" t="s">
        <v>3</v>
      </c>
      <c r="D6" s="1"/>
      <c r="E6" s="1"/>
      <c r="H6" s="1"/>
      <c r="P6" s="52">
        <f t="array" ref="P6:Q6">LINEST(AG34:AG37,LN(AC34:AC37))</f>
        <v>19.058238513376562</v>
      </c>
      <c r="Q6" s="52">
        <v>-12.790335010609297</v>
      </c>
      <c r="R6" t="s">
        <v>7</v>
      </c>
      <c r="T6" s="4"/>
      <c r="U6" s="39" t="s">
        <v>43</v>
      </c>
      <c r="V6" t="s">
        <v>7</v>
      </c>
      <c r="W6" s="9">
        <f>$P$6*LN($J$3)+$Q$6</f>
        <v>54.816477065637883</v>
      </c>
      <c r="X6" t="s">
        <v>31</v>
      </c>
      <c r="AA6" s="437">
        <v>20</v>
      </c>
      <c r="AB6" s="56">
        <f>(-$AW$27-SQRT($AW$27^2-(4*$AV$27*($AX$27-AA6))))/(2*$AV$27)</f>
        <v>284.56661771345591</v>
      </c>
      <c r="AC6" s="55">
        <v>20</v>
      </c>
      <c r="AD6" s="57">
        <f>AB6</f>
        <v>284.56661771345591</v>
      </c>
      <c r="AE6" s="55">
        <v>10</v>
      </c>
      <c r="AF6" s="57">
        <f t="shared" ref="AF6:AF11" si="0">(-$D$19-SQRT($D$19^2-(4*$C$19*($E$19-AE6))))/(2*$C$19)</f>
        <v>220.0272127426278</v>
      </c>
      <c r="AG6" s="56">
        <v>10</v>
      </c>
      <c r="AH6" s="438">
        <f>(-$D$24-SQRT($D$24^2-(4*$C$24*($E$24-AG6))))/(2*$C$24)</f>
        <v>128.55190799708276</v>
      </c>
      <c r="AM6" s="129" t="s">
        <v>226</v>
      </c>
      <c r="AN6" s="227">
        <f>'Kojeet ja kennon hyötysuhde_ENT'!M7</f>
        <v>0.79500000000000004</v>
      </c>
      <c r="AU6" t="s">
        <v>409</v>
      </c>
      <c r="AV6" s="1652">
        <v>-4.3507773930891117E-3</v>
      </c>
      <c r="AW6" s="1652">
        <v>-0.15210978918279258</v>
      </c>
      <c r="AX6" s="1652">
        <v>101.45318027246566</v>
      </c>
      <c r="BE6" t="s">
        <v>2893</v>
      </c>
    </row>
    <row r="7" spans="1:64" x14ac:dyDescent="0.15">
      <c r="C7" t="s">
        <v>11</v>
      </c>
      <c r="D7" s="1"/>
      <c r="E7" s="1"/>
      <c r="H7" s="1"/>
      <c r="T7" s="4"/>
      <c r="U7" s="5"/>
      <c r="AA7" s="437">
        <f t="shared" ref="AA7:AA10" si="1">AC7</f>
        <v>50</v>
      </c>
      <c r="AB7" s="56">
        <f t="shared" ref="AB7:AB12" si="2">(-$AW$27-SQRT($AW$27^2-(4*$AV$27*($AX$27-AA7))))/(2*$AV$27)</f>
        <v>274.01709916267305</v>
      </c>
      <c r="AC7" s="55">
        <v>50</v>
      </c>
      <c r="AD7" s="57">
        <f t="shared" ref="AD7:AD12" si="3">AB7</f>
        <v>274.01709916267305</v>
      </c>
      <c r="AE7" s="55">
        <v>50</v>
      </c>
      <c r="AF7" s="57">
        <f t="shared" si="0"/>
        <v>202.04778027579948</v>
      </c>
      <c r="AG7" s="56">
        <v>20</v>
      </c>
      <c r="AH7" s="438">
        <f>(-$D$24-SQRT($D$24^2-(4*$C$24*($E$24-AG7))))/(2*$C$24)</f>
        <v>120.45799561693227</v>
      </c>
      <c r="AU7" t="s">
        <v>534</v>
      </c>
      <c r="BE7" t="s">
        <v>2897</v>
      </c>
    </row>
    <row r="8" spans="1:64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437">
        <f t="shared" si="1"/>
        <v>100</v>
      </c>
      <c r="AB8" s="56">
        <f t="shared" si="2"/>
        <v>255.25944979538457</v>
      </c>
      <c r="AC8" s="55">
        <v>100</v>
      </c>
      <c r="AD8" s="57">
        <f t="shared" si="3"/>
        <v>255.25944979538457</v>
      </c>
      <c r="AE8" s="55">
        <v>90</v>
      </c>
      <c r="AF8" s="57">
        <f t="shared" si="0"/>
        <v>181.71413323981204</v>
      </c>
      <c r="AG8" s="56">
        <v>40</v>
      </c>
      <c r="AH8" s="438">
        <f>(-$D$24-SQRT($D$24^2-(4*$C$24*($E$24-AG8))))/(2*$C$24)</f>
        <v>102.64509341270374</v>
      </c>
      <c r="AM8" s="129" t="s">
        <v>527</v>
      </c>
      <c r="AN8" s="3">
        <f>W2</f>
        <v>96.51553084621105</v>
      </c>
      <c r="AO8" t="s">
        <v>14</v>
      </c>
      <c r="AU8" t="s">
        <v>3</v>
      </c>
      <c r="AV8" s="1652">
        <v>-6.1912993458144681E-3</v>
      </c>
      <c r="AW8" s="1652">
        <v>0.63678063061425894</v>
      </c>
      <c r="AX8" s="1652">
        <v>648.50179321900441</v>
      </c>
      <c r="BE8" t="s">
        <v>2898</v>
      </c>
    </row>
    <row r="9" spans="1:64" x14ac:dyDescent="0.15">
      <c r="A9" s="2" t="s">
        <v>2876</v>
      </c>
      <c r="C9" s="1652">
        <f>AV17</f>
        <v>-6.1345083678257606E-3</v>
      </c>
      <c r="D9" s="1652">
        <f t="shared" ref="D9:E9" si="4">AW17</f>
        <v>0.65916919450130906</v>
      </c>
      <c r="E9" s="1652">
        <f t="shared" si="4"/>
        <v>647.82084035613195</v>
      </c>
      <c r="H9" s="2"/>
      <c r="P9" t="s">
        <v>415</v>
      </c>
      <c r="Q9" s="52">
        <f t="array" ref="Q9:R9">LINEST(AC35:AC37,U35:U37)</f>
        <v>11.150155545611689</v>
      </c>
      <c r="R9" s="52">
        <v>-7.2308100271130655</v>
      </c>
      <c r="T9" s="111">
        <f>(J3-R9)/Q9</f>
        <v>3.7625513005373752</v>
      </c>
      <c r="U9" s="39" t="s">
        <v>42</v>
      </c>
      <c r="V9" t="s">
        <v>44</v>
      </c>
      <c r="W9" s="125">
        <f>IF($J$3&gt;$AJ$35,AVERAGE(T10,T11,T11),AVERAGE(T9,T9,T11))</f>
        <v>3.7590233552788086</v>
      </c>
      <c r="X9" t="s">
        <v>25</v>
      </c>
      <c r="Y9" t="str">
        <f>IF(W9&gt;10,"Ei käyttöalueella","OK")</f>
        <v>OK</v>
      </c>
      <c r="AA9" s="437">
        <f t="shared" si="1"/>
        <v>150</v>
      </c>
      <c r="AB9" s="56">
        <f t="shared" si="2"/>
        <v>234.65181680226124</v>
      </c>
      <c r="AC9" s="55">
        <v>150</v>
      </c>
      <c r="AD9" s="57">
        <f t="shared" si="3"/>
        <v>234.65181680226124</v>
      </c>
      <c r="AE9" s="55">
        <v>130</v>
      </c>
      <c r="AF9" s="57">
        <f t="shared" si="0"/>
        <v>157.7532490276617</v>
      </c>
      <c r="AG9" s="56">
        <v>60</v>
      </c>
      <c r="AH9" s="438">
        <f>(-$D$24-SQRT($D$24^2-(4*$C$24*($E$24-AG9))))/(2*$C$24)</f>
        <v>81.682443931248443</v>
      </c>
      <c r="AM9" s="129" t="s">
        <v>528</v>
      </c>
      <c r="AN9" s="3">
        <f>'Laskenta poistopuoli 250_ENT'!W2</f>
        <v>101.90545077196248</v>
      </c>
      <c r="AO9" t="s">
        <v>14</v>
      </c>
      <c r="AU9" t="s">
        <v>408</v>
      </c>
      <c r="AV9" s="1652">
        <v>-5.7788432851000344E-3</v>
      </c>
      <c r="AW9" s="1652">
        <v>0.4215541602315131</v>
      </c>
      <c r="AX9" s="1652">
        <v>426.54071791187062</v>
      </c>
      <c r="BF9" s="104" t="s">
        <v>2868</v>
      </c>
      <c r="BG9" s="104" t="s">
        <v>2869</v>
      </c>
      <c r="BH9" s="104" t="s">
        <v>87</v>
      </c>
    </row>
    <row r="10" spans="1:64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9.1816376660062531</v>
      </c>
      <c r="R10" s="52">
        <v>10.48585088933585</v>
      </c>
      <c r="T10" s="111">
        <f>(J3-R10)/Q10</f>
        <v>2.6396566946459008</v>
      </c>
      <c r="W10" t="b">
        <f>IF(AND(W9&lt;=7.51,J3&gt;=W11),TRUE,FALSE)</f>
        <v>0</v>
      </c>
      <c r="AA10" s="437">
        <f t="shared" si="1"/>
        <v>230</v>
      </c>
      <c r="AB10" s="56">
        <f t="shared" si="2"/>
        <v>195.92184836006501</v>
      </c>
      <c r="AC10" s="55">
        <v>230</v>
      </c>
      <c r="AD10" s="57">
        <f t="shared" si="3"/>
        <v>195.92184836006501</v>
      </c>
      <c r="AE10" s="55">
        <v>170</v>
      </c>
      <c r="AF10" s="57">
        <f t="shared" si="0"/>
        <v>127.0242914387899</v>
      </c>
      <c r="AG10" s="56">
        <v>80</v>
      </c>
      <c r="AH10" s="438">
        <f>(-$D$24-SQRT($D$24^2-(4*$C$24*($E$24-AG10))))/(2*$C$24)</f>
        <v>54.882637981725303</v>
      </c>
      <c r="AU10" t="s">
        <v>411</v>
      </c>
      <c r="AV10" s="1652">
        <v>-6.7928205928613197E-3</v>
      </c>
      <c r="AW10" s="1652">
        <v>0.59456191241104694</v>
      </c>
      <c r="AX10" s="1652">
        <v>201.02616139831875</v>
      </c>
      <c r="BE10" s="628" t="s">
        <v>13</v>
      </c>
      <c r="BF10" s="628" t="s">
        <v>14</v>
      </c>
      <c r="BG10" s="628" t="s">
        <v>14</v>
      </c>
      <c r="BH10" s="628" t="s">
        <v>14</v>
      </c>
    </row>
    <row r="11" spans="1:64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4.2475589878598538E-5</v>
      </c>
      <c r="R11" s="7">
        <v>8.6055916048229972E-2</v>
      </c>
      <c r="S11" s="7">
        <v>0.7127048634070019</v>
      </c>
      <c r="T11" s="111">
        <f>Q11*J3^2+R11*J3+S11</f>
        <v>3.7519674647616768</v>
      </c>
      <c r="V11" t="s">
        <v>348</v>
      </c>
      <c r="W11" s="294">
        <v>40</v>
      </c>
      <c r="X11" t="s">
        <v>13</v>
      </c>
      <c r="AA11" s="437">
        <f>AC11</f>
        <v>300</v>
      </c>
      <c r="AB11" s="56">
        <f t="shared" si="2"/>
        <v>150.95868441192366</v>
      </c>
      <c r="AC11" s="55">
        <v>300</v>
      </c>
      <c r="AD11" s="57">
        <f t="shared" si="3"/>
        <v>150.95868441192366</v>
      </c>
      <c r="AE11" s="55">
        <v>205</v>
      </c>
      <c r="AF11" s="57">
        <f t="shared" si="0"/>
        <v>83.35848194712591</v>
      </c>
      <c r="AG11" s="56"/>
      <c r="AH11" s="438"/>
      <c r="AM11" s="129" t="s">
        <v>525</v>
      </c>
      <c r="AN11" s="227">
        <f>(J3/1000*AN8)/W14</f>
        <v>0.14450339211117666</v>
      </c>
      <c r="AU11" t="s">
        <v>409</v>
      </c>
      <c r="AV11" s="1652">
        <v>-4.4400152073177466E-3</v>
      </c>
      <c r="AW11" s="1652">
        <v>-0.16628518804594508</v>
      </c>
      <c r="AX11" s="1652">
        <v>101.64049645506952</v>
      </c>
      <c r="BE11" s="628">
        <v>0</v>
      </c>
      <c r="BF11" s="344">
        <v>0</v>
      </c>
      <c r="BG11" s="344">
        <v>0</v>
      </c>
      <c r="BH11" s="628">
        <v>0</v>
      </c>
      <c r="BJ11" t="s">
        <v>2868</v>
      </c>
    </row>
    <row r="12" spans="1:64" ht="14" thickBot="1" x14ac:dyDescent="0.2">
      <c r="C12" t="s">
        <v>11</v>
      </c>
      <c r="D12" s="1"/>
      <c r="E12" s="1"/>
      <c r="H12" s="1"/>
      <c r="P12" s="2" t="s">
        <v>51</v>
      </c>
      <c r="AA12" s="439">
        <f>AC12</f>
        <v>340</v>
      </c>
      <c r="AB12" s="440">
        <f t="shared" si="2"/>
        <v>112.95321319754504</v>
      </c>
      <c r="AC12" s="441">
        <v>340</v>
      </c>
      <c r="AD12" s="442">
        <f t="shared" si="3"/>
        <v>112.95321319754504</v>
      </c>
      <c r="AE12" s="441"/>
      <c r="AF12" s="442"/>
      <c r="AG12" s="440"/>
      <c r="AH12" s="443"/>
      <c r="AM12" s="129" t="s">
        <v>526</v>
      </c>
      <c r="AN12" s="227">
        <f>('Laskenta poistopuoli 250_ENT'!J3/1000*AN9)/'Laskenta poistopuoli 250_ENT'!W14</f>
        <v>0.15550700684789004</v>
      </c>
      <c r="BE12" s="628">
        <v>50</v>
      </c>
      <c r="BF12" s="344">
        <v>16.899999999999999</v>
      </c>
      <c r="BG12" s="344">
        <v>19</v>
      </c>
      <c r="BH12" s="628">
        <f>BF12-BG12</f>
        <v>-2.1000000000000014</v>
      </c>
      <c r="BJ12">
        <f t="array" ref="BJ12:BL12">LINEST(BF11:BF18,BE11:BE18^{1,2})</f>
        <v>1.4435000000000008E-3</v>
      </c>
      <c r="BK12">
        <v>0.25909642857142828</v>
      </c>
      <c r="BL12">
        <v>0.14625000000003041</v>
      </c>
    </row>
    <row r="13" spans="1:64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3.9508517956807258E-2</v>
      </c>
      <c r="Q13" s="51">
        <v>-2.3984505842478989</v>
      </c>
      <c r="R13" s="51">
        <v>60.22880051236055</v>
      </c>
      <c r="U13" s="39" t="s">
        <v>43</v>
      </c>
      <c r="V13" t="s">
        <v>44</v>
      </c>
      <c r="W13" s="295">
        <f>P18</f>
        <v>23.191384374974</v>
      </c>
      <c r="X13" t="s">
        <v>49</v>
      </c>
      <c r="Y13" s="129" t="s">
        <v>414</v>
      </c>
      <c r="AU13" t="s">
        <v>535</v>
      </c>
      <c r="BE13" s="628">
        <v>100</v>
      </c>
      <c r="BF13" s="344">
        <v>40.56</v>
      </c>
      <c r="BG13" s="344">
        <v>48</v>
      </c>
      <c r="BH13" s="628">
        <f t="shared" ref="BH13:BH18" si="5">BF13-BG13</f>
        <v>-7.4399999999999977</v>
      </c>
      <c r="BJ13" t="s">
        <v>2869</v>
      </c>
    </row>
    <row r="14" spans="1:64" ht="14" thickBot="1" x14ac:dyDescent="0.2">
      <c r="C14" s="1663">
        <f>AV18</f>
        <v>-5.7159036887344042E-3</v>
      </c>
      <c r="D14" s="1663">
        <f t="shared" ref="D14:E14" si="6">AW18</f>
        <v>0.44164292165834573</v>
      </c>
      <c r="E14" s="1663">
        <f t="shared" si="6"/>
        <v>426.04915743171608</v>
      </c>
      <c r="H14" s="2"/>
      <c r="O14" t="s">
        <v>413</v>
      </c>
      <c r="P14">
        <f t="array" ref="P14:S14">LINEST(AE34:AE37,AC34:AC37^{1,2,3})</f>
        <v>2.4474835554238371E-4</v>
      </c>
      <c r="Q14">
        <v>-1.1968078938949668E-2</v>
      </c>
      <c r="R14">
        <v>0.98336315249577388</v>
      </c>
      <c r="S14">
        <v>-8.1604219209080355</v>
      </c>
      <c r="V14" t="s">
        <v>52</v>
      </c>
      <c r="W14" s="296">
        <f>IF(W13&gt;Y14,Y14,W13)</f>
        <v>23.191384374974</v>
      </c>
      <c r="X14" t="s">
        <v>49</v>
      </c>
      <c r="Y14" s="129">
        <v>516</v>
      </c>
      <c r="Z14" t="s">
        <v>49</v>
      </c>
      <c r="AM14" s="297" t="s">
        <v>520</v>
      </c>
      <c r="AN14" s="84">
        <f>1100+((AN6-0.73)*3000)-300*(J3/1000)/2-AN5</f>
        <v>1289.791666666667</v>
      </c>
      <c r="AU14" s="451" t="b">
        <f>Tulokset_ENT!D41</f>
        <v>0</v>
      </c>
      <c r="AV14" s="2"/>
      <c r="BE14" s="628">
        <v>150</v>
      </c>
      <c r="BF14" s="344">
        <v>71.47</v>
      </c>
      <c r="BG14" s="344">
        <v>85</v>
      </c>
      <c r="BH14" s="628">
        <f t="shared" si="5"/>
        <v>-13.530000000000001</v>
      </c>
      <c r="BJ14">
        <f t="array" ref="BJ14:BL14">LINEST(BG11:BG18,BE11:BE18^{1,2})</f>
        <v>1.6214285714285716E-3</v>
      </c>
      <c r="BK14">
        <v>0.2836904761904761</v>
      </c>
      <c r="BL14">
        <v>1.5416666666666714</v>
      </c>
    </row>
    <row r="15" spans="1:64" x14ac:dyDescent="0.15">
      <c r="A15" s="2" t="s">
        <v>2876</v>
      </c>
      <c r="B15" s="446" t="s">
        <v>564</v>
      </c>
      <c r="C15" s="1664">
        <f>AA1</f>
        <v>-6.0788019373483422E-3</v>
      </c>
      <c r="D15" s="1664">
        <f t="shared" ref="D15:E15" si="7">AB1</f>
        <v>0.55178811089739077</v>
      </c>
      <c r="E15" s="1664">
        <f t="shared" si="7"/>
        <v>355.22971897304285</v>
      </c>
      <c r="H15" s="2"/>
      <c r="BE15" s="628">
        <v>200</v>
      </c>
      <c r="BF15" s="344">
        <v>109.6</v>
      </c>
      <c r="BG15" s="344">
        <v>125</v>
      </c>
      <c r="BH15" s="628">
        <f t="shared" si="5"/>
        <v>-15.400000000000006</v>
      </c>
      <c r="BJ15" t="s">
        <v>87</v>
      </c>
    </row>
    <row r="16" spans="1:64" ht="14" thickBot="1" x14ac:dyDescent="0.2">
      <c r="C16" s="2" t="s">
        <v>411</v>
      </c>
      <c r="D16" s="1"/>
      <c r="E16" s="1"/>
      <c r="H16" s="1"/>
      <c r="O16" t="s">
        <v>412</v>
      </c>
      <c r="P16" s="3">
        <f>$P$13*J3^2+$Q$13*J3+$R$13</f>
        <v>24.58202814843763</v>
      </c>
      <c r="Q16" t="s">
        <v>49</v>
      </c>
      <c r="V16" t="s">
        <v>58</v>
      </c>
      <c r="W16">
        <f>'Laskenta poistopuoli 250_ENT'!W13</f>
        <v>22.75385385573588</v>
      </c>
      <c r="AM16" s="129" t="s">
        <v>521</v>
      </c>
      <c r="AN16" s="3">
        <f>(AN8-L3)/AN11</f>
        <v>148.89291200622912</v>
      </c>
      <c r="AU16" t="s">
        <v>21</v>
      </c>
      <c r="BE16" s="628">
        <v>250</v>
      </c>
      <c r="BF16" s="344">
        <v>155.1</v>
      </c>
      <c r="BG16" s="344">
        <v>167</v>
      </c>
      <c r="BH16" s="628">
        <f t="shared" si="5"/>
        <v>-11.900000000000006</v>
      </c>
      <c r="BJ16" s="2">
        <f>BJ14-BJ12</f>
        <v>1.7792857142857085E-4</v>
      </c>
      <c r="BK16" s="2">
        <f t="shared" ref="BK16:BL16" si="8">BK14-BK12</f>
        <v>2.4594047619047821E-2</v>
      </c>
      <c r="BL16" s="2">
        <f t="shared" si="8"/>
        <v>1.395416666666641</v>
      </c>
    </row>
    <row r="17" spans="1:75" ht="14" thickBot="1" x14ac:dyDescent="0.2">
      <c r="C17" t="s">
        <v>11</v>
      </c>
      <c r="D17" s="1"/>
      <c r="E17" s="1"/>
      <c r="H17" s="1"/>
      <c r="O17" t="s">
        <v>413</v>
      </c>
      <c r="P17" s="3">
        <f>$P$14*J3^3+$Q$14*J3^2+$R$14*J3+$S$14</f>
        <v>21.80074060151037</v>
      </c>
      <c r="Q17" t="s">
        <v>49</v>
      </c>
      <c r="V17" t="s">
        <v>73</v>
      </c>
      <c r="W17" s="294">
        <v>2.37</v>
      </c>
      <c r="AM17" s="129" t="s">
        <v>522</v>
      </c>
      <c r="AN17" s="3">
        <f>(AN9-'Laskenta poistopuoli 250_ENT'!L3)/AN12</f>
        <v>76.558934631208317</v>
      </c>
      <c r="AU17" s="2" t="s">
        <v>102</v>
      </c>
      <c r="AV17" s="2">
        <f>IF($AU$14,AV8,AV3)</f>
        <v>-6.1345083678257606E-3</v>
      </c>
      <c r="AW17" s="2">
        <f t="shared" ref="AW17:AX17" si="9">IF($AU$14,AW8,AW3)</f>
        <v>0.65916919450130906</v>
      </c>
      <c r="AX17" s="2">
        <f t="shared" si="9"/>
        <v>647.82084035613195</v>
      </c>
      <c r="BE17" s="628">
        <v>300</v>
      </c>
      <c r="BF17" s="344">
        <v>207.8</v>
      </c>
      <c r="BG17" s="344">
        <v>229</v>
      </c>
      <c r="BH17" s="628">
        <f t="shared" si="5"/>
        <v>-21.199999999999989</v>
      </c>
      <c r="BJ17">
        <f t="array" ref="BJ17:BL17">LINEST(BH11:BH18,BE11:BE18^{1,2})</f>
        <v>-1.779285714285715E-4</v>
      </c>
      <c r="BK17">
        <v>-2.4594047619047599E-2</v>
      </c>
      <c r="BL17">
        <v>-1.3954166666666667</v>
      </c>
    </row>
    <row r="18" spans="1:75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23.191384374974</v>
      </c>
      <c r="Q18" t="s">
        <v>49</v>
      </c>
      <c r="AM18" s="297" t="s">
        <v>529</v>
      </c>
      <c r="AN18" s="84">
        <f>AN16+AN17</f>
        <v>225.45184663743743</v>
      </c>
      <c r="AU18" s="2" t="s">
        <v>404</v>
      </c>
      <c r="AV18" s="2">
        <f t="shared" ref="AV18:AX20" si="10">IF($AU$14,AV9,AV4)</f>
        <v>-5.7159036887344042E-3</v>
      </c>
      <c r="AW18" s="2">
        <f t="shared" si="10"/>
        <v>0.44164292165834573</v>
      </c>
      <c r="AX18" s="2">
        <f t="shared" si="10"/>
        <v>426.04915743171608</v>
      </c>
      <c r="BE18" s="628">
        <v>350</v>
      </c>
      <c r="BF18" s="344">
        <v>267.7</v>
      </c>
      <c r="BG18" s="344">
        <v>304</v>
      </c>
      <c r="BH18" s="628">
        <f t="shared" si="5"/>
        <v>-36.300000000000011</v>
      </c>
    </row>
    <row r="19" spans="1:75" x14ac:dyDescent="0.15">
      <c r="A19" s="2" t="s">
        <v>2876</v>
      </c>
      <c r="C19" s="1652">
        <f>AV19</f>
        <v>-6.723071255184605E-3</v>
      </c>
      <c r="D19" s="1652">
        <f t="shared" ref="D19:E19" si="11">AW19</f>
        <v>0.61287592453183071</v>
      </c>
      <c r="E19" s="1652">
        <f t="shared" si="11"/>
        <v>200.62777170919733</v>
      </c>
      <c r="V19" s="74" t="s">
        <v>74</v>
      </c>
      <c r="W19" s="77">
        <f>W13+W16+W17</f>
        <v>48.315238230709873</v>
      </c>
      <c r="X19" s="75" t="s">
        <v>49</v>
      </c>
      <c r="AB19" s="6"/>
      <c r="AC19" s="6"/>
      <c r="AU19" s="2" t="s">
        <v>411</v>
      </c>
      <c r="AV19" s="2">
        <f t="shared" si="10"/>
        <v>-6.723071255184605E-3</v>
      </c>
      <c r="AW19" s="2">
        <f t="shared" si="10"/>
        <v>0.61287592453183071</v>
      </c>
      <c r="AX19" s="2">
        <f t="shared" si="10"/>
        <v>200.62777170919733</v>
      </c>
    </row>
    <row r="20" spans="1:75" x14ac:dyDescent="0.15">
      <c r="C20" s="2"/>
      <c r="D20" s="2"/>
      <c r="E20" s="2"/>
      <c r="H20" s="1"/>
      <c r="AB20" s="6"/>
      <c r="AC20" s="6"/>
      <c r="AU20" s="2" t="s">
        <v>409</v>
      </c>
      <c r="AV20" s="2">
        <f>IF($AU$14,AV11,AV6)</f>
        <v>-4.3507773930891117E-3</v>
      </c>
      <c r="AW20" s="2">
        <f t="shared" si="10"/>
        <v>-0.15210978918279258</v>
      </c>
      <c r="AX20" s="2">
        <f t="shared" si="10"/>
        <v>101.45318027246566</v>
      </c>
      <c r="BE20" s="2" t="s">
        <v>2880</v>
      </c>
      <c r="BI20" s="2" t="s">
        <v>533</v>
      </c>
    </row>
    <row r="21" spans="1:75" x14ac:dyDescent="0.15">
      <c r="C21" s="2" t="s">
        <v>409</v>
      </c>
      <c r="D21" s="1"/>
      <c r="E21" s="1"/>
      <c r="H21" s="1"/>
      <c r="O21" t="s">
        <v>461</v>
      </c>
      <c r="V21" t="s">
        <v>78</v>
      </c>
      <c r="W21">
        <f>MAX(J3,'Laskenta poistopuoli 60_ENT'!J3)</f>
        <v>34.722222222222221</v>
      </c>
      <c r="X21" t="s">
        <v>13</v>
      </c>
      <c r="AB21" s="6"/>
      <c r="AC21" s="6"/>
      <c r="BF21" t="s">
        <v>4</v>
      </c>
      <c r="BG21" t="s">
        <v>5</v>
      </c>
      <c r="BH21" t="s">
        <v>6</v>
      </c>
    </row>
    <row r="22" spans="1:75" ht="15" x14ac:dyDescent="0.15">
      <c r="C22" t="s">
        <v>11</v>
      </c>
      <c r="D22" s="1"/>
      <c r="E22" s="1"/>
      <c r="H22" s="1"/>
      <c r="O22">
        <v>165</v>
      </c>
      <c r="P22" t="s">
        <v>13</v>
      </c>
      <c r="V22" t="s">
        <v>75</v>
      </c>
      <c r="W22">
        <f>W19/W21</f>
        <v>1.3914788610444444</v>
      </c>
      <c r="X22" t="s">
        <v>77</v>
      </c>
      <c r="AB22" s="6"/>
      <c r="AC22" s="6"/>
      <c r="AU22" s="2" t="s">
        <v>564</v>
      </c>
      <c r="BE22">
        <v>10</v>
      </c>
      <c r="BF22" s="8">
        <v>-6.3124369392543317E-3</v>
      </c>
      <c r="BG22" s="8">
        <v>0.63457514688226124</v>
      </c>
      <c r="BH22" s="8">
        <v>646.42542368946533</v>
      </c>
    </row>
    <row r="23" spans="1:75" x14ac:dyDescent="0.15">
      <c r="C23" t="s">
        <v>4</v>
      </c>
      <c r="D23" t="s">
        <v>5</v>
      </c>
      <c r="E23" t="s">
        <v>6</v>
      </c>
      <c r="H23" s="1"/>
      <c r="O23">
        <v>198</v>
      </c>
      <c r="P23" t="s">
        <v>14</v>
      </c>
      <c r="AU23" t="s">
        <v>533</v>
      </c>
      <c r="AV23" s="1663">
        <v>-6.0788019373483378E-3</v>
      </c>
      <c r="AW23" s="1663">
        <v>0.55178811089738933</v>
      </c>
      <c r="AX23" s="1663">
        <v>355.22971897304296</v>
      </c>
      <c r="BE23">
        <v>8</v>
      </c>
      <c r="BF23" s="8">
        <v>-5.8938322601629753E-3</v>
      </c>
      <c r="BG23" s="8">
        <v>0.41704887403929791</v>
      </c>
      <c r="BH23" s="8">
        <v>424.65374076504946</v>
      </c>
    </row>
    <row r="24" spans="1:75" x14ac:dyDescent="0.15">
      <c r="A24" s="2" t="s">
        <v>2876</v>
      </c>
      <c r="C24" s="1652">
        <f>AV20</f>
        <v>-4.3507773930891117E-3</v>
      </c>
      <c r="D24" s="1652">
        <f t="shared" ref="D24:E24" si="12">AW20</f>
        <v>-0.15210978918279258</v>
      </c>
      <c r="E24" s="1652">
        <f t="shared" si="12"/>
        <v>101.45318027246566</v>
      </c>
      <c r="H24" s="1"/>
      <c r="AU24" t="s">
        <v>534</v>
      </c>
      <c r="AV24" s="1663">
        <v>-6.1758010939013562E-3</v>
      </c>
      <c r="AW24" s="1663">
        <v>0.54339330833666133</v>
      </c>
      <c r="AX24" s="1663">
        <v>354.78475388910533</v>
      </c>
      <c r="BE24">
        <v>6</v>
      </c>
      <c r="BF24" s="8">
        <v>-6.900999826613176E-3</v>
      </c>
      <c r="BG24" s="8">
        <v>0.58828187691278289</v>
      </c>
      <c r="BH24" s="8">
        <v>199.23235504253068</v>
      </c>
    </row>
    <row r="25" spans="1:75" x14ac:dyDescent="0.15">
      <c r="G25" s="2"/>
      <c r="H25" s="1"/>
      <c r="BE25">
        <v>4</v>
      </c>
      <c r="BF25" s="8">
        <v>-4.5287059645176828E-3</v>
      </c>
      <c r="BG25" s="8">
        <v>-0.1767038368018404</v>
      </c>
      <c r="BH25" s="8">
        <v>100.05776360579901</v>
      </c>
    </row>
    <row r="26" spans="1:75" x14ac:dyDescent="0.15">
      <c r="BE26" t="s">
        <v>564</v>
      </c>
      <c r="BF26" s="640">
        <v>-6.2567305087769089E-3</v>
      </c>
      <c r="BG26" s="640">
        <v>0.52719406327834151</v>
      </c>
      <c r="BH26" s="640">
        <v>353.83430230637634</v>
      </c>
    </row>
    <row r="27" spans="1:75" x14ac:dyDescent="0.15">
      <c r="U27" t="s">
        <v>407</v>
      </c>
      <c r="AU27" t="s">
        <v>21</v>
      </c>
      <c r="AV27" s="2">
        <f>IF($AU$14,AV24,AV23)</f>
        <v>-6.0788019373483378E-3</v>
      </c>
      <c r="AW27" s="2">
        <f t="shared" ref="AW27:AX27" si="13">IF($AU$14,AW24,AW23)</f>
        <v>0.55178811089738933</v>
      </c>
      <c r="AX27" s="2">
        <f t="shared" si="13"/>
        <v>355.22971897304296</v>
      </c>
    </row>
    <row r="28" spans="1:75" x14ac:dyDescent="0.15">
      <c r="U28" s="4" t="s">
        <v>17</v>
      </c>
      <c r="BE28" s="2" t="s">
        <v>2882</v>
      </c>
    </row>
    <row r="29" spans="1:75" x14ac:dyDescent="0.15">
      <c r="U29" s="4">
        <f>L3/J3^2</f>
        <v>6.2207999999999999E-2</v>
      </c>
      <c r="BF29" t="s">
        <v>4</v>
      </c>
      <c r="BG29" t="s">
        <v>5</v>
      </c>
      <c r="BH29" t="s">
        <v>6</v>
      </c>
    </row>
    <row r="30" spans="1:75" x14ac:dyDescent="0.15">
      <c r="BE30">
        <f>BE22</f>
        <v>10</v>
      </c>
      <c r="BF30" s="1654">
        <f>BF22+$BJ$16</f>
        <v>-6.1345083678257606E-3</v>
      </c>
      <c r="BG30" s="1654">
        <f>BG22+$BK$16</f>
        <v>0.65916919450130906</v>
      </c>
      <c r="BH30" s="1654">
        <f>BH22+$BL$16</f>
        <v>647.82084035613195</v>
      </c>
    </row>
    <row r="31" spans="1:75" x14ac:dyDescent="0.15">
      <c r="U31" s="2" t="s">
        <v>16</v>
      </c>
      <c r="AP31" s="2" t="s">
        <v>1110</v>
      </c>
      <c r="BE31">
        <f t="shared" ref="BE31:BE33" si="14">BE23</f>
        <v>8</v>
      </c>
      <c r="BF31" s="1654">
        <f t="shared" ref="BF31:BF34" si="15">BF23+$BJ$16</f>
        <v>-5.7159036887344042E-3</v>
      </c>
      <c r="BG31" s="1654">
        <f t="shared" ref="BG31:BG34" si="16">BG23+$BK$16</f>
        <v>0.44164292165834573</v>
      </c>
      <c r="BH31" s="1654">
        <f t="shared" ref="BH31:BH34" si="17">BH23+$BL$16</f>
        <v>426.04915743171608</v>
      </c>
      <c r="BN31" s="2" t="s">
        <v>2899</v>
      </c>
    </row>
    <row r="32" spans="1:7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BE32">
        <f t="shared" si="14"/>
        <v>6</v>
      </c>
      <c r="BF32" s="1654">
        <f t="shared" si="15"/>
        <v>-6.723071255184605E-3</v>
      </c>
      <c r="BG32" s="1654">
        <f t="shared" si="16"/>
        <v>0.61287592453183071</v>
      </c>
      <c r="BH32" s="1654">
        <f t="shared" si="17"/>
        <v>200.62777170919733</v>
      </c>
      <c r="BN32" t="s">
        <v>2883</v>
      </c>
      <c r="BW32" t="s">
        <v>2883</v>
      </c>
    </row>
    <row r="33" spans="21:8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P33" s="2" t="s">
        <v>1107</v>
      </c>
      <c r="AS33" t="s">
        <v>1115</v>
      </c>
      <c r="BE33">
        <f t="shared" si="14"/>
        <v>4</v>
      </c>
      <c r="BF33" s="1654">
        <f t="shared" si="15"/>
        <v>-4.3507773930891117E-3</v>
      </c>
      <c r="BG33" s="1654">
        <f t="shared" si="16"/>
        <v>-0.15210978918279258</v>
      </c>
      <c r="BH33" s="1654">
        <f t="shared" si="17"/>
        <v>101.45318027246566</v>
      </c>
      <c r="BN33" s="2" t="s">
        <v>2884</v>
      </c>
      <c r="BW33" s="2" t="s">
        <v>2727</v>
      </c>
    </row>
    <row r="34" spans="21:82" x14ac:dyDescent="0.15">
      <c r="U34" s="35">
        <v>10</v>
      </c>
      <c r="V34" s="98">
        <f>C9</f>
        <v>-6.1345083678257606E-3</v>
      </c>
      <c r="W34" s="99">
        <f>D9</f>
        <v>0.65916919450130906</v>
      </c>
      <c r="X34" s="100">
        <f>E9</f>
        <v>647.82084035613195</v>
      </c>
      <c r="Y34" s="36">
        <f>C9-U29</f>
        <v>-6.8342508367825766E-2</v>
      </c>
      <c r="Z34" s="28">
        <f>(-W34+SQRT(W34^2-(4*Y34*X34)))/(2*Y34)</f>
        <v>-92.657144127034087</v>
      </c>
      <c r="AA34" s="29">
        <f>(-W34-SQRT(W34^2-(4*Y34*X34)))/(2*Y34)</f>
        <v>102.30222754939838</v>
      </c>
      <c r="AB34" s="36">
        <f>AB6</f>
        <v>284.56661771345591</v>
      </c>
      <c r="AC34" s="53">
        <f>IF(Z34&lt;0,AA34,IF(Z34&gt;AB34,AA34,Z34))</f>
        <v>102.30222754939838</v>
      </c>
      <c r="AD34" s="53">
        <f>V34*AC34^2+W34*AC34+X34</f>
        <v>651.05311233567716</v>
      </c>
      <c r="AE34" s="53">
        <f>X51*AC34^2+Y51*AC34+Z51</f>
        <v>229.22945026558938</v>
      </c>
      <c r="AF34" s="53">
        <f>AVERAGE(K61:K62,K61)</f>
        <v>59.271194955387301</v>
      </c>
      <c r="AG34" s="53">
        <f>AVERAGE(U61:U62,U61)</f>
        <v>75.294847173186668</v>
      </c>
      <c r="AI34">
        <v>10</v>
      </c>
      <c r="AJ34" s="3">
        <f>AC34</f>
        <v>102.30222754939838</v>
      </c>
      <c r="AL34">
        <f>AN52*AC34^2+AO52*AC34+AP52</f>
        <v>668.50506554139042</v>
      </c>
      <c r="AM34" t="s">
        <v>14</v>
      </c>
      <c r="AP34" s="616">
        <f>AC38/$J$3-1</f>
        <v>1.1968170255841204</v>
      </c>
      <c r="AS34" s="278" t="b">
        <f>IF(AP36&gt;AC38,FALSE,TRUE)</f>
        <v>1</v>
      </c>
      <c r="AT34" t="s">
        <v>1117</v>
      </c>
      <c r="BE34" t="s">
        <v>564</v>
      </c>
      <c r="BF34" s="1654">
        <f t="shared" si="15"/>
        <v>-6.0788019373483378E-3</v>
      </c>
      <c r="BG34" s="1654">
        <f t="shared" si="16"/>
        <v>0.55178811089738933</v>
      </c>
      <c r="BH34" s="1654">
        <f t="shared" si="17"/>
        <v>355.22971897304296</v>
      </c>
      <c r="BN34" s="1655" t="s">
        <v>564</v>
      </c>
      <c r="BO34" s="1656"/>
      <c r="BP34" s="1655" t="s">
        <v>564</v>
      </c>
      <c r="BQ34" s="1657"/>
      <c r="BR34" s="1655" t="s">
        <v>405</v>
      </c>
      <c r="BS34" s="1657"/>
      <c r="BT34" s="1656" t="s">
        <v>406</v>
      </c>
      <c r="BU34" s="1657"/>
      <c r="BW34" s="1655" t="s">
        <v>564</v>
      </c>
      <c r="BX34" s="1656"/>
      <c r="BY34" s="1655" t="s">
        <v>564</v>
      </c>
      <c r="BZ34" s="1657"/>
      <c r="CA34" s="1655" t="s">
        <v>405</v>
      </c>
      <c r="CB34" s="1657"/>
      <c r="CC34" s="1656" t="s">
        <v>406</v>
      </c>
      <c r="CD34" s="1657"/>
    </row>
    <row r="35" spans="21:82" x14ac:dyDescent="0.15">
      <c r="U35" s="35">
        <v>8</v>
      </c>
      <c r="V35" s="98">
        <f>C14</f>
        <v>-5.7159036887344042E-3</v>
      </c>
      <c r="W35" s="99">
        <f>D14</f>
        <v>0.44164292165834573</v>
      </c>
      <c r="X35" s="100">
        <f>E14</f>
        <v>426.04915743171608</v>
      </c>
      <c r="Y35" s="36">
        <f>C14-U29</f>
        <v>-6.7923903688734411E-2</v>
      </c>
      <c r="Z35" s="28">
        <f t="shared" ref="Z35:Z37" si="18">(-W35+SQRT(W35^2-(4*Y35*X35)))/(2*Y35)</f>
        <v>-76.014472631284107</v>
      </c>
      <c r="AA35" s="29">
        <f t="shared" ref="AA35:AA38" si="19">(-W35-SQRT(W35^2-(4*Y35*X35)))/(2*Y35)</f>
        <v>82.516497657439885</v>
      </c>
      <c r="AB35" s="36">
        <f>AD6</f>
        <v>284.56661771345591</v>
      </c>
      <c r="AC35" s="53">
        <f t="shared" ref="AC35:AC38" si="20">IF(Z35&lt;0,AA35,IF(Z35&gt;AB35,AA35,Z35))</f>
        <v>82.516497657439885</v>
      </c>
      <c r="AD35" s="53">
        <f>V35*AC35^2+W35*AC35+X35</f>
        <v>423.57255416653271</v>
      </c>
      <c r="AE35" s="53">
        <f t="shared" ref="AE35:AE37" si="21">X52*AC35^2+Y52*AC35+Z52</f>
        <v>129.00543097061279</v>
      </c>
      <c r="AF35" s="53">
        <f>AVERAGE(K66:K67,K66)</f>
        <v>53.432128271479861</v>
      </c>
      <c r="AG35" s="53">
        <f>AVERAGE(U66:U67,U66)</f>
        <v>71.060765816515371</v>
      </c>
      <c r="AI35">
        <v>9</v>
      </c>
      <c r="AJ35" s="3">
        <f>Q9*AI35+R9</f>
        <v>93.120589883392128</v>
      </c>
      <c r="AL35">
        <f t="shared" ref="AL35:AL37" si="22">AN53*AC35^2+AO53*AC35+AP53</f>
        <v>449.79401956446526</v>
      </c>
      <c r="AM35" t="s">
        <v>14</v>
      </c>
      <c r="AP35" t="s">
        <v>1114</v>
      </c>
      <c r="AS35" t="s">
        <v>1116</v>
      </c>
      <c r="BN35" s="1658" t="s">
        <v>14</v>
      </c>
      <c r="BO35" s="1659" t="s">
        <v>13</v>
      </c>
      <c r="BP35" s="1658" t="s">
        <v>14</v>
      </c>
      <c r="BQ35" s="1660" t="s">
        <v>13</v>
      </c>
      <c r="BR35" s="1658" t="s">
        <v>14</v>
      </c>
      <c r="BS35" s="1660" t="s">
        <v>13</v>
      </c>
      <c r="BT35" s="1659" t="s">
        <v>14</v>
      </c>
      <c r="BU35" s="1660" t="s">
        <v>13</v>
      </c>
      <c r="BW35" s="1658" t="s">
        <v>14</v>
      </c>
      <c r="BX35" s="1659" t="s">
        <v>13</v>
      </c>
      <c r="BY35" s="1658" t="s">
        <v>14</v>
      </c>
      <c r="BZ35" s="1660" t="s">
        <v>13</v>
      </c>
      <c r="CA35" s="1658" t="s">
        <v>14</v>
      </c>
      <c r="CB35" s="1660" t="s">
        <v>13</v>
      </c>
      <c r="CC35" s="1659" t="s">
        <v>14</v>
      </c>
      <c r="CD35" s="1660" t="s">
        <v>13</v>
      </c>
    </row>
    <row r="36" spans="21:82" x14ac:dyDescent="0.15">
      <c r="U36" s="35">
        <v>6</v>
      </c>
      <c r="V36" s="98">
        <f>C19</f>
        <v>-6.723071255184605E-3</v>
      </c>
      <c r="W36" s="99">
        <f>D19</f>
        <v>0.61287592453183071</v>
      </c>
      <c r="X36" s="100">
        <f>E19</f>
        <v>200.62777170919733</v>
      </c>
      <c r="Y36" s="36">
        <f>C19-U29</f>
        <v>-6.8931071255184606E-2</v>
      </c>
      <c r="Z36" s="28">
        <f t="shared" si="18"/>
        <v>-49.68685487141709</v>
      </c>
      <c r="AA36" s="29">
        <f t="shared" si="19"/>
        <v>58.577996607238198</v>
      </c>
      <c r="AB36" s="36">
        <f>AF6</f>
        <v>220.0272127426278</v>
      </c>
      <c r="AC36" s="53">
        <f t="shared" si="20"/>
        <v>58.577996607238198</v>
      </c>
      <c r="AD36" s="53">
        <f>V36*AC36^2+W36*AC36+X36</f>
        <v>213.45939195488748</v>
      </c>
      <c r="AE36" s="53">
        <f t="shared" si="21"/>
        <v>57.571242061674269</v>
      </c>
      <c r="AF36" s="53">
        <f>AVERAGE(K71:K72,K71)</f>
        <v>48.374700520908959</v>
      </c>
      <c r="AG36" s="53">
        <f>AVERAGE(U71:U72,U71)</f>
        <v>65.498096195133584</v>
      </c>
      <c r="AI36">
        <v>8</v>
      </c>
      <c r="AJ36" s="3">
        <f>AC35</f>
        <v>82.516497657439885</v>
      </c>
      <c r="AL36">
        <f t="shared" si="22"/>
        <v>251.50373062372893</v>
      </c>
      <c r="AM36" t="s">
        <v>14</v>
      </c>
      <c r="AP36" s="609">
        <f>Tulokset_ENT!$CR$16</f>
        <v>41.666666666666664</v>
      </c>
      <c r="AQ36" t="s">
        <v>13</v>
      </c>
      <c r="AS36" s="627">
        <f>IF($AP$36&gt;$AJ$35,AVERAGE(AS40,AS41,AS41),AVERAGE(AS39,AS39,AS41))</f>
        <v>4.3809452863345264</v>
      </c>
      <c r="AT36" t="s">
        <v>25</v>
      </c>
      <c r="BE36" t="s">
        <v>2885</v>
      </c>
      <c r="BN36" s="1661">
        <f>AA6</f>
        <v>20</v>
      </c>
      <c r="BO36" s="1662">
        <f>(-$BG$26-SQRT($BG$26^2-(4*$BF$26*($BH$26-BN36))))/(2*$BF$26)</f>
        <v>276.93002872317612</v>
      </c>
      <c r="BP36" s="1661">
        <f>AC6</f>
        <v>20</v>
      </c>
      <c r="BQ36" s="1662">
        <f>(-$BG$26-SQRT($BG$26^2-(4*$BF$26*($BH$26-BP36))))/(2*$BF$26)</f>
        <v>276.93002872317612</v>
      </c>
      <c r="BR36" s="1661">
        <f>AE6</f>
        <v>10</v>
      </c>
      <c r="BS36" s="1662">
        <f>(-$BG$24-SQRT($BG$24^2-(4*$BF$24*($BH$24-BR36))))/(2*$BF$24)</f>
        <v>213.61335762915562</v>
      </c>
      <c r="BT36" s="1661">
        <f>AG6</f>
        <v>10</v>
      </c>
      <c r="BU36" s="1662">
        <f>(-$BG$25-SQRT($BG$25^2-(4*$BF$25*($BH$25-BT36))))/(2*$BF$25)</f>
        <v>122.85148290021115</v>
      </c>
      <c r="BW36" s="55">
        <f>BN36</f>
        <v>20</v>
      </c>
      <c r="BX36" s="1662">
        <f>(-$BG$34-SQRT($BG$34^2-(4*$BF$34*($BH$34-BW36))))/(2*$BF$34)</f>
        <v>284.56661771345591</v>
      </c>
      <c r="BY36" s="55">
        <f>BP36</f>
        <v>20</v>
      </c>
      <c r="BZ36" s="1662">
        <f>(-$BG$34-SQRT($BG$34^2-(4*$BF$34*($BH$34-BY36))))/(2*$BF$34)</f>
        <v>284.56661771345591</v>
      </c>
      <c r="CA36" s="55">
        <f>BR36</f>
        <v>10</v>
      </c>
      <c r="CB36" s="1662">
        <f>(-$BG$32-SQRT($BG$32^2-(4*$BF$32*($BH$32-CA36))))/(2*$BF$32)</f>
        <v>220.0272127426278</v>
      </c>
      <c r="CC36" s="55">
        <f>BT36</f>
        <v>10</v>
      </c>
      <c r="CD36" s="1662">
        <f>(-$BG$33-SQRT($BG$33^2-(4*$BF$33*($BH$33-CC36))))/(2*$BF$33)</f>
        <v>128.55190799708276</v>
      </c>
    </row>
    <row r="37" spans="21:82" x14ac:dyDescent="0.15">
      <c r="U37" s="38">
        <v>4</v>
      </c>
      <c r="V37" s="101">
        <f>C24</f>
        <v>-4.3507773930891117E-3</v>
      </c>
      <c r="W37" s="102">
        <f>D24</f>
        <v>-0.15210978918279258</v>
      </c>
      <c r="X37" s="103">
        <f>E24</f>
        <v>101.45318027246566</v>
      </c>
      <c r="Y37" s="37">
        <f>C24-U29</f>
        <v>-6.6558777393089116E-2</v>
      </c>
      <c r="Z37" s="30">
        <f t="shared" si="18"/>
        <v>-40.201220776401655</v>
      </c>
      <c r="AA37" s="31">
        <f t="shared" si="19"/>
        <v>37.915875474993129</v>
      </c>
      <c r="AB37" s="37">
        <f>AH6</f>
        <v>128.55190799708276</v>
      </c>
      <c r="AC37" s="53">
        <f t="shared" si="20"/>
        <v>37.915875474993129</v>
      </c>
      <c r="AD37" s="53">
        <f>V37*AC37^2+W37*AC37+X37</f>
        <v>89.431067639692799</v>
      </c>
      <c r="AE37" s="53">
        <f t="shared" si="21"/>
        <v>25.260015769487143</v>
      </c>
      <c r="AF37" s="53">
        <f>AVERAGE(K76:K77,K76)</f>
        <v>38.932052844315898</v>
      </c>
      <c r="AG37" s="53">
        <f>AVERAGE(U76:U77,U76)</f>
        <v>56.146767270411296</v>
      </c>
      <c r="AI37">
        <v>6</v>
      </c>
      <c r="AJ37" s="3">
        <f t="shared" ref="AJ37:AJ38" si="23">AC36</f>
        <v>58.577996607238198</v>
      </c>
      <c r="AL37">
        <f t="shared" si="22"/>
        <v>111.98223253163167</v>
      </c>
      <c r="AM37" t="s">
        <v>14</v>
      </c>
      <c r="AP37" s="609">
        <f>Tulokset_ENT!$CR$17</f>
        <v>107.99999999999999</v>
      </c>
      <c r="AQ37" t="s">
        <v>14</v>
      </c>
      <c r="BF37" t="s">
        <v>13</v>
      </c>
      <c r="BG37" s="4" t="s">
        <v>2886</v>
      </c>
      <c r="BH37" s="4" t="s">
        <v>2887</v>
      </c>
      <c r="BJ37" t="s">
        <v>2119</v>
      </c>
      <c r="BN37" s="55">
        <f t="shared" ref="BN37:BT42" si="24">AA7</f>
        <v>50</v>
      </c>
      <c r="BO37" s="57">
        <f t="shared" ref="BO37:BO42" si="25">(-$BG$26-SQRT($BG$26^2-(4*$BF$26*($BH$26-BN37))))/(2*$BF$26)</f>
        <v>266.48733485462003</v>
      </c>
      <c r="BP37" s="55">
        <f t="shared" si="24"/>
        <v>50</v>
      </c>
      <c r="BQ37" s="57">
        <f t="shared" ref="BQ37:BQ42" si="26">(-$BG$26-SQRT($BG$26^2-(4*$BF$26*($BH$26-BP37))))/(2*$BF$26)</f>
        <v>266.48733485462003</v>
      </c>
      <c r="BR37" s="55">
        <f t="shared" si="24"/>
        <v>50</v>
      </c>
      <c r="BS37" s="57">
        <f t="shared" ref="BS37:BS41" si="27">(-$BG$24-SQRT($BG$24^2-(4*$BF$24*($BH$24-BR37))))/(2*$BF$24)</f>
        <v>195.72898551317115</v>
      </c>
      <c r="BT37" s="55">
        <f t="shared" si="24"/>
        <v>20</v>
      </c>
      <c r="BU37" s="57">
        <f t="shared" ref="BU37:BU40" si="28">(-$BG$25-SQRT($BG$25^2-(4*$BF$25*($BH$25-BT37))))/(2*$BF$25)</f>
        <v>114.87245597479257</v>
      </c>
      <c r="BW37" s="55">
        <f t="shared" ref="BW37:CC42" si="29">BN37</f>
        <v>50</v>
      </c>
      <c r="BX37" s="57">
        <f t="shared" ref="BX37:BX42" si="30">(-$BG$34-SQRT($BG$34^2-(4*$BF$34*($BH$34-BW37))))/(2*$BF$34)</f>
        <v>274.01709916267305</v>
      </c>
      <c r="BY37" s="55">
        <f t="shared" si="29"/>
        <v>50</v>
      </c>
      <c r="BZ37" s="57">
        <f t="shared" ref="BZ37:BZ42" si="31">(-$BG$34-SQRT($BG$34^2-(4*$BF$34*($BH$34-BY37))))/(2*$BF$34)</f>
        <v>274.01709916267305</v>
      </c>
      <c r="CA37" s="55">
        <f t="shared" si="29"/>
        <v>50</v>
      </c>
      <c r="CB37" s="57">
        <f t="shared" ref="CB37:CB41" si="32">(-$BG$32-SQRT($BG$32^2-(4*$BF$32*($BH$32-CA37))))/(2*$BF$32)</f>
        <v>202.04778027579948</v>
      </c>
      <c r="CC37" s="55">
        <f t="shared" si="29"/>
        <v>20</v>
      </c>
      <c r="CD37" s="57">
        <f t="shared" ref="CD37:CD40" si="33">(-$BG$33-SQRT($BG$33^2-(4*$BF$33*($BH$33-CC37))))/(2*$BF$33)</f>
        <v>120.45799561693227</v>
      </c>
    </row>
    <row r="38" spans="21:82" x14ac:dyDescent="0.15">
      <c r="U38" s="639">
        <v>7.5</v>
      </c>
      <c r="V38" s="633">
        <f>C15</f>
        <v>-6.0788019373483422E-3</v>
      </c>
      <c r="W38" s="634">
        <f t="shared" ref="W38:X38" si="34">D15</f>
        <v>0.55178811089739077</v>
      </c>
      <c r="X38" s="635">
        <f t="shared" si="34"/>
        <v>355.22971897304285</v>
      </c>
      <c r="Y38" s="636">
        <f>C15-U29</f>
        <v>-6.8286801937348346E-2</v>
      </c>
      <c r="Z38" s="637">
        <f>(-W38+SQRT(W38^2-(4*Y38*X38)))/(2*Y38)</f>
        <v>-68.197918619046334</v>
      </c>
      <c r="AA38" s="638">
        <f t="shared" si="19"/>
        <v>76.278368943893071</v>
      </c>
      <c r="AB38" s="636">
        <f>AD6</f>
        <v>284.56661771345591</v>
      </c>
      <c r="AC38" s="53">
        <f t="shared" si="20"/>
        <v>76.278368943893071</v>
      </c>
      <c r="AD38" s="53">
        <f>V38*AC38^2+W38*AC38+X38</f>
        <v>361.95037829221963</v>
      </c>
      <c r="AE38" s="2" t="s">
        <v>1156</v>
      </c>
      <c r="AI38">
        <v>4</v>
      </c>
      <c r="AJ38" s="3">
        <f t="shared" si="23"/>
        <v>37.915875474993129</v>
      </c>
      <c r="AS38" s="4" t="s">
        <v>418</v>
      </c>
      <c r="BE38" t="s">
        <v>102</v>
      </c>
      <c r="BF38">
        <v>300</v>
      </c>
      <c r="BG38" s="5">
        <f>$BF$22*BF38^2+$BG$22*BF38+$BH$22</f>
        <v>268.67864322125382</v>
      </c>
      <c r="BH38" s="5">
        <f>$BF$30*BF38^2+$BG$30*BF38+$BH$30</f>
        <v>293.46584560220629</v>
      </c>
      <c r="BJ38" s="3">
        <f>BG38-BH38</f>
        <v>-24.787202380952465</v>
      </c>
      <c r="BN38" s="55">
        <f t="shared" si="24"/>
        <v>100</v>
      </c>
      <c r="BO38" s="57">
        <f t="shared" si="25"/>
        <v>247.90855499235673</v>
      </c>
      <c r="BP38" s="55">
        <f t="shared" si="24"/>
        <v>100</v>
      </c>
      <c r="BQ38" s="57">
        <f t="shared" si="26"/>
        <v>247.90855499235673</v>
      </c>
      <c r="BR38" s="55">
        <f t="shared" si="24"/>
        <v>90</v>
      </c>
      <c r="BS38" s="57">
        <f t="shared" si="27"/>
        <v>175.4581740263832</v>
      </c>
      <c r="BT38" s="55">
        <f t="shared" si="24"/>
        <v>40</v>
      </c>
      <c r="BU38" s="57">
        <f t="shared" si="28"/>
        <v>97.290460384499539</v>
      </c>
      <c r="BW38" s="55">
        <f t="shared" si="29"/>
        <v>100</v>
      </c>
      <c r="BX38" s="57">
        <f t="shared" si="30"/>
        <v>255.25944979538457</v>
      </c>
      <c r="BY38" s="55">
        <f t="shared" si="29"/>
        <v>100</v>
      </c>
      <c r="BZ38" s="57">
        <f t="shared" si="31"/>
        <v>255.25944979538457</v>
      </c>
      <c r="CA38" s="55">
        <f t="shared" si="29"/>
        <v>90</v>
      </c>
      <c r="CB38" s="57">
        <f t="shared" si="32"/>
        <v>181.71413323981204</v>
      </c>
      <c r="CC38" s="55">
        <f t="shared" si="29"/>
        <v>40</v>
      </c>
      <c r="CD38" s="57">
        <f t="shared" si="33"/>
        <v>102.64509341270374</v>
      </c>
    </row>
    <row r="39" spans="21:82" x14ac:dyDescent="0.15">
      <c r="AR39" t="s">
        <v>415</v>
      </c>
      <c r="AS39" s="111">
        <f>(AP36-R9)/Q9</f>
        <v>4.385362741690547</v>
      </c>
      <c r="AT39" t="s">
        <v>25</v>
      </c>
      <c r="AU39" t="s">
        <v>1148</v>
      </c>
      <c r="BF39">
        <v>200</v>
      </c>
      <c r="BG39" s="5">
        <f>$BF$22*BF39^2+$BG$22*BF39+$BH$22</f>
        <v>520.84297549574433</v>
      </c>
      <c r="BH39" s="5">
        <f t="shared" ref="BH39:BH40" si="35">$BF$30*BF39^2+$BG$30*BF39+$BH$30</f>
        <v>534.27434454336333</v>
      </c>
      <c r="BJ39" s="3">
        <f t="shared" ref="BJ39:BJ44" si="36">BG39-BH39</f>
        <v>-13.431369047619</v>
      </c>
      <c r="BN39" s="55">
        <f t="shared" si="24"/>
        <v>150</v>
      </c>
      <c r="BO39" s="57">
        <f t="shared" si="25"/>
        <v>227.47673751838894</v>
      </c>
      <c r="BP39" s="55">
        <f t="shared" si="24"/>
        <v>150</v>
      </c>
      <c r="BQ39" s="57">
        <f t="shared" si="26"/>
        <v>227.47673751838894</v>
      </c>
      <c r="BR39" s="55">
        <f t="shared" si="24"/>
        <v>130</v>
      </c>
      <c r="BS39" s="57">
        <f t="shared" si="27"/>
        <v>151.47576534370617</v>
      </c>
      <c r="BT39" s="55">
        <f t="shared" si="24"/>
        <v>60</v>
      </c>
      <c r="BU39" s="57">
        <f t="shared" si="28"/>
        <v>76.542309887609477</v>
      </c>
      <c r="BW39" s="55">
        <f t="shared" si="29"/>
        <v>150</v>
      </c>
      <c r="BX39" s="57">
        <f t="shared" si="30"/>
        <v>234.65181680226124</v>
      </c>
      <c r="BY39" s="55">
        <f t="shared" si="29"/>
        <v>150</v>
      </c>
      <c r="BZ39" s="57">
        <f t="shared" si="31"/>
        <v>234.65181680226124</v>
      </c>
      <c r="CA39" s="55">
        <f t="shared" si="29"/>
        <v>130</v>
      </c>
      <c r="CB39" s="57">
        <f t="shared" si="32"/>
        <v>157.7532490276617</v>
      </c>
      <c r="CC39" s="55">
        <f t="shared" si="29"/>
        <v>60</v>
      </c>
      <c r="CD39" s="57">
        <f t="shared" si="33"/>
        <v>81.682443931248443</v>
      </c>
    </row>
    <row r="40" spans="21:82" x14ac:dyDescent="0.15">
      <c r="U40" s="2" t="s">
        <v>35</v>
      </c>
      <c r="W40" t="s">
        <v>36</v>
      </c>
      <c r="AR40" t="s">
        <v>416</v>
      </c>
      <c r="AS40" s="111">
        <f>(AP36-R10)/Q10</f>
        <v>3.3959971969677571</v>
      </c>
      <c r="AT40" t="s">
        <v>25</v>
      </c>
      <c r="AU40" t="s">
        <v>1146</v>
      </c>
      <c r="BF40">
        <v>100</v>
      </c>
      <c r="BG40" s="5">
        <f t="shared" ref="BG40" si="37">$BF$22*BF40^2+$BG$22*BF40+$BH$22</f>
        <v>646.75856898514814</v>
      </c>
      <c r="BH40" s="5">
        <f t="shared" si="35"/>
        <v>652.39267612800529</v>
      </c>
      <c r="BJ40" s="3">
        <f t="shared" si="36"/>
        <v>-5.6341071428571468</v>
      </c>
      <c r="BN40" s="55">
        <f t="shared" si="24"/>
        <v>230</v>
      </c>
      <c r="BO40" s="57">
        <f t="shared" si="25"/>
        <v>188.98765340427627</v>
      </c>
      <c r="BP40" s="55">
        <f t="shared" si="24"/>
        <v>230</v>
      </c>
      <c r="BQ40" s="57">
        <f t="shared" si="26"/>
        <v>188.98765340427627</v>
      </c>
      <c r="BR40" s="55">
        <f t="shared" si="24"/>
        <v>170</v>
      </c>
      <c r="BS40" s="57">
        <f t="shared" si="27"/>
        <v>120.42188405539274</v>
      </c>
      <c r="BT40" s="55">
        <f t="shared" si="24"/>
        <v>80</v>
      </c>
      <c r="BU40" s="57">
        <f t="shared" si="28"/>
        <v>49.842265162290595</v>
      </c>
      <c r="BW40" s="55">
        <f t="shared" si="29"/>
        <v>230</v>
      </c>
      <c r="BX40" s="57">
        <f t="shared" si="30"/>
        <v>195.92184836006501</v>
      </c>
      <c r="BY40" s="55">
        <f t="shared" si="29"/>
        <v>230</v>
      </c>
      <c r="BZ40" s="57">
        <f t="shared" si="31"/>
        <v>195.92184836006501</v>
      </c>
      <c r="CA40" s="55">
        <f t="shared" si="29"/>
        <v>170</v>
      </c>
      <c r="CB40" s="57">
        <f t="shared" si="32"/>
        <v>127.0242914387899</v>
      </c>
      <c r="CC40" s="55">
        <f t="shared" si="29"/>
        <v>80</v>
      </c>
      <c r="CD40" s="57">
        <f t="shared" si="33"/>
        <v>54.882637981725303</v>
      </c>
    </row>
    <row r="41" spans="21:82" x14ac:dyDescent="0.15">
      <c r="AR41" t="s">
        <v>417</v>
      </c>
      <c r="AS41" s="111">
        <f>Q11*AP36^2+R11*AP36+S11</f>
        <v>4.3721103756224844</v>
      </c>
      <c r="AT41" t="s">
        <v>25</v>
      </c>
      <c r="AU41" t="s">
        <v>1147</v>
      </c>
      <c r="BE41" t="s">
        <v>405</v>
      </c>
      <c r="BF41">
        <v>150</v>
      </c>
      <c r="BG41" s="5">
        <f>$BF$24*BF41^2+$BG$24*BF41+$BH$24</f>
        <v>132.20214048065165</v>
      </c>
      <c r="BH41" s="5">
        <f>$BF$32*BF41^2+$BG$32*BF41+$BH$32</f>
        <v>141.29005714731829</v>
      </c>
      <c r="BJ41" s="3">
        <f t="shared" si="36"/>
        <v>-9.0879166666666436</v>
      </c>
      <c r="BN41" s="55">
        <f t="shared" si="24"/>
        <v>300</v>
      </c>
      <c r="BO41" s="57">
        <f t="shared" si="25"/>
        <v>144.00838062097975</v>
      </c>
      <c r="BP41" s="55">
        <f t="shared" si="24"/>
        <v>300</v>
      </c>
      <c r="BQ41" s="57">
        <f t="shared" si="26"/>
        <v>144.00838062097975</v>
      </c>
      <c r="BR41" s="55">
        <f t="shared" si="24"/>
        <v>205</v>
      </c>
      <c r="BS41" s="57">
        <f t="shared" si="27"/>
        <v>73.943002844798301</v>
      </c>
      <c r="BT41" s="55"/>
      <c r="BU41" s="57"/>
      <c r="BW41" s="55">
        <f t="shared" si="29"/>
        <v>300</v>
      </c>
      <c r="BX41" s="57">
        <f t="shared" si="30"/>
        <v>150.95868441192366</v>
      </c>
      <c r="BY41" s="55">
        <f t="shared" si="29"/>
        <v>300</v>
      </c>
      <c r="BZ41" s="57">
        <f t="shared" si="31"/>
        <v>150.95868441192366</v>
      </c>
      <c r="CA41" s="55">
        <f t="shared" si="29"/>
        <v>205</v>
      </c>
      <c r="CB41" s="57">
        <f t="shared" si="32"/>
        <v>83.35848194712591</v>
      </c>
      <c r="CC41" s="55"/>
      <c r="CD41" s="57"/>
    </row>
    <row r="42" spans="21:8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  <c r="BF42">
        <v>75</v>
      </c>
      <c r="BG42" s="5">
        <f t="shared" ref="BG42:BG43" si="38">$BF$24*BF42^2+$BG$24*BF42+$BH$24</f>
        <v>204.53537178629028</v>
      </c>
      <c r="BH42" s="5">
        <f t="shared" ref="BH42:BH43" si="39">$BF$32*BF42^2+$BG$32*BF42+$BH$32</f>
        <v>208.77619023867123</v>
      </c>
      <c r="BJ42" s="3">
        <f t="shared" si="36"/>
        <v>-4.2408184523809496</v>
      </c>
      <c r="BN42" s="58">
        <f t="shared" si="24"/>
        <v>340</v>
      </c>
      <c r="BO42" s="60">
        <f t="shared" si="25"/>
        <v>105.265386166816</v>
      </c>
      <c r="BP42" s="58">
        <f t="shared" si="24"/>
        <v>340</v>
      </c>
      <c r="BQ42" s="60">
        <f t="shared" si="26"/>
        <v>105.265386166816</v>
      </c>
      <c r="BR42" s="58"/>
      <c r="BS42" s="60"/>
      <c r="BT42" s="58"/>
      <c r="BU42" s="60"/>
      <c r="BW42" s="58">
        <f t="shared" si="29"/>
        <v>340</v>
      </c>
      <c r="BX42" s="60">
        <f t="shared" si="30"/>
        <v>112.95321319754504</v>
      </c>
      <c r="BY42" s="58">
        <f t="shared" si="29"/>
        <v>340</v>
      </c>
      <c r="BZ42" s="60">
        <f t="shared" si="31"/>
        <v>112.95321319754504</v>
      </c>
      <c r="CA42" s="58"/>
      <c r="CB42" s="60"/>
      <c r="CC42" s="58"/>
      <c r="CD42" s="60"/>
    </row>
    <row r="43" spans="21:82" x14ac:dyDescent="0.15">
      <c r="U43" s="10" t="s">
        <v>26</v>
      </c>
      <c r="V43" s="21"/>
      <c r="W43" s="49">
        <v>15</v>
      </c>
      <c r="X43" s="49">
        <v>13</v>
      </c>
      <c r="Y43" s="49">
        <v>1</v>
      </c>
      <c r="Z43" s="49">
        <v>-5</v>
      </c>
      <c r="AA43" s="49">
        <v>-9</v>
      </c>
      <c r="AB43" s="49">
        <v>-14</v>
      </c>
      <c r="AC43" s="49">
        <v>-24</v>
      </c>
      <c r="AD43" s="49">
        <v>-29</v>
      </c>
      <c r="AE43" s="39" t="s">
        <v>42</v>
      </c>
      <c r="AF43" s="53">
        <f>$W$5+W43</f>
        <v>52.340861970400134</v>
      </c>
      <c r="AG43" s="53">
        <f t="shared" ref="AG43:AM43" si="40">$W$5+X43</f>
        <v>50.340861970400134</v>
      </c>
      <c r="AH43" s="53">
        <f t="shared" si="40"/>
        <v>38.340861970400134</v>
      </c>
      <c r="AI43" s="53">
        <f t="shared" si="40"/>
        <v>32.340861970400134</v>
      </c>
      <c r="AJ43" s="53">
        <f t="shared" si="40"/>
        <v>28.340861970400134</v>
      </c>
      <c r="AK43" s="53">
        <f t="shared" si="40"/>
        <v>23.340861970400134</v>
      </c>
      <c r="AL43" s="53">
        <f t="shared" si="40"/>
        <v>13.340861970400134</v>
      </c>
      <c r="AM43" s="53">
        <f t="shared" si="40"/>
        <v>8.3408619704001339</v>
      </c>
      <c r="AN43" s="5">
        <f t="array" ref="AN43">10*LOG10(SUM(10^(AF43:AM43/10)))</f>
        <v>54.60988524120382</v>
      </c>
      <c r="AO43" s="5">
        <f t="array" ref="AO43">10*LOG10(SUM(10^((AF43:AM43+AF46:AM46)/10)))</f>
        <v>37.655492704302802</v>
      </c>
      <c r="AP43" t="str">
        <f>IF(ABS(W5-AO43)&lt;0.5,"OK","Tarkista laskenta!")</f>
        <v>OK</v>
      </c>
      <c r="BF43">
        <v>50</v>
      </c>
      <c r="BG43" s="5">
        <f t="shared" si="38"/>
        <v>211.39394932163688</v>
      </c>
      <c r="BH43" s="5">
        <f t="shared" si="39"/>
        <v>214.46388979782736</v>
      </c>
      <c r="BJ43" s="3">
        <f t="shared" si="36"/>
        <v>-3.0699404761904816</v>
      </c>
    </row>
    <row r="44" spans="21:82" x14ac:dyDescent="0.15">
      <c r="U44" s="14" t="s">
        <v>29</v>
      </c>
      <c r="V44" s="26"/>
      <c r="W44" s="49">
        <v>6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60.816477065637883</v>
      </c>
      <c r="AG44" s="53">
        <f t="shared" ref="AG44:AM44" si="41">$W$6+X44</f>
        <v>62.816477065637883</v>
      </c>
      <c r="AH44" s="53">
        <f t="shared" si="41"/>
        <v>53.816477065637883</v>
      </c>
      <c r="AI44" s="53">
        <f t="shared" si="41"/>
        <v>50.816477065637883</v>
      </c>
      <c r="AJ44" s="53">
        <f t="shared" si="41"/>
        <v>49.816477065637883</v>
      </c>
      <c r="AK44" s="53">
        <f t="shared" si="41"/>
        <v>44.816477065637883</v>
      </c>
      <c r="AL44" s="53">
        <f t="shared" si="41"/>
        <v>40.816477065637883</v>
      </c>
      <c r="AM44" s="53">
        <f t="shared" si="41"/>
        <v>38.816477065637883</v>
      </c>
      <c r="AN44" s="5">
        <f t="array" ref="AN44">10*LOG10(SUM(10^(AF44:AM44/10)))</f>
        <v>65.595327467416695</v>
      </c>
      <c r="AO44" s="5">
        <f t="array" ref="AO44">10*LOG10(SUM(10^((AF44:AM44+AF46:AM46)/10)))</f>
        <v>54.738901212082432</v>
      </c>
      <c r="AP44" t="str">
        <f>IF(ABS(W6-AO44)&lt;0.5,"OK","Tarkista laskenta!")</f>
        <v>OK</v>
      </c>
      <c r="BJ44" s="3">
        <f t="shared" si="36"/>
        <v>0</v>
      </c>
    </row>
    <row r="46" spans="21:8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7" spans="21:82" ht="14" x14ac:dyDescent="0.15">
      <c r="BE47" s="83" t="s">
        <v>534</v>
      </c>
    </row>
    <row r="48" spans="21:82" x14ac:dyDescent="0.15">
      <c r="BE48" s="2" t="s">
        <v>2880</v>
      </c>
    </row>
    <row r="49" spans="3:60" x14ac:dyDescent="0.15">
      <c r="W49" t="s">
        <v>50</v>
      </c>
      <c r="BF49" t="s">
        <v>4</v>
      </c>
      <c r="BG49" t="s">
        <v>5</v>
      </c>
      <c r="BH49" t="s">
        <v>6</v>
      </c>
    </row>
    <row r="50" spans="3:60" x14ac:dyDescent="0.15">
      <c r="X50" s="4" t="s">
        <v>4</v>
      </c>
      <c r="Y50" s="4" t="s">
        <v>5</v>
      </c>
      <c r="Z50" s="4" t="s">
        <v>6</v>
      </c>
      <c r="AM50" t="s">
        <v>50</v>
      </c>
      <c r="BE50">
        <v>10</v>
      </c>
      <c r="BF50" s="8">
        <v>-6.3692279172430392E-3</v>
      </c>
      <c r="BG50" s="8">
        <v>0.61218658299521111</v>
      </c>
      <c r="BH50" s="8">
        <v>647.10637655233779</v>
      </c>
    </row>
    <row r="51" spans="3:60" x14ac:dyDescent="0.15">
      <c r="W51" t="s">
        <v>3</v>
      </c>
      <c r="X51" s="54">
        <f t="array" ref="X51:Z51">LINEST(Y59:Y67,X59:X67^{1,2})</f>
        <v>3.776917108145616E-4</v>
      </c>
      <c r="Y51" s="54">
        <v>0.95964026918999501</v>
      </c>
      <c r="Z51" s="54">
        <v>127.10328765971141</v>
      </c>
      <c r="AN51" s="4" t="s">
        <v>4</v>
      </c>
      <c r="AO51" s="4" t="s">
        <v>5</v>
      </c>
      <c r="AP51" s="4" t="s">
        <v>6</v>
      </c>
      <c r="BE51">
        <v>8</v>
      </c>
      <c r="BF51" s="8">
        <v>-5.9567718565286054E-3</v>
      </c>
      <c r="BG51" s="8">
        <v>0.39696011261246528</v>
      </c>
      <c r="BH51" s="8">
        <v>425.145301245204</v>
      </c>
    </row>
    <row r="52" spans="3:60" x14ac:dyDescent="0.15">
      <c r="W52" t="s">
        <v>114</v>
      </c>
      <c r="X52" s="54">
        <f t="array" ref="X52:Z52">LINEST(Y70:Y78,X70:X78^{1,2})</f>
        <v>5.8205355126901169E-4</v>
      </c>
      <c r="Y52" s="54">
        <v>0.59864600253013434</v>
      </c>
      <c r="Z52" s="54">
        <v>75.644072947638819</v>
      </c>
      <c r="AM52" t="s">
        <v>3</v>
      </c>
      <c r="AN52" s="54">
        <f t="array" ref="AN52:AP52">LINEST(AO60:AO67,AN60:AN67^{1,2})</f>
        <v>-7.8886988291031798E-3</v>
      </c>
      <c r="AO52" s="54">
        <v>3.1314055362362243</v>
      </c>
      <c r="AP52" s="54">
        <v>430.71642015888642</v>
      </c>
      <c r="BE52">
        <v>6</v>
      </c>
      <c r="BF52" s="8">
        <v>-6.9707491642898908E-3</v>
      </c>
      <c r="BG52" s="8">
        <v>0.56996786479199912</v>
      </c>
      <c r="BH52" s="8">
        <v>199.6307447316521</v>
      </c>
    </row>
    <row r="53" spans="3:60" x14ac:dyDescent="0.15">
      <c r="W53" t="s">
        <v>10</v>
      </c>
      <c r="X53" s="54">
        <f t="array" ref="X53:Z53">LINEST(Y81:Y88,X81:X88^{1,2})</f>
        <v>1.1899585521334657E-4</v>
      </c>
      <c r="Y53" s="54">
        <v>0.44802087071349334</v>
      </c>
      <c r="Z53" s="54">
        <v>30.918756818696775</v>
      </c>
      <c r="AM53" t="s">
        <v>114</v>
      </c>
      <c r="AN53" s="54">
        <f t="array" ref="AN53:AP53">LINEST(AO71:AO78,AN71:AN78^{1,2})</f>
        <v>-6.7203587621186599E-3</v>
      </c>
      <c r="AO53" s="54">
        <v>2.2460738760700178</v>
      </c>
      <c r="AP53" s="54">
        <v>310.21460706422556</v>
      </c>
      <c r="BE53">
        <v>4</v>
      </c>
      <c r="BF53" s="8">
        <v>-4.6179437787463177E-3</v>
      </c>
      <c r="BG53" s="8">
        <v>-0.1908792356649929</v>
      </c>
      <c r="BH53" s="8">
        <v>100.24507978840288</v>
      </c>
    </row>
    <row r="54" spans="3:60" x14ac:dyDescent="0.15">
      <c r="W54" t="s">
        <v>12</v>
      </c>
      <c r="X54" s="54">
        <f t="array" ref="X54:Z54">LINEST(Y92:Y98,X92:X98^{1,2})</f>
        <v>7.8439500677749137E-5</v>
      </c>
      <c r="Y54" s="54">
        <v>0.19954382418716141</v>
      </c>
      <c r="Z54" s="54">
        <v>17.581371285828794</v>
      </c>
      <c r="AM54" t="s">
        <v>10</v>
      </c>
      <c r="AN54" s="54">
        <f t="array" ref="AN54:AP54">LINEST(AO82:AO89,AN82:AN89^{1,2})</f>
        <v>-5.5201103910772495E-3</v>
      </c>
      <c r="AO54" s="54">
        <v>1.3813935974166838</v>
      </c>
      <c r="AP54" s="54">
        <v>189.5260668644919</v>
      </c>
      <c r="BE54" t="s">
        <v>564</v>
      </c>
      <c r="BF54" s="640">
        <v>-6.3537296653299272E-3</v>
      </c>
      <c r="BG54" s="640">
        <v>0.51879926071761351</v>
      </c>
      <c r="BH54" s="640">
        <v>353.38933722243871</v>
      </c>
    </row>
    <row r="55" spans="3:60" x14ac:dyDescent="0.15">
      <c r="AM55" t="s">
        <v>12</v>
      </c>
      <c r="AN55" s="54">
        <f t="array" ref="AN55:AP55">LINEST(AO93:AO99,AN93:AN99^{1,2})</f>
        <v>-3.0470369228017091E-3</v>
      </c>
      <c r="AO55" s="54">
        <v>0.51215993958746597</v>
      </c>
      <c r="AP55" s="54">
        <v>96.943701798593878</v>
      </c>
    </row>
    <row r="56" spans="3:60" x14ac:dyDescent="0.15">
      <c r="C56" s="2" t="s">
        <v>45</v>
      </c>
      <c r="BE56" s="2" t="s">
        <v>2882</v>
      </c>
    </row>
    <row r="57" spans="3:60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  <c r="BF57" t="s">
        <v>4</v>
      </c>
      <c r="BG57" t="s">
        <v>5</v>
      </c>
      <c r="BH57" t="s">
        <v>6</v>
      </c>
    </row>
    <row r="58" spans="3:60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T58" s="24"/>
      <c r="W58" s="10"/>
      <c r="X58" s="16" t="s">
        <v>13</v>
      </c>
      <c r="Y58" s="11" t="s">
        <v>49</v>
      </c>
      <c r="AM58" s="2" t="s">
        <v>48</v>
      </c>
      <c r="BE58">
        <f>BE50</f>
        <v>10</v>
      </c>
      <c r="BF58" s="1654">
        <f>BF50+$BJ$16</f>
        <v>-6.1912993458144681E-3</v>
      </c>
      <c r="BG58" s="1654">
        <f>BG50+$BK$16</f>
        <v>0.63678063061425894</v>
      </c>
      <c r="BH58" s="1654">
        <f>BH50+$BL$16</f>
        <v>648.50179321900441</v>
      </c>
    </row>
    <row r="59" spans="3:60" ht="14" thickBot="1" x14ac:dyDescent="0.2">
      <c r="C59" s="10" t="s">
        <v>3</v>
      </c>
      <c r="D59" s="67">
        <v>344.7</v>
      </c>
      <c r="E59" s="68">
        <v>62.144673041028028</v>
      </c>
      <c r="F59" s="69">
        <v>504.49107312811128</v>
      </c>
      <c r="H59" t="s">
        <v>4</v>
      </c>
      <c r="I59" t="s">
        <v>5</v>
      </c>
      <c r="K59" s="27" t="s">
        <v>424</v>
      </c>
      <c r="M59" s="10" t="s">
        <v>3</v>
      </c>
      <c r="N59" s="67">
        <v>347.55882244303535</v>
      </c>
      <c r="O59" s="68">
        <v>81.851516160933571</v>
      </c>
      <c r="P59" s="69">
        <v>500.76674771949382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287">
        <v>149.92627936606368</v>
      </c>
      <c r="Y59" s="288">
        <v>269.87126140289683</v>
      </c>
      <c r="AM59" s="10"/>
      <c r="AN59" s="16" t="s">
        <v>13</v>
      </c>
      <c r="AO59" s="11" t="s">
        <v>516</v>
      </c>
      <c r="BE59">
        <f t="shared" ref="BE59:BE61" si="42">BE51</f>
        <v>8</v>
      </c>
      <c r="BF59" s="1654">
        <f t="shared" ref="BF59:BF62" si="43">BF51+$BJ$16</f>
        <v>-5.7788432851000344E-3</v>
      </c>
      <c r="BG59" s="1654">
        <f t="shared" ref="BG59:BG62" si="44">BG51+$BK$16</f>
        <v>0.4215541602315131</v>
      </c>
      <c r="BH59" s="1654">
        <f t="shared" ref="BH59:BH62" si="45">BH51+$BL$16</f>
        <v>426.54071791187062</v>
      </c>
    </row>
    <row r="60" spans="3:60" x14ac:dyDescent="0.15">
      <c r="C60" s="12"/>
      <c r="D60" s="67">
        <v>324</v>
      </c>
      <c r="E60" s="68">
        <v>61.110829409089718</v>
      </c>
      <c r="F60" s="69">
        <v>469.62425060416473</v>
      </c>
      <c r="G60" s="316" t="s">
        <v>412</v>
      </c>
      <c r="H60" s="317">
        <f t="array" ref="H60:J60">LINEST(E59:E62,D59:D62^{1,2})</f>
        <v>1.3159831517958962E-4</v>
      </c>
      <c r="I60" s="317">
        <v>-6.155995211310706E-2</v>
      </c>
      <c r="J60" s="317">
        <v>67.562262537292582</v>
      </c>
      <c r="K60" s="318">
        <f>$H$60*AC34^2+$I$60*AC34+$J$60</f>
        <v>62.641816817607832</v>
      </c>
      <c r="M60" s="12"/>
      <c r="N60" s="67">
        <v>318.57365469368182</v>
      </c>
      <c r="O60" s="68">
        <v>81.06411222486777</v>
      </c>
      <c r="P60" s="69">
        <v>470.18898951735156</v>
      </c>
      <c r="Q60" s="129" t="s">
        <v>412</v>
      </c>
      <c r="R60">
        <f t="array" ref="R60:T60">LINEST(O59:O62,N59:N62^{1,2})</f>
        <v>4.3665763317716743E-5</v>
      </c>
      <c r="S60">
        <v>-2.5165414473464579E-4</v>
      </c>
      <c r="T60" s="24">
        <v>76.678071775380687</v>
      </c>
      <c r="U60" s="84">
        <f>$R$60*AC34^2+$S$60*AC34+$T$60</f>
        <v>77.109321773170365</v>
      </c>
      <c r="W60" s="232"/>
      <c r="X60" s="17">
        <v>207.42294296613554</v>
      </c>
      <c r="Y60" s="289">
        <v>344.24106644222212</v>
      </c>
      <c r="AM60" s="228" t="s">
        <v>3</v>
      </c>
      <c r="AN60" s="287">
        <v>149.92627936606368</v>
      </c>
      <c r="AO60" s="288">
        <v>722.42610700384864</v>
      </c>
      <c r="BE60">
        <f t="shared" si="42"/>
        <v>6</v>
      </c>
      <c r="BF60" s="1654">
        <f t="shared" si="43"/>
        <v>-6.7928205928613197E-3</v>
      </c>
      <c r="BG60" s="1654">
        <f t="shared" si="44"/>
        <v>0.59456191241104694</v>
      </c>
      <c r="BH60" s="1654">
        <f t="shared" si="45"/>
        <v>201.02616139831875</v>
      </c>
    </row>
    <row r="61" spans="3:60" x14ac:dyDescent="0.15">
      <c r="C61" s="12"/>
      <c r="D61" s="67">
        <v>292.5</v>
      </c>
      <c r="E61" s="68">
        <v>60.985409403702306</v>
      </c>
      <c r="F61" s="69">
        <v>439.47511337645165</v>
      </c>
      <c r="G61" s="129" t="s">
        <v>423</v>
      </c>
      <c r="H61">
        <f t="array" ref="H61:I61">LINEST(E59:E62,D59:D62)</f>
        <v>9.0496559967216238E-3</v>
      </c>
      <c r="I61">
        <v>58.558672170948562</v>
      </c>
      <c r="K61" s="298">
        <f>H61*$AC$34+I61</f>
        <v>59.484472137968957</v>
      </c>
      <c r="M61" s="12"/>
      <c r="N61" s="67">
        <v>289.31281640836551</v>
      </c>
      <c r="O61" s="68">
        <v>80.236796311049133</v>
      </c>
      <c r="P61" s="69">
        <v>441.0612450801093</v>
      </c>
      <c r="Q61" s="129" t="s">
        <v>420</v>
      </c>
      <c r="R61">
        <f t="array" ref="R61:S61">LINEST(O59:O62,N59:N62)</f>
        <v>2.365077806030259E-2</v>
      </c>
      <c r="S61">
        <v>73.539201191246732</v>
      </c>
      <c r="T61" s="24"/>
      <c r="U61" s="84">
        <f>R61*AC34+S61</f>
        <v>75.958728470092126</v>
      </c>
      <c r="W61" s="232"/>
      <c r="X61" s="17">
        <v>261.10737691631488</v>
      </c>
      <c r="Y61" s="289">
        <v>404.74934395940249</v>
      </c>
      <c r="AM61" s="232"/>
      <c r="AN61" s="17">
        <v>207.42294296613554</v>
      </c>
      <c r="AO61" s="289">
        <v>739.53034803011769</v>
      </c>
      <c r="BE61">
        <f t="shared" si="42"/>
        <v>4</v>
      </c>
      <c r="BF61" s="1654">
        <f t="shared" si="43"/>
        <v>-4.4400152073177466E-3</v>
      </c>
      <c r="BG61" s="1654">
        <f t="shared" si="44"/>
        <v>-0.16628518804594508</v>
      </c>
      <c r="BH61" s="1654">
        <f t="shared" si="45"/>
        <v>101.64049645506952</v>
      </c>
    </row>
    <row r="62" spans="3:60" x14ac:dyDescent="0.15">
      <c r="C62" s="14"/>
      <c r="D62" s="67">
        <v>199.8</v>
      </c>
      <c r="E62" s="68">
        <v>60.500427442168004</v>
      </c>
      <c r="F62" s="69">
        <v>336.60814408776122</v>
      </c>
      <c r="G62" s="297" t="s">
        <v>462</v>
      </c>
      <c r="H62" s="2">
        <f t="array" ref="H62:I62">LINEST(E59:E62,LN(D59:D62))</f>
        <v>2.2906023494137728</v>
      </c>
      <c r="I62" s="2">
        <v>48.243889943890657</v>
      </c>
      <c r="K62" s="298">
        <f>H62*LN($AC$34)+I62</f>
        <v>58.844640590223975</v>
      </c>
      <c r="M62" s="14"/>
      <c r="N62" s="67">
        <v>207.42294296613554</v>
      </c>
      <c r="O62" s="68">
        <v>78.507118643238755</v>
      </c>
      <c r="P62" s="69">
        <v>345.32573641349239</v>
      </c>
      <c r="Q62" s="297" t="s">
        <v>462</v>
      </c>
      <c r="R62" s="2">
        <f t="array" ref="R62:S62">LINEST(O59:O62,LN(N59:N62))</f>
        <v>6.2823703283303383</v>
      </c>
      <c r="S62" s="2">
        <v>44.892705372702324</v>
      </c>
      <c r="T62" s="24"/>
      <c r="U62" s="84">
        <f>R62*LN(AC34)+S62</f>
        <v>73.967084579375751</v>
      </c>
      <c r="W62" s="232"/>
      <c r="X62" s="17">
        <v>289.31281640836551</v>
      </c>
      <c r="Y62" s="289">
        <v>441.21443337830112</v>
      </c>
      <c r="AM62" s="232"/>
      <c r="AN62" s="17">
        <v>261.10737691631488</v>
      </c>
      <c r="AO62" s="289">
        <v>717.88057288445566</v>
      </c>
      <c r="BE62" t="s">
        <v>564</v>
      </c>
      <c r="BF62" s="1654">
        <f t="shared" si="43"/>
        <v>-6.1758010939013562E-3</v>
      </c>
      <c r="BG62" s="1654">
        <f t="shared" si="44"/>
        <v>0.54339330833666133</v>
      </c>
      <c r="BH62" s="1654">
        <f t="shared" si="45"/>
        <v>354.78475388910533</v>
      </c>
    </row>
    <row r="63" spans="3:60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17">
        <v>320.54086242225918</v>
      </c>
      <c r="Y63" s="289">
        <v>476.01090864587957</v>
      </c>
      <c r="AM63" s="232"/>
      <c r="AN63" s="17">
        <v>289.31281640836551</v>
      </c>
      <c r="AO63" s="289">
        <v>675.41900858718213</v>
      </c>
    </row>
    <row r="64" spans="3:60" x14ac:dyDescent="0.15">
      <c r="C64" s="10" t="s">
        <v>408</v>
      </c>
      <c r="D64" s="67">
        <v>281.5</v>
      </c>
      <c r="E64" s="68">
        <v>58.24228272767192</v>
      </c>
      <c r="F64" s="69">
        <v>289.3769446226944</v>
      </c>
      <c r="H64" t="s">
        <v>4</v>
      </c>
      <c r="I64" t="s">
        <v>5</v>
      </c>
      <c r="K64" s="298"/>
      <c r="M64" s="10" t="s">
        <v>408</v>
      </c>
      <c r="N64" s="67">
        <v>283.96765425773657</v>
      </c>
      <c r="O64" s="68">
        <v>77.735360552640628</v>
      </c>
      <c r="P64" s="69">
        <v>293.36943783656</v>
      </c>
      <c r="R64" t="s">
        <v>4</v>
      </c>
      <c r="S64" t="s">
        <v>5</v>
      </c>
      <c r="T64" s="24" t="s">
        <v>6</v>
      </c>
      <c r="U64" s="3"/>
      <c r="W64" s="232"/>
      <c r="X64" s="17">
        <v>348.77932335192918</v>
      </c>
      <c r="Y64" s="289">
        <v>508.64545939713418</v>
      </c>
      <c r="AM64" s="232"/>
      <c r="AN64" s="17">
        <v>320.54086242225918</v>
      </c>
      <c r="AO64" s="289">
        <v>623.23687622746013</v>
      </c>
    </row>
    <row r="65" spans="3:62" x14ac:dyDescent="0.15">
      <c r="C65" s="12"/>
      <c r="D65" s="67">
        <v>263.3</v>
      </c>
      <c r="E65" s="68">
        <v>57.721583476668464</v>
      </c>
      <c r="F65" s="69">
        <v>271.22877794721762</v>
      </c>
      <c r="G65" s="316" t="s">
        <v>412</v>
      </c>
      <c r="H65" s="317">
        <f t="array" ref="H65:J65">LINEST(E64:E67,D64:D67^{1,2})</f>
        <v>6.9041931714994414E-5</v>
      </c>
      <c r="I65" s="317">
        <v>-8.99369941815387E-3</v>
      </c>
      <c r="J65" s="317">
        <v>55.303034341627615</v>
      </c>
      <c r="K65" s="318">
        <f>$H$65*AC35^2+$I$65*AC35+$J$65</f>
        <v>55.031010371157151</v>
      </c>
      <c r="M65" s="12"/>
      <c r="N65" s="67">
        <v>261.96983501546862</v>
      </c>
      <c r="O65" s="68">
        <v>76.862945314317813</v>
      </c>
      <c r="P65" s="69">
        <v>272.85889494484417</v>
      </c>
      <c r="Q65" s="129" t="s">
        <v>412</v>
      </c>
      <c r="R65">
        <f t="array" ref="R65:T65">LINEST(O64:O67,N64:N67^{1,2})</f>
        <v>8.8477708060310498E-5</v>
      </c>
      <c r="S65">
        <v>-1.0385446984018065E-2</v>
      </c>
      <c r="T65" s="24">
        <v>73.537970177100874</v>
      </c>
      <c r="U65" s="84">
        <f>$R$65*AC35^2+$S$65*AC35+$T$65</f>
        <v>73.283441736300958</v>
      </c>
      <c r="W65" s="232"/>
      <c r="X65" s="17">
        <v>318.57365469368182</v>
      </c>
      <c r="Y65" s="289">
        <v>470.25008534934227</v>
      </c>
      <c r="AM65" s="232"/>
      <c r="AN65" s="17">
        <v>348.77932335192918</v>
      </c>
      <c r="AO65" s="289">
        <v>572.2874906916403</v>
      </c>
      <c r="BG65" s="4"/>
      <c r="BH65" s="4"/>
    </row>
    <row r="66" spans="3:62" x14ac:dyDescent="0.15">
      <c r="C66" s="12"/>
      <c r="D66" s="67">
        <v>237.6</v>
      </c>
      <c r="E66" s="68">
        <v>57.063736576510934</v>
      </c>
      <c r="F66" s="69">
        <v>247.39903203589208</v>
      </c>
      <c r="G66" s="129" t="s">
        <v>423</v>
      </c>
      <c r="H66">
        <f t="array" ref="H66:I66">LINEST(E64:E67,D64:D67)</f>
        <v>2.1304908406853763E-2</v>
      </c>
      <c r="I66">
        <v>52.137799277665401</v>
      </c>
      <c r="K66" s="298">
        <f>H66*$AC$35+I66</f>
        <v>53.89580570231152</v>
      </c>
      <c r="M66" s="12"/>
      <c r="N66" s="67">
        <v>234.55670322791551</v>
      </c>
      <c r="O66" s="68">
        <v>75.986323411337054</v>
      </c>
      <c r="P66" s="69">
        <v>250.0642668033866</v>
      </c>
      <c r="Q66" s="129" t="s">
        <v>420</v>
      </c>
      <c r="R66">
        <f t="array" ref="R66:S66">LINEST(O64:O67,N64:N67)</f>
        <v>2.9048929500162052E-2</v>
      </c>
      <c r="S66">
        <v>69.331403523358659</v>
      </c>
      <c r="T66" s="24"/>
      <c r="U66" s="84">
        <f>R66*$AC$35+S66</f>
        <v>71.728419446409916</v>
      </c>
      <c r="W66" s="290"/>
      <c r="X66" s="18">
        <v>347.55882244303535</v>
      </c>
      <c r="Y66" s="291">
        <v>500.70540336719438</v>
      </c>
      <c r="AM66" s="232"/>
      <c r="AN66" s="17">
        <v>318.57365469368182</v>
      </c>
      <c r="AO66" s="289">
        <v>618.04528681032571</v>
      </c>
      <c r="BG66" s="5"/>
      <c r="BH66" s="5"/>
      <c r="BJ66" s="3"/>
    </row>
    <row r="67" spans="3:62" ht="14" thickBot="1" x14ac:dyDescent="0.2">
      <c r="C67" s="14"/>
      <c r="D67" s="67">
        <v>163.80000000000001</v>
      </c>
      <c r="E67" s="68">
        <v>55.682298664375324</v>
      </c>
      <c r="F67" s="69">
        <v>188.57183219107492</v>
      </c>
      <c r="G67" s="297" t="s">
        <v>462</v>
      </c>
      <c r="H67" s="2">
        <f t="array" ref="H67:I67">LINEST(E64:E67,LN(D64:D67))</f>
        <v>4.5248871319092387</v>
      </c>
      <c r="I67" s="2">
        <v>32.536454438084718</v>
      </c>
      <c r="K67" s="298">
        <f>H67*LN($AC$35)+I67</f>
        <v>52.504773409816536</v>
      </c>
      <c r="M67" s="14"/>
      <c r="N67" s="67">
        <v>167.45120469341205</v>
      </c>
      <c r="O67" s="68">
        <v>74.277783828246243</v>
      </c>
      <c r="P67" s="69">
        <v>194.61310189169498</v>
      </c>
      <c r="Q67" s="297" t="s">
        <v>462</v>
      </c>
      <c r="R67" s="2">
        <f t="array" ref="R67:S67">LINEST(O64:O67,LN(N64:N67))</f>
        <v>6.2653954627769073</v>
      </c>
      <c r="S67" s="2">
        <v>42.076279375547109</v>
      </c>
      <c r="T67" s="24"/>
      <c r="U67" s="84">
        <f>R67*LN($AC$35)+S67</f>
        <v>69.725458556726309</v>
      </c>
      <c r="W67" s="236"/>
      <c r="X67" s="292">
        <v>88.39543467590552</v>
      </c>
      <c r="Y67" s="293">
        <v>219.51717363439141</v>
      </c>
      <c r="AM67" s="290"/>
      <c r="AN67" s="18">
        <v>347.55882244303535</v>
      </c>
      <c r="AO67" s="291">
        <v>562.76723154802846</v>
      </c>
      <c r="BG67" s="5"/>
      <c r="BH67" s="5"/>
      <c r="BJ67" s="3"/>
    </row>
    <row r="68" spans="3:62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7"/>
      <c r="Y68" s="13"/>
      <c r="AM68" s="236"/>
      <c r="AN68" s="292">
        <v>88.39543467590552</v>
      </c>
      <c r="AO68" s="293">
        <v>748.22122088951073</v>
      </c>
      <c r="BG68" s="5"/>
      <c r="BH68" s="5"/>
      <c r="BJ68" s="3"/>
    </row>
    <row r="69" spans="3:62" ht="14" thickBot="1" x14ac:dyDescent="0.2">
      <c r="C69" s="10" t="s">
        <v>409</v>
      </c>
      <c r="D69" s="67">
        <v>199.7</v>
      </c>
      <c r="E69" s="68">
        <v>52.054568508290444</v>
      </c>
      <c r="F69" s="69">
        <v>128.69163767750064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196.59593379240673</v>
      </c>
      <c r="O69" s="68">
        <v>70.294486455567011</v>
      </c>
      <c r="P69" s="69">
        <v>120.34652098211106</v>
      </c>
      <c r="R69" t="s">
        <v>4</v>
      </c>
      <c r="S69" t="s">
        <v>5</v>
      </c>
      <c r="T69" s="24" t="s">
        <v>6</v>
      </c>
      <c r="U69" s="3"/>
      <c r="W69" s="12"/>
      <c r="X69" s="16" t="s">
        <v>13</v>
      </c>
      <c r="Y69" s="11" t="s">
        <v>49</v>
      </c>
      <c r="AM69" s="12"/>
      <c r="AN69" s="17"/>
      <c r="AO69" s="13"/>
      <c r="BG69" s="5"/>
      <c r="BH69" s="5"/>
      <c r="BJ69" s="3"/>
    </row>
    <row r="70" spans="3:62" ht="14" thickBot="1" x14ac:dyDescent="0.2">
      <c r="C70" s="12"/>
      <c r="D70" s="67">
        <v>189.6</v>
      </c>
      <c r="E70" s="68">
        <v>50.877843425757796</v>
      </c>
      <c r="F70" s="69">
        <v>112.55887039452776</v>
      </c>
      <c r="G70" s="316" t="s">
        <v>412</v>
      </c>
      <c r="H70" s="317">
        <f t="array" ref="H70:J70">LINEST(E69:E72,D69:D72^{1,2})</f>
        <v>6.5254221392761704E-4</v>
      </c>
      <c r="I70" s="317">
        <v>-0.18351921947972666</v>
      </c>
      <c r="J70" s="317">
        <v>62.513685753569391</v>
      </c>
      <c r="K70" s="318">
        <f>$H$70*AC36^2+$I$70*AC36+$J$70</f>
        <v>54.002618940073845</v>
      </c>
      <c r="M70" s="12"/>
      <c r="N70" s="67">
        <v>188.24966838990059</v>
      </c>
      <c r="O70" s="68">
        <v>70.39393478183564</v>
      </c>
      <c r="P70" s="69">
        <v>121.47322095590408</v>
      </c>
      <c r="Q70" s="129" t="s">
        <v>412</v>
      </c>
      <c r="R70">
        <f t="array" ref="R70:T70">LINEST(O69:O72,N69:N72^{1,2})</f>
        <v>6.1522633864861273E-5</v>
      </c>
      <c r="S70">
        <v>1.2551051384514608E-2</v>
      </c>
      <c r="T70" s="24">
        <v>65.60898642374967</v>
      </c>
      <c r="U70" s="84">
        <f>$R$70*AC36^2+$S$70*AC36+$T$70</f>
        <v>66.555309508319255</v>
      </c>
      <c r="W70" s="228" t="s">
        <v>404</v>
      </c>
      <c r="X70" s="287">
        <v>117.956213615922</v>
      </c>
      <c r="Y70" s="288">
        <v>149.69222564951269</v>
      </c>
      <c r="AM70" s="12"/>
      <c r="AN70" s="16" t="s">
        <v>13</v>
      </c>
      <c r="AO70" s="11" t="s">
        <v>516</v>
      </c>
      <c r="BG70" s="5"/>
      <c r="BH70" s="5"/>
      <c r="BJ70" s="3"/>
    </row>
    <row r="71" spans="3:62" x14ac:dyDescent="0.15">
      <c r="C71" s="12"/>
      <c r="D71" s="67">
        <v>172.1</v>
      </c>
      <c r="E71" s="68">
        <v>50.40068165114193</v>
      </c>
      <c r="F71" s="69">
        <v>106.12964882779858</v>
      </c>
      <c r="G71" s="129" t="s">
        <v>423</v>
      </c>
      <c r="H71">
        <f t="array" ref="H71:I71">LINEST(E69:E72,D69:D72)</f>
        <v>1.9689976514100441E-2</v>
      </c>
      <c r="I71">
        <v>47.493587888608069</v>
      </c>
      <c r="K71" s="298">
        <f>H71*$AC$36+I71</f>
        <v>48.646987266047645</v>
      </c>
      <c r="M71" s="12"/>
      <c r="N71" s="67">
        <v>164.38494862120547</v>
      </c>
      <c r="O71" s="68">
        <v>69.238525709591201</v>
      </c>
      <c r="P71" s="69">
        <v>108.17336872060635</v>
      </c>
      <c r="Q71" s="129" t="s">
        <v>420</v>
      </c>
      <c r="R71">
        <f t="array" ref="R71:S71">LINEST(O69:O72,N69:N72)</f>
        <v>3.1870958627067944E-2</v>
      </c>
      <c r="S71">
        <v>64.153635278266677</v>
      </c>
      <c r="T71" s="24"/>
      <c r="U71" s="84">
        <f>R71*AC36+S71</f>
        <v>66.020572184592496</v>
      </c>
      <c r="W71" s="232"/>
      <c r="X71" s="17">
        <v>167.45120469341205</v>
      </c>
      <c r="Y71" s="289">
        <v>194.21295707561856</v>
      </c>
      <c r="AM71" s="228" t="s">
        <v>404</v>
      </c>
      <c r="AN71" s="287">
        <v>117.956213615922</v>
      </c>
      <c r="AO71" s="288">
        <v>480.47740951140975</v>
      </c>
      <c r="BG71" s="5"/>
      <c r="BH71" s="5"/>
      <c r="BJ71" s="3"/>
    </row>
    <row r="72" spans="3:62" x14ac:dyDescent="0.15">
      <c r="C72" s="14"/>
      <c r="D72" s="67">
        <v>116.3</v>
      </c>
      <c r="E72" s="68">
        <v>49.985155052847965</v>
      </c>
      <c r="F72" s="69">
        <v>85.326812740785954</v>
      </c>
      <c r="G72" s="297" t="s">
        <v>462</v>
      </c>
      <c r="H72" s="2">
        <f t="array" ref="H72:I72">LINEST(E69:E72,LN(D69:D72))</f>
        <v>2.8809246720542263</v>
      </c>
      <c r="I72" s="2">
        <v>36.103728955610414</v>
      </c>
      <c r="K72" s="298">
        <f>H72*LN($AC$36)+I72</f>
        <v>47.83012703063158</v>
      </c>
      <c r="M72" s="14"/>
      <c r="N72" s="67">
        <v>119.65707821171999</v>
      </c>
      <c r="O72" s="68">
        <v>68.005684116574912</v>
      </c>
      <c r="P72" s="69">
        <v>85.810867205336919</v>
      </c>
      <c r="Q72" s="297" t="s">
        <v>462</v>
      </c>
      <c r="R72" s="2">
        <f t="array" ref="R72:S72">LINEST(O69:O72,LN(N69:N72))</f>
        <v>4.8783884094532386</v>
      </c>
      <c r="S72" s="2">
        <v>44.596351357752141</v>
      </c>
      <c r="T72" s="24"/>
      <c r="U72" s="84">
        <f>R72*LN($AC$36)+S72</f>
        <v>64.453144216215776</v>
      </c>
      <c r="W72" s="232"/>
      <c r="X72" s="17">
        <v>209.867282129915</v>
      </c>
      <c r="Y72" s="289">
        <v>226.86308284600184</v>
      </c>
      <c r="AM72" s="232"/>
      <c r="AN72" s="17">
        <v>167.45120469341205</v>
      </c>
      <c r="AO72" s="289">
        <v>499.25319556455048</v>
      </c>
      <c r="BJ72" s="3"/>
    </row>
    <row r="73" spans="3:62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17">
        <v>234.55670322791551</v>
      </c>
      <c r="Y73" s="289">
        <v>250.01490513085002</v>
      </c>
      <c r="AM73" s="232"/>
      <c r="AN73" s="17">
        <v>209.867282129915</v>
      </c>
      <c r="AO73" s="289">
        <v>489.60273417160482</v>
      </c>
    </row>
    <row r="74" spans="3:62" x14ac:dyDescent="0.15">
      <c r="C74" s="10" t="s">
        <v>410</v>
      </c>
      <c r="D74" s="67">
        <v>120.9</v>
      </c>
      <c r="E74" s="68">
        <v>42.714217266282517</v>
      </c>
      <c r="F74" s="69">
        <v>42.308179527845539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120.06691977873932</v>
      </c>
      <c r="O74" s="68">
        <v>60.277409039035533</v>
      </c>
      <c r="P74" s="69">
        <v>42.25542567916542</v>
      </c>
      <c r="R74" t="s">
        <v>4</v>
      </c>
      <c r="S74" t="s">
        <v>5</v>
      </c>
      <c r="T74" s="24" t="s">
        <v>6</v>
      </c>
      <c r="W74" s="232"/>
      <c r="X74" s="17">
        <v>285.05414656505906</v>
      </c>
      <c r="Y74" s="289">
        <v>291.75989245361296</v>
      </c>
      <c r="AM74" s="232"/>
      <c r="AN74" s="17">
        <v>234.55670322791551</v>
      </c>
      <c r="AO74" s="289">
        <v>465.36220734164971</v>
      </c>
    </row>
    <row r="75" spans="3:62" x14ac:dyDescent="0.15">
      <c r="C75" s="12"/>
      <c r="D75" s="67">
        <v>111.7</v>
      </c>
      <c r="E75" s="68">
        <v>41.582199094486363</v>
      </c>
      <c r="F75" s="69">
        <v>40.495302050898424</v>
      </c>
      <c r="G75" s="316" t="s">
        <v>412</v>
      </c>
      <c r="H75" s="317">
        <f t="array" ref="H75:J75">LINEST(E74:E77,D74:D77^{1,2})</f>
        <v>1.902347406649211E-3</v>
      </c>
      <c r="I75" s="317">
        <v>-0.33291713030740883</v>
      </c>
      <c r="J75" s="317">
        <v>55.121889541939801</v>
      </c>
      <c r="K75" s="318">
        <f>$H$75*AC37^2+$I$75*AC37+$J$75</f>
        <v>45.233885614233117</v>
      </c>
      <c r="M75" s="12"/>
      <c r="N75" s="67">
        <v>110.21384224054002</v>
      </c>
      <c r="O75" s="68">
        <v>59.745318906529754</v>
      </c>
      <c r="P75" s="69">
        <v>41.173680053971971</v>
      </c>
      <c r="R75">
        <f t="array" ref="R75:T75">LINEST(O74:O77,N74:N77^{1,2})</f>
        <v>3.2824702902644714E-4</v>
      </c>
      <c r="S75">
        <v>-1.7144705829168654E-2</v>
      </c>
      <c r="T75" s="24">
        <v>57.615783132893725</v>
      </c>
      <c r="U75" s="84">
        <f>$R$75*AC37^2+$S$75*AC37+$T$75</f>
        <v>57.437618998986352</v>
      </c>
      <c r="W75" s="232"/>
      <c r="X75" s="17">
        <v>262.71629311714196</v>
      </c>
      <c r="Y75" s="289">
        <v>272.36127011804143</v>
      </c>
      <c r="AM75" s="232"/>
      <c r="AN75" s="17">
        <v>285.05414656505906</v>
      </c>
      <c r="AO75" s="289">
        <v>405.83209680812467</v>
      </c>
    </row>
    <row r="76" spans="3:62" x14ac:dyDescent="0.15">
      <c r="C76" s="12"/>
      <c r="D76" s="67">
        <v>102.2</v>
      </c>
      <c r="E76" s="68">
        <v>41.026264842676959</v>
      </c>
      <c r="F76" s="69">
        <v>37.460548315091366</v>
      </c>
      <c r="G76" s="129" t="s">
        <v>423</v>
      </c>
      <c r="H76">
        <f t="array" ref="H76:I76">LINEST(E74:E77,D74:D77)</f>
        <v>3.5780633026119293E-2</v>
      </c>
      <c r="I76">
        <v>37.86855731228237</v>
      </c>
      <c r="K76" s="298">
        <f>H76*$AC$37+I76</f>
        <v>39.225211338517134</v>
      </c>
      <c r="M76" s="12"/>
      <c r="N76" s="67">
        <v>101.54208149102088</v>
      </c>
      <c r="O76" s="68">
        <v>59.237513523597116</v>
      </c>
      <c r="P76" s="69">
        <v>38.90352411116335</v>
      </c>
      <c r="Q76" s="129" t="s">
        <v>420</v>
      </c>
      <c r="R76">
        <f t="array" ref="R76:S76">LINEST(O74:O77,N74:N77)</f>
        <v>4.4751210043568197E-2</v>
      </c>
      <c r="S76">
        <v>54.820194958958702</v>
      </c>
      <c r="T76" s="24"/>
      <c r="U76" s="84">
        <f>R76*AC37+S76</f>
        <v>56.516976266325898</v>
      </c>
      <c r="W76" s="290"/>
      <c r="X76" s="18">
        <v>261.96983501546862</v>
      </c>
      <c r="Y76" s="291">
        <v>272.86710131104024</v>
      </c>
      <c r="AM76" s="232"/>
      <c r="AN76" s="17">
        <v>262.71629311714196</v>
      </c>
      <c r="AO76" s="289">
        <v>432.65135686837277</v>
      </c>
    </row>
    <row r="77" spans="3:62" x14ac:dyDescent="0.15">
      <c r="C77" s="14"/>
      <c r="D77" s="67">
        <v>75.400000000000006</v>
      </c>
      <c r="E77" s="68">
        <v>40.82876371299777</v>
      </c>
      <c r="F77" s="69">
        <v>31.856143614151943</v>
      </c>
      <c r="G77" s="297" t="s">
        <v>462</v>
      </c>
      <c r="H77" s="2">
        <f t="array" ref="H77:I77">LINEST(E74:E77,LN(D74:D77))</f>
        <v>3.2580688437372398</v>
      </c>
      <c r="I77" s="2">
        <v>26.501450441601413</v>
      </c>
      <c r="J77" s="25"/>
      <c r="K77" s="298">
        <f>H77*LN($AC$37)+I77</f>
        <v>38.345735855913425</v>
      </c>
      <c r="M77" s="14"/>
      <c r="N77" s="67">
        <v>71.51080035745774</v>
      </c>
      <c r="O77" s="68">
        <v>58.0702069810362</v>
      </c>
      <c r="P77" s="69">
        <v>32.284243019271635</v>
      </c>
      <c r="Q77" s="297" t="s">
        <v>462</v>
      </c>
      <c r="R77" s="2">
        <f t="array" ref="R77:S77">LINEST(O74:O77,LN(N74:N77))</f>
        <v>4.0905879464247681</v>
      </c>
      <c r="S77" s="2">
        <v>40.53554897522703</v>
      </c>
      <c r="T77" s="26"/>
      <c r="U77" s="84">
        <f>R77*LN($AC$37)+S77</f>
        <v>55.406349278582084</v>
      </c>
      <c r="W77" s="232"/>
      <c r="X77" s="17">
        <v>283.96765425773657</v>
      </c>
      <c r="Y77" s="289">
        <v>293.34861075163002</v>
      </c>
      <c r="AM77" s="290"/>
      <c r="AN77" s="18">
        <v>261.96983501546862</v>
      </c>
      <c r="AO77" s="291">
        <v>433.6376239036544</v>
      </c>
    </row>
    <row r="78" spans="3:62" ht="14" thickBot="1" x14ac:dyDescent="0.2">
      <c r="W78" s="236"/>
      <c r="X78" s="292">
        <v>69.746589293639971</v>
      </c>
      <c r="Y78" s="293">
        <v>122.34343264857729</v>
      </c>
      <c r="AM78" s="232"/>
      <c r="AN78" s="17">
        <v>283.96765425773657</v>
      </c>
      <c r="AO78" s="289">
        <v>410.00831718529457</v>
      </c>
    </row>
    <row r="79" spans="3:62" ht="14" thickBot="1" x14ac:dyDescent="0.2">
      <c r="F79" s="5"/>
      <c r="W79" s="12"/>
      <c r="X79" s="17"/>
      <c r="Y79" s="13"/>
      <c r="AM79" s="236"/>
      <c r="AN79" s="292"/>
      <c r="AO79" s="293"/>
    </row>
    <row r="80" spans="3:62" ht="14" thickBot="1" x14ac:dyDescent="0.2">
      <c r="F80" s="5"/>
      <c r="W80" s="12"/>
      <c r="X80" s="16" t="s">
        <v>13</v>
      </c>
      <c r="Y80" s="11" t="s">
        <v>49</v>
      </c>
      <c r="AM80" s="12"/>
      <c r="AN80" s="17"/>
      <c r="AO80" s="13"/>
    </row>
    <row r="81" spans="6:41" ht="14" thickBot="1" x14ac:dyDescent="0.2">
      <c r="F81" s="5"/>
      <c r="W81" s="228" t="s">
        <v>411</v>
      </c>
      <c r="X81" s="287">
        <v>81.276712462616203</v>
      </c>
      <c r="Y81" s="288">
        <v>68.338082142436136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17">
        <v>119.65707821171999</v>
      </c>
      <c r="Y82" s="289">
        <v>85.817945626993549</v>
      </c>
      <c r="AM82" s="228" t="s">
        <v>411</v>
      </c>
      <c r="AN82" s="287">
        <v>81.276712462616203</v>
      </c>
      <c r="AO82" s="288">
        <v>265.00501232977552</v>
      </c>
    </row>
    <row r="83" spans="6:41" x14ac:dyDescent="0.15">
      <c r="W83" s="232"/>
      <c r="X83" s="17">
        <v>150.59712190136415</v>
      </c>
      <c r="Y83" s="289">
        <v>100.58211420649553</v>
      </c>
      <c r="AM83" s="232"/>
      <c r="AN83" s="17">
        <v>119.65707821171999</v>
      </c>
      <c r="AO83" s="289">
        <v>275.72121747030798</v>
      </c>
    </row>
    <row r="84" spans="6:41" x14ac:dyDescent="0.15">
      <c r="W84" s="232"/>
      <c r="X84" s="17">
        <v>164.38494862120547</v>
      </c>
      <c r="Y84" s="289">
        <v>108.18499603886791</v>
      </c>
      <c r="AM84" s="232"/>
      <c r="AN84" s="17">
        <v>150.59712190136415</v>
      </c>
      <c r="AO84" s="289">
        <v>277.98938334266228</v>
      </c>
    </row>
    <row r="85" spans="6:41" x14ac:dyDescent="0.15">
      <c r="W85" s="232"/>
      <c r="X85" s="17">
        <v>191.8026926749649</v>
      </c>
      <c r="Y85" s="289">
        <v>122.06707576044337</v>
      </c>
      <c r="AM85" s="232"/>
      <c r="AN85" s="17">
        <v>164.38494862120547</v>
      </c>
      <c r="AO85" s="289">
        <v>260.1718305683068</v>
      </c>
    </row>
    <row r="86" spans="6:41" x14ac:dyDescent="0.15">
      <c r="W86" s="232"/>
      <c r="X86" s="17">
        <v>202.10154643378257</v>
      </c>
      <c r="Y86" s="289">
        <v>127.03579746433738</v>
      </c>
      <c r="AM86" s="232"/>
      <c r="AN86" s="17">
        <v>191.8026926749649</v>
      </c>
      <c r="AO86" s="289">
        <v>256.38645724089372</v>
      </c>
    </row>
    <row r="87" spans="6:41" x14ac:dyDescent="0.15">
      <c r="F87" s="5"/>
      <c r="W87" s="290"/>
      <c r="X87" s="18">
        <v>188.24966838990059</v>
      </c>
      <c r="Y87" s="291">
        <v>121.47438704053738</v>
      </c>
      <c r="AM87" s="232"/>
      <c r="AN87" s="17">
        <v>202.10154643378257</v>
      </c>
      <c r="AO87" s="289">
        <v>247.75451315166487</v>
      </c>
    </row>
    <row r="88" spans="6:41" ht="14" thickBot="1" x14ac:dyDescent="0.2">
      <c r="F88" s="5"/>
      <c r="W88" s="236"/>
      <c r="X88" s="292">
        <v>196.59593379240673</v>
      </c>
      <c r="Y88" s="293">
        <v>120.34526296527847</v>
      </c>
      <c r="AM88" s="290"/>
      <c r="AN88" s="18">
        <v>188.24966838990059</v>
      </c>
      <c r="AO88" s="291">
        <v>256.27772092943292</v>
      </c>
    </row>
    <row r="89" spans="6:41" ht="14" thickBot="1" x14ac:dyDescent="0.2">
      <c r="F89" s="5"/>
      <c r="W89" s="12"/>
      <c r="X89" s="17"/>
      <c r="Y89" s="13"/>
      <c r="AM89" s="236"/>
      <c r="AN89" s="292">
        <v>196.59593379240673</v>
      </c>
      <c r="AO89" s="293">
        <v>237.96625636891571</v>
      </c>
    </row>
    <row r="90" spans="6:41" ht="14" thickBot="1" x14ac:dyDescent="0.2">
      <c r="F90" s="5"/>
      <c r="W90" s="12"/>
      <c r="X90" s="17"/>
      <c r="Y90" s="13"/>
      <c r="AM90" s="12"/>
      <c r="AN90" s="17"/>
      <c r="AO90" s="13"/>
    </row>
    <row r="91" spans="6:41" ht="14" thickBot="1" x14ac:dyDescent="0.2">
      <c r="F91" s="5"/>
      <c r="W91" s="228"/>
      <c r="X91" s="320" t="s">
        <v>13</v>
      </c>
      <c r="Y91" s="321" t="s">
        <v>49</v>
      </c>
      <c r="AM91" s="12"/>
      <c r="AN91" s="17"/>
      <c r="AO91" s="13"/>
    </row>
    <row r="92" spans="6:41" x14ac:dyDescent="0.15">
      <c r="F92" s="5"/>
      <c r="W92" s="322" t="s">
        <v>409</v>
      </c>
      <c r="X92" s="19">
        <v>49.906264553821721</v>
      </c>
      <c r="Y92" s="323">
        <v>27.789129554462839</v>
      </c>
      <c r="AM92" s="228"/>
      <c r="AN92" s="320" t="s">
        <v>13</v>
      </c>
      <c r="AO92" s="11" t="s">
        <v>516</v>
      </c>
    </row>
    <row r="93" spans="6:41" x14ac:dyDescent="0.15">
      <c r="F93" s="5"/>
      <c r="W93" s="232"/>
      <c r="X93" s="17">
        <v>71.51080035745774</v>
      </c>
      <c r="Y93" s="289">
        <v>32.284696155606284</v>
      </c>
      <c r="AM93" s="322" t="s">
        <v>517</v>
      </c>
      <c r="AN93" s="19">
        <v>49.906264553821721</v>
      </c>
      <c r="AO93" s="323">
        <v>115.4382451776105</v>
      </c>
    </row>
    <row r="94" spans="6:41" x14ac:dyDescent="0.15">
      <c r="F94" s="5"/>
      <c r="W94" s="232"/>
      <c r="X94" s="17">
        <v>90.043158959485879</v>
      </c>
      <c r="Y94" s="289">
        <v>35.64020826027015</v>
      </c>
      <c r="AM94" s="232"/>
      <c r="AN94" s="17">
        <v>71.51080035745774</v>
      </c>
      <c r="AO94" s="289">
        <v>116.49698561821329</v>
      </c>
    </row>
    <row r="95" spans="6:41" x14ac:dyDescent="0.15">
      <c r="F95" s="5"/>
      <c r="W95" s="232"/>
      <c r="X95" s="17">
        <v>101.54208149102088</v>
      </c>
      <c r="Y95" s="289">
        <v>38.902321225263641</v>
      </c>
      <c r="AM95" s="232"/>
      <c r="AN95" s="17">
        <v>90.043158959485879</v>
      </c>
      <c r="AO95" s="289">
        <v>119.17840227299482</v>
      </c>
    </row>
    <row r="96" spans="6:41" x14ac:dyDescent="0.15">
      <c r="F96" s="5"/>
      <c r="W96" s="232"/>
      <c r="X96" s="17">
        <v>119.0326314099045</v>
      </c>
      <c r="Y96" s="289">
        <v>42.421503042537594</v>
      </c>
      <c r="AM96" s="232"/>
      <c r="AN96" s="17">
        <v>101.54208149102088</v>
      </c>
      <c r="AO96" s="289">
        <v>118.07500366378952</v>
      </c>
    </row>
    <row r="97" spans="6:41" x14ac:dyDescent="0.15">
      <c r="F97" s="5"/>
      <c r="W97" s="232"/>
      <c r="X97" s="17">
        <v>110.21384224054002</v>
      </c>
      <c r="Y97" s="289">
        <v>41.173887650695342</v>
      </c>
      <c r="AM97" s="232"/>
      <c r="AN97" s="17">
        <v>119.0326314099045</v>
      </c>
      <c r="AO97" s="289">
        <v>114.88763761184336</v>
      </c>
    </row>
    <row r="98" spans="6:41" ht="14" thickBot="1" x14ac:dyDescent="0.2">
      <c r="F98" s="5"/>
      <c r="W98" s="236"/>
      <c r="X98" s="292">
        <v>120.06691977873932</v>
      </c>
      <c r="Y98" s="293">
        <v>42.255082918151238</v>
      </c>
      <c r="AM98" s="232"/>
      <c r="AN98" s="17">
        <v>110.21384224054002</v>
      </c>
      <c r="AO98" s="289">
        <v>116.44711487432268</v>
      </c>
    </row>
    <row r="99" spans="6:41" ht="14" thickBot="1" x14ac:dyDescent="0.2">
      <c r="F99" s="5"/>
      <c r="AM99" s="236"/>
      <c r="AN99" s="292">
        <v>120.06691977873932</v>
      </c>
      <c r="AO99" s="293">
        <v>113.88939116261066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F704D-551F-43B8-B0A1-3BF4A022CF25}">
  <sheetPr>
    <pageSetUpPr fitToPage="1"/>
  </sheetPr>
  <dimension ref="B2:AM107"/>
  <sheetViews>
    <sheetView showGridLines="0" topLeftCell="A27" zoomScaleNormal="100" zoomScaleSheetLayoutView="55" workbookViewId="0">
      <selection activeCell="G40" sqref="G40"/>
    </sheetView>
  </sheetViews>
  <sheetFormatPr baseColWidth="10" defaultColWidth="9.1640625" defaultRowHeight="13" x14ac:dyDescent="0.15"/>
  <cols>
    <col min="1" max="1" width="9.1640625" style="88"/>
    <col min="2" max="2" width="2.33203125" style="88" customWidth="1"/>
    <col min="3" max="3" width="29.6640625" style="88" customWidth="1"/>
    <col min="4" max="4" width="11.6640625" style="88" customWidth="1"/>
    <col min="5" max="5" width="11.5" style="88" customWidth="1"/>
    <col min="6" max="6" width="11.33203125" style="88" customWidth="1"/>
    <col min="7" max="7" width="12.1640625" style="88" customWidth="1"/>
    <col min="8" max="8" width="11.5" style="88" customWidth="1"/>
    <col min="9" max="9" width="1.1640625" style="88" customWidth="1"/>
    <col min="10" max="11" width="13.6640625" style="88" customWidth="1"/>
    <col min="12" max="13" width="13.83203125" style="88" customWidth="1"/>
    <col min="14" max="14" width="12.5" style="88" customWidth="1"/>
    <col min="15" max="15" width="2.5" style="88" customWidth="1"/>
    <col min="16" max="16" width="6.6640625" style="88" customWidth="1"/>
    <col min="17" max="17" width="2.33203125" style="88" customWidth="1"/>
    <col min="18" max="18" width="63.5" style="88" customWidth="1"/>
    <col min="19" max="19" width="8.33203125" style="88" customWidth="1"/>
    <col min="20" max="20" width="10.1640625" style="88" customWidth="1"/>
    <col min="21" max="21" width="8.5" style="88" customWidth="1"/>
    <col min="22" max="22" width="2.1640625" style="88" customWidth="1"/>
    <col min="23" max="23" width="11.5" style="88" customWidth="1"/>
    <col min="24" max="26" width="10.5" style="88" customWidth="1"/>
    <col min="27" max="29" width="8.5" style="88" customWidth="1"/>
    <col min="30" max="30" width="1.6640625" style="88" customWidth="1"/>
    <col min="31" max="32" width="9.1640625" style="88"/>
    <col min="33" max="39" width="0" style="88" hidden="1" customWidth="1"/>
    <col min="40" max="16384" width="9.1640625" style="88"/>
  </cols>
  <sheetData>
    <row r="2" spans="2:39" x14ac:dyDescent="0.15">
      <c r="B2" s="10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62" t="str" cm="1">
        <f t="array" ref="O2">INDEX(Kirjasto_ENT!D4:K125,1,Kirjasto_ENT!B4)</f>
        <v>Version 8.0</v>
      </c>
      <c r="Q2" s="10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63"/>
      <c r="AD2" s="262" t="str">
        <f>O2</f>
        <v>Version 8.0</v>
      </c>
    </row>
    <row r="3" spans="2:39" ht="31.5" customHeight="1" x14ac:dyDescent="0.15">
      <c r="B3" s="12"/>
      <c r="C3" s="836" t="str" cm="1">
        <f t="array" ref="C3">INDEX(Kirjasto_ENT!D4:K125,2,Kirjasto_ENT!B4)</f>
        <v>Airfi: air handling unit selection program</v>
      </c>
      <c r="D3"/>
      <c r="E3"/>
      <c r="F3"/>
      <c r="G3"/>
      <c r="H3"/>
      <c r="I3"/>
      <c r="J3"/>
      <c r="K3"/>
      <c r="L3"/>
      <c r="M3"/>
      <c r="N3" s="90"/>
      <c r="O3" s="24"/>
      <c r="Q3" s="12"/>
      <c r="R3" s="1729" t="str" cm="1">
        <f t="array" ref="R3">INDEX(Kirjasto_ENT!D4:K125,72,Kirjasto_ENT!B4)</f>
        <v>Calculation of annual efficiency for exhaust air heat recovery</v>
      </c>
      <c r="S3" s="1729"/>
      <c r="T3" s="1729"/>
      <c r="U3" s="1729"/>
      <c r="V3" s="1729"/>
      <c r="W3" s="1729">
        <v>1</v>
      </c>
      <c r="X3" s="1729"/>
      <c r="Y3" s="1729"/>
      <c r="Z3" s="1729"/>
      <c r="AA3" s="1729"/>
      <c r="AB3" s="1729"/>
      <c r="AC3" s="143"/>
      <c r="AD3" s="24"/>
    </row>
    <row r="4" spans="2:39" ht="18" customHeight="1" x14ac:dyDescent="0.15">
      <c r="B4" s="12"/>
      <c r="C4" s="78" t="str" cm="1">
        <f t="array" ref="C4">INDEX(Kirjasto_ENT!D4:K125,3,Kirjasto_ENT!B4)</f>
        <v>Project:</v>
      </c>
      <c r="D4" s="1766"/>
      <c r="E4" s="1767"/>
      <c r="F4" s="1767"/>
      <c r="G4" s="1767"/>
      <c r="H4" s="1767"/>
      <c r="I4" s="1768"/>
      <c r="J4"/>
      <c r="K4"/>
      <c r="L4"/>
      <c r="M4"/>
      <c r="N4"/>
      <c r="O4" s="24"/>
      <c r="Q4" s="12"/>
      <c r="R4" s="267" t="str" cm="1">
        <f t="array" ref="R4">INDEX(Kirjasto_ENT!D4:K200,140,Kirjasto_ENT!B4)</f>
        <v/>
      </c>
      <c r="S4" s="266"/>
      <c r="T4" s="266"/>
      <c r="U4" s="266"/>
      <c r="V4" s="266"/>
      <c r="W4" s="266"/>
      <c r="X4" s="143"/>
      <c r="Y4" s="143"/>
      <c r="Z4" s="143"/>
      <c r="AA4" s="143"/>
      <c r="AB4" s="143"/>
      <c r="AC4" s="143"/>
      <c r="AD4" s="24"/>
    </row>
    <row r="5" spans="2:39" ht="18.75" customHeight="1" x14ac:dyDescent="0.15">
      <c r="B5" s="12"/>
      <c r="C5" s="269" t="str" cm="1">
        <f t="array" ref="C5">INDEX(Kirjasto_ENT!D4:K125,4,Kirjasto_ENT!B4)</f>
        <v>Name:</v>
      </c>
      <c r="D5" s="1766"/>
      <c r="E5" s="1767"/>
      <c r="F5" s="1767"/>
      <c r="G5" s="1767"/>
      <c r="H5" s="1767"/>
      <c r="I5" s="1768"/>
      <c r="J5"/>
      <c r="K5"/>
      <c r="L5"/>
      <c r="M5" s="264">
        <v>1</v>
      </c>
      <c r="N5"/>
      <c r="O5" s="24"/>
      <c r="Q5" s="12"/>
      <c r="R5" s="258"/>
      <c r="S5" s="258"/>
      <c r="T5" s="258"/>
      <c r="U5" s="258"/>
      <c r="V5" s="143"/>
      <c r="W5" s="143"/>
      <c r="X5" s="143"/>
      <c r="Y5" s="143"/>
      <c r="Z5" s="143"/>
      <c r="AA5" s="143"/>
      <c r="AB5" s="143"/>
      <c r="AC5" s="143"/>
      <c r="AD5" s="24"/>
    </row>
    <row r="6" spans="2:39" ht="18.75" customHeight="1" x14ac:dyDescent="0.15">
      <c r="B6" s="12"/>
      <c r="C6"/>
      <c r="D6"/>
      <c r="E6"/>
      <c r="F6" s="393" t="str" cm="1">
        <f t="array" ref="F6">IF(Tulokset_ENT!BD2,IF(Tulokset_ENT!BD3=FALSE,INDEX(Kirjasto_ENT!D4:K136,128,Kirjasto_ENT!B4),""),"")</f>
        <v/>
      </c>
      <c r="G6"/>
      <c r="H6"/>
      <c r="I6"/>
      <c r="J6"/>
      <c r="K6"/>
      <c r="L6"/>
      <c r="M6"/>
      <c r="N6"/>
      <c r="O6" s="24"/>
      <c r="Q6" s="12"/>
      <c r="R6" s="1731" t="str">
        <f>CONCATENATE(C4,"  ",D4)</f>
        <v xml:space="preserve">Project:  </v>
      </c>
      <c r="S6" s="1731"/>
      <c r="T6" s="1731"/>
      <c r="U6" s="1731"/>
      <c r="V6" s="143"/>
      <c r="W6" s="143"/>
      <c r="X6" s="143"/>
      <c r="Y6" s="143"/>
      <c r="Z6" s="143"/>
      <c r="AA6" s="143"/>
      <c r="AB6" s="143"/>
      <c r="AC6" s="143"/>
      <c r="AD6" s="24"/>
    </row>
    <row r="7" spans="2:39" ht="18.75" customHeight="1" x14ac:dyDescent="0.15">
      <c r="B7" s="12"/>
      <c r="C7" s="2" t="str" cm="1">
        <f t="array" ref="C7">INDEX(Kirjasto_ENT!D4:K125,5,Kirjasto_ENT!B4)</f>
        <v>Select model:</v>
      </c>
      <c r="D7"/>
      <c r="E7"/>
      <c r="F7"/>
      <c r="G7"/>
      <c r="H7"/>
      <c r="I7"/>
      <c r="J7"/>
      <c r="K7"/>
      <c r="L7"/>
      <c r="M7"/>
      <c r="N7"/>
      <c r="O7" s="24"/>
      <c r="Q7" s="12"/>
      <c r="R7" s="1731" t="str">
        <f>CONCATENATE(C5,"  ",D5)</f>
        <v xml:space="preserve">Name:  </v>
      </c>
      <c r="S7" s="1731"/>
      <c r="T7" s="1731"/>
      <c r="U7" s="1731"/>
      <c r="V7" s="143"/>
      <c r="W7" s="268"/>
      <c r="X7" s="145" t="str" cm="1">
        <f t="array" ref="X7">INDEX(Kirjasto_ENT!D4:K125,74,Kirjasto_ENT!B4)</f>
        <v>= insert value</v>
      </c>
      <c r="Y7" s="143"/>
      <c r="Z7" s="143"/>
      <c r="AA7" s="143"/>
      <c r="AB7" s="143"/>
      <c r="AC7" s="143"/>
      <c r="AD7" s="24"/>
    </row>
    <row r="8" spans="2:39" ht="15.5" customHeight="1" x14ac:dyDescent="0.15">
      <c r="B8" s="12"/>
      <c r="C8" s="314"/>
      <c r="D8"/>
      <c r="E8"/>
      <c r="F8"/>
      <c r="G8"/>
      <c r="H8"/>
      <c r="I8"/>
      <c r="J8" s="394" t="str" cm="1">
        <f t="array" ref="J8">IF(AND('Laskenta tulopuoli 350_ENT'!AU14,OR(Tulokset_ENT!$C$6&lt;4,Tulokset_ENT!$C$6=6,Tulokset_ENT!$C$6=7)),INDEX(Kirjasto_ENT!D4:K125,8,Kirjasto_ENT!B4),"")</f>
        <v/>
      </c>
      <c r="K8"/>
      <c r="L8"/>
      <c r="M8"/>
      <c r="N8"/>
      <c r="O8" s="24"/>
      <c r="Q8" s="12"/>
      <c r="R8" s="25"/>
      <c r="S8" s="144"/>
      <c r="T8" s="144"/>
      <c r="U8" s="144"/>
      <c r="V8" s="143"/>
      <c r="W8" s="143"/>
      <c r="X8" s="143"/>
      <c r="Y8" s="143"/>
      <c r="Z8" s="143"/>
      <c r="AA8" s="143"/>
      <c r="AB8" s="143"/>
      <c r="AC8" s="143"/>
      <c r="AD8" s="24"/>
    </row>
    <row r="9" spans="2:39" ht="38.25" customHeight="1" x14ac:dyDescent="0.2">
      <c r="B9" s="12"/>
      <c r="C9" s="453" t="str">
        <f>Tulokset_ENT!CL38</f>
        <v>Airfi-Model 60ENT Electric</v>
      </c>
      <c r="D9"/>
      <c r="E9"/>
      <c r="F9"/>
      <c r="G9"/>
      <c r="H9"/>
      <c r="I9"/>
      <c r="J9"/>
      <c r="K9"/>
      <c r="L9"/>
      <c r="M9"/>
      <c r="N9"/>
      <c r="O9" s="24"/>
      <c r="Q9" s="12"/>
      <c r="R9" s="146" t="str" cm="1">
        <f t="array" ref="R9">INDEX(Kirjasto_ENT!D4:K125,75,Kirjasto_ENT!B4)</f>
        <v>Calculation parameters:</v>
      </c>
      <c r="S9" s="147" t="str" cm="1">
        <f t="array" ref="S9">IF(OR(T10&gt;'Kojeet ja kennon hyötysuhde_ENT'!F6,T10&lt;'Kojeet ja kennon hyötysuhde_ENT'!F5,T11&gt;'Kojeet ja kennon hyötysuhde_ENT'!F6,T11&lt;'Kojeet ja kennon hyötysuhde_ENT'!F5),INDEX(Kirjasto_ENT!D4:K125,23,Kirjasto_ENT!B4),"")</f>
        <v/>
      </c>
      <c r="T9" s="148"/>
      <c r="U9" s="149"/>
      <c r="V9" s="143"/>
      <c r="W9" s="126"/>
      <c r="X9" s="126"/>
      <c r="Y9" s="126"/>
      <c r="Z9" s="126"/>
      <c r="AA9" s="126"/>
      <c r="AB9" s="126"/>
      <c r="AC9" s="126"/>
      <c r="AD9" s="153"/>
      <c r="AG9" s="550" t="str" cm="1">
        <f t="array" ref="AG9">INDEX(Kirjasto_ENT!D4:K125,96,Kirjasto_ENT!B4)</f>
        <v>Outdoor air temperature [°C]</v>
      </c>
      <c r="AH9" s="551" t="str" cm="1">
        <f t="array" ref="AH9">INDEX(Kirjasto_ENT!D4:K125,97,Kirjasto_ENT!B4)</f>
        <v>Percentage of the year</v>
      </c>
      <c r="AI9" s="552" t="str" cm="1">
        <f t="array" ref="AI9">INDEX(Kirjasto_ENT!D4:K125,98,Kirjasto_ENT!B4)</f>
        <v>Exhaust air temperature</v>
      </c>
      <c r="AJ9" s="551" t="str" cm="1">
        <f t="array" ref="AJ9">INDEX(Kirjasto_ENT!D4:K125,99,Kirjasto_ENT!B4)</f>
        <v>Supply air temperature</v>
      </c>
      <c r="AK9" s="553" t="s">
        <v>975</v>
      </c>
      <c r="AL9" s="554" t="s">
        <v>976</v>
      </c>
      <c r="AM9" s="555" t="s">
        <v>977</v>
      </c>
    </row>
    <row r="10" spans="2:39" ht="17" x14ac:dyDescent="0.15">
      <c r="B10" s="12"/>
      <c r="C10" s="452" t="str">
        <f>Tulokset_ENT!CM38</f>
        <v>Power supply: Electric plug 230 V, 50 Hz, 10 A, max 1165 W</v>
      </c>
      <c r="D10"/>
      <c r="E10"/>
      <c r="F10"/>
      <c r="G10"/>
      <c r="H10"/>
      <c r="I10"/>
      <c r="J10"/>
      <c r="K10"/>
      <c r="L10"/>
      <c r="M10"/>
      <c r="N10"/>
      <c r="O10" s="24"/>
      <c r="Q10" s="12"/>
      <c r="R10" s="546" t="str" cm="1">
        <f t="array" ref="R10">INDEX(Kirjasto_ENT!D4:K125,76,Kirjasto_ENT!B4)</f>
        <v>Supply air volume flow, through heat recovery</v>
      </c>
      <c r="S10" s="252" t="s">
        <v>215</v>
      </c>
      <c r="T10" s="256">
        <f>E33</f>
        <v>34.722222222222221</v>
      </c>
      <c r="U10" s="154" t="s">
        <v>72</v>
      </c>
      <c r="V10" s="155"/>
      <c r="W10" s="126"/>
      <c r="X10" s="126"/>
      <c r="Y10" s="126"/>
      <c r="Z10" s="126"/>
      <c r="AA10" s="126"/>
      <c r="AB10" s="126"/>
      <c r="AC10" s="126"/>
      <c r="AD10" s="24"/>
      <c r="AG10" s="156">
        <f>Laskenta_vuosihyötysuhde_ENT!F6</f>
        <v>-32</v>
      </c>
      <c r="AH10" s="157">
        <f>Laskenta_vuosihyötysuhde_ENT!G6</f>
        <v>0</v>
      </c>
      <c r="AI10" s="158">
        <f>Laskenta_vuosihyötysuhde_ENT!I6</f>
        <v>-6.5</v>
      </c>
      <c r="AJ10" s="159">
        <f>Laskenta_vuosihyötysuhde_ENT!N6</f>
        <v>-4.5</v>
      </c>
      <c r="AK10" s="160">
        <f>Laskenta_vuosihyötysuhde_ENT!U6</f>
        <v>0</v>
      </c>
      <c r="AL10" s="161">
        <f>Laskenta_vuosihyötysuhde_ENT!V6</f>
        <v>0</v>
      </c>
      <c r="AM10" s="162">
        <f>Laskenta_vuosihyötysuhde_ENT!W6</f>
        <v>0</v>
      </c>
    </row>
    <row r="11" spans="2:39" ht="15.75" customHeight="1" x14ac:dyDescent="0.15">
      <c r="B11" s="12"/>
      <c r="C11"/>
      <c r="D11"/>
      <c r="E11"/>
      <c r="F11"/>
      <c r="G11"/>
      <c r="H11"/>
      <c r="I11"/>
      <c r="J11"/>
      <c r="K11"/>
      <c r="L11"/>
      <c r="M11"/>
      <c r="N11"/>
      <c r="O11" s="24"/>
      <c r="Q11" s="12"/>
      <c r="R11" s="547" t="str" cm="1">
        <f t="array" ref="R11">INDEX(Kirjasto_ENT!D4:K125,77,Kirjasto_ENT!B4)</f>
        <v>Extract air volume flow, through heat recovery</v>
      </c>
      <c r="S11" s="255" t="s">
        <v>217</v>
      </c>
      <c r="T11" s="256">
        <f>G33</f>
        <v>34.722222222222221</v>
      </c>
      <c r="U11" s="154" t="s">
        <v>72</v>
      </c>
      <c r="V11" s="155"/>
      <c r="W11" s="126"/>
      <c r="X11" s="126"/>
      <c r="Y11" s="126"/>
      <c r="Z11" s="126"/>
      <c r="AA11" s="126"/>
      <c r="AB11" s="126"/>
      <c r="AC11" s="126"/>
      <c r="AD11" s="24"/>
      <c r="AG11" s="163">
        <f>Laskenta_vuosihyötysuhde_ENT!F7</f>
        <v>-31</v>
      </c>
      <c r="AH11" s="164">
        <f>Laskenta_vuosihyötysuhde_ENT!G7</f>
        <v>0</v>
      </c>
      <c r="AI11" s="165">
        <f>Laskenta_vuosihyötysuhde_ENT!I7</f>
        <v>-6.5</v>
      </c>
      <c r="AJ11" s="166">
        <f>Laskenta_vuosihyötysuhde_ENT!N7</f>
        <v>-3.5</v>
      </c>
      <c r="AK11" s="167">
        <f>Laskenta_vuosihyötysuhde_ENT!U7</f>
        <v>0</v>
      </c>
      <c r="AL11" s="168">
        <f>Laskenta_vuosihyötysuhde_ENT!V7</f>
        <v>0</v>
      </c>
      <c r="AM11" s="169">
        <f>Laskenta_vuosihyötysuhde_ENT!W7</f>
        <v>0</v>
      </c>
    </row>
    <row r="12" spans="2:39" ht="15.75" customHeight="1" x14ac:dyDescent="0.15">
      <c r="B12" s="12"/>
      <c r="C12"/>
      <c r="D12"/>
      <c r="E12"/>
      <c r="F12"/>
      <c r="G12"/>
      <c r="H12"/>
      <c r="I12"/>
      <c r="J12"/>
      <c r="K12"/>
      <c r="L12"/>
      <c r="M12"/>
      <c r="N12"/>
      <c r="O12" s="24"/>
      <c r="Q12" s="12"/>
      <c r="R12" s="1720" t="str" cm="1">
        <f t="array" ref="R12">INDEX(Kirjasto_ENT!D4:K125,78,Kirjasto_ENT!B4)</f>
        <v>Supply air to extract air ratio for volume flow through heat recovery</v>
      </c>
      <c r="S12" s="143"/>
      <c r="T12" s="182"/>
      <c r="U12" s="154"/>
      <c r="V12" s="155"/>
      <c r="W12" s="126"/>
      <c r="X12" s="126"/>
      <c r="Y12" s="126"/>
      <c r="Z12" s="126"/>
      <c r="AA12" s="126"/>
      <c r="AB12" s="126"/>
      <c r="AC12" s="126"/>
      <c r="AD12" s="24"/>
      <c r="AG12" s="163">
        <f>Laskenta_vuosihyötysuhde_ENT!F8</f>
        <v>-30</v>
      </c>
      <c r="AH12" s="164">
        <f>Laskenta_vuosihyötysuhde_ENT!G8</f>
        <v>0</v>
      </c>
      <c r="AI12" s="165">
        <f>Laskenta_vuosihyötysuhde_ENT!I8</f>
        <v>-6.5</v>
      </c>
      <c r="AJ12" s="166">
        <f>Laskenta_vuosihyötysuhde_ENT!N8</f>
        <v>-2.5</v>
      </c>
      <c r="AK12" s="167">
        <f>Laskenta_vuosihyötysuhde_ENT!U8</f>
        <v>0</v>
      </c>
      <c r="AL12" s="168">
        <f>Laskenta_vuosihyötysuhde_ENT!V8</f>
        <v>0</v>
      </c>
      <c r="AM12" s="169">
        <f>Laskenta_vuosihyötysuhde_ENT!W8</f>
        <v>0</v>
      </c>
    </row>
    <row r="13" spans="2:39" ht="15.75" customHeight="1" x14ac:dyDescent="0.15">
      <c r="B13" s="12"/>
      <c r="C13"/>
      <c r="D13"/>
      <c r="E13"/>
      <c r="F13"/>
      <c r="G13"/>
      <c r="H13"/>
      <c r="I13"/>
      <c r="J13"/>
      <c r="K13"/>
      <c r="L13"/>
      <c r="M13"/>
      <c r="N13"/>
      <c r="O13" s="24"/>
      <c r="Q13" s="12"/>
      <c r="R13" s="1721"/>
      <c r="S13" s="252" t="s">
        <v>256</v>
      </c>
      <c r="T13" s="265">
        <f>T10/T11</f>
        <v>1</v>
      </c>
      <c r="U13" s="170"/>
      <c r="V13" s="155"/>
      <c r="W13" s="126"/>
      <c r="X13" s="126"/>
      <c r="Y13" s="126"/>
      <c r="Z13" s="126"/>
      <c r="AA13" s="126"/>
      <c r="AB13" s="126"/>
      <c r="AC13" s="126"/>
      <c r="AD13" s="24"/>
      <c r="AG13" s="163">
        <f>Laskenta_vuosihyötysuhde_ENT!F9</f>
        <v>-29</v>
      </c>
      <c r="AH13" s="164">
        <f>Laskenta_vuosihyötysuhde_ENT!G9</f>
        <v>0</v>
      </c>
      <c r="AI13" s="165">
        <f>Laskenta_vuosihyötysuhde_ENT!I9</f>
        <v>-6.5</v>
      </c>
      <c r="AJ13" s="166">
        <f>Laskenta_vuosihyötysuhde_ENT!N9</f>
        <v>-1.4999999999999964</v>
      </c>
      <c r="AK13" s="167">
        <f>Laskenta_vuosihyötysuhde_ENT!U9</f>
        <v>0</v>
      </c>
      <c r="AL13" s="168">
        <f>Laskenta_vuosihyötysuhde_ENT!V9</f>
        <v>0</v>
      </c>
      <c r="AM13" s="169">
        <f>Laskenta_vuosihyötysuhde_ENT!W9</f>
        <v>0</v>
      </c>
    </row>
    <row r="14" spans="2:39" x14ac:dyDescent="0.15">
      <c r="B14" s="12"/>
      <c r="C14"/>
      <c r="D14"/>
      <c r="E14"/>
      <c r="F14"/>
      <c r="G14"/>
      <c r="H14"/>
      <c r="I14"/>
      <c r="J14"/>
      <c r="K14"/>
      <c r="L14"/>
      <c r="M14"/>
      <c r="N14"/>
      <c r="O14" s="24"/>
      <c r="Q14" s="12"/>
      <c r="R14" s="512"/>
      <c r="S14" s="143"/>
      <c r="T14" s="182"/>
      <c r="U14" s="154"/>
      <c r="V14" s="143"/>
      <c r="W14" s="126"/>
      <c r="X14" s="126"/>
      <c r="Y14" s="126"/>
      <c r="Z14" s="126"/>
      <c r="AA14" s="126"/>
      <c r="AB14" s="126"/>
      <c r="AC14" s="126"/>
      <c r="AD14" s="24"/>
      <c r="AG14" s="163">
        <f>Laskenta_vuosihyötysuhde_ENT!F10</f>
        <v>-28</v>
      </c>
      <c r="AH14" s="164">
        <f>Laskenta_vuosihyötysuhde_ENT!G10</f>
        <v>0</v>
      </c>
      <c r="AI14" s="165">
        <f>Laskenta_vuosihyötysuhde_ENT!I10</f>
        <v>-6.4999999999999964</v>
      </c>
      <c r="AJ14" s="166">
        <f>Laskenta_vuosihyötysuhde_ENT!N10</f>
        <v>-0.50000000000000355</v>
      </c>
      <c r="AK14" s="167">
        <f>Laskenta_vuosihyötysuhde_ENT!U10</f>
        <v>0</v>
      </c>
      <c r="AL14" s="168">
        <f>Laskenta_vuosihyötysuhde_ENT!V10</f>
        <v>0</v>
      </c>
      <c r="AM14" s="169">
        <f>Laskenta_vuosihyötysuhde_ENT!W10</f>
        <v>0</v>
      </c>
    </row>
    <row r="15" spans="2:39" x14ac:dyDescent="0.15">
      <c r="B15" s="12"/>
      <c r="C15"/>
      <c r="D15"/>
      <c r="E15"/>
      <c r="F15"/>
      <c r="G15"/>
      <c r="H15"/>
      <c r="I15"/>
      <c r="J15"/>
      <c r="K15"/>
      <c r="L15"/>
      <c r="M15"/>
      <c r="N15"/>
      <c r="O15" s="24"/>
      <c r="Q15" s="12"/>
      <c r="R15" s="1720" t="str" cm="1">
        <f t="array" ref="R15">INDEX(Kirjasto_ENT!D4:K125,79,Kirjasto_ENT!B4)</f>
        <v>Additional extract air flow rate included in heat recovery requirements</v>
      </c>
      <c r="S15" s="143"/>
      <c r="T15" s="182"/>
      <c r="U15" s="154"/>
      <c r="V15" s="143"/>
      <c r="W15" s="126"/>
      <c r="X15" s="126"/>
      <c r="Y15" s="126"/>
      <c r="Z15" s="126"/>
      <c r="AA15" s="126"/>
      <c r="AB15" s="126"/>
      <c r="AC15" s="126"/>
      <c r="AD15" s="24"/>
      <c r="AG15" s="163">
        <f>Laskenta_vuosihyötysuhde_ENT!F11</f>
        <v>-27</v>
      </c>
      <c r="AH15" s="164">
        <f>Laskenta_vuosihyötysuhde_ENT!G11</f>
        <v>0</v>
      </c>
      <c r="AI15" s="165">
        <f>Laskenta_vuosihyötysuhde_ENT!I11</f>
        <v>-6.5</v>
      </c>
      <c r="AJ15" s="166">
        <f>Laskenta_vuosihyötysuhde_ENT!N11</f>
        <v>0.5</v>
      </c>
      <c r="AK15" s="167">
        <f>Laskenta_vuosihyötysuhde_ENT!U11</f>
        <v>0</v>
      </c>
      <c r="AL15" s="168">
        <f>Laskenta_vuosihyötysuhde_ENT!V11</f>
        <v>0</v>
      </c>
      <c r="AM15" s="169">
        <f>Laskenta_vuosihyötysuhde_ENT!W11</f>
        <v>0</v>
      </c>
    </row>
    <row r="16" spans="2:39" ht="17" x14ac:dyDescent="0.15">
      <c r="B16" s="12"/>
      <c r="C16"/>
      <c r="D16"/>
      <c r="E16" s="126"/>
      <c r="F16" s="126"/>
      <c r="G16" s="126"/>
      <c r="H16" s="126"/>
      <c r="I16" s="126"/>
      <c r="J16" s="126"/>
      <c r="K16" s="126"/>
      <c r="L16" s="126"/>
      <c r="M16" s="126"/>
      <c r="N16"/>
      <c r="O16" s="24"/>
      <c r="Q16" s="12"/>
      <c r="R16" s="1721"/>
      <c r="S16" s="252" t="s">
        <v>221</v>
      </c>
      <c r="T16" s="648">
        <v>0</v>
      </c>
      <c r="U16" s="154" t="s">
        <v>72</v>
      </c>
      <c r="V16" s="155"/>
      <c r="W16" s="126"/>
      <c r="X16" s="126"/>
      <c r="Y16" s="126"/>
      <c r="Z16" s="126"/>
      <c r="AA16" s="126"/>
      <c r="AB16" s="126"/>
      <c r="AC16" s="126"/>
      <c r="AD16" s="24"/>
      <c r="AG16" s="163">
        <f>Laskenta_vuosihyötysuhde_ENT!F12</f>
        <v>-26</v>
      </c>
      <c r="AH16" s="164">
        <f>Laskenta_vuosihyötysuhde_ENT!G12</f>
        <v>0</v>
      </c>
      <c r="AI16" s="165">
        <f>Laskenta_vuosihyötysuhde_ENT!I12</f>
        <v>-6.5</v>
      </c>
      <c r="AJ16" s="166">
        <f>Laskenta_vuosihyötysuhde_ENT!N12</f>
        <v>1.5</v>
      </c>
      <c r="AK16" s="167">
        <f>Laskenta_vuosihyötysuhde_ENT!U12</f>
        <v>0</v>
      </c>
      <c r="AL16" s="168">
        <f>Laskenta_vuosihyötysuhde_ENT!V12</f>
        <v>0</v>
      </c>
      <c r="AM16" s="169">
        <f>Laskenta_vuosihyötysuhde_ENT!W12</f>
        <v>0</v>
      </c>
    </row>
    <row r="17" spans="2:39" ht="15.75" customHeight="1" x14ac:dyDescent="0.15">
      <c r="B17" s="12"/>
      <c r="C17"/>
      <c r="D17"/>
      <c r="E17" s="126"/>
      <c r="F17" s="126"/>
      <c r="G17" s="126"/>
      <c r="H17" s="126"/>
      <c r="I17" s="126"/>
      <c r="J17" s="126"/>
      <c r="K17" s="126"/>
      <c r="L17" s="126"/>
      <c r="M17" s="126"/>
      <c r="N17"/>
      <c r="O17" s="24"/>
      <c r="Q17" s="12"/>
      <c r="R17" s="546" t="str" cm="1">
        <f t="array" ref="R17">INDEX(Kirjasto_ENT!D4:K125,80,Kirjasto_ENT!B4)</f>
        <v>Operational time of the additional extract air</v>
      </c>
      <c r="S17" s="252" t="s">
        <v>223</v>
      </c>
      <c r="T17" s="648">
        <v>0</v>
      </c>
      <c r="U17" s="154" t="str" cm="1">
        <f t="array" ref="U17">INDEX(Kirjasto_ENT!D4:K500,153,Kirjasto_ENT!B4)</f>
        <v>h / day</v>
      </c>
      <c r="V17" s="155"/>
      <c r="W17" s="126"/>
      <c r="X17" s="126"/>
      <c r="Y17" s="126"/>
      <c r="Z17" s="126"/>
      <c r="AA17" s="126"/>
      <c r="AB17" s="126"/>
      <c r="AC17" s="126"/>
      <c r="AD17" s="24"/>
      <c r="AG17" s="163">
        <f>Laskenta_vuosihyötysuhde_ENT!F13</f>
        <v>-25</v>
      </c>
      <c r="AH17" s="164">
        <f>Laskenta_vuosihyötysuhde_ENT!G13</f>
        <v>0</v>
      </c>
      <c r="AI17" s="165">
        <f>Laskenta_vuosihyötysuhde_ENT!I13</f>
        <v>-6.5</v>
      </c>
      <c r="AJ17" s="166">
        <f>Laskenta_vuosihyötysuhde_ENT!N13</f>
        <v>2.5</v>
      </c>
      <c r="AK17" s="167">
        <f>Laskenta_vuosihyötysuhde_ENT!U13</f>
        <v>0</v>
      </c>
      <c r="AL17" s="168">
        <f>Laskenta_vuosihyötysuhde_ENT!V13</f>
        <v>0</v>
      </c>
      <c r="AM17" s="169">
        <f>Laskenta_vuosihyötysuhde_ENT!W13</f>
        <v>0</v>
      </c>
    </row>
    <row r="18" spans="2:39" ht="15.75" customHeight="1" x14ac:dyDescent="0.15">
      <c r="B18" s="12"/>
      <c r="C18"/>
      <c r="D18"/>
      <c r="E18" s="126"/>
      <c r="F18" s="126"/>
      <c r="G18" s="126"/>
      <c r="H18" s="126"/>
      <c r="I18" s="126"/>
      <c r="J18" s="126"/>
      <c r="K18" s="126"/>
      <c r="L18" s="126"/>
      <c r="M18" s="126"/>
      <c r="N18"/>
      <c r="O18" s="24"/>
      <c r="Q18" s="12"/>
      <c r="R18" s="1720" t="str" cm="1">
        <f t="array" ref="R18">INDEX(Kirjasto_ENT!D4:K125,81,Kirjasto_ENT!B4)</f>
        <v>Supply / extract air volume flow ratio for entire ventilation system</v>
      </c>
      <c r="S18"/>
      <c r="T18" s="742" t="str">
        <f>IF(OR(T17&lt;0,T17&gt;24),"Virheellinen lukema","")</f>
        <v/>
      </c>
      <c r="U18" s="154"/>
      <c r="V18" s="155"/>
      <c r="W18" s="126"/>
      <c r="X18" s="126"/>
      <c r="Y18" s="126"/>
      <c r="Z18" s="126"/>
      <c r="AA18" s="126"/>
      <c r="AB18" s="126"/>
      <c r="AC18" s="126"/>
      <c r="AD18" s="24"/>
      <c r="AG18" s="163">
        <f>Laskenta_vuosihyötysuhde_ENT!F14</f>
        <v>-24</v>
      </c>
      <c r="AH18" s="164">
        <f>Laskenta_vuosihyötysuhde_ENT!G14</f>
        <v>0</v>
      </c>
      <c r="AI18" s="165">
        <f>Laskenta_vuosihyötysuhde_ENT!I14</f>
        <v>-6.5</v>
      </c>
      <c r="AJ18" s="166">
        <f>Laskenta_vuosihyötysuhde_ENT!N14</f>
        <v>3.5000000000000036</v>
      </c>
      <c r="AK18" s="167">
        <f>Laskenta_vuosihyötysuhde_ENT!U14</f>
        <v>0</v>
      </c>
      <c r="AL18" s="168">
        <f>Laskenta_vuosihyötysuhde_ENT!V14</f>
        <v>0</v>
      </c>
      <c r="AM18" s="169">
        <f>Laskenta_vuosihyötysuhde_ENT!W14</f>
        <v>0</v>
      </c>
    </row>
    <row r="19" spans="2:39" ht="15.75" customHeight="1" x14ac:dyDescent="0.25">
      <c r="B19" s="12"/>
      <c r="C19"/>
      <c r="D19"/>
      <c r="E19" s="126"/>
      <c r="F19" s="126"/>
      <c r="G19" s="126"/>
      <c r="H19" s="126"/>
      <c r="I19" s="126"/>
      <c r="J19" s="126"/>
      <c r="K19" s="126"/>
      <c r="L19" s="126"/>
      <c r="M19" s="126"/>
      <c r="N19"/>
      <c r="O19" s="24"/>
      <c r="Q19" s="12"/>
      <c r="R19" s="1721"/>
      <c r="S19" s="76" t="s">
        <v>297</v>
      </c>
      <c r="T19" s="265">
        <f>T10/(T11+(T17/24*T16))</f>
        <v>1</v>
      </c>
      <c r="U19" s="170"/>
      <c r="V19" s="155"/>
      <c r="W19" s="126"/>
      <c r="X19" s="126"/>
      <c r="Y19" s="126"/>
      <c r="Z19" s="126"/>
      <c r="AA19" s="126"/>
      <c r="AB19" s="126"/>
      <c r="AC19" s="126"/>
      <c r="AD19" s="24"/>
      <c r="AG19" s="163">
        <f>Laskenta_vuosihyötysuhde_ENT!F15</f>
        <v>-23</v>
      </c>
      <c r="AH19" s="164">
        <f>Laskenta_vuosihyötysuhde_ENT!G15</f>
        <v>0</v>
      </c>
      <c r="AI19" s="165">
        <f>Laskenta_vuosihyötysuhde_ENT!I15</f>
        <v>-6.5</v>
      </c>
      <c r="AJ19" s="166">
        <f>Laskenta_vuosihyötysuhde_ENT!N15</f>
        <v>4.5</v>
      </c>
      <c r="AK19" s="167">
        <f>Laskenta_vuosihyötysuhde_ENT!U15</f>
        <v>0</v>
      </c>
      <c r="AL19" s="168">
        <f>Laskenta_vuosihyötysuhde_ENT!V15</f>
        <v>0</v>
      </c>
      <c r="AM19" s="169">
        <f>Laskenta_vuosihyötysuhde_ENT!W15</f>
        <v>0</v>
      </c>
    </row>
    <row r="20" spans="2:39" x14ac:dyDescent="0.15">
      <c r="B20" s="12"/>
      <c r="C20"/>
      <c r="D20"/>
      <c r="E20" s="126"/>
      <c r="F20" s="126"/>
      <c r="G20" s="126"/>
      <c r="H20" s="126"/>
      <c r="I20" s="126"/>
      <c r="J20" s="126"/>
      <c r="K20" s="126"/>
      <c r="L20" s="126"/>
      <c r="M20" s="126"/>
      <c r="N20"/>
      <c r="O20" s="24"/>
      <c r="Q20" s="12"/>
      <c r="R20" s="512"/>
      <c r="S20" s="143"/>
      <c r="T20" s="182"/>
      <c r="U20" s="154"/>
      <c r="V20" s="143"/>
      <c r="W20" s="126"/>
      <c r="X20" s="126"/>
      <c r="Y20" s="126"/>
      <c r="Z20" s="126"/>
      <c r="AA20" s="126"/>
      <c r="AB20" s="126"/>
      <c r="AC20" s="126"/>
      <c r="AD20" s="24"/>
      <c r="AG20" s="163">
        <f>Laskenta_vuosihyötysuhde_ENT!F16</f>
        <v>-22</v>
      </c>
      <c r="AH20" s="164">
        <f>Laskenta_vuosihyötysuhde_ENT!G16</f>
        <v>0</v>
      </c>
      <c r="AI20" s="165">
        <f>Laskenta_vuosihyötysuhde_ENT!I16</f>
        <v>-6.5</v>
      </c>
      <c r="AJ20" s="166">
        <f>Laskenta_vuosihyötysuhde_ENT!N16</f>
        <v>5.5</v>
      </c>
      <c r="AK20" s="167">
        <f>Laskenta_vuosihyötysuhde_ENT!U16</f>
        <v>0</v>
      </c>
      <c r="AL20" s="168">
        <f>Laskenta_vuosihyötysuhde_ENT!V16</f>
        <v>0</v>
      </c>
      <c r="AM20" s="169">
        <f>Laskenta_vuosihyötysuhde_ENT!W16</f>
        <v>0</v>
      </c>
    </row>
    <row r="21" spans="2:39" ht="13.5" customHeight="1" x14ac:dyDescent="0.15">
      <c r="B21" s="12"/>
      <c r="C21"/>
      <c r="D21"/>
      <c r="E21" s="126"/>
      <c r="F21" s="126"/>
      <c r="G21" s="126"/>
      <c r="H21" s="126"/>
      <c r="I21" s="126"/>
      <c r="J21" s="126"/>
      <c r="K21" s="126"/>
      <c r="L21" s="126"/>
      <c r="M21" s="126"/>
      <c r="N21"/>
      <c r="O21" s="24"/>
      <c r="Q21" s="12"/>
      <c r="R21" s="1521" t="str" cm="1">
        <f t="array" ref="R21">INDEX(Kirjasto_ENT!D4:K200,144,Kirjasto_ENT!B4)</f>
        <v>Heat recovery unit efficiency (EN 308)</v>
      </c>
      <c r="S21" s="252" t="s">
        <v>1268</v>
      </c>
      <c r="T21" s="1522">
        <f>Tulokset_ENT!DL38</f>
        <v>0.84395127271364345</v>
      </c>
      <c r="U21" s="154"/>
      <c r="V21" s="143"/>
      <c r="W21" s="126"/>
      <c r="X21" s="126"/>
      <c r="Y21" s="126"/>
      <c r="Z21" s="126"/>
      <c r="AA21" s="126"/>
      <c r="AB21" s="126"/>
      <c r="AC21" s="126"/>
      <c r="AD21" s="24"/>
      <c r="AG21" s="163">
        <f>Laskenta_vuosihyötysuhde_ENT!F17</f>
        <v>-21</v>
      </c>
      <c r="AH21" s="164">
        <f>Laskenta_vuosihyötysuhde_ENT!G17</f>
        <v>0</v>
      </c>
      <c r="AI21" s="165">
        <f>Laskenta_vuosihyötysuhde_ENT!I17</f>
        <v>-6.5</v>
      </c>
      <c r="AJ21" s="166">
        <f>Laskenta_vuosihyötysuhde_ENT!N17</f>
        <v>6.5</v>
      </c>
      <c r="AK21" s="167">
        <f>Laskenta_vuosihyötysuhde_ENT!U17</f>
        <v>0</v>
      </c>
      <c r="AL21" s="168">
        <f>Laskenta_vuosihyötysuhde_ENT!V17</f>
        <v>0</v>
      </c>
      <c r="AM21" s="169">
        <f>Laskenta_vuosihyötysuhde_ENT!W17</f>
        <v>0</v>
      </c>
    </row>
    <row r="22" spans="2:39" ht="13.5" customHeight="1" x14ac:dyDescent="0.15">
      <c r="B22" s="12"/>
      <c r="C22"/>
      <c r="D22"/>
      <c r="E22" s="126"/>
      <c r="F22" s="126"/>
      <c r="G22" s="126"/>
      <c r="H22" s="126"/>
      <c r="I22" s="126"/>
      <c r="J22" s="126"/>
      <c r="K22" s="126"/>
      <c r="L22" s="126"/>
      <c r="M22" s="126"/>
      <c r="N22"/>
      <c r="O22" s="24"/>
      <c r="Q22" s="12"/>
      <c r="R22" s="548" t="str" cm="1">
        <f t="array" ref="R22">INDEX(Kirjasto_ENT!D4:K125,82,Kirjasto_ENT!B4)</f>
        <v>Supply side temperature ratio for balanced air flow (EN 13141-7)</v>
      </c>
      <c r="S22" s="252" t="s">
        <v>298</v>
      </c>
      <c r="T22" s="745">
        <f>Tulokset_ENT!DK38</f>
        <v>0.84395127271364345</v>
      </c>
      <c r="U22" s="154"/>
      <c r="V22" s="143"/>
      <c r="W22" s="126"/>
      <c r="X22" s="126"/>
      <c r="Y22" s="126"/>
      <c r="Z22" s="126"/>
      <c r="AA22" s="126"/>
      <c r="AB22" s="126"/>
      <c r="AC22" s="126"/>
      <c r="AD22" s="24"/>
      <c r="AG22" s="163">
        <f>Laskenta_vuosihyötysuhde_ENT!F18</f>
        <v>-20</v>
      </c>
      <c r="AH22" s="164">
        <f>Laskenta_vuosihyötysuhde_ENT!G18</f>
        <v>0</v>
      </c>
      <c r="AI22" s="165">
        <f>Laskenta_vuosihyötysuhde_ENT!I18</f>
        <v>-6.5</v>
      </c>
      <c r="AJ22" s="166">
        <f>Laskenta_vuosihyötysuhde_ENT!N18</f>
        <v>7.5</v>
      </c>
      <c r="AK22" s="167">
        <f>Laskenta_vuosihyötysuhde_ENT!U18</f>
        <v>0</v>
      </c>
      <c r="AL22" s="168">
        <f>Laskenta_vuosihyötysuhde_ENT!V18</f>
        <v>0</v>
      </c>
      <c r="AM22" s="169">
        <f>Laskenta_vuosihyötysuhde_ENT!W18</f>
        <v>0</v>
      </c>
    </row>
    <row r="23" spans="2:39" ht="17" x14ac:dyDescent="0.15">
      <c r="B23" s="12"/>
      <c r="C23"/>
      <c r="D23"/>
      <c r="E23" s="126"/>
      <c r="F23" s="126"/>
      <c r="G23" s="126"/>
      <c r="H23" s="126"/>
      <c r="I23" s="126"/>
      <c r="J23" s="126"/>
      <c r="K23" s="126"/>
      <c r="L23" s="126"/>
      <c r="M23" s="126"/>
      <c r="N23"/>
      <c r="O23" s="24"/>
      <c r="Q23" s="12"/>
      <c r="R23" s="548" t="str" cm="1">
        <f t="array" ref="R23">INDEX(Kirjasto_ENT!D4:K125,83,Kirjasto_ENT!B4)</f>
        <v>Supply side temperature ratio</v>
      </c>
      <c r="S23" s="252" t="s">
        <v>299</v>
      </c>
      <c r="T23" s="745">
        <f>MIN(2/(1+T13)*T22,0.9)</f>
        <v>0.84395127271364345</v>
      </c>
      <c r="U23" s="154"/>
      <c r="V23" s="143"/>
      <c r="W23" s="126"/>
      <c r="X23" s="126"/>
      <c r="Y23" s="126"/>
      <c r="Z23" s="126"/>
      <c r="AA23" s="126"/>
      <c r="AB23" s="126"/>
      <c r="AC23" s="126"/>
      <c r="AD23" s="24"/>
      <c r="AG23" s="163">
        <f>Laskenta_vuosihyötysuhde_ENT!F19</f>
        <v>-19</v>
      </c>
      <c r="AH23" s="164">
        <f>Laskenta_vuosihyötysuhde_ENT!G19</f>
        <v>0</v>
      </c>
      <c r="AI23" s="165">
        <f>Laskenta_vuosihyötysuhde_ENT!I19</f>
        <v>-6.5</v>
      </c>
      <c r="AJ23" s="166">
        <f>Laskenta_vuosihyötysuhde_ENT!N19</f>
        <v>8.5</v>
      </c>
      <c r="AK23" s="167">
        <f>Laskenta_vuosihyötysuhde_ENT!U19</f>
        <v>0</v>
      </c>
      <c r="AL23" s="168">
        <f>Laskenta_vuosihyötysuhde_ENT!V19</f>
        <v>0</v>
      </c>
      <c r="AM23" s="169">
        <f>Laskenta_vuosihyötysuhde_ENT!W19</f>
        <v>0</v>
      </c>
    </row>
    <row r="24" spans="2:39" ht="16.5" customHeight="1" x14ac:dyDescent="0.15">
      <c r="B24" s="12"/>
      <c r="C24"/>
      <c r="D24"/>
      <c r="E24" s="126"/>
      <c r="F24" s="126"/>
      <c r="G24" s="126"/>
      <c r="H24" s="126"/>
      <c r="I24" s="126"/>
      <c r="J24" s="126"/>
      <c r="K24" s="126"/>
      <c r="L24" s="126"/>
      <c r="M24" s="126"/>
      <c r="N24"/>
      <c r="O24" s="24"/>
      <c r="Q24" s="12"/>
      <c r="R24" s="512"/>
      <c r="S24" s="143"/>
      <c r="T24" s="182"/>
      <c r="U24" s="154"/>
      <c r="V24" s="143"/>
      <c r="W24" s="126"/>
      <c r="X24" s="126"/>
      <c r="Y24" s="126"/>
      <c r="Z24" s="126"/>
      <c r="AA24" s="126"/>
      <c r="AB24" s="126"/>
      <c r="AC24" s="126"/>
      <c r="AD24" s="24"/>
      <c r="AG24" s="163">
        <f>Laskenta_vuosihyötysuhde_ENT!F20</f>
        <v>-18</v>
      </c>
      <c r="AH24" s="164">
        <f>Laskenta_vuosihyötysuhde_ENT!G20</f>
        <v>0</v>
      </c>
      <c r="AI24" s="165">
        <f>Laskenta_vuosihyötysuhde_ENT!I20</f>
        <v>-6.5</v>
      </c>
      <c r="AJ24" s="166">
        <f>Laskenta_vuosihyötysuhde_ENT!N20</f>
        <v>9.5000000000000036</v>
      </c>
      <c r="AK24" s="167">
        <f>Laskenta_vuosihyötysuhde_ENT!U20</f>
        <v>0</v>
      </c>
      <c r="AL24" s="168">
        <f>Laskenta_vuosihyötysuhde_ENT!V20</f>
        <v>0</v>
      </c>
      <c r="AM24" s="169">
        <f>Laskenta_vuosihyötysuhde_ENT!W20</f>
        <v>0</v>
      </c>
    </row>
    <row r="25" spans="2:39" x14ac:dyDescent="0.15">
      <c r="B25" s="12"/>
      <c r="C25"/>
      <c r="D25"/>
      <c r="E25" s="126"/>
      <c r="F25" s="126"/>
      <c r="G25" s="126"/>
      <c r="H25" s="126"/>
      <c r="I25" s="126"/>
      <c r="J25" s="126"/>
      <c r="K25" s="126"/>
      <c r="L25" s="126"/>
      <c r="M25" s="126"/>
      <c r="N25"/>
      <c r="O25" s="24"/>
      <c r="Q25" s="12"/>
      <c r="R25" s="546" t="str" cm="1">
        <f t="array" ref="R25">INDEX(Kirjasto_ENT!D4:K200,142,Kirjasto_ENT!B4)</f>
        <v>Select climate zone (city)</v>
      </c>
      <c r="S25" s="252"/>
      <c r="T25" s="254"/>
      <c r="U25" s="154"/>
      <c r="V25" s="143"/>
      <c r="W25" s="126"/>
      <c r="X25" s="126"/>
      <c r="Y25" s="126"/>
      <c r="Z25" s="126"/>
      <c r="AA25" s="126"/>
      <c r="AB25" s="126"/>
      <c r="AC25" s="126"/>
      <c r="AD25" s="24"/>
      <c r="AG25" s="163">
        <f>Laskenta_vuosihyötysuhde_ENT!F21</f>
        <v>-17</v>
      </c>
      <c r="AH25" s="164">
        <f>Laskenta_vuosihyötysuhde_ENT!G21</f>
        <v>2.2831050228310502E-4</v>
      </c>
      <c r="AI25" s="165">
        <f>Laskenta_vuosihyötysuhde_ENT!I21</f>
        <v>-6.5</v>
      </c>
      <c r="AJ25" s="166">
        <f>Laskenta_vuosihyötysuhde_ENT!N21</f>
        <v>10.5</v>
      </c>
      <c r="AK25" s="167">
        <f>Laskenta_vuosihyötysuhde_ENT!U21</f>
        <v>3.166666666666667</v>
      </c>
      <c r="AL25" s="168">
        <f>Laskenta_vuosihyötysuhde_ENT!V21</f>
        <v>2.2916666666666665</v>
      </c>
      <c r="AM25" s="169">
        <f>Laskenta_vuosihyötysuhde_ENT!W21</f>
        <v>2.2916666666666665</v>
      </c>
    </row>
    <row r="26" spans="2:39" ht="17" x14ac:dyDescent="0.15">
      <c r="B26" s="12"/>
      <c r="C26"/>
      <c r="D26"/>
      <c r="E26" s="126"/>
      <c r="F26" s="126"/>
      <c r="G26" s="126"/>
      <c r="H26" s="126"/>
      <c r="I26" s="126"/>
      <c r="J26" s="126"/>
      <c r="K26" s="126"/>
      <c r="L26" s="126"/>
      <c r="M26" s="126"/>
      <c r="N26"/>
      <c r="O26" s="24"/>
      <c r="Q26" s="12"/>
      <c r="R26" s="546" t="str" cm="1">
        <f t="array" ref="R26">INDEX(Kirjasto_ENT!D4:K125,85,Kirjasto_ENT!B4)</f>
        <v>Indoor temperature</v>
      </c>
      <c r="S26" s="252" t="s">
        <v>229</v>
      </c>
      <c r="T26" s="743">
        <v>21</v>
      </c>
      <c r="U26" s="154" t="s">
        <v>230</v>
      </c>
      <c r="V26" s="143"/>
      <c r="W26" s="126"/>
      <c r="X26" s="126"/>
      <c r="Y26" s="126"/>
      <c r="Z26" s="126"/>
      <c r="AA26" s="126"/>
      <c r="AB26" s="126"/>
      <c r="AC26" s="126"/>
      <c r="AD26" s="24"/>
      <c r="AG26" s="163">
        <f>Laskenta_vuosihyötysuhde_ENT!F22</f>
        <v>-16</v>
      </c>
      <c r="AH26" s="164">
        <f>Laskenta_vuosihyötysuhde_ENT!G22</f>
        <v>1.2557077625570776E-3</v>
      </c>
      <c r="AI26" s="165">
        <f>Laskenta_vuosihyötysuhde_ENT!I22</f>
        <v>-6.5</v>
      </c>
      <c r="AJ26" s="166">
        <f>Laskenta_vuosihyötysuhde_ENT!N22</f>
        <v>11.5</v>
      </c>
      <c r="AK26" s="167">
        <f>Laskenta_vuosihyötysuhde_ENT!U22</f>
        <v>13.874999999999998</v>
      </c>
      <c r="AL26" s="168">
        <f>Laskenta_vuosihyötysuhde_ENT!V22</f>
        <v>10.3125</v>
      </c>
      <c r="AM26" s="169">
        <f>Laskenta_vuosihyötysuhde_ENT!W22</f>
        <v>10.3125</v>
      </c>
    </row>
    <row r="27" spans="2:39" ht="17" x14ac:dyDescent="0.15">
      <c r="B27" s="12"/>
      <c r="C27"/>
      <c r="D27"/>
      <c r="E27" s="126"/>
      <c r="F27" s="126"/>
      <c r="G27" s="126"/>
      <c r="H27" s="126"/>
      <c r="I27" s="126"/>
      <c r="J27" s="126"/>
      <c r="K27" s="126"/>
      <c r="L27" s="126"/>
      <c r="M27" s="126"/>
      <c r="N27"/>
      <c r="O27" s="24"/>
      <c r="Q27" s="12"/>
      <c r="R27" s="546" t="str" cm="1">
        <f t="array" ref="R27">INDEX(Kirjasto_ENT!D4:K125,86,Kirjasto_ENT!B4)</f>
        <v>Minimum exhaust air temperature</v>
      </c>
      <c r="S27" s="252" t="s">
        <v>300</v>
      </c>
      <c r="T27" s="251">
        <v>-6.5</v>
      </c>
      <c r="U27" s="154" t="s">
        <v>230</v>
      </c>
      <c r="V27" s="155"/>
      <c r="W27" s="126"/>
      <c r="X27" s="126"/>
      <c r="Y27" s="126"/>
      <c r="Z27" s="126"/>
      <c r="AA27" s="126"/>
      <c r="AB27" s="126"/>
      <c r="AC27" s="126"/>
      <c r="AD27" s="24"/>
      <c r="AG27" s="163">
        <f>Laskenta_vuosihyötysuhde_ENT!F23</f>
        <v>-15</v>
      </c>
      <c r="AH27" s="164">
        <f>Laskenta_vuosihyötysuhde_ENT!G23</f>
        <v>4.7945205479452057E-3</v>
      </c>
      <c r="AI27" s="165">
        <f>Laskenta_vuosihyötysuhde_ENT!I23</f>
        <v>-6.5</v>
      </c>
      <c r="AJ27" s="166">
        <f>Laskenta_vuosihyötysuhde_ENT!N23</f>
        <v>12.5</v>
      </c>
      <c r="AK27" s="167">
        <f>Laskenta_vuosihyötysuhde_ENT!U23</f>
        <v>46.500000000000014</v>
      </c>
      <c r="AL27" s="168">
        <f>Laskenta_vuosihyötysuhde_ENT!V23</f>
        <v>35.520833333333343</v>
      </c>
      <c r="AM27" s="169">
        <f>Laskenta_vuosihyötysuhde_ENT!W23</f>
        <v>35.520833333333343</v>
      </c>
    </row>
    <row r="28" spans="2:39" x14ac:dyDescent="0.15">
      <c r="B28" s="12"/>
      <c r="C28"/>
      <c r="D28"/>
      <c r="E28" s="126"/>
      <c r="F28" s="126"/>
      <c r="G28" s="126"/>
      <c r="H28" s="126"/>
      <c r="I28" s="126"/>
      <c r="J28" s="126"/>
      <c r="K28" s="126"/>
      <c r="L28" s="126"/>
      <c r="M28" s="126"/>
      <c r="N28"/>
      <c r="O28" s="24"/>
      <c r="Q28" s="12"/>
      <c r="R28" s="546" t="str" cm="1">
        <f t="array" ref="R28">INDEX(Kirjasto_ENT!D4:K200,146,Kirjasto_ENT!B4)</f>
        <v>Supply air temperature limitation</v>
      </c>
      <c r="S28" s="252"/>
      <c r="T28" s="1523"/>
      <c r="U28" s="154"/>
      <c r="V28" s="155"/>
      <c r="W28" s="126"/>
      <c r="X28" s="126"/>
      <c r="Y28" s="126"/>
      <c r="Z28" s="126"/>
      <c r="AA28" s="126"/>
      <c r="AB28" s="126"/>
      <c r="AC28" s="126"/>
      <c r="AD28" s="24"/>
      <c r="AG28" s="163">
        <f>Laskenta_vuosihyötysuhde_ENT!F24</f>
        <v>-14</v>
      </c>
      <c r="AH28" s="164">
        <f>Laskenta_vuosihyötysuhde_ENT!G24</f>
        <v>6.8493150684931503E-3</v>
      </c>
      <c r="AI28" s="165">
        <f>Laskenta_vuosihyötysuhde_ENT!I24</f>
        <v>-6.5</v>
      </c>
      <c r="AJ28" s="166">
        <f>Laskenta_vuosihyötysuhde_ENT!N24</f>
        <v>13.5</v>
      </c>
      <c r="AK28" s="167">
        <f>Laskenta_vuosihyötysuhde_ENT!U24</f>
        <v>26.249999999999993</v>
      </c>
      <c r="AL28" s="168">
        <f>Laskenta_vuosihyötysuhde_ENT!V24</f>
        <v>20.624999999999993</v>
      </c>
      <c r="AM28" s="169">
        <f>Laskenta_vuosihyötysuhde_ENT!W24</f>
        <v>20.624999999999993</v>
      </c>
    </row>
    <row r="29" spans="2:39" ht="15" customHeight="1" x14ac:dyDescent="0.15">
      <c r="B29" s="12"/>
      <c r="C29"/>
      <c r="D29"/>
      <c r="E29" s="126"/>
      <c r="F29" s="126"/>
      <c r="G29" s="126"/>
      <c r="H29" s="126"/>
      <c r="I29" s="126"/>
      <c r="J29" s="126"/>
      <c r="K29" s="126"/>
      <c r="L29" s="126"/>
      <c r="M29" s="126"/>
      <c r="N29"/>
      <c r="O29" s="24"/>
      <c r="Q29" s="12"/>
      <c r="R29" s="549" t="str" cm="1">
        <f t="array" ref="R29">INDEX(Kirjasto_ENT!D4:K125,87,Kirjasto_ENT!B4)</f>
        <v>Maximum supply air temperature in a limited situation</v>
      </c>
      <c r="S29" s="144" t="s">
        <v>233</v>
      </c>
      <c r="T29" s="1093">
        <v>20</v>
      </c>
      <c r="U29" s="171" t="s">
        <v>230</v>
      </c>
      <c r="V29" s="143"/>
      <c r="W29" s="126"/>
      <c r="X29" s="126"/>
      <c r="Y29" s="126"/>
      <c r="Z29" s="126"/>
      <c r="AA29" s="126"/>
      <c r="AB29" s="126"/>
      <c r="AC29" s="126"/>
      <c r="AD29" s="24"/>
      <c r="AG29" s="163">
        <f>Laskenta_vuosihyötysuhde_ENT!F25</f>
        <v>-13</v>
      </c>
      <c r="AH29" s="164">
        <f>Laskenta_vuosihyötysuhde_ENT!G25</f>
        <v>1.2557077625570776E-2</v>
      </c>
      <c r="AI29" s="165">
        <f>Laskenta_vuosihyötysuhde_ENT!I25</f>
        <v>-6.5</v>
      </c>
      <c r="AJ29" s="166">
        <f>Laskenta_vuosihyötysuhde_ENT!N25</f>
        <v>14.5</v>
      </c>
      <c r="AK29" s="167">
        <f>Laskenta_vuosihyötysuhde_ENT!U25</f>
        <v>70.833333333333329</v>
      </c>
      <c r="AL29" s="168">
        <f>Laskenta_vuosihyötysuhde_ENT!V25</f>
        <v>57.291666666666664</v>
      </c>
      <c r="AM29" s="169">
        <f>Laskenta_vuosihyötysuhde_ENT!W25</f>
        <v>57.291666666666664</v>
      </c>
    </row>
    <row r="30" spans="2:39" x14ac:dyDescent="0.15">
      <c r="B30" s="12"/>
      <c r="C30"/>
      <c r="D30"/>
      <c r="E30" s="126"/>
      <c r="F30" s="126"/>
      <c r="G30" s="126"/>
      <c r="H30" s="126"/>
      <c r="I30" s="126"/>
      <c r="J30" s="126"/>
      <c r="K30" s="126"/>
      <c r="L30" s="126"/>
      <c r="M30" s="126"/>
      <c r="N30"/>
      <c r="O30" s="24"/>
      <c r="Q30" s="12"/>
      <c r="R30"/>
      <c r="S30" s="143"/>
      <c r="T30" s="143"/>
      <c r="U30" s="143"/>
      <c r="V30" s="143"/>
      <c r="W30" s="126"/>
      <c r="X30" s="126"/>
      <c r="Y30" s="126"/>
      <c r="Z30" s="126"/>
      <c r="AA30" s="126"/>
      <c r="AB30" s="126"/>
      <c r="AC30" s="126"/>
      <c r="AD30" s="24"/>
      <c r="AG30" s="163">
        <f>Laskenta_vuosihyötysuhde_ENT!F26</f>
        <v>-12</v>
      </c>
      <c r="AH30" s="164">
        <f>Laskenta_vuosihyötysuhde_ENT!G26</f>
        <v>1.9748858447488585E-2</v>
      </c>
      <c r="AI30" s="165">
        <f>Laskenta_vuosihyötysuhde_ENT!I26</f>
        <v>-6.5</v>
      </c>
      <c r="AJ30" s="166">
        <f>Laskenta_vuosihyötysuhde_ENT!N26</f>
        <v>15.5</v>
      </c>
      <c r="AK30" s="167">
        <f>Laskenta_vuosihyötysuhde_ENT!U26</f>
        <v>86.625000000000028</v>
      </c>
      <c r="AL30" s="168">
        <f>Laskenta_vuosihyötysuhde_ENT!V26</f>
        <v>72.187500000000014</v>
      </c>
      <c r="AM30" s="169">
        <f>Laskenta_vuosihyötysuhde_ENT!W26</f>
        <v>72.187500000000014</v>
      </c>
    </row>
    <row r="31" spans="2:39" ht="18" customHeight="1" x14ac:dyDescent="0.15">
      <c r="B31" s="12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24"/>
      <c r="Q31" s="12"/>
      <c r="R31" s="1524" t="str" cm="1">
        <f t="array" ref="R31">INDEX(Kirjasto_ENT!D4:K200,162,Kirjasto_ENT!B4)</f>
        <v>Annual energy demand, recovered heating energy and electricity consumption:</v>
      </c>
      <c r="S31" s="383"/>
      <c r="T31" s="383"/>
      <c r="U31" s="384"/>
      <c r="V31" s="143"/>
      <c r="W31" s="126"/>
      <c r="X31" s="126"/>
      <c r="Y31" s="126"/>
      <c r="Z31" s="126"/>
      <c r="AA31" s="126"/>
      <c r="AB31" s="126"/>
      <c r="AC31" s="126"/>
      <c r="AD31" s="24"/>
      <c r="AG31" s="163">
        <f>Laskenta_vuosihyötysuhde_ENT!F27</f>
        <v>-11</v>
      </c>
      <c r="AH31" s="164">
        <f>Laskenta_vuosihyötysuhde_ENT!G27</f>
        <v>2.9223744292237442E-2</v>
      </c>
      <c r="AI31" s="165">
        <f>Laskenta_vuosihyötysuhde_ENT!I27</f>
        <v>-6.0064407268365905</v>
      </c>
      <c r="AJ31" s="166">
        <f>Laskenta_vuosihyötysuhde_ENT!N27</f>
        <v>16.00644072683659</v>
      </c>
      <c r="AK31" s="167">
        <f>Laskenta_vuosihyötysuhde_ENT!U27</f>
        <v>110.66666666666664</v>
      </c>
      <c r="AL31" s="168">
        <f>Laskenta_vuosihyötysuhde_ENT!V27</f>
        <v>93.397274180309864</v>
      </c>
      <c r="AM31" s="169">
        <f>Laskenta_vuosihyötysuhde_ENT!W27</f>
        <v>93.397274180309864</v>
      </c>
    </row>
    <row r="32" spans="2:39" ht="18" customHeight="1" x14ac:dyDescent="0.15">
      <c r="B32" s="12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24"/>
      <c r="Q32" s="12"/>
      <c r="R32" s="1775" t="str" cm="1">
        <f t="array" ref="R32">INDEX(Kirjasto_ENT!D4:K200,163,Kirjasto_ENT!B4)</f>
        <v xml:space="preserve">* Calculations based on EN 308 heat recovery unit thermal effiency </v>
      </c>
      <c r="S32" s="1776"/>
      <c r="T32" s="1776"/>
      <c r="U32" s="1777"/>
      <c r="V32" s="143"/>
      <c r="W32" s="126"/>
      <c r="X32" s="126"/>
      <c r="Y32" s="126"/>
      <c r="Z32" s="126"/>
      <c r="AA32" s="126"/>
      <c r="AB32" s="126"/>
      <c r="AC32" s="126"/>
      <c r="AD32" s="24"/>
      <c r="AG32" s="163">
        <f>Laskenta_vuosihyötysuhde_ENT!F28</f>
        <v>-10</v>
      </c>
      <c r="AH32" s="164">
        <f>Laskenta_vuosihyötysuhde_ENT!G28</f>
        <v>4.029680365296804E-2</v>
      </c>
      <c r="AI32" s="165">
        <f>Laskenta_vuosihyötysuhde_ENT!I28</f>
        <v>-5.162489454122948</v>
      </c>
      <c r="AJ32" s="166">
        <f>Laskenta_vuosihyötysuhde_ENT!N28</f>
        <v>16.162489454122948</v>
      </c>
      <c r="AK32" s="167">
        <f>Laskenta_vuosihyötysuhde_ENT!U28</f>
        <v>125.29166666666671</v>
      </c>
      <c r="AL32" s="168">
        <f>Laskenta_vuosihyötysuhde_ENT!V28</f>
        <v>105.74006154374696</v>
      </c>
      <c r="AM32" s="169">
        <f>Laskenta_vuosihyötysuhde_ENT!W28</f>
        <v>105.74006154374696</v>
      </c>
    </row>
    <row r="33" spans="2:39" ht="15" customHeight="1" x14ac:dyDescent="0.15">
      <c r="B33" s="12"/>
      <c r="C33" s="126"/>
      <c r="D33" s="126"/>
      <c r="E33" s="1525">
        <f>IF(Tulokset_ENT!$AC$7,'R-series ENT'!E37,'R-series ENT'!E38)</f>
        <v>34.722222222222221</v>
      </c>
      <c r="F33" s="1079"/>
      <c r="G33" s="1525">
        <f>IF(Tulokset_ENT!$AC$7,'R-series ENT'!G37,'R-series ENT'!G38)</f>
        <v>34.722222222222221</v>
      </c>
      <c r="H33" s="126"/>
      <c r="I33" s="126"/>
      <c r="J33" s="126"/>
      <c r="K33" s="126"/>
      <c r="L33" s="126"/>
      <c r="M33" s="126"/>
      <c r="N33" s="126"/>
      <c r="O33" s="24"/>
      <c r="Q33" s="12"/>
      <c r="R33" s="253" t="str" cm="1">
        <f t="array" ref="R33">INDEX(Kirjasto_ENT!D4:K125,89,Kirjasto_ENT!B4)</f>
        <v>Total energy demand for ventilation*</v>
      </c>
      <c r="S33" s="252"/>
      <c r="T33" s="256">
        <f>Laskenta_vuosihyötysuhde_ENT!Y51</f>
        <v>5026.7304999999988</v>
      </c>
      <c r="U33" s="154" t="s">
        <v>1285</v>
      </c>
      <c r="V33" s="143"/>
      <c r="W33" s="126"/>
      <c r="X33" s="126"/>
      <c r="Y33" s="126"/>
      <c r="Z33" s="126"/>
      <c r="AA33" s="126"/>
      <c r="AB33" s="126"/>
      <c r="AC33" s="126"/>
      <c r="AD33" s="24"/>
      <c r="AG33" s="163">
        <f>Laskenta_vuosihyötysuhde_ENT!F29</f>
        <v>-9</v>
      </c>
      <c r="AH33" s="164">
        <f>Laskenta_vuosihyötysuhde_ENT!G29</f>
        <v>4.8744292237442921E-2</v>
      </c>
      <c r="AI33" s="165">
        <f>Laskenta_vuosihyötysuhde_ENT!I29</f>
        <v>-4.318538181409302</v>
      </c>
      <c r="AJ33" s="166">
        <f>Laskenta_vuosihyötysuhde_ENT!N29</f>
        <v>16.318538181409302</v>
      </c>
      <c r="AK33" s="167">
        <f>Laskenta_vuosihyötysuhde_ENT!U29</f>
        <v>92.499999999999943</v>
      </c>
      <c r="AL33" s="168">
        <f>Laskenta_vuosihyötysuhde_ENT!V29</f>
        <v>78.065492726011982</v>
      </c>
      <c r="AM33" s="169">
        <f>Laskenta_vuosihyötysuhde_ENT!W29</f>
        <v>78.065492726011982</v>
      </c>
    </row>
    <row r="34" spans="2:39" ht="15" customHeight="1" x14ac:dyDescent="0.15">
      <c r="B34" s="12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24"/>
      <c r="Q34" s="12"/>
      <c r="R34" s="253" t="str" cm="1">
        <f t="array" ref="R34">INDEX(Kirjasto_ENT!D4:K125,90,Kirjasto_ENT!B4)</f>
        <v>Recovered heating energy*</v>
      </c>
      <c r="S34" s="252"/>
      <c r="T34" s="256">
        <f>Laskenta_vuosihyötysuhde_ENT!Z51</f>
        <v>4231.8151908386371</v>
      </c>
      <c r="U34" s="154" t="s">
        <v>1285</v>
      </c>
      <c r="V34" s="143"/>
      <c r="W34" s="126"/>
      <c r="X34" s="126"/>
      <c r="Y34" s="126"/>
      <c r="Z34" s="126"/>
      <c r="AA34" s="126"/>
      <c r="AB34" s="126"/>
      <c r="AC34" s="126"/>
      <c r="AD34" s="24"/>
      <c r="AG34" s="163">
        <f>Laskenta_vuosihyötysuhde_ENT!F30</f>
        <v>-8</v>
      </c>
      <c r="AH34" s="164">
        <f>Laskenta_vuosihyötysuhde_ENT!G30</f>
        <v>6.2557077625570778E-2</v>
      </c>
      <c r="AI34" s="165">
        <f>Laskenta_vuosihyötysuhde_ENT!I30</f>
        <v>-3.4745869086956596</v>
      </c>
      <c r="AJ34" s="166">
        <f>Laskenta_vuosihyötysuhde_ENT!N30</f>
        <v>16.47458690869566</v>
      </c>
      <c r="AK34" s="167">
        <f>Laskenta_vuosihyötysuhde_ENT!U30</f>
        <v>146.20833333333337</v>
      </c>
      <c r="AL34" s="168">
        <f>Laskenta_vuosihyötysuhde_ENT!V30</f>
        <v>123.39270899800731</v>
      </c>
      <c r="AM34" s="169">
        <f>Laskenta_vuosihyötysuhde_ENT!W30</f>
        <v>123.39270899800731</v>
      </c>
    </row>
    <row r="35" spans="2:39" x14ac:dyDescent="0.15">
      <c r="B35" s="12"/>
      <c r="C35" s="2" t="str" cm="1">
        <f t="array" ref="C35">INDEX(Kirjasto_ENT!D4:K150,133,Kirjasto_ENT!B4)</f>
        <v>Operating point (insert air flow and pressure difference values):</v>
      </c>
      <c r="D35"/>
      <c r="E35"/>
      <c r="F35"/>
      <c r="G35"/>
      <c r="H35"/>
      <c r="I35"/>
      <c r="J35" s="2" t="str" cm="1">
        <f t="array" ref="J35">INDEX(Kirjasto_ENT!D4:K150,134,Kirjasto_ENT!B4)</f>
        <v>Boost situation calculation:</v>
      </c>
      <c r="K35"/>
      <c r="L35"/>
      <c r="M35"/>
      <c r="N35"/>
      <c r="O35" s="24"/>
      <c r="Q35" s="12"/>
      <c r="R35" s="14" t="str" cm="1">
        <f t="array" ref="R35">INDEX(Kirjasto_ENT!D4:K200,145,Kirjasto_ENT!B4)</f>
        <v>Electricity consumption of fans and electronics</v>
      </c>
      <c r="S35" s="144"/>
      <c r="T35" s="739">
        <f>Laskenta_vuosihyötysuhde_ENT!AG8</f>
        <v>361.74786950380206</v>
      </c>
      <c r="U35" s="171" t="s">
        <v>1285</v>
      </c>
      <c r="V35" s="143"/>
      <c r="W35" s="126"/>
      <c r="X35" s="126"/>
      <c r="Y35" s="126"/>
      <c r="Z35" s="126"/>
      <c r="AA35" s="126"/>
      <c r="AB35" s="126"/>
      <c r="AC35" s="126"/>
      <c r="AD35" s="24"/>
      <c r="AG35" s="163">
        <f>Laskenta_vuosihyötysuhde_ENT!F31</f>
        <v>-7</v>
      </c>
      <c r="AH35" s="164">
        <f>Laskenta_vuosihyötysuhde_ENT!G31</f>
        <v>8.4474885844748854E-2</v>
      </c>
      <c r="AI35" s="165">
        <f>Laskenta_vuosihyötysuhde_ENT!I31</f>
        <v>-2.6306356359820171</v>
      </c>
      <c r="AJ35" s="166">
        <f>Laskenta_vuosihyötysuhde_ENT!N31</f>
        <v>16.630635635982017</v>
      </c>
      <c r="AK35" s="167">
        <f>Laskenta_vuosihyötysuhde_ENT!U31</f>
        <v>223.99999999999994</v>
      </c>
      <c r="AL35" s="168">
        <f>Laskenta_vuosihyötysuhde_ENT!V31</f>
        <v>189.04508508785611</v>
      </c>
      <c r="AM35" s="169">
        <f>Laskenta_vuosihyötysuhde_ENT!W31</f>
        <v>189.04508508785611</v>
      </c>
    </row>
    <row r="36" spans="2:39" ht="15.75" customHeight="1" x14ac:dyDescent="0.15">
      <c r="B36" s="12"/>
      <c r="C36" s="23"/>
      <c r="D36" s="22"/>
      <c r="E36" s="614" t="str">
        <f>Kirjasto_ENT!M17</f>
        <v>Supply air</v>
      </c>
      <c r="F36" s="22"/>
      <c r="G36" s="614" t="str">
        <f>Kirjasto_ENT!M18</f>
        <v>Extract air</v>
      </c>
      <c r="H36" s="21"/>
      <c r="I36"/>
      <c r="J36" s="1722" t="str" cm="1">
        <f t="array" ref="J36">INDEX(Kirjasto_ENT!D4:K150,135,Kirjasto_ENT!B4)</f>
        <v>Maximum
boost reserve:</v>
      </c>
      <c r="K36" s="1723"/>
      <c r="L36" s="832" t="str">
        <f>Kirjasto_ENT!M17</f>
        <v>Supply air</v>
      </c>
      <c r="M36" s="832" t="str">
        <f>Kirjasto_ENT!M18</f>
        <v>Extract air</v>
      </c>
      <c r="N36" s="21"/>
      <c r="O36" s="24"/>
      <c r="Q36" s="12"/>
      <c r="R36"/>
      <c r="S36" s="143"/>
      <c r="T36" s="143"/>
      <c r="U36" s="143"/>
      <c r="V36" s="143"/>
      <c r="W36" s="126"/>
      <c r="X36" s="126"/>
      <c r="Y36" s="126"/>
      <c r="Z36" s="126"/>
      <c r="AA36" s="126"/>
      <c r="AB36" s="126"/>
      <c r="AC36" s="126"/>
      <c r="AD36" s="24"/>
      <c r="AG36" s="163">
        <f>Laskenta_vuosihyötysuhde_ENT!F32</f>
        <v>-6</v>
      </c>
      <c r="AH36" s="164">
        <f>Laskenta_vuosihyötysuhde_ENT!G32</f>
        <v>0.10616438356164383</v>
      </c>
      <c r="AI36" s="165">
        <f>Laskenta_vuosihyötysuhde_ENT!I32</f>
        <v>-1.7866843632683747</v>
      </c>
      <c r="AJ36" s="166">
        <f>Laskenta_vuosihyötysuhde_ENT!N32</f>
        <v>16.786684363268375</v>
      </c>
      <c r="AK36" s="167">
        <f>Laskenta_vuosihyötysuhde_ENT!U32</f>
        <v>213.75</v>
      </c>
      <c r="AL36" s="168">
        <f>Laskenta_vuosihyötysuhde_ENT!V32</f>
        <v>180.39458454254128</v>
      </c>
      <c r="AM36" s="169">
        <f>Laskenta_vuosihyötysuhde_ENT!W32</f>
        <v>180.39458454254128</v>
      </c>
    </row>
    <row r="37" spans="2:39" ht="14.25" customHeight="1" x14ac:dyDescent="0.15">
      <c r="B37" s="12"/>
      <c r="C37" s="600" t="str" cm="1">
        <f t="array" ref="C37">INDEX(Kirjasto_ENT!D4:K150,21,Kirjasto_ENT!B4)</f>
        <v>Air volume flow:</v>
      </c>
      <c r="D37" s="76"/>
      <c r="E37" s="648">
        <v>125</v>
      </c>
      <c r="F37" s="601" t="str">
        <f>Tulokset_ENT!$AC$10</f>
        <v>m³/h</v>
      </c>
      <c r="G37" s="648">
        <v>125</v>
      </c>
      <c r="H37" s="602" t="str">
        <f>Tulokset_ENT!$AC$10</f>
        <v>m³/h</v>
      </c>
      <c r="I37" s="601"/>
      <c r="J37" s="1721"/>
      <c r="K37" s="1724"/>
      <c r="L37" s="647">
        <f>Tulokset_ENT!CV38</f>
        <v>0.91663366979800953</v>
      </c>
      <c r="M37" s="647">
        <f>Tulokset_ENT!CW38</f>
        <v>0.94854775546665349</v>
      </c>
      <c r="N37" s="24"/>
      <c r="O37" s="24"/>
      <c r="Q37" s="12"/>
      <c r="R37" s="23" t="str" cm="1">
        <f t="array" ref="R37">INDEX(Kirjasto_ENT!D4:K200,154,Kirjasto_ENT!B4)</f>
        <v>Humidity ratio (insert indoor and outdoor air conditions):</v>
      </c>
      <c r="S37" s="148"/>
      <c r="T37" s="148"/>
      <c r="U37" s="149"/>
      <c r="V37" s="143"/>
      <c r="W37" s="126"/>
      <c r="X37" s="126"/>
      <c r="Y37" s="126"/>
      <c r="Z37" s="126"/>
      <c r="AA37" s="126"/>
      <c r="AB37" s="126"/>
      <c r="AC37" s="126"/>
      <c r="AD37" s="24"/>
      <c r="AG37" s="163">
        <f>Laskenta_vuosihyötysuhde_ENT!F33</f>
        <v>-5</v>
      </c>
      <c r="AH37" s="164">
        <f>Laskenta_vuosihyötysuhde_ENT!G33</f>
        <v>0.13070776255707764</v>
      </c>
      <c r="AI37" s="165">
        <f>Laskenta_vuosihyötysuhde_ENT!I33</f>
        <v>-0.94273309055472865</v>
      </c>
      <c r="AJ37" s="166">
        <f>Laskenta_vuosihyötysuhde_ENT!N33</f>
        <v>16.942733090554729</v>
      </c>
      <c r="AK37" s="167">
        <f>Laskenta_vuosihyötysuhde_ENT!U33</f>
        <v>232.91666666666683</v>
      </c>
      <c r="AL37" s="168">
        <f>Laskenta_vuosihyötysuhde_ENT!V33</f>
        <v>196.57031726955293</v>
      </c>
      <c r="AM37" s="169">
        <f>Laskenta_vuosihyötysuhde_ENT!W33</f>
        <v>196.57031726955293</v>
      </c>
    </row>
    <row r="38" spans="2:39" ht="14" thickBot="1" x14ac:dyDescent="0.2">
      <c r="B38" s="12"/>
      <c r="C38" s="603"/>
      <c r="D38" s="590"/>
      <c r="E38" s="629">
        <f>Tulokset_ENT!AC15</f>
        <v>34.722222222222221</v>
      </c>
      <c r="F38" s="601" t="str">
        <f>Tulokset_ENT!$AC$11</f>
        <v>dm³/s</v>
      </c>
      <c r="G38" s="629">
        <f>Tulokset_ENT!AD15</f>
        <v>34.722222222222221</v>
      </c>
      <c r="H38" s="602" t="str">
        <f>Tulokset_ENT!$AC$11</f>
        <v>dm³/s</v>
      </c>
      <c r="I38" s="601"/>
      <c r="J38" s="598"/>
      <c r="K38"/>
      <c r="L38"/>
      <c r="M38"/>
      <c r="N38" s="24"/>
      <c r="O38" s="24"/>
      <c r="Q38" s="12"/>
      <c r="R38" s="1526" t="str" cm="1">
        <f t="array" ref="R38">INDEX(Kirjasto_ENT!D4:K200,155,Kirjasto_ENT!B4)</f>
        <v>Winter</v>
      </c>
      <c r="S38" s="143"/>
      <c r="T38" s="143"/>
      <c r="U38" s="154"/>
      <c r="V38" s="143"/>
      <c r="W38" s="126"/>
      <c r="X38" s="126"/>
      <c r="Y38" s="126"/>
      <c r="Z38" s="126"/>
      <c r="AA38" s="126"/>
      <c r="AB38" s="126"/>
      <c r="AC38" s="126"/>
      <c r="AD38" s="24"/>
      <c r="AG38" s="163">
        <f>Laskenta_vuosihyötysuhde_ENT!F34</f>
        <v>-4</v>
      </c>
      <c r="AH38" s="164">
        <f>Laskenta_vuosihyötysuhde_ENT!G34</f>
        <v>0.14771689497716894</v>
      </c>
      <c r="AI38" s="165">
        <f>Laskenta_vuosihyötysuhde_ENT!I34</f>
        <v>-9.8781817841086195E-2</v>
      </c>
      <c r="AJ38" s="166">
        <f>Laskenta_vuosihyötysuhde_ENT!N34</f>
        <v>17.098781817841086</v>
      </c>
      <c r="AK38" s="167">
        <f>Laskenta_vuosihyötysuhde_ENT!U34</f>
        <v>155.20833333333314</v>
      </c>
      <c r="AL38" s="168">
        <f>Laskenta_vuosihyötysuhde_ENT!V34</f>
        <v>130.98827045242993</v>
      </c>
      <c r="AM38" s="169">
        <f>Laskenta_vuosihyötysuhde_ENT!W34</f>
        <v>130.98827045242993</v>
      </c>
    </row>
    <row r="39" spans="2:39" ht="14" thickTop="1" x14ac:dyDescent="0.15">
      <c r="B39" s="12"/>
      <c r="C39" s="600" t="str" cm="1">
        <f t="array" ref="C39">INDEX(Kirjasto_ENT!D4:K150,22,Kirjasto_ENT!B4)</f>
        <v>Pressure difference:</v>
      </c>
      <c r="D39" s="76"/>
      <c r="E39" s="632">
        <v>75</v>
      </c>
      <c r="F39" s="601" t="s">
        <v>14</v>
      </c>
      <c r="G39" s="632">
        <v>90</v>
      </c>
      <c r="H39" s="602" t="s">
        <v>14</v>
      </c>
      <c r="I39" s="601"/>
      <c r="J39" s="625" t="str" cm="1">
        <f t="array" ref="J39">INDEX(Kirjasto_ENT!D4:K150,136,Kirjasto_ENT!B4)</f>
        <v>Insert the desired boost value:</v>
      </c>
      <c r="K39"/>
      <c r="L39"/>
      <c r="M39"/>
      <c r="N39" s="24"/>
      <c r="O39" s="24"/>
      <c r="Q39" s="12"/>
      <c r="R39" s="546" t="str" cm="1">
        <f t="array" ref="R39">INDEX(Kirjasto_ENT!D4:K200,156,Kirjasto_ENT!B4)</f>
        <v>Extract air temperature:</v>
      </c>
      <c r="S39" s="1527"/>
      <c r="T39" s="648">
        <v>20</v>
      </c>
      <c r="U39" s="154" t="s">
        <v>230</v>
      </c>
      <c r="V39" s="143"/>
      <c r="W39" s="126"/>
      <c r="X39" s="126"/>
      <c r="Y39" s="126"/>
      <c r="Z39" s="126"/>
      <c r="AA39" s="126"/>
      <c r="AB39" s="126"/>
      <c r="AC39" s="126"/>
      <c r="AD39" s="24"/>
      <c r="AG39" s="163">
        <f>Laskenta_vuosihyötysuhde_ENT!F35</f>
        <v>-3</v>
      </c>
      <c r="AH39" s="164">
        <f>Laskenta_vuosihyötysuhde_ENT!G35</f>
        <v>0.17340182648401825</v>
      </c>
      <c r="AI39" s="165">
        <f>Laskenta_vuosihyötysuhde_ENT!I35</f>
        <v>0.74516945487255626</v>
      </c>
      <c r="AJ39" s="166">
        <f>Laskenta_vuosihyötysuhde_ENT!N35</f>
        <v>17.254830545127444</v>
      </c>
      <c r="AK39" s="167">
        <f>Laskenta_vuosihyötysuhde_ENT!U35</f>
        <v>224.99999999999991</v>
      </c>
      <c r="AL39" s="168">
        <f>Laskenta_vuosihyötysuhde_ENT!V35</f>
        <v>189.88903636056972</v>
      </c>
      <c r="AM39" s="169">
        <f>Laskenta_vuosihyötysuhde_ENT!W35</f>
        <v>189.88903636056972</v>
      </c>
    </row>
    <row r="40" spans="2:39" x14ac:dyDescent="0.15">
      <c r="B40" s="12"/>
      <c r="C40" s="12"/>
      <c r="D40"/>
      <c r="E40" s="649" t="str">
        <f>Tulokset_ENT!D38</f>
        <v/>
      </c>
      <c r="F40" s="650"/>
      <c r="G40" s="649" t="str">
        <f>Tulokset_ENT!G38</f>
        <v/>
      </c>
      <c r="H40" s="24"/>
      <c r="I40"/>
      <c r="J40" s="831" t="str" cm="1">
        <f t="array" ref="J40">INDEX(Kirjasto_ENT!D4:K150,137,Kirjasto_ENT!B4)</f>
        <v>Boost value [%]:</v>
      </c>
      <c r="K40" s="76"/>
      <c r="L40" s="76"/>
      <c r="M40" s="833">
        <v>0.2</v>
      </c>
      <c r="N40" s="24"/>
      <c r="O40" s="24"/>
      <c r="P40" s="89"/>
      <c r="Q40" s="12"/>
      <c r="R40" s="546" t="str" cm="1">
        <f t="array" ref="R40">INDEX(Kirjasto_ENT!D4:K200,157,Kirjasto_ENT!B4)</f>
        <v>Extract air relative humidity:</v>
      </c>
      <c r="S40" s="252"/>
      <c r="T40" s="648">
        <v>35</v>
      </c>
      <c r="U40" s="154" t="s">
        <v>2720</v>
      </c>
      <c r="V40" s="143"/>
      <c r="W40" s="1528"/>
      <c r="X40" s="126"/>
      <c r="Y40" s="126"/>
      <c r="Z40" s="126"/>
      <c r="AA40" s="126"/>
      <c r="AB40" s="126"/>
      <c r="AC40" s="126"/>
      <c r="AD40" s="24"/>
      <c r="AG40" s="163">
        <f>Laskenta_vuosihyötysuhde_ENT!F36</f>
        <v>-2</v>
      </c>
      <c r="AH40" s="164">
        <f>Laskenta_vuosihyötysuhde_ENT!G36</f>
        <v>0.20468036529680364</v>
      </c>
      <c r="AI40" s="165">
        <f>Laskenta_vuosihyötysuhde_ENT!I36</f>
        <v>1.5891207275862023</v>
      </c>
      <c r="AJ40" s="166">
        <f>Laskenta_vuosihyötysuhde_ENT!N36</f>
        <v>17.410879272413798</v>
      </c>
      <c r="AK40" s="167">
        <f>Laskenta_vuosihyötysuhde_ENT!U36</f>
        <v>262.58333333333331</v>
      </c>
      <c r="AL40" s="168">
        <f>Laskenta_vuosihyötysuhde_ENT!V36</f>
        <v>221.6075383600575</v>
      </c>
      <c r="AM40" s="169">
        <f>Laskenta_vuosihyötysuhde_ENT!W36</f>
        <v>221.6075383600575</v>
      </c>
    </row>
    <row r="41" spans="2:39" ht="17" customHeight="1" x14ac:dyDescent="0.15">
      <c r="B41" s="12"/>
      <c r="C41" s="599"/>
      <c r="D41"/>
      <c r="E41" s="830" t="str" cm="1">
        <f t="array" ref="E41">INDEX(Kirjasto_ENT!D4:K125,25,Kirjasto_ENT!B4)</f>
        <v>Supply fan:</v>
      </c>
      <c r="F41"/>
      <c r="G41" s="830" t="str" cm="1">
        <f t="array" ref="G41">INDEX(Kirjasto_ENT!D4:K125,28,Kirjasto_ENT!B4)</f>
        <v>Extract fan:</v>
      </c>
      <c r="H41" s="24"/>
      <c r="I41"/>
      <c r="J41" s="598"/>
      <c r="K41"/>
      <c r="L41" s="644" t="str">
        <f>Tulokset_ENT!CX38</f>
        <v/>
      </c>
      <c r="M41"/>
      <c r="N41" s="24"/>
      <c r="O41" s="24"/>
      <c r="Q41" s="12"/>
      <c r="R41" s="831" t="str" cm="1">
        <f t="array" ref="R41">INDEX(Kirjasto_ENT!D4:K200,158,Kirjasto_ENT!B4)</f>
        <v>Outdoor air temperature:</v>
      </c>
      <c r="S41" s="1529"/>
      <c r="T41" s="1530">
        <v>7</v>
      </c>
      <c r="U41" s="24" t="s">
        <v>230</v>
      </c>
      <c r="V41" s="143"/>
      <c r="W41" s="126"/>
      <c r="X41" s="126"/>
      <c r="Y41" s="126"/>
      <c r="Z41" s="126"/>
      <c r="AA41" s="126"/>
      <c r="AB41" s="126"/>
      <c r="AC41" s="126"/>
      <c r="AD41" s="24"/>
      <c r="AG41" s="163">
        <f>Laskenta_vuosihyötysuhde_ENT!F37</f>
        <v>-1</v>
      </c>
      <c r="AH41" s="164">
        <f>Laskenta_vuosihyötysuhde_ENT!G37</f>
        <v>0.23184931506849316</v>
      </c>
      <c r="AI41" s="165">
        <f>Laskenta_vuosihyötysuhde_ENT!I37</f>
        <v>2.4330720002998447</v>
      </c>
      <c r="AJ41" s="166">
        <f>Laskenta_vuosihyötysuhde_ENT!N37</f>
        <v>17.566927999700155</v>
      </c>
      <c r="AK41" s="167">
        <f>Laskenta_vuosihyötysuhde_ENT!U37</f>
        <v>218.16666666666683</v>
      </c>
      <c r="AL41" s="168">
        <f>Laskenta_vuosihyötysuhde_ENT!V37</f>
        <v>184.12203599702667</v>
      </c>
      <c r="AM41" s="169">
        <f>Laskenta_vuosihyötysuhde_ENT!W37</f>
        <v>184.12203599702667</v>
      </c>
    </row>
    <row r="42" spans="2:39" x14ac:dyDescent="0.15">
      <c r="B42" s="12"/>
      <c r="C42" s="600" t="str" cm="1">
        <f t="array" ref="C42">INDEX(Kirjasto_ENT!D4:K125,26,Kirjasto_ENT!B4)</f>
        <v>Control voltage:</v>
      </c>
      <c r="D42" s="76"/>
      <c r="E42" s="630">
        <f>Tulokset_ENT!E38</f>
        <v>4.8722550824769089</v>
      </c>
      <c r="F42" t="s">
        <v>25</v>
      </c>
      <c r="G42" s="630">
        <f>Tulokset_ENT!H38</f>
        <v>4.6737857613449663</v>
      </c>
      <c r="H42" s="24" t="s">
        <v>25</v>
      </c>
      <c r="I42"/>
      <c r="J42" s="625" t="str" cm="1">
        <f t="array" ref="J42">INDEX(Kirjasto_ENT!D4:K150,138,Kirjasto_ENT!B4)</f>
        <v>Operating point in boost situation:</v>
      </c>
      <c r="K42"/>
      <c r="L42"/>
      <c r="M42"/>
      <c r="N42" s="24"/>
      <c r="O42" s="24"/>
      <c r="Q42" s="12"/>
      <c r="R42" s="546" t="str" cm="1">
        <f t="array" ref="R42">INDEX(Kirjasto_ENT!D4:K200,159,Kirjasto_ENT!B4)</f>
        <v>Outdoor air relative humidity:</v>
      </c>
      <c r="S42" s="252"/>
      <c r="T42" s="1530">
        <v>55</v>
      </c>
      <c r="U42" s="154" t="s">
        <v>2720</v>
      </c>
      <c r="V42" s="143"/>
      <c r="W42" s="1528"/>
      <c r="X42" s="126"/>
      <c r="Y42" s="126"/>
      <c r="Z42" s="126"/>
      <c r="AA42" s="126"/>
      <c r="AB42" s="126"/>
      <c r="AC42" s="126"/>
      <c r="AD42" s="24"/>
      <c r="AG42" s="163">
        <f>Laskenta_vuosihyötysuhde_ENT!F38</f>
        <v>0</v>
      </c>
      <c r="AH42" s="164">
        <f>Laskenta_vuosihyötysuhde_ENT!G38</f>
        <v>0.27363013698630134</v>
      </c>
      <c r="AI42" s="165">
        <f>Laskenta_vuosihyötysuhde_ENT!I38</f>
        <v>3.2770232730134872</v>
      </c>
      <c r="AJ42" s="166">
        <f>Laskenta_vuosihyötysuhde_ENT!N38</f>
        <v>17.722976726986513</v>
      </c>
      <c r="AK42" s="167">
        <f>Laskenta_vuosihyötysuhde_ENT!U38</f>
        <v>320.24999999999977</v>
      </c>
      <c r="AL42" s="168">
        <f>Laskenta_vuosihyötysuhde_ENT!V38</f>
        <v>270.27539508654411</v>
      </c>
      <c r="AM42" s="169">
        <f>Laskenta_vuosihyötysuhde_ENT!W38</f>
        <v>270.27539508654411</v>
      </c>
    </row>
    <row r="43" spans="2:39" x14ac:dyDescent="0.15">
      <c r="B43" s="12"/>
      <c r="C43" s="600" t="str" cm="1">
        <f t="array" ref="C43">INDEX(Kirjasto_ENT!D4:K125,27,Kirjasto_ENT!B4)</f>
        <v>Fan power:</v>
      </c>
      <c r="D43" s="76"/>
      <c r="E43" s="630">
        <f>Tulokset_ENT!F38</f>
        <v>18.725001842642108</v>
      </c>
      <c r="F43" t="s">
        <v>49</v>
      </c>
      <c r="G43" s="630">
        <f>Tulokset_ENT!I38</f>
        <v>18.17041705048598</v>
      </c>
      <c r="H43" s="24" t="s">
        <v>49</v>
      </c>
      <c r="I43"/>
      <c r="J43" s="12"/>
      <c r="K43"/>
      <c r="L43" s="842" t="str">
        <f>Kirjasto_ENT!M17</f>
        <v>Supply air</v>
      </c>
      <c r="M43" s="842" t="str">
        <f>Kirjasto_ENT!M18</f>
        <v>Extract air</v>
      </c>
      <c r="N43" s="24"/>
      <c r="O43" s="24"/>
      <c r="Q43" s="12"/>
      <c r="R43" s="795"/>
      <c r="S43" s="143"/>
      <c r="T43" s="143"/>
      <c r="U43" s="154"/>
      <c r="V43" s="143"/>
      <c r="W43" s="126"/>
      <c r="X43" s="126"/>
      <c r="Y43" s="126"/>
      <c r="Z43" s="126"/>
      <c r="AA43" s="126"/>
      <c r="AB43" s="126"/>
      <c r="AC43" s="126"/>
      <c r="AD43" s="24"/>
      <c r="AG43" s="163">
        <f>Laskenta_vuosihyötysuhde_ENT!F39</f>
        <v>1</v>
      </c>
      <c r="AH43" s="164">
        <f>Laskenta_vuosihyötysuhde_ENT!G39</f>
        <v>0.30490867579908676</v>
      </c>
      <c r="AI43" s="165">
        <f>Laskenta_vuosihyötysuhde_ENT!I39</f>
        <v>4.1209745457271296</v>
      </c>
      <c r="AJ43" s="166">
        <f>Laskenta_vuosihyötysuhde_ENT!N39</f>
        <v>17.87902545427287</v>
      </c>
      <c r="AK43" s="167">
        <f>Laskenta_vuosihyötysuhde_ENT!U39</f>
        <v>228.33333333333354</v>
      </c>
      <c r="AL43" s="168">
        <f>Laskenta_vuosihyötysuhde_ENT!V39</f>
        <v>192.70220726961546</v>
      </c>
      <c r="AM43" s="169">
        <f>Laskenta_vuosihyötysuhde_ENT!W39</f>
        <v>192.70220726961546</v>
      </c>
    </row>
    <row r="44" spans="2:39" ht="15" customHeight="1" x14ac:dyDescent="0.15">
      <c r="B44" s="12"/>
      <c r="C44" s="12"/>
      <c r="D44"/>
      <c r="E44"/>
      <c r="F44"/>
      <c r="G44"/>
      <c r="H44" s="24"/>
      <c r="I44"/>
      <c r="J44" s="831" t="str" cm="1">
        <f t="array" ref="J44">INDEX(Kirjasto_ENT!D4:K150,21,Kirjasto_ENT!B4)</f>
        <v>Air volume flow:</v>
      </c>
      <c r="K44" s="76"/>
      <c r="L44" s="631">
        <f>Tulokset_ENT!CR38</f>
        <v>150</v>
      </c>
      <c r="M44" s="631">
        <f>Tulokset_ENT!CS38</f>
        <v>150</v>
      </c>
      <c r="N44" s="24" t="str">
        <f>Tulokset_ENT!$AC$10</f>
        <v>m³/h</v>
      </c>
      <c r="O44" s="24"/>
      <c r="Q44" s="12"/>
      <c r="R44" s="548" t="str" cm="1">
        <f t="array" ref="R44">INDEX(Kirjasto_ENT!D4:K200,160,Kirjasto_ENT!B4)</f>
        <v>Heat recovery unit humidity ratio (EN 308):</v>
      </c>
      <c r="S44" s="252"/>
      <c r="T44" s="745">
        <f>Tulokset_ENT!DU38</f>
        <v>0.40116916101166716</v>
      </c>
      <c r="U44" s="154"/>
      <c r="V44" s="143"/>
      <c r="W44" s="1528"/>
      <c r="X44" s="126"/>
      <c r="Y44" s="126"/>
      <c r="Z44" s="126"/>
      <c r="AA44" s="126"/>
      <c r="AB44" s="126"/>
      <c r="AC44" s="126"/>
      <c r="AD44" s="24"/>
      <c r="AG44" s="163">
        <f>Laskenta_vuosihyötysuhde_ENT!F40</f>
        <v>2</v>
      </c>
      <c r="AH44" s="164">
        <f>Laskenta_vuosihyötysuhde_ENT!G40</f>
        <v>0.36506849315068496</v>
      </c>
      <c r="AI44" s="165">
        <f>Laskenta_vuosihyötysuhde_ENT!I40</f>
        <v>4.9649258184407756</v>
      </c>
      <c r="AJ44" s="166">
        <f>Laskenta_vuosihyötysuhde_ENT!N40</f>
        <v>18.035074181559224</v>
      </c>
      <c r="AK44" s="167">
        <f>Laskenta_vuosihyötysuhde_ENT!U40</f>
        <v>417.20833333333348</v>
      </c>
      <c r="AL44" s="168">
        <f>Laskenta_vuosihyötysuhde_ENT!V40</f>
        <v>352.10350390340477</v>
      </c>
      <c r="AM44" s="169">
        <f>Laskenta_vuosihyötysuhde_ENT!W40</f>
        <v>352.10350390340477</v>
      </c>
    </row>
    <row r="45" spans="2:39" ht="14.25" customHeight="1" x14ac:dyDescent="0.15">
      <c r="B45" s="12"/>
      <c r="C45" s="604" t="str" cm="1">
        <f t="array" ref="C45">INDEX(Kirjasto_ENT!D4:K200,29,Kirjasto_ENT!B4)</f>
        <v>Total power:</v>
      </c>
      <c r="D45" s="123">
        <f>Tulokset_ENT!K38</f>
        <v>41.295418893128087</v>
      </c>
      <c r="E45" s="2" t="s">
        <v>49</v>
      </c>
      <c r="F45"/>
      <c r="G45"/>
      <c r="H45" s="24"/>
      <c r="I45"/>
      <c r="J45" s="841"/>
      <c r="K45"/>
      <c r="L45" s="631">
        <f>Tulokset_ENT!CR39</f>
        <v>41.666666666666664</v>
      </c>
      <c r="M45" s="631">
        <f>Tulokset_ENT!CS39</f>
        <v>41.666666666666664</v>
      </c>
      <c r="N45" s="24" t="str">
        <f>Tulokset_ENT!$AC$11</f>
        <v>dm³/s</v>
      </c>
      <c r="O45" s="24"/>
      <c r="Q45" s="12"/>
      <c r="R45" s="512"/>
      <c r="S45" s="143"/>
      <c r="T45" s="143"/>
      <c r="U45" s="154"/>
      <c r="V45" s="143"/>
      <c r="W45" s="126"/>
      <c r="X45" s="126"/>
      <c r="Y45" s="126"/>
      <c r="Z45" s="126"/>
      <c r="AA45" s="126"/>
      <c r="AB45" s="126"/>
      <c r="AC45" s="126"/>
      <c r="AD45" s="24"/>
      <c r="AG45" s="163">
        <f>Laskenta_vuosihyötysuhde_ENT!F41</f>
        <v>3</v>
      </c>
      <c r="AH45" s="164">
        <f>Laskenta_vuosihyötysuhde_ENT!G41</f>
        <v>0.40559360730593608</v>
      </c>
      <c r="AI45" s="165">
        <f>Laskenta_vuosihyötysuhde_ENT!I41</f>
        <v>5.8088770911544181</v>
      </c>
      <c r="AJ45" s="166">
        <f>Laskenta_vuosihyötysuhde_ENT!N41</f>
        <v>18.191122908845582</v>
      </c>
      <c r="AK45" s="167">
        <f>Laskenta_vuosihyötysuhde_ENT!U41</f>
        <v>266.24999999999983</v>
      </c>
      <c r="AL45" s="168">
        <f>Laskenta_vuosihyötysuhde_ENT!V41</f>
        <v>224.70202636000747</v>
      </c>
      <c r="AM45" s="169">
        <f>Laskenta_vuosihyötysuhde_ENT!W41</f>
        <v>224.70202636000747</v>
      </c>
    </row>
    <row r="46" spans="2:39" ht="15" customHeight="1" x14ac:dyDescent="0.25">
      <c r="B46" s="12"/>
      <c r="C46" s="604" t="str" cm="1">
        <f t="array" ref="C46">INDEX(Kirjasto_ENT!D4:K200,30,Kirjasto_ENT!B4)</f>
        <v>SFP:</v>
      </c>
      <c r="D46" s="477">
        <f>Tulokset_ENT!L38</f>
        <v>1.189308064122089</v>
      </c>
      <c r="E46" s="2" t="s">
        <v>1106</v>
      </c>
      <c r="F46" s="424" t="s">
        <v>550</v>
      </c>
      <c r="G46" s="444" t="str">
        <f>Tulokset_ENT!CI38</f>
        <v>-</v>
      </c>
      <c r="H46" s="608" t="s">
        <v>1105</v>
      </c>
      <c r="I46"/>
      <c r="J46" s="831" t="str" cm="1">
        <f t="array" ref="J46">INDEX(Kirjasto_ENT!D4:K150,22,Kirjasto_ENT!B4)</f>
        <v>Pressure difference:</v>
      </c>
      <c r="K46" s="76"/>
      <c r="L46" s="631">
        <f>Tulokset_ENT!CT38</f>
        <v>107.99999999999999</v>
      </c>
      <c r="M46" s="631">
        <f>Tulokset_ENT!CU38</f>
        <v>129.59999999999997</v>
      </c>
      <c r="N46" s="24" t="s">
        <v>14</v>
      </c>
      <c r="O46" s="24"/>
      <c r="Q46" s="12"/>
      <c r="R46" s="1526" t="str" cm="1">
        <f t="array" ref="R46">INDEX(Kirjasto_ENT!D4:K200,161,Kirjasto_ENT!B4)</f>
        <v>Summer</v>
      </c>
      <c r="S46" s="143"/>
      <c r="T46" s="143"/>
      <c r="U46" s="154"/>
      <c r="V46" s="143"/>
      <c r="W46" s="126"/>
      <c r="X46" s="126"/>
      <c r="Y46" s="126"/>
      <c r="Z46" s="126"/>
      <c r="AA46" s="126"/>
      <c r="AB46" s="126"/>
      <c r="AC46" s="126"/>
      <c r="AD46" s="24"/>
      <c r="AG46" s="163">
        <f>Laskenta_vuosihyötysuhde_ENT!F42</f>
        <v>4</v>
      </c>
      <c r="AH46" s="164">
        <f>Laskenta_vuosihyötysuhde_ENT!G42</f>
        <v>0.4534246575342466</v>
      </c>
      <c r="AI46" s="165">
        <f>Laskenta_vuosihyötysuhde_ENT!I42</f>
        <v>6.6528283638680605</v>
      </c>
      <c r="AJ46" s="166">
        <f>Laskenta_vuosihyötysuhde_ENT!N42</f>
        <v>18.347171636131939</v>
      </c>
      <c r="AK46" s="167">
        <f>Laskenta_vuosihyötysuhde_ENT!U42</f>
        <v>296.7916666666668</v>
      </c>
      <c r="AL46" s="168">
        <f>Laskenta_vuosihyötysuhde_ENT!V42</f>
        <v>250.4777048141369</v>
      </c>
      <c r="AM46" s="169">
        <f>Laskenta_vuosihyötysuhde_ENT!W42</f>
        <v>250.4777048141369</v>
      </c>
    </row>
    <row r="47" spans="2:39" ht="17" x14ac:dyDescent="0.25">
      <c r="B47" s="12"/>
      <c r="C47" s="604" t="s">
        <v>1103</v>
      </c>
      <c r="D47" s="477">
        <f>Tulokset_ENT!T42</f>
        <v>0.33036335114502474</v>
      </c>
      <c r="E47" s="2" t="s">
        <v>1104</v>
      </c>
      <c r="F47" s="424" t="s">
        <v>575</v>
      </c>
      <c r="G47" s="444" t="str">
        <f>Tulokset_ENT!CJ38</f>
        <v>-</v>
      </c>
      <c r="H47" s="608" t="s">
        <v>1105</v>
      </c>
      <c r="I47"/>
      <c r="J47" s="831" t="str" cm="1">
        <f t="array" ref="J47">INDEX(Kirjasto_ENT!D4:K150,26,Kirjasto_ENT!B4)</f>
        <v>Control voltage:</v>
      </c>
      <c r="K47" s="76"/>
      <c r="L47" s="630">
        <f>Tulokset_ENT!CZ38</f>
        <v>5.6500848303345137</v>
      </c>
      <c r="M47" s="630">
        <f>Tulokset_ENT!DA38</f>
        <v>5.4415065262774158</v>
      </c>
      <c r="N47" s="24" t="s">
        <v>25</v>
      </c>
      <c r="O47" s="24"/>
      <c r="Q47" s="12"/>
      <c r="R47" s="546" t="str">
        <f>R39</f>
        <v>Extract air temperature:</v>
      </c>
      <c r="S47" s="252"/>
      <c r="T47" s="648">
        <v>25</v>
      </c>
      <c r="U47" s="154" t="s">
        <v>230</v>
      </c>
      <c r="V47" s="143"/>
      <c r="W47" s="126"/>
      <c r="X47" s="126"/>
      <c r="Y47" s="126"/>
      <c r="Z47" s="126"/>
      <c r="AA47" s="126"/>
      <c r="AB47" s="126"/>
      <c r="AC47" s="126"/>
      <c r="AD47" s="24"/>
      <c r="AG47" s="163">
        <f>Laskenta_vuosihyötysuhde_ENT!F43</f>
        <v>5</v>
      </c>
      <c r="AH47" s="164">
        <f>Laskenta_vuosihyötysuhde_ENT!G43</f>
        <v>0.49874429223744293</v>
      </c>
      <c r="AI47" s="165">
        <f>Laskenta_vuosihyötysuhde_ENT!I43</f>
        <v>7.4967796365817048</v>
      </c>
      <c r="AJ47" s="166">
        <f>Laskenta_vuosihyötysuhde_ENT!N43</f>
        <v>18.503220363418293</v>
      </c>
      <c r="AK47" s="167">
        <f>Laskenta_vuosihyötysuhde_ENT!U43</f>
        <v>264.66666666666657</v>
      </c>
      <c r="AL47" s="168">
        <f>Laskenta_vuosihyötysuhde_ENT!V43</f>
        <v>223.36577017821088</v>
      </c>
      <c r="AM47" s="169">
        <f>Laskenta_vuosihyötysuhde_ENT!W43</f>
        <v>223.36577017821091</v>
      </c>
    </row>
    <row r="48" spans="2:39" ht="17.25" customHeight="1" x14ac:dyDescent="0.15">
      <c r="B48" s="12"/>
      <c r="C48" s="664" t="str" cm="1">
        <f t="array" ref="C48">INDEX(Kirjasto_ENT!D4:K200,143,Kirjasto_ENT!B4)</f>
        <v>Note: The above values also include the device's electronics.</v>
      </c>
      <c r="D48" s="25"/>
      <c r="E48" s="25"/>
      <c r="F48" s="25"/>
      <c r="G48" s="25"/>
      <c r="H48" s="26"/>
      <c r="I48"/>
      <c r="J48" s="610"/>
      <c r="K48" s="611"/>
      <c r="L48" s="611"/>
      <c r="M48" s="612"/>
      <c r="N48" s="613"/>
      <c r="O48" s="24"/>
      <c r="Q48" s="12"/>
      <c r="R48" s="546" t="str">
        <f t="shared" ref="R48:R50" si="0">R40</f>
        <v>Extract air relative humidity:</v>
      </c>
      <c r="S48" s="252"/>
      <c r="T48" s="648">
        <v>50</v>
      </c>
      <c r="U48" s="154" t="s">
        <v>2720</v>
      </c>
      <c r="V48" s="143"/>
      <c r="W48" s="1528"/>
      <c r="X48" s="126"/>
      <c r="Y48" s="126"/>
      <c r="Z48" s="126"/>
      <c r="AA48" s="126"/>
      <c r="AB48" s="126"/>
      <c r="AC48" s="126"/>
      <c r="AD48" s="24"/>
      <c r="AG48" s="163">
        <f>Laskenta_vuosihyötysuhde_ENT!F44</f>
        <v>6</v>
      </c>
      <c r="AH48" s="164">
        <f>Laskenta_vuosihyötysuhde_ENT!G44</f>
        <v>0.51609589041095894</v>
      </c>
      <c r="AI48" s="165">
        <f>Laskenta_vuosihyötysuhde_ENT!I44</f>
        <v>8.340730909295349</v>
      </c>
      <c r="AJ48" s="166">
        <f>Laskenta_vuosihyötysuhde_ENT!N44</f>
        <v>18.659269090704651</v>
      </c>
      <c r="AK48" s="167">
        <f>Laskenta_vuosihyötysuhde_ENT!U44</f>
        <v>95.000000000000114</v>
      </c>
      <c r="AL48" s="168">
        <f>Laskenta_vuosihyötysuhde_ENT!V44</f>
        <v>80.175370907796221</v>
      </c>
      <c r="AM48" s="169">
        <f>Laskenta_vuosihyötysuhde_ENT!W44</f>
        <v>80.175370907796221</v>
      </c>
    </row>
    <row r="49" spans="2:39" ht="14.5" customHeight="1" x14ac:dyDescent="0.15">
      <c r="B49" s="12"/>
      <c r="C49"/>
      <c r="D49"/>
      <c r="E49"/>
      <c r="F49"/>
      <c r="G49"/>
      <c r="H49"/>
      <c r="I49"/>
      <c r="J49" s="425"/>
      <c r="K49" s="596"/>
      <c r="L49" s="596"/>
      <c r="M49" s="597"/>
      <c r="N49" s="425"/>
      <c r="O49" s="24"/>
      <c r="Q49" s="12"/>
      <c r="R49" s="546" t="str">
        <f t="shared" si="0"/>
        <v>Outdoor air temperature:</v>
      </c>
      <c r="S49" s="76"/>
      <c r="T49" s="1530">
        <v>35</v>
      </c>
      <c r="U49" s="24" t="s">
        <v>230</v>
      </c>
      <c r="V49" s="143"/>
      <c r="W49" s="126"/>
      <c r="X49" s="126"/>
      <c r="Y49" s="126"/>
      <c r="Z49" s="126"/>
      <c r="AA49" s="126"/>
      <c r="AB49" s="126"/>
      <c r="AC49" s="126"/>
      <c r="AD49" s="24"/>
      <c r="AG49" s="163">
        <f>Laskenta_vuosihyötysuhde_ENT!F45</f>
        <v>7</v>
      </c>
      <c r="AH49" s="164">
        <f>Laskenta_vuosihyötysuhde_ENT!G45</f>
        <v>0.5501141552511416</v>
      </c>
      <c r="AI49" s="165">
        <f>Laskenta_vuosihyötysuhde_ENT!I45</f>
        <v>9.1846821820089914</v>
      </c>
      <c r="AJ49" s="166">
        <f>Laskenta_vuosihyötysuhde_ENT!N45</f>
        <v>18.815317817991009</v>
      </c>
      <c r="AK49" s="167">
        <f>Laskenta_vuosihyötysuhde_ENT!U45</f>
        <v>173.83333333333343</v>
      </c>
      <c r="AL49" s="168">
        <f>Laskenta_vuosihyötysuhde_ENT!V45</f>
        <v>146.70686290672177</v>
      </c>
      <c r="AM49" s="169">
        <f>Laskenta_vuosihyötysuhde_ENT!W45</f>
        <v>146.70686290672177</v>
      </c>
    </row>
    <row r="50" spans="2:39" ht="14.5" customHeight="1" x14ac:dyDescent="0.15">
      <c r="B50" s="12"/>
      <c r="C50" s="2" t="str" cm="1">
        <f t="array" ref="C50">INDEX(Kirjasto_ENT!D4:K125,31,Kirjasto_ENT!B4)</f>
        <v>Sound power levels in connection ducts</v>
      </c>
      <c r="D50"/>
      <c r="E50"/>
      <c r="F50"/>
      <c r="G50"/>
      <c r="H50"/>
      <c r="I50"/>
      <c r="J50"/>
      <c r="K50"/>
      <c r="L50"/>
      <c r="M50"/>
      <c r="N50"/>
      <c r="O50" s="24"/>
      <c r="Q50" s="12"/>
      <c r="R50" s="546" t="str">
        <f t="shared" si="0"/>
        <v>Outdoor air relative humidity:</v>
      </c>
      <c r="S50" s="252"/>
      <c r="T50" s="648">
        <v>45</v>
      </c>
      <c r="U50" s="154" t="s">
        <v>2720</v>
      </c>
      <c r="V50" s="143"/>
      <c r="W50" s="1528"/>
      <c r="X50" s="126"/>
      <c r="Y50" s="126"/>
      <c r="Z50" s="126"/>
      <c r="AA50" s="126"/>
      <c r="AB50" s="126"/>
      <c r="AC50" s="126"/>
      <c r="AD50" s="24"/>
      <c r="AG50" s="163">
        <f>Laskenta_vuosihyötysuhde_ENT!F46</f>
        <v>8</v>
      </c>
      <c r="AH50" s="164">
        <f>Laskenta_vuosihyötysuhde_ENT!G46</f>
        <v>0.58858447488584476</v>
      </c>
      <c r="AI50" s="165">
        <f>Laskenta_vuosihyötysuhde_ENT!I46</f>
        <v>10.028633454722636</v>
      </c>
      <c r="AJ50" s="166">
        <f>Laskenta_vuosihyötysuhde_ENT!N46</f>
        <v>18.971366545277363</v>
      </c>
      <c r="AK50" s="167">
        <f>Laskenta_vuosihyötysuhde_ENT!U46</f>
        <v>182.54166666666646</v>
      </c>
      <c r="AL50" s="168">
        <f>Laskenta_vuosihyötysuhde_ENT!V46</f>
        <v>154.05627190660277</v>
      </c>
      <c r="AM50" s="169">
        <f>Laskenta_vuosihyötysuhde_ENT!W46</f>
        <v>154.05627190660283</v>
      </c>
    </row>
    <row r="51" spans="2:39" ht="14.25" customHeight="1" x14ac:dyDescent="0.15">
      <c r="B51" s="12"/>
      <c r="C51" s="1735" t="str" cm="1">
        <f t="array" ref="C51">INDEX(Kirjasto_ENT!D4:K125,32,Kirjasto_ENT!B4)</f>
        <v>Connection duct</v>
      </c>
      <c r="D51" s="1713" t="str" cm="1">
        <f t="array" ref="D51">INDEX(Kirjasto_ENT!D4:K125,38,Kirjasto_ENT!B4)</f>
        <v>Sound power levels in octave bands LW,oct [dB]</v>
      </c>
      <c r="E51" s="1713"/>
      <c r="F51" s="1713"/>
      <c r="G51" s="1713"/>
      <c r="H51" s="1713"/>
      <c r="I51" s="1713"/>
      <c r="J51" s="1713"/>
      <c r="K51" s="1713"/>
      <c r="L51" s="1713"/>
      <c r="M51" s="1712" t="s">
        <v>60</v>
      </c>
      <c r="N51" s="1714" t="s">
        <v>69</v>
      </c>
      <c r="O51" s="24"/>
      <c r="Q51" s="12"/>
      <c r="R51" s="795"/>
      <c r="S51" s="143"/>
      <c r="T51" s="143"/>
      <c r="U51" s="154"/>
      <c r="V51" s="143"/>
      <c r="W51" s="126"/>
      <c r="X51" s="126"/>
      <c r="Y51" s="126"/>
      <c r="Z51" s="126"/>
      <c r="AA51" s="126"/>
      <c r="AB51" s="126"/>
      <c r="AC51" s="126"/>
      <c r="AD51" s="24"/>
      <c r="AG51" s="163">
        <f>Laskenta_vuosihyötysuhde_ENT!F47</f>
        <v>9</v>
      </c>
      <c r="AH51" s="164">
        <f>Laskenta_vuosihyötysuhde_ENT!G47</f>
        <v>0.6205479452054794</v>
      </c>
      <c r="AI51" s="165">
        <f>Laskenta_vuosihyötysuhde_ENT!I47</f>
        <v>10.872584727436278</v>
      </c>
      <c r="AJ51" s="166">
        <f>Laskenta_vuosihyötysuhde_ENT!N47</f>
        <v>19.127415272563724</v>
      </c>
      <c r="AK51" s="167">
        <f>Laskenta_vuosihyötysuhde_ENT!U47</f>
        <v>139.99999999999974</v>
      </c>
      <c r="AL51" s="168">
        <f>Laskenta_vuosihyötysuhde_ENT!V47</f>
        <v>118.1531781799099</v>
      </c>
      <c r="AM51" s="169">
        <f>Laskenta_vuosihyötysuhde_ENT!W47</f>
        <v>118.15317817990989</v>
      </c>
    </row>
    <row r="52" spans="2:39" ht="14.25" customHeight="1" x14ac:dyDescent="0.15">
      <c r="B52" s="12"/>
      <c r="C52" s="1735"/>
      <c r="D52" s="92" t="s">
        <v>61</v>
      </c>
      <c r="E52" s="93" t="s">
        <v>62</v>
      </c>
      <c r="F52" s="93" t="s">
        <v>63</v>
      </c>
      <c r="G52" s="93" t="s">
        <v>64</v>
      </c>
      <c r="H52" s="93" t="s">
        <v>65</v>
      </c>
      <c r="I52" s="1716" t="s">
        <v>66</v>
      </c>
      <c r="J52" s="1717"/>
      <c r="K52" s="93" t="s">
        <v>67</v>
      </c>
      <c r="L52" s="94" t="s">
        <v>68</v>
      </c>
      <c r="M52" s="1713"/>
      <c r="N52" s="1715"/>
      <c r="O52" s="24"/>
      <c r="Q52" s="12"/>
      <c r="R52" s="548" t="s">
        <v>2721</v>
      </c>
      <c r="S52" s="252"/>
      <c r="T52" s="745">
        <f>Tulokset_ENT!DV38</f>
        <v>0.44554640794152917</v>
      </c>
      <c r="U52" s="154"/>
      <c r="V52" s="143"/>
      <c r="W52" s="1528"/>
      <c r="X52" s="126"/>
      <c r="Y52" s="126"/>
      <c r="Z52" s="126"/>
      <c r="AA52" s="126"/>
      <c r="AB52" s="126"/>
      <c r="AC52" s="126"/>
      <c r="AD52" s="24"/>
      <c r="AG52" s="163">
        <f>Laskenta_vuosihyötysuhde_ENT!F48</f>
        <v>10</v>
      </c>
      <c r="AH52" s="164">
        <f>Laskenta_vuosihyötysuhde_ENT!G48</f>
        <v>0.65936073059360734</v>
      </c>
      <c r="AI52" s="165">
        <f>Laskenta_vuosihyötysuhde_ENT!I48</f>
        <v>11.716536000149922</v>
      </c>
      <c r="AJ52" s="166">
        <f>Laskenta_vuosihyötysuhde_ENT!N48</f>
        <v>19.283463999850078</v>
      </c>
      <c r="AK52" s="167">
        <f>Laskenta_vuosihyötysuhde_ENT!U48</f>
        <v>155.83333333333366</v>
      </c>
      <c r="AL52" s="168">
        <f>Laskenta_vuosihyötysuhde_ENT!V48</f>
        <v>131.51573999787638</v>
      </c>
      <c r="AM52" s="169">
        <f>Laskenta_vuosihyötysuhde_ENT!W48</f>
        <v>131.51573999787638</v>
      </c>
    </row>
    <row r="53" spans="2:39" s="282" customFormat="1" ht="15" customHeight="1" x14ac:dyDescent="0.15">
      <c r="B53" s="795"/>
      <c r="C53" s="796" t="str" cm="1">
        <f t="array" ref="C53">INDEX(Kirjasto_ENT!D4:K125,33,Kirjasto_ENT!B4)</f>
        <v>Supply air</v>
      </c>
      <c r="D53" s="797">
        <f>Tulokset_ENT!P38</f>
        <v>83.081900793182115</v>
      </c>
      <c r="E53" s="798">
        <f>Tulokset_ENT!Q38</f>
        <v>66.081900793182115</v>
      </c>
      <c r="F53" s="798">
        <f>Tulokset_ENT!R38</f>
        <v>62.081900793182115</v>
      </c>
      <c r="G53" s="798">
        <f>Tulokset_ENT!S38</f>
        <v>59.081900793182115</v>
      </c>
      <c r="H53" s="798">
        <f>Tulokset_ENT!T38</f>
        <v>53.081900793182115</v>
      </c>
      <c r="I53" s="1725">
        <f>Tulokset_ENT!U38</f>
        <v>51.081900793182115</v>
      </c>
      <c r="J53" s="1726"/>
      <c r="K53" s="798">
        <f>Tulokset_ENT!V38</f>
        <v>46.081900793182115</v>
      </c>
      <c r="L53" s="799">
        <f>Tulokset_ENT!W38</f>
        <v>38.081900793182115</v>
      </c>
      <c r="M53" s="800">
        <f>Tulokset_ENT!X38</f>
        <v>83.226010156859843</v>
      </c>
      <c r="N53" s="801">
        <f>Tulokset_ENT!Y38</f>
        <v>62.081900793182115</v>
      </c>
      <c r="O53" s="154"/>
      <c r="Q53" s="795"/>
      <c r="R53" s="1531"/>
      <c r="S53" s="144"/>
      <c r="T53" s="144"/>
      <c r="U53" s="171"/>
      <c r="V53" s="143"/>
      <c r="W53" s="1532"/>
      <c r="X53" s="1532"/>
      <c r="Y53" s="1532"/>
      <c r="Z53" s="1532"/>
      <c r="AA53" s="1532"/>
      <c r="AB53" s="1532"/>
      <c r="AC53" s="1532"/>
      <c r="AD53" s="154"/>
      <c r="AG53" s="163">
        <f>Laskenta_vuosihyötysuhde_ENT!F49</f>
        <v>11</v>
      </c>
      <c r="AH53" s="164">
        <f>Laskenta_vuosihyötysuhde_ENT!G49</f>
        <v>0.68093607305936077</v>
      </c>
      <c r="AI53" s="165">
        <f>Laskenta_vuosihyötysuhde_ENT!I49</f>
        <v>12.560487272863565</v>
      </c>
      <c r="AJ53" s="166">
        <f>Laskenta_vuosihyötysuhde_ENT!N49</f>
        <v>19.439512727136435</v>
      </c>
      <c r="AK53" s="167">
        <f>Laskenta_vuosihyötysuhde_ENT!U49</f>
        <v>78.750000000000028</v>
      </c>
      <c r="AL53" s="168">
        <f>Laskenta_vuosihyötysuhde_ENT!V49</f>
        <v>66.461162726199447</v>
      </c>
      <c r="AM53" s="169">
        <f>Laskenta_vuosihyötysuhde_ENT!W49</f>
        <v>66.461162726199447</v>
      </c>
    </row>
    <row r="54" spans="2:39" s="282" customFormat="1" ht="15" customHeight="1" x14ac:dyDescent="0.15">
      <c r="B54" s="795"/>
      <c r="C54" s="802" t="str" cm="1">
        <f t="array" ref="C54">INDEX(Kirjasto_ENT!D4:K125,34,Kirjasto_ENT!B4)</f>
        <v>Outdoor air</v>
      </c>
      <c r="D54" s="803">
        <f>Tulokset_ENT!Z38</f>
        <v>74.350319413350149</v>
      </c>
      <c r="E54" s="804">
        <f>Tulokset_ENT!AA38</f>
        <v>57.350319413350157</v>
      </c>
      <c r="F54" s="804">
        <f>Tulokset_ENT!AB38</f>
        <v>54.350319413350157</v>
      </c>
      <c r="G54" s="804">
        <f>Tulokset_ENT!AC38</f>
        <v>45.350319413350157</v>
      </c>
      <c r="H54" s="804">
        <f>Tulokset_ENT!AD38</f>
        <v>35.350319413350157</v>
      </c>
      <c r="I54" s="1736">
        <f>Tulokset_ENT!AE38</f>
        <v>29.350319413350157</v>
      </c>
      <c r="J54" s="1737"/>
      <c r="K54" s="804">
        <f>Tulokset_ENT!AF38</f>
        <v>21.350319413350157</v>
      </c>
      <c r="L54" s="805">
        <f>Tulokset_ENT!AG38</f>
        <v>18.350319413350157</v>
      </c>
      <c r="M54" s="806">
        <f>Tulokset_ENT!AH38</f>
        <v>74.484492099851025</v>
      </c>
      <c r="N54" s="807">
        <f>Tulokset_ENT!AI38</f>
        <v>51.350319413350157</v>
      </c>
      <c r="O54" s="154"/>
      <c r="Q54" s="795"/>
      <c r="R54" s="143"/>
      <c r="S54" s="143"/>
      <c r="T54" s="143"/>
      <c r="U54" s="143"/>
      <c r="V54" s="143"/>
      <c r="W54" s="1532"/>
      <c r="X54" s="1532"/>
      <c r="Y54" s="1532"/>
      <c r="Z54" s="1532"/>
      <c r="AA54" s="1532"/>
      <c r="AB54" s="1532"/>
      <c r="AC54" s="1532"/>
      <c r="AD54" s="154"/>
      <c r="AG54" s="172">
        <f>Laskenta_vuosihyötysuhde_ENT!F50</f>
        <v>12</v>
      </c>
      <c r="AH54" s="173">
        <f>Laskenta_vuosihyötysuhde_ENT!G50</f>
        <v>0.71860730593607303</v>
      </c>
      <c r="AI54" s="174">
        <f>Laskenta_vuosihyötysuhde_ENT!I50</f>
        <v>13.404438545577209</v>
      </c>
      <c r="AJ54" s="175">
        <f>Laskenta_vuosihyötysuhde_ENT!N50</f>
        <v>19.595561454422793</v>
      </c>
      <c r="AK54" s="176">
        <f>Laskenta_vuosihyötysuhde_ENT!U50</f>
        <v>123.74999999999976</v>
      </c>
      <c r="AL54" s="177">
        <f>Laskenta_vuosihyötysuhde_ENT!V50</f>
        <v>104.43896999831321</v>
      </c>
      <c r="AM54" s="178">
        <f>Laskenta_vuosihyötysuhde_ENT!W50</f>
        <v>104.43896999831318</v>
      </c>
    </row>
    <row r="55" spans="2:39" s="282" customFormat="1" ht="15" customHeight="1" x14ac:dyDescent="0.15">
      <c r="B55" s="795"/>
      <c r="C55" s="808" t="str" cm="1">
        <f t="array" ref="C55">INDEX(Kirjasto_ENT!D4:K125,35,Kirjasto_ENT!B4)</f>
        <v>Extract air</v>
      </c>
      <c r="D55" s="809">
        <f>Tulokset_ENT!AJ38</f>
        <v>74.652204430997017</v>
      </c>
      <c r="E55" s="810">
        <f>Tulokset_ENT!AK38</f>
        <v>55.65220443099701</v>
      </c>
      <c r="F55" s="810">
        <f>Tulokset_ENT!AL38</f>
        <v>50.65220443099701</v>
      </c>
      <c r="G55" s="810">
        <f>Tulokset_ENT!AM38</f>
        <v>47.65220443099701</v>
      </c>
      <c r="H55" s="810">
        <f>Tulokset_ENT!AN38</f>
        <v>41.65220443099701</v>
      </c>
      <c r="I55" s="1725">
        <f>Tulokset_ENT!AO38</f>
        <v>34.65220443099701</v>
      </c>
      <c r="J55" s="1726"/>
      <c r="K55" s="810">
        <f>Tulokset_ENT!AP38</f>
        <v>25.65220443099701</v>
      </c>
      <c r="L55" s="811">
        <f>Tulokset_ENT!AQ38</f>
        <v>19.65220443099701</v>
      </c>
      <c r="M55" s="812">
        <f>Tulokset_ENT!AR38</f>
        <v>74.734724125118092</v>
      </c>
      <c r="N55" s="813">
        <f>Tulokset_ENT!AS38</f>
        <v>51.65220443099701</v>
      </c>
      <c r="O55" s="154"/>
      <c r="Q55" s="795"/>
      <c r="R55" s="143"/>
      <c r="S55" s="143"/>
      <c r="T55" s="143"/>
      <c r="U55" s="143"/>
      <c r="V55" s="143"/>
      <c r="W55" s="1532"/>
      <c r="X55" s="1532"/>
      <c r="Y55" s="1532"/>
      <c r="Z55" s="1532"/>
      <c r="AA55" s="1532"/>
      <c r="AB55" s="1532"/>
      <c r="AC55" s="1532"/>
      <c r="AD55" s="154"/>
      <c r="AG55" s="179"/>
      <c r="AH55" s="180"/>
      <c r="AI55" s="180"/>
      <c r="AJ55" s="247" t="str" cm="1">
        <f t="array" ref="AJ55">INDEX(Kirjasto_ENT!D4:K125,100,Kirjasto_ENT!B4)</f>
        <v>Total</v>
      </c>
      <c r="AK55" s="181">
        <f>SUM(AK10:AK54)</f>
        <v>4996.75</v>
      </c>
      <c r="AL55" s="246">
        <f>SUM(AL10:AL54)</f>
        <v>4206.5757364201154</v>
      </c>
      <c r="AM55" s="246">
        <f>SUM(AM10:AM54)</f>
        <v>4206.5757364201154</v>
      </c>
    </row>
    <row r="56" spans="2:39" s="282" customFormat="1" ht="15" customHeight="1" x14ac:dyDescent="0.15">
      <c r="B56" s="795"/>
      <c r="C56" s="802" t="str" cm="1">
        <f t="array" ref="C56">INDEX(Kirjasto_ENT!D4:K125,36,Kirjasto_ENT!B4)</f>
        <v>Exhaust air</v>
      </c>
      <c r="D56" s="803">
        <f>Tulokset_ENT!AT38</f>
        <v>81.797611511157953</v>
      </c>
      <c r="E56" s="804">
        <f>Tulokset_ENT!AU38</f>
        <v>65.797611511157953</v>
      </c>
      <c r="F56" s="804">
        <f>Tulokset_ENT!AV38</f>
        <v>63.797611511157953</v>
      </c>
      <c r="G56" s="804">
        <f>Tulokset_ENT!AW38</f>
        <v>56.797611511157953</v>
      </c>
      <c r="H56" s="804">
        <f>Tulokset_ENT!AX38</f>
        <v>53.797611511157953</v>
      </c>
      <c r="I56" s="1736">
        <f>Tulokset_ENT!AY38</f>
        <v>51.797611511157953</v>
      </c>
      <c r="J56" s="1737"/>
      <c r="K56" s="804">
        <f>Tulokset_ENT!AZ38</f>
        <v>46.797611511157953</v>
      </c>
      <c r="L56" s="805">
        <f>Tulokset_ENT!BA38</f>
        <v>42.797611511157953</v>
      </c>
      <c r="M56" s="806">
        <f>Tulokset_ENT!BB38</f>
        <v>81.997729875925586</v>
      </c>
      <c r="N56" s="807">
        <f>Tulokset_ENT!BC38</f>
        <v>61.797611511157953</v>
      </c>
      <c r="O56" s="154"/>
      <c r="Q56" s="795"/>
      <c r="R56" s="143"/>
      <c r="S56" s="143"/>
      <c r="T56" s="143"/>
      <c r="U56" s="143"/>
      <c r="V56" s="143"/>
      <c r="W56" s="1532"/>
      <c r="X56" s="1532"/>
      <c r="Y56" s="1532"/>
      <c r="Z56" s="1532"/>
      <c r="AA56" s="1532"/>
      <c r="AB56" s="1532"/>
      <c r="AC56" s="1532"/>
      <c r="AD56" s="154"/>
      <c r="AG56" s="182"/>
      <c r="AH56" s="182"/>
      <c r="AI56" s="182"/>
      <c r="AJ56" s="143"/>
      <c r="AK56" s="143"/>
      <c r="AL56" s="143"/>
      <c r="AM56" s="143"/>
    </row>
    <row r="57" spans="2:39" s="282" customFormat="1" ht="15" customHeight="1" x14ac:dyDescent="0.15">
      <c r="B57" s="795"/>
      <c r="C57" s="814" t="str">
        <f>Tulokset_ENT!BW17</f>
        <v>Kitchen bypass</v>
      </c>
      <c r="D57" s="815" t="str">
        <f>Tulokset_ENT!BT38</f>
        <v>-</v>
      </c>
      <c r="E57" s="816" t="str">
        <f>Tulokset_ENT!BU38</f>
        <v>-</v>
      </c>
      <c r="F57" s="816" t="str">
        <f>Tulokset_ENT!BV38</f>
        <v>-</v>
      </c>
      <c r="G57" s="816" t="str">
        <f>Tulokset_ENT!BW38</f>
        <v>-</v>
      </c>
      <c r="H57" s="816" t="str">
        <f>Tulokset_ENT!BX38</f>
        <v>-</v>
      </c>
      <c r="I57" s="1742" t="str">
        <f>Tulokset_ENT!BY38</f>
        <v>-</v>
      </c>
      <c r="J57" s="1743"/>
      <c r="K57" s="816" t="str">
        <f>Tulokset_ENT!BZ38</f>
        <v>-</v>
      </c>
      <c r="L57" s="817" t="str">
        <f>Tulokset_ENT!CA38</f>
        <v>-</v>
      </c>
      <c r="M57" s="818" t="str">
        <f>Tulokset_ENT!CB38</f>
        <v>-</v>
      </c>
      <c r="N57" s="819" t="str">
        <f>Tulokset_ENT!CC38</f>
        <v>-</v>
      </c>
      <c r="O57" s="154"/>
      <c r="Q57" s="795"/>
      <c r="R57" s="143"/>
      <c r="S57" s="143"/>
      <c r="T57" s="143"/>
      <c r="U57" s="143"/>
      <c r="V57" s="143"/>
      <c r="W57" s="1532"/>
      <c r="X57" s="1532"/>
      <c r="Y57" s="1532"/>
      <c r="Z57" s="1532"/>
      <c r="AA57" s="1532"/>
      <c r="AB57" s="1532"/>
      <c r="AC57" s="1532"/>
      <c r="AD57" s="154"/>
      <c r="AG57" s="1719" t="str" cm="1">
        <f t="array" ref="AG57">INDEX(Kirjasto_ENT!D4:K125,101,Kirjasto_ENT!B4)</f>
        <v>SI,Kd = heating degree days, between indoor air and outdoor air, Kd</v>
      </c>
      <c r="AH57" s="1719"/>
      <c r="AI57" s="1719"/>
      <c r="AJ57" s="1719"/>
      <c r="AK57" s="1719"/>
      <c r="AL57" s="1719"/>
      <c r="AM57" s="1719"/>
    </row>
    <row r="58" spans="2:39" ht="15.75" customHeight="1" x14ac:dyDescent="0.15">
      <c r="B58" s="12"/>
      <c r="C58" s="280" t="str">
        <f>Tulokset_ENT!BY17</f>
        <v/>
      </c>
      <c r="D58" s="80"/>
      <c r="E58"/>
      <c r="F58"/>
      <c r="G58"/>
      <c r="H58"/>
      <c r="I58"/>
      <c r="J58"/>
      <c r="K58"/>
      <c r="L58"/>
      <c r="M58"/>
      <c r="N58"/>
      <c r="O58" s="24"/>
      <c r="Q58" s="12"/>
      <c r="R58"/>
      <c r="S58" s="143"/>
      <c r="T58" s="143"/>
      <c r="U58" s="143"/>
      <c r="V58" s="143"/>
      <c r="W58" s="126"/>
      <c r="X58" s="126"/>
      <c r="Y58" s="126"/>
      <c r="Z58" s="126"/>
      <c r="AA58" s="126"/>
      <c r="AB58" s="126"/>
      <c r="AC58" s="126"/>
      <c r="AD58" s="24"/>
      <c r="AG58" s="1719"/>
      <c r="AH58" s="1719"/>
      <c r="AI58" s="1719"/>
      <c r="AJ58" s="1719"/>
      <c r="AK58" s="1719"/>
      <c r="AL58" s="1719"/>
      <c r="AM58" s="1719"/>
    </row>
    <row r="59" spans="2:39" ht="15.75" customHeight="1" x14ac:dyDescent="0.15">
      <c r="B59" s="12"/>
      <c r="C59" s="2" t="str" cm="1">
        <f t="array" ref="C59">IF(Tulokset_ENT!BD2,CONCATENATE(INDEX(Kirjasto_ENT!D4:K125,41,Kirjasto_ENT!B4),":"),INDEX(Kirjasto_ENT!D4:K125,41,Kirjasto_ENT!B4))</f>
        <v>Sound power levels through casing:</v>
      </c>
      <c r="D59"/>
      <c r="E59"/>
      <c r="F59" s="140" t="str" cm="1">
        <f t="array" ref="F59">IF(Tulokset_ENT!BD4,INDEX(Kirjasto_ENT!D4:K129,125,Kirjasto_ENT!B4),"")</f>
        <v/>
      </c>
      <c r="G59"/>
      <c r="H59"/>
      <c r="I59"/>
      <c r="J59"/>
      <c r="K59"/>
      <c r="L59"/>
      <c r="M59"/>
      <c r="N59"/>
      <c r="O59" s="24"/>
      <c r="Q59" s="12"/>
      <c r="R59"/>
      <c r="S59" s="143"/>
      <c r="T59" s="143"/>
      <c r="U59" s="143"/>
      <c r="V59" s="143"/>
      <c r="W59" s="126"/>
      <c r="X59" s="126"/>
      <c r="Y59" s="126"/>
      <c r="Z59" s="126"/>
      <c r="AA59" s="126"/>
      <c r="AB59" s="126"/>
      <c r="AC59" s="126"/>
      <c r="AD59" s="24"/>
      <c r="AG59" s="1719" t="str" cm="1">
        <f t="array" ref="AG59">INDEX(Kirjasto_ENT!D4:K125,102,Kirjasto_ENT!B4)</f>
        <v>SS,Kd = heating degree days, between supply air and outdoor air, Kd</v>
      </c>
      <c r="AH59" s="1719"/>
      <c r="AI59" s="1719"/>
      <c r="AJ59" s="1719"/>
      <c r="AK59" s="1719"/>
      <c r="AL59" s="1719"/>
      <c r="AM59" s="1719"/>
    </row>
    <row r="60" spans="2:39" ht="15.75" customHeight="1" x14ac:dyDescent="0.15">
      <c r="B60" s="12"/>
      <c r="C60" s="1735"/>
      <c r="D60" s="1713" t="str" cm="1">
        <f t="array" ref="D60">INDEX(Kirjasto_ENT!D4:K125,38,Kirjasto_ENT!B4)</f>
        <v>Sound power levels in octave bands LW,oct [dB]</v>
      </c>
      <c r="E60" s="1713"/>
      <c r="F60" s="1713"/>
      <c r="G60" s="1713"/>
      <c r="H60" s="1713"/>
      <c r="I60" s="1713"/>
      <c r="J60" s="1713"/>
      <c r="K60" s="1713"/>
      <c r="L60" s="1713"/>
      <c r="M60" s="1712" t="s">
        <v>60</v>
      </c>
      <c r="N60" s="1712" t="s">
        <v>69</v>
      </c>
      <c r="O60" s="24"/>
      <c r="Q60" s="12"/>
      <c r="R60"/>
      <c r="S60" s="143"/>
      <c r="T60" s="143"/>
      <c r="U60" s="143"/>
      <c r="V60" s="143"/>
      <c r="W60" s="126"/>
      <c r="X60" s="126"/>
      <c r="Y60" s="126"/>
      <c r="Z60" s="126"/>
      <c r="AA60" s="126"/>
      <c r="AB60" s="126"/>
      <c r="AC60" s="126"/>
      <c r="AD60" s="24"/>
      <c r="AG60" s="1719"/>
      <c r="AH60" s="1719"/>
      <c r="AI60" s="1719"/>
      <c r="AJ60" s="1719"/>
      <c r="AK60" s="1719"/>
      <c r="AL60" s="1719"/>
      <c r="AM60" s="1719"/>
    </row>
    <row r="61" spans="2:39" ht="13.5" customHeight="1" x14ac:dyDescent="0.15">
      <c r="B61" s="12"/>
      <c r="C61" s="1735"/>
      <c r="D61" s="92" t="s">
        <v>61</v>
      </c>
      <c r="E61" s="93" t="s">
        <v>62</v>
      </c>
      <c r="F61" s="93" t="s">
        <v>63</v>
      </c>
      <c r="G61" s="93" t="s">
        <v>64</v>
      </c>
      <c r="H61" s="93" t="s">
        <v>65</v>
      </c>
      <c r="I61" s="1716" t="s">
        <v>66</v>
      </c>
      <c r="J61" s="1717"/>
      <c r="K61" s="93" t="s">
        <v>67</v>
      </c>
      <c r="L61" s="94" t="s">
        <v>68</v>
      </c>
      <c r="M61" s="1713"/>
      <c r="N61" s="1713"/>
      <c r="O61" s="24"/>
      <c r="Q61" s="12"/>
      <c r="R61"/>
      <c r="S61" s="143"/>
      <c r="T61" s="143"/>
      <c r="U61" s="143"/>
      <c r="V61" s="143"/>
      <c r="W61" s="126"/>
      <c r="X61" s="126"/>
      <c r="Y61" s="126"/>
      <c r="Z61" s="126"/>
      <c r="AA61" s="126"/>
      <c r="AB61" s="126"/>
      <c r="AC61" s="126"/>
      <c r="AD61" s="24"/>
      <c r="AG61" s="1719" t="str" cm="1">
        <f t="array" ref="AG61">INDEX(Kirjasto_ENT!D4:K125,103,Kirjasto_ENT!B4)</f>
        <v>SE,Kd = heating degree days, between exhaust air and outdoor air, Kd</v>
      </c>
      <c r="AH61" s="1719"/>
      <c r="AI61" s="1719"/>
      <c r="AJ61" s="1719"/>
      <c r="AK61" s="1719"/>
      <c r="AL61" s="1719"/>
      <c r="AM61" s="1719"/>
    </row>
    <row r="62" spans="2:39" s="282" customFormat="1" ht="17" customHeight="1" thickBot="1" x14ac:dyDescent="0.2">
      <c r="B62" s="795"/>
      <c r="C62" s="820" t="str" cm="1">
        <f t="array" ref="C62">INDEX(Kirjasto_ENT!D4:K125,42,Kirjasto_ENT!B4)</f>
        <v>Through casing</v>
      </c>
      <c r="D62" s="821">
        <f>Tulokset_ENT!BD38</f>
        <v>50.344332156454733</v>
      </c>
      <c r="E62" s="822">
        <f>Tulokset_ENT!BE38</f>
        <v>46.344332156454733</v>
      </c>
      <c r="F62" s="822">
        <f>Tulokset_ENT!BF38</f>
        <v>41.344332156454733</v>
      </c>
      <c r="G62" s="822">
        <f>Tulokset_ENT!BG38</f>
        <v>32.344332156454733</v>
      </c>
      <c r="H62" s="822">
        <f>Tulokset_ENT!BH38</f>
        <v>24.344332156454733</v>
      </c>
      <c r="I62" s="1740">
        <f>Tulokset_ENT!BI38</f>
        <v>18.344332156454733</v>
      </c>
      <c r="J62" s="1741"/>
      <c r="K62" s="822">
        <f>Tulokset_ENT!BJ38</f>
        <v>11.344332156454733</v>
      </c>
      <c r="L62" s="823">
        <f>Tulokset_ENT!BK38</f>
        <v>10.344332156454733</v>
      </c>
      <c r="M62" s="824">
        <f>Tulokset_ENT!BL38</f>
        <v>52.228603214066268</v>
      </c>
      <c r="N62" s="825">
        <f>Tulokset_ENT!BM38</f>
        <v>36.344332156454733</v>
      </c>
      <c r="O62" s="154"/>
      <c r="Q62" s="795"/>
      <c r="R62" s="143"/>
      <c r="S62" s="143"/>
      <c r="T62" s="143"/>
      <c r="U62" s="143"/>
      <c r="V62" s="143"/>
      <c r="W62" s="1532"/>
      <c r="X62" s="1532"/>
      <c r="Y62" s="1532"/>
      <c r="Z62" s="1532"/>
      <c r="AA62" s="1532"/>
      <c r="AB62" s="1532"/>
      <c r="AC62" s="1532"/>
      <c r="AD62" s="154"/>
      <c r="AG62" s="1719"/>
      <c r="AH62" s="1719"/>
      <c r="AI62" s="1719"/>
      <c r="AJ62" s="1719"/>
      <c r="AK62" s="1719"/>
      <c r="AL62" s="1719"/>
      <c r="AM62" s="1719"/>
    </row>
    <row r="63" spans="2:39" s="282" customFormat="1" ht="16.25" customHeight="1" thickTop="1" x14ac:dyDescent="0.15">
      <c r="B63" s="795"/>
      <c r="C63" s="835" t="str" cm="1">
        <f t="array" ref="C63">INDEX(Kirjasto_ENT!D4:K125,43,Kirjasto_ENT!B4)</f>
        <v>Sound pressure level in a room with an absorption area of 10m²:</v>
      </c>
      <c r="D63" s="826"/>
      <c r="E63" s="826"/>
      <c r="F63" s="826"/>
      <c r="G63" s="826"/>
      <c r="H63" s="826"/>
      <c r="I63" s="826"/>
      <c r="J63" s="826"/>
      <c r="K63" s="826"/>
      <c r="L63" s="826"/>
      <c r="M63" s="827" t="s">
        <v>99</v>
      </c>
      <c r="N63" s="812">
        <f>Tulokset_ENT!BN38</f>
        <v>32.364932069734358</v>
      </c>
      <c r="O63" s="154"/>
      <c r="Q63" s="795"/>
      <c r="R63" s="143"/>
      <c r="S63" s="143"/>
      <c r="T63" s="143"/>
      <c r="U63" s="143"/>
      <c r="V63" s="143"/>
      <c r="W63" s="1532"/>
      <c r="X63" s="1532"/>
      <c r="Y63" s="1532"/>
      <c r="Z63" s="1532"/>
      <c r="AA63" s="1532"/>
      <c r="AB63" s="1532"/>
      <c r="AC63" s="1532"/>
      <c r="AD63" s="154"/>
      <c r="AG63" s="1739" t="str">
        <f>Laskenta_vuosihyötysuhde_ENT!B52</f>
        <v/>
      </c>
      <c r="AH63" s="1739"/>
      <c r="AI63" s="1739"/>
      <c r="AJ63" s="1739"/>
      <c r="AK63" s="1739"/>
      <c r="AL63" s="1739"/>
      <c r="AM63" s="1739"/>
    </row>
    <row r="64" spans="2:39" s="282" customFormat="1" ht="16.25" customHeight="1" x14ac:dyDescent="0.15">
      <c r="B64" s="795"/>
      <c r="C64" s="834" t="str" cm="1">
        <f t="array" ref="C64">INDEX(Kirjasto_ENT!D4:K125,44,Kirjasto_ENT!B4)</f>
        <v>Sound pressure level in a typical bathroom (V &lt; 10 m³) with an absorption area &lt; 2-3 m²:</v>
      </c>
      <c r="D64" s="828"/>
      <c r="E64" s="828"/>
      <c r="F64" s="828"/>
      <c r="G64" s="828"/>
      <c r="H64" s="828"/>
      <c r="I64" s="828"/>
      <c r="J64" s="828"/>
      <c r="K64" s="828"/>
      <c r="L64" s="828"/>
      <c r="M64" s="829" t="s">
        <v>100</v>
      </c>
      <c r="N64" s="806">
        <f>Tulokset_ENT!BO38</f>
        <v>38.385531983013983</v>
      </c>
      <c r="O64" s="154"/>
      <c r="Q64" s="795"/>
      <c r="R64" s="143"/>
      <c r="S64" s="143"/>
      <c r="T64" s="143"/>
      <c r="U64" s="143"/>
      <c r="V64" s="143"/>
      <c r="W64" s="1532"/>
      <c r="X64" s="1532"/>
      <c r="Y64" s="1532"/>
      <c r="Z64" s="1532"/>
      <c r="AA64" s="1532"/>
      <c r="AB64" s="1532"/>
      <c r="AC64" s="1532"/>
      <c r="AD64" s="154"/>
      <c r="AG64" s="1739"/>
      <c r="AH64" s="1739"/>
      <c r="AI64" s="1739"/>
      <c r="AJ64" s="1739"/>
      <c r="AK64" s="1739"/>
      <c r="AL64" s="1739"/>
      <c r="AM64" s="1739"/>
    </row>
    <row r="65" spans="2:39" ht="14.25" customHeight="1" x14ac:dyDescent="0.15">
      <c r="B65" s="12"/>
      <c r="C65"/>
      <c r="D65"/>
      <c r="E65"/>
      <c r="F65"/>
      <c r="G65"/>
      <c r="H65"/>
      <c r="I65"/>
      <c r="J65"/>
      <c r="K65"/>
      <c r="L65"/>
      <c r="M65"/>
      <c r="N65"/>
      <c r="O65" s="24"/>
      <c r="Q65" s="12"/>
      <c r="R65"/>
      <c r="S65" s="143"/>
      <c r="T65" s="143"/>
      <c r="U65" s="143"/>
      <c r="V65" s="143"/>
      <c r="W65" s="126"/>
      <c r="X65" s="126"/>
      <c r="Y65" s="126"/>
      <c r="Z65" s="126"/>
      <c r="AA65" s="126"/>
      <c r="AB65" s="126"/>
      <c r="AC65" s="126"/>
      <c r="AD65" s="24"/>
      <c r="AG65" s="1739"/>
      <c r="AH65" s="1739"/>
      <c r="AI65" s="1739"/>
      <c r="AJ65" s="1739"/>
      <c r="AK65" s="1739"/>
      <c r="AL65" s="1739"/>
      <c r="AM65" s="1739"/>
    </row>
    <row r="66" spans="2:39" ht="15.75" customHeight="1" x14ac:dyDescent="0.15">
      <c r="B66" s="12"/>
      <c r="C66" s="1770" t="str" cm="1">
        <f t="array" ref="C66">INDEX(Kirjasto_ENT!D4:K125,45,Kirjasto_ENT!B4)</f>
        <v>Specific energy consumption (SEC) and classification</v>
      </c>
      <c r="D66" s="1771"/>
      <c r="E66" s="1771"/>
      <c r="F66" s="1771"/>
      <c r="G66" s="1771"/>
      <c r="H66" s="1771"/>
      <c r="I66" s="588"/>
      <c r="J66" s="503"/>
      <c r="K66" s="132"/>
      <c r="L66" s="130" t="str" cm="1">
        <f t="array" ref="L66">INDEX(Kirjasto_ENT!D4:K125,58,Kirjasto_ENT!B4)</f>
        <v>Class</v>
      </c>
      <c r="M66" s="1769" t="str" cm="1">
        <f t="array" ref="M66">INDEX(Kirjasto_ENT!D4:K125,57,Kirjasto_ENT!B4)</f>
        <v>SEC-value</v>
      </c>
      <c r="N66" s="1769"/>
      <c r="O66" s="24"/>
      <c r="Q66" s="12"/>
      <c r="R66"/>
      <c r="S66" s="143"/>
      <c r="T66" s="143"/>
      <c r="U66" s="143"/>
      <c r="V66" s="143"/>
      <c r="W66" s="126"/>
      <c r="X66" s="126"/>
      <c r="Y66" s="126"/>
      <c r="Z66" s="126"/>
      <c r="AA66" s="126"/>
      <c r="AB66" s="126"/>
      <c r="AC66" s="126"/>
      <c r="AD66" s="24"/>
      <c r="AG66" s="1739"/>
      <c r="AH66" s="1739"/>
      <c r="AI66" s="1739"/>
      <c r="AJ66" s="1739"/>
      <c r="AK66" s="1739"/>
      <c r="AL66" s="1739"/>
      <c r="AM66" s="1739"/>
    </row>
    <row r="67" spans="2:39" ht="15.75" customHeight="1" x14ac:dyDescent="0.15">
      <c r="B67" s="12"/>
      <c r="C67" s="1772" t="str" cm="1">
        <f t="array" ref="C67">INDEX(Kirjasto_ENT!D4:K125,46,Kirjasto_ENT!B4)</f>
        <v>According to Commission Regulations (EU) No 1253/2014 &amp; No 1254/2014</v>
      </c>
      <c r="D67" s="1773"/>
      <c r="E67" s="1773"/>
      <c r="F67" s="1773"/>
      <c r="G67" s="1773"/>
      <c r="H67" s="1773"/>
      <c r="I67" s="589"/>
      <c r="J67" s="504"/>
      <c r="K67" s="133" t="str">
        <f t="shared" ref="K67:K74" si="1">IF(L67=$I$73,"►","")</f>
        <v/>
      </c>
      <c r="L67" s="131" t="s">
        <v>177</v>
      </c>
      <c r="M67" s="1765" t="s">
        <v>190</v>
      </c>
      <c r="N67" s="1765"/>
      <c r="O67" s="24"/>
      <c r="Q67" s="12"/>
      <c r="R67"/>
      <c r="S67" s="143"/>
      <c r="T67" s="143"/>
      <c r="U67" s="143"/>
      <c r="V67" s="143"/>
      <c r="W67" s="126"/>
      <c r="X67" s="126"/>
      <c r="Y67" s="126"/>
      <c r="Z67" s="126"/>
      <c r="AA67" s="126"/>
      <c r="AB67" s="126"/>
      <c r="AC67" s="126"/>
      <c r="AD67" s="24"/>
      <c r="AG67" s="1739"/>
      <c r="AH67" s="1739"/>
      <c r="AI67" s="1739"/>
      <c r="AJ67" s="1739"/>
      <c r="AK67" s="1739"/>
      <c r="AL67" s="1739"/>
      <c r="AM67" s="1739"/>
    </row>
    <row r="68" spans="2:39" ht="15.75" customHeight="1" x14ac:dyDescent="0.15">
      <c r="B68" s="12"/>
      <c r="C68" s="456" t="str" cm="1">
        <f t="array" ref="C68">INDEX(Kirjasto_ENT!D4:K125,47,Kirjasto_ENT!B4)</f>
        <v>NB! SEC-calculation is only used for air handling units intended for residential buildings</v>
      </c>
      <c r="D68"/>
      <c r="E68" s="142"/>
      <c r="F68" s="142"/>
      <c r="G68" s="135"/>
      <c r="H68" s="135"/>
      <c r="I68" s="135"/>
      <c r="J68" s="135"/>
      <c r="K68" s="133" t="str">
        <f t="shared" si="1"/>
        <v>►</v>
      </c>
      <c r="L68" s="131" t="s">
        <v>4</v>
      </c>
      <c r="M68" s="1774" t="s">
        <v>191</v>
      </c>
      <c r="N68" s="1774"/>
      <c r="O68" s="24"/>
      <c r="Q68" s="12"/>
      <c r="R68"/>
      <c r="S68" s="143"/>
      <c r="T68" s="143"/>
      <c r="U68" s="143"/>
      <c r="V68" s="143"/>
      <c r="W68" s="126"/>
      <c r="X68" s="126"/>
      <c r="Y68" s="126"/>
      <c r="Z68" s="126"/>
      <c r="AA68" s="126"/>
      <c r="AB68" s="126"/>
      <c r="AC68" s="126"/>
      <c r="AD68" s="24"/>
      <c r="AG68" s="1739"/>
      <c r="AH68" s="1739"/>
      <c r="AI68" s="1739"/>
      <c r="AJ68" s="1739"/>
      <c r="AK68" s="1739"/>
      <c r="AL68" s="1739"/>
      <c r="AM68" s="1739"/>
    </row>
    <row r="69" spans="2:39" ht="16.5" customHeight="1" x14ac:dyDescent="0.15">
      <c r="B69" s="12"/>
      <c r="C69" s="505" t="str" cm="1">
        <f t="array" ref="C69">INDEX(Kirjasto_ENT!D4:K125,48,Kirjasto_ENT!B4)</f>
        <v>Reference air flow:</v>
      </c>
      <c r="D69" s="455">
        <f>Tulokset_ENT!M38*3.6</f>
        <v>226.79999999999998</v>
      </c>
      <c r="E69" s="142"/>
      <c r="F69" s="454"/>
      <c r="G69" s="126"/>
      <c r="H69" s="126"/>
      <c r="I69" s="126"/>
      <c r="J69" s="126"/>
      <c r="K69" s="133" t="str">
        <f t="shared" si="1"/>
        <v/>
      </c>
      <c r="L69" s="131" t="s">
        <v>5</v>
      </c>
      <c r="M69" s="1764" t="s">
        <v>192</v>
      </c>
      <c r="N69" s="1764"/>
      <c r="O69" s="24"/>
      <c r="Q69" s="12"/>
      <c r="R69"/>
      <c r="S69" s="143"/>
      <c r="T69" s="143"/>
      <c r="U69" s="143"/>
      <c r="V69" s="143"/>
      <c r="W69" s="126"/>
      <c r="X69" s="126"/>
      <c r="Y69" s="126"/>
      <c r="Z69" s="126"/>
      <c r="AA69" s="126"/>
      <c r="AB69" s="126"/>
      <c r="AC69" s="126"/>
      <c r="AD69" s="24"/>
      <c r="AG69" s="182"/>
      <c r="AH69" s="182"/>
      <c r="AI69" s="182"/>
      <c r="AJ69" s="143"/>
      <c r="AK69" s="143"/>
      <c r="AL69" s="143"/>
      <c r="AM69" s="143"/>
    </row>
    <row r="70" spans="2:39" ht="16.5" customHeight="1" x14ac:dyDescent="0.15">
      <c r="B70" s="12"/>
      <c r="C70" s="139" t="str" cm="1">
        <f t="array" ref="C70">INDEX(Kirjasto_ENT!D4:K125,49,Kirjasto_ENT!B4)</f>
        <v>Calculation parameters:</v>
      </c>
      <c r="D70" s="126"/>
      <c r="E70" s="126"/>
      <c r="F70" s="126"/>
      <c r="G70" s="126"/>
      <c r="H70" s="126"/>
      <c r="I70" s="126"/>
      <c r="J70" s="126"/>
      <c r="K70" s="133" t="str">
        <f t="shared" si="1"/>
        <v/>
      </c>
      <c r="L70" s="131" t="s">
        <v>6</v>
      </c>
      <c r="M70" s="1746" t="s">
        <v>193</v>
      </c>
      <c r="N70" s="1746"/>
      <c r="O70" s="24"/>
      <c r="Q70" s="12"/>
      <c r="R70" s="524" t="str" cm="1">
        <f t="array" ref="R70">INDEX(Kirjasto_ENT!D4:K125,54,Kirjasto_ENT!B4)</f>
        <v>All rights reserved.</v>
      </c>
      <c r="S70" s="526" t="s">
        <v>199</v>
      </c>
      <c r="T70" s="525" t="s">
        <v>1174</v>
      </c>
      <c r="U70" s="141"/>
      <c r="V70"/>
      <c r="W70" s="126"/>
      <c r="X70" s="126"/>
      <c r="Y70" s="126"/>
      <c r="Z70" s="126"/>
      <c r="AA70" s="126"/>
      <c r="AB70" s="126"/>
      <c r="AC70" s="126"/>
      <c r="AD70" s="24"/>
      <c r="AG70"/>
      <c r="AH70"/>
      <c r="AI70"/>
      <c r="AJ70"/>
      <c r="AK70"/>
      <c r="AL70"/>
      <c r="AM70" s="143"/>
    </row>
    <row r="71" spans="2:39" ht="17.25" customHeight="1" x14ac:dyDescent="0.15">
      <c r="B71" s="12"/>
      <c r="C71" s="137" t="str" cm="1">
        <f t="array" ref="C71">INDEX(Kirjasto_ENT!D4:K125,50,Kirjasto_ENT!B4)</f>
        <v>General typology</v>
      </c>
      <c r="D71" s="126"/>
      <c r="E71" s="126"/>
      <c r="F71" s="126"/>
      <c r="G71" s="1762" t="str" cm="1">
        <f t="array" ref="G71">INDEX(Kirjasto_ENT!D4:K125,57,Kirjasto_ENT!B4)</f>
        <v>SEC-value</v>
      </c>
      <c r="H71" s="1763"/>
      <c r="I71" s="1754">
        <f>Tulokset_ENT!BQ38</f>
        <v>-40.343640939222666</v>
      </c>
      <c r="J71" s="1755"/>
      <c r="K71" s="133" t="str">
        <f t="shared" si="1"/>
        <v/>
      </c>
      <c r="L71" s="131" t="s">
        <v>178</v>
      </c>
      <c r="M71" s="1747" t="s">
        <v>194</v>
      </c>
      <c r="N71" s="1747"/>
      <c r="O71" s="24"/>
      <c r="Q71" s="12"/>
      <c r="R71" s="1738" t="str" cm="1">
        <f t="array" ref="R71">INDEX(Kirjasto_ENT!D4:K200,141,Kirjasto_ENT!B4)</f>
        <v>Applied documents and standards: SFS-EN 13141-7, LVI 30-10529, Finnish Ministry of the Environment: Decree 1009/2017, and Commission Regulations (EU) No 1253/2014 &amp; No 1254/2014. We do not answer for the direct or indirect harm caused by possible errors in the selection program.</v>
      </c>
      <c r="S71" s="1738"/>
      <c r="T71" s="1738"/>
      <c r="U71" s="1738"/>
      <c r="V71" s="1738"/>
      <c r="W71" s="1738"/>
      <c r="X71" s="1738"/>
      <c r="Y71" s="1738"/>
      <c r="Z71" s="1738"/>
      <c r="AA71" s="1738"/>
      <c r="AB71" s="1738"/>
      <c r="AC71" s="1738"/>
      <c r="AD71" s="24"/>
    </row>
    <row r="72" spans="2:39" ht="21.75" customHeight="1" x14ac:dyDescent="0.15">
      <c r="B72" s="12"/>
      <c r="C72" s="137" t="str" cm="1">
        <f t="array" ref="C72">INDEX(Kirjasto_ENT!D4:K125,51,Kirjasto_ENT!B4)</f>
        <v>Ventilation control</v>
      </c>
      <c r="D72" s="126"/>
      <c r="E72" s="126"/>
      <c r="F72" s="126"/>
      <c r="G72" s="1744" t="s">
        <v>721</v>
      </c>
      <c r="H72" s="1745"/>
      <c r="I72" s="1756"/>
      <c r="J72" s="1757"/>
      <c r="K72" s="133" t="str">
        <f t="shared" si="1"/>
        <v/>
      </c>
      <c r="L72" s="131" t="s">
        <v>179</v>
      </c>
      <c r="M72" s="1748" t="s">
        <v>195</v>
      </c>
      <c r="N72" s="1748"/>
      <c r="O72" s="24"/>
      <c r="Q72" s="12"/>
      <c r="R72" s="1738"/>
      <c r="S72" s="1738"/>
      <c r="T72" s="1738"/>
      <c r="U72" s="1738"/>
      <c r="V72" s="1738"/>
      <c r="W72" s="1738"/>
      <c r="X72" s="1738"/>
      <c r="Y72" s="1738"/>
      <c r="Z72" s="1738"/>
      <c r="AA72" s="1738"/>
      <c r="AB72" s="1738"/>
      <c r="AC72" s="1738"/>
      <c r="AD72" s="24"/>
    </row>
    <row r="73" spans="2:39" ht="20.25" customHeight="1" x14ac:dyDescent="0.15">
      <c r="B73" s="12"/>
      <c r="C73" s="137" t="str" cm="1">
        <f t="array" ref="C73">INDEX(Kirjasto_ENT!D4:K125,52,Kirjasto_ENT!B4)</f>
        <v>Motor &amp; drive</v>
      </c>
      <c r="D73" s="126"/>
      <c r="E73" s="126"/>
      <c r="F73" s="126"/>
      <c r="G73" s="1750" t="str" cm="1">
        <f t="array" ref="G73">INDEX(Kirjasto_ENT!D4:K125,58,Kirjasto_ENT!B4)</f>
        <v>Class</v>
      </c>
      <c r="H73" s="1751"/>
      <c r="I73" s="1758" t="str">
        <f>Tulokset_ENT!BR38</f>
        <v>A</v>
      </c>
      <c r="J73" s="1759"/>
      <c r="K73" s="133" t="str">
        <f t="shared" si="1"/>
        <v/>
      </c>
      <c r="L73" s="131" t="s">
        <v>180</v>
      </c>
      <c r="M73" s="1749" t="s">
        <v>196</v>
      </c>
      <c r="N73" s="1749"/>
      <c r="O73" s="24"/>
      <c r="Q73" s="14"/>
      <c r="R73" s="523" t="str" cm="1">
        <f t="array" ref="R73">INDEX(Kirjasto_ENT!D4:K125,56,Kirjasto_ENT!B4)</f>
        <v>The selection program is made by Insinööritoimisto W. Zenner Oy. The program is based on laboratory measurements according to SFS-EN 13141-7.</v>
      </c>
      <c r="S73" s="281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6"/>
    </row>
    <row r="74" spans="2:39" ht="18" customHeight="1" x14ac:dyDescent="0.15">
      <c r="B74" s="12"/>
      <c r="C74" s="138" t="str" cm="1">
        <f t="array" ref="C74">INDEX(Kirjasto_ENT!D4:K125,53,Kirjasto_ENT!B4)</f>
        <v>Climate</v>
      </c>
      <c r="D74" s="136"/>
      <c r="E74" s="127"/>
      <c r="F74" s="127"/>
      <c r="G74" s="1752"/>
      <c r="H74" s="1753"/>
      <c r="I74" s="1760"/>
      <c r="J74" s="1761"/>
      <c r="K74" s="134" t="str">
        <f t="shared" si="1"/>
        <v/>
      </c>
      <c r="L74" s="131" t="s">
        <v>181</v>
      </c>
      <c r="M74" s="1749" t="s">
        <v>197</v>
      </c>
      <c r="N74" s="1749"/>
      <c r="O74" s="24"/>
    </row>
    <row r="75" spans="2:39" s="282" customFormat="1" ht="20.25" customHeight="1" x14ac:dyDescent="0.15">
      <c r="B75" s="12"/>
      <c r="C75" s="524" t="str" cm="1">
        <f t="array" ref="C75">INDEX(Kirjasto_ENT!D4:K125,54,Kirjasto_ENT!B4)</f>
        <v>All rights reserved.</v>
      </c>
      <c r="D75" s="126"/>
      <c r="E75" s="525" t="s">
        <v>199</v>
      </c>
      <c r="F75" s="525" t="s">
        <v>1174</v>
      </c>
      <c r="G75"/>
      <c r="H75"/>
      <c r="I75"/>
      <c r="J75"/>
      <c r="K75"/>
      <c r="L75"/>
      <c r="M75"/>
      <c r="N75"/>
      <c r="O75" s="24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</row>
    <row r="76" spans="2:39" x14ac:dyDescent="0.15">
      <c r="B76" s="12"/>
      <c r="C76" s="1738" t="str" cm="1">
        <f t="array" ref="C76">INDEX(Kirjasto_ENT!D4:K200,141,Kirjasto_ENT!B4)</f>
        <v>Applied documents and standards: SFS-EN 13141-7, LVI 30-10529, Finnish Ministry of the Environment: Decree 1009/2017, and Commission Regulations (EU) No 1253/2014 &amp; No 1254/2014. We do not answer for the direct or indirect harm caused by possible errors in the selection program.</v>
      </c>
      <c r="D76" s="1738"/>
      <c r="E76" s="1738"/>
      <c r="F76" s="1738"/>
      <c r="G76" s="1738"/>
      <c r="H76" s="1738"/>
      <c r="I76" s="1738"/>
      <c r="J76" s="1738"/>
      <c r="K76" s="1738"/>
      <c r="L76" s="1738"/>
      <c r="M76" s="1738"/>
      <c r="N76" s="1738"/>
      <c r="O76" s="24"/>
    </row>
    <row r="77" spans="2:39" x14ac:dyDescent="0.15">
      <c r="B77" s="12"/>
      <c r="C77" s="1738"/>
      <c r="D77" s="1738"/>
      <c r="E77" s="1738"/>
      <c r="F77" s="1738"/>
      <c r="G77" s="1738"/>
      <c r="H77" s="1738"/>
      <c r="I77" s="1738"/>
      <c r="J77" s="1738"/>
      <c r="K77" s="1738"/>
      <c r="L77" s="1738"/>
      <c r="M77" s="1738"/>
      <c r="N77" s="1738"/>
      <c r="O77" s="24"/>
    </row>
    <row r="78" spans="2:39" x14ac:dyDescent="0.15">
      <c r="B78" s="283"/>
      <c r="C78" s="523" t="str" cm="1">
        <f t="array" ref="C78">INDEX(Kirjasto_ENT!D4:K125,56,Kirjasto_ENT!B4)</f>
        <v>The selection program is made by Insinööritoimisto W. Zenner Oy. The program is based on laboratory measurements according to SFS-EN 13141-7.</v>
      </c>
      <c r="D78" s="281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5"/>
    </row>
    <row r="81" spans="2:15" x14ac:dyDescent="0.15">
      <c r="B81" s="382"/>
      <c r="C81" s="383"/>
      <c r="D81" s="383"/>
      <c r="E81" s="383"/>
      <c r="F81" s="383"/>
      <c r="G81" s="383"/>
      <c r="H81" s="383"/>
      <c r="I81" s="383"/>
      <c r="J81" s="383"/>
      <c r="K81" s="383"/>
      <c r="L81" s="383"/>
      <c r="M81" s="383"/>
      <c r="N81" s="383"/>
      <c r="O81" s="384"/>
    </row>
    <row r="82" spans="2:15" ht="27" customHeight="1" x14ac:dyDescent="0.15">
      <c r="B82" s="385"/>
      <c r="C82" s="388" t="str" cm="1">
        <f t="array" ref="C82">INDEX(Kirjasto_ENT!D4:K125,104,Kirjasto_ENT!B4)</f>
        <v>Dimensioning of heating coil</v>
      </c>
      <c r="D82" s="126"/>
      <c r="E82" s="126"/>
      <c r="F82" s="126"/>
      <c r="G82" s="392" t="str">
        <f>Tulokset_ENT!M63</f>
        <v>Not available for selected model</v>
      </c>
      <c r="H82" s="126"/>
      <c r="I82" s="126"/>
      <c r="J82" s="126"/>
      <c r="K82" s="126"/>
      <c r="L82" s="126"/>
      <c r="M82" s="126"/>
      <c r="N82" s="126"/>
      <c r="O82" s="386"/>
    </row>
    <row r="83" spans="2:15" ht="14" x14ac:dyDescent="0.15">
      <c r="B83" s="385"/>
      <c r="C83" s="388"/>
      <c r="D83" s="126"/>
      <c r="E83" s="126"/>
      <c r="F83" s="126"/>
      <c r="G83" s="392"/>
      <c r="H83" s="126"/>
      <c r="I83" s="126"/>
      <c r="J83" s="126"/>
      <c r="K83" s="126"/>
      <c r="L83" s="126"/>
      <c r="M83" s="126"/>
      <c r="N83" s="126"/>
      <c r="O83" s="386"/>
    </row>
    <row r="84" spans="2:15" x14ac:dyDescent="0.15">
      <c r="B84" s="385"/>
      <c r="C84" s="528" t="str" cm="1">
        <f t="array" ref="C84">INDEX(Kirjasto_ENT!D4:K125,106,Kirjasto_ENT!B4)</f>
        <v>Insert parameters:</v>
      </c>
      <c r="D84" s="529"/>
      <c r="E84" s="529"/>
      <c r="F84" s="529"/>
      <c r="G84" s="529"/>
      <c r="H84" s="529"/>
      <c r="I84" s="529"/>
      <c r="J84" s="529"/>
      <c r="K84" s="529"/>
      <c r="L84" s="529"/>
      <c r="M84" s="529"/>
      <c r="N84" s="529"/>
      <c r="O84" s="386"/>
    </row>
    <row r="85" spans="2:15" x14ac:dyDescent="0.15">
      <c r="B85" s="385"/>
      <c r="C85" s="530" t="str" cm="1">
        <f t="array" ref="C85">INDEX(Kirjasto_ENT!D4:K125,107,Kirjasto_ENT!B4)</f>
        <v>Start by inserting either inlet or outlet water temperature</v>
      </c>
      <c r="D85" s="529"/>
      <c r="E85" s="529"/>
      <c r="F85" s="529"/>
      <c r="G85" s="529"/>
      <c r="H85" s="529"/>
      <c r="I85" s="529"/>
      <c r="J85" s="529"/>
      <c r="K85" s="529"/>
      <c r="L85" s="529"/>
      <c r="M85" s="529"/>
      <c r="N85" s="529"/>
      <c r="O85" s="386"/>
    </row>
    <row r="86" spans="2:15" x14ac:dyDescent="0.15">
      <c r="B86" s="385"/>
      <c r="C86" s="529" t="str" cm="1">
        <f t="array" ref="C86">INDEX(Kirjasto_ENT!D4:K125,108,Kirjasto_ENT!B4)</f>
        <v>Inlet air temperature</v>
      </c>
      <c r="D86" s="529"/>
      <c r="E86" s="529"/>
      <c r="F86" s="531">
        <v>1</v>
      </c>
      <c r="G86" s="529" t="s">
        <v>509</v>
      </c>
      <c r="H86" s="532" t="str" cm="1">
        <f t="array" ref="H86">INDEX(Kirjasto_ENT!D4:K125,115,Kirjasto_ENT!B4)</f>
        <v>Heating coil dimensioning by inlet water temperature</v>
      </c>
      <c r="I86" s="605"/>
      <c r="J86" s="533"/>
      <c r="K86" s="533"/>
      <c r="L86" s="533"/>
      <c r="M86" s="533"/>
      <c r="N86" s="534"/>
      <c r="O86" s="386"/>
    </row>
    <row r="87" spans="2:15" x14ac:dyDescent="0.15">
      <c r="B87" s="385"/>
      <c r="C87" s="529" t="str" cm="1">
        <f t="array" ref="C87">INDEX(Kirjasto_ENT!D4:K125,109,Kirjasto_ENT!B4)</f>
        <v>Outlet air temperature</v>
      </c>
      <c r="D87" s="529"/>
      <c r="E87" s="529"/>
      <c r="F87" s="531">
        <v>20</v>
      </c>
      <c r="G87" s="529" t="s">
        <v>509</v>
      </c>
      <c r="H87" s="137" t="str" cm="1">
        <f t="array" ref="H87">INDEX(Kirjasto_ENT!D4:K125,117,Kirjasto_ENT!B4)</f>
        <v>Inlet water temperature</v>
      </c>
      <c r="I87" s="606"/>
      <c r="J87" s="529"/>
      <c r="K87" s="529"/>
      <c r="L87" s="529"/>
      <c r="M87" s="535" t="str">
        <f>Tulokset_ENT!P42</f>
        <v>-</v>
      </c>
      <c r="N87" s="536" t="s">
        <v>509</v>
      </c>
      <c r="O87" s="386"/>
    </row>
    <row r="88" spans="2:15" x14ac:dyDescent="0.15">
      <c r="B88" s="385"/>
      <c r="C88" s="529" t="str" cm="1">
        <f t="array" ref="C88">INDEX(Kirjasto_ENT!D4:K125,110,Kirjasto_ENT!B4)</f>
        <v>Inlet water temperature</v>
      </c>
      <c r="D88" s="529"/>
      <c r="E88" s="529"/>
      <c r="F88" s="531">
        <v>50</v>
      </c>
      <c r="G88" s="529" t="s">
        <v>509</v>
      </c>
      <c r="H88" s="137" t="str" cm="1">
        <f t="array" ref="H88">INDEX(Kirjasto_ENT!D4:K125,118,Kirjasto_ENT!B4)</f>
        <v>Outlet water temperature</v>
      </c>
      <c r="I88" s="606"/>
      <c r="J88" s="529"/>
      <c r="K88" s="529"/>
      <c r="L88" s="529"/>
      <c r="M88" s="535" t="str">
        <f>Tulokset_ENT!P43</f>
        <v>-</v>
      </c>
      <c r="N88" s="536" t="s">
        <v>509</v>
      </c>
      <c r="O88" s="386"/>
    </row>
    <row r="89" spans="2:15" x14ac:dyDescent="0.15">
      <c r="B89" s="385"/>
      <c r="C89" s="529" t="str" cm="1">
        <f t="array" ref="C89">INDEX(Kirjasto_ENT!D4:K125,111,Kirjasto_ENT!B4)</f>
        <v>Outlet water temperature</v>
      </c>
      <c r="D89" s="529"/>
      <c r="E89" s="529"/>
      <c r="F89" s="531">
        <v>30</v>
      </c>
      <c r="G89" s="529" t="s">
        <v>509</v>
      </c>
      <c r="H89" s="137" t="str" cm="1">
        <f t="array" ref="H89">INDEX(Kirjasto_ENT!D4:K125,119,Kirjasto_ENT!B4)</f>
        <v>Volume flow</v>
      </c>
      <c r="I89" s="606"/>
      <c r="J89" s="529"/>
      <c r="K89" s="529"/>
      <c r="L89" s="529"/>
      <c r="M89" s="537" t="str">
        <f>Tulokset_ENT!P44</f>
        <v>-</v>
      </c>
      <c r="N89" s="536" t="s">
        <v>974</v>
      </c>
      <c r="O89" s="386"/>
    </row>
    <row r="90" spans="2:15" x14ac:dyDescent="0.15">
      <c r="B90" s="385"/>
      <c r="C90" s="529"/>
      <c r="D90" s="529"/>
      <c r="E90" s="529"/>
      <c r="F90" s="529"/>
      <c r="G90" s="529"/>
      <c r="H90" s="137" t="str" cm="1">
        <f t="array" ref="H90">INDEX(Kirjasto_ENT!D4:K125,120,Kirjasto_ENT!B4)</f>
        <v>Heating coil fluid side pressure loss</v>
      </c>
      <c r="I90" s="606"/>
      <c r="J90" s="529"/>
      <c r="K90" s="529"/>
      <c r="L90" s="529"/>
      <c r="M90" s="535" t="str">
        <f>Tulokset_ENT!P45</f>
        <v>-</v>
      </c>
      <c r="N90" s="536" t="s">
        <v>500</v>
      </c>
      <c r="O90" s="386"/>
    </row>
    <row r="91" spans="2:15" x14ac:dyDescent="0.15">
      <c r="B91" s="385"/>
      <c r="C91" s="529" t="str" cm="1">
        <f t="array" ref="C91">INDEX(Kirjasto_ENT!D4:K125,112,Kirjasto_ENT!B4)</f>
        <v>Supply air volume flow</v>
      </c>
      <c r="D91" s="529"/>
      <c r="E91" s="529"/>
      <c r="F91" s="751">
        <f>E33</f>
        <v>34.722222222222221</v>
      </c>
      <c r="G91" s="529" t="s">
        <v>974</v>
      </c>
      <c r="H91" s="137" t="str" cm="1">
        <f t="array" ref="H91">INDEX(Kirjasto_ENT!D4:K125,121,Kirjasto_ENT!B4)</f>
        <v>Control valve pressure loss*</v>
      </c>
      <c r="I91" s="606"/>
      <c r="J91" s="529"/>
      <c r="K91" s="529"/>
      <c r="L91" s="529"/>
      <c r="M91" s="535" t="str">
        <f>Tulokset_ENT!P46</f>
        <v>-</v>
      </c>
      <c r="N91" s="536" t="s">
        <v>500</v>
      </c>
      <c r="O91" s="386"/>
    </row>
    <row r="92" spans="2:15" ht="14.25" customHeight="1" x14ac:dyDescent="0.15">
      <c r="B92" s="385"/>
      <c r="C92" s="538" t="str" cm="1">
        <f t="array" ref="C92">INDEX(Kirjasto_ENT!D4:K125,113,Kirjasto_ENT!B4)</f>
        <v>Required heating power</v>
      </c>
      <c r="D92" s="539"/>
      <c r="E92" s="540"/>
      <c r="F92" s="840" t="str">
        <f>Tulokset_ENT!D58</f>
        <v>-</v>
      </c>
      <c r="G92" s="528" t="s">
        <v>49</v>
      </c>
      <c r="H92" s="541" t="str" cm="1">
        <f t="array" ref="H92">INDEX(Kirjasto_ENT!D4:K125,122,Kirjasto_ENT!B4)</f>
        <v>Flow velocity</v>
      </c>
      <c r="I92" s="607"/>
      <c r="J92" s="542"/>
      <c r="K92" s="542"/>
      <c r="L92" s="542"/>
      <c r="M92" s="543" t="str">
        <f>Tulokset_ENT!P47</f>
        <v>-</v>
      </c>
      <c r="N92" s="544" t="s">
        <v>502</v>
      </c>
      <c r="O92" s="386"/>
    </row>
    <row r="93" spans="2:15" x14ac:dyDescent="0.15">
      <c r="B93" s="385"/>
      <c r="C93" s="529"/>
      <c r="D93" s="529"/>
      <c r="E93" s="529"/>
      <c r="F93" s="529"/>
      <c r="G93" s="529"/>
      <c r="H93" s="527" t="str">
        <f>Tulokset_ENT!M64</f>
        <v/>
      </c>
      <c r="I93" s="527"/>
      <c r="J93" s="529"/>
      <c r="K93" s="529"/>
      <c r="L93" s="529"/>
      <c r="M93" s="529"/>
      <c r="N93" s="529"/>
      <c r="O93" s="386"/>
    </row>
    <row r="94" spans="2:15" x14ac:dyDescent="0.15">
      <c r="B94" s="385"/>
      <c r="C94" s="529"/>
      <c r="D94" s="529"/>
      <c r="E94" s="529"/>
      <c r="F94" s="529"/>
      <c r="G94" s="529"/>
      <c r="H94" s="532" t="str" cm="1">
        <f t="array" ref="H94">INDEX(Kirjasto_ENT!D4:K125,116,Kirjasto_ENT!B4)</f>
        <v>Heating coil dimensioning by outlet water temperature</v>
      </c>
      <c r="I94" s="605"/>
      <c r="J94" s="533"/>
      <c r="K94" s="533"/>
      <c r="L94" s="533"/>
      <c r="M94" s="533"/>
      <c r="N94" s="545"/>
      <c r="O94" s="386"/>
    </row>
    <row r="95" spans="2:15" x14ac:dyDescent="0.15">
      <c r="B95" s="385"/>
      <c r="C95" s="529"/>
      <c r="D95" s="529"/>
      <c r="E95" s="529"/>
      <c r="F95" s="529"/>
      <c r="G95" s="529"/>
      <c r="H95" s="137" t="str" cm="1">
        <f t="array" ref="H95">INDEX(Kirjasto_ENT!D4:K125,117,Kirjasto_ENT!B4)</f>
        <v>Inlet water temperature</v>
      </c>
      <c r="I95" s="606"/>
      <c r="J95" s="529"/>
      <c r="K95" s="529"/>
      <c r="L95" s="529"/>
      <c r="M95" s="535" t="str">
        <f>Tulokset_ENT!P49</f>
        <v>-</v>
      </c>
      <c r="N95" s="536" t="s">
        <v>509</v>
      </c>
      <c r="O95" s="386"/>
    </row>
    <row r="96" spans="2:15" x14ac:dyDescent="0.15">
      <c r="B96" s="385"/>
      <c r="C96" s="529"/>
      <c r="D96" s="529"/>
      <c r="E96" s="529"/>
      <c r="F96" s="529"/>
      <c r="G96" s="529"/>
      <c r="H96" s="137" t="str" cm="1">
        <f t="array" ref="H96">INDEX(Kirjasto_ENT!D4:K125,118,Kirjasto_ENT!B4)</f>
        <v>Outlet water temperature</v>
      </c>
      <c r="I96" s="606"/>
      <c r="J96" s="529"/>
      <c r="K96" s="529"/>
      <c r="L96" s="529"/>
      <c r="M96" s="535" t="str">
        <f>Tulokset_ENT!P50</f>
        <v>-</v>
      </c>
      <c r="N96" s="536" t="s">
        <v>509</v>
      </c>
      <c r="O96" s="386"/>
    </row>
    <row r="97" spans="2:21" x14ac:dyDescent="0.15">
      <c r="B97" s="385"/>
      <c r="C97" s="529"/>
      <c r="D97" s="529"/>
      <c r="E97" s="529"/>
      <c r="F97" s="529"/>
      <c r="G97" s="529"/>
      <c r="H97" s="137" t="str" cm="1">
        <f t="array" ref="H97">INDEX(Kirjasto_ENT!D4:K125,119,Kirjasto_ENT!B4)</f>
        <v>Volume flow</v>
      </c>
      <c r="I97" s="606"/>
      <c r="J97" s="529"/>
      <c r="K97" s="529"/>
      <c r="L97" s="529"/>
      <c r="M97" s="537" t="str">
        <f>Tulokset_ENT!P51</f>
        <v>-</v>
      </c>
      <c r="N97" s="536" t="s">
        <v>974</v>
      </c>
      <c r="O97" s="386"/>
    </row>
    <row r="98" spans="2:21" x14ac:dyDescent="0.15">
      <c r="B98" s="385"/>
      <c r="C98" s="529"/>
      <c r="D98" s="529"/>
      <c r="E98" s="529"/>
      <c r="F98" s="529"/>
      <c r="G98" s="529"/>
      <c r="H98" s="137" t="str" cm="1">
        <f t="array" ref="H98">INDEX(Kirjasto_ENT!D4:K125,120,Kirjasto_ENT!B4)</f>
        <v>Heating coil fluid side pressure loss</v>
      </c>
      <c r="I98" s="606"/>
      <c r="J98" s="529"/>
      <c r="K98" s="529"/>
      <c r="L98" s="529"/>
      <c r="M98" s="535" t="str">
        <f>Tulokset_ENT!P52</f>
        <v>-</v>
      </c>
      <c r="N98" s="536" t="s">
        <v>500</v>
      </c>
      <c r="O98" s="386"/>
    </row>
    <row r="99" spans="2:21" x14ac:dyDescent="0.15">
      <c r="B99" s="385"/>
      <c r="C99" s="1728" t="str" cm="1">
        <f t="array" ref="C99">INDEX(Kirjasto_ENT!D4:K125,114,Kirjasto_ENT!B4)</f>
        <v>*Using Oras DN15S Radiator valve body &amp; Stabila radiator valve (fully open, CV = 1.00)</v>
      </c>
      <c r="D99" s="1728"/>
      <c r="E99" s="1728"/>
      <c r="F99" s="1728"/>
      <c r="G99" s="529"/>
      <c r="H99" s="137" t="str" cm="1">
        <f t="array" ref="H99">INDEX(Kirjasto_ENT!D4:K125,121,Kirjasto_ENT!B4)</f>
        <v>Control valve pressure loss*</v>
      </c>
      <c r="I99" s="606"/>
      <c r="J99" s="529"/>
      <c r="K99" s="529"/>
      <c r="L99" s="529"/>
      <c r="M99" s="535" t="str">
        <f>Tulokset_ENT!P53</f>
        <v>-</v>
      </c>
      <c r="N99" s="536" t="s">
        <v>500</v>
      </c>
      <c r="O99" s="386"/>
    </row>
    <row r="100" spans="2:21" x14ac:dyDescent="0.15">
      <c r="B100" s="385"/>
      <c r="C100" s="1728"/>
      <c r="D100" s="1728"/>
      <c r="E100" s="1728"/>
      <c r="F100" s="1728"/>
      <c r="G100" s="529"/>
      <c r="H100" s="541" t="str" cm="1">
        <f t="array" ref="H100">INDEX(Kirjasto_ENT!D4:K125,122,Kirjasto_ENT!B4)</f>
        <v>Flow velocity</v>
      </c>
      <c r="I100" s="607"/>
      <c r="J100" s="542"/>
      <c r="K100" s="542"/>
      <c r="L100" s="542"/>
      <c r="M100" s="543" t="str">
        <f>Tulokset_ENT!P54</f>
        <v>-</v>
      </c>
      <c r="N100" s="544" t="s">
        <v>502</v>
      </c>
      <c r="O100" s="386"/>
    </row>
    <row r="101" spans="2:21" x14ac:dyDescent="0.15">
      <c r="B101" s="385"/>
      <c r="C101" s="445"/>
      <c r="D101" s="445"/>
      <c r="E101" s="445"/>
      <c r="F101" s="445"/>
      <c r="G101" s="126"/>
      <c r="H101" s="557" t="str">
        <f>Tulokset_ENT!M65</f>
        <v/>
      </c>
      <c r="I101" s="557"/>
      <c r="J101" s="383"/>
      <c r="K101" s="383"/>
      <c r="L101" s="383"/>
      <c r="M101" s="448"/>
      <c r="N101" s="383"/>
      <c r="O101" s="386"/>
    </row>
    <row r="102" spans="2:21" x14ac:dyDescent="0.15">
      <c r="B102" s="387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447" t="str">
        <f>O2</f>
        <v>Version 8.0</v>
      </c>
    </row>
    <row r="107" spans="2:21" ht="14" hidden="1" x14ac:dyDescent="0.15">
      <c r="R107" s="260" t="str" cm="1">
        <f t="array" ref="R107">INDEX(Kirjasto_ENT!D4:K125,88,Kirjasto_ENT!B4)</f>
        <v>Annual efficiency</v>
      </c>
      <c r="S107" s="261" t="s">
        <v>235</v>
      </c>
      <c r="T107" s="736">
        <f>Laskenta_vuosihyötysuhde_ENT!D24</f>
        <v>0.8418623578166039</v>
      </c>
      <c r="U107" s="149"/>
    </row>
  </sheetData>
  <sheetProtection algorithmName="SHA-512" hashValue="RE5vunSPynqszDCUONvvbE1AyE076L8Emf+rBuP1w+pJ0KYjAlPVR29zuNX5zVJuWogAix0tcUFQO/d3Igj2rA==" saltValue="WERHtDDGL69ciO2Rzt/QbQ==" spinCount="100000" sheet="1" objects="1" scenarios="1"/>
  <mergeCells count="49">
    <mergeCell ref="C99:F100"/>
    <mergeCell ref="M69:N69"/>
    <mergeCell ref="M70:N70"/>
    <mergeCell ref="G71:H71"/>
    <mergeCell ref="I71:J72"/>
    <mergeCell ref="M71:N71"/>
    <mergeCell ref="G73:H74"/>
    <mergeCell ref="I73:J74"/>
    <mergeCell ref="M73:N73"/>
    <mergeCell ref="M74:N74"/>
    <mergeCell ref="C76:N77"/>
    <mergeCell ref="R71:AC72"/>
    <mergeCell ref="G72:H72"/>
    <mergeCell ref="M72:N72"/>
    <mergeCell ref="AG63:AM68"/>
    <mergeCell ref="C66:H66"/>
    <mergeCell ref="M66:N66"/>
    <mergeCell ref="C67:H67"/>
    <mergeCell ref="M67:N67"/>
    <mergeCell ref="M68:N68"/>
    <mergeCell ref="AG59:AM60"/>
    <mergeCell ref="C60:C61"/>
    <mergeCell ref="D60:L60"/>
    <mergeCell ref="M60:M61"/>
    <mergeCell ref="N60:N61"/>
    <mergeCell ref="I61:J61"/>
    <mergeCell ref="AG61:AM62"/>
    <mergeCell ref="I62:J62"/>
    <mergeCell ref="AG57:AM58"/>
    <mergeCell ref="R15:R16"/>
    <mergeCell ref="R18:R19"/>
    <mergeCell ref="R32:U32"/>
    <mergeCell ref="J36:K37"/>
    <mergeCell ref="I53:J53"/>
    <mergeCell ref="I54:J54"/>
    <mergeCell ref="I55:J55"/>
    <mergeCell ref="I56:J56"/>
    <mergeCell ref="I57:J57"/>
    <mergeCell ref="C51:C52"/>
    <mergeCell ref="D51:L51"/>
    <mergeCell ref="M51:M52"/>
    <mergeCell ref="N51:N52"/>
    <mergeCell ref="I52:J52"/>
    <mergeCell ref="R12:R13"/>
    <mergeCell ref="R3:AB3"/>
    <mergeCell ref="D4:I4"/>
    <mergeCell ref="D5:I5"/>
    <mergeCell ref="R6:U6"/>
    <mergeCell ref="R7:U7"/>
  </mergeCells>
  <conditionalFormatting sqref="F46:H47">
    <cfRule type="expression" dxfId="111" priority="9">
      <formula>$G$46="-"</formula>
    </cfRule>
  </conditionalFormatting>
  <conditionalFormatting sqref="I73">
    <cfRule type="expression" dxfId="110" priority="10">
      <formula>$I$71&gt;0</formula>
    </cfRule>
    <cfRule type="expression" dxfId="109" priority="11">
      <formula>$I$71&lt;-42</formula>
    </cfRule>
    <cfRule type="expression" dxfId="108" priority="12">
      <formula>$I$71&lt;-34</formula>
    </cfRule>
    <cfRule type="expression" dxfId="107" priority="13">
      <formula>$I$71&lt;-26</formula>
    </cfRule>
    <cfRule type="expression" dxfId="106" priority="14">
      <formula>$I$71&lt;-23</formula>
    </cfRule>
    <cfRule type="expression" dxfId="105" priority="15">
      <formula>$I$71&lt;-20</formula>
    </cfRule>
    <cfRule type="expression" dxfId="104" priority="16">
      <formula>$I$71&lt;-10</formula>
    </cfRule>
    <cfRule type="expression" dxfId="103" priority="17">
      <formula>$I$71&lt;0</formula>
    </cfRule>
  </conditionalFormatting>
  <conditionalFormatting sqref="AG10:AM54">
    <cfRule type="expression" dxfId="96" priority="18">
      <formula>$AM10=0</formula>
    </cfRule>
  </conditionalFormatting>
  <dataValidations count="3">
    <dataValidation type="decimal" allowBlank="1" showInputMessage="1" showErrorMessage="1" errorTitle="Incorrect input value" error="Value must be between 15 °C to 40 °C." sqref="T26" xr:uid="{B41AD330-2F21-41A9-8F48-942248A8D3D1}">
      <formula1>15</formula1>
      <formula2>40</formula2>
    </dataValidation>
    <dataValidation type="decimal" allowBlank="1" showErrorMessage="1" errorTitle="Incorrect value" error="Value between 10-99 % RH" promptTitle="Incorrect value" prompt="Value must be between 10-99 %RH." sqref="T40" xr:uid="{82AF901C-D34E-4401-892D-E00BF670CC8A}">
      <formula1>10</formula1>
      <formula2>99</formula2>
    </dataValidation>
    <dataValidation type="decimal" allowBlank="1" showInputMessage="1" showErrorMessage="1" errorTitle="Incorrect value" error="Value between 10-99 %RH." sqref="T42 T48 T50" xr:uid="{02008DF9-92F6-46EC-9E94-FF5BFA0766F2}">
      <formula1>10</formula1>
      <formula2>99</formula2>
    </dataValidation>
  </dataValidations>
  <hyperlinks>
    <hyperlink ref="E75" r:id="rId1" xr:uid="{05E8DC0D-3117-40CC-9130-367012261F02}"/>
    <hyperlink ref="F75" r:id="rId2" xr:uid="{0490B118-7457-4C9F-9A3D-F72D37C8F4BE}"/>
    <hyperlink ref="T70" r:id="rId3" xr:uid="{4CF2E90E-3850-4DFA-A6E3-84C63B047325}"/>
  </hyperlinks>
  <pageMargins left="0.70866141732283472" right="0.70866141732283472" top="0.74803149606299213" bottom="0.74803149606299213" header="0.31496062992125984" footer="0.31496062992125984"/>
  <pageSetup paperSize="9" scale="53" orientation="portrait" r:id="rId4"/>
  <headerFooter>
    <oddFooter>&amp;C&amp;P/(&amp;N)</oddFooter>
  </headerFooter>
  <ignoredErrors>
    <ignoredError sqref="G38" formula="1"/>
  </ignoredError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4369" r:id="rId7" name="Drop Down 1">
              <controlPr defaultSize="0" autoLine="0" autoPict="0">
                <anchor moveWithCells="1">
                  <from>
                    <xdr:col>3</xdr:col>
                    <xdr:colOff>63500</xdr:colOff>
                    <xdr:row>70</xdr:row>
                    <xdr:rowOff>0</xdr:rowOff>
                  </from>
                  <to>
                    <xdr:col>5</xdr:col>
                    <xdr:colOff>698500</xdr:colOff>
                    <xdr:row>70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70" r:id="rId8" name="Drop Down 2">
              <controlPr defaultSize="0" autoLine="0" autoPict="0">
                <anchor moveWithCells="1">
                  <from>
                    <xdr:col>3</xdr:col>
                    <xdr:colOff>63500</xdr:colOff>
                    <xdr:row>71</xdr:row>
                    <xdr:rowOff>38100</xdr:rowOff>
                  </from>
                  <to>
                    <xdr:col>5</xdr:col>
                    <xdr:colOff>685800</xdr:colOff>
                    <xdr:row>71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71" r:id="rId9" name="Drop Down 3">
              <controlPr defaultSize="0" autoLine="0" autoPict="0">
                <anchor moveWithCells="1">
                  <from>
                    <xdr:col>3</xdr:col>
                    <xdr:colOff>63500</xdr:colOff>
                    <xdr:row>71</xdr:row>
                    <xdr:rowOff>266700</xdr:rowOff>
                  </from>
                  <to>
                    <xdr:col>5</xdr:col>
                    <xdr:colOff>673100</xdr:colOff>
                    <xdr:row>72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72" r:id="rId10" name="Drop Down 4">
              <controlPr defaultSize="0" autoLine="0" autoPict="0">
                <anchor moveWithCells="1">
                  <from>
                    <xdr:col>3</xdr:col>
                    <xdr:colOff>63500</xdr:colOff>
                    <xdr:row>72</xdr:row>
                    <xdr:rowOff>254000</xdr:rowOff>
                  </from>
                  <to>
                    <xdr:col>5</xdr:col>
                    <xdr:colOff>673100</xdr:colOff>
                    <xdr:row>73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73" r:id="rId11" name="Check Box 5">
              <controlPr defaultSize="0" autoFill="0" autoLine="0" autoPict="0" altText="Sound insulated casing: dB-package">
                <anchor moveWithCells="1">
                  <from>
                    <xdr:col>4</xdr:col>
                    <xdr:colOff>609600</xdr:colOff>
                    <xdr:row>5</xdr:row>
                    <xdr:rowOff>215900</xdr:rowOff>
                  </from>
                  <to>
                    <xdr:col>9</xdr:col>
                    <xdr:colOff>647700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74" r:id="rId12" name="Check Box 6">
              <controlPr defaultSize="0" autoFill="0" autoLine="0" autoPict="0" altText="">
                <anchor moveWithCells="1">
                  <from>
                    <xdr:col>2</xdr:col>
                    <xdr:colOff>1778000</xdr:colOff>
                    <xdr:row>56</xdr:row>
                    <xdr:rowOff>0</xdr:rowOff>
                  </from>
                  <to>
                    <xdr:col>3</xdr:col>
                    <xdr:colOff>38100</xdr:colOff>
                    <xdr:row>56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75" r:id="rId13" name="Check Box 7">
              <controlPr defaultSize="0" autoFill="0" autoLine="0" autoPict="0" altText="Sound insulated casing: dB-package">
                <anchor moveWithCells="1">
                  <from>
                    <xdr:col>4</xdr:col>
                    <xdr:colOff>596900</xdr:colOff>
                    <xdr:row>6</xdr:row>
                    <xdr:rowOff>215900</xdr:rowOff>
                  </from>
                  <to>
                    <xdr:col>7</xdr:col>
                    <xdr:colOff>101600</xdr:colOff>
                    <xdr:row>8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76" r:id="rId14" name="Option Button 8">
              <controlPr defaultSize="0" autoFill="0" autoLine="0" autoPict="0" altText="Suomi">
                <anchor moveWithCells="1">
                  <from>
                    <xdr:col>9</xdr:col>
                    <xdr:colOff>711200</xdr:colOff>
                    <xdr:row>1</xdr:row>
                    <xdr:rowOff>127000</xdr:rowOff>
                  </from>
                  <to>
                    <xdr:col>10</xdr:col>
                    <xdr:colOff>711200</xdr:colOff>
                    <xdr:row>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77" r:id="rId15" name="Option Button 9">
              <controlPr defaultSize="0" autoFill="0" autoLine="0" autoPict="0">
                <anchor moveWithCells="1">
                  <from>
                    <xdr:col>10</xdr:col>
                    <xdr:colOff>482600</xdr:colOff>
                    <xdr:row>1</xdr:row>
                    <xdr:rowOff>114300</xdr:rowOff>
                  </from>
                  <to>
                    <xdr:col>11</xdr:col>
                    <xdr:colOff>457200</xdr:colOff>
                    <xdr:row>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78" r:id="rId16" name="Option Button 10">
              <controlPr defaultSize="0" autoFill="0" autoLine="0" autoPict="0">
                <anchor moveWithCells="1">
                  <from>
                    <xdr:col>11</xdr:col>
                    <xdr:colOff>368300</xdr:colOff>
                    <xdr:row>1</xdr:row>
                    <xdr:rowOff>114300</xdr:rowOff>
                  </from>
                  <to>
                    <xdr:col>12</xdr:col>
                    <xdr:colOff>330200</xdr:colOff>
                    <xdr:row>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79" r:id="rId17" name="Option Button 11">
              <controlPr defaultSize="0" autoFill="0" autoLine="0" autoPict="0">
                <anchor moveWithCells="1">
                  <from>
                    <xdr:col>12</xdr:col>
                    <xdr:colOff>266700</xdr:colOff>
                    <xdr:row>1</xdr:row>
                    <xdr:rowOff>114300</xdr:rowOff>
                  </from>
                  <to>
                    <xdr:col>13</xdr:col>
                    <xdr:colOff>254000</xdr:colOff>
                    <xdr:row>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80" r:id="rId18" name="Drop Down 12">
              <controlPr defaultSize="0" autoLine="0" autoPict="0">
                <anchor moveWithCells="1">
                  <from>
                    <xdr:col>18</xdr:col>
                    <xdr:colOff>25400</xdr:colOff>
                    <xdr:row>23</xdr:row>
                    <xdr:rowOff>190500</xdr:rowOff>
                  </from>
                  <to>
                    <xdr:col>20</xdr:col>
                    <xdr:colOff>12700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81" r:id="rId19" name="Drop Down 13">
              <controlPr defaultSize="0" autoLine="0" autoPict="0">
                <anchor moveWithCells="1">
                  <from>
                    <xdr:col>18</xdr:col>
                    <xdr:colOff>25400</xdr:colOff>
                    <xdr:row>27</xdr:row>
                    <xdr:rowOff>25400</xdr:rowOff>
                  </from>
                  <to>
                    <xdr:col>20</xdr:col>
                    <xdr:colOff>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82" r:id="rId20" name="Option Button 14">
              <controlPr defaultSize="0" autoFill="0" autoLine="0" autoPict="0" altText="EST">
                <anchor moveWithCells="1">
                  <from>
                    <xdr:col>9</xdr:col>
                    <xdr:colOff>711200</xdr:colOff>
                    <xdr:row>2</xdr:row>
                    <xdr:rowOff>266700</xdr:rowOff>
                  </from>
                  <to>
                    <xdr:col>10</xdr:col>
                    <xdr:colOff>711200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83" r:id="rId21" name="Option Button 15">
              <controlPr defaultSize="0" autoFill="0" autoLine="0" autoPict="0" altText="EST">
                <anchor moveWithCells="1">
                  <from>
                    <xdr:col>10</xdr:col>
                    <xdr:colOff>482600</xdr:colOff>
                    <xdr:row>2</xdr:row>
                    <xdr:rowOff>254000</xdr:rowOff>
                  </from>
                  <to>
                    <xdr:col>11</xdr:col>
                    <xdr:colOff>444500</xdr:colOff>
                    <xdr:row>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84" r:id="rId22" name="Option Button 16">
              <controlPr defaultSize="0" autoFill="0" autoLine="0" autoPict="0" altText="EST">
                <anchor moveWithCells="1">
                  <from>
                    <xdr:col>11</xdr:col>
                    <xdr:colOff>368300</xdr:colOff>
                    <xdr:row>2</xdr:row>
                    <xdr:rowOff>254000</xdr:rowOff>
                  </from>
                  <to>
                    <xdr:col>12</xdr:col>
                    <xdr:colOff>330200</xdr:colOff>
                    <xdr:row>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85" r:id="rId23" name="Option Button 17">
              <controlPr defaultSize="0" autoFill="0" autoLine="0" autoPict="0" altText="EST">
                <anchor moveWithCells="1">
                  <from>
                    <xdr:col>12</xdr:col>
                    <xdr:colOff>279400</xdr:colOff>
                    <xdr:row>2</xdr:row>
                    <xdr:rowOff>254000</xdr:rowOff>
                  </from>
                  <to>
                    <xdr:col>13</xdr:col>
                    <xdr:colOff>228600</xdr:colOff>
                    <xdr:row>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86" r:id="rId24" name="Drop Down 18">
              <controlPr defaultSize="0" autoLine="0" autoPict="0">
                <anchor moveWithCells="1">
                  <from>
                    <xdr:col>2</xdr:col>
                    <xdr:colOff>965200</xdr:colOff>
                    <xdr:row>6</xdr:row>
                    <xdr:rowOff>50800</xdr:rowOff>
                  </from>
                  <to>
                    <xdr:col>3</xdr:col>
                    <xdr:colOff>215900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6CDBC63-31DE-4F45-A6D0-A3F2516F5634}">
            <xm:f>Tulokset_ENT!$BD$4</xm:f>
            <x14:dxf>
              <font>
                <color rgb="FFC00000"/>
              </font>
            </x14:dxf>
          </x14:cfRule>
          <xm:sqref>D62:I62 K62:M62 N63:N64</xm:sqref>
        </x14:conditionalFormatting>
        <x14:conditionalFormatting xmlns:xm="http://schemas.microsoft.com/office/excel/2006/main">
          <x14:cfRule type="beginsWith" priority="5" operator="beginsWith" id="{156D6E43-105F-4FAD-8F50-1B7771AEAB20}">
            <xm:f>LEFT(D42,LEN("-"))="-"</xm:f>
            <xm:f>"-"</xm:f>
            <x14:dxf>
              <font>
                <color rgb="FFFF0000"/>
              </font>
            </x14:dxf>
          </x14:cfRule>
          <xm:sqref>E42:E43 G42:G43 D45:D47</xm:sqref>
        </x14:conditionalFormatting>
        <x14:conditionalFormatting xmlns:xm="http://schemas.microsoft.com/office/excel/2006/main">
          <x14:cfRule type="beginsWith" priority="4" operator="beginsWith" id="{FC25D758-B192-4413-A3D2-BECACBB13DA7}">
            <xm:f>LEFT(L37,LEN("-"))="-"</xm:f>
            <xm:f>"-"</xm:f>
            <x14:dxf>
              <font>
                <color rgb="FFFF0000"/>
              </font>
            </x14:dxf>
          </x14:cfRule>
          <xm:sqref>L37:M37</xm:sqref>
        </x14:conditionalFormatting>
        <x14:conditionalFormatting xmlns:xm="http://schemas.microsoft.com/office/excel/2006/main">
          <x14:cfRule type="beginsWith" priority="6" operator="beginsWith" id="{F53BEC45-0E62-4C2B-B5EB-A8F4CEE497EF}">
            <xm:f>LEFT(L44,LEN("-"))="-"</xm:f>
            <xm:f>"-"</xm:f>
            <x14:dxf>
              <font>
                <color rgb="FFFF0000"/>
              </font>
            </x14:dxf>
          </x14:cfRule>
          <xm:sqref>L44:M47</xm:sqref>
        </x14:conditionalFormatting>
        <x14:conditionalFormatting xmlns:xm="http://schemas.microsoft.com/office/excel/2006/main">
          <x14:cfRule type="expression" priority="8" id="{3EAC1E8D-F89B-4A75-A859-969BF9C56AD3}">
            <xm:f>Tulokset_ENT!$BD$4</xm:f>
            <x14:dxf>
              <font>
                <b/>
                <i val="0"/>
                <color rgb="FFC00000"/>
              </font>
            </x14:dxf>
          </x14:cfRule>
          <xm:sqref>N62</xm:sqref>
        </x14:conditionalFormatting>
        <x14:conditionalFormatting xmlns:xm="http://schemas.microsoft.com/office/excel/2006/main">
          <x14:cfRule type="expression" priority="2" id="{515274C8-97B0-490E-AF32-2FA585BB28CB}">
            <xm:f>Laskenta_vuosihyötysuhde_ENT!$C$38</xm:f>
            <x14:dxf>
              <font>
                <color theme="0"/>
              </font>
            </x14:dxf>
          </x14:cfRule>
          <xm:sqref>R29:S29 U29</xm:sqref>
        </x14:conditionalFormatting>
        <x14:conditionalFormatting xmlns:xm="http://schemas.microsoft.com/office/excel/2006/main">
          <x14:cfRule type="expression" priority="1" id="{9E2486B8-6EDF-446F-92B0-A6D22900BA53}">
            <xm:f>Kirjasto_ENT!$V$6</xm:f>
            <x14:dxf>
              <font>
                <color theme="0"/>
              </font>
              <border>
                <bottom/>
                <vertical/>
                <horizontal/>
              </border>
            </x14:dxf>
          </x14:cfRule>
          <xm:sqref>R22:T23</xm:sqref>
        </x14:conditionalFormatting>
        <x14:conditionalFormatting xmlns:xm="http://schemas.microsoft.com/office/excel/2006/main">
          <x14:cfRule type="expression" priority="3" id="{C56E2483-327C-4A2B-BAF7-4DC9D3510145}">
            <xm:f>Laskenta_vuosihyötysuhde_ENT!$C$38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  <border>
                <left/>
                <right/>
                <top/>
                <bottom style="thin">
                  <color auto="1"/>
                </bottom>
              </border>
            </x14:dxf>
          </x14:cfRule>
          <xm:sqref>T29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7F224-B5F8-468D-A162-5752AEA4701F}">
  <dimension ref="A1:CD100"/>
  <sheetViews>
    <sheetView topLeftCell="AQ1" zoomScale="70" zoomScaleNormal="70" workbookViewId="0">
      <selection activeCell="R20" sqref="R20"/>
    </sheetView>
  </sheetViews>
  <sheetFormatPr baseColWidth="10" defaultColWidth="8.83203125" defaultRowHeight="13" x14ac:dyDescent="0.15"/>
  <cols>
    <col min="1" max="1" width="19.6640625" customWidth="1"/>
    <col min="7" max="7" width="10.5" customWidth="1"/>
    <col min="16" max="16" width="10.83203125" customWidth="1"/>
    <col min="17" max="17" width="12.33203125" bestFit="1" customWidth="1"/>
    <col min="18" max="18" width="12.6640625" bestFit="1" customWidth="1"/>
    <col min="19" max="20" width="9" bestFit="1" customWidth="1"/>
    <col min="22" max="22" width="13" customWidth="1"/>
    <col min="25" max="25" width="10" customWidth="1"/>
  </cols>
  <sheetData>
    <row r="1" spans="1:64" x14ac:dyDescent="0.15">
      <c r="P1" t="s">
        <v>518</v>
      </c>
    </row>
    <row r="2" spans="1:64" x14ac:dyDescent="0.15">
      <c r="C2" s="2" t="s">
        <v>59</v>
      </c>
      <c r="J2" t="s">
        <v>15</v>
      </c>
      <c r="P2" s="259">
        <f t="array" ref="P2:R2">LINEST(AL34:AL37,AC34:AC37^{1,2})</f>
        <v>6.1644261013428077E-2</v>
      </c>
      <c r="Q2" s="259">
        <v>1.1640251160624528</v>
      </c>
      <c r="R2" s="259">
        <v>-12.832425814682381</v>
      </c>
      <c r="V2" t="s">
        <v>519</v>
      </c>
      <c r="W2" s="84">
        <f>P2*J3^2+Q2*J3+R2</f>
        <v>101.90545077196248</v>
      </c>
      <c r="X2" t="s">
        <v>14</v>
      </c>
    </row>
    <row r="3" spans="1:64" x14ac:dyDescent="0.15">
      <c r="J3" s="7">
        <f>'R-series ENT'!G33</f>
        <v>34.722222222222221</v>
      </c>
      <c r="K3" t="s">
        <v>13</v>
      </c>
      <c r="L3" s="122">
        <f>'R-series ENT'!G39</f>
        <v>90</v>
      </c>
      <c r="M3" t="s">
        <v>14</v>
      </c>
      <c r="P3" t="s">
        <v>34</v>
      </c>
      <c r="AA3" s="2" t="s">
        <v>53</v>
      </c>
      <c r="BE3" t="s">
        <v>2873</v>
      </c>
    </row>
    <row r="4" spans="1:6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30</v>
      </c>
      <c r="AB4" s="62"/>
      <c r="AC4" s="61" t="s">
        <v>30</v>
      </c>
      <c r="AD4" s="63"/>
      <c r="AE4" s="61" t="s">
        <v>405</v>
      </c>
      <c r="AF4" s="63"/>
      <c r="AG4" s="62" t="s">
        <v>406</v>
      </c>
      <c r="AH4" s="63"/>
      <c r="AJ4" s="2" t="s">
        <v>30</v>
      </c>
      <c r="AK4" s="2"/>
      <c r="AL4" s="2"/>
    </row>
    <row r="5" spans="1:64" x14ac:dyDescent="0.15">
      <c r="C5" t="s">
        <v>2</v>
      </c>
      <c r="D5" s="1"/>
      <c r="E5" s="1"/>
      <c r="H5" s="1"/>
      <c r="P5" s="52">
        <f t="array" ref="P5:Q5">LINEST(AF34:AF37,LN(AC34:AC37))</f>
        <v>18.718114837392658</v>
      </c>
      <c r="Q5" s="52">
        <v>-27.74829239493647</v>
      </c>
      <c r="R5" t="s">
        <v>8</v>
      </c>
      <c r="T5" s="4"/>
      <c r="U5" s="39" t="s">
        <v>43</v>
      </c>
      <c r="V5" t="s">
        <v>8</v>
      </c>
      <c r="W5" s="9">
        <f>$P$5*LN($J$3)+$Q$5</f>
        <v>38.651971792386632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J5" s="2">
        <f t="array" ref="AJ5:AL5">LINEST(AA6:AA12,AB6:AB12^{1,2})</f>
        <v>-5.1345714285714128E-3</v>
      </c>
      <c r="AK5" s="2">
        <v>0.46940465367964757</v>
      </c>
      <c r="AL5" s="2">
        <v>360.993901515152</v>
      </c>
      <c r="BE5" s="2" t="s">
        <v>2874</v>
      </c>
    </row>
    <row r="6" spans="1:64" x14ac:dyDescent="0.15">
      <c r="C6" s="2" t="s">
        <v>3</v>
      </c>
      <c r="D6" s="1"/>
      <c r="E6" s="1"/>
      <c r="H6" s="1"/>
      <c r="P6" s="52">
        <f t="array" ref="P6:Q6">LINEST(AG34:AG37,LN(AC34:AC37))</f>
        <v>21.232009178614621</v>
      </c>
      <c r="Q6" s="52">
        <v>-21.974789683139662</v>
      </c>
      <c r="R6" t="s">
        <v>57</v>
      </c>
      <c r="T6" s="4"/>
      <c r="U6" s="39" t="s">
        <v>43</v>
      </c>
      <c r="V6" t="s">
        <v>57</v>
      </c>
      <c r="W6" s="9">
        <f>$P$6*LN($J$3)+$Q$6</f>
        <v>53.343212740445182</v>
      </c>
      <c r="X6" t="s">
        <v>31</v>
      </c>
      <c r="AA6" s="55">
        <v>25</v>
      </c>
      <c r="AB6" s="56">
        <f>(-$D$15-SQRT($D$15^2-(4*$C$15*($E$15-AA6))))/(2*$C$15)</f>
        <v>305.56978103696548</v>
      </c>
      <c r="AC6" s="55">
        <f>AA6</f>
        <v>25</v>
      </c>
      <c r="AD6" s="57">
        <f>AB6</f>
        <v>305.56978103696548</v>
      </c>
      <c r="AE6" s="55">
        <v>10</v>
      </c>
      <c r="AF6" s="57">
        <f t="shared" ref="AF6:AF11" si="0">(-$D$19-SQRT($D$19^2-(4*$C$19*($E$19-AE6))))/(2*$C$19)</f>
        <v>239.54728928322191</v>
      </c>
      <c r="AG6" s="56">
        <v>10</v>
      </c>
      <c r="AH6" s="57">
        <f>(-$D$24-SQRT($D$24^2-(4*$C$24*($E$24-AG6))))/(2*$C$24)</f>
        <v>144.57203925918452</v>
      </c>
      <c r="BE6" t="s">
        <v>2893</v>
      </c>
    </row>
    <row r="7" spans="1:64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ref="AB7:AB12" si="1">(-$D$15-SQRT($D$15^2-(4*$C$15*($E$15-AA7))))/(2*$C$15)</f>
        <v>275.7539670848335</v>
      </c>
      <c r="AC7" s="55">
        <f t="shared" ref="AC7:AD12" si="2">AA7</f>
        <v>100</v>
      </c>
      <c r="AD7" s="57">
        <f t="shared" si="2"/>
        <v>275.7539670848335</v>
      </c>
      <c r="AE7" s="55">
        <v>50</v>
      </c>
      <c r="AF7" s="57">
        <f t="shared" si="0"/>
        <v>219.45665468381333</v>
      </c>
      <c r="AG7" s="56">
        <v>20</v>
      </c>
      <c r="AH7" s="57">
        <f>(-$D$24-SQRT($D$24^2-(4*$C$24*($E$24-AG7))))/(2*$C$24)</f>
        <v>136.21844953136045</v>
      </c>
      <c r="BE7" t="s">
        <v>2897</v>
      </c>
    </row>
    <row r="8" spans="1:64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1"/>
        <v>228.58806056040828</v>
      </c>
      <c r="AC8" s="55">
        <f t="shared" si="2"/>
        <v>200</v>
      </c>
      <c r="AD8" s="57">
        <f t="shared" si="2"/>
        <v>228.58806056040828</v>
      </c>
      <c r="AE8" s="55">
        <v>90</v>
      </c>
      <c r="AF8" s="57">
        <f t="shared" si="0"/>
        <v>196.82660562841531</v>
      </c>
      <c r="AG8" s="56">
        <v>40</v>
      </c>
      <c r="AH8" s="57">
        <f>(-$D$24-SQRT($D$24^2-(4*$C$24*($E$24-AG8))))/(2*$C$24)</f>
        <v>117.54750231651833</v>
      </c>
      <c r="BE8" t="s">
        <v>2898</v>
      </c>
    </row>
    <row r="9" spans="1:64" x14ac:dyDescent="0.15">
      <c r="A9" s="2" t="s">
        <v>2876</v>
      </c>
      <c r="C9" s="1652">
        <v>-6.6360402386698722E-3</v>
      </c>
      <c r="D9" s="1652">
        <v>1.2139540073967927</v>
      </c>
      <c r="E9" s="1652">
        <v>586.73347575046751</v>
      </c>
      <c r="H9" s="2"/>
      <c r="P9" t="s">
        <v>415</v>
      </c>
      <c r="Q9" s="52">
        <f t="array" ref="Q9:R9">LINEST(AC35:AC37,U35:U37)</f>
        <v>10.316246896880489</v>
      </c>
      <c r="R9" s="52">
        <v>-7.001108366069559</v>
      </c>
      <c r="T9" s="111">
        <f>(J3-R9)/Q9</f>
        <v>4.0444292391749972</v>
      </c>
      <c r="U9" s="39" t="s">
        <v>42</v>
      </c>
      <c r="V9" t="s">
        <v>58</v>
      </c>
      <c r="W9" s="125">
        <f>IF($J$3&gt;$AJ$35,AVERAGE(T10,T11,T11),AVERAGE(T9,T9,T11))</f>
        <v>4.0447520185750632</v>
      </c>
      <c r="X9" t="s">
        <v>25</v>
      </c>
      <c r="Y9" t="str">
        <f>IF(W9&gt;10,"Ei käyttöalueella","OK")</f>
        <v>OK</v>
      </c>
      <c r="AA9" s="55">
        <v>230</v>
      </c>
      <c r="AB9" s="56">
        <f t="shared" si="1"/>
        <v>211.84738721415337</v>
      </c>
      <c r="AC9" s="55">
        <f t="shared" si="2"/>
        <v>230</v>
      </c>
      <c r="AD9" s="57">
        <f t="shared" si="2"/>
        <v>211.84738721415337</v>
      </c>
      <c r="AE9" s="55">
        <v>130</v>
      </c>
      <c r="AF9" s="57">
        <f t="shared" si="0"/>
        <v>170.34963183675882</v>
      </c>
      <c r="AG9" s="56">
        <v>60</v>
      </c>
      <c r="AH9" s="57">
        <f>(-$D$24-SQRT($D$24^2-(4*$C$24*($E$24-AG9))))/(2*$C$24)</f>
        <v>94.770453161428435</v>
      </c>
      <c r="BF9" s="104" t="s">
        <v>2868</v>
      </c>
      <c r="BG9" s="104" t="s">
        <v>2869</v>
      </c>
      <c r="BH9" s="104" t="s">
        <v>87</v>
      </c>
    </row>
    <row r="10" spans="1:64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6.9094236096662067</v>
      </c>
      <c r="R10" s="52">
        <v>23.66030121885899</v>
      </c>
      <c r="T10" s="111">
        <f>(J3-R10)/Q10</f>
        <v>1.6009904195029709</v>
      </c>
      <c r="W10" t="b">
        <f>IF(AND(W9&lt;=7.51,J3&gt;=W11),TRUE,FALSE)</f>
        <v>0</v>
      </c>
      <c r="AA10" s="55">
        <v>270</v>
      </c>
      <c r="AB10" s="56">
        <f t="shared" si="1"/>
        <v>186.46259151604715</v>
      </c>
      <c r="AC10" s="55">
        <f t="shared" si="2"/>
        <v>270</v>
      </c>
      <c r="AD10" s="57">
        <f t="shared" si="2"/>
        <v>186.46259151604715</v>
      </c>
      <c r="AE10" s="55">
        <v>170</v>
      </c>
      <c r="AF10" s="57">
        <f t="shared" si="0"/>
        <v>136.94975137110086</v>
      </c>
      <c r="AG10" s="56">
        <v>80</v>
      </c>
      <c r="AH10" s="57">
        <f>(-$D$24-SQRT($D$24^2-(4*$C$24*($E$24-AG10))))/(2*$C$24)</f>
        <v>62.626439612772486</v>
      </c>
      <c r="BE10" s="628" t="s">
        <v>13</v>
      </c>
      <c r="BF10" s="628" t="s">
        <v>14</v>
      </c>
      <c r="BG10" s="628" t="s">
        <v>14</v>
      </c>
      <c r="BH10" s="628" t="s">
        <v>14</v>
      </c>
    </row>
    <row r="11" spans="1:64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1.7420030558993775E-4</v>
      </c>
      <c r="R11" s="7">
        <v>7.9595301030642288E-2</v>
      </c>
      <c r="S11" s="7">
        <v>1.071650259579529</v>
      </c>
      <c r="T11" s="111">
        <f>Q11*J3^2+R11*J3+S11</f>
        <v>4.0453975773751933</v>
      </c>
      <c r="V11" t="s">
        <v>348</v>
      </c>
      <c r="W11" s="294">
        <v>40</v>
      </c>
      <c r="X11" t="s">
        <v>13</v>
      </c>
      <c r="AA11" s="55">
        <v>300</v>
      </c>
      <c r="AB11" s="56">
        <f t="shared" si="1"/>
        <v>163.89856118333432</v>
      </c>
      <c r="AC11" s="55">
        <f t="shared" si="2"/>
        <v>300</v>
      </c>
      <c r="AD11" s="57">
        <f t="shared" si="2"/>
        <v>163.89856118333432</v>
      </c>
      <c r="AE11" s="55">
        <v>200</v>
      </c>
      <c r="AF11" s="57">
        <f t="shared" si="0"/>
        <v>101.02409261451852</v>
      </c>
      <c r="AG11" s="56"/>
      <c r="AH11" s="57"/>
      <c r="BE11" s="628">
        <v>0</v>
      </c>
      <c r="BF11" s="344">
        <v>0</v>
      </c>
      <c r="BG11" s="344">
        <v>0</v>
      </c>
      <c r="BH11" s="628">
        <v>0</v>
      </c>
      <c r="BJ11" t="s">
        <v>2868</v>
      </c>
    </row>
    <row r="12" spans="1:64" x14ac:dyDescent="0.15">
      <c r="C12" t="s">
        <v>11</v>
      </c>
      <c r="D12" s="1"/>
      <c r="E12" s="1"/>
      <c r="H12" s="1"/>
      <c r="P12" s="2" t="s">
        <v>51</v>
      </c>
      <c r="AA12" s="58">
        <v>340</v>
      </c>
      <c r="AB12" s="59">
        <f t="shared" si="1"/>
        <v>124.31146742228165</v>
      </c>
      <c r="AC12" s="58">
        <f t="shared" si="2"/>
        <v>340</v>
      </c>
      <c r="AD12" s="60">
        <f t="shared" si="2"/>
        <v>124.31146742228165</v>
      </c>
      <c r="AE12" s="58"/>
      <c r="AF12" s="60"/>
      <c r="AG12" s="59"/>
      <c r="AH12" s="60"/>
      <c r="BE12" s="628">
        <v>50</v>
      </c>
      <c r="BF12" s="344">
        <v>16.899999999999999</v>
      </c>
      <c r="BG12" s="344">
        <v>19</v>
      </c>
      <c r="BH12" s="628">
        <f>BF12-BG12</f>
        <v>-2.1000000000000014</v>
      </c>
      <c r="BJ12">
        <f t="array" ref="BJ12:BL12">LINEST(BF11:BF18,BE11:BE18^{1,2})</f>
        <v>1.4435000000000008E-3</v>
      </c>
      <c r="BK12">
        <v>0.25909642857142828</v>
      </c>
      <c r="BL12">
        <v>0.14625000000003041</v>
      </c>
    </row>
    <row r="13" spans="1:64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1.1770733774372873E-2</v>
      </c>
      <c r="Q13" s="51">
        <v>0.98593546116706365</v>
      </c>
      <c r="R13" s="51">
        <v>-26.643615099753127</v>
      </c>
      <c r="U13" s="39" t="s">
        <v>43</v>
      </c>
      <c r="V13" t="s">
        <v>58</v>
      </c>
      <c r="W13" s="295">
        <f>P18</f>
        <v>22.75385385573588</v>
      </c>
      <c r="X13" t="s">
        <v>49</v>
      </c>
      <c r="Y13" s="129" t="s">
        <v>414</v>
      </c>
      <c r="BE13" s="628">
        <v>100</v>
      </c>
      <c r="BF13" s="344">
        <v>40.56</v>
      </c>
      <c r="BG13" s="344">
        <v>48</v>
      </c>
      <c r="BH13" s="628">
        <f t="shared" ref="BH13:BH18" si="3">BF13-BG13</f>
        <v>-7.4399999999999977</v>
      </c>
      <c r="BJ13" t="s">
        <v>2869</v>
      </c>
    </row>
    <row r="14" spans="1:64" ht="14" thickBot="1" x14ac:dyDescent="0.2">
      <c r="A14" s="2" t="s">
        <v>2876</v>
      </c>
      <c r="C14" s="1652">
        <v>-5.0202808824422376E-3</v>
      </c>
      <c r="D14" s="1652">
        <v>0.45407702791083454</v>
      </c>
      <c r="E14" s="1652">
        <v>424.55354431077899</v>
      </c>
      <c r="H14" s="2"/>
      <c r="O14" t="s">
        <v>413</v>
      </c>
      <c r="P14">
        <f t="array" ref="P14:S14">LINEST(AE34:AE37,AC34:AC37^{1,2,3})</f>
        <v>-8.9806380425006894E-4</v>
      </c>
      <c r="Q14">
        <v>0.18335912464633519</v>
      </c>
      <c r="R14">
        <v>-9.263880250001046</v>
      </c>
      <c r="S14">
        <v>161.91998899396964</v>
      </c>
      <c r="V14" t="s">
        <v>52</v>
      </c>
      <c r="W14" s="296">
        <f>IF(W13&gt;Y14,Y14,W13)</f>
        <v>22.75385385573588</v>
      </c>
      <c r="X14" t="s">
        <v>49</v>
      </c>
      <c r="Y14" s="129">
        <v>516</v>
      </c>
      <c r="Z14" t="s">
        <v>49</v>
      </c>
      <c r="BE14" s="628">
        <v>150</v>
      </c>
      <c r="BF14" s="344">
        <v>71.47</v>
      </c>
      <c r="BG14" s="344">
        <v>85</v>
      </c>
      <c r="BH14" s="628">
        <f t="shared" si="3"/>
        <v>-13.530000000000001</v>
      </c>
      <c r="BJ14">
        <f t="array" ref="BJ14:BL14">LINEST(BG11:BG18,BE11:BE18^{1,2})</f>
        <v>1.6214285714285716E-3</v>
      </c>
      <c r="BK14">
        <v>0.2836904761904761</v>
      </c>
      <c r="BL14">
        <v>1.5416666666666714</v>
      </c>
    </row>
    <row r="15" spans="1:64" x14ac:dyDescent="0.15">
      <c r="B15" s="446" t="s">
        <v>9</v>
      </c>
      <c r="C15" s="1664">
        <v>-5.1345714285714232E-3</v>
      </c>
      <c r="D15" s="1664">
        <v>0.46940465367965173</v>
      </c>
      <c r="E15" s="1664">
        <v>360.99390151515166</v>
      </c>
      <c r="H15" s="2"/>
      <c r="BE15" s="628">
        <v>200</v>
      </c>
      <c r="BF15" s="344">
        <v>109.6</v>
      </c>
      <c r="BG15" s="344">
        <v>125</v>
      </c>
      <c r="BH15" s="628">
        <f t="shared" si="3"/>
        <v>-15.400000000000006</v>
      </c>
      <c r="BJ15" t="s">
        <v>87</v>
      </c>
    </row>
    <row r="16" spans="1:64" x14ac:dyDescent="0.15">
      <c r="C16" s="2" t="s">
        <v>411</v>
      </c>
      <c r="D16" s="1"/>
      <c r="E16" s="1"/>
      <c r="H16" s="1"/>
      <c r="O16" t="s">
        <v>412</v>
      </c>
      <c r="P16" s="3">
        <f>$P$13*J3^2+$Q$13*J3+$R$13</f>
        <v>21.781436809950172</v>
      </c>
      <c r="Q16" t="s">
        <v>49</v>
      </c>
      <c r="BE16" s="628">
        <v>250</v>
      </c>
      <c r="BF16" s="344">
        <v>155.1</v>
      </c>
      <c r="BG16" s="344">
        <v>167</v>
      </c>
      <c r="BH16" s="628">
        <f t="shared" si="3"/>
        <v>-11.900000000000006</v>
      </c>
      <c r="BJ16" s="2">
        <f>BJ14-BJ12</f>
        <v>1.7792857142857085E-4</v>
      </c>
      <c r="BK16" s="2">
        <f t="shared" ref="BK16:BL16" si="4">BK14-BK12</f>
        <v>2.4594047619047821E-2</v>
      </c>
      <c r="BL16" s="2">
        <f t="shared" si="4"/>
        <v>1.395416666666641</v>
      </c>
    </row>
    <row r="17" spans="1:75" x14ac:dyDescent="0.15">
      <c r="C17" t="s">
        <v>11</v>
      </c>
      <c r="D17" s="1"/>
      <c r="E17" s="1"/>
      <c r="H17" s="1"/>
      <c r="O17" t="s">
        <v>413</v>
      </c>
      <c r="P17" s="3">
        <f>$P$14*J3^3+$Q$14*J3^2+$R$14*J3+$S$14</f>
        <v>23.726270901521588</v>
      </c>
      <c r="Q17" t="s">
        <v>49</v>
      </c>
      <c r="BE17" s="628">
        <v>300</v>
      </c>
      <c r="BF17" s="344">
        <v>207.8</v>
      </c>
      <c r="BG17" s="344">
        <v>229</v>
      </c>
      <c r="BH17" s="628">
        <f t="shared" si="3"/>
        <v>-21.199999999999989</v>
      </c>
      <c r="BJ17">
        <f t="array" ref="BJ17:BL17">LINEST(BH11:BH18,BE11:BE18^{1,2})</f>
        <v>-1.779285714285715E-4</v>
      </c>
      <c r="BK17">
        <v>-2.4594047619047599E-2</v>
      </c>
      <c r="BL17">
        <v>-1.3954166666666667</v>
      </c>
    </row>
    <row r="18" spans="1:75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22.75385385573588</v>
      </c>
      <c r="Q18" t="s">
        <v>49</v>
      </c>
      <c r="BE18" s="628">
        <v>350</v>
      </c>
      <c r="BF18" s="344">
        <v>267.7</v>
      </c>
      <c r="BG18" s="344">
        <v>304</v>
      </c>
      <c r="BH18" s="628">
        <f t="shared" si="3"/>
        <v>-36.300000000000011</v>
      </c>
    </row>
    <row r="19" spans="1:75" x14ac:dyDescent="0.15">
      <c r="A19" s="2" t="s">
        <v>2876</v>
      </c>
      <c r="C19" s="1652">
        <v>-5.2296934742095012E-3</v>
      </c>
      <c r="D19" s="1652">
        <v>0.40947250248137845</v>
      </c>
      <c r="E19" s="1652">
        <v>212.00696954399325</v>
      </c>
      <c r="AB19" s="6"/>
      <c r="AC19" s="6"/>
    </row>
    <row r="20" spans="1:75" x14ac:dyDescent="0.15">
      <c r="C20" s="2"/>
      <c r="D20" s="2"/>
      <c r="E20" s="2"/>
      <c r="H20" s="1"/>
      <c r="AB20" s="6"/>
      <c r="AC20" s="6"/>
      <c r="BE20" s="2" t="s">
        <v>2880</v>
      </c>
      <c r="BI20" s="2" t="s">
        <v>533</v>
      </c>
    </row>
    <row r="21" spans="1:75" x14ac:dyDescent="0.15">
      <c r="C21" s="2" t="s">
        <v>409</v>
      </c>
      <c r="D21" s="1"/>
      <c r="E21" s="1"/>
      <c r="H21" s="1"/>
      <c r="AB21" s="6"/>
      <c r="AC21" s="6"/>
      <c r="BF21" t="s">
        <v>4</v>
      </c>
      <c r="BG21" t="s">
        <v>5</v>
      </c>
      <c r="BH21" t="s">
        <v>6</v>
      </c>
    </row>
    <row r="22" spans="1:75" x14ac:dyDescent="0.15">
      <c r="C22" t="s">
        <v>11</v>
      </c>
      <c r="D22" s="1"/>
      <c r="E22" s="1"/>
      <c r="H22" s="1"/>
      <c r="AB22" s="6"/>
      <c r="AC22" s="6"/>
      <c r="BE22">
        <v>10</v>
      </c>
      <c r="BF22" s="8">
        <v>-6.8139688100984433E-3</v>
      </c>
      <c r="BG22" s="8">
        <v>1.1893599597777449</v>
      </c>
      <c r="BH22" s="8">
        <v>585.33805908380089</v>
      </c>
    </row>
    <row r="23" spans="1:75" x14ac:dyDescent="0.15">
      <c r="C23" t="s">
        <v>4</v>
      </c>
      <c r="D23" t="s">
        <v>5</v>
      </c>
      <c r="E23" t="s">
        <v>6</v>
      </c>
      <c r="H23" s="1"/>
      <c r="BE23">
        <v>8</v>
      </c>
      <c r="BF23" s="8">
        <v>-5.1982094538708086E-3</v>
      </c>
      <c r="BG23" s="8">
        <v>0.42948298029178672</v>
      </c>
      <c r="BH23" s="8">
        <v>423.15812764411237</v>
      </c>
    </row>
    <row r="24" spans="1:75" x14ac:dyDescent="0.15">
      <c r="A24" s="2" t="s">
        <v>2876</v>
      </c>
      <c r="C24" s="1652">
        <v>-4.658996363022274E-3</v>
      </c>
      <c r="D24" s="1652">
        <v>0.11111171369044934</v>
      </c>
      <c r="E24" s="1652">
        <v>91.314383210616825</v>
      </c>
      <c r="H24" s="1"/>
      <c r="BE24">
        <v>6</v>
      </c>
      <c r="BF24" s="8">
        <v>-5.4076220456380723E-3</v>
      </c>
      <c r="BG24" s="8">
        <v>0.38487845486233063</v>
      </c>
      <c r="BH24" s="8">
        <v>210.6115528773266</v>
      </c>
    </row>
    <row r="25" spans="1:75" x14ac:dyDescent="0.15">
      <c r="G25" s="2"/>
      <c r="H25" s="1"/>
      <c r="BE25">
        <v>4</v>
      </c>
      <c r="BF25" s="8">
        <v>-4.8369249344508451E-3</v>
      </c>
      <c r="BG25" s="8">
        <v>8.6517666071401517E-2</v>
      </c>
      <c r="BH25" s="8">
        <v>89.918966543950177</v>
      </c>
    </row>
    <row r="26" spans="1:75" x14ac:dyDescent="0.15">
      <c r="BE26" t="s">
        <v>564</v>
      </c>
      <c r="BF26" s="446">
        <v>-5.3124999999999943E-3</v>
      </c>
      <c r="BG26" s="446">
        <v>0.44481060606060391</v>
      </c>
      <c r="BH26" s="446">
        <v>359.59848484848504</v>
      </c>
    </row>
    <row r="27" spans="1:75" x14ac:dyDescent="0.15">
      <c r="U27" t="s">
        <v>407</v>
      </c>
    </row>
    <row r="28" spans="1:75" x14ac:dyDescent="0.15">
      <c r="U28" s="4" t="s">
        <v>17</v>
      </c>
      <c r="BE28" s="2" t="s">
        <v>2882</v>
      </c>
    </row>
    <row r="29" spans="1:75" x14ac:dyDescent="0.15">
      <c r="U29" s="4">
        <f>L3/J3^2</f>
        <v>7.4649599999999997E-2</v>
      </c>
      <c r="AP29" s="2" t="s">
        <v>1155</v>
      </c>
      <c r="BF29" t="s">
        <v>4</v>
      </c>
      <c r="BG29" t="s">
        <v>5</v>
      </c>
      <c r="BH29" t="s">
        <v>6</v>
      </c>
    </row>
    <row r="30" spans="1:75" x14ac:dyDescent="0.15">
      <c r="BE30">
        <f>BE22</f>
        <v>10</v>
      </c>
      <c r="BF30" s="1654">
        <f>BF22+$BJ$16</f>
        <v>-6.6360402386698722E-3</v>
      </c>
      <c r="BG30" s="1654">
        <f>BG22+$BK$16</f>
        <v>1.2139540073967927</v>
      </c>
      <c r="BH30" s="1654">
        <f>BH22+$BL$16</f>
        <v>586.73347575046751</v>
      </c>
    </row>
    <row r="31" spans="1:75" x14ac:dyDescent="0.15">
      <c r="U31" s="2" t="s">
        <v>16</v>
      </c>
      <c r="AP31" s="2" t="s">
        <v>1110</v>
      </c>
      <c r="BE31">
        <f t="shared" ref="BE31:BE33" si="5">BE23</f>
        <v>8</v>
      </c>
      <c r="BF31" s="1654">
        <f t="shared" ref="BF31:BF34" si="6">BF23+$BJ$16</f>
        <v>-5.0202808824422376E-3</v>
      </c>
      <c r="BG31" s="1654">
        <f t="shared" ref="BG31:BG34" si="7">BG23+$BK$16</f>
        <v>0.45407702791083454</v>
      </c>
      <c r="BH31" s="1654">
        <f t="shared" ref="BH31:BH34" si="8">BH23+$BL$16</f>
        <v>424.55354431077899</v>
      </c>
      <c r="BN31" s="2" t="s">
        <v>2899</v>
      </c>
    </row>
    <row r="32" spans="1:7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BE32">
        <f t="shared" si="5"/>
        <v>6</v>
      </c>
      <c r="BF32" s="1654">
        <f t="shared" si="6"/>
        <v>-5.2296934742095012E-3</v>
      </c>
      <c r="BG32" s="1654">
        <f t="shared" si="7"/>
        <v>0.40947250248137845</v>
      </c>
      <c r="BH32" s="1654">
        <f t="shared" si="8"/>
        <v>212.00696954399325</v>
      </c>
      <c r="BN32" t="s">
        <v>2883</v>
      </c>
      <c r="BW32" t="s">
        <v>2883</v>
      </c>
    </row>
    <row r="33" spans="21:8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P33" s="2" t="s">
        <v>1107</v>
      </c>
      <c r="AS33" t="s">
        <v>1115</v>
      </c>
      <c r="BE33">
        <f t="shared" si="5"/>
        <v>4</v>
      </c>
      <c r="BF33" s="1654">
        <f t="shared" si="6"/>
        <v>-4.658996363022274E-3</v>
      </c>
      <c r="BG33" s="1654">
        <f t="shared" si="7"/>
        <v>0.11111171369044934</v>
      </c>
      <c r="BH33" s="1654">
        <f t="shared" si="8"/>
        <v>91.314383210616825</v>
      </c>
      <c r="BN33" s="2" t="s">
        <v>2884</v>
      </c>
      <c r="BW33" s="2" t="s">
        <v>2727</v>
      </c>
    </row>
    <row r="34" spans="21:82" x14ac:dyDescent="0.15">
      <c r="U34" s="35">
        <v>10</v>
      </c>
      <c r="V34" s="98">
        <f>C9</f>
        <v>-6.6360402386698722E-3</v>
      </c>
      <c r="W34" s="99">
        <f>D9</f>
        <v>1.2139540073967927</v>
      </c>
      <c r="X34" s="100">
        <f>E9</f>
        <v>586.73347575046751</v>
      </c>
      <c r="Y34" s="36">
        <f>C9-U29</f>
        <v>-8.1285640238669868E-2</v>
      </c>
      <c r="Z34" s="28">
        <f>(-W34+SQRT(W34^2-(4*Y34*X34)))/(2*Y34)</f>
        <v>-77.820115887180236</v>
      </c>
      <c r="AA34" s="29">
        <f>(-W34-SQRT(W34^2-(4*Y34*X34)))/(2*Y34)</f>
        <v>92.754537315521048</v>
      </c>
      <c r="AB34" s="36">
        <f>AB6</f>
        <v>305.56978103696548</v>
      </c>
      <c r="AC34" s="53">
        <f>IF(Z34&lt;0,AA34,IF(Z34&gt;AB34,AA34,Z34))</f>
        <v>92.754537315521048</v>
      </c>
      <c r="AD34" s="53">
        <f>V34*AC34^2+W34*AC34+X34</f>
        <v>642.24068161713626</v>
      </c>
      <c r="AE34" s="53">
        <f>X51*AC34^2+Y51*AC34+Z51</f>
        <v>163.50652014760232</v>
      </c>
      <c r="AF34" s="53">
        <f>AVERAGE(K61:K62,K61)</f>
        <v>57.606412724087427</v>
      </c>
      <c r="AG34" s="53">
        <f>AVERAGE(U61:U62,U61)</f>
        <v>74.609989849001067</v>
      </c>
      <c r="AI34">
        <v>10</v>
      </c>
      <c r="AJ34" s="3">
        <f>AC34</f>
        <v>92.754537315521048</v>
      </c>
      <c r="AL34">
        <f>AN52*AC34^2+AO52*AC34+AP52</f>
        <v>628.32065584250836</v>
      </c>
      <c r="AM34" t="s">
        <v>14</v>
      </c>
      <c r="AP34" s="616">
        <f>AC38/$J$3-1</f>
        <v>1.0238158578001326</v>
      </c>
      <c r="AS34" s="278" t="b">
        <f>IF(AP36&gt;AC38,FALSE,TRUE)</f>
        <v>1</v>
      </c>
      <c r="AT34" t="s">
        <v>1117</v>
      </c>
      <c r="BE34" t="s">
        <v>564</v>
      </c>
      <c r="BF34" s="1654">
        <f t="shared" si="6"/>
        <v>-5.1345714285714232E-3</v>
      </c>
      <c r="BG34" s="1654">
        <f t="shared" si="7"/>
        <v>0.46940465367965173</v>
      </c>
      <c r="BH34" s="1654">
        <f t="shared" si="8"/>
        <v>360.99390151515166</v>
      </c>
      <c r="BN34" s="1655" t="s">
        <v>564</v>
      </c>
      <c r="BO34" s="1656"/>
      <c r="BP34" s="1655" t="s">
        <v>564</v>
      </c>
      <c r="BQ34" s="1657"/>
      <c r="BR34" s="1655" t="s">
        <v>405</v>
      </c>
      <c r="BS34" s="1657"/>
      <c r="BT34" s="1656" t="s">
        <v>406</v>
      </c>
      <c r="BU34" s="1657"/>
      <c r="BW34" s="1655" t="s">
        <v>564</v>
      </c>
      <c r="BX34" s="1656"/>
      <c r="BY34" s="1655" t="s">
        <v>564</v>
      </c>
      <c r="BZ34" s="1657"/>
      <c r="CA34" s="1655" t="s">
        <v>405</v>
      </c>
      <c r="CB34" s="1657"/>
      <c r="CC34" s="1656" t="s">
        <v>406</v>
      </c>
      <c r="CD34" s="1657"/>
    </row>
    <row r="35" spans="21:82" x14ac:dyDescent="0.15">
      <c r="U35" s="35">
        <v>8</v>
      </c>
      <c r="V35" s="98">
        <f>C14</f>
        <v>-5.0202808824422376E-3</v>
      </c>
      <c r="W35" s="99">
        <f>D14</f>
        <v>0.45407702791083454</v>
      </c>
      <c r="X35" s="100">
        <f>E14</f>
        <v>424.55354431077899</v>
      </c>
      <c r="Y35" s="36">
        <f>C14-U29</f>
        <v>-7.9669880882442229E-2</v>
      </c>
      <c r="Z35" s="28">
        <f t="shared" ref="Z35:Z37" si="9">(-W35+SQRT(W35^2-(4*Y35*X35)))/(2*Y35)</f>
        <v>-70.205238522723718</v>
      </c>
      <c r="AA35" s="29">
        <f t="shared" ref="AA35:AA38" si="10">(-W35-SQRT(W35^2-(4*Y35*X35)))/(2*Y35)</f>
        <v>75.904720219964517</v>
      </c>
      <c r="AB35" s="36">
        <f>AD6</f>
        <v>305.56978103696548</v>
      </c>
      <c r="AC35" s="53">
        <f t="shared" ref="AC35:AC38" si="11">IF(Z35&lt;0,AA35,IF(Z35&gt;AB35,AA35,Z35))</f>
        <v>75.904720219964517</v>
      </c>
      <c r="AD35" s="53">
        <f>V35*AC35^2+W35*AC35+X35</f>
        <v>430.09565247162618</v>
      </c>
      <c r="AE35" s="53">
        <f t="shared" ref="AE35:AE37" si="12">X52*AC35^2+Y52*AC35+Z52</f>
        <v>122.42861155410327</v>
      </c>
      <c r="AF35" s="53">
        <f>AVERAGE(K66:K67,K66)</f>
        <v>51.981096501228485</v>
      </c>
      <c r="AG35" s="53">
        <f>AVERAGE(U66:U67,U66)</f>
        <v>69.275960324343302</v>
      </c>
      <c r="AI35">
        <v>9</v>
      </c>
      <c r="AJ35" s="3">
        <f>Q9*AI35+R9</f>
        <v>85.845113705854843</v>
      </c>
      <c r="AL35">
        <f t="shared" ref="AL35:AL37" si="13">AN53*AC35^2+AO53*AC35+AP53</f>
        <v>423.60588511652588</v>
      </c>
      <c r="AM35" t="s">
        <v>14</v>
      </c>
      <c r="AP35" t="s">
        <v>1114</v>
      </c>
      <c r="AS35" t="s">
        <v>1116</v>
      </c>
      <c r="BN35" s="1658" t="s">
        <v>14</v>
      </c>
      <c r="BO35" s="1659" t="s">
        <v>13</v>
      </c>
      <c r="BP35" s="1658" t="s">
        <v>14</v>
      </c>
      <c r="BQ35" s="1660" t="s">
        <v>13</v>
      </c>
      <c r="BR35" s="1658" t="s">
        <v>14</v>
      </c>
      <c r="BS35" s="1660" t="s">
        <v>13</v>
      </c>
      <c r="BT35" s="1659" t="s">
        <v>14</v>
      </c>
      <c r="BU35" s="1660" t="s">
        <v>13</v>
      </c>
      <c r="BW35" s="1658" t="s">
        <v>14</v>
      </c>
      <c r="BX35" s="1659" t="s">
        <v>13</v>
      </c>
      <c r="BY35" s="1658" t="s">
        <v>14</v>
      </c>
      <c r="BZ35" s="1660" t="s">
        <v>13</v>
      </c>
      <c r="CA35" s="1658" t="s">
        <v>14</v>
      </c>
      <c r="CB35" s="1660" t="s">
        <v>13</v>
      </c>
      <c r="CC35" s="1659" t="s">
        <v>14</v>
      </c>
      <c r="CD35" s="1660" t="s">
        <v>13</v>
      </c>
    </row>
    <row r="36" spans="21:82" x14ac:dyDescent="0.15">
      <c r="U36" s="35">
        <v>6</v>
      </c>
      <c r="V36" s="98">
        <f>C19</f>
        <v>-5.2296934742095012E-3</v>
      </c>
      <c r="W36" s="99">
        <f>D19</f>
        <v>0.40947250248137845</v>
      </c>
      <c r="X36" s="100">
        <f>E19</f>
        <v>212.00696954399325</v>
      </c>
      <c r="Y36" s="36">
        <f>C19-U29</f>
        <v>-7.9879293474209495E-2</v>
      </c>
      <c r="Z36" s="28">
        <f t="shared" si="9"/>
        <v>-49.01852542918656</v>
      </c>
      <c r="AA36" s="29">
        <f t="shared" si="10"/>
        <v>54.144666193233057</v>
      </c>
      <c r="AB36" s="36">
        <f>AF6</f>
        <v>239.54728928322191</v>
      </c>
      <c r="AC36" s="53">
        <f t="shared" si="11"/>
        <v>54.144666193233057</v>
      </c>
      <c r="AD36" s="53">
        <f>V36*AC36^2+W36*AC36+X36</f>
        <v>218.84611742328491</v>
      </c>
      <c r="AE36" s="53">
        <f t="shared" si="12"/>
        <v>55.321821742726733</v>
      </c>
      <c r="AF36" s="53">
        <f>AVERAGE(K71:K72,K71)</f>
        <v>48.029041004997005</v>
      </c>
      <c r="AG36" s="53">
        <f>AVERAGE(U71:U72,U71)</f>
        <v>63.06536277971626</v>
      </c>
      <c r="AI36">
        <v>8</v>
      </c>
      <c r="AJ36" s="3">
        <f>AC35</f>
        <v>75.904720219964517</v>
      </c>
      <c r="AL36">
        <f t="shared" si="13"/>
        <v>237.450842997059</v>
      </c>
      <c r="AM36" t="s">
        <v>14</v>
      </c>
      <c r="AP36" s="279">
        <f>Tulokset_ENT!$CS$16</f>
        <v>41.666666666666664</v>
      </c>
      <c r="AQ36" t="s">
        <v>13</v>
      </c>
      <c r="AS36" s="627">
        <f>IF($AP$36&gt;$AJ$35,AVERAGE(AS40,AS41,AS41),AVERAGE(AS39,AS39,AS41))</f>
        <v>4.7085742947170921</v>
      </c>
      <c r="AT36" t="s">
        <v>25</v>
      </c>
      <c r="BE36" t="s">
        <v>2885</v>
      </c>
      <c r="BN36" s="1661">
        <f>AA6</f>
        <v>25</v>
      </c>
      <c r="BO36" s="1662">
        <f>(-$BG$26-SQRT($BG$26^2-(4*$BF$26*($BH$26-BN36))))/(2*$BF$26)</f>
        <v>296.29699977143565</v>
      </c>
      <c r="BP36" s="1661">
        <f>AC6</f>
        <v>25</v>
      </c>
      <c r="BQ36" s="1662">
        <f>(-$BG$26-SQRT($BG$26^2-(4*$BF$26*($BH$26-BP36))))/(2*$BF$26)</f>
        <v>296.29699977143565</v>
      </c>
      <c r="BR36" s="1661">
        <f>AE6</f>
        <v>10</v>
      </c>
      <c r="BS36" s="1662">
        <f>(-$BG$24-SQRT($BG$24^2-(4*$BF$24*($BH$24-BR36))))/(2*$BF$24)</f>
        <v>231.45482058174542</v>
      </c>
      <c r="BT36" s="1661">
        <f>AG6</f>
        <v>10</v>
      </c>
      <c r="BU36" s="1662">
        <f>(-$BG$25-SQRT($BG$25^2-(4*$BF$25*($BH$25-BT36))))/(2*$BF$25)</f>
        <v>137.79479127749656</v>
      </c>
      <c r="BW36" s="55">
        <f>BN36</f>
        <v>25</v>
      </c>
      <c r="BX36" s="1662">
        <f>(-$BG$34-SQRT($BG$34^2-(4*$BF$34*($BH$34-BW36))))/(2*$BF$34)</f>
        <v>305.56978103696548</v>
      </c>
      <c r="BY36" s="55">
        <f>BP36</f>
        <v>25</v>
      </c>
      <c r="BZ36" s="1662">
        <f>(-$BG$34-SQRT($BG$34^2-(4*$BF$34*($BH$34-BY36))))/(2*$BF$34)</f>
        <v>305.56978103696548</v>
      </c>
      <c r="CA36" s="55">
        <f>BR36</f>
        <v>10</v>
      </c>
      <c r="CB36" s="1662">
        <f>(-$BG$32-SQRT($BG$32^2-(4*$BF$32*($BH$32-CA36))))/(2*$BF$32)</f>
        <v>239.54728928322191</v>
      </c>
      <c r="CC36" s="55">
        <f>BT36</f>
        <v>10</v>
      </c>
      <c r="CD36" s="1662">
        <f>(-$BG$33-SQRT($BG$33^2-(4*$BF$33*($BH$33-CC36))))/(2*$BF$33)</f>
        <v>144.57203925918452</v>
      </c>
    </row>
    <row r="37" spans="21:82" x14ac:dyDescent="0.15">
      <c r="U37" s="38">
        <v>4</v>
      </c>
      <c r="V37" s="101">
        <f>C24</f>
        <v>-4.658996363022274E-3</v>
      </c>
      <c r="W37" s="102">
        <f>D24</f>
        <v>0.11111171369044934</v>
      </c>
      <c r="X37" s="103">
        <f>E24</f>
        <v>91.314383210616825</v>
      </c>
      <c r="Y37" s="37">
        <f>C24-U29</f>
        <v>-7.9308596363022274E-2</v>
      </c>
      <c r="Z37" s="30">
        <f t="shared" si="9"/>
        <v>-33.238727964778874</v>
      </c>
      <c r="AA37" s="31">
        <f t="shared" si="10"/>
        <v>34.639732632442552</v>
      </c>
      <c r="AB37" s="37">
        <f>AH6</f>
        <v>144.57203925918452</v>
      </c>
      <c r="AC37" s="53">
        <f t="shared" si="11"/>
        <v>34.639732632442552</v>
      </c>
      <c r="AD37" s="53">
        <f>V37*AC37^2+W37*AC37+X37</f>
        <v>89.572881922205696</v>
      </c>
      <c r="AE37" s="53">
        <f t="shared" si="12"/>
        <v>23.708636902582121</v>
      </c>
      <c r="AF37" s="53">
        <f>AVERAGE(K76:K77,K76)</f>
        <v>38.294294101207107</v>
      </c>
      <c r="AG37" s="53">
        <f>AVERAGE(U76:U77,U76)</f>
        <v>53.271595997204066</v>
      </c>
      <c r="AI37">
        <v>6</v>
      </c>
      <c r="AJ37" s="3">
        <f t="shared" ref="AJ37:AJ38" si="14">AC36</f>
        <v>54.144666193233057</v>
      </c>
      <c r="AL37">
        <f t="shared" si="13"/>
        <v>99.166048622616984</v>
      </c>
      <c r="AM37" t="s">
        <v>14</v>
      </c>
      <c r="AP37" s="279">
        <f>Tulokset_ENT!$CS$17</f>
        <v>129.59999999999997</v>
      </c>
      <c r="AQ37" t="s">
        <v>14</v>
      </c>
      <c r="BF37" t="s">
        <v>13</v>
      </c>
      <c r="BG37" s="4" t="s">
        <v>2886</v>
      </c>
      <c r="BH37" s="4" t="s">
        <v>2887</v>
      </c>
      <c r="BJ37" t="s">
        <v>2119</v>
      </c>
      <c r="BN37" s="55">
        <f t="shared" ref="BN37:BT42" si="15">AA7</f>
        <v>100</v>
      </c>
      <c r="BO37" s="57">
        <f t="shared" ref="BO37:BO42" si="16">(-$BG$26-SQRT($BG$26^2-(4*$BF$26*($BH$26-BN37))))/(2*$BF$26)</f>
        <v>266.84949561947269</v>
      </c>
      <c r="BP37" s="55">
        <f t="shared" si="15"/>
        <v>100</v>
      </c>
      <c r="BQ37" s="57">
        <f t="shared" ref="BQ37:BQ42" si="17">(-$BG$26-SQRT($BG$26^2-(4*$BF$26*($BH$26-BP37))))/(2*$BF$26)</f>
        <v>266.84949561947269</v>
      </c>
      <c r="BR37" s="55">
        <f t="shared" si="15"/>
        <v>50</v>
      </c>
      <c r="BS37" s="57">
        <f t="shared" ref="BS37:BS41" si="18">(-$BG$24-SQRT($BG$24^2-(4*$BF$24*($BH$24-BR37))))/(2*$BF$24)</f>
        <v>211.56213987435652</v>
      </c>
      <c r="BT37" s="55">
        <f t="shared" si="15"/>
        <v>20</v>
      </c>
      <c r="BU37" s="57">
        <f t="shared" ref="BU37:BU40" si="19">(-$BG$25-SQRT($BG$25^2-(4*$BF$25*($BH$25-BT37))))/(2*$BF$25)</f>
        <v>129.5056281141523</v>
      </c>
      <c r="BW37" s="55">
        <f t="shared" ref="BW37:CC42" si="20">BN37</f>
        <v>100</v>
      </c>
      <c r="BX37" s="57">
        <f t="shared" ref="BX37:BX42" si="21">(-$BG$34-SQRT($BG$34^2-(4*$BF$34*($BH$34-BW37))))/(2*$BF$34)</f>
        <v>275.7539670848335</v>
      </c>
      <c r="BY37" s="55">
        <f t="shared" si="20"/>
        <v>100</v>
      </c>
      <c r="BZ37" s="57">
        <f t="shared" ref="BZ37:BZ42" si="22">(-$BG$34-SQRT($BG$34^2-(4*$BF$34*($BH$34-BY37))))/(2*$BF$34)</f>
        <v>275.7539670848335</v>
      </c>
      <c r="CA37" s="55">
        <f t="shared" si="20"/>
        <v>50</v>
      </c>
      <c r="CB37" s="57">
        <f t="shared" ref="CB37:CB41" si="23">(-$BG$32-SQRT($BG$32^2-(4*$BF$32*($BH$32-CA37))))/(2*$BF$32)</f>
        <v>219.45665468381333</v>
      </c>
      <c r="CC37" s="55">
        <f t="shared" si="20"/>
        <v>20</v>
      </c>
      <c r="CD37" s="57">
        <f t="shared" ref="CD37:CD40" si="24">(-$BG$33-SQRT($BG$33^2-(4*$BF$33*($BH$33-CC37))))/(2*$BF$33)</f>
        <v>136.21844953136045</v>
      </c>
    </row>
    <row r="38" spans="21:82" x14ac:dyDescent="0.15">
      <c r="U38" s="639">
        <v>7.5</v>
      </c>
      <c r="V38" s="633">
        <f>C15</f>
        <v>-5.1345714285714232E-3</v>
      </c>
      <c r="W38" s="634">
        <f t="shared" ref="W38:X38" si="25">D15</f>
        <v>0.46940465367965173</v>
      </c>
      <c r="X38" s="635">
        <f t="shared" si="25"/>
        <v>360.99390151515166</v>
      </c>
      <c r="Y38" s="636">
        <f>C15-U29</f>
        <v>-7.9784171428571415E-2</v>
      </c>
      <c r="Z38" s="637">
        <f>(-W38+SQRT(W38^2-(4*Y38*X38)))/(2*Y38)</f>
        <v>-64.387953124517054</v>
      </c>
      <c r="AA38" s="638">
        <f t="shared" si="10"/>
        <v>70.271383951393489</v>
      </c>
      <c r="AB38" s="636">
        <f>AD6</f>
        <v>305.56978103696548</v>
      </c>
      <c r="AC38" s="53">
        <f t="shared" si="11"/>
        <v>70.271383951393489</v>
      </c>
      <c r="AD38" s="53">
        <f>V38*AC38^2+W38*AC38+X38</f>
        <v>368.62475636549567</v>
      </c>
      <c r="AE38" s="2" t="s">
        <v>1156</v>
      </c>
      <c r="AI38">
        <v>4</v>
      </c>
      <c r="AJ38" s="3">
        <f t="shared" si="14"/>
        <v>34.639732632442552</v>
      </c>
      <c r="AS38" s="4" t="s">
        <v>418</v>
      </c>
      <c r="BE38" t="s">
        <v>102</v>
      </c>
      <c r="BF38">
        <v>300</v>
      </c>
      <c r="BG38" s="5">
        <f>$BF$22*BF38^2+$BG$22*BF38+$BH$22</f>
        <v>328.88885410826447</v>
      </c>
      <c r="BH38" s="5">
        <f>$BF$30*BF38^2+$BG$30*BF38+$BH$30</f>
        <v>353.67605648921676</v>
      </c>
      <c r="BJ38" s="3">
        <f>BG38-BH38</f>
        <v>-24.787202380952294</v>
      </c>
      <c r="BN38" s="55">
        <f t="shared" si="15"/>
        <v>200</v>
      </c>
      <c r="BO38" s="57">
        <f t="shared" si="16"/>
        <v>220.17522952287823</v>
      </c>
      <c r="BP38" s="55">
        <f t="shared" si="15"/>
        <v>200</v>
      </c>
      <c r="BQ38" s="57">
        <f t="shared" si="17"/>
        <v>220.17522952287823</v>
      </c>
      <c r="BR38" s="55">
        <f t="shared" si="15"/>
        <v>90</v>
      </c>
      <c r="BS38" s="57">
        <f t="shared" si="18"/>
        <v>189.11321368100411</v>
      </c>
      <c r="BT38" s="55">
        <f t="shared" si="15"/>
        <v>40</v>
      </c>
      <c r="BU38" s="57">
        <f t="shared" si="19"/>
        <v>110.92570358593754</v>
      </c>
      <c r="BW38" s="55">
        <f t="shared" si="20"/>
        <v>200</v>
      </c>
      <c r="BX38" s="57">
        <f t="shared" si="21"/>
        <v>228.58806056040828</v>
      </c>
      <c r="BY38" s="55">
        <f t="shared" si="20"/>
        <v>200</v>
      </c>
      <c r="BZ38" s="57">
        <f t="shared" si="22"/>
        <v>228.58806056040828</v>
      </c>
      <c r="CA38" s="55">
        <f t="shared" si="20"/>
        <v>90</v>
      </c>
      <c r="CB38" s="57">
        <f t="shared" si="23"/>
        <v>196.82660562841531</v>
      </c>
      <c r="CC38" s="55">
        <f t="shared" si="20"/>
        <v>40</v>
      </c>
      <c r="CD38" s="57">
        <f t="shared" si="24"/>
        <v>117.54750231651833</v>
      </c>
    </row>
    <row r="39" spans="21:82" x14ac:dyDescent="0.15">
      <c r="AR39" t="s">
        <v>415</v>
      </c>
      <c r="AS39" s="111">
        <f>(AP36-R9)/Q9</f>
        <v>4.7175853311006719</v>
      </c>
      <c r="AT39" t="s">
        <v>25</v>
      </c>
      <c r="AU39" t="s">
        <v>1148</v>
      </c>
      <c r="BF39">
        <v>200</v>
      </c>
      <c r="BG39" s="5">
        <f>$BF$22*BF39^2+$BG$22*BF39+$BH$22</f>
        <v>550.6512986354121</v>
      </c>
      <c r="BH39" s="5">
        <f t="shared" ref="BH39:BH40" si="26">$BF$30*BF39^2+$BG$30*BF39+$BH$30</f>
        <v>564.0826676830311</v>
      </c>
      <c r="BJ39" s="3">
        <f t="shared" ref="BJ39:BJ44" si="27">BG39-BH39</f>
        <v>-13.431369047619</v>
      </c>
      <c r="BN39" s="55">
        <f t="shared" si="15"/>
        <v>230</v>
      </c>
      <c r="BO39" s="57">
        <f t="shared" si="16"/>
        <v>203.56687017959618</v>
      </c>
      <c r="BP39" s="55">
        <f t="shared" si="15"/>
        <v>230</v>
      </c>
      <c r="BQ39" s="57">
        <f t="shared" si="17"/>
        <v>203.56687017959618</v>
      </c>
      <c r="BR39" s="55">
        <f t="shared" si="15"/>
        <v>130</v>
      </c>
      <c r="BS39" s="57">
        <f t="shared" si="18"/>
        <v>162.761483860868</v>
      </c>
      <c r="BT39" s="55">
        <f t="shared" si="15"/>
        <v>60</v>
      </c>
      <c r="BU39" s="57">
        <f t="shared" si="19"/>
        <v>88.098495554899614</v>
      </c>
      <c r="BW39" s="55">
        <f t="shared" si="20"/>
        <v>230</v>
      </c>
      <c r="BX39" s="57">
        <f t="shared" si="21"/>
        <v>211.84738721415337</v>
      </c>
      <c r="BY39" s="55">
        <f t="shared" si="20"/>
        <v>230</v>
      </c>
      <c r="BZ39" s="57">
        <f t="shared" si="22"/>
        <v>211.84738721415337</v>
      </c>
      <c r="CA39" s="55">
        <f t="shared" si="20"/>
        <v>130</v>
      </c>
      <c r="CB39" s="57">
        <f t="shared" si="23"/>
        <v>170.34963183675882</v>
      </c>
      <c r="CC39" s="55">
        <f t="shared" si="20"/>
        <v>60</v>
      </c>
      <c r="CD39" s="57">
        <f t="shared" si="24"/>
        <v>94.770453161428435</v>
      </c>
    </row>
    <row r="40" spans="21:82" x14ac:dyDescent="0.15">
      <c r="U40" s="2" t="s">
        <v>35</v>
      </c>
      <c r="W40" t="s">
        <v>36</v>
      </c>
      <c r="AR40" t="s">
        <v>416</v>
      </c>
      <c r="AS40" s="111">
        <f>(AP36-R10)/Q10</f>
        <v>2.6060589804650229</v>
      </c>
      <c r="AT40" t="s">
        <v>25</v>
      </c>
      <c r="AU40" t="s">
        <v>1146</v>
      </c>
      <c r="BF40">
        <v>100</v>
      </c>
      <c r="BG40" s="5">
        <f t="shared" ref="BG40" si="28">$BF$22*BF40^2+$BG$22*BF40+$BH$22</f>
        <v>636.13436696059091</v>
      </c>
      <c r="BH40" s="5">
        <f t="shared" si="26"/>
        <v>641.76847410344806</v>
      </c>
      <c r="BJ40" s="3">
        <f t="shared" si="27"/>
        <v>-5.6341071428571468</v>
      </c>
      <c r="BN40" s="55">
        <f t="shared" si="15"/>
        <v>270</v>
      </c>
      <c r="BO40" s="57">
        <f t="shared" si="16"/>
        <v>178.31318398600729</v>
      </c>
      <c r="BP40" s="55">
        <f t="shared" si="15"/>
        <v>270</v>
      </c>
      <c r="BQ40" s="57">
        <f t="shared" si="17"/>
        <v>178.31318398600729</v>
      </c>
      <c r="BR40" s="55">
        <f t="shared" si="15"/>
        <v>170</v>
      </c>
      <c r="BS40" s="57">
        <f t="shared" si="18"/>
        <v>129.26947010597144</v>
      </c>
      <c r="BT40" s="55">
        <f t="shared" si="15"/>
        <v>80</v>
      </c>
      <c r="BU40" s="57">
        <f t="shared" si="19"/>
        <v>55.102547399007342</v>
      </c>
      <c r="BW40" s="55">
        <f t="shared" si="20"/>
        <v>270</v>
      </c>
      <c r="BX40" s="57">
        <f t="shared" si="21"/>
        <v>186.46259151604715</v>
      </c>
      <c r="BY40" s="55">
        <f t="shared" si="20"/>
        <v>270</v>
      </c>
      <c r="BZ40" s="57">
        <f t="shared" si="22"/>
        <v>186.46259151604715</v>
      </c>
      <c r="CA40" s="55">
        <f t="shared" si="20"/>
        <v>170</v>
      </c>
      <c r="CB40" s="57">
        <f t="shared" si="23"/>
        <v>136.94975137110086</v>
      </c>
      <c r="CC40" s="55">
        <f t="shared" si="20"/>
        <v>80</v>
      </c>
      <c r="CD40" s="57">
        <f t="shared" si="24"/>
        <v>62.626439612772486</v>
      </c>
    </row>
    <row r="41" spans="21:82" x14ac:dyDescent="0.15">
      <c r="AR41" t="s">
        <v>417</v>
      </c>
      <c r="AS41" s="111">
        <f>Q11*AP36^2+R11*AP36+S11</f>
        <v>4.6905522219499325</v>
      </c>
      <c r="AT41" t="s">
        <v>25</v>
      </c>
      <c r="AU41" t="s">
        <v>1147</v>
      </c>
      <c r="BE41" t="s">
        <v>405</v>
      </c>
      <c r="BF41">
        <v>150</v>
      </c>
      <c r="BG41" s="5">
        <f>$BF$24*BF41^2+$BG$24*BF41+$BH$24</f>
        <v>146.67182507981957</v>
      </c>
      <c r="BH41" s="5">
        <f>$BF$32*BF41^2+$BG$32*BF41+$BH$32</f>
        <v>155.75974174648624</v>
      </c>
      <c r="BJ41" s="3">
        <f t="shared" si="27"/>
        <v>-9.087916666666672</v>
      </c>
      <c r="BN41" s="55">
        <f t="shared" si="15"/>
        <v>300</v>
      </c>
      <c r="BO41" s="57">
        <f t="shared" si="16"/>
        <v>155.75560277579419</v>
      </c>
      <c r="BP41" s="55">
        <f t="shared" si="15"/>
        <v>300</v>
      </c>
      <c r="BQ41" s="57">
        <f t="shared" si="17"/>
        <v>155.75560277579419</v>
      </c>
      <c r="BR41" s="55">
        <f t="shared" si="15"/>
        <v>200</v>
      </c>
      <c r="BS41" s="57">
        <f t="shared" si="18"/>
        <v>92.408694768599474</v>
      </c>
      <c r="BT41" s="55"/>
      <c r="BU41" s="57"/>
      <c r="BW41" s="55">
        <f t="shared" si="20"/>
        <v>300</v>
      </c>
      <c r="BX41" s="57">
        <f t="shared" si="21"/>
        <v>163.89856118333432</v>
      </c>
      <c r="BY41" s="55">
        <f t="shared" si="20"/>
        <v>300</v>
      </c>
      <c r="BZ41" s="57">
        <f t="shared" si="22"/>
        <v>163.89856118333432</v>
      </c>
      <c r="CA41" s="55">
        <f t="shared" si="20"/>
        <v>200</v>
      </c>
      <c r="CB41" s="57">
        <f t="shared" si="23"/>
        <v>101.02409261451852</v>
      </c>
      <c r="CC41" s="55"/>
      <c r="CD41" s="57"/>
    </row>
    <row r="42" spans="21:8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  <c r="BF42">
        <v>75</v>
      </c>
      <c r="BG42" s="5">
        <f t="shared" ref="BG42:BG43" si="29">$BF$24*BF42^2+$BG$24*BF42+$BH$24</f>
        <v>209.05956298528724</v>
      </c>
      <c r="BH42" s="5">
        <f t="shared" ref="BH42:BH43" si="30">$BF$32*BF42^2+$BG$32*BF42+$BH$32</f>
        <v>213.30038143766819</v>
      </c>
      <c r="BJ42" s="3">
        <f t="shared" si="27"/>
        <v>-4.2408184523809496</v>
      </c>
      <c r="BN42" s="58">
        <f t="shared" si="15"/>
        <v>340</v>
      </c>
      <c r="BO42" s="60">
        <f t="shared" si="16"/>
        <v>115.63284896931589</v>
      </c>
      <c r="BP42" s="58">
        <f t="shared" si="15"/>
        <v>340</v>
      </c>
      <c r="BQ42" s="60">
        <f t="shared" si="17"/>
        <v>115.63284896931589</v>
      </c>
      <c r="BR42" s="58"/>
      <c r="BS42" s="60"/>
      <c r="BT42" s="58"/>
      <c r="BU42" s="60"/>
      <c r="BW42" s="58">
        <f t="shared" si="20"/>
        <v>340</v>
      </c>
      <c r="BX42" s="60">
        <f t="shared" si="21"/>
        <v>124.31146742228165</v>
      </c>
      <c r="BY42" s="58">
        <f t="shared" si="20"/>
        <v>340</v>
      </c>
      <c r="BZ42" s="60">
        <f t="shared" si="22"/>
        <v>124.31146742228165</v>
      </c>
      <c r="CA42" s="58"/>
      <c r="CB42" s="60"/>
      <c r="CC42" s="58"/>
      <c r="CD42" s="60"/>
    </row>
    <row r="43" spans="21:82" x14ac:dyDescent="0.15">
      <c r="U43" s="10" t="s">
        <v>55</v>
      </c>
      <c r="V43" s="21"/>
      <c r="W43" s="49">
        <v>16</v>
      </c>
      <c r="X43" s="49">
        <v>13</v>
      </c>
      <c r="Y43" s="49">
        <v>0</v>
      </c>
      <c r="Z43" s="49">
        <v>-4</v>
      </c>
      <c r="AA43" s="49">
        <v>-9</v>
      </c>
      <c r="AB43" s="49">
        <v>-14</v>
      </c>
      <c r="AC43" s="49">
        <v>-23</v>
      </c>
      <c r="AD43" s="49">
        <v>-32</v>
      </c>
      <c r="AE43" s="39" t="s">
        <v>42</v>
      </c>
      <c r="AF43" s="53">
        <f>$W$5+W43</f>
        <v>54.651971792386632</v>
      </c>
      <c r="AG43" s="53">
        <f t="shared" ref="AG43:AM43" si="31">$W$5+X43</f>
        <v>51.651971792386632</v>
      </c>
      <c r="AH43" s="53">
        <f t="shared" si="31"/>
        <v>38.651971792386632</v>
      </c>
      <c r="AI43" s="53">
        <f t="shared" si="31"/>
        <v>34.651971792386632</v>
      </c>
      <c r="AJ43" s="53">
        <f t="shared" si="31"/>
        <v>29.651971792386632</v>
      </c>
      <c r="AK43" s="53">
        <f t="shared" si="31"/>
        <v>24.651971792386632</v>
      </c>
      <c r="AL43" s="53">
        <f t="shared" si="31"/>
        <v>15.651971792386632</v>
      </c>
      <c r="AM43" s="53">
        <f t="shared" si="31"/>
        <v>6.6519717923866324</v>
      </c>
      <c r="AN43" s="5">
        <f t="array" ref="AN43">10*LOG10(SUM(10^(AF43:AM43/10)))</f>
        <v>56.528899247537836</v>
      </c>
      <c r="AO43" s="5">
        <f t="array" ref="AO43">10*LOG10(SUM(10^((AF43:AM43+AF46:AM46)/10)))</f>
        <v>39.062087877106691</v>
      </c>
      <c r="AP43" t="str">
        <f>IF(ABS(W5-AO43)&lt;0.5,"OK","Tarkista laskenta!")</f>
        <v>OK</v>
      </c>
      <c r="BF43">
        <v>50</v>
      </c>
      <c r="BG43" s="5">
        <f t="shared" si="29"/>
        <v>216.33642050634796</v>
      </c>
      <c r="BH43" s="5">
        <f t="shared" si="30"/>
        <v>219.40636098253842</v>
      </c>
      <c r="BJ43" s="3">
        <f t="shared" si="27"/>
        <v>-3.0699404761904532</v>
      </c>
    </row>
    <row r="44" spans="21:82" x14ac:dyDescent="0.15">
      <c r="U44" s="14" t="s">
        <v>56</v>
      </c>
      <c r="V44" s="26"/>
      <c r="W44" s="49">
        <v>8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61.343212740445182</v>
      </c>
      <c r="AG44" s="53">
        <f t="shared" ref="AG44:AM44" si="32">$W$6+X44</f>
        <v>61.343212740445182</v>
      </c>
      <c r="AH44" s="53">
        <f t="shared" si="32"/>
        <v>52.343212740445182</v>
      </c>
      <c r="AI44" s="53">
        <f t="shared" si="32"/>
        <v>49.343212740445182</v>
      </c>
      <c r="AJ44" s="53">
        <f t="shared" si="32"/>
        <v>48.343212740445182</v>
      </c>
      <c r="AK44" s="53">
        <f t="shared" si="32"/>
        <v>43.343212740445182</v>
      </c>
      <c r="AL44" s="53">
        <f t="shared" si="32"/>
        <v>39.343212740445182</v>
      </c>
      <c r="AM44" s="53">
        <f t="shared" si="32"/>
        <v>37.343212740445182</v>
      </c>
      <c r="AN44" s="5">
        <f t="array" ref="AN44">10*LOG10(SUM(10^(AF44:AM44/10)))</f>
        <v>64.894367566829743</v>
      </c>
      <c r="AO44" s="5">
        <f t="array" ref="AO44">10*LOG10(SUM(10^((AF44:AM44+AF46:AM46)/10)))</f>
        <v>53.290262474488863</v>
      </c>
      <c r="AP44" t="str">
        <f>IF(ABS(W6-AO44)&lt;0.5,"OK","Tarkista laskenta!")</f>
        <v>OK</v>
      </c>
      <c r="BJ44" s="3">
        <f t="shared" si="27"/>
        <v>0</v>
      </c>
    </row>
    <row r="46" spans="21:8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>
        <v>10</v>
      </c>
      <c r="X51" s="54">
        <f t="array" ref="X51:Z51">LINEST(Y59:Y66,X59:X66^{1,2})</f>
        <v>-1.297803923722612E-3</v>
      </c>
      <c r="Y51" s="54">
        <v>1.9037936039080579</v>
      </c>
      <c r="Z51" s="54">
        <v>-1.9134430085888141</v>
      </c>
      <c r="AN51" s="4" t="s">
        <v>4</v>
      </c>
      <c r="AO51" s="4" t="s">
        <v>5</v>
      </c>
      <c r="AP51" s="4" t="s">
        <v>6</v>
      </c>
    </row>
    <row r="52" spans="3:42" x14ac:dyDescent="0.15">
      <c r="W52">
        <v>8</v>
      </c>
      <c r="X52" s="54">
        <f t="array" ref="X52:Z52">LINEST(Y69:Y77,X69:X77^{1,2})</f>
        <v>8.0724924119134826E-4</v>
      </c>
      <c r="Y52" s="54">
        <v>0.52076468277130405</v>
      </c>
      <c r="Z52" s="54">
        <v>78.249126070968572</v>
      </c>
      <c r="AM52">
        <v>10</v>
      </c>
      <c r="AN52" s="54">
        <f t="array" ref="AN52:AP52">LINEST(AO60:AO67,AN60:AN67^{1,2})</f>
        <v>-7.6219320066368427E-3</v>
      </c>
      <c r="AO52" s="54">
        <v>3.112898616363355</v>
      </c>
      <c r="AP52" s="54">
        <v>405.15974675333609</v>
      </c>
    </row>
    <row r="53" spans="3:42" x14ac:dyDescent="0.15">
      <c r="W53">
        <v>6</v>
      </c>
      <c r="X53" s="54">
        <f t="array" ref="X53:Z53">LINEST(Y80:Y87,X80:X87^{1,2})</f>
        <v>5.289034105752118E-4</v>
      </c>
      <c r="Y53" s="54">
        <v>0.32101065752599756</v>
      </c>
      <c r="Z53" s="54">
        <v>36.390249872377268</v>
      </c>
      <c r="AM53">
        <v>8</v>
      </c>
      <c r="AN53" s="54">
        <f t="array" ref="AN53:AP53">LINEST(AO71:AO76,AN71:AN76^{1,2})</f>
        <v>-5.7282510079486471E-3</v>
      </c>
      <c r="AO53" s="54">
        <v>1.9785546048957781</v>
      </c>
      <c r="AP53" s="54">
        <v>306.42772166892223</v>
      </c>
    </row>
    <row r="54" spans="3:42" x14ac:dyDescent="0.15">
      <c r="W54">
        <v>4</v>
      </c>
      <c r="X54" s="54">
        <f t="array" ref="X54:Z54">LINEST(Y91:Y97,X91:X97^{1,2})</f>
        <v>-1.3773357689846413E-4</v>
      </c>
      <c r="Y54" s="54">
        <v>0.23027944916167101</v>
      </c>
      <c r="Z54" s="54">
        <v>15.897086397449931</v>
      </c>
      <c r="AM54">
        <v>6</v>
      </c>
      <c r="AN54" s="54">
        <f t="array" ref="AN54:AP54">LINEST(AO82:AO87,AN82:AN87^{1,2})</f>
        <v>-4.2804853752422449E-3</v>
      </c>
      <c r="AO54" s="54">
        <v>1.051247887022948</v>
      </c>
      <c r="AP54" s="54">
        <v>193.08024009001832</v>
      </c>
    </row>
    <row r="55" spans="3:42" x14ac:dyDescent="0.15">
      <c r="AM55">
        <v>4</v>
      </c>
      <c r="AN55" s="54">
        <f t="array" ref="AN55:AP55">LINEST(AO93:AO98,AN93:AN98^{1,2})</f>
        <v>-5.0878603192212905E-3</v>
      </c>
      <c r="AO55" s="54">
        <v>0.86558669554021606</v>
      </c>
      <c r="AP55" s="54">
        <v>75.287336873388924</v>
      </c>
    </row>
    <row r="56" spans="3:42" x14ac:dyDescent="0.15">
      <c r="C56" s="2" t="s">
        <v>45</v>
      </c>
    </row>
    <row r="57" spans="3:42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366.3</v>
      </c>
      <c r="E59" s="68">
        <v>62.097783424500207</v>
      </c>
      <c r="F59" s="69">
        <v>515.99235857408132</v>
      </c>
      <c r="H59" t="s">
        <v>4</v>
      </c>
      <c r="I59" t="s">
        <v>5</v>
      </c>
      <c r="K59" s="27" t="s">
        <v>424</v>
      </c>
      <c r="M59" s="10" t="s">
        <v>3</v>
      </c>
      <c r="N59" s="67">
        <v>367.27606807457477</v>
      </c>
      <c r="O59" s="68">
        <v>82.689090072186829</v>
      </c>
      <c r="P59" s="69">
        <v>515.99235857408132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68">
        <v>180.92175344436646</v>
      </c>
      <c r="Y59" s="68">
        <v>302.32759265404218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341.4</v>
      </c>
      <c r="E60" s="68">
        <v>61.404747810618019</v>
      </c>
      <c r="F60" s="69">
        <v>499.98917692950459</v>
      </c>
      <c r="G60" s="316" t="s">
        <v>412</v>
      </c>
      <c r="H60" s="317">
        <f t="array" ref="H60:J60">LINEST(E59:E62,D59:D62^{1,2})</f>
        <v>1.384028324719925E-4</v>
      </c>
      <c r="I60" s="317">
        <v>-6.6728935884296917E-2</v>
      </c>
      <c r="J60" s="317">
        <v>67.996996899777869</v>
      </c>
      <c r="K60" s="318">
        <f>$H$60*AC34^2+$I$60*AC34+$J$60</f>
        <v>62.998320835432366</v>
      </c>
      <c r="M60" s="12"/>
      <c r="N60" s="67">
        <v>341.06998870275049</v>
      </c>
      <c r="O60" s="68">
        <v>82.105276378556539</v>
      </c>
      <c r="P60" s="69">
        <v>499.98917692950459</v>
      </c>
      <c r="Q60" s="316" t="s">
        <v>412</v>
      </c>
      <c r="R60" s="317">
        <f t="array" ref="R60:T60">LINEST(O59:O62,N59:N62^{1,2})</f>
        <v>-8.8356876630416958E-6</v>
      </c>
      <c r="S60" s="317">
        <v>3.0904101697611534E-2</v>
      </c>
      <c r="T60" s="319">
        <v>72.550846806097766</v>
      </c>
      <c r="U60" s="84">
        <f>$R$60*AC34^2+$S$60*AC34+$T$60</f>
        <v>75.341325467926666</v>
      </c>
      <c r="W60" s="232"/>
      <c r="X60" s="68">
        <v>223.5792236627149</v>
      </c>
      <c r="Y60" s="68">
        <v>356.54486395172677</v>
      </c>
      <c r="AM60" s="228" t="s">
        <v>3</v>
      </c>
      <c r="AN60" s="68">
        <v>180.92175344436646</v>
      </c>
      <c r="AO60" s="288">
        <v>721.34661173481254</v>
      </c>
    </row>
    <row r="61" spans="3:42" x14ac:dyDescent="0.15">
      <c r="C61" s="12"/>
      <c r="D61" s="67">
        <v>309.8</v>
      </c>
      <c r="E61" s="68">
        <v>60.573303422326219</v>
      </c>
      <c r="F61" s="69">
        <v>457.54888920061728</v>
      </c>
      <c r="G61" s="129" t="s">
        <v>423</v>
      </c>
      <c r="H61">
        <f t="array" ref="H61:I61">LINEST(E59:E62,D59:D62)</f>
        <v>1.3453221095910938E-2</v>
      </c>
      <c r="I61">
        <v>56.856792112511286</v>
      </c>
      <c r="K61" s="298">
        <f>H61*$AC$34+I61</f>
        <v>58.104639410665911</v>
      </c>
      <c r="M61" s="12"/>
      <c r="N61" s="67">
        <v>303.07324445507652</v>
      </c>
      <c r="O61" s="68">
        <v>81.080240846621081</v>
      </c>
      <c r="P61" s="69">
        <v>457.54888920061728</v>
      </c>
      <c r="Q61" s="129" t="s">
        <v>420</v>
      </c>
      <c r="R61">
        <f t="array" ref="R61:S61">LINEST(O59:O62,N59:N62)</f>
        <v>2.5736507270352857E-2</v>
      </c>
      <c r="S61">
        <v>73.278097500272963</v>
      </c>
      <c r="T61" s="24"/>
      <c r="U61" s="84">
        <f>R61*AC34+S61</f>
        <v>75.665275324252093</v>
      </c>
      <c r="W61" s="232"/>
      <c r="X61" s="68">
        <v>277.77636826296043</v>
      </c>
      <c r="Y61" s="68">
        <v>421.03669396837233</v>
      </c>
      <c r="AM61" s="232"/>
      <c r="AN61" s="68">
        <v>223.5792236627149</v>
      </c>
      <c r="AO61" s="289">
        <v>715.9378701953035</v>
      </c>
    </row>
    <row r="62" spans="3:42" x14ac:dyDescent="0.15">
      <c r="C62" s="14"/>
      <c r="D62" s="67">
        <v>221</v>
      </c>
      <c r="E62" s="68">
        <v>60.013148119886417</v>
      </c>
      <c r="F62" s="69">
        <v>356.54486395172677</v>
      </c>
      <c r="G62" s="297" t="s">
        <v>462</v>
      </c>
      <c r="H62" s="2">
        <f t="array" ref="H62:I62">LINEST(E59:E62,LN(D59:D62))</f>
        <v>3.7150068381495589</v>
      </c>
      <c r="I62" s="2">
        <v>39.781139530608449</v>
      </c>
      <c r="K62" s="298">
        <f>H62*LN($AC$34)+I62</f>
        <v>56.609959350930467</v>
      </c>
      <c r="M62" s="14"/>
      <c r="N62" s="67">
        <v>223.5792236627149</v>
      </c>
      <c r="O62" s="68">
        <v>79.022331218565611</v>
      </c>
      <c r="P62" s="69">
        <v>356.54486395172677</v>
      </c>
      <c r="Q62" s="297" t="s">
        <v>462</v>
      </c>
      <c r="R62" s="2">
        <f t="array" ref="R62:S62">LINEST(O59:O62,LN(N59:N62))</f>
        <v>7.359429369270396</v>
      </c>
      <c r="S62" s="2">
        <v>39.161523106757379</v>
      </c>
      <c r="T62" s="24"/>
      <c r="U62" s="84">
        <f>R62*LN(AC34)+S62</f>
        <v>72.49941889849903</v>
      </c>
      <c r="W62" s="232"/>
      <c r="X62" s="68">
        <v>303.07324445507652</v>
      </c>
      <c r="Y62" s="68">
        <v>457.54888920061728</v>
      </c>
      <c r="AM62" s="232"/>
      <c r="AN62" s="68">
        <v>277.77636826296043</v>
      </c>
      <c r="AO62" s="289">
        <v>682.75011971480819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68">
        <v>344.00846492037118</v>
      </c>
      <c r="Y63" s="68">
        <v>508.8924685660923</v>
      </c>
      <c r="AM63" s="232"/>
      <c r="AN63" s="68">
        <v>303.07324445507652</v>
      </c>
      <c r="AO63" s="289">
        <v>645.18533974845593</v>
      </c>
    </row>
    <row r="64" spans="3:42" x14ac:dyDescent="0.15">
      <c r="C64" s="10" t="s">
        <v>408</v>
      </c>
      <c r="D64" s="67">
        <v>304</v>
      </c>
      <c r="E64" s="68">
        <v>58.341740546145942</v>
      </c>
      <c r="F64" s="69">
        <v>311.04275486404356</v>
      </c>
      <c r="H64" t="s">
        <v>4</v>
      </c>
      <c r="I64" t="s">
        <v>5</v>
      </c>
      <c r="K64" s="298"/>
      <c r="M64" s="10" t="s">
        <v>408</v>
      </c>
      <c r="N64" s="67">
        <v>306.42216557619219</v>
      </c>
      <c r="O64" s="68">
        <v>78.99039262930242</v>
      </c>
      <c r="P64" s="69">
        <v>311.04275486404356</v>
      </c>
      <c r="R64" t="s">
        <v>4</v>
      </c>
      <c r="S64" t="s">
        <v>5</v>
      </c>
      <c r="T64" s="24" t="s">
        <v>6</v>
      </c>
      <c r="U64" s="3"/>
      <c r="W64" s="232"/>
      <c r="X64" s="68">
        <v>367.18361972524661</v>
      </c>
      <c r="Y64" s="68">
        <v>519.47729833181302</v>
      </c>
      <c r="AM64" s="232"/>
      <c r="AN64" s="68">
        <v>344.00846492037118</v>
      </c>
      <c r="AO64" s="289">
        <v>586.03019621125861</v>
      </c>
    </row>
    <row r="65" spans="3:62" x14ac:dyDescent="0.15">
      <c r="C65" s="12"/>
      <c r="D65" s="67">
        <v>281.7</v>
      </c>
      <c r="E65" s="68">
        <v>57.377484119444958</v>
      </c>
      <c r="F65" s="69">
        <v>289.48558554113851</v>
      </c>
      <c r="G65" s="316" t="s">
        <v>412</v>
      </c>
      <c r="H65" s="317">
        <f t="array" ref="H65:J65">LINEST(E64:E67,D64:D67^{1,2})</f>
        <v>1.7903146769029964E-4</v>
      </c>
      <c r="I65" s="317">
        <v>-6.2196267539453211E-2</v>
      </c>
      <c r="J65" s="317">
        <v>60.700059629450521</v>
      </c>
      <c r="K65" s="318">
        <f>$H$65*AC35^2+$I$65*AC35+$J$65</f>
        <v>57.010563897824568</v>
      </c>
      <c r="M65" s="12"/>
      <c r="N65" s="67">
        <v>280.37540028596254</v>
      </c>
      <c r="O65" s="68">
        <v>78.069558159890079</v>
      </c>
      <c r="P65" s="69">
        <v>289.48558554113851</v>
      </c>
      <c r="Q65" s="316" t="s">
        <v>412</v>
      </c>
      <c r="R65" s="317">
        <f t="array" ref="R65:T65">LINEST(O64:O67,N64:N67^{1,2})</f>
        <v>-2.4721772854465293E-5</v>
      </c>
      <c r="S65" s="317">
        <v>4.8827308589329932E-2</v>
      </c>
      <c r="T65" s="319">
        <v>66.34164448711266</v>
      </c>
      <c r="U65" s="84">
        <f>$R$65*AC35^2+$S$65*AC35+$T$65</f>
        <v>69.905432533974235</v>
      </c>
      <c r="W65" s="232"/>
      <c r="X65" s="68">
        <v>341.06998870275049</v>
      </c>
      <c r="Y65" s="68">
        <v>499.98917692950459</v>
      </c>
      <c r="AM65" s="232"/>
      <c r="AN65" s="68">
        <v>367.18361972524661</v>
      </c>
      <c r="AO65" s="289">
        <v>518.51525144517996</v>
      </c>
    </row>
    <row r="66" spans="3:62" x14ac:dyDescent="0.15">
      <c r="C66" s="12"/>
      <c r="D66" s="67">
        <v>255.1</v>
      </c>
      <c r="E66" s="68">
        <v>56.489949323611974</v>
      </c>
      <c r="F66" s="69">
        <v>260.47989897572495</v>
      </c>
      <c r="G66" s="129" t="s">
        <v>423</v>
      </c>
      <c r="H66">
        <f t="array" ref="H66:I66">LINEST(E64:E67,D64:D67)</f>
        <v>2.3251260708397729E-2</v>
      </c>
      <c r="I66">
        <v>50.944242882696471</v>
      </c>
      <c r="K66" s="298">
        <f>H66*$AC$35+I66</f>
        <v>52.709123321528857</v>
      </c>
      <c r="M66" s="12"/>
      <c r="N66" s="67">
        <v>247.99195567141854</v>
      </c>
      <c r="O66" s="68">
        <v>76.942323327149879</v>
      </c>
      <c r="P66" s="69">
        <v>260.47989897572495</v>
      </c>
      <c r="Q66" s="129" t="s">
        <v>420</v>
      </c>
      <c r="R66">
        <f t="array" ref="R66:S66">LINEST(O64:O67,N64:N67)</f>
        <v>3.6932753188143583E-2</v>
      </c>
      <c r="S66">
        <v>67.712743139350536</v>
      </c>
      <c r="T66" s="24"/>
      <c r="U66" s="84">
        <f>R66*AC35+S66</f>
        <v>70.516113437049583</v>
      </c>
      <c r="W66" s="290"/>
      <c r="X66" s="68">
        <v>367.27606807457477</v>
      </c>
      <c r="Y66" s="68">
        <v>515.99235857408132</v>
      </c>
      <c r="AM66" s="232"/>
      <c r="AN66" s="68">
        <v>341.06998870275049</v>
      </c>
      <c r="AO66" s="289">
        <v>579.62341036618864</v>
      </c>
    </row>
    <row r="67" spans="3:62" x14ac:dyDescent="0.15">
      <c r="C67" s="14"/>
      <c r="D67" s="67">
        <v>180.1</v>
      </c>
      <c r="E67" s="68">
        <v>55.305009598786256</v>
      </c>
      <c r="F67" s="69">
        <v>196.96128282198916</v>
      </c>
      <c r="G67" s="297" t="s">
        <v>462</v>
      </c>
      <c r="H67" s="2">
        <f t="array" ref="H67:I67">LINEST(E64:E67,LN(D64:D67))</f>
        <v>5.3221693771170955</v>
      </c>
      <c r="I67" s="2">
        <v>27.482822986776412</v>
      </c>
      <c r="K67" s="298">
        <f>H67*LN($AC$35)+I67</f>
        <v>50.525042860627735</v>
      </c>
      <c r="M67" s="14"/>
      <c r="N67" s="67">
        <v>179.97539914207314</v>
      </c>
      <c r="O67" s="68">
        <v>74.326760800359523</v>
      </c>
      <c r="P67" s="69">
        <v>196.96128282198916</v>
      </c>
      <c r="Q67" s="297" t="s">
        <v>462</v>
      </c>
      <c r="R67" s="2">
        <f t="array" ref="R67:S67">LINEST(O64:O67,LN(N64:N67))</f>
        <v>8.6635088396805724</v>
      </c>
      <c r="S67" s="2">
        <v>29.287175616213275</v>
      </c>
      <c r="T67" s="24"/>
      <c r="U67" s="84">
        <f>R67*LN($AC$35)+S67</f>
        <v>66.795654098930726</v>
      </c>
      <c r="W67" s="12"/>
      <c r="X67" s="17"/>
      <c r="Y67" s="13"/>
      <c r="AM67" s="290"/>
      <c r="AN67" s="68">
        <v>367.27606807457477</v>
      </c>
      <c r="AO67" s="291">
        <v>514.97229930894991</v>
      </c>
    </row>
    <row r="68" spans="3:62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6" t="s">
        <v>13</v>
      </c>
      <c r="Y68" s="11" t="s">
        <v>49</v>
      </c>
      <c r="AM68" s="236"/>
      <c r="AN68" s="292"/>
      <c r="AO68" s="293"/>
    </row>
    <row r="69" spans="3:62" x14ac:dyDescent="0.15">
      <c r="C69" s="10" t="s">
        <v>409</v>
      </c>
      <c r="D69" s="67">
        <v>218.4</v>
      </c>
      <c r="E69" s="68">
        <v>51.6790949757684</v>
      </c>
      <c r="F69" s="69">
        <v>130.02142396481116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216.68199713194693</v>
      </c>
      <c r="O69" s="68">
        <v>71.859694306887633</v>
      </c>
      <c r="P69" s="69">
        <v>130.02142396481116</v>
      </c>
      <c r="R69" t="s">
        <v>4</v>
      </c>
      <c r="S69" t="s">
        <v>5</v>
      </c>
      <c r="T69" s="24" t="s">
        <v>6</v>
      </c>
      <c r="U69" s="3"/>
      <c r="W69" s="228" t="s">
        <v>404</v>
      </c>
      <c r="X69" s="68">
        <v>142.54034990280852</v>
      </c>
      <c r="Y69" s="68">
        <v>164.90844203665162</v>
      </c>
      <c r="AM69" s="12"/>
      <c r="AN69" s="17"/>
      <c r="AO69" s="13"/>
    </row>
    <row r="70" spans="3:62" ht="14" thickBot="1" x14ac:dyDescent="0.2">
      <c r="C70" s="12"/>
      <c r="D70" s="67">
        <v>202.3</v>
      </c>
      <c r="E70" s="68">
        <v>50.407916560559215</v>
      </c>
      <c r="F70" s="69">
        <v>123.40172430505064</v>
      </c>
      <c r="G70" s="316" t="s">
        <v>412</v>
      </c>
      <c r="H70" s="317">
        <f t="array" ref="H70:J70">LINEST(E69:E72,D69:D72^{1,2})</f>
        <v>4.3771258461317448E-4</v>
      </c>
      <c r="I70" s="317">
        <v>-0.13316035781212651</v>
      </c>
      <c r="J70" s="317">
        <v>59.736296991604441</v>
      </c>
      <c r="K70" s="318">
        <f>$H$70*AC36^2+$I$70*AC36+$J$70</f>
        <v>53.809591724052332</v>
      </c>
      <c r="M70" s="12"/>
      <c r="N70" s="67">
        <v>203.48048535677617</v>
      </c>
      <c r="O70" s="68">
        <v>71.05536483352482</v>
      </c>
      <c r="P70" s="69">
        <v>123.40172430505064</v>
      </c>
      <c r="Q70" s="316" t="s">
        <v>412</v>
      </c>
      <c r="R70" s="317">
        <f t="array" ref="R70:T70">LINEST(O69:O72,N69:N72^{1,2})</f>
        <v>1.2754445574274584E-4</v>
      </c>
      <c r="S70" s="317">
        <v>2.8071138298031151E-3</v>
      </c>
      <c r="T70" s="319">
        <v>65.241579703239807</v>
      </c>
      <c r="U70" s="84">
        <f>$R$70*AC36^2+$S$70*AC36+$T$70</f>
        <v>65.767484994811412</v>
      </c>
      <c r="W70" s="232"/>
      <c r="X70" s="68">
        <v>179.97539914207314</v>
      </c>
      <c r="Y70" s="68">
        <v>196.96128282198916</v>
      </c>
      <c r="AM70" s="12"/>
      <c r="AN70" s="16" t="s">
        <v>13</v>
      </c>
      <c r="AO70" s="11" t="s">
        <v>516</v>
      </c>
    </row>
    <row r="71" spans="3:62" x14ac:dyDescent="0.15">
      <c r="C71" s="12"/>
      <c r="D71" s="67">
        <v>179.3</v>
      </c>
      <c r="E71" s="68">
        <v>50.113476278917901</v>
      </c>
      <c r="F71" s="69">
        <v>110.69899121354534</v>
      </c>
      <c r="G71" s="129" t="s">
        <v>423</v>
      </c>
      <c r="H71">
        <f t="array" ref="H71:I71">LINEST(E69:E72,D69:D72)</f>
        <v>1.6691170023465752E-2</v>
      </c>
      <c r="I71">
        <v>47.472082944897487</v>
      </c>
      <c r="K71" s="298">
        <f>H71*$AC$36+I71</f>
        <v>48.37582077419254</v>
      </c>
      <c r="M71" s="12"/>
      <c r="N71" s="67">
        <v>177.657613751502</v>
      </c>
      <c r="O71" s="68">
        <v>69.785748446535706</v>
      </c>
      <c r="P71" s="69">
        <v>110.69899121354534</v>
      </c>
      <c r="Q71" s="129" t="s">
        <v>420</v>
      </c>
      <c r="R71">
        <f t="array" ref="R71:S71">LINEST(O69:O72,N69:N72)</f>
        <v>4.6552416712476584E-2</v>
      </c>
      <c r="S71">
        <v>61.64630588002133</v>
      </c>
      <c r="T71" s="24"/>
      <c r="U71" s="84">
        <f>R71*AC36+S71</f>
        <v>64.166870943406664</v>
      </c>
      <c r="W71" s="232"/>
      <c r="X71" s="68">
        <v>225.68063250055866</v>
      </c>
      <c r="Y71" s="68">
        <v>237.81117979773683</v>
      </c>
      <c r="AM71" s="228" t="s">
        <v>404</v>
      </c>
      <c r="AN71" s="68">
        <v>142.54034990280852</v>
      </c>
      <c r="AO71" s="288">
        <v>473.91392562092256</v>
      </c>
    </row>
    <row r="72" spans="3:62" x14ac:dyDescent="0.15">
      <c r="C72" s="14"/>
      <c r="D72" s="67">
        <v>128</v>
      </c>
      <c r="E72" s="68">
        <v>49.839015741427502</v>
      </c>
      <c r="F72" s="69">
        <v>86.543140247698204</v>
      </c>
      <c r="G72" s="297" t="s">
        <v>462</v>
      </c>
      <c r="H72" s="2">
        <f t="array" ref="H72:I72">LINEST(E69:E72,LN(D69:D72))</f>
        <v>2.6616686914466596</v>
      </c>
      <c r="I72" s="2">
        <v>36.711006433690152</v>
      </c>
      <c r="K72" s="298">
        <f>H72*LN($AC$36)+I72</f>
        <v>47.335481466605941</v>
      </c>
      <c r="M72" s="14"/>
      <c r="N72" s="67">
        <v>129.31721034610501</v>
      </c>
      <c r="O72" s="68">
        <v>67.734414836531897</v>
      </c>
      <c r="P72" s="69">
        <v>86.543140247698204</v>
      </c>
      <c r="Q72" s="297" t="s">
        <v>462</v>
      </c>
      <c r="R72" s="2">
        <f t="array" ref="R72:S72">LINEST(O69:O72,LN(N69:N72))</f>
        <v>7.7546738852761088</v>
      </c>
      <c r="S72" s="2">
        <v>29.908329016852115</v>
      </c>
      <c r="T72" s="24"/>
      <c r="U72" s="84">
        <f>R72*LN($AC$36)+S72</f>
        <v>60.862346452335473</v>
      </c>
      <c r="W72" s="232"/>
      <c r="X72" s="68">
        <v>247.99195567141854</v>
      </c>
      <c r="Y72" s="68">
        <v>260.47989897572495</v>
      </c>
      <c r="AM72" s="232"/>
      <c r="AN72" s="68">
        <v>179.97539914207314</v>
      </c>
      <c r="AO72" s="289">
        <v>473.1384992406995</v>
      </c>
      <c r="BJ72" s="3"/>
    </row>
    <row r="73" spans="3:62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68">
        <v>284.00641090512107</v>
      </c>
      <c r="Y73" s="68">
        <v>292.86254766640252</v>
      </c>
      <c r="AM73" s="232"/>
      <c r="AN73" s="68">
        <v>225.68063250055866</v>
      </c>
      <c r="AO73" s="289">
        <v>462.69713755706249</v>
      </c>
    </row>
    <row r="74" spans="3:62" x14ac:dyDescent="0.15">
      <c r="C74" s="10" t="s">
        <v>410</v>
      </c>
      <c r="D74" s="67">
        <v>135.1</v>
      </c>
      <c r="E74" s="68">
        <v>42.598859931585011</v>
      </c>
      <c r="F74" s="69">
        <v>45.537563418715308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136.94470684441694</v>
      </c>
      <c r="O74" s="68">
        <v>61.636094765036098</v>
      </c>
      <c r="P74" s="69">
        <v>45.537563418715308</v>
      </c>
      <c r="R74" t="s">
        <v>4</v>
      </c>
      <c r="S74" t="s">
        <v>5</v>
      </c>
      <c r="T74" s="24" t="s">
        <v>6</v>
      </c>
      <c r="W74" s="232"/>
      <c r="X74" s="68">
        <v>305.11582722495291</v>
      </c>
      <c r="Y74" s="68">
        <v>310.41418560822922</v>
      </c>
      <c r="AM74" s="232"/>
      <c r="AN74" s="68">
        <v>247.99195567141854</v>
      </c>
      <c r="AO74" s="289">
        <v>445.05159760438255</v>
      </c>
    </row>
    <row r="75" spans="3:62" x14ac:dyDescent="0.15">
      <c r="C75" s="12"/>
      <c r="D75" s="67">
        <v>124.4</v>
      </c>
      <c r="E75" s="68">
        <v>41.766385883723473</v>
      </c>
      <c r="F75" s="69">
        <v>43.27283236895304</v>
      </c>
      <c r="G75" s="316" t="s">
        <v>412</v>
      </c>
      <c r="H75" s="317">
        <f t="array" ref="H75:J75">LINEST(E74:E77,D74:D77^{1,2})</f>
        <v>8.4241062650992351E-4</v>
      </c>
      <c r="I75" s="317">
        <v>-0.14168724327947177</v>
      </c>
      <c r="J75" s="317">
        <v>46.362347174072724</v>
      </c>
      <c r="K75" s="318">
        <f>$H$75*AC37^2+$I$75*AC37+$J$75</f>
        <v>42.465156791446944</v>
      </c>
      <c r="M75" s="12"/>
      <c r="N75" s="67">
        <v>126.48327019359726</v>
      </c>
      <c r="O75" s="68">
        <v>60.708709459674338</v>
      </c>
      <c r="P75" s="69">
        <v>43.27283236895304</v>
      </c>
      <c r="Q75" s="316" t="s">
        <v>412</v>
      </c>
      <c r="R75" s="317">
        <f t="array" ref="R75:T75">LINEST(O74:O77,N74:N77^{1,2})</f>
        <v>3.7912117857628723E-4</v>
      </c>
      <c r="S75" s="317">
        <v>-1.0613785702693062E-2</v>
      </c>
      <c r="T75" s="319">
        <v>55.981722272520869</v>
      </c>
      <c r="U75" s="84">
        <f>$R$75*AC37^2+$S$75*AC37+$T$75</f>
        <v>56.068975275202554</v>
      </c>
      <c r="W75" s="290"/>
      <c r="X75" s="68">
        <v>280.37540028596254</v>
      </c>
      <c r="Y75" s="68">
        <v>289.48558554113851</v>
      </c>
      <c r="AM75" s="232"/>
      <c r="AN75" s="68">
        <v>284.00641090512107</v>
      </c>
      <c r="AO75" s="289">
        <v>408.52036683816453</v>
      </c>
    </row>
    <row r="76" spans="3:62" x14ac:dyDescent="0.15">
      <c r="C76" s="12"/>
      <c r="D76" s="67">
        <v>113.2</v>
      </c>
      <c r="E76" s="68">
        <v>41.1225087051739</v>
      </c>
      <c r="F76" s="69">
        <v>39.567992760532817</v>
      </c>
      <c r="G76" s="129" t="s">
        <v>423</v>
      </c>
      <c r="H76">
        <f t="array" ref="H76:I76">LINEST(E74:E77,D74:D77)</f>
        <v>3.5173246523195922E-2</v>
      </c>
      <c r="I76">
        <v>37.515420960701775</v>
      </c>
      <c r="K76" s="298">
        <f>H76*$AC$37+I76</f>
        <v>38.733812816080274</v>
      </c>
      <c r="M76" s="12"/>
      <c r="N76" s="67">
        <v>110.48203024842798</v>
      </c>
      <c r="O76" s="68">
        <v>59.434186199278997</v>
      </c>
      <c r="P76" s="69">
        <v>39.567992760532817</v>
      </c>
      <c r="Q76" s="129" t="s">
        <v>420</v>
      </c>
      <c r="R76">
        <f t="array" ref="R76:S76">LINEST(O74:O77,N74:N77)</f>
        <v>7.0691547669535434E-2</v>
      </c>
      <c r="S76">
        <v>51.814419206850864</v>
      </c>
      <c r="T76" s="24"/>
      <c r="U76" s="84">
        <f>R76*AC37+S76</f>
        <v>54.26315551749714</v>
      </c>
      <c r="W76" s="232"/>
      <c r="X76" s="68">
        <v>306.42216557619219</v>
      </c>
      <c r="Y76" s="68">
        <v>311.04275486404356</v>
      </c>
      <c r="AM76" s="232"/>
      <c r="AN76" s="68">
        <v>305.11582722495291</v>
      </c>
      <c r="AO76" s="289">
        <v>374.87627917763552</v>
      </c>
    </row>
    <row r="77" spans="3:62" ht="14" thickBot="1" x14ac:dyDescent="0.2">
      <c r="C77" s="14"/>
      <c r="D77" s="67">
        <v>78.2</v>
      </c>
      <c r="E77" s="68">
        <v>40.43354617963378</v>
      </c>
      <c r="F77" s="69">
        <v>33.309297611254642</v>
      </c>
      <c r="G77" s="297" t="s">
        <v>462</v>
      </c>
      <c r="H77" s="2">
        <f t="array" ref="H77:I77">LINEST(E74:E77,LN(D74:D77))</f>
        <v>3.5059275896616744</v>
      </c>
      <c r="I77" s="2">
        <v>24.986738579812641</v>
      </c>
      <c r="J77" s="25"/>
      <c r="K77" s="298">
        <f>H77*LN($AC$37)+I77</f>
        <v>37.415256671460781</v>
      </c>
      <c r="M77" s="14"/>
      <c r="N77" s="67">
        <v>79.668407730229532</v>
      </c>
      <c r="O77" s="68">
        <v>57.542846550437403</v>
      </c>
      <c r="P77" s="69">
        <v>33.309297611254642</v>
      </c>
      <c r="Q77" s="297" t="s">
        <v>462</v>
      </c>
      <c r="R77" s="2">
        <f t="array" ref="R77:S77">LINEST(O74:O77,LN(N74:N77))</f>
        <v>7.3283870392003507</v>
      </c>
      <c r="S77" s="2">
        <v>25.309334897927904</v>
      </c>
      <c r="T77" s="26"/>
      <c r="U77" s="84">
        <f>R77*LN($AC$37)+S77</f>
        <v>51.288476956617927</v>
      </c>
      <c r="W77" s="236"/>
      <c r="X77" s="68">
        <v>68.235663849616046</v>
      </c>
      <c r="Y77" s="68">
        <v>119.40185523650993</v>
      </c>
      <c r="AM77" s="290"/>
      <c r="AN77" s="68"/>
      <c r="AO77" s="291"/>
    </row>
    <row r="78" spans="3:62" x14ac:dyDescent="0.15">
      <c r="W78" s="12"/>
      <c r="X78" s="17"/>
      <c r="Y78" s="13"/>
      <c r="AM78" s="232"/>
      <c r="AN78" s="68"/>
      <c r="AO78" s="289"/>
    </row>
    <row r="79" spans="3:62" ht="14" thickBot="1" x14ac:dyDescent="0.2">
      <c r="F79" s="5"/>
      <c r="W79" s="12"/>
      <c r="X79" s="16" t="s">
        <v>13</v>
      </c>
      <c r="Y79" s="11" t="s">
        <v>49</v>
      </c>
      <c r="AM79" s="236"/>
      <c r="AN79" s="68"/>
      <c r="AO79" s="293"/>
    </row>
    <row r="80" spans="3:62" x14ac:dyDescent="0.15">
      <c r="F80" s="5"/>
      <c r="W80" s="228" t="s">
        <v>411</v>
      </c>
      <c r="X80" s="68">
        <v>98.62537172384414</v>
      </c>
      <c r="Y80" s="68">
        <v>73.255512194579921</v>
      </c>
      <c r="AM80" s="12"/>
      <c r="AN80" s="17"/>
      <c r="AO80" s="13"/>
    </row>
    <row r="81" spans="6:41" ht="14" thickBot="1" x14ac:dyDescent="0.2">
      <c r="F81" s="5"/>
      <c r="W81" s="232"/>
      <c r="X81" s="68">
        <v>129.31721034610501</v>
      </c>
      <c r="Y81" s="68">
        <v>86.543140247698204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68">
        <v>160.77952147934997</v>
      </c>
      <c r="Y82" s="68">
        <v>101.62904601770833</v>
      </c>
      <c r="AM82" s="228" t="s">
        <v>411</v>
      </c>
      <c r="AN82" s="68">
        <v>98.62537172384414</v>
      </c>
      <c r="AO82" s="288">
        <v>255.30068106481482</v>
      </c>
    </row>
    <row r="83" spans="6:41" x14ac:dyDescent="0.15">
      <c r="W83" s="232"/>
      <c r="X83" s="68">
        <v>177.657613751502</v>
      </c>
      <c r="Y83" s="68">
        <v>110.69899121354534</v>
      </c>
      <c r="AM83" s="232"/>
      <c r="AN83" s="68">
        <v>129.31721034610501</v>
      </c>
      <c r="AO83" s="289">
        <v>256.34269128011908</v>
      </c>
    </row>
    <row r="84" spans="6:41" x14ac:dyDescent="0.15">
      <c r="W84" s="232"/>
      <c r="X84" s="68">
        <v>203.34117912137015</v>
      </c>
      <c r="Y84" s="68">
        <v>123.35633973294334</v>
      </c>
      <c r="AM84" s="232"/>
      <c r="AN84" s="68">
        <v>160.77952147934997</v>
      </c>
      <c r="AO84" s="289">
        <v>253.81558432274147</v>
      </c>
    </row>
    <row r="85" spans="6:41" x14ac:dyDescent="0.15">
      <c r="W85" s="232"/>
      <c r="X85" s="68">
        <v>222.79446560777538</v>
      </c>
      <c r="Y85" s="68">
        <v>134.90921358508626</v>
      </c>
      <c r="AM85" s="232"/>
      <c r="AN85" s="68">
        <v>177.657613751502</v>
      </c>
      <c r="AO85" s="289">
        <v>243.93185845736002</v>
      </c>
    </row>
    <row r="86" spans="6:41" x14ac:dyDescent="0.15">
      <c r="W86" s="290"/>
      <c r="X86" s="68">
        <v>203.48048535677617</v>
      </c>
      <c r="Y86" s="68">
        <v>123.40172430505064</v>
      </c>
      <c r="AM86" s="232"/>
      <c r="AN86" s="68">
        <v>203.34117912137015</v>
      </c>
      <c r="AO86" s="289">
        <v>228.34086817976635</v>
      </c>
    </row>
    <row r="87" spans="6:41" ht="14" thickBot="1" x14ac:dyDescent="0.2">
      <c r="F87" s="5"/>
      <c r="W87" s="236"/>
      <c r="X87" s="68">
        <v>216.68199713194693</v>
      </c>
      <c r="Y87" s="68">
        <v>130.02142396481116</v>
      </c>
      <c r="AM87" s="232"/>
      <c r="AN87" s="68">
        <v>222.79446560777538</v>
      </c>
      <c r="AO87" s="289">
        <v>215.69856850350868</v>
      </c>
    </row>
    <row r="88" spans="6:41" x14ac:dyDescent="0.15">
      <c r="F88" s="5"/>
      <c r="W88" s="12"/>
      <c r="X88" s="17"/>
      <c r="Y88" s="13"/>
      <c r="AM88" s="290"/>
      <c r="AN88" s="68"/>
      <c r="AO88" s="291"/>
    </row>
    <row r="89" spans="6:41" ht="14" thickBot="1" x14ac:dyDescent="0.2">
      <c r="F89" s="5"/>
      <c r="W89" s="12"/>
      <c r="X89" s="17"/>
      <c r="Y89" s="13"/>
      <c r="AM89" s="236"/>
      <c r="AN89" s="68"/>
      <c r="AO89" s="293"/>
    </row>
    <row r="90" spans="6:41" x14ac:dyDescent="0.15">
      <c r="F90" s="5"/>
      <c r="W90" s="12"/>
      <c r="X90" s="16" t="s">
        <v>13</v>
      </c>
      <c r="Y90" s="11" t="s">
        <v>49</v>
      </c>
      <c r="AM90" s="12"/>
      <c r="AN90" s="17"/>
      <c r="AO90" s="13"/>
    </row>
    <row r="91" spans="6:41" ht="14" thickBot="1" x14ac:dyDescent="0.2">
      <c r="F91" s="5"/>
      <c r="W91" s="10" t="s">
        <v>410</v>
      </c>
      <c r="X91" s="68">
        <v>60.763954617523893</v>
      </c>
      <c r="Y91" s="68">
        <v>29.409439010889692</v>
      </c>
      <c r="AM91" s="12"/>
      <c r="AN91" s="17"/>
      <c r="AO91" s="13"/>
    </row>
    <row r="92" spans="6:41" x14ac:dyDescent="0.15">
      <c r="F92" s="5"/>
      <c r="W92" s="12"/>
      <c r="X92" s="68">
        <v>79.668407730229532</v>
      </c>
      <c r="Y92" s="68">
        <v>33.309297611254642</v>
      </c>
      <c r="AM92" s="228"/>
      <c r="AN92" s="320" t="s">
        <v>13</v>
      </c>
      <c r="AO92" s="11" t="s">
        <v>516</v>
      </c>
    </row>
    <row r="93" spans="6:41" x14ac:dyDescent="0.15">
      <c r="F93" s="5"/>
      <c r="W93" s="12"/>
      <c r="X93" s="68">
        <v>98.463521838786008</v>
      </c>
      <c r="Y93" s="68">
        <v>37.281582637626165</v>
      </c>
      <c r="AM93" s="322" t="s">
        <v>406</v>
      </c>
      <c r="AN93" s="68">
        <v>60.763954617523893</v>
      </c>
      <c r="AO93" s="323">
        <v>109.31968624976143</v>
      </c>
    </row>
    <row r="94" spans="6:41" x14ac:dyDescent="0.15">
      <c r="F94" s="5"/>
      <c r="W94" s="12"/>
      <c r="X94" s="68">
        <v>110.48203024842798</v>
      </c>
      <c r="Y94" s="68">
        <v>39.567992760532817</v>
      </c>
      <c r="AM94" s="232"/>
      <c r="AN94" s="68">
        <v>79.668407730229532</v>
      </c>
      <c r="AO94" s="289">
        <v>111.65317186130773</v>
      </c>
    </row>
    <row r="95" spans="6:41" x14ac:dyDescent="0.15">
      <c r="F95" s="5"/>
      <c r="W95" s="12"/>
      <c r="X95" s="68">
        <v>128.45544998656661</v>
      </c>
      <c r="Y95" s="68">
        <v>42.914202318586497</v>
      </c>
      <c r="AM95" s="232"/>
      <c r="AN95" s="68">
        <v>98.463521838786008</v>
      </c>
      <c r="AO95" s="289">
        <v>110.42478023967983</v>
      </c>
    </row>
    <row r="96" spans="6:41" x14ac:dyDescent="0.15">
      <c r="F96" s="5"/>
      <c r="W96" s="12"/>
      <c r="X96" s="68">
        <v>132.43201934330645</v>
      </c>
      <c r="Y96" s="68">
        <v>43.891248017188815</v>
      </c>
      <c r="AM96" s="232"/>
      <c r="AN96" s="68">
        <v>110.48203024842798</v>
      </c>
      <c r="AO96" s="289">
        <v>110.02884818331296</v>
      </c>
    </row>
    <row r="97" spans="6:41" x14ac:dyDescent="0.15">
      <c r="F97" s="5"/>
      <c r="W97" s="14"/>
      <c r="X97" s="68">
        <v>126.48327019359726</v>
      </c>
      <c r="Y97" s="68">
        <v>43.27283236895304</v>
      </c>
      <c r="AM97" s="232"/>
      <c r="AN97" s="68">
        <v>128.45544998656661</v>
      </c>
      <c r="AO97" s="289">
        <v>102.35401122473381</v>
      </c>
    </row>
    <row r="98" spans="6:41" x14ac:dyDescent="0.15">
      <c r="F98" s="5"/>
      <c r="X98" s="8">
        <v>136.94470684441694</v>
      </c>
      <c r="Y98" s="8">
        <v>45.537563418715308</v>
      </c>
      <c r="AM98" s="232"/>
      <c r="AN98" s="68">
        <v>132.43201934330645</v>
      </c>
      <c r="AO98" s="289">
        <v>100.48562347094051</v>
      </c>
    </row>
    <row r="99" spans="6:41" ht="14" thickBot="1" x14ac:dyDescent="0.2">
      <c r="F99" s="5"/>
      <c r="AM99" s="236"/>
      <c r="AN99" s="68"/>
      <c r="AO99" s="293"/>
    </row>
    <row r="100" spans="6:41" x14ac:dyDescent="0.15">
      <c r="AN100" s="8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77E3E-5768-4BA4-9AD7-BA1FDFAF3779}">
  <dimension ref="B2:AQ49"/>
  <sheetViews>
    <sheetView workbookViewId="0">
      <selection activeCell="R20" sqref="R20"/>
    </sheetView>
  </sheetViews>
  <sheetFormatPr baseColWidth="10" defaultColWidth="8.83203125" defaultRowHeight="13" x14ac:dyDescent="0.15"/>
  <cols>
    <col min="2" max="2" width="22.5" customWidth="1"/>
  </cols>
  <sheetData>
    <row r="2" spans="2:43" ht="14" thickBot="1" x14ac:dyDescent="0.2">
      <c r="E2" t="s">
        <v>455</v>
      </c>
    </row>
    <row r="3" spans="2:43" ht="17" x14ac:dyDescent="0.15">
      <c r="B3" s="2" t="s">
        <v>79</v>
      </c>
      <c r="E3" t="s">
        <v>454</v>
      </c>
      <c r="F3" t="s">
        <v>456</v>
      </c>
      <c r="K3" s="1815" t="s">
        <v>427</v>
      </c>
      <c r="L3" s="1816"/>
      <c r="M3" s="1816"/>
      <c r="N3" s="1816"/>
      <c r="O3" s="1816"/>
      <c r="P3" s="1816"/>
      <c r="Q3" s="1817" t="s">
        <v>428</v>
      </c>
      <c r="R3" s="1817"/>
      <c r="S3" s="1817"/>
      <c r="T3" s="1817"/>
      <c r="U3" s="1817"/>
      <c r="V3" s="1817"/>
      <c r="W3" s="1807" t="s">
        <v>429</v>
      </c>
      <c r="X3" s="1816" t="s">
        <v>313</v>
      </c>
      <c r="Y3" s="1816"/>
      <c r="Z3" s="1816"/>
      <c r="AA3" s="1816"/>
      <c r="AB3" s="1816"/>
      <c r="AC3" s="1816"/>
      <c r="AD3" s="1816"/>
      <c r="AE3" s="1816"/>
      <c r="AF3" s="1807" t="s">
        <v>430</v>
      </c>
      <c r="AG3" s="1810" t="s">
        <v>431</v>
      </c>
    </row>
    <row r="4" spans="2:43" x14ac:dyDescent="0.15">
      <c r="B4" t="s">
        <v>7</v>
      </c>
      <c r="C4" s="314">
        <f>Tulokset_ENT!E38</f>
        <v>4.8722550824769089</v>
      </c>
      <c r="D4" t="s">
        <v>25</v>
      </c>
      <c r="E4" s="313">
        <f>'R-series ENT'!E39/'R-series ENT'!E33^2</f>
        <v>6.2207999999999999E-2</v>
      </c>
      <c r="F4" s="313">
        <f>AVERAGE(E4:E5)</f>
        <v>6.8428799999999998E-2</v>
      </c>
      <c r="K4" s="1813" t="s">
        <v>432</v>
      </c>
      <c r="L4" s="1712" t="s">
        <v>433</v>
      </c>
      <c r="M4" s="1712" t="s">
        <v>434</v>
      </c>
      <c r="N4" s="1712" t="s">
        <v>435</v>
      </c>
      <c r="O4" s="1712" t="s">
        <v>436</v>
      </c>
      <c r="P4" s="1712" t="s">
        <v>437</v>
      </c>
      <c r="Q4" s="1814" t="s">
        <v>438</v>
      </c>
      <c r="R4" s="1814" t="s">
        <v>439</v>
      </c>
      <c r="S4" s="1814" t="s">
        <v>440</v>
      </c>
      <c r="T4" s="1814" t="s">
        <v>441</v>
      </c>
      <c r="U4" s="1814" t="s">
        <v>442</v>
      </c>
      <c r="V4" s="1814" t="s">
        <v>443</v>
      </c>
      <c r="W4" s="1808"/>
      <c r="X4" s="1809" t="s">
        <v>61</v>
      </c>
      <c r="Y4" s="1809" t="s">
        <v>62</v>
      </c>
      <c r="Z4" s="1809" t="s">
        <v>63</v>
      </c>
      <c r="AA4" s="1809" t="s">
        <v>64</v>
      </c>
      <c r="AB4" s="1809" t="s">
        <v>65</v>
      </c>
      <c r="AC4" s="1809" t="s">
        <v>66</v>
      </c>
      <c r="AD4" s="1809" t="s">
        <v>67</v>
      </c>
      <c r="AE4" s="1809" t="s">
        <v>68</v>
      </c>
      <c r="AF4" s="1808"/>
      <c r="AG4" s="1811"/>
    </row>
    <row r="5" spans="2:43" x14ac:dyDescent="0.15">
      <c r="B5" t="s">
        <v>8</v>
      </c>
      <c r="C5" s="314">
        <f>Tulokset_ENT!H38</f>
        <v>4.6737857613449663</v>
      </c>
      <c r="D5" t="s">
        <v>25</v>
      </c>
      <c r="E5" s="313">
        <f>'R-series ENT'!G39/'R-series ENT'!G33^2</f>
        <v>7.4649599999999997E-2</v>
      </c>
      <c r="K5" s="1813"/>
      <c r="L5" s="1712"/>
      <c r="M5" s="1712"/>
      <c r="N5" s="1712"/>
      <c r="O5" s="1712"/>
      <c r="P5" s="1712"/>
      <c r="Q5" s="1814"/>
      <c r="R5" s="1814"/>
      <c r="S5" s="1814"/>
      <c r="T5" s="1814"/>
      <c r="U5" s="1814"/>
      <c r="V5" s="1814"/>
      <c r="W5" s="1808"/>
      <c r="X5" s="1809"/>
      <c r="Y5" s="1809"/>
      <c r="Z5" s="1809"/>
      <c r="AA5" s="1809"/>
      <c r="AB5" s="1809"/>
      <c r="AC5" s="1809"/>
      <c r="AD5" s="1809"/>
      <c r="AE5" s="1809"/>
      <c r="AF5" s="1809"/>
      <c r="AG5" s="1812"/>
    </row>
    <row r="6" spans="2:43" x14ac:dyDescent="0.15">
      <c r="K6" s="308">
        <v>100</v>
      </c>
      <c r="L6" s="3">
        <v>9.9980000000000011</v>
      </c>
      <c r="M6" s="3">
        <v>345.6</v>
      </c>
      <c r="N6" s="3">
        <v>-64.028924709346654</v>
      </c>
      <c r="O6" s="3">
        <v>31.756873632767196</v>
      </c>
      <c r="P6" s="3">
        <v>95.78579834211385</v>
      </c>
      <c r="Q6" s="3">
        <v>100</v>
      </c>
      <c r="R6" s="3">
        <v>10.001000000000001</v>
      </c>
      <c r="S6" s="3">
        <v>366.1</v>
      </c>
      <c r="T6" s="3">
        <v>-79.000897073500028</v>
      </c>
      <c r="U6" s="3">
        <v>23.559591095089353</v>
      </c>
      <c r="V6" s="3">
        <v>102.56048816858939</v>
      </c>
      <c r="W6" s="3">
        <v>1023.831367997175</v>
      </c>
      <c r="X6" s="3">
        <v>69.944354434953652</v>
      </c>
      <c r="Y6" s="3">
        <v>66.442442059355784</v>
      </c>
      <c r="Z6" s="3">
        <v>58.164753109082021</v>
      </c>
      <c r="AA6" s="3">
        <v>45.033848136713658</v>
      </c>
      <c r="AB6" s="3">
        <v>39.586902452698837</v>
      </c>
      <c r="AC6" s="3">
        <v>38.272160465547479</v>
      </c>
      <c r="AD6" s="3">
        <v>38.517466643896555</v>
      </c>
      <c r="AE6" s="3">
        <v>37.52673013243556</v>
      </c>
      <c r="AF6" s="3">
        <v>71.759903439883232</v>
      </c>
      <c r="AG6" s="309">
        <v>54.052145206595526</v>
      </c>
      <c r="AI6" s="3">
        <f>X6-$AG6</f>
        <v>15.892209228358126</v>
      </c>
      <c r="AJ6" s="3">
        <f t="shared" ref="AJ6:AP14" si="0">Y6-$AG6</f>
        <v>12.390296852760258</v>
      </c>
      <c r="AK6" s="3">
        <f t="shared" si="0"/>
        <v>4.112607902486495</v>
      </c>
      <c r="AL6" s="3">
        <f t="shared" si="0"/>
        <v>-9.0182970698818679</v>
      </c>
      <c r="AM6" s="3">
        <f t="shared" si="0"/>
        <v>-14.465242753896689</v>
      </c>
      <c r="AN6" s="3">
        <f t="shared" si="0"/>
        <v>-15.779984741048047</v>
      </c>
      <c r="AO6" s="3">
        <f t="shared" si="0"/>
        <v>-15.534678562698971</v>
      </c>
      <c r="AP6" s="3">
        <f>AE6-$AG6</f>
        <v>-16.525415074159966</v>
      </c>
      <c r="AQ6" s="3"/>
    </row>
    <row r="7" spans="2:43" x14ac:dyDescent="0.15">
      <c r="B7" s="2" t="s">
        <v>88</v>
      </c>
      <c r="K7" s="308">
        <v>100</v>
      </c>
      <c r="L7" s="3">
        <v>9.9939</v>
      </c>
      <c r="M7" s="3">
        <v>295</v>
      </c>
      <c r="N7" s="3">
        <v>-130.36697343925576</v>
      </c>
      <c r="O7" s="3">
        <v>168.86179030109395</v>
      </c>
      <c r="P7" s="3">
        <v>299.22876374034973</v>
      </c>
      <c r="Q7" s="3">
        <v>100</v>
      </c>
      <c r="R7" s="3">
        <v>9.9873999999999974</v>
      </c>
      <c r="S7" s="3">
        <v>310.10000000000002</v>
      </c>
      <c r="T7" s="3">
        <v>-144.30650848150103</v>
      </c>
      <c r="U7" s="3">
        <v>158.44179166193612</v>
      </c>
      <c r="V7" s="3">
        <v>302.74830014343718</v>
      </c>
      <c r="W7" s="3">
        <v>912.58281565252344</v>
      </c>
      <c r="X7" s="3">
        <v>68.934606198098393</v>
      </c>
      <c r="Y7" s="3">
        <v>65.013265249389434</v>
      </c>
      <c r="Z7" s="3">
        <v>57.098562492395388</v>
      </c>
      <c r="AA7" s="3">
        <v>43.125181869049115</v>
      </c>
      <c r="AB7" s="3">
        <v>38.564168534984802</v>
      </c>
      <c r="AC7" s="3">
        <v>36.384242182618181</v>
      </c>
      <c r="AD7" s="3">
        <v>37.159369776419958</v>
      </c>
      <c r="AE7" s="3">
        <v>36.079431075497304</v>
      </c>
      <c r="AF7" s="3">
        <v>70.626022744765351</v>
      </c>
      <c r="AG7" s="309">
        <v>52.776208381479023</v>
      </c>
      <c r="AI7" s="3">
        <f t="shared" ref="AI7:AI14" si="1">X7-$AG7</f>
        <v>16.15839781661937</v>
      </c>
      <c r="AJ7" s="3">
        <f t="shared" si="0"/>
        <v>12.237056867910411</v>
      </c>
      <c r="AK7" s="3">
        <f t="shared" si="0"/>
        <v>4.3223541109163648</v>
      </c>
      <c r="AL7" s="3">
        <f t="shared" si="0"/>
        <v>-9.6510265124299082</v>
      </c>
      <c r="AM7" s="3">
        <f t="shared" si="0"/>
        <v>-14.212039846494221</v>
      </c>
      <c r="AN7" s="3">
        <f t="shared" si="0"/>
        <v>-16.391966198860842</v>
      </c>
      <c r="AO7" s="3">
        <f t="shared" si="0"/>
        <v>-15.616838605059066</v>
      </c>
      <c r="AP7" s="3">
        <f t="shared" si="0"/>
        <v>-16.696777305981719</v>
      </c>
      <c r="AQ7" s="3"/>
    </row>
    <row r="8" spans="2:43" x14ac:dyDescent="0.15">
      <c r="B8" t="s">
        <v>90</v>
      </c>
      <c r="K8" s="308">
        <v>100</v>
      </c>
      <c r="L8" s="3">
        <v>9.9953000000000003</v>
      </c>
      <c r="M8" s="3">
        <v>205.5</v>
      </c>
      <c r="N8" s="3">
        <v>-199.45251585140622</v>
      </c>
      <c r="O8" s="3">
        <v>297.73803406902653</v>
      </c>
      <c r="P8" s="3">
        <v>497.19054992043277</v>
      </c>
      <c r="Q8" s="3">
        <v>100</v>
      </c>
      <c r="R8" s="3">
        <v>10.019999999999998</v>
      </c>
      <c r="S8" s="3">
        <v>222.9</v>
      </c>
      <c r="T8" s="3">
        <v>-227.84147911245913</v>
      </c>
      <c r="U8" s="3">
        <v>277.15624577993214</v>
      </c>
      <c r="V8" s="3">
        <v>504.9977248923912</v>
      </c>
      <c r="W8" s="3">
        <v>714.25296036329905</v>
      </c>
      <c r="X8" s="3">
        <v>69.500148913211248</v>
      </c>
      <c r="Y8" s="3">
        <v>66.53050933060625</v>
      </c>
      <c r="Z8" s="3">
        <v>56.554531734825574</v>
      </c>
      <c r="AA8" s="3">
        <v>41.207128869549869</v>
      </c>
      <c r="AB8" s="3">
        <v>37.212637880414007</v>
      </c>
      <c r="AC8" s="3">
        <v>36.615562296469449</v>
      </c>
      <c r="AD8" s="3">
        <v>35.194774178601236</v>
      </c>
      <c r="AE8" s="3">
        <v>34.126363375665321</v>
      </c>
      <c r="AF8" s="3">
        <v>71.427778108560901</v>
      </c>
      <c r="AG8" s="309">
        <v>53.024004158793858</v>
      </c>
      <c r="AI8" s="3">
        <f t="shared" si="1"/>
        <v>16.47614475441739</v>
      </c>
      <c r="AJ8" s="3">
        <f t="shared" si="0"/>
        <v>13.506505171812393</v>
      </c>
      <c r="AK8" s="3">
        <f t="shared" si="0"/>
        <v>3.5305275760317159</v>
      </c>
      <c r="AL8" s="3">
        <f t="shared" si="0"/>
        <v>-11.816875289243988</v>
      </c>
      <c r="AM8" s="3">
        <f t="shared" si="0"/>
        <v>-15.81136627837985</v>
      </c>
      <c r="AN8" s="3">
        <f t="shared" si="0"/>
        <v>-16.408441862324409</v>
      </c>
      <c r="AO8" s="3">
        <f t="shared" si="0"/>
        <v>-17.829229980192622</v>
      </c>
      <c r="AP8" s="3">
        <f t="shared" si="0"/>
        <v>-18.897640783128537</v>
      </c>
      <c r="AQ8" s="3"/>
    </row>
    <row r="9" spans="2:43" x14ac:dyDescent="0.15">
      <c r="B9" t="s">
        <v>89</v>
      </c>
      <c r="K9" s="308">
        <v>80</v>
      </c>
      <c r="L9" s="3">
        <v>8.0030000000000001</v>
      </c>
      <c r="M9" s="3">
        <v>282.10000000000002</v>
      </c>
      <c r="N9" s="3">
        <v>-42.323972616678951</v>
      </c>
      <c r="O9" s="3">
        <v>21.239296194746526</v>
      </c>
      <c r="P9" s="3">
        <v>63.56326881142548</v>
      </c>
      <c r="Q9" s="3">
        <v>80</v>
      </c>
      <c r="R9" s="3">
        <v>8.0111999999999988</v>
      </c>
      <c r="S9" s="3">
        <v>304.10000000000002</v>
      </c>
      <c r="T9" s="3">
        <v>-53.428982848158206</v>
      </c>
      <c r="U9" s="3">
        <v>15.964517474551934</v>
      </c>
      <c r="V9" s="3">
        <v>69.393500322710139</v>
      </c>
      <c r="W9" s="3">
        <v>600.7118339877411</v>
      </c>
      <c r="X9" s="3">
        <v>67.234144561375444</v>
      </c>
      <c r="Y9" s="3">
        <v>62.301237505305579</v>
      </c>
      <c r="Z9" s="3">
        <v>54.116525954893504</v>
      </c>
      <c r="AA9" s="3">
        <v>40.908330293533496</v>
      </c>
      <c r="AB9" s="3">
        <v>36.891389748200275</v>
      </c>
      <c r="AC9" s="3">
        <v>31.815109111480648</v>
      </c>
      <c r="AD9" s="3">
        <v>33.586514710521072</v>
      </c>
      <c r="AE9" s="3">
        <v>32.503268411335654</v>
      </c>
      <c r="AF9" s="3">
        <v>68.61477164480813</v>
      </c>
      <c r="AG9" s="309">
        <v>50.113323788361761</v>
      </c>
      <c r="AI9" s="3">
        <f t="shared" si="1"/>
        <v>17.120820773013683</v>
      </c>
      <c r="AJ9" s="3">
        <f t="shared" si="0"/>
        <v>12.187913716943818</v>
      </c>
      <c r="AK9" s="3">
        <f t="shared" si="0"/>
        <v>4.003202166531743</v>
      </c>
      <c r="AL9" s="3">
        <f t="shared" si="0"/>
        <v>-9.2049934948282655</v>
      </c>
      <c r="AM9" s="3">
        <f t="shared" si="0"/>
        <v>-13.221934040161486</v>
      </c>
      <c r="AN9" s="3">
        <f t="shared" si="0"/>
        <v>-18.298214676881113</v>
      </c>
      <c r="AO9" s="3">
        <f t="shared" si="0"/>
        <v>-16.526809077840689</v>
      </c>
      <c r="AP9" s="3">
        <f t="shared" si="0"/>
        <v>-17.610055377026107</v>
      </c>
      <c r="AQ9" s="3"/>
    </row>
    <row r="10" spans="2:43" x14ac:dyDescent="0.15">
      <c r="C10" t="s">
        <v>4</v>
      </c>
      <c r="D10" t="s">
        <v>5</v>
      </c>
      <c r="K10" s="308">
        <v>80</v>
      </c>
      <c r="L10" s="3">
        <v>8.0055000000000014</v>
      </c>
      <c r="M10" s="3">
        <v>240.1</v>
      </c>
      <c r="N10" s="3">
        <v>-83.924627548136982</v>
      </c>
      <c r="O10" s="3">
        <v>110.69146680385855</v>
      </c>
      <c r="P10" s="3">
        <v>194.61609435199554</v>
      </c>
      <c r="Q10" s="3">
        <v>80</v>
      </c>
      <c r="R10" s="3">
        <v>8.0047999999999995</v>
      </c>
      <c r="S10" s="3">
        <v>254.15</v>
      </c>
      <c r="T10" s="3">
        <v>-95.786151584433213</v>
      </c>
      <c r="U10" s="3">
        <v>104.86166544562084</v>
      </c>
      <c r="V10" s="3">
        <v>200.64781703005406</v>
      </c>
      <c r="W10" s="3">
        <v>517.97700404648128</v>
      </c>
      <c r="X10" s="3">
        <v>65.935988353671362</v>
      </c>
      <c r="Y10" s="3">
        <v>60.658209116503386</v>
      </c>
      <c r="Z10" s="3">
        <v>52.899307595035523</v>
      </c>
      <c r="AA10" s="3">
        <v>39.130727175198793</v>
      </c>
      <c r="AB10" s="3">
        <v>35.156725990297538</v>
      </c>
      <c r="AC10" s="3">
        <v>30.589415923041177</v>
      </c>
      <c r="AD10" s="3">
        <v>32.039247395855341</v>
      </c>
      <c r="AE10" s="3">
        <v>30.629523015730452</v>
      </c>
      <c r="AF10" s="3">
        <v>67.240126473337639</v>
      </c>
      <c r="AG10" s="309">
        <v>48.656389304625122</v>
      </c>
      <c r="AI10" s="3">
        <f t="shared" si="1"/>
        <v>17.27959904904624</v>
      </c>
      <c r="AJ10" s="3">
        <f t="shared" si="0"/>
        <v>12.001819811878264</v>
      </c>
      <c r="AK10" s="3">
        <f t="shared" si="0"/>
        <v>4.242918290410401</v>
      </c>
      <c r="AL10" s="3">
        <f t="shared" si="0"/>
        <v>-9.5256621294263297</v>
      </c>
      <c r="AM10" s="3">
        <f t="shared" si="0"/>
        <v>-13.499663314327584</v>
      </c>
      <c r="AN10" s="3">
        <f t="shared" si="0"/>
        <v>-18.066973381583946</v>
      </c>
      <c r="AO10" s="3">
        <f t="shared" si="0"/>
        <v>-16.617141908769781</v>
      </c>
      <c r="AP10" s="3">
        <f t="shared" si="0"/>
        <v>-18.02686628889467</v>
      </c>
      <c r="AQ10" s="3"/>
    </row>
    <row r="11" spans="2:43" x14ac:dyDescent="0.15">
      <c r="B11" t="s">
        <v>141</v>
      </c>
      <c r="C11" s="107">
        <f>L29</f>
        <v>21.558461915520574</v>
      </c>
      <c r="D11" s="107">
        <f>M29</f>
        <v>3.8866064051300953</v>
      </c>
      <c r="F11" t="s">
        <v>459</v>
      </c>
      <c r="K11" s="308">
        <v>80</v>
      </c>
      <c r="L11" s="3">
        <v>7.9989999999999997</v>
      </c>
      <c r="M11" s="3">
        <v>169.5</v>
      </c>
      <c r="N11" s="3">
        <v>-127.64123985851943</v>
      </c>
      <c r="O11" s="3">
        <v>190.70416856960969</v>
      </c>
      <c r="P11" s="3">
        <v>318.34540842812908</v>
      </c>
      <c r="Q11" s="3">
        <v>80</v>
      </c>
      <c r="R11" s="3">
        <v>7.9888999999999992</v>
      </c>
      <c r="S11" s="3">
        <v>180</v>
      </c>
      <c r="T11" s="3">
        <v>-149.71723373925749</v>
      </c>
      <c r="U11" s="3">
        <v>177.47819594028149</v>
      </c>
      <c r="V11" s="3">
        <v>327.19542967953902</v>
      </c>
      <c r="W11" s="3">
        <v>396.01528741861938</v>
      </c>
      <c r="X11" s="3">
        <v>67.296242328506921</v>
      </c>
      <c r="Y11" s="3">
        <v>61.083092167881539</v>
      </c>
      <c r="Z11" s="3">
        <v>51.443914007280675</v>
      </c>
      <c r="AA11" s="3">
        <v>37.436984984573357</v>
      </c>
      <c r="AB11" s="3">
        <v>33.991587281203188</v>
      </c>
      <c r="AC11" s="3">
        <v>30.612742948609988</v>
      </c>
      <c r="AD11" s="3">
        <v>28.798356475690717</v>
      </c>
      <c r="AE11" s="3">
        <v>27.71722744629594</v>
      </c>
      <c r="AF11" s="3">
        <v>68.324392306141064</v>
      </c>
      <c r="AG11" s="309">
        <v>48.64710508699757</v>
      </c>
      <c r="AI11" s="3">
        <f t="shared" si="1"/>
        <v>18.649137241509351</v>
      </c>
      <c r="AJ11" s="3">
        <f t="shared" si="0"/>
        <v>12.435987080883969</v>
      </c>
      <c r="AK11" s="3">
        <f t="shared" si="0"/>
        <v>2.7968089202831052</v>
      </c>
      <c r="AL11" s="3">
        <f t="shared" si="0"/>
        <v>-11.210120102424213</v>
      </c>
      <c r="AM11" s="3">
        <f t="shared" si="0"/>
        <v>-14.655517805794382</v>
      </c>
      <c r="AN11" s="3">
        <f t="shared" si="0"/>
        <v>-18.034362138387582</v>
      </c>
      <c r="AO11" s="3">
        <f t="shared" si="0"/>
        <v>-19.848748611306853</v>
      </c>
      <c r="AP11" s="3">
        <f t="shared" si="0"/>
        <v>-20.92987764070163</v>
      </c>
      <c r="AQ11" s="3"/>
    </row>
    <row r="12" spans="2:43" x14ac:dyDescent="0.15">
      <c r="B12" t="s">
        <v>457</v>
      </c>
      <c r="C12" s="107">
        <f>U28</f>
        <v>-0.57965010557602148</v>
      </c>
      <c r="D12" s="107">
        <f>V28</f>
        <v>-3.3707784927193938</v>
      </c>
      <c r="E12">
        <f>C12*LN(F4)+D12</f>
        <v>-1.8161792316930825</v>
      </c>
      <c r="F12" s="213">
        <f>IF(E12&lt;-1,-1,IF(E12&gt;1,1,E12))</f>
        <v>-1</v>
      </c>
      <c r="G12" t="s">
        <v>31</v>
      </c>
      <c r="K12" s="308">
        <v>60</v>
      </c>
      <c r="L12" s="3">
        <v>5.988999999999999</v>
      </c>
      <c r="M12" s="3">
        <v>199.7</v>
      </c>
      <c r="N12" s="3">
        <v>-23.459373713588381</v>
      </c>
      <c r="O12" s="3">
        <v>10.910513665900297</v>
      </c>
      <c r="P12" s="3">
        <v>34.369887379488681</v>
      </c>
      <c r="Q12" s="3">
        <v>60</v>
      </c>
      <c r="R12" s="3">
        <v>5.9939999999999998</v>
      </c>
      <c r="S12" s="3">
        <v>218.2</v>
      </c>
      <c r="T12" s="3">
        <v>-27.4204270966043</v>
      </c>
      <c r="U12" s="3">
        <v>8.1606630098083706</v>
      </c>
      <c r="V12" s="3">
        <v>35.581090106412674</v>
      </c>
      <c r="W12" s="3">
        <v>259.35833531644158</v>
      </c>
      <c r="X12" s="3">
        <v>61.366762753653845</v>
      </c>
      <c r="Y12" s="3">
        <v>55.884924627314881</v>
      </c>
      <c r="Z12" s="3">
        <v>46.989125287479069</v>
      </c>
      <c r="AA12" s="3">
        <v>34.946790007381985</v>
      </c>
      <c r="AB12" s="3">
        <v>30.722183874220484</v>
      </c>
      <c r="AC12" s="3">
        <v>23.753305795418918</v>
      </c>
      <c r="AD12" s="3">
        <v>25.452754920157975</v>
      </c>
      <c r="AE12" s="3">
        <v>23.657990100749792</v>
      </c>
      <c r="AF12" s="3">
        <v>62.58320144579492</v>
      </c>
      <c r="AG12" s="309">
        <v>43.397891485041725</v>
      </c>
      <c r="AI12" s="3">
        <f t="shared" si="1"/>
        <v>17.968871268612119</v>
      </c>
      <c r="AJ12" s="3">
        <f t="shared" si="0"/>
        <v>12.487033142273155</v>
      </c>
      <c r="AK12" s="3">
        <f t="shared" si="0"/>
        <v>3.591233802437344</v>
      </c>
      <c r="AL12" s="3">
        <f t="shared" si="0"/>
        <v>-8.4511014776597406</v>
      </c>
      <c r="AM12" s="3">
        <f t="shared" si="0"/>
        <v>-12.675707610821242</v>
      </c>
      <c r="AN12" s="3">
        <f t="shared" si="0"/>
        <v>-19.644585689622808</v>
      </c>
      <c r="AO12" s="3">
        <f t="shared" si="0"/>
        <v>-17.94513656488375</v>
      </c>
      <c r="AP12" s="3">
        <f t="shared" si="0"/>
        <v>-19.739901384291933</v>
      </c>
      <c r="AQ12" s="3"/>
    </row>
    <row r="13" spans="2:43" x14ac:dyDescent="0.15">
      <c r="K13" s="308">
        <v>60</v>
      </c>
      <c r="L13" s="3">
        <v>5.9947999999999997</v>
      </c>
      <c r="M13" s="3">
        <v>173.95</v>
      </c>
      <c r="N13" s="3">
        <v>-41.97741313864146</v>
      </c>
      <c r="O13" s="3">
        <v>55.474149340767042</v>
      </c>
      <c r="P13" s="3">
        <v>97.451562479408508</v>
      </c>
      <c r="Q13" s="3">
        <v>60</v>
      </c>
      <c r="R13" s="3">
        <v>6.0069999999999988</v>
      </c>
      <c r="S13" s="3">
        <v>182.1</v>
      </c>
      <c r="T13" s="3">
        <v>-49.858537320759162</v>
      </c>
      <c r="U13" s="3">
        <v>53.024605703615251</v>
      </c>
      <c r="V13" s="3">
        <v>102.88314302437441</v>
      </c>
      <c r="W13" s="3">
        <v>220.49732692531043</v>
      </c>
      <c r="X13" s="3">
        <v>60.696326680480432</v>
      </c>
      <c r="Y13" s="3">
        <v>54.29788293029663</v>
      </c>
      <c r="Z13" s="3">
        <v>44.977806639831179</v>
      </c>
      <c r="AA13" s="3">
        <v>33.46182000852744</v>
      </c>
      <c r="AB13" s="3">
        <v>30.224885205480724</v>
      </c>
      <c r="AC13" s="3">
        <v>23.194924135847206</v>
      </c>
      <c r="AD13" s="3">
        <v>23.259405868737375</v>
      </c>
      <c r="AE13" s="3">
        <v>21.641169172190146</v>
      </c>
      <c r="AF13" s="3">
        <v>61.697410757595293</v>
      </c>
      <c r="AG13" s="309">
        <v>42.037975231571743</v>
      </c>
      <c r="AI13" s="3">
        <f t="shared" si="1"/>
        <v>18.658351448908689</v>
      </c>
      <c r="AJ13" s="3">
        <f t="shared" si="0"/>
        <v>12.259907698724888</v>
      </c>
      <c r="AK13" s="3">
        <f t="shared" si="0"/>
        <v>2.9398314082594368</v>
      </c>
      <c r="AL13" s="3">
        <f t="shared" si="0"/>
        <v>-8.576155223044303</v>
      </c>
      <c r="AM13" s="3">
        <f t="shared" si="0"/>
        <v>-11.813090026091018</v>
      </c>
      <c r="AN13" s="3">
        <f t="shared" si="0"/>
        <v>-18.843051095724537</v>
      </c>
      <c r="AO13" s="3">
        <f t="shared" si="0"/>
        <v>-18.778569362834368</v>
      </c>
      <c r="AP13" s="3">
        <f t="shared" si="0"/>
        <v>-20.396806059381596</v>
      </c>
      <c r="AQ13" s="3"/>
    </row>
    <row r="14" spans="2:43" ht="14" thickBot="1" x14ac:dyDescent="0.2">
      <c r="F14" t="s">
        <v>458</v>
      </c>
      <c r="H14" t="s">
        <v>460</v>
      </c>
      <c r="K14" s="310">
        <v>60</v>
      </c>
      <c r="L14" s="311">
        <v>6.0060000000000002</v>
      </c>
      <c r="M14" s="311">
        <v>128.4</v>
      </c>
      <c r="N14" s="311">
        <v>-62.401752628216236</v>
      </c>
      <c r="O14" s="311">
        <v>95.93427382776386</v>
      </c>
      <c r="P14" s="311">
        <v>158.33602645598009</v>
      </c>
      <c r="Q14" s="311">
        <v>60</v>
      </c>
      <c r="R14" s="311">
        <v>6.0003000000000002</v>
      </c>
      <c r="S14" s="311">
        <v>130</v>
      </c>
      <c r="T14" s="311">
        <v>-77.298695160468242</v>
      </c>
      <c r="U14" s="311">
        <v>89.519464554965609</v>
      </c>
      <c r="V14" s="311">
        <v>166.81815971543386</v>
      </c>
      <c r="W14" s="311">
        <v>173.13748215541941</v>
      </c>
      <c r="X14" s="311">
        <v>61.27583180576643</v>
      </c>
      <c r="Y14" s="311">
        <v>54.252490404039399</v>
      </c>
      <c r="Z14" s="311">
        <v>43.309075772355826</v>
      </c>
      <c r="AA14" s="311">
        <v>31.684610278627403</v>
      </c>
      <c r="AB14" s="311">
        <v>25.613292739404354</v>
      </c>
      <c r="AC14" s="311">
        <v>21.985333705734263</v>
      </c>
      <c r="AD14" s="311">
        <v>20.857122600026315</v>
      </c>
      <c r="AE14" s="311">
        <v>19.02380520290744</v>
      </c>
      <c r="AF14" s="311">
        <v>62.125402324774001</v>
      </c>
      <c r="AG14" s="312">
        <v>41.522310881079832</v>
      </c>
      <c r="AI14" s="3">
        <f t="shared" si="1"/>
        <v>19.753520924686597</v>
      </c>
      <c r="AJ14" s="3">
        <f t="shared" si="0"/>
        <v>12.730179522959567</v>
      </c>
      <c r="AK14" s="3">
        <f t="shared" si="0"/>
        <v>1.7867648912759933</v>
      </c>
      <c r="AL14" s="3">
        <f t="shared" si="0"/>
        <v>-9.8377006024524292</v>
      </c>
      <c r="AM14" s="3">
        <f t="shared" si="0"/>
        <v>-15.909018141675478</v>
      </c>
      <c r="AN14" s="3">
        <f t="shared" si="0"/>
        <v>-19.536977175345569</v>
      </c>
      <c r="AO14" s="3">
        <f t="shared" si="0"/>
        <v>-20.665188281053517</v>
      </c>
      <c r="AP14" s="3">
        <f t="shared" si="0"/>
        <v>-22.498505678172393</v>
      </c>
      <c r="AQ14" s="3"/>
    </row>
    <row r="15" spans="2:43" x14ac:dyDescent="0.15">
      <c r="B15" t="s">
        <v>91</v>
      </c>
      <c r="C15" s="314">
        <f>MAX(C4,C5)</f>
        <v>4.8722550824769089</v>
      </c>
      <c r="D15" t="s">
        <v>25</v>
      </c>
      <c r="E15" s="82" t="s">
        <v>42</v>
      </c>
      <c r="F15" s="5">
        <f>C11*LN(C15)+D11</f>
        <v>38.025657220159793</v>
      </c>
      <c r="G15" t="s">
        <v>31</v>
      </c>
      <c r="H15" s="3">
        <f>F15+F12</f>
        <v>37.025657220159793</v>
      </c>
      <c r="I15" t="s">
        <v>31</v>
      </c>
    </row>
    <row r="16" spans="2:43" x14ac:dyDescent="0.15">
      <c r="B16" t="s">
        <v>92</v>
      </c>
      <c r="C16" s="79">
        <f>(2*MAX(C4,C5)+MIN(C4,C5))/3</f>
        <v>4.8060986420995944</v>
      </c>
      <c r="D16" t="s">
        <v>25</v>
      </c>
      <c r="E16" s="82" t="s">
        <v>42</v>
      </c>
      <c r="F16" s="5">
        <f>C11*LN(C16)+D11</f>
        <v>37.730926658601518</v>
      </c>
      <c r="G16" t="s">
        <v>31</v>
      </c>
      <c r="H16" s="3">
        <f>F16+F12</f>
        <v>36.730926658601518</v>
      </c>
      <c r="I16" t="s">
        <v>31</v>
      </c>
      <c r="U16" s="2" t="s">
        <v>453</v>
      </c>
      <c r="AI16" s="3">
        <f>AVERAGE(AI6:AI14)</f>
        <v>17.550783611685731</v>
      </c>
      <c r="AJ16" s="3">
        <f t="shared" ref="AJ16:AP16" si="2">AVERAGE(AJ6:AJ14)</f>
        <v>12.470744429571859</v>
      </c>
      <c r="AK16" s="3">
        <f t="shared" si="2"/>
        <v>3.4806943409591775</v>
      </c>
      <c r="AL16" s="3">
        <f t="shared" si="2"/>
        <v>-9.699103544599005</v>
      </c>
      <c r="AM16" s="3">
        <f t="shared" si="2"/>
        <v>-14.029286646404659</v>
      </c>
      <c r="AN16" s="3">
        <f t="shared" si="2"/>
        <v>-17.889395217753208</v>
      </c>
      <c r="AO16" s="3">
        <f t="shared" si="2"/>
        <v>-17.706926772737738</v>
      </c>
      <c r="AP16" s="3">
        <f t="shared" si="2"/>
        <v>-19.035760621304281</v>
      </c>
    </row>
    <row r="17" spans="2:42" x14ac:dyDescent="0.15">
      <c r="L17" s="4" t="s">
        <v>25</v>
      </c>
      <c r="M17" s="4" t="s">
        <v>27</v>
      </c>
      <c r="N17" s="4" t="s">
        <v>444</v>
      </c>
      <c r="O17" s="4" t="s">
        <v>445</v>
      </c>
      <c r="P17" t="s">
        <v>446</v>
      </c>
      <c r="R17" t="s">
        <v>447</v>
      </c>
      <c r="S17" t="s">
        <v>87</v>
      </c>
      <c r="U17" t="s">
        <v>82</v>
      </c>
      <c r="V17" t="s">
        <v>448</v>
      </c>
      <c r="X17" t="s">
        <v>449</v>
      </c>
      <c r="AI17" s="3">
        <f>ROUND(AI16,0)</f>
        <v>18</v>
      </c>
      <c r="AJ17" s="3">
        <f t="shared" ref="AJ17:AP17" si="3">ROUND(AJ16,0)</f>
        <v>12</v>
      </c>
      <c r="AK17" s="3">
        <f t="shared" si="3"/>
        <v>3</v>
      </c>
      <c r="AL17" s="3">
        <f t="shared" si="3"/>
        <v>-10</v>
      </c>
      <c r="AM17" s="3">
        <f t="shared" si="3"/>
        <v>-14</v>
      </c>
      <c r="AN17" s="3">
        <f t="shared" si="3"/>
        <v>-18</v>
      </c>
      <c r="AO17" s="3">
        <f t="shared" si="3"/>
        <v>-18</v>
      </c>
      <c r="AP17" s="3">
        <f t="shared" si="3"/>
        <v>-19</v>
      </c>
    </row>
    <row r="18" spans="2:42" ht="14" x14ac:dyDescent="0.15">
      <c r="B18" s="83" t="s">
        <v>82</v>
      </c>
      <c r="K18" s="3"/>
      <c r="L18" s="5">
        <f>L6</f>
        <v>9.9980000000000011</v>
      </c>
      <c r="M18" s="6">
        <f>AG6</f>
        <v>54.052145206595526</v>
      </c>
      <c r="N18" s="99">
        <f>P6/M6^2</f>
        <v>8.0196175148723031E-4</v>
      </c>
      <c r="O18" s="99">
        <f>V6/S6^2</f>
        <v>7.6520997302445765E-4</v>
      </c>
      <c r="P18" s="213">
        <f>AVERAGE(N18:O18)</f>
        <v>7.8358586225584404E-4</v>
      </c>
      <c r="R18">
        <f t="shared" ref="R18:R26" si="4">$L$29*LN(L18)+$M$29</f>
        <v>53.522487316077793</v>
      </c>
      <c r="S18" s="3">
        <f>M18-R18</f>
        <v>0.52965789051773271</v>
      </c>
      <c r="U18">
        <f t="shared" ref="U18:U26" si="5">$U$28*LN(P18)+$V$28</f>
        <v>0.77466454202855406</v>
      </c>
      <c r="V18" s="84">
        <f>R18+U18</f>
        <v>54.297151858106346</v>
      </c>
      <c r="X18" s="3">
        <f>V18-M18</f>
        <v>0.24500665151082046</v>
      </c>
    </row>
    <row r="19" spans="2:42" x14ac:dyDescent="0.15">
      <c r="K19" s="3"/>
      <c r="L19" s="5">
        <f t="shared" ref="L19:L26" si="6">L7</f>
        <v>9.9939</v>
      </c>
      <c r="M19" s="6">
        <f t="shared" ref="M19:M26" si="7">AG7</f>
        <v>52.776208381479023</v>
      </c>
      <c r="N19" s="99">
        <f t="shared" ref="N19:N26" si="8">P7/M7^2</f>
        <v>3.4384230248819276E-3</v>
      </c>
      <c r="O19" s="99">
        <f t="shared" ref="O19:O26" si="9">V7/S7^2</f>
        <v>3.1483150169535471E-3</v>
      </c>
      <c r="P19" s="213">
        <f t="shared" ref="P19:P26" si="10">AVERAGE(N19:O19)</f>
        <v>3.2933690209177371E-3</v>
      </c>
      <c r="R19">
        <f t="shared" si="4"/>
        <v>53.513644765335449</v>
      </c>
      <c r="S19" s="3">
        <f t="shared" ref="S19:S26" si="11">M19-R19</f>
        <v>-0.7374363838564264</v>
      </c>
      <c r="U19">
        <f t="shared" si="5"/>
        <v>-5.7588787350060233E-2</v>
      </c>
      <c r="V19" s="84">
        <f t="shared" ref="V19:V26" si="12">R19+U19</f>
        <v>53.456055977985386</v>
      </c>
      <c r="X19" s="3">
        <f t="shared" ref="X19:X26" si="13">V19-M19</f>
        <v>0.67984759650636306</v>
      </c>
    </row>
    <row r="20" spans="2:42" x14ac:dyDescent="0.15">
      <c r="B20" s="2" t="s">
        <v>84</v>
      </c>
      <c r="K20" s="3"/>
      <c r="L20" s="5">
        <f t="shared" si="6"/>
        <v>9.9953000000000003</v>
      </c>
      <c r="M20" s="6">
        <f t="shared" si="7"/>
        <v>53.024004158793858</v>
      </c>
      <c r="N20" s="99">
        <f t="shared" si="8"/>
        <v>1.1773327174725056E-2</v>
      </c>
      <c r="O20" s="99">
        <f t="shared" si="9"/>
        <v>1.0164108316721305E-2</v>
      </c>
      <c r="P20" s="213">
        <f t="shared" si="10"/>
        <v>1.096871774572318E-2</v>
      </c>
      <c r="R20">
        <f t="shared" si="4"/>
        <v>53.516664580708863</v>
      </c>
      <c r="S20" s="3">
        <f t="shared" si="11"/>
        <v>-0.49266042191500503</v>
      </c>
      <c r="U20">
        <f t="shared" si="5"/>
        <v>-0.75498688269917702</v>
      </c>
      <c r="V20" s="84">
        <f t="shared" si="12"/>
        <v>52.761677698009684</v>
      </c>
      <c r="X20" s="3">
        <f t="shared" si="13"/>
        <v>-0.26232646078417332</v>
      </c>
    </row>
    <row r="21" spans="2:42" x14ac:dyDescent="0.15">
      <c r="B21" t="s">
        <v>85</v>
      </c>
      <c r="C21" t="s">
        <v>28</v>
      </c>
      <c r="D21" s="3">
        <f>'R-series ENT'!N54</f>
        <v>51.350319413350157</v>
      </c>
      <c r="E21" t="s">
        <v>31</v>
      </c>
      <c r="K21" s="3"/>
      <c r="L21" s="5">
        <f t="shared" si="6"/>
        <v>8.0030000000000001</v>
      </c>
      <c r="M21" s="6">
        <f t="shared" si="7"/>
        <v>50.113323788361761</v>
      </c>
      <c r="N21" s="99">
        <f t="shared" si="8"/>
        <v>7.9873009967434787E-4</v>
      </c>
      <c r="O21" s="99">
        <f t="shared" si="9"/>
        <v>7.5038812782047876E-4</v>
      </c>
      <c r="P21" s="213">
        <f t="shared" si="10"/>
        <v>7.7455911374741337E-4</v>
      </c>
      <c r="R21">
        <f t="shared" si="4"/>
        <v>48.724250594754039</v>
      </c>
      <c r="S21" s="3">
        <f t="shared" si="11"/>
        <v>1.3890731936077216</v>
      </c>
      <c r="U21">
        <f t="shared" si="5"/>
        <v>0.78138075180835287</v>
      </c>
      <c r="V21" s="84">
        <f t="shared" si="12"/>
        <v>49.505631346562396</v>
      </c>
      <c r="X21" s="3">
        <f t="shared" si="13"/>
        <v>-0.60769244179936521</v>
      </c>
    </row>
    <row r="22" spans="2:42" x14ac:dyDescent="0.15">
      <c r="B22" s="25"/>
      <c r="C22" s="25" t="s">
        <v>8</v>
      </c>
      <c r="D22" s="81">
        <f>'R-series ENT'!N55</f>
        <v>51.65220443099701</v>
      </c>
      <c r="E22" t="s">
        <v>31</v>
      </c>
      <c r="K22" s="3"/>
      <c r="L22" s="5">
        <f t="shared" si="6"/>
        <v>8.0055000000000014</v>
      </c>
      <c r="M22" s="6">
        <f t="shared" si="7"/>
        <v>48.656389304625122</v>
      </c>
      <c r="N22" s="99">
        <f t="shared" si="8"/>
        <v>3.3759377704797714E-3</v>
      </c>
      <c r="O22" s="99">
        <f t="shared" si="9"/>
        <v>3.1063773510820757E-3</v>
      </c>
      <c r="P22" s="213">
        <f t="shared" si="10"/>
        <v>3.2411575607809236E-3</v>
      </c>
      <c r="R22">
        <f t="shared" si="4"/>
        <v>48.730984037016214</v>
      </c>
      <c r="S22" s="3">
        <f t="shared" si="11"/>
        <v>-7.4594732391091156E-2</v>
      </c>
      <c r="U22">
        <f t="shared" si="5"/>
        <v>-4.8325676375312376E-2</v>
      </c>
      <c r="V22" s="84">
        <f t="shared" si="12"/>
        <v>48.6826583606409</v>
      </c>
      <c r="X22" s="3">
        <f t="shared" si="13"/>
        <v>2.6269056015777892E-2</v>
      </c>
    </row>
    <row r="23" spans="2:42" x14ac:dyDescent="0.15">
      <c r="C23" t="s">
        <v>87</v>
      </c>
      <c r="D23" s="3">
        <f>ABS(D21-D22)</f>
        <v>0.30188501764685327</v>
      </c>
      <c r="E23" t="s">
        <v>31</v>
      </c>
      <c r="K23" s="3"/>
      <c r="L23" s="5">
        <f t="shared" si="6"/>
        <v>7.9989999999999997</v>
      </c>
      <c r="M23" s="6">
        <f t="shared" si="7"/>
        <v>48.64710508699757</v>
      </c>
      <c r="N23" s="99">
        <f t="shared" si="8"/>
        <v>1.1080495590122922E-2</v>
      </c>
      <c r="O23" s="99">
        <f t="shared" si="9"/>
        <v>1.0098624372825278E-2</v>
      </c>
      <c r="P23" s="213">
        <f t="shared" si="10"/>
        <v>1.05895599814741E-2</v>
      </c>
      <c r="R23">
        <f t="shared" si="4"/>
        <v>48.71347271080726</v>
      </c>
      <c r="S23" s="3">
        <f t="shared" si="11"/>
        <v>-6.6367623809689746E-2</v>
      </c>
      <c r="U23">
        <f t="shared" si="5"/>
        <v>-0.73459550395123774</v>
      </c>
      <c r="V23" s="84">
        <f t="shared" si="12"/>
        <v>47.978877206856019</v>
      </c>
      <c r="X23" s="3">
        <f t="shared" si="13"/>
        <v>-0.66822788014155066</v>
      </c>
    </row>
    <row r="24" spans="2:42" x14ac:dyDescent="0.15">
      <c r="D24" s="3"/>
      <c r="K24" s="3"/>
      <c r="L24" s="5">
        <f t="shared" si="6"/>
        <v>5.988999999999999</v>
      </c>
      <c r="M24" s="6">
        <f t="shared" si="7"/>
        <v>43.397891485041725</v>
      </c>
      <c r="N24" s="99">
        <f t="shared" si="8"/>
        <v>8.6183073758079999E-4</v>
      </c>
      <c r="O24" s="99">
        <f t="shared" si="9"/>
        <v>7.4732542371113786E-4</v>
      </c>
      <c r="P24" s="213">
        <f t="shared" si="10"/>
        <v>8.0457808064596887E-4</v>
      </c>
      <c r="R24">
        <f t="shared" si="4"/>
        <v>42.474624562876087</v>
      </c>
      <c r="S24" s="3">
        <f t="shared" si="11"/>
        <v>0.92326692216563799</v>
      </c>
      <c r="U24">
        <f t="shared" si="5"/>
        <v>0.75934011613379315</v>
      </c>
      <c r="V24" s="84">
        <f t="shared" si="12"/>
        <v>43.23396467900988</v>
      </c>
      <c r="X24" s="3">
        <f t="shared" si="13"/>
        <v>-0.16392680603184573</v>
      </c>
    </row>
    <row r="25" spans="2:42" x14ac:dyDescent="0.15">
      <c r="B25" t="s">
        <v>86</v>
      </c>
      <c r="C25" t="s">
        <v>7</v>
      </c>
      <c r="D25" s="3">
        <f>'R-series ENT'!N53</f>
        <v>62.081900793182115</v>
      </c>
      <c r="E25" t="s">
        <v>31</v>
      </c>
      <c r="K25" s="3"/>
      <c r="L25" s="5">
        <f t="shared" si="6"/>
        <v>5.9947999999999997</v>
      </c>
      <c r="M25" s="6">
        <f t="shared" si="7"/>
        <v>42.037975231571743</v>
      </c>
      <c r="N25" s="99">
        <f t="shared" si="8"/>
        <v>3.2206233741101731E-3</v>
      </c>
      <c r="O25" s="99">
        <f t="shared" si="9"/>
        <v>3.1025895947720313E-3</v>
      </c>
      <c r="P25" s="213">
        <f t="shared" si="10"/>
        <v>3.1616064844411022E-3</v>
      </c>
      <c r="R25">
        <f t="shared" si="4"/>
        <v>42.495492582848584</v>
      </c>
      <c r="S25" s="3">
        <f t="shared" si="11"/>
        <v>-0.45751735127684157</v>
      </c>
      <c r="U25">
        <f t="shared" si="5"/>
        <v>-3.3921221542812852E-2</v>
      </c>
      <c r="V25" s="84">
        <f t="shared" si="12"/>
        <v>42.461571361305772</v>
      </c>
      <c r="X25" s="3">
        <f t="shared" si="13"/>
        <v>0.4235961297340296</v>
      </c>
    </row>
    <row r="26" spans="2:42" x14ac:dyDescent="0.15">
      <c r="B26" s="25"/>
      <c r="C26" s="25" t="s">
        <v>57</v>
      </c>
      <c r="D26" s="81">
        <f>'R-series ENT'!N56</f>
        <v>61.797611511157953</v>
      </c>
      <c r="E26" t="s">
        <v>31</v>
      </c>
      <c r="K26" s="3"/>
      <c r="L26" s="5">
        <f t="shared" si="6"/>
        <v>6.0060000000000002</v>
      </c>
      <c r="M26" s="6">
        <f t="shared" si="7"/>
        <v>41.522310881079832</v>
      </c>
      <c r="N26" s="99">
        <f t="shared" si="8"/>
        <v>9.6039456658017237E-3</v>
      </c>
      <c r="O26" s="99">
        <f t="shared" si="9"/>
        <v>9.8708970245818851E-3</v>
      </c>
      <c r="P26" s="213">
        <f t="shared" si="10"/>
        <v>9.7374213451918053E-3</v>
      </c>
      <c r="R26">
        <f t="shared" si="4"/>
        <v>42.535732374121807</v>
      </c>
      <c r="S26" s="3">
        <f t="shared" si="11"/>
        <v>-1.0134214930419745</v>
      </c>
      <c r="U26">
        <f t="shared" si="5"/>
        <v>-0.68596733805203858</v>
      </c>
      <c r="V26" s="84">
        <f t="shared" si="12"/>
        <v>41.849765036069769</v>
      </c>
      <c r="X26" s="3">
        <f t="shared" si="13"/>
        <v>0.3274541549899368</v>
      </c>
    </row>
    <row r="27" spans="2:42" x14ac:dyDescent="0.15">
      <c r="C27" t="s">
        <v>87</v>
      </c>
      <c r="D27" s="3">
        <f>ABS(D25-D26)</f>
        <v>0.28428928202416159</v>
      </c>
      <c r="E27" t="s">
        <v>31</v>
      </c>
      <c r="K27" s="3"/>
      <c r="U27" t="s">
        <v>452</v>
      </c>
    </row>
    <row r="28" spans="2:42" x14ac:dyDescent="0.15">
      <c r="K28" s="3"/>
      <c r="L28" t="s">
        <v>451</v>
      </c>
      <c r="U28" s="2" cm="1">
        <f t="array" ref="U28:V28">LINEST(S18:S26,LN(P18:P26))</f>
        <v>-0.57965010557602148</v>
      </c>
      <c r="V28" s="2">
        <v>-3.3707784927193938</v>
      </c>
      <c r="X28" s="314">
        <f t="array" ref="X28">AVERAGE(ABS(X18:X26))</f>
        <v>0.37826079750154029</v>
      </c>
      <c r="Y28" t="s">
        <v>31</v>
      </c>
    </row>
    <row r="29" spans="2:42" x14ac:dyDescent="0.15">
      <c r="B29" t="s">
        <v>94</v>
      </c>
      <c r="C29" s="3">
        <f>AVERAGE(D27,D23)</f>
        <v>0.29308714983550743</v>
      </c>
      <c r="D29" t="s">
        <v>31</v>
      </c>
      <c r="L29" s="2">
        <f t="array" ref="L29:M29">LINEST(M18:M26,LN(L18:L26))</f>
        <v>21.558461915520574</v>
      </c>
      <c r="M29" s="2">
        <v>3.8866064051300953</v>
      </c>
    </row>
    <row r="30" spans="2:42" x14ac:dyDescent="0.15">
      <c r="B30" t="s">
        <v>93</v>
      </c>
      <c r="C30" s="3">
        <f>-10*LOG10((1-10^(-C29/10)))-3</f>
        <v>8.853594809152499</v>
      </c>
      <c r="D30" t="s">
        <v>31</v>
      </c>
      <c r="U30" s="4" t="s">
        <v>22</v>
      </c>
      <c r="V30" s="4" t="s">
        <v>450</v>
      </c>
    </row>
    <row r="31" spans="2:42" x14ac:dyDescent="0.15">
      <c r="U31" s="4">
        <v>1</v>
      </c>
      <c r="V31" s="4">
        <v>-1</v>
      </c>
    </row>
    <row r="32" spans="2:42" x14ac:dyDescent="0.15">
      <c r="B32" t="s">
        <v>83</v>
      </c>
      <c r="C32" s="3">
        <f>H15+C30</f>
        <v>45.879252029312291</v>
      </c>
      <c r="D32" t="s">
        <v>31</v>
      </c>
    </row>
    <row r="33" spans="2:23" x14ac:dyDescent="0.15">
      <c r="B33" t="s">
        <v>95</v>
      </c>
      <c r="C33" s="3">
        <f>H15-2.6</f>
        <v>34.425657220159792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MIN(H15,IF(C29&lt;3,H16,IF(C29&gt;10,C33,C32)))</f>
        <v>36.730926658601518</v>
      </c>
      <c r="D35" s="2" t="s">
        <v>31</v>
      </c>
      <c r="F35" s="5">
        <f>C35+10*LOG10(4/10)</f>
        <v>32.751526571881143</v>
      </c>
      <c r="G35" s="5">
        <f>C35+10*LOG10(4/2.5)</f>
        <v>38.772126485160769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315">
        <f>AI17</f>
        <v>18</v>
      </c>
      <c r="D39" s="315">
        <f t="shared" ref="D39:J39" si="14">AJ17</f>
        <v>12</v>
      </c>
      <c r="E39" s="315">
        <f t="shared" si="14"/>
        <v>3</v>
      </c>
      <c r="F39" s="315">
        <f t="shared" si="14"/>
        <v>-10</v>
      </c>
      <c r="G39" s="315">
        <f t="shared" si="14"/>
        <v>-14</v>
      </c>
      <c r="H39" s="315">
        <f t="shared" si="14"/>
        <v>-18</v>
      </c>
      <c r="I39" s="315">
        <f t="shared" si="14"/>
        <v>-18</v>
      </c>
      <c r="J39" s="315">
        <f t="shared" si="14"/>
        <v>-19</v>
      </c>
      <c r="K39" s="87" t="s">
        <v>42</v>
      </c>
      <c r="L39" s="86">
        <f>$C$35+C39</f>
        <v>54.730926658601518</v>
      </c>
      <c r="M39" s="86">
        <f t="shared" ref="M39:S39" si="15">$C$35+D39</f>
        <v>48.730926658601518</v>
      </c>
      <c r="N39" s="86">
        <f t="shared" si="15"/>
        <v>39.730926658601518</v>
      </c>
      <c r="O39" s="86">
        <f t="shared" si="15"/>
        <v>26.730926658601518</v>
      </c>
      <c r="P39" s="86">
        <f t="shared" si="15"/>
        <v>22.730926658601518</v>
      </c>
      <c r="Q39" s="86">
        <f t="shared" si="15"/>
        <v>18.730926658601518</v>
      </c>
      <c r="R39" s="86">
        <f t="shared" si="15"/>
        <v>18.730926658601518</v>
      </c>
      <c r="S39" s="86">
        <f t="shared" si="15"/>
        <v>17.730926658601518</v>
      </c>
      <c r="T39" s="5">
        <f t="array" ref="T39">10*LOG10(SUM(10^(L39:S39/10)))</f>
        <v>55.822421642246312</v>
      </c>
      <c r="U39" s="5">
        <f t="array" ref="U39">10*LOG10(SUM(10^((L39:S39+L41:S41)/10)))</f>
        <v>36.526937641404963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mergeCells count="26"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9F146-7EFF-458D-B9B6-584D109C2D39}">
  <dimension ref="C4:AC63"/>
  <sheetViews>
    <sheetView topLeftCell="A4" workbookViewId="0">
      <selection activeCell="R20" sqref="R20"/>
    </sheetView>
  </sheetViews>
  <sheetFormatPr baseColWidth="10" defaultColWidth="8.83203125" defaultRowHeight="13" x14ac:dyDescent="0.15"/>
  <cols>
    <col min="6" max="6" width="12.1640625" customWidth="1"/>
    <col min="7" max="7" width="7" customWidth="1"/>
    <col min="8" max="8" width="47" bestFit="1" customWidth="1"/>
    <col min="9" max="9" width="9.6640625" customWidth="1"/>
    <col min="11" max="11" width="5.83203125" customWidth="1"/>
    <col min="13" max="13" width="13.1640625" customWidth="1"/>
    <col min="14" max="14" width="9" bestFit="1" customWidth="1"/>
    <col min="15" max="15" width="23" bestFit="1" customWidth="1"/>
    <col min="16" max="16" width="12.5" bestFit="1" customWidth="1"/>
    <col min="17" max="17" width="13" bestFit="1" customWidth="1"/>
    <col min="18" max="18" width="9.5" bestFit="1" customWidth="1"/>
    <col min="19" max="19" width="9.33203125" bestFit="1" customWidth="1"/>
    <col min="20" max="20" width="9.83203125" bestFit="1" customWidth="1"/>
  </cols>
  <sheetData>
    <row r="4" spans="5:29" ht="14" thickBot="1" x14ac:dyDescent="0.2"/>
    <row r="5" spans="5:29" x14ac:dyDescent="0.1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" x14ac:dyDescent="0.15">
      <c r="H6" s="232" t="s">
        <v>485</v>
      </c>
      <c r="I6" s="363">
        <f>'R-series ENT'!E33</f>
        <v>34.722222222222221</v>
      </c>
      <c r="J6" s="364" t="s">
        <v>72</v>
      </c>
      <c r="M6" s="232"/>
      <c r="AC6" s="364"/>
    </row>
    <row r="7" spans="5:29" x14ac:dyDescent="0.15">
      <c r="H7" s="232" t="s">
        <v>486</v>
      </c>
      <c r="I7" s="233">
        <f>I6*1.2*(I9-I8)</f>
        <v>791.66666666666663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15">
      <c r="E8" s="3"/>
      <c r="H8" s="232" t="s">
        <v>489</v>
      </c>
      <c r="I8" s="365">
        <f>'R-series ENT'!F86</f>
        <v>1</v>
      </c>
      <c r="J8" s="364" t="s">
        <v>230</v>
      </c>
      <c r="M8" s="234">
        <v>50</v>
      </c>
      <c r="N8" s="80">
        <v>3256.3317271747369</v>
      </c>
      <c r="O8" s="5">
        <v>-0.58214389746577666</v>
      </c>
      <c r="AC8" s="364"/>
    </row>
    <row r="9" spans="5:29" x14ac:dyDescent="0.15">
      <c r="H9" s="232" t="s">
        <v>490</v>
      </c>
      <c r="I9" s="365">
        <f>'R-series ENT'!F87</f>
        <v>20</v>
      </c>
      <c r="J9" s="364" t="s">
        <v>230</v>
      </c>
      <c r="M9" s="234">
        <v>50</v>
      </c>
      <c r="N9" s="80">
        <v>4035.0197488904359</v>
      </c>
      <c r="O9" s="5">
        <v>0.25822895426740189</v>
      </c>
      <c r="P9">
        <f t="array" ref="P9:Q9">LINEST(O8:O10,N8:N10)</f>
        <v>3.2522525251415591E-4</v>
      </c>
      <c r="Q9">
        <v>-1.3895607014599203</v>
      </c>
      <c r="AC9" s="364"/>
    </row>
    <row r="10" spans="5:29" ht="14" thickBot="1" x14ac:dyDescent="0.2">
      <c r="H10" s="234" t="s">
        <v>491</v>
      </c>
      <c r="I10" s="365">
        <f>'R-series ENT'!F88</f>
        <v>50</v>
      </c>
      <c r="J10" s="364" t="s">
        <v>230</v>
      </c>
      <c r="M10" s="234">
        <v>50</v>
      </c>
      <c r="N10" s="80">
        <v>6371.083814037529</v>
      </c>
      <c r="O10" s="5">
        <v>0.59860180600058044</v>
      </c>
      <c r="AC10" s="364"/>
    </row>
    <row r="11" spans="5:29" ht="14" thickBot="1" x14ac:dyDescent="0.2">
      <c r="H11" s="234" t="s">
        <v>492</v>
      </c>
      <c r="I11" s="365">
        <f>'R-series ENT'!F89</f>
        <v>30</v>
      </c>
      <c r="J11" s="364" t="s">
        <v>230</v>
      </c>
      <c r="M11" s="234">
        <v>50</v>
      </c>
      <c r="N11" s="80">
        <v>1061.8473023395884</v>
      </c>
      <c r="O11" s="5">
        <v>-12.800466064666473</v>
      </c>
      <c r="P11" t="s">
        <v>493</v>
      </c>
      <c r="Q11" s="366">
        <f>P9*I12+Q9</f>
        <v>-0.84277306948804631</v>
      </c>
      <c r="AC11" s="364"/>
    </row>
    <row r="12" spans="5:29" x14ac:dyDescent="0.15">
      <c r="H12" s="232" t="s">
        <v>494</v>
      </c>
      <c r="I12" s="367">
        <f>$I$7/4186/(20)/1000/((12.5/2000)^2*PI())*0.0125/0.0000005729</f>
        <v>1681.2582287043479</v>
      </c>
      <c r="J12" s="368" t="s">
        <v>393</v>
      </c>
      <c r="M12" s="234">
        <v>50</v>
      </c>
      <c r="N12" s="80"/>
      <c r="O12" s="5"/>
      <c r="AC12" s="364"/>
    </row>
    <row r="13" spans="5:29" ht="14" thickBot="1" x14ac:dyDescent="0.2">
      <c r="H13" s="369" t="s">
        <v>495</v>
      </c>
      <c r="I13" s="370">
        <f>I7/1000/($P$48)-$S$22</f>
        <v>14.712415940520943</v>
      </c>
      <c r="J13" s="239" t="s">
        <v>496</v>
      </c>
      <c r="M13" s="234">
        <v>50</v>
      </c>
      <c r="N13" s="80"/>
      <c r="O13" s="5"/>
      <c r="AC13" s="364"/>
    </row>
    <row r="14" spans="5:29" ht="14" thickBot="1" x14ac:dyDescent="0.2">
      <c r="M14" s="371">
        <v>50</v>
      </c>
      <c r="N14" s="257"/>
      <c r="O14" s="209"/>
      <c r="P14" s="25"/>
      <c r="Q14" s="25"/>
      <c r="AC14" s="364"/>
    </row>
    <row r="15" spans="5:29" x14ac:dyDescent="0.15">
      <c r="H15" s="360" t="s">
        <v>497</v>
      </c>
      <c r="I15" s="372"/>
      <c r="J15" s="362"/>
      <c r="M15" s="234">
        <v>100</v>
      </c>
      <c r="N15" s="80">
        <v>4813.7077706061336</v>
      </c>
      <c r="O15" s="5">
        <v>-2.3333895731398684</v>
      </c>
      <c r="AC15" s="364"/>
    </row>
    <row r="16" spans="5:29" x14ac:dyDescent="0.1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6158.7143535696114</v>
      </c>
      <c r="O16" s="5">
        <v>-1.9655812384002047E-2</v>
      </c>
      <c r="P16">
        <f t="array" ref="P16:Q16">LINEST(O15:O17,N15:N17)</f>
        <v>1.0307593940134471E-3</v>
      </c>
      <c r="Q16">
        <v>-6.8922440626073289</v>
      </c>
      <c r="AC16" s="364"/>
    </row>
    <row r="17" spans="3:29" ht="14" thickBot="1" x14ac:dyDescent="0.2">
      <c r="C17" t="s">
        <v>532</v>
      </c>
      <c r="E17" t="b">
        <f>IF(I17&lt;I8,TRUE,FALSE)</f>
        <v>1</v>
      </c>
      <c r="F17" t="b">
        <f>IF(I17&gt;I16,TRUE,FALSE)</f>
        <v>0</v>
      </c>
      <c r="H17" s="234" t="s">
        <v>492</v>
      </c>
      <c r="I17" s="235">
        <f>(I13+AVERAGE(I8:I9))*2-I10</f>
        <v>0.4248318810418823</v>
      </c>
      <c r="J17" s="364" t="s">
        <v>230</v>
      </c>
      <c r="M17" s="234">
        <v>100</v>
      </c>
      <c r="N17" s="80">
        <v>10618.473023395884</v>
      </c>
      <c r="O17" s="5">
        <v>3.9313311962206896</v>
      </c>
      <c r="AC17" s="364"/>
    </row>
    <row r="18" spans="3:29" ht="16" thickBot="1" x14ac:dyDescent="0.2">
      <c r="E18" t="b">
        <f t="array" ref="E18">IF(ISERROR(I16:I22),TRUE,FALSE)</f>
        <v>0</v>
      </c>
      <c r="H18" s="234" t="s">
        <v>498</v>
      </c>
      <c r="I18" s="373">
        <f>I7/4186/(I16-I17)</f>
        <v>3.8148629426199513E-3</v>
      </c>
      <c r="J18" s="364" t="s">
        <v>72</v>
      </c>
      <c r="M18" s="234">
        <v>100</v>
      </c>
      <c r="N18" s="80">
        <v>1274.2167628075058</v>
      </c>
      <c r="O18" s="5">
        <v>-15.676480512907034</v>
      </c>
      <c r="P18" t="s">
        <v>493</v>
      </c>
      <c r="Q18" s="366">
        <f>I12*P16+Q16</f>
        <v>-5.1592713496079137</v>
      </c>
      <c r="AC18" s="364"/>
    </row>
    <row r="19" spans="3:29" x14ac:dyDescent="0.15">
      <c r="E19" t="b">
        <f>IF(I18&lt;0,TRUE,IF(I19&gt;50,TRUE,FALSE))</f>
        <v>0</v>
      </c>
      <c r="H19" s="234" t="s">
        <v>499</v>
      </c>
      <c r="I19" s="235">
        <f>$O$62*I18^$M$62</f>
        <v>3.7194846391837469E-2</v>
      </c>
      <c r="J19" s="364" t="s">
        <v>500</v>
      </c>
      <c r="M19" s="234">
        <v>100</v>
      </c>
      <c r="N19" s="80"/>
      <c r="O19" s="5"/>
      <c r="AC19" s="364"/>
    </row>
    <row r="20" spans="3:29" x14ac:dyDescent="0.15">
      <c r="E20" t="b">
        <f>IF(I18&lt;0,TRUE,IF(I20&gt;50,TRUE,FALSE))</f>
        <v>0</v>
      </c>
      <c r="H20" s="234" t="s">
        <v>557</v>
      </c>
      <c r="I20" s="235">
        <f>((I18*3.6)/1)^2*100</f>
        <v>1.8860920335183544E-2</v>
      </c>
      <c r="J20" s="364" t="s">
        <v>500</v>
      </c>
      <c r="M20" s="234">
        <v>100</v>
      </c>
      <c r="N20" s="80"/>
      <c r="O20" s="5"/>
      <c r="S20" t="s">
        <v>488</v>
      </c>
      <c r="AC20" s="364"/>
    </row>
    <row r="21" spans="3:29" x14ac:dyDescent="0.15">
      <c r="E21" t="b">
        <f>IF(I22&lt;3000,TRUE,FALSE)</f>
        <v>1</v>
      </c>
      <c r="H21" s="234" t="s">
        <v>501</v>
      </c>
      <c r="I21" s="373">
        <f>I18/1000/((12.5/2000)^2*PI())</f>
        <v>3.1086299880246204E-2</v>
      </c>
      <c r="J21" s="364" t="s">
        <v>502</v>
      </c>
      <c r="M21" s="234">
        <v>100</v>
      </c>
      <c r="N21" s="80"/>
      <c r="O21" s="5"/>
      <c r="AC21" s="364"/>
    </row>
    <row r="22" spans="3:29" ht="14" thickBot="1" x14ac:dyDescent="0.2">
      <c r="D22" s="2" t="s">
        <v>536</v>
      </c>
      <c r="E22" s="2" t="b">
        <f>IF(OR(E17,E18,F17,E21,E19,E20),TRUE,FALSE)</f>
        <v>1</v>
      </c>
      <c r="H22" s="369" t="s">
        <v>487</v>
      </c>
      <c r="I22" s="374">
        <f>I21*0.0125/0.0000005729</f>
        <v>678.26627422425827</v>
      </c>
      <c r="J22" s="375" t="s">
        <v>393</v>
      </c>
      <c r="M22" s="371">
        <v>100</v>
      </c>
      <c r="N22" s="257"/>
      <c r="O22" s="209"/>
      <c r="P22" s="25"/>
      <c r="Q22" s="25"/>
      <c r="S22" s="32">
        <f>IF($I$6&lt;50,T24,IF($I$6&gt;300,$T$27,S31*I6^2+T31*I6+U31))</f>
        <v>-0.84277306948804631</v>
      </c>
      <c r="AC22" s="364"/>
    </row>
    <row r="23" spans="3:29" ht="14" thickBot="1" x14ac:dyDescent="0.2">
      <c r="M23" s="234">
        <v>200</v>
      </c>
      <c r="N23" s="80">
        <v>7503.72093653309</v>
      </c>
      <c r="O23" s="5">
        <v>-0.5877905348641832</v>
      </c>
      <c r="AC23" s="364"/>
    </row>
    <row r="24" spans="3:29" x14ac:dyDescent="0.15">
      <c r="H24" s="360" t="s">
        <v>503</v>
      </c>
      <c r="I24" s="361"/>
      <c r="J24" s="362"/>
      <c r="M24" s="234">
        <v>200</v>
      </c>
      <c r="N24" s="80">
        <v>9768.995181524213</v>
      </c>
      <c r="O24" s="5">
        <v>2.1785214225707108</v>
      </c>
      <c r="P24">
        <f t="array" ref="P24:Q24">LINEST(O23:O26,N23:N26)</f>
        <v>8.8763510610137097E-4</v>
      </c>
      <c r="Q24">
        <v>-8.6804612512913657</v>
      </c>
      <c r="S24" s="233">
        <v>50</v>
      </c>
      <c r="T24" s="376">
        <f>Q11</f>
        <v>-0.84277306948804631</v>
      </c>
      <c r="AC24" s="364"/>
    </row>
    <row r="25" spans="3:29" ht="14" thickBot="1" x14ac:dyDescent="0.2">
      <c r="C25" t="s">
        <v>532</v>
      </c>
      <c r="E25" t="b">
        <f>IF(I26&lt;I8,TRUE,FALSE)</f>
        <v>0</v>
      </c>
      <c r="F25" t="b">
        <f>IF(I26&gt;I25,TRUE,FALSE)</f>
        <v>1</v>
      </c>
      <c r="H25" s="234" t="s">
        <v>491</v>
      </c>
      <c r="I25" s="235">
        <f>(I13+AVERAGE(I8:I9))*2-I11</f>
        <v>20.424831881041882</v>
      </c>
      <c r="J25" s="364" t="s">
        <v>230</v>
      </c>
      <c r="M25" s="234">
        <v>200</v>
      </c>
      <c r="N25" s="80">
        <v>16140.078995561744</v>
      </c>
      <c r="O25" s="5">
        <v>4.1257350882105861</v>
      </c>
      <c r="S25" s="233">
        <v>100</v>
      </c>
      <c r="T25" s="376">
        <f>Q18</f>
        <v>-5.1592713496079137</v>
      </c>
      <c r="AC25" s="364"/>
    </row>
    <row r="26" spans="3:29" ht="14" thickBot="1" x14ac:dyDescent="0.2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3610.2808279546002</v>
      </c>
      <c r="O26" s="5">
        <v>-7.5753290394847372</v>
      </c>
      <c r="P26" t="s">
        <v>493</v>
      </c>
      <c r="Q26" s="366">
        <f>P24*I12+Q24</f>
        <v>-7.1881174250715789</v>
      </c>
      <c r="S26" s="233">
        <v>200</v>
      </c>
      <c r="T26" s="376">
        <f>Q26</f>
        <v>-7.1881174250715789</v>
      </c>
      <c r="AC26" s="364"/>
    </row>
    <row r="27" spans="3:29" ht="15" x14ac:dyDescent="0.15">
      <c r="H27" s="234" t="s">
        <v>498</v>
      </c>
      <c r="I27" s="373">
        <f>I7/4186/(I25-I26)</f>
        <v>-1.9751347379135725E-2</v>
      </c>
      <c r="J27" s="364" t="s">
        <v>72</v>
      </c>
      <c r="M27" s="234">
        <v>200</v>
      </c>
      <c r="N27" s="80"/>
      <c r="O27" s="5"/>
      <c r="S27" s="233">
        <v>300</v>
      </c>
      <c r="T27" s="376">
        <f>Q34</f>
        <v>-6.9190845183238263</v>
      </c>
      <c r="AC27" s="364"/>
    </row>
    <row r="28" spans="3:29" x14ac:dyDescent="0.15">
      <c r="E28" t="b">
        <f>IF(I27&lt;0,TRUE,IF(I28&gt;50,TRUE,FALSE))</f>
        <v>1</v>
      </c>
      <c r="H28" s="234" t="s">
        <v>499</v>
      </c>
      <c r="I28" s="235" t="e">
        <f>$O$62*I27^$M$62</f>
        <v>#NUM!</v>
      </c>
      <c r="J28" s="364" t="s">
        <v>500</v>
      </c>
      <c r="M28" s="234">
        <v>200</v>
      </c>
      <c r="N28" s="80"/>
      <c r="O28" s="5"/>
      <c r="AC28" s="364"/>
    </row>
    <row r="29" spans="3:29" x14ac:dyDescent="0.15">
      <c r="E29" t="b">
        <f>IF(I27&lt;0,TRUE,IF(I29&gt;50,TRUE,FALSE))</f>
        <v>1</v>
      </c>
      <c r="H29" s="234" t="s">
        <v>557</v>
      </c>
      <c r="I29" s="235">
        <f>((I27*3.6)/1)^2*100</f>
        <v>0.50558997738551414</v>
      </c>
      <c r="J29" s="364" t="s">
        <v>500</v>
      </c>
      <c r="M29" s="234">
        <v>200</v>
      </c>
      <c r="N29" s="80"/>
      <c r="O29" s="5"/>
      <c r="S29" cm="1">
        <f t="array" ref="S29:T29">LINEST(T24:T27,S24:S27)</f>
        <v>-2.1794226306218592E-2</v>
      </c>
      <c r="T29">
        <v>-1.4857498158623201</v>
      </c>
      <c r="AC29" s="364"/>
    </row>
    <row r="30" spans="3:29" x14ac:dyDescent="0.15">
      <c r="E30" t="b">
        <f>IF(I31&lt;3000,TRUE,FALSE)</f>
        <v>1</v>
      </c>
      <c r="H30" s="234" t="s">
        <v>501</v>
      </c>
      <c r="I30" s="373">
        <f>I27/1000/((12.5/2000)^2*PI())</f>
        <v>-0.16094845788746764</v>
      </c>
      <c r="J30" s="364" t="s">
        <v>502</v>
      </c>
      <c r="M30" s="371">
        <v>200</v>
      </c>
      <c r="N30" s="257"/>
      <c r="O30" s="209"/>
      <c r="P30" s="25"/>
      <c r="Q30" s="25"/>
      <c r="AC30" s="364"/>
    </row>
    <row r="31" spans="3:29" ht="14" thickBot="1" x14ac:dyDescent="0.2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-3511.7048762320578</v>
      </c>
      <c r="J31" s="375" t="s">
        <v>393</v>
      </c>
      <c r="M31" s="234">
        <v>300</v>
      </c>
      <c r="N31" s="80">
        <v>9202.676620276432</v>
      </c>
      <c r="O31" s="5">
        <v>-0.20011698471886774</v>
      </c>
      <c r="S31">
        <f t="array" ref="S31:U31">LINEST(T24:T27,S24:S27^{1,2})</f>
        <v>2.0809403324547799E-4</v>
      </c>
      <c r="T31">
        <v>-9.4979839693399404E-2</v>
      </c>
      <c r="U31">
        <v>2.9935624251844075</v>
      </c>
      <c r="AC31" s="364"/>
    </row>
    <row r="32" spans="3:29" x14ac:dyDescent="0.15">
      <c r="M32" s="234">
        <v>300</v>
      </c>
      <c r="N32" s="80">
        <v>11467.950865267556</v>
      </c>
      <c r="O32" s="5">
        <v>0.54913358192586514</v>
      </c>
      <c r="P32">
        <f t="array" ref="P32:Q32">LINEST(O31:O34,N31:N34)</f>
        <v>6.7764089532560562E-4</v>
      </c>
      <c r="Q32">
        <v>-8.0583738496965829</v>
      </c>
      <c r="AC32" s="364"/>
    </row>
    <row r="33" spans="9:29" ht="14" thickBot="1" x14ac:dyDescent="0.2">
      <c r="I33" s="213"/>
      <c r="M33" s="234">
        <v>300</v>
      </c>
      <c r="N33" s="80">
        <v>19962.729283984263</v>
      </c>
      <c r="O33" s="5">
        <v>4.6168384879725153</v>
      </c>
      <c r="AC33" s="364"/>
    </row>
    <row r="34" spans="9:29" ht="14" thickBot="1" x14ac:dyDescent="0.2">
      <c r="M34" s="234">
        <v>300</v>
      </c>
      <c r="N34" s="80">
        <v>4672.1281302941888</v>
      </c>
      <c r="O34" s="5">
        <v>-6.4985011332894622</v>
      </c>
      <c r="P34" t="s">
        <v>493</v>
      </c>
      <c r="Q34" s="366">
        <f>I12*P32+Q32</f>
        <v>-6.9190845183238263</v>
      </c>
      <c r="AC34" s="364"/>
    </row>
    <row r="35" spans="9:29" x14ac:dyDescent="0.15">
      <c r="I35" s="213"/>
      <c r="M35" s="234">
        <v>300</v>
      </c>
      <c r="N35" s="80"/>
      <c r="O35" s="5"/>
      <c r="AC35" s="364"/>
    </row>
    <row r="36" spans="9:29" x14ac:dyDescent="0.15">
      <c r="M36" s="234">
        <v>300</v>
      </c>
      <c r="N36" s="80"/>
      <c r="O36" s="5"/>
      <c r="AC36" s="364"/>
    </row>
    <row r="37" spans="9:29" x14ac:dyDescent="0.15">
      <c r="M37" s="234">
        <v>300</v>
      </c>
      <c r="N37" s="80"/>
      <c r="O37" s="5"/>
      <c r="AC37" s="364"/>
    </row>
    <row r="38" spans="9:29" ht="14" thickBot="1" x14ac:dyDescent="0.2">
      <c r="M38" s="369">
        <v>300</v>
      </c>
      <c r="N38" s="377"/>
      <c r="O38" s="37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" thickBot="1" x14ac:dyDescent="0.2">
      <c r="M39" s="233"/>
    </row>
    <row r="40" spans="9:29" x14ac:dyDescent="0.1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15">
      <c r="M41" s="232"/>
      <c r="AC41" s="364"/>
    </row>
    <row r="42" spans="9:29" x14ac:dyDescent="0.15">
      <c r="M42" s="232" t="s">
        <v>485</v>
      </c>
      <c r="N42" t="s">
        <v>505</v>
      </c>
      <c r="P42" t="s">
        <v>506</v>
      </c>
      <c r="AC42" s="364"/>
    </row>
    <row r="43" spans="9:29" ht="14" thickBot="1" x14ac:dyDescent="0.2">
      <c r="M43" s="234">
        <v>50</v>
      </c>
      <c r="N43" s="99">
        <v>6.4938995554714843E-2</v>
      </c>
      <c r="P43">
        <f t="array" ref="P43:Q43">LINEST(LN(N43:N46),LN(M43:M46))</f>
        <v>0.4421634980882071</v>
      </c>
      <c r="Q43">
        <v>-4.4629350371469592</v>
      </c>
      <c r="R43">
        <f>EXP(Q43)</f>
        <v>1.1528477074685723E-2</v>
      </c>
      <c r="AC43" s="364"/>
    </row>
    <row r="44" spans="9:29" ht="14" thickBot="1" x14ac:dyDescent="0.2">
      <c r="M44" s="234">
        <v>100</v>
      </c>
      <c r="N44" s="99">
        <v>8.7931162376678279E-2</v>
      </c>
      <c r="P44" s="379">
        <f>R43*I6^(P43)</f>
        <v>5.5331487674887839E-2</v>
      </c>
      <c r="AC44" s="364"/>
    </row>
    <row r="45" spans="9:29" x14ac:dyDescent="0.15">
      <c r="M45" s="234">
        <v>200</v>
      </c>
      <c r="N45" s="99">
        <v>0.12208547008547008</v>
      </c>
      <c r="AC45" s="364"/>
    </row>
    <row r="46" spans="9:29" x14ac:dyDescent="0.15">
      <c r="M46" s="234">
        <v>300</v>
      </c>
      <c r="N46" s="99">
        <v>0.14192175988378125</v>
      </c>
      <c r="P46" t="s">
        <v>507</v>
      </c>
      <c r="AC46" s="364"/>
    </row>
    <row r="47" spans="9:29" ht="14" thickBot="1" x14ac:dyDescent="0.2">
      <c r="M47" s="232"/>
      <c r="P47">
        <f t="array" ref="P47:S47">LINEST(N43:N46,M43:M46^{1,2,3})</f>
        <v>2.9107000060654627E-10</v>
      </c>
      <c r="Q47">
        <v>-8.905428958879592E-7</v>
      </c>
      <c r="R47">
        <v>5.8833104581184768E-4</v>
      </c>
      <c r="S47">
        <v>3.7712416753766548E-2</v>
      </c>
      <c r="AC47" s="364"/>
    </row>
    <row r="48" spans="9:29" ht="14" thickBot="1" x14ac:dyDescent="0.2">
      <c r="M48" s="232"/>
      <c r="P48" s="379">
        <f>P47*I6^3+Q47*I6^2+R47*I6+S47</f>
        <v>5.7079095260634483E-2</v>
      </c>
      <c r="AC48" s="364"/>
    </row>
    <row r="49" spans="13:29" x14ac:dyDescent="0.15">
      <c r="M49" s="232"/>
      <c r="AC49" s="364"/>
    </row>
    <row r="50" spans="13:29" x14ac:dyDescent="0.15">
      <c r="M50" s="232"/>
      <c r="O50" s="380"/>
      <c r="AC50" s="364"/>
    </row>
    <row r="51" spans="13:29" x14ac:dyDescent="0.15">
      <c r="M51" s="232"/>
      <c r="AC51" s="364"/>
    </row>
    <row r="52" spans="13:29" x14ac:dyDescent="0.15">
      <c r="M52" s="232"/>
      <c r="AC52" s="364"/>
    </row>
    <row r="53" spans="13:29" x14ac:dyDescent="0.15">
      <c r="M53" s="232"/>
      <c r="AC53" s="364"/>
    </row>
    <row r="54" spans="13:29" x14ac:dyDescent="0.15">
      <c r="M54" s="232"/>
      <c r="AC54" s="364"/>
    </row>
    <row r="55" spans="13:29" x14ac:dyDescent="0.15">
      <c r="M55" s="232"/>
      <c r="AC55" s="364"/>
    </row>
    <row r="56" spans="13:29" x14ac:dyDescent="0.15">
      <c r="M56" s="232"/>
      <c r="AC56" s="364"/>
    </row>
    <row r="57" spans="13:29" ht="14" thickBot="1" x14ac:dyDescent="0.2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" thickBot="1" x14ac:dyDescent="0.2"/>
    <row r="60" spans="13:29" x14ac:dyDescent="0.15">
      <c r="M60" s="303" t="s">
        <v>508</v>
      </c>
      <c r="N60" s="230"/>
      <c r="O60" s="230"/>
      <c r="P60" s="231"/>
    </row>
    <row r="61" spans="13:29" x14ac:dyDescent="0.15">
      <c r="M61" s="232"/>
      <c r="P61" s="364"/>
    </row>
    <row r="62" spans="13:29" x14ac:dyDescent="0.15">
      <c r="M62" s="381">
        <v>1.6827320848017202</v>
      </c>
      <c r="N62">
        <v>6.0792984153319773</v>
      </c>
      <c r="O62">
        <v>436.72268926823335</v>
      </c>
      <c r="P62" s="364"/>
    </row>
    <row r="63" spans="13:29" ht="14" thickBot="1" x14ac:dyDescent="0.2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BCCFE-A24D-45FD-B302-736568936B50}">
  <dimension ref="A1:CD99"/>
  <sheetViews>
    <sheetView zoomScale="85" zoomScaleNormal="85" workbookViewId="0">
      <selection activeCell="DX27" sqref="DX27"/>
    </sheetView>
  </sheetViews>
  <sheetFormatPr baseColWidth="10" defaultColWidth="8.83203125" defaultRowHeight="13" x14ac:dyDescent="0.15"/>
  <cols>
    <col min="7" max="7" width="10.5" customWidth="1"/>
    <col min="8" max="8" width="12.33203125" bestFit="1" customWidth="1"/>
    <col min="9" max="11" width="9" bestFit="1" customWidth="1"/>
    <col min="16" max="16" width="10.83203125" customWidth="1"/>
    <col min="17" max="17" width="12.5" bestFit="1" customWidth="1"/>
    <col min="18" max="18" width="9.6640625" bestFit="1" customWidth="1"/>
    <col min="19" max="19" width="9" bestFit="1" customWidth="1"/>
    <col min="22" max="22" width="13" customWidth="1"/>
    <col min="25" max="25" width="10" customWidth="1"/>
    <col min="69" max="69" width="11.6640625" bestFit="1" customWidth="1"/>
  </cols>
  <sheetData>
    <row r="1" spans="1:64" x14ac:dyDescent="0.15">
      <c r="P1" t="s">
        <v>518</v>
      </c>
    </row>
    <row r="2" spans="1:64" x14ac:dyDescent="0.15">
      <c r="C2" s="2" t="s">
        <v>0</v>
      </c>
      <c r="J2" t="s">
        <v>15</v>
      </c>
      <c r="P2" s="259">
        <f t="array" ref="P2:R2">LINEST(AL34:AL37,AC34:AC37^{1,2})</f>
        <v>4.8447978794809249E-2</v>
      </c>
      <c r="Q2" s="259">
        <v>1.8012916620170054</v>
      </c>
      <c r="R2" s="259">
        <v>-24.439786790868197</v>
      </c>
      <c r="V2" t="s">
        <v>519</v>
      </c>
      <c r="W2" s="84">
        <f>P2*J3^2+Q2*J3+R2</f>
        <v>96.51553084621105</v>
      </c>
      <c r="X2" t="s">
        <v>14</v>
      </c>
      <c r="AU2" t="s">
        <v>533</v>
      </c>
    </row>
    <row r="3" spans="1:64" ht="17" x14ac:dyDescent="0.25">
      <c r="J3" s="7">
        <f>'R-series ENT'!E33</f>
        <v>34.722222222222221</v>
      </c>
      <c r="K3" t="s">
        <v>13</v>
      </c>
      <c r="L3" s="122">
        <f>'R-series ENT'!E39</f>
        <v>75</v>
      </c>
      <c r="M3" t="s">
        <v>14</v>
      </c>
      <c r="P3" t="s">
        <v>34</v>
      </c>
      <c r="AA3" s="2" t="s">
        <v>53</v>
      </c>
      <c r="AM3" s="2" t="s">
        <v>524</v>
      </c>
      <c r="AU3" t="s">
        <v>3</v>
      </c>
      <c r="AV3" s="1654">
        <v>-6.1345083678257606E-3</v>
      </c>
      <c r="AW3" s="1654">
        <v>0.65916919450130906</v>
      </c>
      <c r="AX3" s="1654">
        <v>647.82084035613195</v>
      </c>
      <c r="BE3" t="s">
        <v>2873</v>
      </c>
    </row>
    <row r="4" spans="1:6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  <c r="AU4" t="s">
        <v>408</v>
      </c>
      <c r="AV4" s="1654">
        <v>-5.7159036887344042E-3</v>
      </c>
      <c r="AW4" s="1654">
        <v>0.44164292165834573</v>
      </c>
      <c r="AX4" s="1654">
        <v>426.04915743171608</v>
      </c>
    </row>
    <row r="5" spans="1:64" x14ac:dyDescent="0.15">
      <c r="C5" t="s">
        <v>2</v>
      </c>
      <c r="D5" s="1"/>
      <c r="E5" s="1"/>
      <c r="H5" s="1"/>
      <c r="P5" s="52">
        <f t="array" ref="P5:Q5">LINEST(AF34:AF37,LN(AC34:AC37))</f>
        <v>19.805972755241232</v>
      </c>
      <c r="Q5" s="52">
        <v>-32.918447519878178</v>
      </c>
      <c r="R5" t="s">
        <v>28</v>
      </c>
      <c r="T5" s="4"/>
      <c r="U5" s="39" t="s">
        <v>43</v>
      </c>
      <c r="V5" t="s">
        <v>28</v>
      </c>
      <c r="W5" s="9">
        <f>$P$5*LN($J$3)+$Q$5</f>
        <v>37.340861970400134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M5" s="129" t="s">
        <v>523</v>
      </c>
      <c r="AN5">
        <v>0</v>
      </c>
      <c r="AU5" t="s">
        <v>411</v>
      </c>
      <c r="AV5" s="1654">
        <v>-6.723071255184605E-3</v>
      </c>
      <c r="AW5" s="1654">
        <v>0.61287592453183071</v>
      </c>
      <c r="AX5" s="1654">
        <v>200.62777170919733</v>
      </c>
      <c r="BE5" s="2" t="s">
        <v>2874</v>
      </c>
    </row>
    <row r="6" spans="1:64" x14ac:dyDescent="0.15">
      <c r="C6" s="2" t="s">
        <v>3</v>
      </c>
      <c r="D6" s="1"/>
      <c r="E6" s="1"/>
      <c r="H6" s="1"/>
      <c r="P6" s="52">
        <f t="array" ref="P6:Q6">LINEST(AG34:AG37,LN(AC34:AC37))</f>
        <v>19.058238513376562</v>
      </c>
      <c r="Q6" s="52">
        <v>-12.790335010609297</v>
      </c>
      <c r="R6" t="s">
        <v>7</v>
      </c>
      <c r="T6" s="4"/>
      <c r="U6" s="39" t="s">
        <v>43</v>
      </c>
      <c r="V6" t="s">
        <v>7</v>
      </c>
      <c r="W6" s="9">
        <f>$P$6*LN($J$3)+$Q$6</f>
        <v>54.816477065637883</v>
      </c>
      <c r="X6" t="s">
        <v>31</v>
      </c>
      <c r="AA6" s="55">
        <v>25</v>
      </c>
      <c r="AB6" s="56">
        <f t="shared" ref="AB6:AB12" si="0">(-$D$9-SQRT($D$9^2-(4*$C$9*($E$9-AA6))))/(2*$C$9)</f>
        <v>376.857790816972</v>
      </c>
      <c r="AC6" s="55">
        <v>20</v>
      </c>
      <c r="AD6" s="57">
        <f t="shared" ref="AD6:AD12" si="1">(-$D$14-SQRT($D$14^2-(4*$C$14*($E$14-AC6))))/(2*$C$14)</f>
        <v>307.94858488224804</v>
      </c>
      <c r="AE6" s="55">
        <v>10</v>
      </c>
      <c r="AF6" s="57">
        <f t="shared" ref="AF6:AF11" si="2">(-$D$19-SQRT($D$19^2-(4*$C$19*($E$19-AE6))))/(2*$C$19)</f>
        <v>220.0272127426278</v>
      </c>
      <c r="AG6" s="56">
        <v>10</v>
      </c>
      <c r="AH6" s="57">
        <f>(-$D$24-SQRT($D$24^2-(4*$C$24*($E$24-AG6))))/(2*$C$24)</f>
        <v>128.55190799708276</v>
      </c>
      <c r="AM6" s="129" t="s">
        <v>226</v>
      </c>
      <c r="AN6" s="1699">
        <v>0.76932324917594785</v>
      </c>
      <c r="AO6" s="272" t="s">
        <v>2123</v>
      </c>
      <c r="AU6" t="s">
        <v>409</v>
      </c>
      <c r="AV6" s="1654">
        <v>-4.3507773930891117E-3</v>
      </c>
      <c r="AW6" s="1654">
        <v>-0.15210978918279258</v>
      </c>
      <c r="AX6" s="1654">
        <v>101.45318027246566</v>
      </c>
      <c r="BE6" t="s">
        <v>2893</v>
      </c>
    </row>
    <row r="7" spans="1:64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si="0"/>
        <v>357.35113549736815</v>
      </c>
      <c r="AC7" s="55">
        <v>50</v>
      </c>
      <c r="AD7" s="57">
        <f t="shared" si="1"/>
        <v>298.02146155585729</v>
      </c>
      <c r="AE7" s="55">
        <v>50</v>
      </c>
      <c r="AF7" s="57">
        <f t="shared" si="2"/>
        <v>202.04778027579948</v>
      </c>
      <c r="AG7" s="56">
        <v>20</v>
      </c>
      <c r="AH7" s="57">
        <f>(-$D$24-SQRT($D$24^2-(4*$C$24*($E$24-AG7))))/(2*$C$24)</f>
        <v>120.45799561693227</v>
      </c>
      <c r="AM7" s="129" t="s">
        <v>2201</v>
      </c>
      <c r="AN7">
        <f>700/3.6</f>
        <v>194.44444444444443</v>
      </c>
      <c r="AP7" s="1536" t="s">
        <v>2919</v>
      </c>
      <c r="AU7" t="s">
        <v>534</v>
      </c>
      <c r="BE7" t="s">
        <v>2897</v>
      </c>
    </row>
    <row r="8" spans="1:64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329.20191498228081</v>
      </c>
      <c r="AC8" s="55">
        <v>100</v>
      </c>
      <c r="AD8" s="57">
        <f t="shared" si="1"/>
        <v>280.5727801082906</v>
      </c>
      <c r="AE8" s="55">
        <v>90</v>
      </c>
      <c r="AF8" s="57">
        <f t="shared" si="2"/>
        <v>181.71413323981204</v>
      </c>
      <c r="AG8" s="56">
        <v>40</v>
      </c>
      <c r="AH8" s="57">
        <f>(-$D$24-SQRT($D$24^2-(4*$C$24*($E$24-AG8))))/(2*$C$24)</f>
        <v>102.64509341270374</v>
      </c>
      <c r="AM8" s="129" t="s">
        <v>527</v>
      </c>
      <c r="AN8" s="3">
        <f>W2</f>
        <v>96.51553084621105</v>
      </c>
      <c r="AO8" t="s">
        <v>14</v>
      </c>
      <c r="AP8" s="1536" t="s">
        <v>2920</v>
      </c>
      <c r="AU8" t="s">
        <v>3</v>
      </c>
      <c r="AV8" s="1654">
        <v>-6.1912993458144681E-3</v>
      </c>
      <c r="AW8" s="1654">
        <v>0.63678063061425894</v>
      </c>
      <c r="AX8" s="1654">
        <v>648.50179321900441</v>
      </c>
      <c r="BE8" t="s">
        <v>2898</v>
      </c>
    </row>
    <row r="9" spans="1:64" x14ac:dyDescent="0.15">
      <c r="A9" s="2" t="s">
        <v>2876</v>
      </c>
      <c r="C9" s="1652">
        <f>AV17</f>
        <v>-6.1345083678257606E-3</v>
      </c>
      <c r="D9" s="1652">
        <f t="shared" ref="D9:E9" si="3">AW17</f>
        <v>0.65916919450130906</v>
      </c>
      <c r="E9" s="1652">
        <f t="shared" si="3"/>
        <v>647.82084035613195</v>
      </c>
      <c r="H9" s="2"/>
      <c r="P9" t="s">
        <v>415</v>
      </c>
      <c r="Q9" s="52">
        <f t="array" ref="Q9:R9">LINEST(AC35:AC37,U35:U37)</f>
        <v>11.150155545611689</v>
      </c>
      <c r="R9" s="52">
        <v>-7.2308100271130655</v>
      </c>
      <c r="T9" s="111">
        <f>(J3-R9)/Q9</f>
        <v>3.7625513005373752</v>
      </c>
      <c r="U9" s="39" t="s">
        <v>42</v>
      </c>
      <c r="V9" t="s">
        <v>44</v>
      </c>
      <c r="W9" s="125">
        <f>IF($J$3&gt;$AJ$35,AVERAGE(T10,T11,T11),AVERAGE(T9,T9,T11))</f>
        <v>3.7590233552788086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297.827893604721</v>
      </c>
      <c r="AC9" s="55">
        <v>150</v>
      </c>
      <c r="AD9" s="57">
        <f t="shared" si="1"/>
        <v>261.76377086640542</v>
      </c>
      <c r="AE9" s="55">
        <v>130</v>
      </c>
      <c r="AF9" s="57">
        <f t="shared" si="2"/>
        <v>157.7532490276617</v>
      </c>
      <c r="AG9" s="56">
        <v>60</v>
      </c>
      <c r="AH9" s="57">
        <f>(-$D$24-SQRT($D$24^2-(4*$C$24*($E$24-AG9))))/(2*$C$24)</f>
        <v>81.682443931248443</v>
      </c>
      <c r="AM9" s="129" t="s">
        <v>528</v>
      </c>
      <c r="AN9" s="3">
        <f>'Laskenta poistopuoli 350_ENT'!W2</f>
        <v>101.90545077196248</v>
      </c>
      <c r="AO9" t="s">
        <v>14</v>
      </c>
      <c r="AU9" t="s">
        <v>408</v>
      </c>
      <c r="AV9" s="1654">
        <v>-5.7788432851000344E-3</v>
      </c>
      <c r="AW9" s="1654">
        <v>0.4215541602315131</v>
      </c>
      <c r="AX9" s="1654">
        <v>426.54071791187062</v>
      </c>
      <c r="BF9" s="104" t="s">
        <v>2868</v>
      </c>
      <c r="BG9" s="104" t="s">
        <v>2869</v>
      </c>
      <c r="BH9" s="104" t="s">
        <v>87</v>
      </c>
    </row>
    <row r="10" spans="1:64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9.1816376660062531</v>
      </c>
      <c r="R10" s="52">
        <v>10.48585088933585</v>
      </c>
      <c r="T10" s="111">
        <f>(J3-R10)/Q10</f>
        <v>2.6396566946459008</v>
      </c>
      <c r="W10" t="b">
        <f>IF(AND(W9&lt;=10.01,'R-series ENT'!E33&gt;=W11),TRUE,FALSE)</f>
        <v>0</v>
      </c>
      <c r="AA10" s="55">
        <v>400</v>
      </c>
      <c r="AB10" s="56">
        <f t="shared" si="0"/>
        <v>261.77523969041579</v>
      </c>
      <c r="AC10" s="55">
        <v>230</v>
      </c>
      <c r="AD10" s="57">
        <f t="shared" si="1"/>
        <v>227.81893037255273</v>
      </c>
      <c r="AE10" s="55">
        <v>170</v>
      </c>
      <c r="AF10" s="57">
        <f t="shared" si="2"/>
        <v>127.0242914387899</v>
      </c>
      <c r="AG10" s="56">
        <v>80</v>
      </c>
      <c r="AH10" s="57">
        <f>(-$D$24-SQRT($D$24^2-(4*$C$24*($E$24-AG10))))/(2*$C$24)</f>
        <v>54.882637981725303</v>
      </c>
      <c r="AU10" t="s">
        <v>411</v>
      </c>
      <c r="AV10" s="1654">
        <v>-6.7928205928613197E-3</v>
      </c>
      <c r="AW10" s="1654">
        <v>0.59456191241104694</v>
      </c>
      <c r="AX10" s="1654">
        <v>201.02616139831875</v>
      </c>
      <c r="BE10" s="628" t="s">
        <v>13</v>
      </c>
      <c r="BF10" s="628" t="s">
        <v>14</v>
      </c>
      <c r="BG10" s="628" t="s">
        <v>14</v>
      </c>
      <c r="BH10" s="628" t="s">
        <v>14</v>
      </c>
    </row>
    <row r="11" spans="1:64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4.2475589878598538E-5</v>
      </c>
      <c r="R11" s="7">
        <v>8.6055916048229972E-2</v>
      </c>
      <c r="S11" s="7">
        <v>0.7127048634070019</v>
      </c>
      <c r="T11" s="111">
        <f>Q11*J3^2+R11*J3+S11</f>
        <v>3.7519674647616768</v>
      </c>
      <c r="V11" t="s">
        <v>348</v>
      </c>
      <c r="W11" s="294">
        <v>40</v>
      </c>
      <c r="X11" t="s">
        <v>13</v>
      </c>
      <c r="AA11" s="55">
        <v>500</v>
      </c>
      <c r="AB11" s="56">
        <f t="shared" si="0"/>
        <v>217.99173826425962</v>
      </c>
      <c r="AC11" s="55">
        <v>320</v>
      </c>
      <c r="AD11" s="57">
        <f t="shared" si="1"/>
        <v>180.21616269737683</v>
      </c>
      <c r="AE11" s="55">
        <v>205</v>
      </c>
      <c r="AF11" s="57">
        <f t="shared" si="2"/>
        <v>83.35848194712591</v>
      </c>
      <c r="AG11" s="56"/>
      <c r="AH11" s="57"/>
      <c r="AM11" s="129" t="s">
        <v>525</v>
      </c>
      <c r="AN11" s="227">
        <f>(J3/1000*AN8)/W14</f>
        <v>0.14450339211117666</v>
      </c>
      <c r="AU11" t="s">
        <v>409</v>
      </c>
      <c r="AV11" s="1654">
        <v>-4.4400152073177466E-3</v>
      </c>
      <c r="AW11" s="1654">
        <v>-0.16628518804594508</v>
      </c>
      <c r="AX11" s="1654">
        <v>101.64049645506952</v>
      </c>
      <c r="BE11" s="628">
        <v>0</v>
      </c>
      <c r="BF11" s="344">
        <v>0</v>
      </c>
      <c r="BG11" s="344">
        <v>0</v>
      </c>
      <c r="BH11" s="628">
        <v>0</v>
      </c>
      <c r="BJ11" t="s">
        <v>2868</v>
      </c>
    </row>
    <row r="12" spans="1:64" x14ac:dyDescent="0.15">
      <c r="C12" t="s">
        <v>11</v>
      </c>
      <c r="D12" s="1"/>
      <c r="E12" s="1"/>
      <c r="H12" s="1"/>
      <c r="P12" s="2" t="s">
        <v>51</v>
      </c>
      <c r="AA12" s="58">
        <v>610</v>
      </c>
      <c r="AB12" s="59">
        <f t="shared" si="0"/>
        <v>148.86716033053662</v>
      </c>
      <c r="AC12" s="58">
        <v>395</v>
      </c>
      <c r="AD12" s="60">
        <f t="shared" si="1"/>
        <v>121.84675224810155</v>
      </c>
      <c r="AE12" s="58"/>
      <c r="AF12" s="60"/>
      <c r="AG12" s="59"/>
      <c r="AH12" s="60"/>
      <c r="AM12" s="129" t="s">
        <v>526</v>
      </c>
      <c r="AN12" s="227">
        <f>('Laskenta poistopuoli 350_ENT'!J3/1000*AN9)/'Laskenta poistopuoli 350_ENT'!W14</f>
        <v>0.15550700684789004</v>
      </c>
      <c r="BE12" s="628">
        <v>50</v>
      </c>
      <c r="BF12" s="344">
        <v>16.899999999999999</v>
      </c>
      <c r="BG12" s="344">
        <v>19</v>
      </c>
      <c r="BH12" s="628">
        <f>BF12-BG12</f>
        <v>-2.1000000000000014</v>
      </c>
      <c r="BJ12">
        <f t="array" ref="BJ12:BL12">LINEST(BF11:BF18,BE11:BE18^{1,2})</f>
        <v>1.4435000000000008E-3</v>
      </c>
      <c r="BK12">
        <v>0.25909642857142828</v>
      </c>
      <c r="BL12">
        <v>0.14625000000003041</v>
      </c>
    </row>
    <row r="13" spans="1:64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3.9508517956807258E-2</v>
      </c>
      <c r="Q13" s="51">
        <v>-2.3984505842478989</v>
      </c>
      <c r="R13" s="51">
        <v>60.22880051236055</v>
      </c>
      <c r="U13" s="39" t="s">
        <v>43</v>
      </c>
      <c r="V13" t="s">
        <v>44</v>
      </c>
      <c r="W13" s="295">
        <f>P18</f>
        <v>23.191384374974</v>
      </c>
      <c r="X13" t="s">
        <v>49</v>
      </c>
      <c r="Y13" s="129" t="s">
        <v>414</v>
      </c>
      <c r="AU13" t="s">
        <v>535</v>
      </c>
      <c r="BE13" s="628">
        <v>100</v>
      </c>
      <c r="BF13" s="344">
        <v>40.56</v>
      </c>
      <c r="BG13" s="344">
        <v>48</v>
      </c>
      <c r="BH13" s="628">
        <f t="shared" ref="BH13:BH18" si="4">BF13-BG13</f>
        <v>-7.4399999999999977</v>
      </c>
      <c r="BJ13" t="s">
        <v>2869</v>
      </c>
    </row>
    <row r="14" spans="1:64" ht="14" thickBot="1" x14ac:dyDescent="0.2">
      <c r="A14" s="2" t="s">
        <v>2876</v>
      </c>
      <c r="C14" s="1652">
        <f>AV18</f>
        <v>-5.7159036887344042E-3</v>
      </c>
      <c r="D14" s="1652">
        <f t="shared" ref="D14:E14" si="5">AW18</f>
        <v>0.44164292165834573</v>
      </c>
      <c r="E14" s="1652">
        <f t="shared" si="5"/>
        <v>426.04915743171608</v>
      </c>
      <c r="H14" s="2"/>
      <c r="O14" t="s">
        <v>413</v>
      </c>
      <c r="P14">
        <f t="array" ref="P14:S14">LINEST(AE34:AE37,AC34:AC37^{1,2,3})</f>
        <v>2.4474835554238371E-4</v>
      </c>
      <c r="Q14">
        <v>-1.1968078938949668E-2</v>
      </c>
      <c r="R14">
        <v>0.98336315249577388</v>
      </c>
      <c r="S14">
        <v>-8.1604219209080355</v>
      </c>
      <c r="V14" t="s">
        <v>52</v>
      </c>
      <c r="W14" s="296">
        <f>IF(W13&gt;Y14,Y14,W13)</f>
        <v>23.191384374974</v>
      </c>
      <c r="X14" t="s">
        <v>49</v>
      </c>
      <c r="Y14" s="129">
        <v>516</v>
      </c>
      <c r="Z14" t="s">
        <v>49</v>
      </c>
      <c r="AM14" s="297" t="s">
        <v>520</v>
      </c>
      <c r="AN14" s="84">
        <f>1100+((AN6-0.73)*3000)-300*(AN7/1000)/2-AN5</f>
        <v>1188.8030808611768</v>
      </c>
      <c r="AU14" s="451" t="b">
        <f>Tulokset_ENT!D41</f>
        <v>0</v>
      </c>
      <c r="BE14" s="628">
        <v>150</v>
      </c>
      <c r="BF14" s="344">
        <v>71.47</v>
      </c>
      <c r="BG14" s="344">
        <v>85</v>
      </c>
      <c r="BH14" s="628">
        <f t="shared" si="4"/>
        <v>-13.530000000000001</v>
      </c>
      <c r="BJ14">
        <f t="array" ref="BJ14:BL14">LINEST(BG11:BG18,BE11:BE18^{1,2})</f>
        <v>1.6214285714285716E-3</v>
      </c>
      <c r="BK14">
        <v>0.2836904761904761</v>
      </c>
      <c r="BL14">
        <v>1.5416666666666714</v>
      </c>
    </row>
    <row r="15" spans="1:64" x14ac:dyDescent="0.15">
      <c r="C15" s="2"/>
      <c r="D15" s="2"/>
      <c r="E15" s="2"/>
      <c r="H15" s="2"/>
      <c r="BE15" s="628">
        <v>200</v>
      </c>
      <c r="BF15" s="344">
        <v>109.6</v>
      </c>
      <c r="BG15" s="344">
        <v>125</v>
      </c>
      <c r="BH15" s="628">
        <f t="shared" si="4"/>
        <v>-15.400000000000006</v>
      </c>
      <c r="BJ15" t="s">
        <v>87</v>
      </c>
    </row>
    <row r="16" spans="1:64" ht="14" thickBot="1" x14ac:dyDescent="0.2">
      <c r="C16" s="2" t="s">
        <v>411</v>
      </c>
      <c r="D16" s="1"/>
      <c r="E16" s="1"/>
      <c r="H16" s="1"/>
      <c r="O16" t="s">
        <v>412</v>
      </c>
      <c r="P16" s="3">
        <f>$P$13*J3^2+$Q$13*J3+$R$13</f>
        <v>24.58202814843763</v>
      </c>
      <c r="Q16" t="s">
        <v>49</v>
      </c>
      <c r="V16" t="s">
        <v>58</v>
      </c>
      <c r="W16">
        <f>'Laskenta poistopuoli 350_ENT'!W13</f>
        <v>22.75385385573588</v>
      </c>
      <c r="AM16" s="129" t="s">
        <v>521</v>
      </c>
      <c r="AN16" s="3">
        <f>(AN8-L3)/AN11</f>
        <v>148.89291200622912</v>
      </c>
      <c r="AU16" t="s">
        <v>21</v>
      </c>
      <c r="BE16" s="628">
        <v>250</v>
      </c>
      <c r="BF16" s="344">
        <v>155.1</v>
      </c>
      <c r="BG16" s="344">
        <v>167</v>
      </c>
      <c r="BH16" s="628">
        <f t="shared" si="4"/>
        <v>-11.900000000000006</v>
      </c>
      <c r="BJ16" s="2">
        <f>BJ14-BJ12</f>
        <v>1.7792857142857085E-4</v>
      </c>
      <c r="BK16" s="2">
        <f t="shared" ref="BK16:BL16" si="6">BK14-BK12</f>
        <v>2.4594047619047821E-2</v>
      </c>
      <c r="BL16" s="2">
        <f t="shared" si="6"/>
        <v>1.395416666666641</v>
      </c>
    </row>
    <row r="17" spans="1:75" ht="14" thickBot="1" x14ac:dyDescent="0.2">
      <c r="C17" t="s">
        <v>11</v>
      </c>
      <c r="D17" s="1"/>
      <c r="E17" s="1"/>
      <c r="H17" s="1"/>
      <c r="O17" t="s">
        <v>413</v>
      </c>
      <c r="P17" s="3">
        <f>$P$14*J3^3+$Q$14*J3^2+$R$14*J3+$S$14</f>
        <v>21.80074060151037</v>
      </c>
      <c r="Q17" t="s">
        <v>49</v>
      </c>
      <c r="V17" t="s">
        <v>73</v>
      </c>
      <c r="W17" s="294">
        <v>2.37</v>
      </c>
      <c r="AM17" s="129" t="s">
        <v>522</v>
      </c>
      <c r="AN17" s="3">
        <f>(AN9-'Laskenta poistopuoli 350_ENT'!L3)/AN12</f>
        <v>76.558934631208317</v>
      </c>
      <c r="AU17" s="2" t="s">
        <v>3</v>
      </c>
      <c r="AV17" s="2">
        <f>IF($AU$14,AV8,AV3)</f>
        <v>-6.1345083678257606E-3</v>
      </c>
      <c r="AW17" s="2">
        <f t="shared" ref="AW17:AX17" si="7">IF($AU$14,AW8,AW3)</f>
        <v>0.65916919450130906</v>
      </c>
      <c r="AX17" s="2">
        <f t="shared" si="7"/>
        <v>647.82084035613195</v>
      </c>
      <c r="BE17" s="628">
        <v>300</v>
      </c>
      <c r="BF17" s="344">
        <v>207.8</v>
      </c>
      <c r="BG17" s="344">
        <v>229</v>
      </c>
      <c r="BH17" s="628">
        <f t="shared" si="4"/>
        <v>-21.199999999999989</v>
      </c>
      <c r="BJ17">
        <f t="array" ref="BJ17:BL17">LINEST(BH11:BH18,BE11:BE18^{1,2})</f>
        <v>-1.779285714285715E-4</v>
      </c>
      <c r="BK17">
        <v>-2.4594047619047599E-2</v>
      </c>
      <c r="BL17">
        <v>-1.3954166666666667</v>
      </c>
    </row>
    <row r="18" spans="1:75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23.191384374974</v>
      </c>
      <c r="Q18" t="s">
        <v>49</v>
      </c>
      <c r="AM18" s="297" t="s">
        <v>529</v>
      </c>
      <c r="AN18" s="84">
        <f>AN16+AN17</f>
        <v>225.45184663743743</v>
      </c>
      <c r="AU18" s="2" t="s">
        <v>408</v>
      </c>
      <c r="AV18" s="2">
        <f t="shared" ref="AV18:AX20" si="8">IF($AU$14,AV9,AV4)</f>
        <v>-5.7159036887344042E-3</v>
      </c>
      <c r="AW18" s="2">
        <f t="shared" si="8"/>
        <v>0.44164292165834573</v>
      </c>
      <c r="AX18" s="2">
        <f t="shared" si="8"/>
        <v>426.04915743171608</v>
      </c>
      <c r="BE18" s="628">
        <v>350</v>
      </c>
      <c r="BF18" s="344">
        <v>267.7</v>
      </c>
      <c r="BG18" s="344">
        <v>304</v>
      </c>
      <c r="BH18" s="628">
        <f t="shared" si="4"/>
        <v>-36.300000000000011</v>
      </c>
    </row>
    <row r="19" spans="1:75" x14ac:dyDescent="0.15">
      <c r="A19" s="2" t="s">
        <v>2876</v>
      </c>
      <c r="C19" s="1652">
        <f>AV19</f>
        <v>-6.723071255184605E-3</v>
      </c>
      <c r="D19" s="1652">
        <f t="shared" ref="D19:E19" si="9">AW19</f>
        <v>0.61287592453183071</v>
      </c>
      <c r="E19" s="1652">
        <f t="shared" si="9"/>
        <v>200.62777170919733</v>
      </c>
      <c r="V19" s="74" t="s">
        <v>74</v>
      </c>
      <c r="W19" s="77">
        <f>W13+W16+W17</f>
        <v>48.315238230709873</v>
      </c>
      <c r="X19" s="75" t="s">
        <v>49</v>
      </c>
      <c r="AB19" s="6"/>
      <c r="AC19" s="6"/>
      <c r="AU19" s="2" t="s">
        <v>411</v>
      </c>
      <c r="AV19" s="2">
        <f t="shared" si="8"/>
        <v>-6.723071255184605E-3</v>
      </c>
      <c r="AW19" s="2">
        <f t="shared" si="8"/>
        <v>0.61287592453183071</v>
      </c>
      <c r="AX19" s="2">
        <f t="shared" si="8"/>
        <v>200.62777170919733</v>
      </c>
    </row>
    <row r="20" spans="1:75" x14ac:dyDescent="0.15">
      <c r="C20" s="2"/>
      <c r="D20" s="2"/>
      <c r="E20" s="2"/>
      <c r="H20" s="1"/>
      <c r="AB20" s="6"/>
      <c r="AC20" s="6"/>
      <c r="AU20" s="2" t="s">
        <v>409</v>
      </c>
      <c r="AV20" s="2">
        <f>IF($AU$14,AV11,AV6)</f>
        <v>-4.3507773930891117E-3</v>
      </c>
      <c r="AW20" s="2">
        <f t="shared" si="8"/>
        <v>-0.15210978918279258</v>
      </c>
      <c r="AX20" s="2">
        <f t="shared" si="8"/>
        <v>101.45318027246566</v>
      </c>
      <c r="BE20" s="2" t="s">
        <v>2880</v>
      </c>
      <c r="BI20" s="2" t="s">
        <v>533</v>
      </c>
    </row>
    <row r="21" spans="1:75" x14ac:dyDescent="0.15">
      <c r="C21" s="2" t="s">
        <v>409</v>
      </c>
      <c r="D21" s="1"/>
      <c r="E21" s="1"/>
      <c r="H21" s="1"/>
      <c r="O21" t="s">
        <v>461</v>
      </c>
      <c r="V21" t="s">
        <v>78</v>
      </c>
      <c r="W21">
        <f>MAX(J3,'Laskenta poistopuoli 60_ENT'!J3)</f>
        <v>34.722222222222221</v>
      </c>
      <c r="X21" t="s">
        <v>13</v>
      </c>
      <c r="AB21" s="6"/>
      <c r="AC21" s="6"/>
      <c r="BF21" t="s">
        <v>4</v>
      </c>
      <c r="BG21" t="s">
        <v>5</v>
      </c>
      <c r="BH21" t="s">
        <v>6</v>
      </c>
    </row>
    <row r="22" spans="1:75" ht="15" x14ac:dyDescent="0.15">
      <c r="C22" t="s">
        <v>11</v>
      </c>
      <c r="D22" s="1"/>
      <c r="E22" s="1"/>
      <c r="H22" s="1"/>
      <c r="O22">
        <v>165</v>
      </c>
      <c r="P22" t="s">
        <v>13</v>
      </c>
      <c r="V22" t="s">
        <v>75</v>
      </c>
      <c r="W22">
        <f>W19/W21</f>
        <v>1.3914788610444444</v>
      </c>
      <c r="X22" t="s">
        <v>77</v>
      </c>
      <c r="AB22" s="6"/>
      <c r="AC22" s="6"/>
      <c r="BE22">
        <v>10</v>
      </c>
      <c r="BF22" s="8">
        <v>-6.3124369392543317E-3</v>
      </c>
      <c r="BG22" s="8">
        <v>0.63457514688226124</v>
      </c>
      <c r="BH22" s="8">
        <v>646.42542368946533</v>
      </c>
    </row>
    <row r="23" spans="1:75" x14ac:dyDescent="0.15">
      <c r="C23" t="s">
        <v>4</v>
      </c>
      <c r="D23" t="s">
        <v>5</v>
      </c>
      <c r="E23" t="s">
        <v>6</v>
      </c>
      <c r="H23" s="1"/>
      <c r="O23">
        <v>198</v>
      </c>
      <c r="P23" t="s">
        <v>14</v>
      </c>
      <c r="BE23">
        <v>8</v>
      </c>
      <c r="BF23" s="8">
        <v>-5.8938322601629753E-3</v>
      </c>
      <c r="BG23" s="8">
        <v>0.41704887403929791</v>
      </c>
      <c r="BH23" s="8">
        <v>424.65374076504946</v>
      </c>
    </row>
    <row r="24" spans="1:75" x14ac:dyDescent="0.15">
      <c r="A24" s="2" t="s">
        <v>2876</v>
      </c>
      <c r="C24" s="1652">
        <f>AV20</f>
        <v>-4.3507773930891117E-3</v>
      </c>
      <c r="D24" s="1652">
        <f t="shared" ref="D24:E24" si="10">AW20</f>
        <v>-0.15210978918279258</v>
      </c>
      <c r="E24" s="1652">
        <f t="shared" si="10"/>
        <v>101.45318027246566</v>
      </c>
      <c r="H24" s="1"/>
      <c r="BE24">
        <v>6</v>
      </c>
      <c r="BF24" s="8">
        <v>-6.900999826613176E-3</v>
      </c>
      <c r="BG24" s="8">
        <v>0.58828187691278289</v>
      </c>
      <c r="BH24" s="8">
        <v>199.23235504253068</v>
      </c>
    </row>
    <row r="25" spans="1:75" x14ac:dyDescent="0.15">
      <c r="G25" s="2"/>
      <c r="H25" s="1"/>
      <c r="BE25">
        <v>4</v>
      </c>
      <c r="BF25" s="8">
        <v>-4.5287059645176828E-3</v>
      </c>
      <c r="BG25" s="8">
        <v>-0.1767038368018404</v>
      </c>
      <c r="BH25" s="8">
        <v>100.05776360579901</v>
      </c>
    </row>
    <row r="27" spans="1:75" x14ac:dyDescent="0.15">
      <c r="U27" t="s">
        <v>407</v>
      </c>
    </row>
    <row r="28" spans="1:75" x14ac:dyDescent="0.15">
      <c r="U28" s="4" t="s">
        <v>17</v>
      </c>
      <c r="BE28" s="2" t="s">
        <v>2882</v>
      </c>
    </row>
    <row r="29" spans="1:75" x14ac:dyDescent="0.15">
      <c r="U29" s="4">
        <f>L3/J3^2</f>
        <v>6.2207999999999999E-2</v>
      </c>
      <c r="BF29" t="s">
        <v>4</v>
      </c>
      <c r="BG29" t="s">
        <v>5</v>
      </c>
      <c r="BH29" t="s">
        <v>6</v>
      </c>
    </row>
    <row r="30" spans="1:75" x14ac:dyDescent="0.15">
      <c r="BE30">
        <f>BE22</f>
        <v>10</v>
      </c>
      <c r="BF30" s="1654">
        <f>BF22+$BJ$16</f>
        <v>-6.1345083678257606E-3</v>
      </c>
      <c r="BG30" s="1654">
        <f>BG22+$BK$16</f>
        <v>0.65916919450130906</v>
      </c>
      <c r="BH30" s="1654">
        <f>BH22+$BL$16</f>
        <v>647.82084035613195</v>
      </c>
    </row>
    <row r="31" spans="1:75" x14ac:dyDescent="0.15">
      <c r="U31" s="2" t="s">
        <v>16</v>
      </c>
      <c r="AO31" s="2" t="s">
        <v>1110</v>
      </c>
      <c r="BE31">
        <f t="shared" ref="BE31:BE33" si="11">BE23</f>
        <v>8</v>
      </c>
      <c r="BF31" s="1654">
        <f t="shared" ref="BF31:BF33" si="12">BF23+$BJ$16</f>
        <v>-5.7159036887344042E-3</v>
      </c>
      <c r="BG31" s="1654">
        <f t="shared" ref="BG31:BG33" si="13">BG23+$BK$16</f>
        <v>0.44164292165834573</v>
      </c>
      <c r="BH31" s="1654">
        <f t="shared" ref="BH31:BH33" si="14">BH23+$BL$16</f>
        <v>426.04915743171608</v>
      </c>
      <c r="BN31" s="2" t="s">
        <v>2899</v>
      </c>
    </row>
    <row r="32" spans="1:7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  <c r="BE32">
        <f t="shared" si="11"/>
        <v>6</v>
      </c>
      <c r="BF32" s="1654">
        <f t="shared" si="12"/>
        <v>-6.723071255184605E-3</v>
      </c>
      <c r="BG32" s="1654">
        <f t="shared" si="13"/>
        <v>0.61287592453183071</v>
      </c>
      <c r="BH32" s="1654">
        <f t="shared" si="14"/>
        <v>200.62777170919733</v>
      </c>
      <c r="BN32" t="s">
        <v>2883</v>
      </c>
      <c r="BW32" t="s">
        <v>2883</v>
      </c>
    </row>
    <row r="33" spans="21:8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11.150155545611689</v>
      </c>
      <c r="AX33" s="52">
        <f>R9</f>
        <v>-7.2308100271130655</v>
      </c>
      <c r="AZ33" s="111">
        <f>(AO36-AX33)/AW33</f>
        <v>4.385362741690547</v>
      </c>
      <c r="BE33">
        <f t="shared" si="11"/>
        <v>4</v>
      </c>
      <c r="BF33" s="1654">
        <f t="shared" si="12"/>
        <v>-4.3507773930891117E-3</v>
      </c>
      <c r="BG33" s="1654">
        <f t="shared" si="13"/>
        <v>-0.15210978918279258</v>
      </c>
      <c r="BH33" s="1654">
        <f t="shared" si="14"/>
        <v>101.45318027246566</v>
      </c>
      <c r="BN33" s="2" t="s">
        <v>2884</v>
      </c>
      <c r="BW33" s="2" t="s">
        <v>2727</v>
      </c>
    </row>
    <row r="34" spans="21:82" x14ac:dyDescent="0.15">
      <c r="U34" s="35">
        <v>10</v>
      </c>
      <c r="V34" s="98">
        <f>C9</f>
        <v>-6.1345083678257606E-3</v>
      </c>
      <c r="W34" s="99">
        <f>D9</f>
        <v>0.65916919450130906</v>
      </c>
      <c r="X34" s="100">
        <f>E9</f>
        <v>647.82084035613195</v>
      </c>
      <c r="Y34" s="36">
        <f>C9-U29</f>
        <v>-6.8342508367825766E-2</v>
      </c>
      <c r="Z34" s="28">
        <f>(-W34+SQRT(W34^2-(4*Y34*X34)))/(2*Y34)</f>
        <v>-92.657144127034087</v>
      </c>
      <c r="AA34" s="29">
        <f>(-W34-SQRT(W34^2-(4*Y34*X34)))/(2*Y34)</f>
        <v>102.30222754939838</v>
      </c>
      <c r="AB34" s="36">
        <f>AB6</f>
        <v>376.857790816972</v>
      </c>
      <c r="AC34" s="53">
        <f>IF(Z34&lt;0,AA34,IF(Z34&gt;AB34,AA34,Z34))</f>
        <v>102.30222754939838</v>
      </c>
      <c r="AD34" s="53">
        <f>V34*AC34^2+W34*AC34+X34</f>
        <v>651.05311233567716</v>
      </c>
      <c r="AE34" s="53">
        <f>X51*AC34^2+Y51*AC34+Z51</f>
        <v>229.22945026558938</v>
      </c>
      <c r="AF34" s="53">
        <f>AVERAGE(K61:K62,K61)</f>
        <v>59.271194955387301</v>
      </c>
      <c r="AG34" s="53">
        <f>AVERAGE(U61:U62,U61)</f>
        <v>75.294847173186668</v>
      </c>
      <c r="AI34">
        <v>10</v>
      </c>
      <c r="AJ34" s="3">
        <f>AC34</f>
        <v>102.30222754939838</v>
      </c>
      <c r="AL34">
        <f>AN52*AC34^2+AO52*AC34+AP52</f>
        <v>668.50506554139042</v>
      </c>
      <c r="AM34" t="s">
        <v>14</v>
      </c>
      <c r="AO34" s="616">
        <f>AC34/$J$3-1</f>
        <v>1.9463041534226733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Y35" si="15">Q10</f>
        <v>9.1816376660062531</v>
      </c>
      <c r="AX34" s="52">
        <f t="shared" si="15"/>
        <v>10.48585088933585</v>
      </c>
      <c r="AZ34" s="111">
        <f>(AO36-AX34)/AW34</f>
        <v>3.3959971969677571</v>
      </c>
      <c r="BN34" s="1655" t="s">
        <v>102</v>
      </c>
      <c r="BO34" s="1656"/>
      <c r="BP34" s="1655" t="s">
        <v>404</v>
      </c>
      <c r="BQ34" s="1657"/>
      <c r="BR34" s="1655" t="s">
        <v>405</v>
      </c>
      <c r="BS34" s="1657"/>
      <c r="BT34" s="1656" t="s">
        <v>406</v>
      </c>
      <c r="BU34" s="1657"/>
      <c r="BW34" s="1655" t="s">
        <v>102</v>
      </c>
      <c r="BX34" s="1656"/>
      <c r="BY34" s="1655" t="s">
        <v>404</v>
      </c>
      <c r="BZ34" s="1657"/>
      <c r="CA34" s="1655" t="s">
        <v>405</v>
      </c>
      <c r="CB34" s="1657"/>
      <c r="CC34" s="1656" t="s">
        <v>406</v>
      </c>
      <c r="CD34" s="1657"/>
    </row>
    <row r="35" spans="21:82" x14ac:dyDescent="0.15">
      <c r="U35" s="35">
        <v>8</v>
      </c>
      <c r="V35" s="98">
        <f>C14</f>
        <v>-5.7159036887344042E-3</v>
      </c>
      <c r="W35" s="99">
        <f>D14</f>
        <v>0.44164292165834573</v>
      </c>
      <c r="X35" s="100">
        <f>E14</f>
        <v>426.04915743171608</v>
      </c>
      <c r="Y35" s="36">
        <f>C14-U29</f>
        <v>-6.7923903688734411E-2</v>
      </c>
      <c r="Z35" s="28">
        <f t="shared" ref="Z35:Z37" si="16">(-W35+SQRT(W35^2-(4*Y35*X35)))/(2*Y35)</f>
        <v>-76.014472631284107</v>
      </c>
      <c r="AA35" s="29">
        <f t="shared" ref="AA35:AA37" si="17">(-W35-SQRT(W35^2-(4*Y35*X35)))/(2*Y35)</f>
        <v>82.516497657439885</v>
      </c>
      <c r="AB35" s="36">
        <f>AD6</f>
        <v>307.94858488224804</v>
      </c>
      <c r="AC35" s="53">
        <f t="shared" ref="AC35:AC37" si="18">IF(Z35&lt;0,AA35,IF(Z35&gt;AB35,AA35,Z35))</f>
        <v>82.516497657439885</v>
      </c>
      <c r="AD35" s="53">
        <f>V35*AC35^2+W35*AC35+X35</f>
        <v>423.57255416653271</v>
      </c>
      <c r="AE35" s="53">
        <f t="shared" ref="AE35:AE37" si="19">X52*AC35^2+Y52*AC35+Z52</f>
        <v>129.00543097061279</v>
      </c>
      <c r="AF35" s="53">
        <f>AVERAGE(K66:K67,K66)</f>
        <v>53.432128271479861</v>
      </c>
      <c r="AG35" s="53">
        <f>AVERAGE(U66:U67,U66)</f>
        <v>71.060765816515371</v>
      </c>
      <c r="AI35">
        <v>9</v>
      </c>
      <c r="AJ35" s="3">
        <f>Q9*AI35+R9</f>
        <v>93.120589883392128</v>
      </c>
      <c r="AL35">
        <f t="shared" ref="AL35:AL37" si="20">AN53*AC35^2+AO53*AC35+AP53</f>
        <v>449.79401956446526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si="15"/>
        <v>4.2475589878598538E-5</v>
      </c>
      <c r="AX35" s="52">
        <f t="shared" si="15"/>
        <v>8.6055916048229972E-2</v>
      </c>
      <c r="AY35" s="52">
        <f t="shared" si="15"/>
        <v>0.7127048634070019</v>
      </c>
      <c r="AZ35" s="111">
        <f>AW35*AO36^2+AX35*AO36+AY35</f>
        <v>4.3721103756224844</v>
      </c>
      <c r="BN35" s="1658" t="s">
        <v>14</v>
      </c>
      <c r="BO35" s="1659" t="s">
        <v>13</v>
      </c>
      <c r="BP35" s="1658" t="s">
        <v>14</v>
      </c>
      <c r="BQ35" s="1660" t="s">
        <v>13</v>
      </c>
      <c r="BR35" s="1658" t="s">
        <v>14</v>
      </c>
      <c r="BS35" s="1660" t="s">
        <v>13</v>
      </c>
      <c r="BT35" s="1659" t="s">
        <v>14</v>
      </c>
      <c r="BU35" s="1660" t="s">
        <v>13</v>
      </c>
      <c r="BW35" s="1658" t="s">
        <v>14</v>
      </c>
      <c r="BX35" s="1659" t="s">
        <v>13</v>
      </c>
      <c r="BY35" s="1658" t="s">
        <v>14</v>
      </c>
      <c r="BZ35" s="1660" t="s">
        <v>13</v>
      </c>
      <c r="CA35" s="1658" t="s">
        <v>14</v>
      </c>
      <c r="CB35" s="1660" t="s">
        <v>13</v>
      </c>
      <c r="CC35" s="1659" t="s">
        <v>14</v>
      </c>
      <c r="CD35" s="1660" t="s">
        <v>13</v>
      </c>
    </row>
    <row r="36" spans="21:82" x14ac:dyDescent="0.15">
      <c r="U36" s="35">
        <v>6</v>
      </c>
      <c r="V36" s="98">
        <f>C19</f>
        <v>-6.723071255184605E-3</v>
      </c>
      <c r="W36" s="99">
        <f>D19</f>
        <v>0.61287592453183071</v>
      </c>
      <c r="X36" s="100">
        <f>E19</f>
        <v>200.62777170919733</v>
      </c>
      <c r="Y36" s="36">
        <f>C19-U29</f>
        <v>-6.8931071255184606E-2</v>
      </c>
      <c r="Z36" s="28">
        <f t="shared" si="16"/>
        <v>-49.68685487141709</v>
      </c>
      <c r="AA36" s="29">
        <f t="shared" si="17"/>
        <v>58.577996607238198</v>
      </c>
      <c r="AB36" s="36">
        <f>AF6</f>
        <v>220.0272127426278</v>
      </c>
      <c r="AC36" s="53">
        <f t="shared" si="18"/>
        <v>58.577996607238198</v>
      </c>
      <c r="AD36" s="53">
        <f>V36*AC36^2+W36*AC36+X36</f>
        <v>213.45939195488748</v>
      </c>
      <c r="AE36" s="53">
        <f t="shared" si="19"/>
        <v>57.571242061674269</v>
      </c>
      <c r="AF36" s="53">
        <f>AVERAGE(K71:K72,K71)</f>
        <v>48.374700520908959</v>
      </c>
      <c r="AG36" s="53">
        <f>AVERAGE(U71:U72,U71)</f>
        <v>65.498096195133584</v>
      </c>
      <c r="AI36">
        <v>8</v>
      </c>
      <c r="AJ36" s="3">
        <f>AC35</f>
        <v>82.516497657439885</v>
      </c>
      <c r="AL36">
        <f t="shared" si="20"/>
        <v>251.50373062372893</v>
      </c>
      <c r="AM36" t="s">
        <v>14</v>
      </c>
      <c r="AO36" s="609">
        <f>Tulokset_ENT!$CR$16</f>
        <v>41.666666666666664</v>
      </c>
      <c r="AP36" t="s">
        <v>13</v>
      </c>
      <c r="AR36" s="617">
        <f>IF($AO$36&gt;$AJ$35,AVERAGE(AZ34,AZ35,AZ35),AVERAGE(AZ33,AZ33,AZ35))</f>
        <v>4.3809452863345264</v>
      </c>
      <c r="AS36" t="s">
        <v>25</v>
      </c>
      <c r="BE36" t="s">
        <v>2885</v>
      </c>
      <c r="BN36" s="1661">
        <f>AA6</f>
        <v>25</v>
      </c>
      <c r="BO36" s="1662">
        <f>(-$BG$22-SQRT($BG$22^2-(4*$BF$22*($BH$22-BN36))))/(2*$BF$22)</f>
        <v>368.02333717549868</v>
      </c>
      <c r="BP36" s="1661">
        <f>AC6</f>
        <v>20</v>
      </c>
      <c r="BQ36" s="1662">
        <f>(-$BG$23-SQRT($BG$23^2-(4*$BF$23*($BH$23-BP36))))/(2*$BF$23)</f>
        <v>299.78303188704132</v>
      </c>
      <c r="BR36" s="1661">
        <f>AE6</f>
        <v>10</v>
      </c>
      <c r="BS36" s="1662">
        <f>(-$BG$24-SQRT($BG$24^2-(4*$BF$24*($BH$24-BR36))))/(2*$BF$24)</f>
        <v>213.61335762915562</v>
      </c>
      <c r="BT36" s="1661">
        <f>AG6</f>
        <v>10</v>
      </c>
      <c r="BU36" s="1662">
        <f>(-$BG$25-SQRT($BG$25^2-(4*$BF$25*($BH$25-BT36))))/(2*$BF$25)</f>
        <v>122.85148290021115</v>
      </c>
      <c r="BW36" s="55">
        <f>BN36</f>
        <v>25</v>
      </c>
      <c r="BX36" s="1662">
        <f>(-$BG$30-SQRT($BG$30^2-(4*$BF$30*($BH$30-BW36))))/(2*$BF$30)</f>
        <v>376.857790816972</v>
      </c>
      <c r="BY36" s="55">
        <f>BP36</f>
        <v>20</v>
      </c>
      <c r="BZ36" s="1662">
        <f>(-$BG$31-SQRT($BG$31^2-(4*$BF$31*($BH$31-BY36))))/(2*$BF$31)</f>
        <v>307.94858488224804</v>
      </c>
      <c r="CA36" s="55">
        <f>BR36</f>
        <v>10</v>
      </c>
      <c r="CB36" s="1662">
        <f>(-$BG$32-SQRT($BG$32^2-(4*$BF$32*($BH$32-CA36))))/(2*$BF$32)</f>
        <v>220.0272127426278</v>
      </c>
      <c r="CC36" s="55">
        <f>BT36</f>
        <v>10</v>
      </c>
      <c r="CD36" s="1662">
        <f>(-$BG$33-SQRT($BG$33^2-(4*$BF$33*($BH$33-CC36))))/(2*$BF$33)</f>
        <v>128.55190799708276</v>
      </c>
    </row>
    <row r="37" spans="21:82" x14ac:dyDescent="0.15">
      <c r="U37" s="38">
        <v>4</v>
      </c>
      <c r="V37" s="101">
        <f>C24</f>
        <v>-4.3507773930891117E-3</v>
      </c>
      <c r="W37" s="102">
        <f>D24</f>
        <v>-0.15210978918279258</v>
      </c>
      <c r="X37" s="103">
        <f>E24</f>
        <v>101.45318027246566</v>
      </c>
      <c r="Y37" s="37">
        <f>C24-U29</f>
        <v>-6.6558777393089116E-2</v>
      </c>
      <c r="Z37" s="30">
        <f t="shared" si="16"/>
        <v>-40.201220776401655</v>
      </c>
      <c r="AA37" s="31">
        <f t="shared" si="17"/>
        <v>37.915875474993129</v>
      </c>
      <c r="AB37" s="37">
        <f>AH6</f>
        <v>128.55190799708276</v>
      </c>
      <c r="AC37" s="53">
        <f t="shared" si="18"/>
        <v>37.915875474993129</v>
      </c>
      <c r="AD37" s="53">
        <f>V37*AC37^2+W37*AC37+X37</f>
        <v>89.431067639692799</v>
      </c>
      <c r="AE37" s="53">
        <f t="shared" si="19"/>
        <v>25.260015769487143</v>
      </c>
      <c r="AF37" s="53">
        <f>AVERAGE(K76:K77,K76)</f>
        <v>38.932052844315898</v>
      </c>
      <c r="AG37" s="53">
        <f>AVERAGE(U76:U77,U76)</f>
        <v>56.146767270411296</v>
      </c>
      <c r="AI37">
        <v>6</v>
      </c>
      <c r="AJ37" s="3">
        <f t="shared" ref="AJ37:AJ38" si="21">AC36</f>
        <v>58.577996607238198</v>
      </c>
      <c r="AL37">
        <f t="shared" si="20"/>
        <v>111.98223253163167</v>
      </c>
      <c r="AM37" t="s">
        <v>14</v>
      </c>
      <c r="AO37" s="609">
        <f>Tulokset_ENT!$CR$17</f>
        <v>107.99999999999999</v>
      </c>
      <c r="AP37" t="s">
        <v>14</v>
      </c>
      <c r="BF37" t="s">
        <v>13</v>
      </c>
      <c r="BG37" s="4" t="s">
        <v>2886</v>
      </c>
      <c r="BH37" s="4" t="s">
        <v>2887</v>
      </c>
      <c r="BJ37" t="s">
        <v>2119</v>
      </c>
      <c r="BN37" s="55">
        <f t="shared" ref="BN37:BT42" si="22">AA7</f>
        <v>100</v>
      </c>
      <c r="BO37" s="57">
        <f t="shared" ref="BO37:BO42" si="23">(-$BG$22-SQRT($BG$22^2-(4*$BF$22*($BH$22-BN37))))/(2*$BF$22)</f>
        <v>348.74296772600093</v>
      </c>
      <c r="BP37" s="55">
        <f t="shared" si="22"/>
        <v>50</v>
      </c>
      <c r="BQ37" s="57">
        <f t="shared" ref="BQ37:BQ41" si="24">(-$BG$23-SQRT($BG$23^2-(4*$BF$23*($BH$23-BP37))))/(2*$BF$23)</f>
        <v>289.97555040775342</v>
      </c>
      <c r="BR37" s="55">
        <f t="shared" si="22"/>
        <v>50</v>
      </c>
      <c r="BS37" s="57">
        <f t="shared" ref="BS37:BS41" si="25">(-$BG$24-SQRT($BG$24^2-(4*$BF$24*($BH$24-BR37))))/(2*$BF$24)</f>
        <v>195.72898551317115</v>
      </c>
      <c r="BT37" s="55">
        <f t="shared" si="22"/>
        <v>20</v>
      </c>
      <c r="BU37" s="57">
        <f t="shared" ref="BU37:BU40" si="26">(-$BG$25-SQRT($BG$25^2-(4*$BF$25*($BH$25-BT37))))/(2*$BF$25)</f>
        <v>114.87245597479257</v>
      </c>
      <c r="BW37" s="55">
        <f t="shared" ref="BW37:CC42" si="27">BN37</f>
        <v>100</v>
      </c>
      <c r="BX37" s="57">
        <f t="shared" ref="BX37:BX42" si="28">(-$BG$30-SQRT($BG$30^2-(4*$BF$30*($BH$30-BW37))))/(2*$BF$30)</f>
        <v>357.35113549736815</v>
      </c>
      <c r="BY37" s="55">
        <f t="shared" si="27"/>
        <v>50</v>
      </c>
      <c r="BZ37" s="57">
        <f t="shared" ref="BZ37:BZ42" si="29">(-$BG$31-SQRT($BG$31^2-(4*$BF$31*($BH$31-BY37))))/(2*$BF$31)</f>
        <v>298.02146155585729</v>
      </c>
      <c r="CA37" s="55">
        <f t="shared" si="27"/>
        <v>50</v>
      </c>
      <c r="CB37" s="57">
        <f t="shared" ref="CB37:CB41" si="30">(-$BG$32-SQRT($BG$32^2-(4*$BF$32*($BH$32-CA37))))/(2*$BF$32)</f>
        <v>202.04778027579948</v>
      </c>
      <c r="CC37" s="55">
        <f t="shared" si="27"/>
        <v>20</v>
      </c>
      <c r="CD37" s="57">
        <f t="shared" ref="CD37:CD40" si="31">(-$BG$33-SQRT($BG$33^2-(4*$BF$33*($BH$33-CC37))))/(2*$BF$33)</f>
        <v>120.45799561693227</v>
      </c>
    </row>
    <row r="38" spans="21:82" x14ac:dyDescent="0.15">
      <c r="AI38">
        <v>4</v>
      </c>
      <c r="AJ38" s="3">
        <f t="shared" si="21"/>
        <v>37.915875474993129</v>
      </c>
      <c r="BE38" t="s">
        <v>102</v>
      </c>
      <c r="BF38">
        <v>300</v>
      </c>
      <c r="BG38" s="5">
        <f>$BF$22*BF38^2+$BG$22*BF38+$BH$22</f>
        <v>268.67864322125382</v>
      </c>
      <c r="BH38" s="5">
        <f>$BF$30*BF38^2+$BG$30*BF38+$BH$30</f>
        <v>293.46584560220629</v>
      </c>
      <c r="BJ38" s="3">
        <f>BG38-BH38</f>
        <v>-24.787202380952465</v>
      </c>
      <c r="BN38" s="55">
        <f t="shared" si="22"/>
        <v>200</v>
      </c>
      <c r="BO38" s="57">
        <f t="shared" si="23"/>
        <v>320.90760039583563</v>
      </c>
      <c r="BP38" s="55">
        <f t="shared" si="22"/>
        <v>100</v>
      </c>
      <c r="BQ38" s="57">
        <f t="shared" si="24"/>
        <v>272.7308916827721</v>
      </c>
      <c r="BR38" s="55">
        <f t="shared" si="22"/>
        <v>90</v>
      </c>
      <c r="BS38" s="57">
        <f t="shared" si="25"/>
        <v>175.4581740263832</v>
      </c>
      <c r="BT38" s="55">
        <f t="shared" si="22"/>
        <v>40</v>
      </c>
      <c r="BU38" s="57">
        <f t="shared" si="26"/>
        <v>97.290460384499539</v>
      </c>
      <c r="BW38" s="55">
        <f t="shared" si="27"/>
        <v>200</v>
      </c>
      <c r="BX38" s="57">
        <f t="shared" si="28"/>
        <v>329.20191498228081</v>
      </c>
      <c r="BY38" s="55">
        <f t="shared" si="27"/>
        <v>100</v>
      </c>
      <c r="BZ38" s="57">
        <f t="shared" si="29"/>
        <v>280.5727801082906</v>
      </c>
      <c r="CA38" s="55">
        <f t="shared" si="27"/>
        <v>90</v>
      </c>
      <c r="CB38" s="57">
        <f t="shared" si="30"/>
        <v>181.71413323981204</v>
      </c>
      <c r="CC38" s="55">
        <f t="shared" si="27"/>
        <v>40</v>
      </c>
      <c r="CD38" s="57">
        <f t="shared" si="31"/>
        <v>102.64509341270374</v>
      </c>
    </row>
    <row r="39" spans="21:82" x14ac:dyDescent="0.15">
      <c r="BF39">
        <v>200</v>
      </c>
      <c r="BG39" s="5">
        <f>$BF$22*BF39^2+$BG$22*BF39+$BH$22</f>
        <v>520.84297549574433</v>
      </c>
      <c r="BH39" s="5">
        <f t="shared" ref="BH39:BH40" si="32">$BF$30*BF39^2+$BG$30*BF39+$BH$30</f>
        <v>534.27434454336333</v>
      </c>
      <c r="BJ39" s="3">
        <f t="shared" ref="BJ39:BJ44" si="33">BG39-BH39</f>
        <v>-13.431369047619</v>
      </c>
      <c r="BN39" s="55">
        <f t="shared" si="22"/>
        <v>300</v>
      </c>
      <c r="BO39" s="57">
        <f t="shared" si="23"/>
        <v>289.85995878473915</v>
      </c>
      <c r="BP39" s="55">
        <f t="shared" si="22"/>
        <v>150</v>
      </c>
      <c r="BQ39" s="57">
        <f t="shared" si="24"/>
        <v>254.13099309054866</v>
      </c>
      <c r="BR39" s="55">
        <f t="shared" si="22"/>
        <v>130</v>
      </c>
      <c r="BS39" s="57">
        <f t="shared" si="25"/>
        <v>151.47576534370617</v>
      </c>
      <c r="BT39" s="55">
        <f t="shared" si="22"/>
        <v>60</v>
      </c>
      <c r="BU39" s="57">
        <f t="shared" si="26"/>
        <v>76.542309887609477</v>
      </c>
      <c r="BW39" s="55">
        <f t="shared" si="27"/>
        <v>300</v>
      </c>
      <c r="BX39" s="57">
        <f t="shared" si="28"/>
        <v>297.827893604721</v>
      </c>
      <c r="BY39" s="55">
        <f t="shared" si="27"/>
        <v>150</v>
      </c>
      <c r="BZ39" s="57">
        <f t="shared" si="29"/>
        <v>261.76377086640542</v>
      </c>
      <c r="CA39" s="55">
        <f t="shared" si="27"/>
        <v>130</v>
      </c>
      <c r="CB39" s="57">
        <f t="shared" si="30"/>
        <v>157.7532490276617</v>
      </c>
      <c r="CC39" s="55">
        <f t="shared" si="27"/>
        <v>60</v>
      </c>
      <c r="CD39" s="57">
        <f t="shared" si="31"/>
        <v>81.682443931248443</v>
      </c>
    </row>
    <row r="40" spans="21:82" x14ac:dyDescent="0.15">
      <c r="U40" s="2" t="s">
        <v>35</v>
      </c>
      <c r="W40" t="s">
        <v>36</v>
      </c>
      <c r="BF40">
        <v>100</v>
      </c>
      <c r="BG40" s="5">
        <f t="shared" ref="BG40" si="34">$BF$22*BF40^2+$BG$22*BF40+$BH$22</f>
        <v>646.75856898514814</v>
      </c>
      <c r="BH40" s="5">
        <f t="shared" si="32"/>
        <v>652.39267612800529</v>
      </c>
      <c r="BJ40" s="3">
        <f t="shared" si="33"/>
        <v>-5.6341071428571468</v>
      </c>
      <c r="BN40" s="55">
        <f t="shared" si="22"/>
        <v>400</v>
      </c>
      <c r="BO40" s="57">
        <f t="shared" si="23"/>
        <v>254.13770997194598</v>
      </c>
      <c r="BP40" s="55">
        <f t="shared" si="22"/>
        <v>230</v>
      </c>
      <c r="BQ40" s="57">
        <f t="shared" si="24"/>
        <v>220.52447882740637</v>
      </c>
      <c r="BR40" s="55">
        <f t="shared" si="22"/>
        <v>170</v>
      </c>
      <c r="BS40" s="57">
        <f t="shared" si="25"/>
        <v>120.42188405539274</v>
      </c>
      <c r="BT40" s="55">
        <f t="shared" si="22"/>
        <v>80</v>
      </c>
      <c r="BU40" s="57">
        <f t="shared" si="26"/>
        <v>49.842265162290595</v>
      </c>
      <c r="BW40" s="55">
        <f t="shared" si="27"/>
        <v>400</v>
      </c>
      <c r="BX40" s="57">
        <f t="shared" si="28"/>
        <v>261.77523969041579</v>
      </c>
      <c r="BY40" s="55">
        <f t="shared" si="27"/>
        <v>230</v>
      </c>
      <c r="BZ40" s="57">
        <f t="shared" si="29"/>
        <v>227.81893037255273</v>
      </c>
      <c r="CA40" s="55">
        <f t="shared" si="27"/>
        <v>170</v>
      </c>
      <c r="CB40" s="57">
        <f t="shared" si="30"/>
        <v>127.0242914387899</v>
      </c>
      <c r="CC40" s="55">
        <f t="shared" si="27"/>
        <v>80</v>
      </c>
      <c r="CD40" s="57">
        <f t="shared" si="31"/>
        <v>54.882637981725303</v>
      </c>
    </row>
    <row r="41" spans="21:82" x14ac:dyDescent="0.15">
      <c r="BE41" t="s">
        <v>405</v>
      </c>
      <c r="BF41">
        <v>150</v>
      </c>
      <c r="BG41" s="5">
        <f>$BF$24*BF41^2+$BG$24*BF41+$BH$24</f>
        <v>132.20214048065165</v>
      </c>
      <c r="BH41" s="5">
        <f>$BF$32*BF41^2+$BG$32*BF41+$BH$32</f>
        <v>141.29005714731829</v>
      </c>
      <c r="BJ41" s="3">
        <f t="shared" si="33"/>
        <v>-9.0879166666666436</v>
      </c>
      <c r="BN41" s="55">
        <f t="shared" si="22"/>
        <v>500</v>
      </c>
      <c r="BO41" s="57">
        <f t="shared" si="23"/>
        <v>210.64715881769263</v>
      </c>
      <c r="BP41" s="55">
        <f t="shared" si="22"/>
        <v>320</v>
      </c>
      <c r="BQ41" s="57">
        <f t="shared" si="24"/>
        <v>173.2504723348554</v>
      </c>
      <c r="BR41" s="55">
        <f t="shared" si="22"/>
        <v>205</v>
      </c>
      <c r="BS41" s="57">
        <f t="shared" si="25"/>
        <v>73.943002844798301</v>
      </c>
      <c r="BT41" s="55"/>
      <c r="BU41" s="57"/>
      <c r="BW41" s="55">
        <f t="shared" si="27"/>
        <v>500</v>
      </c>
      <c r="BX41" s="57">
        <f t="shared" si="28"/>
        <v>217.99173826425962</v>
      </c>
      <c r="BY41" s="55">
        <f t="shared" si="27"/>
        <v>320</v>
      </c>
      <c r="BZ41" s="57">
        <f t="shared" si="29"/>
        <v>180.21616269737683</v>
      </c>
      <c r="CA41" s="55">
        <f t="shared" si="27"/>
        <v>205</v>
      </c>
      <c r="CB41" s="57">
        <f t="shared" si="30"/>
        <v>83.35848194712591</v>
      </c>
      <c r="CC41" s="55"/>
      <c r="CD41" s="57"/>
    </row>
    <row r="42" spans="21:8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  <c r="BF42">
        <v>75</v>
      </c>
      <c r="BG42" s="5">
        <f t="shared" ref="BG42:BG43" si="35">$BF$24*BF42^2+$BG$24*BF42+$BH$24</f>
        <v>204.53537178629028</v>
      </c>
      <c r="BH42" s="5">
        <f t="shared" ref="BH42:BH43" si="36">$BF$32*BF42^2+$BG$32*BF42+$BH$32</f>
        <v>208.77619023867123</v>
      </c>
      <c r="BJ42" s="3">
        <f t="shared" si="33"/>
        <v>-4.2408184523809496</v>
      </c>
      <c r="BN42" s="58">
        <f t="shared" si="22"/>
        <v>610</v>
      </c>
      <c r="BO42" s="60">
        <f t="shared" si="23"/>
        <v>141.35108796400908</v>
      </c>
      <c r="BP42" s="58">
        <f t="shared" si="22"/>
        <v>395</v>
      </c>
      <c r="BQ42" s="60">
        <f>(-$BG$23-SQRT($BG$23^2-(4*$BF$23*($BH$23-BP42))))/(2*$BF$23)</f>
        <v>114.64592676119456</v>
      </c>
      <c r="BR42" s="58"/>
      <c r="BS42" s="60"/>
      <c r="BT42" s="58"/>
      <c r="BU42" s="60"/>
      <c r="BW42" s="58">
        <f t="shared" si="27"/>
        <v>610</v>
      </c>
      <c r="BX42" s="60">
        <f t="shared" si="28"/>
        <v>148.86716033053662</v>
      </c>
      <c r="BY42" s="58">
        <f t="shared" si="27"/>
        <v>395</v>
      </c>
      <c r="BZ42" s="60">
        <f t="shared" si="29"/>
        <v>121.84675224810155</v>
      </c>
      <c r="CA42" s="58"/>
      <c r="CB42" s="60"/>
      <c r="CC42" s="58"/>
      <c r="CD42" s="60"/>
    </row>
    <row r="43" spans="21:82" x14ac:dyDescent="0.15">
      <c r="U43" s="10" t="s">
        <v>26</v>
      </c>
      <c r="V43" s="21"/>
      <c r="W43" s="49">
        <v>15</v>
      </c>
      <c r="X43" s="49">
        <v>13</v>
      </c>
      <c r="Y43" s="49">
        <v>1</v>
      </c>
      <c r="Z43" s="49">
        <v>-5</v>
      </c>
      <c r="AA43" s="49">
        <v>-9</v>
      </c>
      <c r="AB43" s="49">
        <v>-14</v>
      </c>
      <c r="AC43" s="49">
        <v>-24</v>
      </c>
      <c r="AD43" s="49">
        <v>-29</v>
      </c>
      <c r="AE43" s="39" t="s">
        <v>42</v>
      </c>
      <c r="AF43" s="53">
        <f>$W$5+W43</f>
        <v>52.340861970400134</v>
      </c>
      <c r="AG43" s="53">
        <f t="shared" ref="AG43:AM43" si="37">$W$5+X43</f>
        <v>50.340861970400134</v>
      </c>
      <c r="AH43" s="53">
        <f t="shared" si="37"/>
        <v>38.340861970400134</v>
      </c>
      <c r="AI43" s="53">
        <f t="shared" si="37"/>
        <v>32.340861970400134</v>
      </c>
      <c r="AJ43" s="53">
        <f t="shared" si="37"/>
        <v>28.340861970400134</v>
      </c>
      <c r="AK43" s="53">
        <f t="shared" si="37"/>
        <v>23.340861970400134</v>
      </c>
      <c r="AL43" s="53">
        <f t="shared" si="37"/>
        <v>13.340861970400134</v>
      </c>
      <c r="AM43" s="53">
        <f t="shared" si="37"/>
        <v>8.3408619704001339</v>
      </c>
      <c r="AN43" s="5">
        <f t="array" ref="AN43">10*LOG10(SUM(10^(AF43:AM43/10)))</f>
        <v>54.60988524120382</v>
      </c>
      <c r="AO43" s="5">
        <f t="array" ref="AO43">10*LOG10(SUM(10^((AF43:AM43+AF46:AM46)/10)))</f>
        <v>37.655492704302802</v>
      </c>
      <c r="AP43" t="str">
        <f>IF(ABS(W5-AO43)&lt;0.5,"OK","Tarkista laskenta!")</f>
        <v>OK</v>
      </c>
      <c r="BF43">
        <v>50</v>
      </c>
      <c r="BG43" s="5">
        <f t="shared" si="35"/>
        <v>211.39394932163688</v>
      </c>
      <c r="BH43" s="5">
        <f t="shared" si="36"/>
        <v>214.46388979782736</v>
      </c>
      <c r="BJ43" s="3">
        <f t="shared" si="33"/>
        <v>-3.0699404761904816</v>
      </c>
    </row>
    <row r="44" spans="21:82" x14ac:dyDescent="0.15">
      <c r="U44" s="14" t="s">
        <v>29</v>
      </c>
      <c r="V44" s="26"/>
      <c r="W44" s="49">
        <v>6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60.816477065637883</v>
      </c>
      <c r="AG44" s="53">
        <f t="shared" ref="AG44:AM44" si="38">$W$6+X44</f>
        <v>62.816477065637883</v>
      </c>
      <c r="AH44" s="53">
        <f t="shared" si="38"/>
        <v>53.816477065637883</v>
      </c>
      <c r="AI44" s="53">
        <f t="shared" si="38"/>
        <v>50.816477065637883</v>
      </c>
      <c r="AJ44" s="53">
        <f t="shared" si="38"/>
        <v>49.816477065637883</v>
      </c>
      <c r="AK44" s="53">
        <f t="shared" si="38"/>
        <v>44.816477065637883</v>
      </c>
      <c r="AL44" s="53">
        <f t="shared" si="38"/>
        <v>40.816477065637883</v>
      </c>
      <c r="AM44" s="53">
        <f t="shared" si="38"/>
        <v>38.816477065637883</v>
      </c>
      <c r="AN44" s="5">
        <f t="array" ref="AN44">10*LOG10(SUM(10^(AF44:AM44/10)))</f>
        <v>65.595327467416695</v>
      </c>
      <c r="AO44" s="5">
        <f t="array" ref="AO44">10*LOG10(SUM(10^((AF44:AM44+AF46:AM46)/10)))</f>
        <v>54.738901212082432</v>
      </c>
      <c r="AP44" t="str">
        <f>IF(ABS(W6-AO44)&lt;0.5,"OK","Tarkista laskenta!")</f>
        <v>OK</v>
      </c>
      <c r="BJ44" s="3">
        <f t="shared" si="33"/>
        <v>0</v>
      </c>
    </row>
    <row r="46" spans="21:8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7" spans="21:82" ht="14" x14ac:dyDescent="0.15">
      <c r="BE47" s="83" t="s">
        <v>534</v>
      </c>
    </row>
    <row r="48" spans="21:82" x14ac:dyDescent="0.15">
      <c r="BE48" s="2" t="s">
        <v>2880</v>
      </c>
    </row>
    <row r="49" spans="3:60" x14ac:dyDescent="0.15">
      <c r="W49" t="s">
        <v>50</v>
      </c>
      <c r="BF49" t="s">
        <v>4</v>
      </c>
      <c r="BG49" t="s">
        <v>5</v>
      </c>
      <c r="BH49" t="s">
        <v>6</v>
      </c>
    </row>
    <row r="50" spans="3:60" x14ac:dyDescent="0.15">
      <c r="X50" s="4" t="s">
        <v>4</v>
      </c>
      <c r="Y50" s="4" t="s">
        <v>5</v>
      </c>
      <c r="Z50" s="4" t="s">
        <v>6</v>
      </c>
      <c r="AM50" t="s">
        <v>50</v>
      </c>
      <c r="BE50">
        <v>10</v>
      </c>
      <c r="BF50" s="8">
        <v>-6.3692279172430392E-3</v>
      </c>
      <c r="BG50" s="8">
        <v>0.61218658299521111</v>
      </c>
      <c r="BH50" s="8">
        <v>647.10637655233779</v>
      </c>
    </row>
    <row r="51" spans="3:60" x14ac:dyDescent="0.15">
      <c r="W51" t="s">
        <v>3</v>
      </c>
      <c r="X51" s="54">
        <f t="array" ref="X51:Z51">LINEST(Y59:Y67,X59:X67^{1,2})</f>
        <v>3.776917108145616E-4</v>
      </c>
      <c r="Y51" s="54">
        <v>0.95964026918999501</v>
      </c>
      <c r="Z51" s="54">
        <v>127.10328765971141</v>
      </c>
      <c r="AN51" s="4" t="s">
        <v>4</v>
      </c>
      <c r="AO51" s="4" t="s">
        <v>5</v>
      </c>
      <c r="AP51" s="4" t="s">
        <v>6</v>
      </c>
      <c r="BE51">
        <v>8</v>
      </c>
      <c r="BF51" s="8">
        <v>-5.9567718565286054E-3</v>
      </c>
      <c r="BG51" s="8">
        <v>0.39696011261246528</v>
      </c>
      <c r="BH51" s="8">
        <v>425.145301245204</v>
      </c>
    </row>
    <row r="52" spans="3:60" x14ac:dyDescent="0.15">
      <c r="W52" t="s">
        <v>114</v>
      </c>
      <c r="X52" s="54">
        <f t="array" ref="X52:Z52">LINEST(Y70:Y78,X70:X78^{1,2})</f>
        <v>5.8205355126901169E-4</v>
      </c>
      <c r="Y52" s="54">
        <v>0.59864600253013434</v>
      </c>
      <c r="Z52" s="54">
        <v>75.644072947638819</v>
      </c>
      <c r="AM52" t="s">
        <v>3</v>
      </c>
      <c r="AN52" s="54">
        <f t="array" ref="AN52:AP52">LINEST(AO60:AO67,AN60:AN67^{1,2})</f>
        <v>-7.8886988291031798E-3</v>
      </c>
      <c r="AO52" s="54">
        <v>3.1314055362362243</v>
      </c>
      <c r="AP52" s="54">
        <v>430.71642015888642</v>
      </c>
      <c r="BE52">
        <v>6</v>
      </c>
      <c r="BF52" s="8">
        <v>-6.9707491642898908E-3</v>
      </c>
      <c r="BG52" s="8">
        <v>0.56996786479199912</v>
      </c>
      <c r="BH52" s="8">
        <v>199.6307447316521</v>
      </c>
    </row>
    <row r="53" spans="3:60" x14ac:dyDescent="0.15">
      <c r="W53" t="s">
        <v>10</v>
      </c>
      <c r="X53" s="54">
        <f t="array" ref="X53:Z53">LINEST(Y81:Y88,X81:X88^{1,2})</f>
        <v>1.1899585521334657E-4</v>
      </c>
      <c r="Y53" s="54">
        <v>0.44802087071349334</v>
      </c>
      <c r="Z53" s="54">
        <v>30.918756818696775</v>
      </c>
      <c r="AM53" t="s">
        <v>114</v>
      </c>
      <c r="AN53" s="54">
        <f t="array" ref="AN53:AP53">LINEST(AO71:AO78,AN71:AN78^{1,2})</f>
        <v>-6.7203587621186599E-3</v>
      </c>
      <c r="AO53" s="54">
        <v>2.2460738760700178</v>
      </c>
      <c r="AP53" s="54">
        <v>310.21460706422556</v>
      </c>
      <c r="BE53">
        <v>4</v>
      </c>
      <c r="BF53" s="8">
        <v>-4.6179437787463177E-3</v>
      </c>
      <c r="BG53" s="8">
        <v>-0.1908792356649929</v>
      </c>
      <c r="BH53" s="8">
        <v>100.24507978840288</v>
      </c>
    </row>
    <row r="54" spans="3:60" x14ac:dyDescent="0.15">
      <c r="W54" t="s">
        <v>12</v>
      </c>
      <c r="X54" s="54">
        <f t="array" ref="X54:Z54">LINEST(Y92:Y98,X92:X98^{1,2})</f>
        <v>7.8439500677749137E-5</v>
      </c>
      <c r="Y54" s="54">
        <v>0.19954382418716141</v>
      </c>
      <c r="Z54" s="54">
        <v>17.581371285828794</v>
      </c>
      <c r="AM54" t="s">
        <v>10</v>
      </c>
      <c r="AN54" s="54">
        <f t="array" ref="AN54:AP54">LINEST(AO82:AO89,AN82:AN89^{1,2})</f>
        <v>-5.5201103910772495E-3</v>
      </c>
      <c r="AO54" s="54">
        <v>1.3813935974166838</v>
      </c>
      <c r="AP54" s="54">
        <v>189.5260668644919</v>
      </c>
    </row>
    <row r="55" spans="3:60" x14ac:dyDescent="0.15">
      <c r="AM55" t="s">
        <v>12</v>
      </c>
      <c r="AN55" s="54">
        <f t="array" ref="AN55:AP55">LINEST(AO93:AO99,AN93:AN99^{1,2})</f>
        <v>-3.0470369228017091E-3</v>
      </c>
      <c r="AO55" s="54">
        <v>0.51215993958746597</v>
      </c>
      <c r="AP55" s="54">
        <v>96.943701798593878</v>
      </c>
    </row>
    <row r="56" spans="3:60" x14ac:dyDescent="0.15">
      <c r="C56" s="2" t="s">
        <v>45</v>
      </c>
      <c r="BE56" s="2" t="s">
        <v>2882</v>
      </c>
    </row>
    <row r="57" spans="3:60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  <c r="BF57" t="s">
        <v>4</v>
      </c>
      <c r="BG57" t="s">
        <v>5</v>
      </c>
      <c r="BH57" t="s">
        <v>6</v>
      </c>
    </row>
    <row r="58" spans="3:60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T58" s="24"/>
      <c r="W58" s="10"/>
      <c r="X58" s="16" t="s">
        <v>13</v>
      </c>
      <c r="Y58" s="11" t="s">
        <v>49</v>
      </c>
      <c r="AM58" s="2" t="s">
        <v>48</v>
      </c>
      <c r="BE58">
        <f>BE50</f>
        <v>10</v>
      </c>
      <c r="BF58" s="1654">
        <f>BF50+$BJ$16</f>
        <v>-6.1912993458144681E-3</v>
      </c>
      <c r="BG58" s="1654">
        <f>BG50+$BK$16</f>
        <v>0.63678063061425894</v>
      </c>
      <c r="BH58" s="1654">
        <f>BH50+$BL$16</f>
        <v>648.50179321900441</v>
      </c>
    </row>
    <row r="59" spans="3:60" ht="14" thickBot="1" x14ac:dyDescent="0.2">
      <c r="C59" s="10" t="s">
        <v>3</v>
      </c>
      <c r="D59" s="67">
        <v>344.7</v>
      </c>
      <c r="E59" s="68">
        <v>62.144673041028028</v>
      </c>
      <c r="F59" s="69">
        <v>504.49107312811128</v>
      </c>
      <c r="H59" t="s">
        <v>4</v>
      </c>
      <c r="I59" t="s">
        <v>5</v>
      </c>
      <c r="K59" s="27" t="s">
        <v>424</v>
      </c>
      <c r="M59" s="10" t="s">
        <v>3</v>
      </c>
      <c r="N59" s="67">
        <v>347.55882244303535</v>
      </c>
      <c r="O59" s="68">
        <v>81.851516160933571</v>
      </c>
      <c r="P59" s="69">
        <v>500.76674771949382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287">
        <v>149.92627936606368</v>
      </c>
      <c r="Y59" s="288">
        <v>269.87126140289683</v>
      </c>
      <c r="AM59" s="10"/>
      <c r="AN59" s="16" t="s">
        <v>13</v>
      </c>
      <c r="AO59" s="11" t="s">
        <v>516</v>
      </c>
      <c r="BE59">
        <f t="shared" ref="BE59:BE61" si="39">BE51</f>
        <v>8</v>
      </c>
      <c r="BF59" s="1654">
        <f t="shared" ref="BF59:BF61" si="40">BF51+$BJ$16</f>
        <v>-5.7788432851000344E-3</v>
      </c>
      <c r="BG59" s="1654">
        <f t="shared" ref="BG59:BG61" si="41">BG51+$BK$16</f>
        <v>0.4215541602315131</v>
      </c>
      <c r="BH59" s="1654">
        <f t="shared" ref="BH59:BH61" si="42">BH51+$BL$16</f>
        <v>426.54071791187062</v>
      </c>
    </row>
    <row r="60" spans="3:60" x14ac:dyDescent="0.15">
      <c r="C60" s="12"/>
      <c r="D60" s="67">
        <v>324</v>
      </c>
      <c r="E60" s="68">
        <v>61.110829409089718</v>
      </c>
      <c r="F60" s="69">
        <v>469.62425060416473</v>
      </c>
      <c r="G60" s="316" t="s">
        <v>412</v>
      </c>
      <c r="H60" s="317">
        <f t="array" ref="H60:J60">LINEST(E59:E62,D59:D62^{1,2})</f>
        <v>1.3159831517958962E-4</v>
      </c>
      <c r="I60" s="317">
        <v>-6.155995211310706E-2</v>
      </c>
      <c r="J60" s="317">
        <v>67.562262537292582</v>
      </c>
      <c r="K60" s="318">
        <f>$H$60*AC34^2+$I$60*AC34+$J$60</f>
        <v>62.641816817607832</v>
      </c>
      <c r="M60" s="12"/>
      <c r="N60" s="67">
        <v>318.57365469368182</v>
      </c>
      <c r="O60" s="68">
        <v>81.06411222486777</v>
      </c>
      <c r="P60" s="69">
        <v>470.18898951735156</v>
      </c>
      <c r="Q60" s="129" t="s">
        <v>412</v>
      </c>
      <c r="R60">
        <f t="array" ref="R60:T60">LINEST(O59:O62,N59:N62^{1,2})</f>
        <v>4.3665763317716743E-5</v>
      </c>
      <c r="S60">
        <v>-2.5165414473464579E-4</v>
      </c>
      <c r="T60" s="24">
        <v>76.678071775380687</v>
      </c>
      <c r="U60" s="84">
        <f>$R$60*AC34^2+$S$60*AC34+$T$60</f>
        <v>77.109321773170365</v>
      </c>
      <c r="W60" s="232"/>
      <c r="X60" s="17">
        <v>207.42294296613554</v>
      </c>
      <c r="Y60" s="289">
        <v>344.24106644222212</v>
      </c>
      <c r="AM60" s="228" t="s">
        <v>3</v>
      </c>
      <c r="AN60" s="287">
        <v>149.92627936606368</v>
      </c>
      <c r="AO60" s="288">
        <v>722.42610700384864</v>
      </c>
      <c r="BE60">
        <f t="shared" si="39"/>
        <v>6</v>
      </c>
      <c r="BF60" s="1654">
        <f t="shared" si="40"/>
        <v>-6.7928205928613197E-3</v>
      </c>
      <c r="BG60" s="1654">
        <f t="shared" si="41"/>
        <v>0.59456191241104694</v>
      </c>
      <c r="BH60" s="1654">
        <f t="shared" si="42"/>
        <v>201.02616139831875</v>
      </c>
    </row>
    <row r="61" spans="3:60" x14ac:dyDescent="0.15">
      <c r="C61" s="12"/>
      <c r="D61" s="67">
        <v>292.5</v>
      </c>
      <c r="E61" s="68">
        <v>60.985409403702306</v>
      </c>
      <c r="F61" s="69">
        <v>439.47511337645165</v>
      </c>
      <c r="G61" s="129" t="s">
        <v>423</v>
      </c>
      <c r="H61">
        <f t="array" ref="H61:I61">LINEST(E59:E62,D59:D62)</f>
        <v>9.0496559967216238E-3</v>
      </c>
      <c r="I61">
        <v>58.558672170948562</v>
      </c>
      <c r="K61" s="298">
        <f>H61*$AC$34+I61</f>
        <v>59.484472137968957</v>
      </c>
      <c r="M61" s="12"/>
      <c r="N61" s="67">
        <v>289.31281640836551</v>
      </c>
      <c r="O61" s="68">
        <v>80.236796311049133</v>
      </c>
      <c r="P61" s="69">
        <v>441.0612450801093</v>
      </c>
      <c r="Q61" s="129" t="s">
        <v>420</v>
      </c>
      <c r="R61">
        <f t="array" ref="R61:S61">LINEST(O59:O62,N59:N62)</f>
        <v>2.365077806030259E-2</v>
      </c>
      <c r="S61">
        <v>73.539201191246732</v>
      </c>
      <c r="T61" s="24"/>
      <c r="U61" s="84">
        <f>R61*AC34+S61</f>
        <v>75.958728470092126</v>
      </c>
      <c r="W61" s="232"/>
      <c r="X61" s="17">
        <v>261.10737691631488</v>
      </c>
      <c r="Y61" s="289">
        <v>404.74934395940249</v>
      </c>
      <c r="AM61" s="232"/>
      <c r="AN61" s="17">
        <v>207.42294296613554</v>
      </c>
      <c r="AO61" s="289">
        <v>739.53034803011769</v>
      </c>
      <c r="BE61">
        <f t="shared" si="39"/>
        <v>4</v>
      </c>
      <c r="BF61" s="1654">
        <f t="shared" si="40"/>
        <v>-4.4400152073177466E-3</v>
      </c>
      <c r="BG61" s="1654">
        <f t="shared" si="41"/>
        <v>-0.16628518804594508</v>
      </c>
      <c r="BH61" s="1654">
        <f t="shared" si="42"/>
        <v>101.64049645506952</v>
      </c>
    </row>
    <row r="62" spans="3:60" x14ac:dyDescent="0.15">
      <c r="C62" s="14"/>
      <c r="D62" s="67">
        <v>199.8</v>
      </c>
      <c r="E62" s="68">
        <v>60.500427442168004</v>
      </c>
      <c r="F62" s="69">
        <v>336.60814408776122</v>
      </c>
      <c r="G62" s="297" t="s">
        <v>462</v>
      </c>
      <c r="H62" s="2">
        <f t="array" ref="H62:I62">LINEST(E59:E62,LN(D59:D62))</f>
        <v>2.2906023494137728</v>
      </c>
      <c r="I62" s="2">
        <v>48.243889943890657</v>
      </c>
      <c r="K62" s="298">
        <f>H62*LN($AC$34)+I62</f>
        <v>58.844640590223975</v>
      </c>
      <c r="M62" s="14"/>
      <c r="N62" s="67">
        <v>207.42294296613554</v>
      </c>
      <c r="O62" s="68">
        <v>78.507118643238755</v>
      </c>
      <c r="P62" s="69">
        <v>345.32573641349239</v>
      </c>
      <c r="Q62" s="297" t="s">
        <v>462</v>
      </c>
      <c r="R62" s="2">
        <f t="array" ref="R62:S62">LINEST(O59:O62,LN(N59:N62))</f>
        <v>6.2823703283303383</v>
      </c>
      <c r="S62" s="2">
        <v>44.892705372702324</v>
      </c>
      <c r="T62" s="24"/>
      <c r="U62" s="84">
        <f>R62*LN(AC34)+S62</f>
        <v>73.967084579375751</v>
      </c>
      <c r="W62" s="232"/>
      <c r="X62" s="17">
        <v>289.31281640836551</v>
      </c>
      <c r="Y62" s="289">
        <v>441.21443337830112</v>
      </c>
      <c r="AM62" s="232"/>
      <c r="AN62" s="17">
        <v>261.10737691631488</v>
      </c>
      <c r="AO62" s="289">
        <v>717.88057288445566</v>
      </c>
    </row>
    <row r="63" spans="3:60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17">
        <v>320.54086242225918</v>
      </c>
      <c r="Y63" s="289">
        <v>476.01090864587957</v>
      </c>
      <c r="AM63" s="232"/>
      <c r="AN63" s="17">
        <v>289.31281640836551</v>
      </c>
      <c r="AO63" s="289">
        <v>675.41900858718213</v>
      </c>
    </row>
    <row r="64" spans="3:60" x14ac:dyDescent="0.15">
      <c r="C64" s="10" t="s">
        <v>408</v>
      </c>
      <c r="D64" s="67">
        <v>281.5</v>
      </c>
      <c r="E64" s="68">
        <v>58.24228272767192</v>
      </c>
      <c r="F64" s="69">
        <v>289.3769446226944</v>
      </c>
      <c r="H64" t="s">
        <v>4</v>
      </c>
      <c r="I64" t="s">
        <v>5</v>
      </c>
      <c r="K64" s="298"/>
      <c r="M64" s="10" t="s">
        <v>408</v>
      </c>
      <c r="N64" s="67">
        <v>283.96765425773657</v>
      </c>
      <c r="O64" s="68">
        <v>77.735360552640628</v>
      </c>
      <c r="P64" s="69">
        <v>293.36943783656</v>
      </c>
      <c r="R64" t="s">
        <v>4</v>
      </c>
      <c r="S64" t="s">
        <v>5</v>
      </c>
      <c r="T64" s="24" t="s">
        <v>6</v>
      </c>
      <c r="U64" s="3"/>
      <c r="W64" s="232"/>
      <c r="X64" s="17">
        <v>348.77932335192918</v>
      </c>
      <c r="Y64" s="289">
        <v>508.64545939713418</v>
      </c>
      <c r="AM64" s="232"/>
      <c r="AN64" s="17">
        <v>320.54086242225918</v>
      </c>
      <c r="AO64" s="289">
        <v>623.23687622746013</v>
      </c>
    </row>
    <row r="65" spans="3:62" x14ac:dyDescent="0.15">
      <c r="C65" s="12"/>
      <c r="D65" s="67">
        <v>263.3</v>
      </c>
      <c r="E65" s="68">
        <v>57.721583476668464</v>
      </c>
      <c r="F65" s="69">
        <v>271.22877794721762</v>
      </c>
      <c r="G65" s="316" t="s">
        <v>412</v>
      </c>
      <c r="H65" s="317">
        <f t="array" ref="H65:J65">LINEST(E64:E67,D64:D67^{1,2})</f>
        <v>6.9041931714994414E-5</v>
      </c>
      <c r="I65" s="317">
        <v>-8.99369941815387E-3</v>
      </c>
      <c r="J65" s="317">
        <v>55.303034341627615</v>
      </c>
      <c r="K65" s="318">
        <f>$H$65*AC35^2+$I$65*AC35+$J$65</f>
        <v>55.031010371157151</v>
      </c>
      <c r="M65" s="12"/>
      <c r="N65" s="67">
        <v>261.96983501546862</v>
      </c>
      <c r="O65" s="68">
        <v>76.862945314317813</v>
      </c>
      <c r="P65" s="69">
        <v>272.85889494484417</v>
      </c>
      <c r="Q65" s="129" t="s">
        <v>412</v>
      </c>
      <c r="R65">
        <f t="array" ref="R65:T65">LINEST(O64:O67,N64:N67^{1,2})</f>
        <v>8.8477708060310498E-5</v>
      </c>
      <c r="S65">
        <v>-1.0385446984018065E-2</v>
      </c>
      <c r="T65" s="24">
        <v>73.537970177100874</v>
      </c>
      <c r="U65" s="84">
        <f>$R$65*AC35^2+$S$65*AC35+$T$65</f>
        <v>73.283441736300958</v>
      </c>
      <c r="W65" s="232"/>
      <c r="X65" s="17">
        <v>318.57365469368182</v>
      </c>
      <c r="Y65" s="289">
        <v>470.25008534934227</v>
      </c>
      <c r="AM65" s="232"/>
      <c r="AN65" s="17">
        <v>348.77932335192918</v>
      </c>
      <c r="AO65" s="289">
        <v>572.2874906916403</v>
      </c>
      <c r="BG65" s="4"/>
      <c r="BH65" s="4"/>
    </row>
    <row r="66" spans="3:62" x14ac:dyDescent="0.15">
      <c r="C66" s="12"/>
      <c r="D66" s="67">
        <v>237.6</v>
      </c>
      <c r="E66" s="68">
        <v>57.063736576510934</v>
      </c>
      <c r="F66" s="69">
        <v>247.39903203589208</v>
      </c>
      <c r="G66" s="129" t="s">
        <v>423</v>
      </c>
      <c r="H66">
        <f t="array" ref="H66:I66">LINEST(E64:E67,D64:D67)</f>
        <v>2.1304908406853763E-2</v>
      </c>
      <c r="I66">
        <v>52.137799277665401</v>
      </c>
      <c r="K66" s="298">
        <f>H66*$AC$35+I66</f>
        <v>53.89580570231152</v>
      </c>
      <c r="M66" s="12"/>
      <c r="N66" s="67">
        <v>234.55670322791551</v>
      </c>
      <c r="O66" s="68">
        <v>75.986323411337054</v>
      </c>
      <c r="P66" s="69">
        <v>250.0642668033866</v>
      </c>
      <c r="Q66" s="129" t="s">
        <v>420</v>
      </c>
      <c r="R66">
        <f t="array" ref="R66:S66">LINEST(O64:O67,N64:N67)</f>
        <v>2.9048929500162052E-2</v>
      </c>
      <c r="S66">
        <v>69.331403523358659</v>
      </c>
      <c r="T66" s="24"/>
      <c r="U66" s="84">
        <f>R66*$AC$35+S66</f>
        <v>71.728419446409916</v>
      </c>
      <c r="W66" s="290"/>
      <c r="X66" s="18">
        <v>347.55882244303535</v>
      </c>
      <c r="Y66" s="291">
        <v>500.70540336719438</v>
      </c>
      <c r="AM66" s="232"/>
      <c r="AN66" s="17">
        <v>318.57365469368182</v>
      </c>
      <c r="AO66" s="289">
        <v>618.04528681032571</v>
      </c>
      <c r="BG66" s="5"/>
      <c r="BH66" s="5"/>
      <c r="BJ66" s="3"/>
    </row>
    <row r="67" spans="3:62" ht="14" thickBot="1" x14ac:dyDescent="0.2">
      <c r="C67" s="14"/>
      <c r="D67" s="67">
        <v>163.80000000000001</v>
      </c>
      <c r="E67" s="68">
        <v>55.682298664375324</v>
      </c>
      <c r="F67" s="69">
        <v>188.57183219107492</v>
      </c>
      <c r="G67" s="297" t="s">
        <v>462</v>
      </c>
      <c r="H67" s="2">
        <f t="array" ref="H67:I67">LINEST(E64:E67,LN(D64:D67))</f>
        <v>4.5248871319092387</v>
      </c>
      <c r="I67" s="2">
        <v>32.536454438084718</v>
      </c>
      <c r="K67" s="298">
        <f>H67*LN($AC$35)+I67</f>
        <v>52.504773409816536</v>
      </c>
      <c r="M67" s="14"/>
      <c r="N67" s="67">
        <v>167.45120469341205</v>
      </c>
      <c r="O67" s="68">
        <v>74.277783828246243</v>
      </c>
      <c r="P67" s="69">
        <v>194.61310189169498</v>
      </c>
      <c r="Q67" s="297" t="s">
        <v>462</v>
      </c>
      <c r="R67" s="2">
        <f t="array" ref="R67:S67">LINEST(O64:O67,LN(N64:N67))</f>
        <v>6.2653954627769073</v>
      </c>
      <c r="S67" s="2">
        <v>42.076279375547109</v>
      </c>
      <c r="T67" s="24"/>
      <c r="U67" s="84">
        <f>R67*LN($AC$35)+S67</f>
        <v>69.725458556726309</v>
      </c>
      <c r="W67" s="236"/>
      <c r="X67" s="292">
        <v>88.39543467590552</v>
      </c>
      <c r="Y67" s="293">
        <v>219.51717363439141</v>
      </c>
      <c r="AM67" s="290"/>
      <c r="AN67" s="18">
        <v>347.55882244303535</v>
      </c>
      <c r="AO67" s="291">
        <v>562.76723154802846</v>
      </c>
      <c r="BG67" s="5"/>
      <c r="BH67" s="5"/>
      <c r="BJ67" s="3"/>
    </row>
    <row r="68" spans="3:62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7"/>
      <c r="Y68" s="13"/>
      <c r="AM68" s="236"/>
      <c r="AN68" s="292">
        <v>88.39543467590552</v>
      </c>
      <c r="AO68" s="293">
        <v>748.22122088951073</v>
      </c>
      <c r="BG68" s="5"/>
      <c r="BH68" s="5"/>
      <c r="BJ68" s="3"/>
    </row>
    <row r="69" spans="3:62" ht="14" thickBot="1" x14ac:dyDescent="0.2">
      <c r="C69" s="10" t="s">
        <v>409</v>
      </c>
      <c r="D69" s="67">
        <v>199.7</v>
      </c>
      <c r="E69" s="68">
        <v>52.054568508290444</v>
      </c>
      <c r="F69" s="69">
        <v>128.69163767750064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196.59593379240673</v>
      </c>
      <c r="O69" s="68">
        <v>70.294486455567011</v>
      </c>
      <c r="P69" s="69">
        <v>120.34652098211106</v>
      </c>
      <c r="R69" t="s">
        <v>4</v>
      </c>
      <c r="S69" t="s">
        <v>5</v>
      </c>
      <c r="T69" s="24" t="s">
        <v>6</v>
      </c>
      <c r="U69" s="3"/>
      <c r="W69" s="12"/>
      <c r="X69" s="16" t="s">
        <v>13</v>
      </c>
      <c r="Y69" s="11" t="s">
        <v>49</v>
      </c>
      <c r="AM69" s="12"/>
      <c r="AN69" s="17"/>
      <c r="AO69" s="13"/>
      <c r="BG69" s="5"/>
      <c r="BH69" s="5"/>
      <c r="BJ69" s="3"/>
    </row>
    <row r="70" spans="3:62" ht="14" thickBot="1" x14ac:dyDescent="0.2">
      <c r="C70" s="12"/>
      <c r="D70" s="67">
        <v>189.6</v>
      </c>
      <c r="E70" s="68">
        <v>50.877843425757796</v>
      </c>
      <c r="F70" s="69">
        <v>112.55887039452776</v>
      </c>
      <c r="G70" s="316" t="s">
        <v>412</v>
      </c>
      <c r="H70" s="317">
        <f t="array" ref="H70:J70">LINEST(E69:E72,D69:D72^{1,2})</f>
        <v>6.5254221392761704E-4</v>
      </c>
      <c r="I70" s="317">
        <v>-0.18351921947972666</v>
      </c>
      <c r="J70" s="317">
        <v>62.513685753569391</v>
      </c>
      <c r="K70" s="318">
        <f>$H$70*AC36^2+$I$70*AC36+$J$70</f>
        <v>54.002618940073845</v>
      </c>
      <c r="M70" s="12"/>
      <c r="N70" s="67">
        <v>188.24966838990059</v>
      </c>
      <c r="O70" s="68">
        <v>70.39393478183564</v>
      </c>
      <c r="P70" s="69">
        <v>121.47322095590408</v>
      </c>
      <c r="Q70" s="129" t="s">
        <v>412</v>
      </c>
      <c r="R70">
        <f t="array" ref="R70:T70">LINEST(O69:O72,N69:N72^{1,2})</f>
        <v>6.1522633864861273E-5</v>
      </c>
      <c r="S70">
        <v>1.2551051384514608E-2</v>
      </c>
      <c r="T70" s="24">
        <v>65.60898642374967</v>
      </c>
      <c r="U70" s="84">
        <f>$R$70*AC36^2+$S$70*AC36+$T$70</f>
        <v>66.555309508319255</v>
      </c>
      <c r="W70" s="228" t="s">
        <v>404</v>
      </c>
      <c r="X70" s="287">
        <v>117.956213615922</v>
      </c>
      <c r="Y70" s="288">
        <v>149.69222564951269</v>
      </c>
      <c r="AM70" s="12"/>
      <c r="AN70" s="16" t="s">
        <v>13</v>
      </c>
      <c r="AO70" s="11" t="s">
        <v>516</v>
      </c>
      <c r="BG70" s="5"/>
      <c r="BH70" s="5"/>
      <c r="BJ70" s="3"/>
    </row>
    <row r="71" spans="3:62" x14ac:dyDescent="0.15">
      <c r="C71" s="12"/>
      <c r="D71" s="67">
        <v>172.1</v>
      </c>
      <c r="E71" s="68">
        <v>50.40068165114193</v>
      </c>
      <c r="F71" s="69">
        <v>106.12964882779858</v>
      </c>
      <c r="G71" s="129" t="s">
        <v>423</v>
      </c>
      <c r="H71">
        <f t="array" ref="H71:I71">LINEST(E69:E72,D69:D72)</f>
        <v>1.9689976514100441E-2</v>
      </c>
      <c r="I71">
        <v>47.493587888608069</v>
      </c>
      <c r="K71" s="298">
        <f>H71*$AC$36+I71</f>
        <v>48.646987266047645</v>
      </c>
      <c r="M71" s="12"/>
      <c r="N71" s="67">
        <v>164.38494862120547</v>
      </c>
      <c r="O71" s="68">
        <v>69.238525709591201</v>
      </c>
      <c r="P71" s="69">
        <v>108.17336872060635</v>
      </c>
      <c r="Q71" s="129" t="s">
        <v>420</v>
      </c>
      <c r="R71">
        <f t="array" ref="R71:S71">LINEST(O69:O72,N69:N72)</f>
        <v>3.1870958627067944E-2</v>
      </c>
      <c r="S71">
        <v>64.153635278266677</v>
      </c>
      <c r="T71" s="24"/>
      <c r="U71" s="84">
        <f>R71*AC36+S71</f>
        <v>66.020572184592496</v>
      </c>
      <c r="W71" s="232"/>
      <c r="X71" s="17">
        <v>167.45120469341205</v>
      </c>
      <c r="Y71" s="289">
        <v>194.21295707561856</v>
      </c>
      <c r="AM71" s="228" t="s">
        <v>404</v>
      </c>
      <c r="AN71" s="287">
        <v>117.956213615922</v>
      </c>
      <c r="AO71" s="288">
        <v>480.47740951140975</v>
      </c>
      <c r="BG71" s="5"/>
      <c r="BH71" s="5"/>
      <c r="BJ71" s="3"/>
    </row>
    <row r="72" spans="3:62" x14ac:dyDescent="0.15">
      <c r="C72" s="14"/>
      <c r="D72" s="67">
        <v>116.3</v>
      </c>
      <c r="E72" s="68">
        <v>49.985155052847965</v>
      </c>
      <c r="F72" s="69">
        <v>85.326812740785954</v>
      </c>
      <c r="G72" s="297" t="s">
        <v>462</v>
      </c>
      <c r="H72" s="2">
        <f t="array" ref="H72:I72">LINEST(E69:E72,LN(D69:D72))</f>
        <v>2.8809246720542263</v>
      </c>
      <c r="I72" s="2">
        <v>36.103728955610414</v>
      </c>
      <c r="K72" s="298">
        <f>H72*LN($AC$36)+I72</f>
        <v>47.83012703063158</v>
      </c>
      <c r="M72" s="14"/>
      <c r="N72" s="67">
        <v>119.65707821171999</v>
      </c>
      <c r="O72" s="68">
        <v>68.005684116574912</v>
      </c>
      <c r="P72" s="69">
        <v>85.810867205336919</v>
      </c>
      <c r="Q72" s="297" t="s">
        <v>462</v>
      </c>
      <c r="R72" s="2">
        <f t="array" ref="R72:S72">LINEST(O69:O72,LN(N69:N72))</f>
        <v>4.8783884094532386</v>
      </c>
      <c r="S72" s="2">
        <v>44.596351357752141</v>
      </c>
      <c r="T72" s="24"/>
      <c r="U72" s="84">
        <f>R72*LN($AC$36)+S72</f>
        <v>64.453144216215776</v>
      </c>
      <c r="W72" s="232"/>
      <c r="X72" s="17">
        <v>209.867282129915</v>
      </c>
      <c r="Y72" s="289">
        <v>226.86308284600184</v>
      </c>
      <c r="AM72" s="232"/>
      <c r="AN72" s="17">
        <v>167.45120469341205</v>
      </c>
      <c r="AO72" s="289">
        <v>499.25319556455048</v>
      </c>
      <c r="BJ72" s="3"/>
    </row>
    <row r="73" spans="3:62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17">
        <v>234.55670322791551</v>
      </c>
      <c r="Y73" s="289">
        <v>250.01490513085002</v>
      </c>
      <c r="AM73" s="232"/>
      <c r="AN73" s="17">
        <v>209.867282129915</v>
      </c>
      <c r="AO73" s="289">
        <v>489.60273417160482</v>
      </c>
    </row>
    <row r="74" spans="3:62" x14ac:dyDescent="0.15">
      <c r="C74" s="10" t="s">
        <v>410</v>
      </c>
      <c r="D74" s="67">
        <v>120.9</v>
      </c>
      <c r="E74" s="68">
        <v>42.714217266282517</v>
      </c>
      <c r="F74" s="69">
        <v>42.308179527845539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120.06691977873932</v>
      </c>
      <c r="O74" s="68">
        <v>60.277409039035533</v>
      </c>
      <c r="P74" s="69">
        <v>42.25542567916542</v>
      </c>
      <c r="R74" t="s">
        <v>4</v>
      </c>
      <c r="S74" t="s">
        <v>5</v>
      </c>
      <c r="T74" s="24" t="s">
        <v>6</v>
      </c>
      <c r="W74" s="232"/>
      <c r="X74" s="17">
        <v>285.05414656505906</v>
      </c>
      <c r="Y74" s="289">
        <v>291.75989245361296</v>
      </c>
      <c r="AM74" s="232"/>
      <c r="AN74" s="17">
        <v>234.55670322791551</v>
      </c>
      <c r="AO74" s="289">
        <v>465.36220734164971</v>
      </c>
    </row>
    <row r="75" spans="3:62" x14ac:dyDescent="0.15">
      <c r="C75" s="12"/>
      <c r="D75" s="67">
        <v>111.7</v>
      </c>
      <c r="E75" s="68">
        <v>41.582199094486363</v>
      </c>
      <c r="F75" s="69">
        <v>40.495302050898424</v>
      </c>
      <c r="G75" s="316" t="s">
        <v>412</v>
      </c>
      <c r="H75" s="317">
        <f t="array" ref="H75:J75">LINEST(E74:E77,D74:D77^{1,2})</f>
        <v>1.902347406649211E-3</v>
      </c>
      <c r="I75" s="317">
        <v>-0.33291713030740883</v>
      </c>
      <c r="J75" s="317">
        <v>55.121889541939801</v>
      </c>
      <c r="K75" s="318">
        <f>$H$75*AC37^2+$I$75*AC37+$J$75</f>
        <v>45.233885614233117</v>
      </c>
      <c r="M75" s="12"/>
      <c r="N75" s="67">
        <v>110.21384224054002</v>
      </c>
      <c r="O75" s="68">
        <v>59.745318906529754</v>
      </c>
      <c r="P75" s="69">
        <v>41.173680053971971</v>
      </c>
      <c r="R75">
        <f t="array" ref="R75:T75">LINEST(O74:O77,N74:N77^{1,2})</f>
        <v>3.2824702902644714E-4</v>
      </c>
      <c r="S75">
        <v>-1.7144705829168654E-2</v>
      </c>
      <c r="T75" s="24">
        <v>57.615783132893725</v>
      </c>
      <c r="U75" s="84">
        <f>$R$75*AC37^2+$S$75*AC37+$T$75</f>
        <v>57.437618998986352</v>
      </c>
      <c r="W75" s="232"/>
      <c r="X75" s="17">
        <v>262.71629311714196</v>
      </c>
      <c r="Y75" s="289">
        <v>272.36127011804143</v>
      </c>
      <c r="AM75" s="232"/>
      <c r="AN75" s="17">
        <v>285.05414656505906</v>
      </c>
      <c r="AO75" s="289">
        <v>405.83209680812467</v>
      </c>
    </row>
    <row r="76" spans="3:62" x14ac:dyDescent="0.15">
      <c r="C76" s="12"/>
      <c r="D76" s="67">
        <v>102.2</v>
      </c>
      <c r="E76" s="68">
        <v>41.026264842676959</v>
      </c>
      <c r="F76" s="69">
        <v>37.460548315091366</v>
      </c>
      <c r="G76" s="129" t="s">
        <v>423</v>
      </c>
      <c r="H76">
        <f t="array" ref="H76:I76">LINEST(E74:E77,D74:D77)</f>
        <v>3.5780633026119293E-2</v>
      </c>
      <c r="I76">
        <v>37.86855731228237</v>
      </c>
      <c r="K76" s="298">
        <f>H76*$AC$37+I76</f>
        <v>39.225211338517134</v>
      </c>
      <c r="M76" s="12"/>
      <c r="N76" s="67">
        <v>101.54208149102088</v>
      </c>
      <c r="O76" s="68">
        <v>59.237513523597116</v>
      </c>
      <c r="P76" s="69">
        <v>38.90352411116335</v>
      </c>
      <c r="Q76" s="129" t="s">
        <v>420</v>
      </c>
      <c r="R76">
        <f t="array" ref="R76:S76">LINEST(O74:O77,N74:N77)</f>
        <v>4.4751210043568197E-2</v>
      </c>
      <c r="S76">
        <v>54.820194958958702</v>
      </c>
      <c r="T76" s="24"/>
      <c r="U76" s="84">
        <f>R76*AC37+S76</f>
        <v>56.516976266325898</v>
      </c>
      <c r="W76" s="290"/>
      <c r="X76" s="18">
        <v>261.96983501546862</v>
      </c>
      <c r="Y76" s="291">
        <v>272.86710131104024</v>
      </c>
      <c r="AM76" s="232"/>
      <c r="AN76" s="17">
        <v>262.71629311714196</v>
      </c>
      <c r="AO76" s="289">
        <v>432.65135686837277</v>
      </c>
    </row>
    <row r="77" spans="3:62" x14ac:dyDescent="0.15">
      <c r="C77" s="14"/>
      <c r="D77" s="67">
        <v>75.400000000000006</v>
      </c>
      <c r="E77" s="68">
        <v>40.82876371299777</v>
      </c>
      <c r="F77" s="69">
        <v>31.856143614151943</v>
      </c>
      <c r="G77" s="297" t="s">
        <v>462</v>
      </c>
      <c r="H77" s="2">
        <f t="array" ref="H77:I77">LINEST(E74:E77,LN(D74:D77))</f>
        <v>3.2580688437372398</v>
      </c>
      <c r="I77" s="2">
        <v>26.501450441601413</v>
      </c>
      <c r="J77" s="25"/>
      <c r="K77" s="298">
        <f>H77*LN($AC$37)+I77</f>
        <v>38.345735855913425</v>
      </c>
      <c r="M77" s="14"/>
      <c r="N77" s="67">
        <v>71.51080035745774</v>
      </c>
      <c r="O77" s="68">
        <v>58.0702069810362</v>
      </c>
      <c r="P77" s="69">
        <v>32.284243019271635</v>
      </c>
      <c r="Q77" s="297" t="s">
        <v>462</v>
      </c>
      <c r="R77" s="2">
        <f t="array" ref="R77:S77">LINEST(O74:O77,LN(N74:N77))</f>
        <v>4.0905879464247681</v>
      </c>
      <c r="S77" s="2">
        <v>40.53554897522703</v>
      </c>
      <c r="T77" s="26"/>
      <c r="U77" s="84">
        <f>R77*LN($AC$37)+S77</f>
        <v>55.406349278582084</v>
      </c>
      <c r="W77" s="232"/>
      <c r="X77" s="17">
        <v>283.96765425773657</v>
      </c>
      <c r="Y77" s="289">
        <v>293.34861075163002</v>
      </c>
      <c r="AM77" s="290"/>
      <c r="AN77" s="18">
        <v>261.96983501546862</v>
      </c>
      <c r="AO77" s="291">
        <v>433.6376239036544</v>
      </c>
    </row>
    <row r="78" spans="3:62" ht="14" thickBot="1" x14ac:dyDescent="0.2">
      <c r="W78" s="236"/>
      <c r="X78" s="292">
        <v>69.746589293639971</v>
      </c>
      <c r="Y78" s="293">
        <v>122.34343264857729</v>
      </c>
      <c r="AM78" s="232"/>
      <c r="AN78" s="17">
        <v>283.96765425773657</v>
      </c>
      <c r="AO78" s="289">
        <v>410.00831718529457</v>
      </c>
    </row>
    <row r="79" spans="3:62" ht="14" thickBot="1" x14ac:dyDescent="0.2">
      <c r="F79" s="5"/>
      <c r="W79" s="12"/>
      <c r="X79" s="17"/>
      <c r="Y79" s="13"/>
      <c r="AM79" s="236"/>
      <c r="AN79" s="292"/>
      <c r="AO79" s="293"/>
    </row>
    <row r="80" spans="3:62" ht="14" thickBot="1" x14ac:dyDescent="0.2">
      <c r="F80" s="5"/>
      <c r="W80" s="12"/>
      <c r="X80" s="16" t="s">
        <v>13</v>
      </c>
      <c r="Y80" s="11" t="s">
        <v>49</v>
      </c>
      <c r="AM80" s="12"/>
      <c r="AN80" s="17"/>
      <c r="AO80" s="13"/>
    </row>
    <row r="81" spans="6:41" ht="14" thickBot="1" x14ac:dyDescent="0.2">
      <c r="F81" s="5"/>
      <c r="W81" s="228" t="s">
        <v>411</v>
      </c>
      <c r="X81" s="287">
        <v>81.276712462616203</v>
      </c>
      <c r="Y81" s="288">
        <v>68.338082142436136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17">
        <v>119.65707821171999</v>
      </c>
      <c r="Y82" s="289">
        <v>85.817945626993549</v>
      </c>
      <c r="AM82" s="228" t="s">
        <v>411</v>
      </c>
      <c r="AN82" s="287">
        <v>81.276712462616203</v>
      </c>
      <c r="AO82" s="288">
        <v>265.00501232977552</v>
      </c>
    </row>
    <row r="83" spans="6:41" x14ac:dyDescent="0.15">
      <c r="W83" s="232"/>
      <c r="X83" s="17">
        <v>150.59712190136415</v>
      </c>
      <c r="Y83" s="289">
        <v>100.58211420649553</v>
      </c>
      <c r="AM83" s="232"/>
      <c r="AN83" s="17">
        <v>119.65707821171999</v>
      </c>
      <c r="AO83" s="289">
        <v>275.72121747030798</v>
      </c>
    </row>
    <row r="84" spans="6:41" x14ac:dyDescent="0.15">
      <c r="W84" s="232"/>
      <c r="X84" s="17">
        <v>164.38494862120547</v>
      </c>
      <c r="Y84" s="289">
        <v>108.18499603886791</v>
      </c>
      <c r="AM84" s="232"/>
      <c r="AN84" s="17">
        <v>150.59712190136415</v>
      </c>
      <c r="AO84" s="289">
        <v>277.98938334266228</v>
      </c>
    </row>
    <row r="85" spans="6:41" x14ac:dyDescent="0.15">
      <c r="W85" s="232"/>
      <c r="X85" s="17">
        <v>191.8026926749649</v>
      </c>
      <c r="Y85" s="289">
        <v>122.06707576044337</v>
      </c>
      <c r="AM85" s="232"/>
      <c r="AN85" s="17">
        <v>164.38494862120547</v>
      </c>
      <c r="AO85" s="289">
        <v>260.1718305683068</v>
      </c>
    </row>
    <row r="86" spans="6:41" x14ac:dyDescent="0.15">
      <c r="W86" s="232"/>
      <c r="X86" s="17">
        <v>202.10154643378257</v>
      </c>
      <c r="Y86" s="289">
        <v>127.03579746433738</v>
      </c>
      <c r="AM86" s="232"/>
      <c r="AN86" s="17">
        <v>191.8026926749649</v>
      </c>
      <c r="AO86" s="289">
        <v>256.38645724089372</v>
      </c>
    </row>
    <row r="87" spans="6:41" x14ac:dyDescent="0.15">
      <c r="F87" s="5"/>
      <c r="W87" s="290"/>
      <c r="X87" s="18">
        <v>188.24966838990059</v>
      </c>
      <c r="Y87" s="291">
        <v>121.47438704053738</v>
      </c>
      <c r="AM87" s="232"/>
      <c r="AN87" s="17">
        <v>202.10154643378257</v>
      </c>
      <c r="AO87" s="289">
        <v>247.75451315166487</v>
      </c>
    </row>
    <row r="88" spans="6:41" ht="14" thickBot="1" x14ac:dyDescent="0.2">
      <c r="F88" s="5"/>
      <c r="W88" s="236"/>
      <c r="X88" s="292">
        <v>196.59593379240673</v>
      </c>
      <c r="Y88" s="293">
        <v>120.34526296527847</v>
      </c>
      <c r="AM88" s="290"/>
      <c r="AN88" s="18">
        <v>188.24966838990059</v>
      </c>
      <c r="AO88" s="291">
        <v>256.27772092943292</v>
      </c>
    </row>
    <row r="89" spans="6:41" ht="14" thickBot="1" x14ac:dyDescent="0.2">
      <c r="F89" s="5"/>
      <c r="W89" s="12"/>
      <c r="X89" s="17"/>
      <c r="Y89" s="13"/>
      <c r="AM89" s="236"/>
      <c r="AN89" s="292">
        <v>196.59593379240673</v>
      </c>
      <c r="AO89" s="293">
        <v>237.96625636891571</v>
      </c>
    </row>
    <row r="90" spans="6:41" ht="14" thickBot="1" x14ac:dyDescent="0.2">
      <c r="F90" s="5"/>
      <c r="W90" s="12"/>
      <c r="X90" s="17"/>
      <c r="Y90" s="13"/>
      <c r="AM90" s="12"/>
      <c r="AN90" s="17"/>
      <c r="AO90" s="13"/>
    </row>
    <row r="91" spans="6:41" ht="14" thickBot="1" x14ac:dyDescent="0.2">
      <c r="F91" s="5"/>
      <c r="W91" s="228"/>
      <c r="X91" s="320" t="s">
        <v>13</v>
      </c>
      <c r="Y91" s="321" t="s">
        <v>49</v>
      </c>
      <c r="AM91" s="12"/>
      <c r="AN91" s="17"/>
      <c r="AO91" s="13"/>
    </row>
    <row r="92" spans="6:41" x14ac:dyDescent="0.15">
      <c r="F92" s="5"/>
      <c r="W92" s="322" t="s">
        <v>409</v>
      </c>
      <c r="X92" s="19">
        <v>49.906264553821721</v>
      </c>
      <c r="Y92" s="323">
        <v>27.789129554462839</v>
      </c>
      <c r="AM92" s="228"/>
      <c r="AN92" s="320" t="s">
        <v>13</v>
      </c>
      <c r="AO92" s="11" t="s">
        <v>516</v>
      </c>
    </row>
    <row r="93" spans="6:41" x14ac:dyDescent="0.15">
      <c r="F93" s="5"/>
      <c r="W93" s="232"/>
      <c r="X93" s="17">
        <v>71.51080035745774</v>
      </c>
      <c r="Y93" s="289">
        <v>32.284696155606284</v>
      </c>
      <c r="AM93" s="322" t="s">
        <v>517</v>
      </c>
      <c r="AN93" s="19">
        <v>49.906264553821721</v>
      </c>
      <c r="AO93" s="323">
        <v>115.4382451776105</v>
      </c>
    </row>
    <row r="94" spans="6:41" x14ac:dyDescent="0.15">
      <c r="F94" s="5"/>
      <c r="W94" s="232"/>
      <c r="X94" s="17">
        <v>90.043158959485879</v>
      </c>
      <c r="Y94" s="289">
        <v>35.64020826027015</v>
      </c>
      <c r="AM94" s="232"/>
      <c r="AN94" s="17">
        <v>71.51080035745774</v>
      </c>
      <c r="AO94" s="289">
        <v>116.49698561821329</v>
      </c>
    </row>
    <row r="95" spans="6:41" x14ac:dyDescent="0.15">
      <c r="F95" s="5"/>
      <c r="W95" s="232"/>
      <c r="X95" s="17">
        <v>101.54208149102088</v>
      </c>
      <c r="Y95" s="289">
        <v>38.902321225263641</v>
      </c>
      <c r="AM95" s="232"/>
      <c r="AN95" s="17">
        <v>90.043158959485879</v>
      </c>
      <c r="AO95" s="289">
        <v>119.17840227299482</v>
      </c>
    </row>
    <row r="96" spans="6:41" x14ac:dyDescent="0.15">
      <c r="F96" s="5"/>
      <c r="W96" s="232"/>
      <c r="X96" s="17">
        <v>119.0326314099045</v>
      </c>
      <c r="Y96" s="289">
        <v>42.421503042537594</v>
      </c>
      <c r="AM96" s="232"/>
      <c r="AN96" s="17">
        <v>101.54208149102088</v>
      </c>
      <c r="AO96" s="289">
        <v>118.07500366378952</v>
      </c>
    </row>
    <row r="97" spans="6:41" x14ac:dyDescent="0.15">
      <c r="F97" s="5"/>
      <c r="W97" s="232"/>
      <c r="X97" s="17">
        <v>110.21384224054002</v>
      </c>
      <c r="Y97" s="289">
        <v>41.173887650695342</v>
      </c>
      <c r="AM97" s="232"/>
      <c r="AN97" s="17">
        <v>119.0326314099045</v>
      </c>
      <c r="AO97" s="289">
        <v>114.88763761184336</v>
      </c>
    </row>
    <row r="98" spans="6:41" ht="14" thickBot="1" x14ac:dyDescent="0.2">
      <c r="F98" s="5"/>
      <c r="W98" s="236"/>
      <c r="X98" s="292">
        <v>120.06691977873932</v>
      </c>
      <c r="Y98" s="293">
        <v>42.255082918151238</v>
      </c>
      <c r="AM98" s="232"/>
      <c r="AN98" s="17">
        <v>110.21384224054002</v>
      </c>
      <c r="AO98" s="289">
        <v>116.44711487432268</v>
      </c>
    </row>
    <row r="99" spans="6:41" ht="14" thickBot="1" x14ac:dyDescent="0.2">
      <c r="F99" s="5"/>
      <c r="AM99" s="236"/>
      <c r="AN99" s="292">
        <v>120.06691977873932</v>
      </c>
      <c r="AO99" s="293">
        <v>113.88939116261066</v>
      </c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8D68F-2AB0-469B-8D5F-1AA07549EDC6}">
  <dimension ref="A1:CD100"/>
  <sheetViews>
    <sheetView zoomScale="85" zoomScaleNormal="85" workbookViewId="0">
      <selection activeCell="R20" sqref="R20"/>
    </sheetView>
  </sheetViews>
  <sheetFormatPr baseColWidth="10" defaultColWidth="8.83203125" defaultRowHeight="13" x14ac:dyDescent="0.15"/>
  <cols>
    <col min="1" max="1" width="16.5" customWidth="1"/>
    <col min="7" max="7" width="10.5" customWidth="1"/>
    <col min="16" max="16" width="10.83203125" customWidth="1"/>
    <col min="17" max="17" width="12.33203125" bestFit="1" customWidth="1"/>
    <col min="18" max="18" width="12.6640625" bestFit="1" customWidth="1"/>
    <col min="19" max="20" width="9" bestFit="1" customWidth="1"/>
    <col min="22" max="22" width="13" customWidth="1"/>
    <col min="25" max="25" width="10" customWidth="1"/>
    <col min="69" max="69" width="11.6640625" bestFit="1" customWidth="1"/>
  </cols>
  <sheetData>
    <row r="1" spans="1:64" x14ac:dyDescent="0.15">
      <c r="P1" t="s">
        <v>518</v>
      </c>
    </row>
    <row r="2" spans="1:64" x14ac:dyDescent="0.15">
      <c r="C2" s="2" t="s">
        <v>59</v>
      </c>
      <c r="J2" t="s">
        <v>15</v>
      </c>
      <c r="P2" s="259">
        <f t="array" ref="P2:R2">LINEST(AL34:AL37,AC34:AC37^{1,2})</f>
        <v>6.1644261013428077E-2</v>
      </c>
      <c r="Q2" s="259">
        <v>1.1640251160624528</v>
      </c>
      <c r="R2" s="259">
        <v>-12.832425814682381</v>
      </c>
      <c r="V2" t="s">
        <v>519</v>
      </c>
      <c r="W2" s="84">
        <f>P2*J3^2+Q2*J3+R2</f>
        <v>101.90545077196248</v>
      </c>
      <c r="X2" t="s">
        <v>14</v>
      </c>
    </row>
    <row r="3" spans="1:64" x14ac:dyDescent="0.15">
      <c r="J3" s="7">
        <f>'R-series ENT'!G33</f>
        <v>34.722222222222221</v>
      </c>
      <c r="K3" t="s">
        <v>13</v>
      </c>
      <c r="L3" s="122">
        <f>'R-series ENT'!G39</f>
        <v>90</v>
      </c>
      <c r="M3" t="s">
        <v>14</v>
      </c>
      <c r="P3" t="s">
        <v>34</v>
      </c>
      <c r="AA3" s="2" t="s">
        <v>53</v>
      </c>
      <c r="BE3" t="s">
        <v>2873</v>
      </c>
    </row>
    <row r="4" spans="1:6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1:64" x14ac:dyDescent="0.15">
      <c r="C5" t="s">
        <v>2</v>
      </c>
      <c r="D5" s="1"/>
      <c r="E5" s="1"/>
      <c r="H5" s="1"/>
      <c r="P5" s="52">
        <f t="array" ref="P5:Q5">LINEST(AF34:AF37,LN(AC34:AC37))</f>
        <v>18.718114837392658</v>
      </c>
      <c r="Q5" s="52">
        <v>-27.74829239493647</v>
      </c>
      <c r="R5" t="s">
        <v>8</v>
      </c>
      <c r="T5" s="4"/>
      <c r="U5" s="39" t="s">
        <v>43</v>
      </c>
      <c r="V5" t="s">
        <v>8</v>
      </c>
      <c r="W5" s="9">
        <f>$P$5*LN($J$3)+$Q$5</f>
        <v>38.651971792386632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BE5" s="2" t="s">
        <v>2874</v>
      </c>
    </row>
    <row r="6" spans="1:64" x14ac:dyDescent="0.15">
      <c r="C6" s="2" t="s">
        <v>3</v>
      </c>
      <c r="D6" s="1"/>
      <c r="E6" s="1"/>
      <c r="H6" s="1"/>
      <c r="P6" s="52">
        <f t="array" ref="P6:Q6">LINEST(AG34:AG37,LN(AC34:AC37))</f>
        <v>21.232009178614621</v>
      </c>
      <c r="Q6" s="52">
        <v>-21.974789683139662</v>
      </c>
      <c r="R6" t="s">
        <v>57</v>
      </c>
      <c r="T6" s="4"/>
      <c r="U6" s="39" t="s">
        <v>43</v>
      </c>
      <c r="V6" t="s">
        <v>57</v>
      </c>
      <c r="W6" s="9">
        <f>$P$6*LN($J$3)+$Q$6</f>
        <v>53.343212740445182</v>
      </c>
      <c r="X6" t="s">
        <v>31</v>
      </c>
      <c r="AA6" s="55">
        <v>25</v>
      </c>
      <c r="AB6" s="56">
        <f t="shared" ref="AB6:AB12" si="0">(-$D$9-SQRT($D$9^2-(4*$C$9*($E$9-AA6))))/(2*$C$9)</f>
        <v>396.45045145316698</v>
      </c>
      <c r="AC6" s="55">
        <v>20</v>
      </c>
      <c r="AD6" s="57">
        <f t="shared" ref="AD6:AD12" si="1">(-$D$14-SQRT($D$14^2-(4*$C$14*($E$14-AC6))))/(2*$C$14)</f>
        <v>332.67701038530055</v>
      </c>
      <c r="AE6" s="55">
        <v>10</v>
      </c>
      <c r="AF6" s="57">
        <f t="shared" ref="AF6:AF11" si="2">(-$D$19-SQRT($D$19^2-(4*$C$19*($E$19-AE6))))/(2*$C$19)</f>
        <v>239.54728928322191</v>
      </c>
      <c r="AG6" s="56">
        <v>10</v>
      </c>
      <c r="AH6" s="57">
        <f>(-$D$24-SQRT($D$24^2-(4*$C$24*($E$24-AG6))))/(2*$C$24)</f>
        <v>144.57203925918452</v>
      </c>
      <c r="BE6" t="s">
        <v>2893</v>
      </c>
    </row>
    <row r="7" spans="1:64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si="0"/>
        <v>377.32184914146467</v>
      </c>
      <c r="AC7" s="55">
        <v>50</v>
      </c>
      <c r="AD7" s="57">
        <f t="shared" si="1"/>
        <v>322.08762402000161</v>
      </c>
      <c r="AE7" s="55">
        <v>50</v>
      </c>
      <c r="AF7" s="57">
        <f t="shared" si="2"/>
        <v>219.45665468381333</v>
      </c>
      <c r="AG7" s="56">
        <v>20</v>
      </c>
      <c r="AH7" s="57">
        <f>(-$D$24-SQRT($D$24^2-(4*$C$24*($E$24-AG7))))/(2*$C$24)</f>
        <v>136.21844953136045</v>
      </c>
      <c r="BE7" t="s">
        <v>2897</v>
      </c>
    </row>
    <row r="8" spans="1:64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349.62156878587024</v>
      </c>
      <c r="AC8" s="55">
        <v>100</v>
      </c>
      <c r="AD8" s="57">
        <f t="shared" si="1"/>
        <v>303.47553307941456</v>
      </c>
      <c r="AE8" s="55">
        <v>90</v>
      </c>
      <c r="AF8" s="57">
        <f t="shared" si="2"/>
        <v>196.82660562841531</v>
      </c>
      <c r="AG8" s="56">
        <v>40</v>
      </c>
      <c r="AH8" s="57">
        <f>(-$D$24-SQRT($D$24^2-(4*$C$24*($E$24-AG8))))/(2*$C$24)</f>
        <v>117.54750231651833</v>
      </c>
      <c r="BE8" t="s">
        <v>2898</v>
      </c>
    </row>
    <row r="9" spans="1:64" x14ac:dyDescent="0.15">
      <c r="A9" s="2" t="s">
        <v>2876</v>
      </c>
      <c r="C9" s="1652">
        <v>-6.6360402386698722E-3</v>
      </c>
      <c r="D9" s="1652">
        <v>1.2139540073967927</v>
      </c>
      <c r="E9" s="1652">
        <v>586.73347575046751</v>
      </c>
      <c r="H9" s="2"/>
      <c r="P9" t="s">
        <v>415</v>
      </c>
      <c r="Q9" s="52">
        <f t="array" ref="Q9:R9">LINEST(AC35:AC37,U35:U37)</f>
        <v>10.316246896880489</v>
      </c>
      <c r="R9" s="52">
        <v>-7.001108366069559</v>
      </c>
      <c r="T9" s="111">
        <f>(J3-R9)/Q9</f>
        <v>4.0444292391749972</v>
      </c>
      <c r="U9" s="39" t="s">
        <v>42</v>
      </c>
      <c r="V9" t="s">
        <v>58</v>
      </c>
      <c r="W9" s="125">
        <f>IF($J$3&gt;$AJ$35,AVERAGE(T10,T11,T11),AVERAGE(T9,T9,T11))</f>
        <v>4.0447520185750632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318.56735160571776</v>
      </c>
      <c r="AC9" s="55">
        <v>150</v>
      </c>
      <c r="AD9" s="57">
        <f t="shared" si="1"/>
        <v>283.41350774799275</v>
      </c>
      <c r="AE9" s="55">
        <v>130</v>
      </c>
      <c r="AF9" s="57">
        <f t="shared" si="2"/>
        <v>170.34963183675882</v>
      </c>
      <c r="AG9" s="56">
        <v>60</v>
      </c>
      <c r="AH9" s="57">
        <f>(-$D$24-SQRT($D$24^2-(4*$C$24*($E$24-AG9))))/(2*$C$24)</f>
        <v>94.770453161428435</v>
      </c>
      <c r="BF9" s="104" t="s">
        <v>2868</v>
      </c>
      <c r="BG9" s="104" t="s">
        <v>2869</v>
      </c>
      <c r="BH9" s="104" t="s">
        <v>87</v>
      </c>
    </row>
    <row r="10" spans="1:64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6.9094236096662067</v>
      </c>
      <c r="R10" s="52">
        <v>23.66030121885899</v>
      </c>
      <c r="T10" s="111">
        <f>(J3-R10)/Q10</f>
        <v>1.6009904195029709</v>
      </c>
      <c r="W10" t="b">
        <f>IF(AND(W9&lt;=10.01,'R-series ENT'!E33&gt;=W11),TRUE,FALSE)</f>
        <v>0</v>
      </c>
      <c r="AA10" s="55">
        <v>400</v>
      </c>
      <c r="AB10" s="56">
        <f t="shared" si="0"/>
        <v>282.53076043038789</v>
      </c>
      <c r="AC10" s="55">
        <v>170</v>
      </c>
      <c r="AD10" s="57">
        <f t="shared" si="1"/>
        <v>274.89854418504655</v>
      </c>
      <c r="AE10" s="55">
        <v>170</v>
      </c>
      <c r="AF10" s="57">
        <f t="shared" si="2"/>
        <v>136.94975137110086</v>
      </c>
      <c r="AG10" s="56">
        <v>80</v>
      </c>
      <c r="AH10" s="57">
        <f>(-$D$24-SQRT($D$24^2-(4*$C$24*($E$24-AG10))))/(2*$C$24)</f>
        <v>62.626439612772486</v>
      </c>
      <c r="BE10" s="628" t="s">
        <v>13</v>
      </c>
      <c r="BF10" s="628" t="s">
        <v>14</v>
      </c>
      <c r="BG10" s="628" t="s">
        <v>14</v>
      </c>
      <c r="BH10" s="628" t="s">
        <v>14</v>
      </c>
    </row>
    <row r="11" spans="1:64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1.7420030558993775E-4</v>
      </c>
      <c r="R11" s="7">
        <v>7.9595301030642288E-2</v>
      </c>
      <c r="S11" s="7">
        <v>1.071650259579529</v>
      </c>
      <c r="T11" s="111">
        <f>Q11*J3^2+R11*J3+S11</f>
        <v>4.0453975773751933</v>
      </c>
      <c r="V11" t="s">
        <v>348</v>
      </c>
      <c r="W11" s="294">
        <v>40</v>
      </c>
      <c r="X11" t="s">
        <v>13</v>
      </c>
      <c r="AA11" s="55">
        <v>500</v>
      </c>
      <c r="AB11" s="56">
        <f t="shared" si="0"/>
        <v>237.87791416174588</v>
      </c>
      <c r="AC11" s="55">
        <v>190</v>
      </c>
      <c r="AD11" s="57">
        <f t="shared" si="1"/>
        <v>266.05549847333492</v>
      </c>
      <c r="AE11" s="55">
        <v>200</v>
      </c>
      <c r="AF11" s="57">
        <f t="shared" si="2"/>
        <v>101.02409261451852</v>
      </c>
      <c r="AG11" s="56"/>
      <c r="AH11" s="57"/>
      <c r="BE11" s="628">
        <v>0</v>
      </c>
      <c r="BF11" s="344">
        <v>0</v>
      </c>
      <c r="BG11" s="344">
        <v>0</v>
      </c>
      <c r="BH11" s="628">
        <v>0</v>
      </c>
      <c r="BJ11" t="s">
        <v>2868</v>
      </c>
    </row>
    <row r="12" spans="1:64" x14ac:dyDescent="0.15">
      <c r="C12" t="s">
        <v>11</v>
      </c>
      <c r="D12" s="1"/>
      <c r="E12" s="1"/>
      <c r="H12" s="1"/>
      <c r="P12" s="2" t="s">
        <v>51</v>
      </c>
      <c r="AA12" s="58">
        <v>600</v>
      </c>
      <c r="AB12" s="59">
        <f t="shared" si="0"/>
        <v>171.26024658923819</v>
      </c>
      <c r="AC12" s="58">
        <v>390</v>
      </c>
      <c r="AD12" s="60">
        <f t="shared" si="1"/>
        <v>139.71249307521012</v>
      </c>
      <c r="AE12" s="58"/>
      <c r="AF12" s="60"/>
      <c r="AG12" s="59"/>
      <c r="AH12" s="60"/>
      <c r="BE12" s="628">
        <v>50</v>
      </c>
      <c r="BF12" s="344">
        <v>16.899999999999999</v>
      </c>
      <c r="BG12" s="344">
        <v>19</v>
      </c>
      <c r="BH12" s="628">
        <f>BF12-BG12</f>
        <v>-2.1000000000000014</v>
      </c>
      <c r="BJ12">
        <f t="array" ref="BJ12:BL12">LINEST(BF11:BF18,BE11:BE18^{1,2})</f>
        <v>1.4435000000000008E-3</v>
      </c>
      <c r="BK12">
        <v>0.25909642857142828</v>
      </c>
      <c r="BL12">
        <v>0.14625000000003041</v>
      </c>
    </row>
    <row r="13" spans="1:64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1.1770733774372873E-2</v>
      </c>
      <c r="Q13" s="51">
        <v>0.98593546116706365</v>
      </c>
      <c r="R13" s="51">
        <v>-26.643615099753127</v>
      </c>
      <c r="U13" s="39" t="s">
        <v>43</v>
      </c>
      <c r="V13" t="s">
        <v>58</v>
      </c>
      <c r="W13" s="295">
        <f>P18</f>
        <v>22.75385385573588</v>
      </c>
      <c r="X13" t="s">
        <v>49</v>
      </c>
      <c r="Y13" s="129" t="s">
        <v>414</v>
      </c>
      <c r="BE13" s="628">
        <v>100</v>
      </c>
      <c r="BF13" s="344">
        <v>40.56</v>
      </c>
      <c r="BG13" s="344">
        <v>48</v>
      </c>
      <c r="BH13" s="628">
        <f t="shared" ref="BH13:BH18" si="3">BF13-BG13</f>
        <v>-7.4399999999999977</v>
      </c>
      <c r="BJ13" t="s">
        <v>2869</v>
      </c>
    </row>
    <row r="14" spans="1:64" ht="14" thickBot="1" x14ac:dyDescent="0.2">
      <c r="A14" s="2" t="s">
        <v>2876</v>
      </c>
      <c r="C14" s="1652">
        <v>-5.0202808824422376E-3</v>
      </c>
      <c r="D14" s="1652">
        <v>0.45407702791083454</v>
      </c>
      <c r="E14" s="1652">
        <v>424.55354431077899</v>
      </c>
      <c r="H14" s="2"/>
      <c r="O14" t="s">
        <v>413</v>
      </c>
      <c r="P14">
        <f t="array" ref="P14:S14">LINEST(AE34:AE37,AC34:AC37^{1,2,3})</f>
        <v>-8.9806380425006894E-4</v>
      </c>
      <c r="Q14">
        <v>0.18335912464633519</v>
      </c>
      <c r="R14">
        <v>-9.263880250001046</v>
      </c>
      <c r="S14">
        <v>161.91998899396964</v>
      </c>
      <c r="V14" t="s">
        <v>52</v>
      </c>
      <c r="W14" s="296">
        <f>IF(W13&gt;Y14,Y14,W13)</f>
        <v>22.75385385573588</v>
      </c>
      <c r="X14" t="s">
        <v>49</v>
      </c>
      <c r="Y14" s="129">
        <v>516</v>
      </c>
      <c r="Z14" t="s">
        <v>49</v>
      </c>
      <c r="BE14" s="628">
        <v>150</v>
      </c>
      <c r="BF14" s="344">
        <v>71.47</v>
      </c>
      <c r="BG14" s="344">
        <v>85</v>
      </c>
      <c r="BH14" s="628">
        <f t="shared" si="3"/>
        <v>-13.530000000000001</v>
      </c>
      <c r="BJ14">
        <f t="array" ref="BJ14:BL14">LINEST(BG11:BG18,BE11:BE18^{1,2})</f>
        <v>1.6214285714285716E-3</v>
      </c>
      <c r="BK14">
        <v>0.2836904761904761</v>
      </c>
      <c r="BL14">
        <v>1.5416666666666714</v>
      </c>
    </row>
    <row r="15" spans="1:64" x14ac:dyDescent="0.15">
      <c r="C15" s="2"/>
      <c r="D15" s="2"/>
      <c r="E15" s="2"/>
      <c r="H15" s="2"/>
      <c r="BE15" s="628">
        <v>200</v>
      </c>
      <c r="BF15" s="344">
        <v>109.6</v>
      </c>
      <c r="BG15" s="344">
        <v>125</v>
      </c>
      <c r="BH15" s="628">
        <f t="shared" si="3"/>
        <v>-15.400000000000006</v>
      </c>
      <c r="BJ15" t="s">
        <v>87</v>
      </c>
    </row>
    <row r="16" spans="1:64" x14ac:dyDescent="0.15">
      <c r="C16" s="2" t="s">
        <v>409</v>
      </c>
      <c r="D16" s="1"/>
      <c r="E16" s="1"/>
      <c r="H16" s="1"/>
      <c r="O16" t="s">
        <v>412</v>
      </c>
      <c r="P16" s="3">
        <f>$P$13*J3^2+$Q$13*J3+$R$13</f>
        <v>21.781436809950172</v>
      </c>
      <c r="Q16" t="s">
        <v>49</v>
      </c>
      <c r="BE16" s="628">
        <v>250</v>
      </c>
      <c r="BF16" s="344">
        <v>155.1</v>
      </c>
      <c r="BG16" s="344">
        <v>167</v>
      </c>
      <c r="BH16" s="628">
        <f t="shared" si="3"/>
        <v>-11.900000000000006</v>
      </c>
      <c r="BJ16" s="2">
        <f>BJ14-BJ12</f>
        <v>1.7792857142857085E-4</v>
      </c>
      <c r="BK16" s="2">
        <f t="shared" ref="BK16:BL16" si="4">BK14-BK12</f>
        <v>2.4594047619047821E-2</v>
      </c>
      <c r="BL16" s="2">
        <f t="shared" si="4"/>
        <v>1.395416666666641</v>
      </c>
    </row>
    <row r="17" spans="1:75" x14ac:dyDescent="0.15">
      <c r="C17" t="s">
        <v>11</v>
      </c>
      <c r="D17" s="1"/>
      <c r="E17" s="1"/>
      <c r="H17" s="1"/>
      <c r="O17" t="s">
        <v>413</v>
      </c>
      <c r="P17" s="3">
        <f>$P$14*J3^3+$Q$14*J3^2+$R$14*J3+$S$14</f>
        <v>23.726270901521588</v>
      </c>
      <c r="Q17" t="s">
        <v>49</v>
      </c>
      <c r="BE17" s="628">
        <v>300</v>
      </c>
      <c r="BF17" s="344">
        <v>207.8</v>
      </c>
      <c r="BG17" s="344">
        <v>229</v>
      </c>
      <c r="BH17" s="628">
        <f t="shared" si="3"/>
        <v>-21.199999999999989</v>
      </c>
      <c r="BJ17">
        <f t="array" ref="BJ17:BL17">LINEST(BH11:BH18,BE11:BE18^{1,2})</f>
        <v>-1.779285714285715E-4</v>
      </c>
      <c r="BK17">
        <v>-2.4594047619047599E-2</v>
      </c>
      <c r="BL17">
        <v>-1.3954166666666667</v>
      </c>
    </row>
    <row r="18" spans="1:75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22.75385385573588</v>
      </c>
      <c r="Q18" t="s">
        <v>49</v>
      </c>
      <c r="BE18" s="628">
        <v>350</v>
      </c>
      <c r="BF18" s="344">
        <v>267.7</v>
      </c>
      <c r="BG18" s="344">
        <v>304</v>
      </c>
      <c r="BH18" s="628">
        <f t="shared" si="3"/>
        <v>-36.300000000000011</v>
      </c>
    </row>
    <row r="19" spans="1:75" x14ac:dyDescent="0.15">
      <c r="A19" s="2" t="s">
        <v>2876</v>
      </c>
      <c r="C19" s="1652">
        <v>-5.2296934742095012E-3</v>
      </c>
      <c r="D19" s="1652">
        <v>0.40947250248137845</v>
      </c>
      <c r="E19" s="1652">
        <v>212.00696954399325</v>
      </c>
      <c r="AB19" s="6"/>
      <c r="AC19" s="6"/>
    </row>
    <row r="20" spans="1:75" x14ac:dyDescent="0.15">
      <c r="C20" s="2"/>
      <c r="D20" s="2"/>
      <c r="E20" s="2"/>
      <c r="H20" s="1"/>
      <c r="AB20" s="6"/>
      <c r="AC20" s="6"/>
      <c r="BE20" s="2" t="s">
        <v>2880</v>
      </c>
      <c r="BI20" s="2" t="s">
        <v>533</v>
      </c>
    </row>
    <row r="21" spans="1:75" x14ac:dyDescent="0.15">
      <c r="C21" s="2" t="s">
        <v>410</v>
      </c>
      <c r="D21" s="1"/>
      <c r="E21" s="1"/>
      <c r="H21" s="1"/>
      <c r="AB21" s="6"/>
      <c r="AC21" s="6"/>
      <c r="BF21" t="s">
        <v>4</v>
      </c>
      <c r="BG21" t="s">
        <v>5</v>
      </c>
      <c r="BH21" t="s">
        <v>6</v>
      </c>
    </row>
    <row r="22" spans="1:75" x14ac:dyDescent="0.15">
      <c r="C22" t="s">
        <v>11</v>
      </c>
      <c r="D22" s="1"/>
      <c r="E22" s="1"/>
      <c r="H22" s="1"/>
      <c r="AB22" s="6"/>
      <c r="AC22" s="6"/>
      <c r="BE22">
        <v>10</v>
      </c>
      <c r="BF22" s="8">
        <v>-6.8139688100984433E-3</v>
      </c>
      <c r="BG22" s="8">
        <v>1.1893599597777449</v>
      </c>
      <c r="BH22" s="8">
        <v>585.33805908380089</v>
      </c>
    </row>
    <row r="23" spans="1:75" x14ac:dyDescent="0.15">
      <c r="C23" t="s">
        <v>4</v>
      </c>
      <c r="D23" t="s">
        <v>5</v>
      </c>
      <c r="E23" t="s">
        <v>6</v>
      </c>
      <c r="H23" s="1"/>
      <c r="BE23">
        <v>8</v>
      </c>
      <c r="BF23" s="8">
        <v>-5.1982094538708086E-3</v>
      </c>
      <c r="BG23" s="8">
        <v>0.42948298029178672</v>
      </c>
      <c r="BH23" s="8">
        <v>423.15812764411237</v>
      </c>
    </row>
    <row r="24" spans="1:75" x14ac:dyDescent="0.15">
      <c r="A24" s="2" t="s">
        <v>2876</v>
      </c>
      <c r="C24" s="1652">
        <v>-4.658996363022274E-3</v>
      </c>
      <c r="D24" s="1652">
        <v>0.11111171369044934</v>
      </c>
      <c r="E24" s="1652">
        <v>91.314383210616825</v>
      </c>
      <c r="H24" s="1"/>
      <c r="BE24">
        <v>6</v>
      </c>
      <c r="BF24" s="8">
        <v>-5.4076220456380723E-3</v>
      </c>
      <c r="BG24" s="8">
        <v>0.38487845486233063</v>
      </c>
      <c r="BH24" s="8">
        <v>210.6115528773266</v>
      </c>
    </row>
    <row r="25" spans="1:75" x14ac:dyDescent="0.15">
      <c r="G25" s="2"/>
      <c r="H25" s="1"/>
      <c r="BE25">
        <v>4</v>
      </c>
      <c r="BF25" s="8">
        <v>-4.8369249344508451E-3</v>
      </c>
      <c r="BG25" s="8">
        <v>8.6517666071401517E-2</v>
      </c>
      <c r="BH25" s="8">
        <v>89.918966543950177</v>
      </c>
    </row>
    <row r="27" spans="1:75" x14ac:dyDescent="0.15">
      <c r="U27" t="s">
        <v>407</v>
      </c>
    </row>
    <row r="28" spans="1:75" x14ac:dyDescent="0.15">
      <c r="U28" s="4" t="s">
        <v>17</v>
      </c>
      <c r="BE28" s="2" t="s">
        <v>2882</v>
      </c>
    </row>
    <row r="29" spans="1:75" x14ac:dyDescent="0.15">
      <c r="U29" s="4">
        <f>L3/J3^2</f>
        <v>7.4649599999999997E-2</v>
      </c>
      <c r="BF29" t="s">
        <v>4</v>
      </c>
      <c r="BG29" t="s">
        <v>5</v>
      </c>
      <c r="BH29" t="s">
        <v>6</v>
      </c>
    </row>
    <row r="30" spans="1:75" x14ac:dyDescent="0.15">
      <c r="BE30">
        <f>BE22</f>
        <v>10</v>
      </c>
      <c r="BF30" s="1654">
        <f>BF22+$BJ$16</f>
        <v>-6.6360402386698722E-3</v>
      </c>
      <c r="BG30" s="1654">
        <f>BG22+$BK$16</f>
        <v>1.2139540073967927</v>
      </c>
      <c r="BH30" s="1654">
        <f>BH22+$BL$16</f>
        <v>586.73347575046751</v>
      </c>
    </row>
    <row r="31" spans="1:75" x14ac:dyDescent="0.15">
      <c r="U31" s="2" t="s">
        <v>16</v>
      </c>
      <c r="AO31" s="2" t="s">
        <v>1110</v>
      </c>
      <c r="BE31">
        <f t="shared" ref="BE31:BE33" si="5">BE23</f>
        <v>8</v>
      </c>
      <c r="BF31" s="1654">
        <f t="shared" ref="BF31:BF33" si="6">BF23+$BJ$16</f>
        <v>-5.0202808824422376E-3</v>
      </c>
      <c r="BG31" s="1654">
        <f t="shared" ref="BG31:BG33" si="7">BG23+$BK$16</f>
        <v>0.45407702791083454</v>
      </c>
      <c r="BH31" s="1654">
        <f t="shared" ref="BH31:BH33" si="8">BH23+$BL$16</f>
        <v>424.55354431077899</v>
      </c>
      <c r="BN31" s="2" t="s">
        <v>2899</v>
      </c>
    </row>
    <row r="32" spans="1:7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  <c r="BE32">
        <f t="shared" si="5"/>
        <v>6</v>
      </c>
      <c r="BF32" s="1654">
        <f t="shared" si="6"/>
        <v>-5.2296934742095012E-3</v>
      </c>
      <c r="BG32" s="1654">
        <f t="shared" si="7"/>
        <v>0.40947250248137845</v>
      </c>
      <c r="BH32" s="1654">
        <f t="shared" si="8"/>
        <v>212.00696954399325</v>
      </c>
      <c r="BN32" t="s">
        <v>2883</v>
      </c>
      <c r="BW32" t="s">
        <v>2883</v>
      </c>
    </row>
    <row r="33" spans="21:8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10.316246896880489</v>
      </c>
      <c r="AX33" s="52">
        <f>R9</f>
        <v>-7.001108366069559</v>
      </c>
      <c r="AZ33" s="111">
        <f>(AO36-AX33)/AW33</f>
        <v>4.7175853311006719</v>
      </c>
      <c r="BE33">
        <f t="shared" si="5"/>
        <v>4</v>
      </c>
      <c r="BF33" s="1654">
        <f t="shared" si="6"/>
        <v>-4.658996363022274E-3</v>
      </c>
      <c r="BG33" s="1654">
        <f t="shared" si="7"/>
        <v>0.11111171369044934</v>
      </c>
      <c r="BH33" s="1654">
        <f t="shared" si="8"/>
        <v>91.314383210616825</v>
      </c>
      <c r="BN33" s="2" t="s">
        <v>2884</v>
      </c>
      <c r="BW33" s="2" t="s">
        <v>2727</v>
      </c>
    </row>
    <row r="34" spans="21:82" x14ac:dyDescent="0.15">
      <c r="U34" s="35">
        <v>10</v>
      </c>
      <c r="V34" s="98">
        <f>C9</f>
        <v>-6.6360402386698722E-3</v>
      </c>
      <c r="W34" s="99">
        <f>D9</f>
        <v>1.2139540073967927</v>
      </c>
      <c r="X34" s="100">
        <f>E9</f>
        <v>586.73347575046751</v>
      </c>
      <c r="Y34" s="36">
        <f>C9-U29</f>
        <v>-8.1285640238669868E-2</v>
      </c>
      <c r="Z34" s="28">
        <f>(-W34+SQRT(W34^2-(4*Y34*X34)))/(2*Y34)</f>
        <v>-77.820115887180236</v>
      </c>
      <c r="AA34" s="29">
        <f>(-W34-SQRT(W34^2-(4*Y34*X34)))/(2*Y34)</f>
        <v>92.754537315521048</v>
      </c>
      <c r="AB34" s="36">
        <f>AB6</f>
        <v>396.45045145316698</v>
      </c>
      <c r="AC34" s="53">
        <f>IF(Z34&lt;0,AA34,IF(Z34&gt;AB34,AA34,Z34))</f>
        <v>92.754537315521048</v>
      </c>
      <c r="AD34" s="53">
        <f>V34*AC34^2+W34*AC34+X34</f>
        <v>642.24068161713626</v>
      </c>
      <c r="AE34" s="53">
        <f>X51*AC34^2+Y51*AC34+Z51</f>
        <v>163.50652014760232</v>
      </c>
      <c r="AF34" s="53">
        <f>AVERAGE(K61:K62,K61)</f>
        <v>57.606412724087427</v>
      </c>
      <c r="AG34" s="53">
        <f>AVERAGE(U61:U62,U61)</f>
        <v>74.609989849001067</v>
      </c>
      <c r="AI34">
        <v>10</v>
      </c>
      <c r="AJ34" s="3">
        <f>AC34</f>
        <v>92.754537315521048</v>
      </c>
      <c r="AL34">
        <f>AN52*AC34^2+AO52*AC34+AP52</f>
        <v>628.32065584250836</v>
      </c>
      <c r="AM34" t="s">
        <v>14</v>
      </c>
      <c r="AO34" s="616">
        <f>AC34/$J$3-1</f>
        <v>1.6713306746870065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Y35" si="9">Q10</f>
        <v>6.9094236096662067</v>
      </c>
      <c r="AX34" s="52">
        <f t="shared" si="9"/>
        <v>23.66030121885899</v>
      </c>
      <c r="AZ34" s="111">
        <f>(AO36-AX34)/AW34</f>
        <v>2.6060589804650229</v>
      </c>
      <c r="BN34" s="1655" t="s">
        <v>102</v>
      </c>
      <c r="BO34" s="1656"/>
      <c r="BP34" s="1655" t="s">
        <v>404</v>
      </c>
      <c r="BQ34" s="1657"/>
      <c r="BR34" s="1655" t="s">
        <v>405</v>
      </c>
      <c r="BS34" s="1657"/>
      <c r="BT34" s="1656" t="s">
        <v>406</v>
      </c>
      <c r="BU34" s="1657"/>
      <c r="BW34" s="1655" t="s">
        <v>102</v>
      </c>
      <c r="BX34" s="1656"/>
      <c r="BY34" s="1655" t="s">
        <v>404</v>
      </c>
      <c r="BZ34" s="1657"/>
      <c r="CA34" s="1655" t="s">
        <v>405</v>
      </c>
      <c r="CB34" s="1657"/>
      <c r="CC34" s="1656" t="s">
        <v>406</v>
      </c>
      <c r="CD34" s="1657"/>
    </row>
    <row r="35" spans="21:82" x14ac:dyDescent="0.15">
      <c r="U35" s="35">
        <v>8</v>
      </c>
      <c r="V35" s="98">
        <f>C14</f>
        <v>-5.0202808824422376E-3</v>
      </c>
      <c r="W35" s="99">
        <f>D14</f>
        <v>0.45407702791083454</v>
      </c>
      <c r="X35" s="100">
        <f>E14</f>
        <v>424.55354431077899</v>
      </c>
      <c r="Y35" s="36">
        <f>C14-U29</f>
        <v>-7.9669880882442229E-2</v>
      </c>
      <c r="Z35" s="28">
        <f t="shared" ref="Z35:Z37" si="10">(-W35+SQRT(W35^2-(4*Y35*X35)))/(2*Y35)</f>
        <v>-70.205238522723718</v>
      </c>
      <c r="AA35" s="29">
        <f t="shared" ref="AA35:AA37" si="11">(-W35-SQRT(W35^2-(4*Y35*X35)))/(2*Y35)</f>
        <v>75.904720219964517</v>
      </c>
      <c r="AB35" s="36">
        <f>AD6</f>
        <v>332.67701038530055</v>
      </c>
      <c r="AC35" s="53">
        <f t="shared" ref="AC35:AC37" si="12">IF(Z35&lt;0,AA35,IF(Z35&gt;AB35,AA35,Z35))</f>
        <v>75.904720219964517</v>
      </c>
      <c r="AD35" s="53">
        <f>V35*AC35^2+W35*AC35+X35</f>
        <v>430.09565247162618</v>
      </c>
      <c r="AE35" s="53">
        <f t="shared" ref="AE35:AE37" si="13">X52*AC35^2+Y52*AC35+Z52</f>
        <v>122.42861155410327</v>
      </c>
      <c r="AF35" s="53">
        <f>AVERAGE(K66:K67,K66)</f>
        <v>51.981096501228485</v>
      </c>
      <c r="AG35" s="53">
        <f>AVERAGE(U66:U67,U66)</f>
        <v>69.275960324343302</v>
      </c>
      <c r="AI35">
        <v>9</v>
      </c>
      <c r="AJ35" s="3">
        <f>Q9*AI35+R9</f>
        <v>85.845113705854843</v>
      </c>
      <c r="AL35">
        <f t="shared" ref="AL35:AL37" si="14">AN53*AC35^2+AO53*AC35+AP53</f>
        <v>423.60588511652588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si="9"/>
        <v>1.7420030558993775E-4</v>
      </c>
      <c r="AX35" s="52">
        <f t="shared" si="9"/>
        <v>7.9595301030642288E-2</v>
      </c>
      <c r="AY35" s="52">
        <f t="shared" si="9"/>
        <v>1.071650259579529</v>
      </c>
      <c r="AZ35" s="111">
        <f>AW35*AO36^2+AX35*AO36+AY35</f>
        <v>4.6905522219499325</v>
      </c>
      <c r="BN35" s="1658" t="s">
        <v>14</v>
      </c>
      <c r="BO35" s="1659" t="s">
        <v>13</v>
      </c>
      <c r="BP35" s="1658" t="s">
        <v>14</v>
      </c>
      <c r="BQ35" s="1660" t="s">
        <v>13</v>
      </c>
      <c r="BR35" s="1658" t="s">
        <v>14</v>
      </c>
      <c r="BS35" s="1660" t="s">
        <v>13</v>
      </c>
      <c r="BT35" s="1659" t="s">
        <v>14</v>
      </c>
      <c r="BU35" s="1660" t="s">
        <v>13</v>
      </c>
      <c r="BW35" s="1658" t="s">
        <v>14</v>
      </c>
      <c r="BX35" s="1659" t="s">
        <v>13</v>
      </c>
      <c r="BY35" s="1658" t="s">
        <v>14</v>
      </c>
      <c r="BZ35" s="1660" t="s">
        <v>13</v>
      </c>
      <c r="CA35" s="1658" t="s">
        <v>14</v>
      </c>
      <c r="CB35" s="1660" t="s">
        <v>13</v>
      </c>
      <c r="CC35" s="1659" t="s">
        <v>14</v>
      </c>
      <c r="CD35" s="1660" t="s">
        <v>13</v>
      </c>
    </row>
    <row r="36" spans="21:82" x14ac:dyDescent="0.15">
      <c r="U36" s="35">
        <v>6</v>
      </c>
      <c r="V36" s="98">
        <f>C19</f>
        <v>-5.2296934742095012E-3</v>
      </c>
      <c r="W36" s="99">
        <f>D19</f>
        <v>0.40947250248137845</v>
      </c>
      <c r="X36" s="100">
        <f>E19</f>
        <v>212.00696954399325</v>
      </c>
      <c r="Y36" s="36">
        <f>C19-U29</f>
        <v>-7.9879293474209495E-2</v>
      </c>
      <c r="Z36" s="28">
        <f t="shared" si="10"/>
        <v>-49.01852542918656</v>
      </c>
      <c r="AA36" s="29">
        <f t="shared" si="11"/>
        <v>54.144666193233057</v>
      </c>
      <c r="AB36" s="36">
        <f>AF6</f>
        <v>239.54728928322191</v>
      </c>
      <c r="AC36" s="53">
        <f t="shared" si="12"/>
        <v>54.144666193233057</v>
      </c>
      <c r="AD36" s="53">
        <f>V36*AC36^2+W36*AC36+X36</f>
        <v>218.84611742328491</v>
      </c>
      <c r="AE36" s="53">
        <f t="shared" si="13"/>
        <v>55.321821742726733</v>
      </c>
      <c r="AF36" s="53">
        <f>AVERAGE(K71:K72,K71)</f>
        <v>48.029041004997005</v>
      </c>
      <c r="AG36" s="53">
        <f>AVERAGE(U71:U72,U71)</f>
        <v>63.06536277971626</v>
      </c>
      <c r="AI36">
        <v>8</v>
      </c>
      <c r="AJ36" s="3">
        <f>AC35</f>
        <v>75.904720219964517</v>
      </c>
      <c r="AL36">
        <f t="shared" si="14"/>
        <v>237.450842997059</v>
      </c>
      <c r="AM36" t="s">
        <v>14</v>
      </c>
      <c r="AO36" s="609">
        <f>Tulokset_ENT!$CS$16</f>
        <v>41.666666666666664</v>
      </c>
      <c r="AP36" t="s">
        <v>13</v>
      </c>
      <c r="AR36" s="617">
        <f>IF($AO$36&gt;$AJ$35,AVERAGE(AZ34,AZ35,AZ35),AVERAGE(AZ33,AZ33,AZ35))</f>
        <v>4.7085742947170921</v>
      </c>
      <c r="AS36" t="s">
        <v>25</v>
      </c>
      <c r="BE36" t="s">
        <v>2885</v>
      </c>
      <c r="BN36" s="1661">
        <f>AA6</f>
        <v>25</v>
      </c>
      <c r="BO36" s="1662">
        <f>(-$BG$22-SQRT($BG$22^2-(4*$BF$22*($BH$22-BN36))))/(2*$BF$22)</f>
        <v>387.02425293331947</v>
      </c>
      <c r="BP36" s="1661">
        <f>AC6</f>
        <v>20</v>
      </c>
      <c r="BQ36" s="1662">
        <f>(-$BG$23-SQRT($BG$23^2-(4*$BF$23*($BH$23-BP36))))/(2*$BF$23)</f>
        <v>322.84873701660229</v>
      </c>
      <c r="BR36" s="1661">
        <f>AE6</f>
        <v>10</v>
      </c>
      <c r="BS36" s="1662">
        <f>(-$BG$24-SQRT($BG$24^2-(4*$BF$24*($BH$24-BR36))))/(2*$BF$24)</f>
        <v>231.45482058174542</v>
      </c>
      <c r="BT36" s="1661">
        <f>AG6</f>
        <v>10</v>
      </c>
      <c r="BU36" s="1662">
        <f>(-$BG$25-SQRT($BG$25^2-(4*$BF$25*($BH$25-BT36))))/(2*$BF$25)</f>
        <v>137.79479127749656</v>
      </c>
      <c r="BW36" s="55">
        <f>BN36</f>
        <v>25</v>
      </c>
      <c r="BX36" s="1662">
        <f>(-$BG$30-SQRT($BG$30^2-(4*$BF$30*($BH$30-BW36))))/(2*$BF$30)</f>
        <v>396.45045145316698</v>
      </c>
      <c r="BY36" s="55">
        <f>BP36</f>
        <v>20</v>
      </c>
      <c r="BZ36" s="1662">
        <f>(-$BG$31-SQRT($BG$31^2-(4*$BF$31*($BH$31-BY36))))/(2*$BF$31)</f>
        <v>332.67701038530055</v>
      </c>
      <c r="CA36" s="55">
        <f>BR36</f>
        <v>10</v>
      </c>
      <c r="CB36" s="1662">
        <f>(-$BG$32-SQRT($BG$32^2-(4*$BF$32*($BH$32-CA36))))/(2*$BF$32)</f>
        <v>239.54728928322191</v>
      </c>
      <c r="CC36" s="55">
        <f>BT36</f>
        <v>10</v>
      </c>
      <c r="CD36" s="1662">
        <f>(-$BG$33-SQRT($BG$33^2-(4*$BF$33*($BH$33-CC36))))/(2*$BF$33)</f>
        <v>144.57203925918452</v>
      </c>
    </row>
    <row r="37" spans="21:82" x14ac:dyDescent="0.15">
      <c r="U37" s="38">
        <v>4</v>
      </c>
      <c r="V37" s="101">
        <f>C24</f>
        <v>-4.658996363022274E-3</v>
      </c>
      <c r="W37" s="102">
        <f>D24</f>
        <v>0.11111171369044934</v>
      </c>
      <c r="X37" s="103">
        <f>E24</f>
        <v>91.314383210616825</v>
      </c>
      <c r="Y37" s="37">
        <f>C24-U29</f>
        <v>-7.9308596363022274E-2</v>
      </c>
      <c r="Z37" s="30">
        <f t="shared" si="10"/>
        <v>-33.238727964778874</v>
      </c>
      <c r="AA37" s="31">
        <f t="shared" si="11"/>
        <v>34.639732632442552</v>
      </c>
      <c r="AB37" s="37">
        <f>AH6</f>
        <v>144.57203925918452</v>
      </c>
      <c r="AC37" s="53">
        <f t="shared" si="12"/>
        <v>34.639732632442552</v>
      </c>
      <c r="AD37" s="53">
        <f>V37*AC37^2+W37*AC37+X37</f>
        <v>89.572881922205696</v>
      </c>
      <c r="AE37" s="53">
        <f t="shared" si="13"/>
        <v>23.708636902582121</v>
      </c>
      <c r="AF37" s="53">
        <f>AVERAGE(K76:K77,K76)</f>
        <v>38.294294101207107</v>
      </c>
      <c r="AG37" s="53">
        <f>AVERAGE(U76:U77,U76)</f>
        <v>53.271595997204066</v>
      </c>
      <c r="AI37">
        <v>6</v>
      </c>
      <c r="AJ37" s="3">
        <f t="shared" ref="AJ37:AJ38" si="15">AC36</f>
        <v>54.144666193233057</v>
      </c>
      <c r="AL37">
        <f t="shared" si="14"/>
        <v>99.166048622616984</v>
      </c>
      <c r="AM37" t="s">
        <v>14</v>
      </c>
      <c r="AO37" s="609">
        <f>Tulokset_ENT!$CS$17</f>
        <v>129.59999999999997</v>
      </c>
      <c r="AP37" t="s">
        <v>14</v>
      </c>
      <c r="BF37" t="s">
        <v>13</v>
      </c>
      <c r="BG37" s="4" t="s">
        <v>2886</v>
      </c>
      <c r="BH37" s="4" t="s">
        <v>2887</v>
      </c>
      <c r="BJ37" t="s">
        <v>2119</v>
      </c>
      <c r="BN37" s="55">
        <f t="shared" ref="BN37:BT42" si="16">AA7</f>
        <v>100</v>
      </c>
      <c r="BO37" s="57">
        <f t="shared" ref="BO37:BO42" si="17">(-$BG$22-SQRT($BG$22^2-(4*$BF$22*($BH$22-BN37))))/(2*$BF$22)</f>
        <v>368.06471553994226</v>
      </c>
      <c r="BP37" s="55">
        <f t="shared" si="16"/>
        <v>50</v>
      </c>
      <c r="BQ37" s="57">
        <f t="shared" ref="BQ37:BQ41" si="18">(-$BG$23-SQRT($BG$23^2-(4*$BF$23*($BH$23-BP37))))/(2*$BF$23)</f>
        <v>312.4056077515325</v>
      </c>
      <c r="BR37" s="55">
        <f t="shared" si="16"/>
        <v>50</v>
      </c>
      <c r="BS37" s="57">
        <f t="shared" ref="BS37:BS41" si="19">(-$BG$24-SQRT($BG$24^2-(4*$BF$24*($BH$24-BR37))))/(2*$BF$24)</f>
        <v>211.56213987435652</v>
      </c>
      <c r="BT37" s="55">
        <f t="shared" si="16"/>
        <v>20</v>
      </c>
      <c r="BU37" s="57">
        <f t="shared" ref="BU37:BU40" si="20">(-$BG$25-SQRT($BG$25^2-(4*$BF$25*($BH$25-BT37))))/(2*$BF$25)</f>
        <v>129.5056281141523</v>
      </c>
      <c r="BW37" s="55">
        <f t="shared" ref="BW37:CC42" si="21">BN37</f>
        <v>100</v>
      </c>
      <c r="BX37" s="57">
        <f t="shared" ref="BX37:BX42" si="22">(-$BG$30-SQRT($BG$30^2-(4*$BF$30*($BH$30-BW37))))/(2*$BF$30)</f>
        <v>377.32184914146467</v>
      </c>
      <c r="BY37" s="55">
        <f t="shared" si="21"/>
        <v>50</v>
      </c>
      <c r="BZ37" s="57">
        <f t="shared" ref="BZ37:BZ42" si="23">(-$BG$31-SQRT($BG$31^2-(4*$BF$31*($BH$31-BY37))))/(2*$BF$31)</f>
        <v>322.08762402000161</v>
      </c>
      <c r="CA37" s="55">
        <f t="shared" si="21"/>
        <v>50</v>
      </c>
      <c r="CB37" s="57">
        <f t="shared" ref="CB37:CB41" si="24">(-$BG$32-SQRT($BG$32^2-(4*$BF$32*($BH$32-CA37))))/(2*$BF$32)</f>
        <v>219.45665468381333</v>
      </c>
      <c r="CC37" s="55">
        <f t="shared" si="21"/>
        <v>20</v>
      </c>
      <c r="CD37" s="57">
        <f t="shared" ref="CD37:CD40" si="25">(-$BG$33-SQRT($BG$33^2-(4*$BF$33*($BH$33-CC37))))/(2*$BF$33)</f>
        <v>136.21844953136045</v>
      </c>
    </row>
    <row r="38" spans="21:82" x14ac:dyDescent="0.15">
      <c r="AI38">
        <v>4</v>
      </c>
      <c r="AJ38" s="3">
        <f t="shared" si="15"/>
        <v>34.639732632442552</v>
      </c>
      <c r="BE38" t="s">
        <v>102</v>
      </c>
      <c r="BF38">
        <v>300</v>
      </c>
      <c r="BG38" s="5">
        <f>$BF$22*BF38^2+$BG$22*BF38+$BH$22</f>
        <v>328.88885410826447</v>
      </c>
      <c r="BH38" s="5">
        <f>$BF$30*BF38^2+$BG$30*BF38+$BH$30</f>
        <v>353.67605648921676</v>
      </c>
      <c r="BJ38" s="3">
        <f>BG38-BH38</f>
        <v>-24.787202380952294</v>
      </c>
      <c r="BN38" s="55">
        <f t="shared" si="16"/>
        <v>200</v>
      </c>
      <c r="BO38" s="57">
        <f t="shared" si="17"/>
        <v>340.58746162202522</v>
      </c>
      <c r="BP38" s="55">
        <f t="shared" si="16"/>
        <v>100</v>
      </c>
      <c r="BQ38" s="57">
        <f t="shared" si="18"/>
        <v>294.04327330941805</v>
      </c>
      <c r="BR38" s="55">
        <f t="shared" si="16"/>
        <v>90</v>
      </c>
      <c r="BS38" s="57">
        <f t="shared" si="19"/>
        <v>189.11321368100411</v>
      </c>
      <c r="BT38" s="55">
        <f t="shared" si="16"/>
        <v>40</v>
      </c>
      <c r="BU38" s="57">
        <f t="shared" si="20"/>
        <v>110.92570358593754</v>
      </c>
      <c r="BW38" s="55">
        <f t="shared" si="21"/>
        <v>200</v>
      </c>
      <c r="BX38" s="57">
        <f t="shared" si="22"/>
        <v>349.62156878587024</v>
      </c>
      <c r="BY38" s="55">
        <f t="shared" si="21"/>
        <v>100</v>
      </c>
      <c r="BZ38" s="57">
        <f t="shared" si="23"/>
        <v>303.47553307941456</v>
      </c>
      <c r="CA38" s="55">
        <f t="shared" si="21"/>
        <v>90</v>
      </c>
      <c r="CB38" s="57">
        <f t="shared" si="24"/>
        <v>196.82660562841531</v>
      </c>
      <c r="CC38" s="55">
        <f t="shared" si="21"/>
        <v>40</v>
      </c>
      <c r="CD38" s="57">
        <f t="shared" si="25"/>
        <v>117.54750231651833</v>
      </c>
    </row>
    <row r="39" spans="21:82" x14ac:dyDescent="0.15">
      <c r="BF39">
        <v>200</v>
      </c>
      <c r="BG39" s="5">
        <f>$BF$22*BF39^2+$BG$22*BF39+$BH$22</f>
        <v>550.6512986354121</v>
      </c>
      <c r="BH39" s="5">
        <f t="shared" ref="BH39:BH40" si="26">$BF$30*BF39^2+$BG$30*BF39+$BH$30</f>
        <v>564.0826676830311</v>
      </c>
      <c r="BJ39" s="3">
        <f t="shared" ref="BJ39:BJ44" si="27">BG39-BH39</f>
        <v>-13.431369047619</v>
      </c>
      <c r="BN39" s="55">
        <f t="shared" si="16"/>
        <v>300</v>
      </c>
      <c r="BO39" s="57">
        <f t="shared" si="17"/>
        <v>309.74196635006911</v>
      </c>
      <c r="BP39" s="55">
        <f t="shared" si="16"/>
        <v>150</v>
      </c>
      <c r="BQ39" s="57">
        <f t="shared" si="18"/>
        <v>274.23785237808198</v>
      </c>
      <c r="BR39" s="55">
        <f t="shared" si="16"/>
        <v>130</v>
      </c>
      <c r="BS39" s="57">
        <f t="shared" si="19"/>
        <v>162.761483860868</v>
      </c>
      <c r="BT39" s="55">
        <f t="shared" si="16"/>
        <v>60</v>
      </c>
      <c r="BU39" s="57">
        <f t="shared" si="20"/>
        <v>88.098495554899614</v>
      </c>
      <c r="BW39" s="55">
        <f t="shared" si="21"/>
        <v>300</v>
      </c>
      <c r="BX39" s="57">
        <f t="shared" si="22"/>
        <v>318.56735160571776</v>
      </c>
      <c r="BY39" s="55">
        <f t="shared" si="21"/>
        <v>150</v>
      </c>
      <c r="BZ39" s="57">
        <f t="shared" si="23"/>
        <v>283.41350774799275</v>
      </c>
      <c r="CA39" s="55">
        <f t="shared" si="21"/>
        <v>130</v>
      </c>
      <c r="CB39" s="57">
        <f t="shared" si="24"/>
        <v>170.34963183675882</v>
      </c>
      <c r="CC39" s="55">
        <f t="shared" si="21"/>
        <v>60</v>
      </c>
      <c r="CD39" s="57">
        <f t="shared" si="25"/>
        <v>94.770453161428435</v>
      </c>
    </row>
    <row r="40" spans="21:82" x14ac:dyDescent="0.15">
      <c r="U40" s="2" t="s">
        <v>35</v>
      </c>
      <c r="W40" t="s">
        <v>36</v>
      </c>
      <c r="BF40">
        <v>100</v>
      </c>
      <c r="BG40" s="5">
        <f t="shared" ref="BG40" si="28">$BF$22*BF40^2+$BG$22*BF40+$BH$22</f>
        <v>636.13436696059091</v>
      </c>
      <c r="BH40" s="5">
        <f t="shared" si="26"/>
        <v>641.76847410344806</v>
      </c>
      <c r="BJ40" s="3">
        <f t="shared" si="27"/>
        <v>-5.6341071428571468</v>
      </c>
      <c r="BN40" s="55">
        <f t="shared" si="16"/>
        <v>400</v>
      </c>
      <c r="BO40" s="57">
        <f t="shared" si="17"/>
        <v>273.86522624529636</v>
      </c>
      <c r="BP40" s="55">
        <f t="shared" si="16"/>
        <v>170</v>
      </c>
      <c r="BQ40" s="57">
        <f t="shared" si="18"/>
        <v>265.8270250865362</v>
      </c>
      <c r="BR40" s="55">
        <f t="shared" si="16"/>
        <v>170</v>
      </c>
      <c r="BS40" s="57">
        <f t="shared" si="19"/>
        <v>129.26947010597144</v>
      </c>
      <c r="BT40" s="55">
        <f t="shared" si="16"/>
        <v>80</v>
      </c>
      <c r="BU40" s="57">
        <f t="shared" si="20"/>
        <v>55.102547399007342</v>
      </c>
      <c r="BW40" s="55">
        <f t="shared" si="21"/>
        <v>400</v>
      </c>
      <c r="BX40" s="57">
        <f t="shared" si="22"/>
        <v>282.53076043038789</v>
      </c>
      <c r="BY40" s="55">
        <f t="shared" si="21"/>
        <v>170</v>
      </c>
      <c r="BZ40" s="57">
        <f t="shared" si="23"/>
        <v>274.89854418504655</v>
      </c>
      <c r="CA40" s="55">
        <f t="shared" si="21"/>
        <v>170</v>
      </c>
      <c r="CB40" s="57">
        <f t="shared" si="24"/>
        <v>136.94975137110086</v>
      </c>
      <c r="CC40" s="55">
        <f t="shared" si="21"/>
        <v>80</v>
      </c>
      <c r="CD40" s="57">
        <f t="shared" si="25"/>
        <v>62.626439612772486</v>
      </c>
    </row>
    <row r="41" spans="21:82" x14ac:dyDescent="0.15">
      <c r="BE41" t="s">
        <v>405</v>
      </c>
      <c r="BF41">
        <v>150</v>
      </c>
      <c r="BG41" s="5">
        <f>$BF$24*BF41^2+$BG$24*BF41+$BH$24</f>
        <v>146.67182507981957</v>
      </c>
      <c r="BH41" s="5">
        <f>$BF$32*BF41^2+$BG$32*BF41+$BH$32</f>
        <v>155.75974174648624</v>
      </c>
      <c r="BJ41" s="3">
        <f t="shared" si="27"/>
        <v>-9.087916666666672</v>
      </c>
      <c r="BN41" s="55">
        <f t="shared" si="16"/>
        <v>500</v>
      </c>
      <c r="BO41" s="57">
        <f t="shared" si="17"/>
        <v>229.19151617790286</v>
      </c>
      <c r="BP41" s="55">
        <f t="shared" si="16"/>
        <v>190</v>
      </c>
      <c r="BQ41" s="57">
        <f t="shared" si="18"/>
        <v>257.08860009311786</v>
      </c>
      <c r="BR41" s="55">
        <f t="shared" si="16"/>
        <v>200</v>
      </c>
      <c r="BS41" s="57">
        <f t="shared" si="19"/>
        <v>92.408694768599474</v>
      </c>
      <c r="BT41" s="55"/>
      <c r="BU41" s="57"/>
      <c r="BW41" s="55">
        <f t="shared" si="21"/>
        <v>500</v>
      </c>
      <c r="BX41" s="57">
        <f t="shared" si="22"/>
        <v>237.87791416174588</v>
      </c>
      <c r="BY41" s="55">
        <f t="shared" si="21"/>
        <v>190</v>
      </c>
      <c r="BZ41" s="57">
        <f t="shared" si="23"/>
        <v>266.05549847333492</v>
      </c>
      <c r="CA41" s="55">
        <f t="shared" si="21"/>
        <v>200</v>
      </c>
      <c r="CB41" s="57">
        <f t="shared" si="24"/>
        <v>101.02409261451852</v>
      </c>
      <c r="CC41" s="55"/>
      <c r="CD41" s="57"/>
    </row>
    <row r="42" spans="21:8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  <c r="BF42">
        <v>75</v>
      </c>
      <c r="BG42" s="5">
        <f t="shared" ref="BG42:BG43" si="29">$BF$24*BF42^2+$BG$24*BF42+$BH$24</f>
        <v>209.05956298528724</v>
      </c>
      <c r="BH42" s="5">
        <f t="shared" ref="BH42:BH43" si="30">$BF$32*BF42^2+$BG$32*BF42+$BH$32</f>
        <v>213.30038143766819</v>
      </c>
      <c r="BJ42" s="3">
        <f t="shared" si="27"/>
        <v>-4.2408184523809496</v>
      </c>
      <c r="BN42" s="58">
        <f t="shared" si="16"/>
        <v>600</v>
      </c>
      <c r="BO42" s="60">
        <f t="shared" si="17"/>
        <v>161.19891501315857</v>
      </c>
      <c r="BP42" s="58">
        <f t="shared" si="16"/>
        <v>390</v>
      </c>
      <c r="BQ42" s="60">
        <f>(-$BG$23-SQRT($BG$23^2-(4*$BF$23*($BH$23-BP42))))/(2*$BF$23)</f>
        <v>131.22913099377979</v>
      </c>
      <c r="BR42" s="58"/>
      <c r="BS42" s="60"/>
      <c r="BT42" s="58"/>
      <c r="BU42" s="60"/>
      <c r="BW42" s="58">
        <f t="shared" si="21"/>
        <v>600</v>
      </c>
      <c r="BX42" s="60">
        <f t="shared" si="22"/>
        <v>171.26024658923819</v>
      </c>
      <c r="BY42" s="58">
        <f t="shared" si="21"/>
        <v>390</v>
      </c>
      <c r="BZ42" s="60">
        <f t="shared" si="23"/>
        <v>139.71249307521012</v>
      </c>
      <c r="CA42" s="58"/>
      <c r="CB42" s="60"/>
      <c r="CC42" s="58"/>
      <c r="CD42" s="60"/>
    </row>
    <row r="43" spans="21:82" x14ac:dyDescent="0.15">
      <c r="U43" s="10" t="s">
        <v>55</v>
      </c>
      <c r="V43" s="21"/>
      <c r="W43" s="49">
        <v>16</v>
      </c>
      <c r="X43" s="49">
        <v>13</v>
      </c>
      <c r="Y43" s="49">
        <v>0</v>
      </c>
      <c r="Z43" s="49">
        <v>-4</v>
      </c>
      <c r="AA43" s="49">
        <v>-9</v>
      </c>
      <c r="AB43" s="49">
        <v>-14</v>
      </c>
      <c r="AC43" s="49">
        <v>-23</v>
      </c>
      <c r="AD43" s="49">
        <v>-32</v>
      </c>
      <c r="AE43" s="39" t="s">
        <v>42</v>
      </c>
      <c r="AF43" s="53">
        <f>$W$5+W43</f>
        <v>54.651971792386632</v>
      </c>
      <c r="AG43" s="53">
        <f t="shared" ref="AG43:AM43" si="31">$W$5+X43</f>
        <v>51.651971792386632</v>
      </c>
      <c r="AH43" s="53">
        <f t="shared" si="31"/>
        <v>38.651971792386632</v>
      </c>
      <c r="AI43" s="53">
        <f t="shared" si="31"/>
        <v>34.651971792386632</v>
      </c>
      <c r="AJ43" s="53">
        <f t="shared" si="31"/>
        <v>29.651971792386632</v>
      </c>
      <c r="AK43" s="53">
        <f t="shared" si="31"/>
        <v>24.651971792386632</v>
      </c>
      <c r="AL43" s="53">
        <f t="shared" si="31"/>
        <v>15.651971792386632</v>
      </c>
      <c r="AM43" s="53">
        <f t="shared" si="31"/>
        <v>6.6519717923866324</v>
      </c>
      <c r="AN43" s="5">
        <f t="array" ref="AN43">10*LOG10(SUM(10^(AF43:AM43/10)))</f>
        <v>56.528899247537836</v>
      </c>
      <c r="AO43" s="5">
        <f t="array" ref="AO43">10*LOG10(SUM(10^((AF43:AM43+AF46:AM46)/10)))</f>
        <v>39.062087877106691</v>
      </c>
      <c r="AP43" t="str">
        <f>IF(ABS(W5-AO43)&lt;0.5,"OK","Tarkista laskenta!")</f>
        <v>OK</v>
      </c>
      <c r="BF43">
        <v>50</v>
      </c>
      <c r="BG43" s="5">
        <f t="shared" si="29"/>
        <v>216.33642050634796</v>
      </c>
      <c r="BH43" s="5">
        <f t="shared" si="30"/>
        <v>219.40636098253842</v>
      </c>
      <c r="BJ43" s="3">
        <f t="shared" si="27"/>
        <v>-3.0699404761904532</v>
      </c>
    </row>
    <row r="44" spans="21:82" x14ac:dyDescent="0.15">
      <c r="U44" s="14" t="s">
        <v>56</v>
      </c>
      <c r="V44" s="26"/>
      <c r="W44" s="49">
        <v>8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61.343212740445182</v>
      </c>
      <c r="AG44" s="53">
        <f t="shared" ref="AG44:AM44" si="32">$W$6+X44</f>
        <v>61.343212740445182</v>
      </c>
      <c r="AH44" s="53">
        <f t="shared" si="32"/>
        <v>52.343212740445182</v>
      </c>
      <c r="AI44" s="53">
        <f t="shared" si="32"/>
        <v>49.343212740445182</v>
      </c>
      <c r="AJ44" s="53">
        <f t="shared" si="32"/>
        <v>48.343212740445182</v>
      </c>
      <c r="AK44" s="53">
        <f t="shared" si="32"/>
        <v>43.343212740445182</v>
      </c>
      <c r="AL44" s="53">
        <f t="shared" si="32"/>
        <v>39.343212740445182</v>
      </c>
      <c r="AM44" s="53">
        <f t="shared" si="32"/>
        <v>37.343212740445182</v>
      </c>
      <c r="AN44" s="5">
        <f t="array" ref="AN44">10*LOG10(SUM(10^(AF44:AM44/10)))</f>
        <v>64.894367566829743</v>
      </c>
      <c r="AO44" s="5">
        <f t="array" ref="AO44">10*LOG10(SUM(10^((AF44:AM44+AF46:AM46)/10)))</f>
        <v>53.290262474488863</v>
      </c>
      <c r="AP44" t="str">
        <f>IF(ABS(W6-AO44)&lt;0.5,"OK","Tarkista laskenta!")</f>
        <v>OK</v>
      </c>
      <c r="BJ44" s="3">
        <f t="shared" si="27"/>
        <v>0</v>
      </c>
    </row>
    <row r="46" spans="21:8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LINEST(Y59:Y66,X59:X66^{1,2})</f>
        <v>-1.297803923722612E-3</v>
      </c>
      <c r="Y51" s="54">
        <v>1.9037936039080579</v>
      </c>
      <c r="Z51" s="54">
        <v>-1.9134430085888141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LINEST(Y69:Y77,X69:X77^{1,2})</f>
        <v>8.0724924119134826E-4</v>
      </c>
      <c r="Y52" s="54">
        <v>0.52076468277130405</v>
      </c>
      <c r="Z52" s="54">
        <v>78.249126070968572</v>
      </c>
      <c r="AM52" t="s">
        <v>3</v>
      </c>
      <c r="AN52" s="54">
        <f t="array" ref="AN52:AP52">LINEST(AO60:AO67,AN60:AN67^{1,2})</f>
        <v>-7.6219320066368427E-3</v>
      </c>
      <c r="AO52" s="54">
        <v>3.112898616363355</v>
      </c>
      <c r="AP52" s="54">
        <v>405.15974675333609</v>
      </c>
    </row>
    <row r="53" spans="3:42" x14ac:dyDescent="0.15">
      <c r="W53" t="s">
        <v>10</v>
      </c>
      <c r="X53" s="54">
        <f t="array" ref="X53:Z53">LINEST(Y80:Y87,X80:X87^{1,2})</f>
        <v>5.289034105752118E-4</v>
      </c>
      <c r="Y53" s="54">
        <v>0.32101065752599756</v>
      </c>
      <c r="Z53" s="54">
        <v>36.390249872377268</v>
      </c>
      <c r="AM53" t="s">
        <v>114</v>
      </c>
      <c r="AN53" s="54">
        <f t="array" ref="AN53:AP53">LINEST(AO71:AO76,AN71:AN76^{1,2})</f>
        <v>-5.7282510079486471E-3</v>
      </c>
      <c r="AO53" s="54">
        <v>1.9785546048957781</v>
      </c>
      <c r="AP53" s="54">
        <v>306.42772166892223</v>
      </c>
    </row>
    <row r="54" spans="3:42" x14ac:dyDescent="0.15">
      <c r="W54" t="s">
        <v>12</v>
      </c>
      <c r="X54" s="54">
        <f t="array" ref="X54:Z54">LINEST(Y91:Y97,X91:X97^{1,2})</f>
        <v>-1.3773357689846413E-4</v>
      </c>
      <c r="Y54" s="54">
        <v>0.23027944916167101</v>
      </c>
      <c r="Z54" s="54">
        <v>15.897086397449931</v>
      </c>
      <c r="AM54" t="s">
        <v>10</v>
      </c>
      <c r="AN54" s="54">
        <f t="array" ref="AN54:AP54">LINEST(AO82:AO87,AN82:AN87^{1,2})</f>
        <v>-4.2804853752422449E-3</v>
      </c>
      <c r="AO54" s="54">
        <v>1.051247887022948</v>
      </c>
      <c r="AP54" s="54">
        <v>193.08024009001832</v>
      </c>
    </row>
    <row r="55" spans="3:42" x14ac:dyDescent="0.15">
      <c r="AM55" t="s">
        <v>12</v>
      </c>
      <c r="AN55" s="54">
        <f t="array" ref="AN55:AP55">LINEST(AO93:AO98,AN93:AN98^{1,2})</f>
        <v>-5.0878603192212905E-3</v>
      </c>
      <c r="AO55" s="54">
        <v>0.86558669554021606</v>
      </c>
      <c r="AP55" s="54">
        <v>75.287336873388924</v>
      </c>
    </row>
    <row r="56" spans="3:42" x14ac:dyDescent="0.15">
      <c r="C56" s="2" t="s">
        <v>45</v>
      </c>
    </row>
    <row r="57" spans="3:42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366.3</v>
      </c>
      <c r="E59" s="68">
        <v>62.097783424500207</v>
      </c>
      <c r="F59" s="69">
        <v>515.99235857408132</v>
      </c>
      <c r="H59" t="s">
        <v>4</v>
      </c>
      <c r="I59" t="s">
        <v>5</v>
      </c>
      <c r="K59" s="27" t="s">
        <v>424</v>
      </c>
      <c r="M59" s="10" t="s">
        <v>3</v>
      </c>
      <c r="N59" s="67">
        <v>367.27606807457477</v>
      </c>
      <c r="O59" s="68">
        <v>82.689090072186829</v>
      </c>
      <c r="P59" s="69">
        <v>515.99235857408132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68">
        <v>180.92175344436646</v>
      </c>
      <c r="Y59" s="68">
        <v>302.32759265404218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341.4</v>
      </c>
      <c r="E60" s="68">
        <v>61.404747810618019</v>
      </c>
      <c r="F60" s="69">
        <v>499.98917692950459</v>
      </c>
      <c r="G60" s="316" t="s">
        <v>412</v>
      </c>
      <c r="H60" s="317">
        <f t="array" ref="H60:J60">LINEST(E59:E62,D59:D62^{1,2})</f>
        <v>1.384028324719925E-4</v>
      </c>
      <c r="I60" s="317">
        <v>-6.6728935884296917E-2</v>
      </c>
      <c r="J60" s="317">
        <v>67.996996899777869</v>
      </c>
      <c r="K60" s="318">
        <f>$H$60*AC34^2+$I$60*AC34+$J$60</f>
        <v>62.998320835432366</v>
      </c>
      <c r="M60" s="12"/>
      <c r="N60" s="67">
        <v>341.06998870275049</v>
      </c>
      <c r="O60" s="68">
        <v>82.105276378556539</v>
      </c>
      <c r="P60" s="69">
        <v>499.98917692950459</v>
      </c>
      <c r="Q60" s="316" t="s">
        <v>412</v>
      </c>
      <c r="R60" s="317">
        <f t="array" ref="R60:T60">LINEST(O59:O62,N59:N62^{1,2})</f>
        <v>-8.8356876630416958E-6</v>
      </c>
      <c r="S60" s="317">
        <v>3.0904101697611534E-2</v>
      </c>
      <c r="T60" s="319">
        <v>72.550846806097766</v>
      </c>
      <c r="U60" s="84">
        <f>$R$60*AC34^2+$S$60*AC34+$T$60</f>
        <v>75.341325467926666</v>
      </c>
      <c r="W60" s="232"/>
      <c r="X60" s="68">
        <v>223.5792236627149</v>
      </c>
      <c r="Y60" s="68">
        <v>356.54486395172677</v>
      </c>
      <c r="AM60" s="228" t="s">
        <v>3</v>
      </c>
      <c r="AN60" s="68">
        <v>180.92175344436646</v>
      </c>
      <c r="AO60" s="288">
        <v>721.34661173481254</v>
      </c>
    </row>
    <row r="61" spans="3:42" x14ac:dyDescent="0.15">
      <c r="C61" s="12"/>
      <c r="D61" s="67">
        <v>309.8</v>
      </c>
      <c r="E61" s="68">
        <v>60.573303422326219</v>
      </c>
      <c r="F61" s="69">
        <v>457.54888920061728</v>
      </c>
      <c r="G61" s="129" t="s">
        <v>423</v>
      </c>
      <c r="H61">
        <f t="array" ref="H61:I61">LINEST(E59:E62,D59:D62)</f>
        <v>1.3453221095910938E-2</v>
      </c>
      <c r="I61">
        <v>56.856792112511286</v>
      </c>
      <c r="K61" s="298">
        <f>H61*$AC$34+I61</f>
        <v>58.104639410665911</v>
      </c>
      <c r="M61" s="12"/>
      <c r="N61" s="67">
        <v>303.07324445507652</v>
      </c>
      <c r="O61" s="68">
        <v>81.080240846621081</v>
      </c>
      <c r="P61" s="69">
        <v>457.54888920061728</v>
      </c>
      <c r="Q61" s="129" t="s">
        <v>420</v>
      </c>
      <c r="R61">
        <f t="array" ref="R61:S61">LINEST(O59:O62,N59:N62)</f>
        <v>2.5736507270352857E-2</v>
      </c>
      <c r="S61">
        <v>73.278097500272963</v>
      </c>
      <c r="T61" s="24"/>
      <c r="U61" s="84">
        <f>R61*AC34+S61</f>
        <v>75.665275324252093</v>
      </c>
      <c r="W61" s="232"/>
      <c r="X61" s="68">
        <v>277.77636826296043</v>
      </c>
      <c r="Y61" s="68">
        <v>421.03669396837233</v>
      </c>
      <c r="AM61" s="232"/>
      <c r="AN61" s="68">
        <v>223.5792236627149</v>
      </c>
      <c r="AO61" s="289">
        <v>715.9378701953035</v>
      </c>
    </row>
    <row r="62" spans="3:42" x14ac:dyDescent="0.15">
      <c r="C62" s="14"/>
      <c r="D62" s="67">
        <v>221</v>
      </c>
      <c r="E62" s="68">
        <v>60.013148119886417</v>
      </c>
      <c r="F62" s="69">
        <v>356.54486395172677</v>
      </c>
      <c r="G62" s="297" t="s">
        <v>462</v>
      </c>
      <c r="H62" s="2">
        <f t="array" ref="H62:I62">LINEST(E59:E62,LN(D59:D62))</f>
        <v>3.7150068381495589</v>
      </c>
      <c r="I62" s="2">
        <v>39.781139530608449</v>
      </c>
      <c r="K62" s="298">
        <f>H62*LN($AC$34)+I62</f>
        <v>56.609959350930467</v>
      </c>
      <c r="M62" s="14"/>
      <c r="N62" s="67">
        <v>223.5792236627149</v>
      </c>
      <c r="O62" s="68">
        <v>79.022331218565611</v>
      </c>
      <c r="P62" s="69">
        <v>356.54486395172677</v>
      </c>
      <c r="Q62" s="297" t="s">
        <v>462</v>
      </c>
      <c r="R62" s="2">
        <f t="array" ref="R62:S62">LINEST(O59:O62,LN(N59:N62))</f>
        <v>7.359429369270396</v>
      </c>
      <c r="S62" s="2">
        <v>39.161523106757379</v>
      </c>
      <c r="T62" s="24"/>
      <c r="U62" s="84">
        <f>R62*LN(AC34)+S62</f>
        <v>72.49941889849903</v>
      </c>
      <c r="W62" s="232"/>
      <c r="X62" s="68">
        <v>303.07324445507652</v>
      </c>
      <c r="Y62" s="68">
        <v>457.54888920061728</v>
      </c>
      <c r="AM62" s="232"/>
      <c r="AN62" s="68">
        <v>277.77636826296043</v>
      </c>
      <c r="AO62" s="289">
        <v>682.75011971480819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68">
        <v>344.00846492037118</v>
      </c>
      <c r="Y63" s="68">
        <v>508.8924685660923</v>
      </c>
      <c r="AM63" s="232"/>
      <c r="AN63" s="68">
        <v>303.07324445507652</v>
      </c>
      <c r="AO63" s="289">
        <v>645.18533974845593</v>
      </c>
    </row>
    <row r="64" spans="3:42" x14ac:dyDescent="0.15">
      <c r="C64" s="10" t="s">
        <v>408</v>
      </c>
      <c r="D64" s="67">
        <v>304</v>
      </c>
      <c r="E64" s="68">
        <v>58.341740546145942</v>
      </c>
      <c r="F64" s="69">
        <v>311.04275486404356</v>
      </c>
      <c r="H64" t="s">
        <v>4</v>
      </c>
      <c r="I64" t="s">
        <v>5</v>
      </c>
      <c r="K64" s="298"/>
      <c r="M64" s="10" t="s">
        <v>408</v>
      </c>
      <c r="N64" s="67">
        <v>306.42216557619219</v>
      </c>
      <c r="O64" s="68">
        <v>78.99039262930242</v>
      </c>
      <c r="P64" s="69">
        <v>311.04275486404356</v>
      </c>
      <c r="R64" t="s">
        <v>4</v>
      </c>
      <c r="S64" t="s">
        <v>5</v>
      </c>
      <c r="T64" s="24" t="s">
        <v>6</v>
      </c>
      <c r="U64" s="3"/>
      <c r="W64" s="232"/>
      <c r="X64" s="68">
        <v>367.18361972524661</v>
      </c>
      <c r="Y64" s="68">
        <v>519.47729833181302</v>
      </c>
      <c r="AM64" s="232"/>
      <c r="AN64" s="68">
        <v>344.00846492037118</v>
      </c>
      <c r="AO64" s="289">
        <v>586.03019621125861</v>
      </c>
    </row>
    <row r="65" spans="3:62" x14ac:dyDescent="0.15">
      <c r="C65" s="12"/>
      <c r="D65" s="67">
        <v>281.7</v>
      </c>
      <c r="E65" s="68">
        <v>57.377484119444958</v>
      </c>
      <c r="F65" s="69">
        <v>289.48558554113851</v>
      </c>
      <c r="G65" s="316" t="s">
        <v>412</v>
      </c>
      <c r="H65" s="317">
        <f t="array" ref="H65:J65">LINEST(E64:E67,D64:D67^{1,2})</f>
        <v>1.7903146769029964E-4</v>
      </c>
      <c r="I65" s="317">
        <v>-6.2196267539453211E-2</v>
      </c>
      <c r="J65" s="317">
        <v>60.700059629450521</v>
      </c>
      <c r="K65" s="318">
        <f>$H$65*AC35^2+$I$65*AC35+$J$65</f>
        <v>57.010563897824568</v>
      </c>
      <c r="M65" s="12"/>
      <c r="N65" s="67">
        <v>280.37540028596254</v>
      </c>
      <c r="O65" s="68">
        <v>78.069558159890079</v>
      </c>
      <c r="P65" s="69">
        <v>289.48558554113851</v>
      </c>
      <c r="Q65" s="316" t="s">
        <v>412</v>
      </c>
      <c r="R65" s="317">
        <f t="array" ref="R65:T65">LINEST(O64:O67,N64:N67^{1,2})</f>
        <v>-2.4721772854465293E-5</v>
      </c>
      <c r="S65" s="317">
        <v>4.8827308589329932E-2</v>
      </c>
      <c r="T65" s="319">
        <v>66.34164448711266</v>
      </c>
      <c r="U65" s="84">
        <f>$R$65*AC35^2+$S$65*AC35+$T$65</f>
        <v>69.905432533974235</v>
      </c>
      <c r="W65" s="232"/>
      <c r="X65" s="68">
        <v>341.06998870275049</v>
      </c>
      <c r="Y65" s="68">
        <v>499.98917692950459</v>
      </c>
      <c r="AM65" s="232"/>
      <c r="AN65" s="68">
        <v>367.18361972524661</v>
      </c>
      <c r="AO65" s="289">
        <v>518.51525144517996</v>
      </c>
      <c r="BG65" s="4"/>
      <c r="BH65" s="4"/>
    </row>
    <row r="66" spans="3:62" x14ac:dyDescent="0.15">
      <c r="C66" s="12"/>
      <c r="D66" s="67">
        <v>255.1</v>
      </c>
      <c r="E66" s="68">
        <v>56.489949323611974</v>
      </c>
      <c r="F66" s="69">
        <v>260.47989897572495</v>
      </c>
      <c r="G66" s="129" t="s">
        <v>423</v>
      </c>
      <c r="H66">
        <f t="array" ref="H66:I66">LINEST(E64:E67,D64:D67)</f>
        <v>2.3251260708397729E-2</v>
      </c>
      <c r="I66">
        <v>50.944242882696471</v>
      </c>
      <c r="K66" s="298">
        <f>H66*$AC$35+I66</f>
        <v>52.709123321528857</v>
      </c>
      <c r="M66" s="12"/>
      <c r="N66" s="67">
        <v>247.99195567141854</v>
      </c>
      <c r="O66" s="68">
        <v>76.942323327149879</v>
      </c>
      <c r="P66" s="69">
        <v>260.47989897572495</v>
      </c>
      <c r="Q66" s="129" t="s">
        <v>420</v>
      </c>
      <c r="R66">
        <f t="array" ref="R66:S66">LINEST(O64:O67,N64:N67)</f>
        <v>3.6932753188143583E-2</v>
      </c>
      <c r="S66">
        <v>67.712743139350536</v>
      </c>
      <c r="T66" s="24"/>
      <c r="U66" s="84">
        <f>R66*AC35+S66</f>
        <v>70.516113437049583</v>
      </c>
      <c r="W66" s="290"/>
      <c r="X66" s="68">
        <v>367.27606807457477</v>
      </c>
      <c r="Y66" s="68">
        <v>515.99235857408132</v>
      </c>
      <c r="AM66" s="232"/>
      <c r="AN66" s="68">
        <v>341.06998870275049</v>
      </c>
      <c r="AO66" s="289">
        <v>579.62341036618864</v>
      </c>
      <c r="BG66" s="5"/>
      <c r="BH66" s="5"/>
      <c r="BJ66" s="3"/>
    </row>
    <row r="67" spans="3:62" x14ac:dyDescent="0.15">
      <c r="C67" s="14"/>
      <c r="D67" s="67">
        <v>180.1</v>
      </c>
      <c r="E67" s="68">
        <v>55.305009598786256</v>
      </c>
      <c r="F67" s="69">
        <v>196.96128282198916</v>
      </c>
      <c r="G67" s="297" t="s">
        <v>462</v>
      </c>
      <c r="H67" s="2">
        <f t="array" ref="H67:I67">LINEST(E64:E67,LN(D64:D67))</f>
        <v>5.3221693771170955</v>
      </c>
      <c r="I67" s="2">
        <v>27.482822986776412</v>
      </c>
      <c r="K67" s="298">
        <f>H67*LN($AC$35)+I67</f>
        <v>50.525042860627735</v>
      </c>
      <c r="M67" s="14"/>
      <c r="N67" s="67">
        <v>179.97539914207314</v>
      </c>
      <c r="O67" s="68">
        <v>74.326760800359523</v>
      </c>
      <c r="P67" s="69">
        <v>196.96128282198916</v>
      </c>
      <c r="Q67" s="297" t="s">
        <v>462</v>
      </c>
      <c r="R67" s="2">
        <f t="array" ref="R67:S67">LINEST(O64:O67,LN(N64:N67))</f>
        <v>8.6635088396805724</v>
      </c>
      <c r="S67" s="2">
        <v>29.287175616213275</v>
      </c>
      <c r="T67" s="24"/>
      <c r="U67" s="84">
        <f>R67*LN($AC$35)+S67</f>
        <v>66.795654098930726</v>
      </c>
      <c r="W67" s="12"/>
      <c r="X67" s="17"/>
      <c r="Y67" s="13"/>
      <c r="AM67" s="290"/>
      <c r="AN67" s="68">
        <v>367.27606807457477</v>
      </c>
      <c r="AO67" s="291">
        <v>514.97229930894991</v>
      </c>
      <c r="BG67" s="5"/>
      <c r="BH67" s="5"/>
      <c r="BJ67" s="3"/>
    </row>
    <row r="68" spans="3:62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6" t="s">
        <v>13</v>
      </c>
      <c r="Y68" s="11" t="s">
        <v>49</v>
      </c>
      <c r="AM68" s="236"/>
      <c r="AN68" s="292"/>
      <c r="AO68" s="293"/>
      <c r="BG68" s="5"/>
      <c r="BH68" s="5"/>
      <c r="BJ68" s="3"/>
    </row>
    <row r="69" spans="3:62" x14ac:dyDescent="0.15">
      <c r="C69" s="10" t="s">
        <v>409</v>
      </c>
      <c r="D69" s="67">
        <v>218.4</v>
      </c>
      <c r="E69" s="68">
        <v>51.6790949757684</v>
      </c>
      <c r="F69" s="69">
        <v>130.02142396481116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216.68199713194693</v>
      </c>
      <c r="O69" s="68">
        <v>71.859694306887633</v>
      </c>
      <c r="P69" s="69">
        <v>130.02142396481116</v>
      </c>
      <c r="R69" t="s">
        <v>4</v>
      </c>
      <c r="S69" t="s">
        <v>5</v>
      </c>
      <c r="T69" s="24" t="s">
        <v>6</v>
      </c>
      <c r="U69" s="3"/>
      <c r="W69" s="228" t="s">
        <v>404</v>
      </c>
      <c r="X69" s="68">
        <v>142.54034990280852</v>
      </c>
      <c r="Y69" s="68">
        <v>164.90844203665162</v>
      </c>
      <c r="AM69" s="12"/>
      <c r="AN69" s="17"/>
      <c r="AO69" s="13"/>
      <c r="BG69" s="5"/>
      <c r="BH69" s="5"/>
      <c r="BJ69" s="3"/>
    </row>
    <row r="70" spans="3:62" ht="14" thickBot="1" x14ac:dyDescent="0.2">
      <c r="C70" s="12"/>
      <c r="D70" s="67">
        <v>202.3</v>
      </c>
      <c r="E70" s="68">
        <v>50.407916560559215</v>
      </c>
      <c r="F70" s="69">
        <v>123.40172430505064</v>
      </c>
      <c r="G70" s="316" t="s">
        <v>412</v>
      </c>
      <c r="H70" s="317">
        <f t="array" ref="H70:J70">LINEST(E69:E72,D69:D72^{1,2})</f>
        <v>4.3771258461317448E-4</v>
      </c>
      <c r="I70" s="317">
        <v>-0.13316035781212651</v>
      </c>
      <c r="J70" s="317">
        <v>59.736296991604441</v>
      </c>
      <c r="K70" s="318">
        <f>$H$70*AC36^2+$I$70*AC36+$J$70</f>
        <v>53.809591724052332</v>
      </c>
      <c r="M70" s="12"/>
      <c r="N70" s="67">
        <v>203.48048535677617</v>
      </c>
      <c r="O70" s="68">
        <v>71.05536483352482</v>
      </c>
      <c r="P70" s="69">
        <v>123.40172430505064</v>
      </c>
      <c r="Q70" s="316" t="s">
        <v>412</v>
      </c>
      <c r="R70" s="317">
        <f t="array" ref="R70:T70">LINEST(O69:O72,N69:N72^{1,2})</f>
        <v>1.2754445574274584E-4</v>
      </c>
      <c r="S70" s="317">
        <v>2.8071138298031151E-3</v>
      </c>
      <c r="T70" s="319">
        <v>65.241579703239807</v>
      </c>
      <c r="U70" s="84">
        <f>$R$70*AC36^2+$S$70*AC36+$T$70</f>
        <v>65.767484994811412</v>
      </c>
      <c r="W70" s="232"/>
      <c r="X70" s="68">
        <v>179.97539914207314</v>
      </c>
      <c r="Y70" s="68">
        <v>196.96128282198916</v>
      </c>
      <c r="AM70" s="12"/>
      <c r="AN70" s="16" t="s">
        <v>13</v>
      </c>
      <c r="AO70" s="11" t="s">
        <v>516</v>
      </c>
      <c r="BG70" s="5"/>
      <c r="BH70" s="5"/>
      <c r="BJ70" s="3"/>
    </row>
    <row r="71" spans="3:62" x14ac:dyDescent="0.15">
      <c r="C71" s="12"/>
      <c r="D71" s="67">
        <v>179.3</v>
      </c>
      <c r="E71" s="68">
        <v>50.113476278917901</v>
      </c>
      <c r="F71" s="69">
        <v>110.69899121354534</v>
      </c>
      <c r="G71" s="129" t="s">
        <v>423</v>
      </c>
      <c r="H71">
        <f t="array" ref="H71:I71">LINEST(E69:E72,D69:D72)</f>
        <v>1.6691170023465752E-2</v>
      </c>
      <c r="I71">
        <v>47.472082944897487</v>
      </c>
      <c r="K71" s="298">
        <f>H71*$AC$36+I71</f>
        <v>48.37582077419254</v>
      </c>
      <c r="M71" s="12"/>
      <c r="N71" s="67">
        <v>177.657613751502</v>
      </c>
      <c r="O71" s="68">
        <v>69.785748446535706</v>
      </c>
      <c r="P71" s="69">
        <v>110.69899121354534</v>
      </c>
      <c r="Q71" s="129" t="s">
        <v>420</v>
      </c>
      <c r="R71">
        <f t="array" ref="R71:S71">LINEST(O69:O72,N69:N72)</f>
        <v>4.6552416712476584E-2</v>
      </c>
      <c r="S71">
        <v>61.64630588002133</v>
      </c>
      <c r="T71" s="24"/>
      <c r="U71" s="84">
        <f>R71*AC36+S71</f>
        <v>64.166870943406664</v>
      </c>
      <c r="W71" s="232"/>
      <c r="X71" s="68">
        <v>225.68063250055866</v>
      </c>
      <c r="Y71" s="68">
        <v>237.81117979773683</v>
      </c>
      <c r="AM71" s="228" t="s">
        <v>404</v>
      </c>
      <c r="AN71" s="68">
        <v>142.54034990280852</v>
      </c>
      <c r="AO71" s="288">
        <v>473.91392562092256</v>
      </c>
      <c r="BG71" s="5"/>
      <c r="BH71" s="5"/>
      <c r="BJ71" s="3"/>
    </row>
    <row r="72" spans="3:62" x14ac:dyDescent="0.15">
      <c r="C72" s="14"/>
      <c r="D72" s="67">
        <v>128</v>
      </c>
      <c r="E72" s="68">
        <v>49.839015741427502</v>
      </c>
      <c r="F72" s="69">
        <v>86.543140247698204</v>
      </c>
      <c r="G72" s="297" t="s">
        <v>462</v>
      </c>
      <c r="H72" s="2">
        <f t="array" ref="H72:I72">LINEST(E69:E72,LN(D69:D72))</f>
        <v>2.6616686914466596</v>
      </c>
      <c r="I72" s="2">
        <v>36.711006433690152</v>
      </c>
      <c r="K72" s="298">
        <f>H72*LN($AC$36)+I72</f>
        <v>47.335481466605941</v>
      </c>
      <c r="M72" s="14"/>
      <c r="N72" s="67">
        <v>129.31721034610501</v>
      </c>
      <c r="O72" s="68">
        <v>67.734414836531897</v>
      </c>
      <c r="P72" s="69">
        <v>86.543140247698204</v>
      </c>
      <c r="Q72" s="297" t="s">
        <v>462</v>
      </c>
      <c r="R72" s="2">
        <f t="array" ref="R72:S72">LINEST(O69:O72,LN(N69:N72))</f>
        <v>7.7546738852761088</v>
      </c>
      <c r="S72" s="2">
        <v>29.908329016852115</v>
      </c>
      <c r="T72" s="24"/>
      <c r="U72" s="84">
        <f>R72*LN($AC$36)+S72</f>
        <v>60.862346452335473</v>
      </c>
      <c r="W72" s="232"/>
      <c r="X72" s="68">
        <v>247.99195567141854</v>
      </c>
      <c r="Y72" s="68">
        <v>260.47989897572495</v>
      </c>
      <c r="AM72" s="232"/>
      <c r="AN72" s="68">
        <v>179.97539914207314</v>
      </c>
      <c r="AO72" s="289">
        <v>473.1384992406995</v>
      </c>
      <c r="BJ72" s="3"/>
    </row>
    <row r="73" spans="3:62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68">
        <v>284.00641090512107</v>
      </c>
      <c r="Y73" s="68">
        <v>292.86254766640252</v>
      </c>
      <c r="AM73" s="232"/>
      <c r="AN73" s="68">
        <v>225.68063250055866</v>
      </c>
      <c r="AO73" s="289">
        <v>462.69713755706249</v>
      </c>
    </row>
    <row r="74" spans="3:62" x14ac:dyDescent="0.15">
      <c r="C74" s="10" t="s">
        <v>410</v>
      </c>
      <c r="D74" s="67">
        <v>135.1</v>
      </c>
      <c r="E74" s="68">
        <v>42.598859931585011</v>
      </c>
      <c r="F74" s="69">
        <v>45.537563418715308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136.94470684441694</v>
      </c>
      <c r="O74" s="68">
        <v>61.636094765036098</v>
      </c>
      <c r="P74" s="69">
        <v>45.537563418715308</v>
      </c>
      <c r="R74" t="s">
        <v>4</v>
      </c>
      <c r="S74" t="s">
        <v>5</v>
      </c>
      <c r="T74" s="24" t="s">
        <v>6</v>
      </c>
      <c r="W74" s="232"/>
      <c r="X74" s="68">
        <v>305.11582722495291</v>
      </c>
      <c r="Y74" s="68">
        <v>310.41418560822922</v>
      </c>
      <c r="AM74" s="232"/>
      <c r="AN74" s="68">
        <v>247.99195567141854</v>
      </c>
      <c r="AO74" s="289">
        <v>445.05159760438255</v>
      </c>
    </row>
    <row r="75" spans="3:62" x14ac:dyDescent="0.15">
      <c r="C75" s="12"/>
      <c r="D75" s="67">
        <v>124.4</v>
      </c>
      <c r="E75" s="68">
        <v>41.766385883723473</v>
      </c>
      <c r="F75" s="69">
        <v>43.27283236895304</v>
      </c>
      <c r="G75" s="316" t="s">
        <v>412</v>
      </c>
      <c r="H75" s="317">
        <f t="array" ref="H75:J75">LINEST(E74:E77,D74:D77^{1,2})</f>
        <v>8.4241062650992351E-4</v>
      </c>
      <c r="I75" s="317">
        <v>-0.14168724327947177</v>
      </c>
      <c r="J75" s="317">
        <v>46.362347174072724</v>
      </c>
      <c r="K75" s="318">
        <f>$H$75*AC37^2+$I$75*AC37+$J$75</f>
        <v>42.465156791446944</v>
      </c>
      <c r="M75" s="12"/>
      <c r="N75" s="67">
        <v>126.48327019359726</v>
      </c>
      <c r="O75" s="68">
        <v>60.708709459674338</v>
      </c>
      <c r="P75" s="69">
        <v>43.27283236895304</v>
      </c>
      <c r="Q75" s="316" t="s">
        <v>412</v>
      </c>
      <c r="R75" s="317">
        <f t="array" ref="R75:T75">LINEST(O74:O77,N74:N77^{1,2})</f>
        <v>3.7912117857628723E-4</v>
      </c>
      <c r="S75" s="317">
        <v>-1.0613785702693062E-2</v>
      </c>
      <c r="T75" s="319">
        <v>55.981722272520869</v>
      </c>
      <c r="U75" s="84">
        <f>$R$75*AC37^2+$S$75*AC37+$T$75</f>
        <v>56.068975275202554</v>
      </c>
      <c r="W75" s="290"/>
      <c r="X75" s="68">
        <v>280.37540028596254</v>
      </c>
      <c r="Y75" s="68">
        <v>289.48558554113851</v>
      </c>
      <c r="AM75" s="232"/>
      <c r="AN75" s="68">
        <v>284.00641090512107</v>
      </c>
      <c r="AO75" s="289">
        <v>408.52036683816453</v>
      </c>
    </row>
    <row r="76" spans="3:62" x14ac:dyDescent="0.15">
      <c r="C76" s="12"/>
      <c r="D76" s="67">
        <v>113.2</v>
      </c>
      <c r="E76" s="68">
        <v>41.1225087051739</v>
      </c>
      <c r="F76" s="69">
        <v>39.567992760532817</v>
      </c>
      <c r="G76" s="129" t="s">
        <v>423</v>
      </c>
      <c r="H76">
        <f t="array" ref="H76:I76">LINEST(E74:E77,D74:D77)</f>
        <v>3.5173246523195922E-2</v>
      </c>
      <c r="I76">
        <v>37.515420960701775</v>
      </c>
      <c r="K76" s="298">
        <f>H76*$AC$37+I76</f>
        <v>38.733812816080274</v>
      </c>
      <c r="M76" s="12"/>
      <c r="N76" s="67">
        <v>110.48203024842798</v>
      </c>
      <c r="O76" s="68">
        <v>59.434186199278997</v>
      </c>
      <c r="P76" s="69">
        <v>39.567992760532817</v>
      </c>
      <c r="Q76" s="129" t="s">
        <v>420</v>
      </c>
      <c r="R76">
        <f t="array" ref="R76:S76">LINEST(O74:O77,N74:N77)</f>
        <v>7.0691547669535434E-2</v>
      </c>
      <c r="S76">
        <v>51.814419206850864</v>
      </c>
      <c r="T76" s="24"/>
      <c r="U76" s="84">
        <f>R76*AC37+S76</f>
        <v>54.26315551749714</v>
      </c>
      <c r="W76" s="232"/>
      <c r="X76" s="68">
        <v>306.42216557619219</v>
      </c>
      <c r="Y76" s="68">
        <v>311.04275486404356</v>
      </c>
      <c r="AM76" s="232"/>
      <c r="AN76" s="68">
        <v>305.11582722495291</v>
      </c>
      <c r="AO76" s="289">
        <v>374.87627917763552</v>
      </c>
    </row>
    <row r="77" spans="3:62" ht="14" thickBot="1" x14ac:dyDescent="0.2">
      <c r="C77" s="14"/>
      <c r="D77" s="67">
        <v>78.2</v>
      </c>
      <c r="E77" s="68">
        <v>40.43354617963378</v>
      </c>
      <c r="F77" s="69">
        <v>33.309297611254642</v>
      </c>
      <c r="G77" s="297" t="s">
        <v>462</v>
      </c>
      <c r="H77" s="2">
        <f t="array" ref="H77:I77">LINEST(E74:E77,LN(D74:D77))</f>
        <v>3.5059275896616744</v>
      </c>
      <c r="I77" s="2">
        <v>24.986738579812641</v>
      </c>
      <c r="J77" s="25"/>
      <c r="K77" s="298">
        <f>H77*LN($AC$37)+I77</f>
        <v>37.415256671460781</v>
      </c>
      <c r="M77" s="14"/>
      <c r="N77" s="70">
        <v>79.668407730229532</v>
      </c>
      <c r="O77" s="71">
        <v>57.542846550437403</v>
      </c>
      <c r="P77" s="72">
        <v>33.309297611254642</v>
      </c>
      <c r="Q77" s="851" t="s">
        <v>462</v>
      </c>
      <c r="R77" s="852">
        <f t="array" ref="R77:S77">LINEST(O74:O77,LN(N74:N77))</f>
        <v>7.3283870392003507</v>
      </c>
      <c r="S77" s="852">
        <v>25.309334897927904</v>
      </c>
      <c r="T77" s="26"/>
      <c r="U77" s="84">
        <f>R77*LN($AC$37)+S77</f>
        <v>51.288476956617927</v>
      </c>
      <c r="W77" s="236"/>
      <c r="X77" s="68">
        <v>68.235663849616046</v>
      </c>
      <c r="Y77" s="68">
        <v>119.40185523650993</v>
      </c>
      <c r="AM77" s="290"/>
      <c r="AN77" s="68"/>
      <c r="AO77" s="291"/>
    </row>
    <row r="78" spans="3:62" x14ac:dyDescent="0.15">
      <c r="W78" s="12"/>
      <c r="X78" s="17"/>
      <c r="Y78" s="13"/>
      <c r="AM78" s="232"/>
      <c r="AN78" s="68"/>
      <c r="AO78" s="289"/>
    </row>
    <row r="79" spans="3:62" ht="14" thickBot="1" x14ac:dyDescent="0.2">
      <c r="F79" s="5"/>
      <c r="W79" s="12"/>
      <c r="X79" s="16" t="s">
        <v>13</v>
      </c>
      <c r="Y79" s="11" t="s">
        <v>49</v>
      </c>
      <c r="AM79" s="236"/>
      <c r="AN79" s="68"/>
      <c r="AO79" s="293"/>
    </row>
    <row r="80" spans="3:62" x14ac:dyDescent="0.15">
      <c r="F80" s="5"/>
      <c r="W80" s="228" t="s">
        <v>411</v>
      </c>
      <c r="X80" s="68">
        <v>98.62537172384414</v>
      </c>
      <c r="Y80" s="68">
        <v>73.255512194579921</v>
      </c>
      <c r="AM80" s="12"/>
      <c r="AN80" s="17"/>
      <c r="AO80" s="13"/>
    </row>
    <row r="81" spans="6:41" ht="14" thickBot="1" x14ac:dyDescent="0.2">
      <c r="F81" s="5"/>
      <c r="W81" s="232"/>
      <c r="X81" s="68">
        <v>129.31721034610501</v>
      </c>
      <c r="Y81" s="68">
        <v>86.543140247698204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68">
        <v>160.77952147934997</v>
      </c>
      <c r="Y82" s="68">
        <v>101.62904601770833</v>
      </c>
      <c r="AM82" s="228" t="s">
        <v>411</v>
      </c>
      <c r="AN82" s="68">
        <v>98.62537172384414</v>
      </c>
      <c r="AO82" s="288">
        <v>255.30068106481482</v>
      </c>
    </row>
    <row r="83" spans="6:41" x14ac:dyDescent="0.15">
      <c r="W83" s="232"/>
      <c r="X83" s="68">
        <v>177.657613751502</v>
      </c>
      <c r="Y83" s="68">
        <v>110.69899121354534</v>
      </c>
      <c r="AM83" s="232"/>
      <c r="AN83" s="68">
        <v>129.31721034610501</v>
      </c>
      <c r="AO83" s="289">
        <v>256.34269128011908</v>
      </c>
    </row>
    <row r="84" spans="6:41" x14ac:dyDescent="0.15">
      <c r="W84" s="232"/>
      <c r="X84" s="68">
        <v>203.34117912137015</v>
      </c>
      <c r="Y84" s="68">
        <v>123.35633973294334</v>
      </c>
      <c r="AM84" s="232"/>
      <c r="AN84" s="68">
        <v>160.77952147934997</v>
      </c>
      <c r="AO84" s="289">
        <v>253.81558432274147</v>
      </c>
    </row>
    <row r="85" spans="6:41" x14ac:dyDescent="0.15">
      <c r="W85" s="232"/>
      <c r="X85" s="68">
        <v>222.79446560777538</v>
      </c>
      <c r="Y85" s="68">
        <v>134.90921358508626</v>
      </c>
      <c r="AM85" s="232"/>
      <c r="AN85" s="68">
        <v>177.657613751502</v>
      </c>
      <c r="AO85" s="289">
        <v>243.93185845736002</v>
      </c>
    </row>
    <row r="86" spans="6:41" x14ac:dyDescent="0.15">
      <c r="W86" s="290"/>
      <c r="X86" s="68">
        <v>203.48048535677617</v>
      </c>
      <c r="Y86" s="68">
        <v>123.40172430505064</v>
      </c>
      <c r="AM86" s="232"/>
      <c r="AN86" s="68">
        <v>203.34117912137015</v>
      </c>
      <c r="AO86" s="289">
        <v>228.34086817976635</v>
      </c>
    </row>
    <row r="87" spans="6:41" ht="14" thickBot="1" x14ac:dyDescent="0.2">
      <c r="F87" s="5"/>
      <c r="W87" s="236"/>
      <c r="X87" s="68">
        <v>216.68199713194693</v>
      </c>
      <c r="Y87" s="68">
        <v>130.02142396481116</v>
      </c>
      <c r="AM87" s="232"/>
      <c r="AN87" s="68">
        <v>222.79446560777538</v>
      </c>
      <c r="AO87" s="289">
        <v>215.69856850350868</v>
      </c>
    </row>
    <row r="88" spans="6:41" x14ac:dyDescent="0.15">
      <c r="F88" s="5"/>
      <c r="W88" s="12"/>
      <c r="X88" s="17"/>
      <c r="Y88" s="13"/>
      <c r="AM88" s="290"/>
      <c r="AN88" s="68"/>
      <c r="AO88" s="291"/>
    </row>
    <row r="89" spans="6:41" ht="14" thickBot="1" x14ac:dyDescent="0.2">
      <c r="F89" s="5"/>
      <c r="W89" s="12"/>
      <c r="X89" s="17"/>
      <c r="Y89" s="13"/>
      <c r="AM89" s="236"/>
      <c r="AN89" s="68"/>
      <c r="AO89" s="293"/>
    </row>
    <row r="90" spans="6:41" x14ac:dyDescent="0.15">
      <c r="F90" s="5"/>
      <c r="W90" s="12"/>
      <c r="X90" s="16" t="s">
        <v>13</v>
      </c>
      <c r="Y90" s="11" t="s">
        <v>49</v>
      </c>
      <c r="AM90" s="12"/>
      <c r="AN90" s="17"/>
      <c r="AO90" s="13"/>
    </row>
    <row r="91" spans="6:41" ht="14" thickBot="1" x14ac:dyDescent="0.2">
      <c r="F91" s="5"/>
      <c r="W91" s="10" t="s">
        <v>410</v>
      </c>
      <c r="X91" s="68">
        <v>60.763954617523893</v>
      </c>
      <c r="Y91" s="68">
        <v>29.409439010889692</v>
      </c>
      <c r="AM91" s="12"/>
      <c r="AN91" s="17"/>
      <c r="AO91" s="13"/>
    </row>
    <row r="92" spans="6:41" x14ac:dyDescent="0.15">
      <c r="F92" s="5"/>
      <c r="W92" s="12"/>
      <c r="X92" s="68">
        <v>79.668407730229532</v>
      </c>
      <c r="Y92" s="68">
        <v>33.309297611254642</v>
      </c>
      <c r="AM92" s="228"/>
      <c r="AN92" s="320" t="s">
        <v>13</v>
      </c>
      <c r="AO92" s="11" t="s">
        <v>516</v>
      </c>
    </row>
    <row r="93" spans="6:41" x14ac:dyDescent="0.15">
      <c r="F93" s="5"/>
      <c r="W93" s="12"/>
      <c r="X93" s="68">
        <v>98.463521838786008</v>
      </c>
      <c r="Y93" s="68">
        <v>37.281582637626165</v>
      </c>
      <c r="AM93" s="322" t="s">
        <v>406</v>
      </c>
      <c r="AN93" s="68">
        <v>60.763954617523893</v>
      </c>
      <c r="AO93" s="323">
        <v>109.31968624976143</v>
      </c>
    </row>
    <row r="94" spans="6:41" x14ac:dyDescent="0.15">
      <c r="F94" s="5"/>
      <c r="W94" s="12"/>
      <c r="X94" s="68">
        <v>110.48203024842798</v>
      </c>
      <c r="Y94" s="68">
        <v>39.567992760532817</v>
      </c>
      <c r="AM94" s="232"/>
      <c r="AN94" s="68">
        <v>79.668407730229532</v>
      </c>
      <c r="AO94" s="289">
        <v>111.65317186130773</v>
      </c>
    </row>
    <row r="95" spans="6:41" x14ac:dyDescent="0.15">
      <c r="F95" s="5"/>
      <c r="W95" s="12"/>
      <c r="X95" s="68">
        <v>128.45544998656661</v>
      </c>
      <c r="Y95" s="68">
        <v>42.914202318586497</v>
      </c>
      <c r="AM95" s="232"/>
      <c r="AN95" s="68">
        <v>98.463521838786008</v>
      </c>
      <c r="AO95" s="289">
        <v>110.42478023967983</v>
      </c>
    </row>
    <row r="96" spans="6:41" x14ac:dyDescent="0.15">
      <c r="F96" s="5"/>
      <c r="W96" s="12"/>
      <c r="X96" s="68">
        <v>132.43201934330645</v>
      </c>
      <c r="Y96" s="68">
        <v>43.891248017188815</v>
      </c>
      <c r="AM96" s="232"/>
      <c r="AN96" s="68">
        <v>110.48203024842798</v>
      </c>
      <c r="AO96" s="289">
        <v>110.02884818331296</v>
      </c>
    </row>
    <row r="97" spans="6:41" x14ac:dyDescent="0.15">
      <c r="F97" s="5"/>
      <c r="W97" s="14"/>
      <c r="X97" s="68">
        <v>126.48327019359726</v>
      </c>
      <c r="Y97" s="68">
        <v>43.27283236895304</v>
      </c>
      <c r="AM97" s="232"/>
      <c r="AN97" s="68">
        <v>128.45544998656661</v>
      </c>
      <c r="AO97" s="289">
        <v>102.35401122473381</v>
      </c>
    </row>
    <row r="98" spans="6:41" x14ac:dyDescent="0.15">
      <c r="F98" s="5"/>
      <c r="X98" s="8">
        <v>136.94470684441694</v>
      </c>
      <c r="Y98" s="8">
        <v>45.537563418715308</v>
      </c>
      <c r="AM98" s="232"/>
      <c r="AN98" s="68">
        <v>132.43201934330645</v>
      </c>
      <c r="AO98" s="289">
        <v>100.48562347094051</v>
      </c>
    </row>
    <row r="99" spans="6:41" ht="14" thickBot="1" x14ac:dyDescent="0.2">
      <c r="F99" s="5"/>
      <c r="AM99" s="236"/>
      <c r="AN99" s="68"/>
      <c r="AO99" s="293"/>
    </row>
    <row r="100" spans="6:41" x14ac:dyDescent="0.15">
      <c r="AN100" s="8"/>
    </row>
  </sheetData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7C1A-7CD7-4280-9554-8E440CDB3B85}">
  <dimension ref="B2:AQ49"/>
  <sheetViews>
    <sheetView topLeftCell="A4" workbookViewId="0">
      <selection activeCell="R20" sqref="R20"/>
    </sheetView>
  </sheetViews>
  <sheetFormatPr baseColWidth="10" defaultColWidth="8.83203125" defaultRowHeight="13" x14ac:dyDescent="0.15"/>
  <cols>
    <col min="2" max="2" width="22.5" customWidth="1"/>
  </cols>
  <sheetData>
    <row r="2" spans="2:43" ht="14" thickBot="1" x14ac:dyDescent="0.2">
      <c r="E2" t="s">
        <v>455</v>
      </c>
    </row>
    <row r="3" spans="2:43" ht="17" x14ac:dyDescent="0.15">
      <c r="B3" s="2" t="s">
        <v>79</v>
      </c>
      <c r="E3" t="s">
        <v>454</v>
      </c>
      <c r="F3" t="s">
        <v>456</v>
      </c>
      <c r="K3" s="1815" t="s">
        <v>427</v>
      </c>
      <c r="L3" s="1816"/>
      <c r="M3" s="1816"/>
      <c r="N3" s="1816"/>
      <c r="O3" s="1816"/>
      <c r="P3" s="1816"/>
      <c r="Q3" s="1817" t="s">
        <v>428</v>
      </c>
      <c r="R3" s="1817"/>
      <c r="S3" s="1817"/>
      <c r="T3" s="1817"/>
      <c r="U3" s="1817"/>
      <c r="V3" s="1817"/>
      <c r="W3" s="1807" t="s">
        <v>429</v>
      </c>
      <c r="X3" s="1816" t="s">
        <v>313</v>
      </c>
      <c r="Y3" s="1816"/>
      <c r="Z3" s="1816"/>
      <c r="AA3" s="1816"/>
      <c r="AB3" s="1816"/>
      <c r="AC3" s="1816"/>
      <c r="AD3" s="1816"/>
      <c r="AE3" s="1816"/>
      <c r="AF3" s="1807" t="s">
        <v>430</v>
      </c>
      <c r="AG3" s="1810" t="s">
        <v>431</v>
      </c>
    </row>
    <row r="4" spans="2:43" x14ac:dyDescent="0.15">
      <c r="B4" t="s">
        <v>7</v>
      </c>
      <c r="C4" s="314">
        <f>Tulokset_ENT!E38</f>
        <v>4.8722550824769089</v>
      </c>
      <c r="D4" t="s">
        <v>25</v>
      </c>
      <c r="E4" s="313">
        <f>'R-series ENT'!E39/'R-series ENT'!E33^2</f>
        <v>6.2207999999999999E-2</v>
      </c>
      <c r="F4" s="313">
        <f>AVERAGE(E4:E5)</f>
        <v>6.8428799999999998E-2</v>
      </c>
      <c r="K4" s="1813" t="s">
        <v>432</v>
      </c>
      <c r="L4" s="1712" t="s">
        <v>433</v>
      </c>
      <c r="M4" s="1712" t="s">
        <v>434</v>
      </c>
      <c r="N4" s="1712" t="s">
        <v>435</v>
      </c>
      <c r="O4" s="1712" t="s">
        <v>436</v>
      </c>
      <c r="P4" s="1712" t="s">
        <v>437</v>
      </c>
      <c r="Q4" s="1814" t="s">
        <v>438</v>
      </c>
      <c r="R4" s="1814" t="s">
        <v>439</v>
      </c>
      <c r="S4" s="1814" t="s">
        <v>440</v>
      </c>
      <c r="T4" s="1814" t="s">
        <v>441</v>
      </c>
      <c r="U4" s="1814" t="s">
        <v>442</v>
      </c>
      <c r="V4" s="1814" t="s">
        <v>443</v>
      </c>
      <c r="W4" s="1808"/>
      <c r="X4" s="1809" t="s">
        <v>61</v>
      </c>
      <c r="Y4" s="1809" t="s">
        <v>62</v>
      </c>
      <c r="Z4" s="1809" t="s">
        <v>63</v>
      </c>
      <c r="AA4" s="1809" t="s">
        <v>64</v>
      </c>
      <c r="AB4" s="1809" t="s">
        <v>65</v>
      </c>
      <c r="AC4" s="1809" t="s">
        <v>66</v>
      </c>
      <c r="AD4" s="1809" t="s">
        <v>67</v>
      </c>
      <c r="AE4" s="1809" t="s">
        <v>68</v>
      </c>
      <c r="AF4" s="1808"/>
      <c r="AG4" s="1811"/>
    </row>
    <row r="5" spans="2:43" x14ac:dyDescent="0.15">
      <c r="B5" t="s">
        <v>8</v>
      </c>
      <c r="C5" s="314">
        <f>Tulokset_ENT!H38</f>
        <v>4.6737857613449663</v>
      </c>
      <c r="D5" t="s">
        <v>25</v>
      </c>
      <c r="E5" s="313">
        <f>'R-series ENT'!G39/'R-series ENT'!G33^2</f>
        <v>7.4649599999999997E-2</v>
      </c>
      <c r="K5" s="1813"/>
      <c r="L5" s="1712"/>
      <c r="M5" s="1712"/>
      <c r="N5" s="1712"/>
      <c r="O5" s="1712"/>
      <c r="P5" s="1712"/>
      <c r="Q5" s="1814"/>
      <c r="R5" s="1814"/>
      <c r="S5" s="1814"/>
      <c r="T5" s="1814"/>
      <c r="U5" s="1814"/>
      <c r="V5" s="1814"/>
      <c r="W5" s="1808"/>
      <c r="X5" s="1809"/>
      <c r="Y5" s="1809"/>
      <c r="Z5" s="1809"/>
      <c r="AA5" s="1809"/>
      <c r="AB5" s="1809"/>
      <c r="AC5" s="1809"/>
      <c r="AD5" s="1809"/>
      <c r="AE5" s="1809"/>
      <c r="AF5" s="1809"/>
      <c r="AG5" s="1812"/>
    </row>
    <row r="6" spans="2:43" x14ac:dyDescent="0.15">
      <c r="K6" s="308">
        <v>100</v>
      </c>
      <c r="L6" s="3">
        <v>9.9980000000000011</v>
      </c>
      <c r="M6" s="3">
        <v>345.6</v>
      </c>
      <c r="N6" s="3">
        <v>-64.028924709346654</v>
      </c>
      <c r="O6" s="3">
        <v>31.756873632767196</v>
      </c>
      <c r="P6" s="3">
        <v>95.78579834211385</v>
      </c>
      <c r="Q6" s="3">
        <v>100</v>
      </c>
      <c r="R6" s="3">
        <v>10.001000000000001</v>
      </c>
      <c r="S6" s="3">
        <v>366.1</v>
      </c>
      <c r="T6" s="3">
        <v>-79.000897073500028</v>
      </c>
      <c r="U6" s="3">
        <v>23.559591095089353</v>
      </c>
      <c r="V6" s="3">
        <v>102.56048816858939</v>
      </c>
      <c r="W6" s="3">
        <v>1023.831367997175</v>
      </c>
      <c r="X6" s="3">
        <v>69.944354434953652</v>
      </c>
      <c r="Y6" s="3">
        <v>66.442442059355784</v>
      </c>
      <c r="Z6" s="3">
        <v>58.164753109082021</v>
      </c>
      <c r="AA6" s="3">
        <v>45.033848136713658</v>
      </c>
      <c r="AB6" s="3">
        <v>39.586902452698837</v>
      </c>
      <c r="AC6" s="3">
        <v>38.272160465547479</v>
      </c>
      <c r="AD6" s="3">
        <v>38.517466643896555</v>
      </c>
      <c r="AE6" s="3">
        <v>37.52673013243556</v>
      </c>
      <c r="AF6" s="3">
        <v>71.759903439883232</v>
      </c>
      <c r="AG6" s="309">
        <v>54.052145206595526</v>
      </c>
      <c r="AI6" s="3">
        <f>X6-$AG6</f>
        <v>15.892209228358126</v>
      </c>
      <c r="AJ6" s="3">
        <f t="shared" ref="AJ6:AP14" si="0">Y6-$AG6</f>
        <v>12.390296852760258</v>
      </c>
      <c r="AK6" s="3">
        <f t="shared" si="0"/>
        <v>4.112607902486495</v>
      </c>
      <c r="AL6" s="3">
        <f t="shared" si="0"/>
        <v>-9.0182970698818679</v>
      </c>
      <c r="AM6" s="3">
        <f t="shared" si="0"/>
        <v>-14.465242753896689</v>
      </c>
      <c r="AN6" s="3">
        <f t="shared" si="0"/>
        <v>-15.779984741048047</v>
      </c>
      <c r="AO6" s="3">
        <f t="shared" si="0"/>
        <v>-15.534678562698971</v>
      </c>
      <c r="AP6" s="3">
        <f>AE6-$AG6</f>
        <v>-16.525415074159966</v>
      </c>
      <c r="AQ6" s="3"/>
    </row>
    <row r="7" spans="2:43" x14ac:dyDescent="0.15">
      <c r="B7" s="2" t="s">
        <v>88</v>
      </c>
      <c r="K7" s="308">
        <v>100</v>
      </c>
      <c r="L7" s="3">
        <v>9.9939</v>
      </c>
      <c r="M7" s="3">
        <v>295</v>
      </c>
      <c r="N7" s="3">
        <v>-130.36697343925576</v>
      </c>
      <c r="O7" s="3">
        <v>168.86179030109395</v>
      </c>
      <c r="P7" s="3">
        <v>299.22876374034973</v>
      </c>
      <c r="Q7" s="3">
        <v>100</v>
      </c>
      <c r="R7" s="3">
        <v>9.9873999999999974</v>
      </c>
      <c r="S7" s="3">
        <v>310.10000000000002</v>
      </c>
      <c r="T7" s="3">
        <v>-144.30650848150103</v>
      </c>
      <c r="U7" s="3">
        <v>158.44179166193612</v>
      </c>
      <c r="V7" s="3">
        <v>302.74830014343718</v>
      </c>
      <c r="W7" s="3">
        <v>912.58281565252344</v>
      </c>
      <c r="X7" s="3">
        <v>68.934606198098393</v>
      </c>
      <c r="Y7" s="3">
        <v>65.013265249389434</v>
      </c>
      <c r="Z7" s="3">
        <v>57.098562492395388</v>
      </c>
      <c r="AA7" s="3">
        <v>43.125181869049115</v>
      </c>
      <c r="AB7" s="3">
        <v>38.564168534984802</v>
      </c>
      <c r="AC7" s="3">
        <v>36.384242182618181</v>
      </c>
      <c r="AD7" s="3">
        <v>37.159369776419958</v>
      </c>
      <c r="AE7" s="3">
        <v>36.079431075497304</v>
      </c>
      <c r="AF7" s="3">
        <v>70.626022744765351</v>
      </c>
      <c r="AG7" s="309">
        <v>52.776208381479023</v>
      </c>
      <c r="AI7" s="3">
        <f t="shared" ref="AI7:AI14" si="1">X7-$AG7</f>
        <v>16.15839781661937</v>
      </c>
      <c r="AJ7" s="3">
        <f t="shared" si="0"/>
        <v>12.237056867910411</v>
      </c>
      <c r="AK7" s="3">
        <f t="shared" si="0"/>
        <v>4.3223541109163648</v>
      </c>
      <c r="AL7" s="3">
        <f t="shared" si="0"/>
        <v>-9.6510265124299082</v>
      </c>
      <c r="AM7" s="3">
        <f t="shared" si="0"/>
        <v>-14.212039846494221</v>
      </c>
      <c r="AN7" s="3">
        <f t="shared" si="0"/>
        <v>-16.391966198860842</v>
      </c>
      <c r="AO7" s="3">
        <f t="shared" si="0"/>
        <v>-15.616838605059066</v>
      </c>
      <c r="AP7" s="3">
        <f t="shared" si="0"/>
        <v>-16.696777305981719</v>
      </c>
      <c r="AQ7" s="3"/>
    </row>
    <row r="8" spans="2:43" x14ac:dyDescent="0.15">
      <c r="B8" t="s">
        <v>90</v>
      </c>
      <c r="K8" s="308">
        <v>100</v>
      </c>
      <c r="L8" s="3">
        <v>9.9953000000000003</v>
      </c>
      <c r="M8" s="3">
        <v>205.5</v>
      </c>
      <c r="N8" s="3">
        <v>-199.45251585140622</v>
      </c>
      <c r="O8" s="3">
        <v>297.73803406902653</v>
      </c>
      <c r="P8" s="3">
        <v>497.19054992043277</v>
      </c>
      <c r="Q8" s="3">
        <v>100</v>
      </c>
      <c r="R8" s="3">
        <v>10.019999999999998</v>
      </c>
      <c r="S8" s="3">
        <v>222.9</v>
      </c>
      <c r="T8" s="3">
        <v>-227.84147911245913</v>
      </c>
      <c r="U8" s="3">
        <v>277.15624577993214</v>
      </c>
      <c r="V8" s="3">
        <v>504.9977248923912</v>
      </c>
      <c r="W8" s="3">
        <v>714.25296036329905</v>
      </c>
      <c r="X8" s="3">
        <v>69.500148913211248</v>
      </c>
      <c r="Y8" s="3">
        <v>66.53050933060625</v>
      </c>
      <c r="Z8" s="3">
        <v>56.554531734825574</v>
      </c>
      <c r="AA8" s="3">
        <v>41.207128869549869</v>
      </c>
      <c r="AB8" s="3">
        <v>37.212637880414007</v>
      </c>
      <c r="AC8" s="3">
        <v>36.615562296469449</v>
      </c>
      <c r="AD8" s="3">
        <v>35.194774178601236</v>
      </c>
      <c r="AE8" s="3">
        <v>34.126363375665321</v>
      </c>
      <c r="AF8" s="3">
        <v>71.427778108560901</v>
      </c>
      <c r="AG8" s="309">
        <v>53.024004158793858</v>
      </c>
      <c r="AI8" s="3">
        <f t="shared" si="1"/>
        <v>16.47614475441739</v>
      </c>
      <c r="AJ8" s="3">
        <f t="shared" si="0"/>
        <v>13.506505171812393</v>
      </c>
      <c r="AK8" s="3">
        <f t="shared" si="0"/>
        <v>3.5305275760317159</v>
      </c>
      <c r="AL8" s="3">
        <f t="shared" si="0"/>
        <v>-11.816875289243988</v>
      </c>
      <c r="AM8" s="3">
        <f t="shared" si="0"/>
        <v>-15.81136627837985</v>
      </c>
      <c r="AN8" s="3">
        <f t="shared" si="0"/>
        <v>-16.408441862324409</v>
      </c>
      <c r="AO8" s="3">
        <f t="shared" si="0"/>
        <v>-17.829229980192622</v>
      </c>
      <c r="AP8" s="3">
        <f t="shared" si="0"/>
        <v>-18.897640783128537</v>
      </c>
      <c r="AQ8" s="3"/>
    </row>
    <row r="9" spans="2:43" x14ac:dyDescent="0.15">
      <c r="B9" t="s">
        <v>89</v>
      </c>
      <c r="K9" s="308">
        <v>80</v>
      </c>
      <c r="L9" s="3">
        <v>8.0030000000000001</v>
      </c>
      <c r="M9" s="3">
        <v>282.10000000000002</v>
      </c>
      <c r="N9" s="3">
        <v>-42.323972616678951</v>
      </c>
      <c r="O9" s="3">
        <v>21.239296194746526</v>
      </c>
      <c r="P9" s="3">
        <v>63.56326881142548</v>
      </c>
      <c r="Q9" s="3">
        <v>80</v>
      </c>
      <c r="R9" s="3">
        <v>8.0111999999999988</v>
      </c>
      <c r="S9" s="3">
        <v>304.10000000000002</v>
      </c>
      <c r="T9" s="3">
        <v>-53.428982848158206</v>
      </c>
      <c r="U9" s="3">
        <v>15.964517474551934</v>
      </c>
      <c r="V9" s="3">
        <v>69.393500322710139</v>
      </c>
      <c r="W9" s="3">
        <v>600.7118339877411</v>
      </c>
      <c r="X9" s="3">
        <v>67.234144561375444</v>
      </c>
      <c r="Y9" s="3">
        <v>62.301237505305579</v>
      </c>
      <c r="Z9" s="3">
        <v>54.116525954893504</v>
      </c>
      <c r="AA9" s="3">
        <v>40.908330293533496</v>
      </c>
      <c r="AB9" s="3">
        <v>36.891389748200275</v>
      </c>
      <c r="AC9" s="3">
        <v>31.815109111480648</v>
      </c>
      <c r="AD9" s="3">
        <v>33.586514710521072</v>
      </c>
      <c r="AE9" s="3">
        <v>32.503268411335654</v>
      </c>
      <c r="AF9" s="3">
        <v>68.61477164480813</v>
      </c>
      <c r="AG9" s="309">
        <v>50.113323788361761</v>
      </c>
      <c r="AI9" s="3">
        <f t="shared" si="1"/>
        <v>17.120820773013683</v>
      </c>
      <c r="AJ9" s="3">
        <f t="shared" si="0"/>
        <v>12.187913716943818</v>
      </c>
      <c r="AK9" s="3">
        <f t="shared" si="0"/>
        <v>4.003202166531743</v>
      </c>
      <c r="AL9" s="3">
        <f t="shared" si="0"/>
        <v>-9.2049934948282655</v>
      </c>
      <c r="AM9" s="3">
        <f t="shared" si="0"/>
        <v>-13.221934040161486</v>
      </c>
      <c r="AN9" s="3">
        <f t="shared" si="0"/>
        <v>-18.298214676881113</v>
      </c>
      <c r="AO9" s="3">
        <f t="shared" si="0"/>
        <v>-16.526809077840689</v>
      </c>
      <c r="AP9" s="3">
        <f t="shared" si="0"/>
        <v>-17.610055377026107</v>
      </c>
      <c r="AQ9" s="3"/>
    </row>
    <row r="10" spans="2:43" x14ac:dyDescent="0.15">
      <c r="C10" t="s">
        <v>4</v>
      </c>
      <c r="D10" t="s">
        <v>5</v>
      </c>
      <c r="K10" s="308">
        <v>80</v>
      </c>
      <c r="L10" s="3">
        <v>8.0055000000000014</v>
      </c>
      <c r="M10" s="3">
        <v>240.1</v>
      </c>
      <c r="N10" s="3">
        <v>-83.924627548136982</v>
      </c>
      <c r="O10" s="3">
        <v>110.69146680385855</v>
      </c>
      <c r="P10" s="3">
        <v>194.61609435199554</v>
      </c>
      <c r="Q10" s="3">
        <v>80</v>
      </c>
      <c r="R10" s="3">
        <v>8.0047999999999995</v>
      </c>
      <c r="S10" s="3">
        <v>254.15</v>
      </c>
      <c r="T10" s="3">
        <v>-95.786151584433213</v>
      </c>
      <c r="U10" s="3">
        <v>104.86166544562084</v>
      </c>
      <c r="V10" s="3">
        <v>200.64781703005406</v>
      </c>
      <c r="W10" s="3">
        <v>517.97700404648128</v>
      </c>
      <c r="X10" s="3">
        <v>65.935988353671362</v>
      </c>
      <c r="Y10" s="3">
        <v>60.658209116503386</v>
      </c>
      <c r="Z10" s="3">
        <v>52.899307595035523</v>
      </c>
      <c r="AA10" s="3">
        <v>39.130727175198793</v>
      </c>
      <c r="AB10" s="3">
        <v>35.156725990297538</v>
      </c>
      <c r="AC10" s="3">
        <v>30.589415923041177</v>
      </c>
      <c r="AD10" s="3">
        <v>32.039247395855341</v>
      </c>
      <c r="AE10" s="3">
        <v>30.629523015730452</v>
      </c>
      <c r="AF10" s="3">
        <v>67.240126473337639</v>
      </c>
      <c r="AG10" s="309">
        <v>48.656389304625122</v>
      </c>
      <c r="AI10" s="3">
        <f t="shared" si="1"/>
        <v>17.27959904904624</v>
      </c>
      <c r="AJ10" s="3">
        <f t="shared" si="0"/>
        <v>12.001819811878264</v>
      </c>
      <c r="AK10" s="3">
        <f t="shared" si="0"/>
        <v>4.242918290410401</v>
      </c>
      <c r="AL10" s="3">
        <f t="shared" si="0"/>
        <v>-9.5256621294263297</v>
      </c>
      <c r="AM10" s="3">
        <f t="shared" si="0"/>
        <v>-13.499663314327584</v>
      </c>
      <c r="AN10" s="3">
        <f t="shared" si="0"/>
        <v>-18.066973381583946</v>
      </c>
      <c r="AO10" s="3">
        <f t="shared" si="0"/>
        <v>-16.617141908769781</v>
      </c>
      <c r="AP10" s="3">
        <f t="shared" si="0"/>
        <v>-18.02686628889467</v>
      </c>
      <c r="AQ10" s="3"/>
    </row>
    <row r="11" spans="2:43" x14ac:dyDescent="0.15">
      <c r="B11" t="s">
        <v>141</v>
      </c>
      <c r="C11" s="107">
        <f>L29</f>
        <v>21.558461915520574</v>
      </c>
      <c r="D11" s="107">
        <f>M29</f>
        <v>3.8866064051300953</v>
      </c>
      <c r="F11" t="s">
        <v>459</v>
      </c>
      <c r="K11" s="308">
        <v>80</v>
      </c>
      <c r="L11" s="3">
        <v>7.9989999999999997</v>
      </c>
      <c r="M11" s="3">
        <v>169.5</v>
      </c>
      <c r="N11" s="3">
        <v>-127.64123985851943</v>
      </c>
      <c r="O11" s="3">
        <v>190.70416856960969</v>
      </c>
      <c r="P11" s="3">
        <v>318.34540842812908</v>
      </c>
      <c r="Q11" s="3">
        <v>80</v>
      </c>
      <c r="R11" s="3">
        <v>7.9888999999999992</v>
      </c>
      <c r="S11" s="3">
        <v>180</v>
      </c>
      <c r="T11" s="3">
        <v>-149.71723373925749</v>
      </c>
      <c r="U11" s="3">
        <v>177.47819594028149</v>
      </c>
      <c r="V11" s="3">
        <v>327.19542967953902</v>
      </c>
      <c r="W11" s="3">
        <v>396.01528741861938</v>
      </c>
      <c r="X11" s="3">
        <v>67.296242328506921</v>
      </c>
      <c r="Y11" s="3">
        <v>61.083092167881539</v>
      </c>
      <c r="Z11" s="3">
        <v>51.443914007280675</v>
      </c>
      <c r="AA11" s="3">
        <v>37.436984984573357</v>
      </c>
      <c r="AB11" s="3">
        <v>33.991587281203188</v>
      </c>
      <c r="AC11" s="3">
        <v>30.612742948609988</v>
      </c>
      <c r="AD11" s="3">
        <v>28.798356475690717</v>
      </c>
      <c r="AE11" s="3">
        <v>27.71722744629594</v>
      </c>
      <c r="AF11" s="3">
        <v>68.324392306141064</v>
      </c>
      <c r="AG11" s="309">
        <v>48.64710508699757</v>
      </c>
      <c r="AI11" s="3">
        <f t="shared" si="1"/>
        <v>18.649137241509351</v>
      </c>
      <c r="AJ11" s="3">
        <f t="shared" si="0"/>
        <v>12.435987080883969</v>
      </c>
      <c r="AK11" s="3">
        <f t="shared" si="0"/>
        <v>2.7968089202831052</v>
      </c>
      <c r="AL11" s="3">
        <f t="shared" si="0"/>
        <v>-11.210120102424213</v>
      </c>
      <c r="AM11" s="3">
        <f t="shared" si="0"/>
        <v>-14.655517805794382</v>
      </c>
      <c r="AN11" s="3">
        <f t="shared" si="0"/>
        <v>-18.034362138387582</v>
      </c>
      <c r="AO11" s="3">
        <f t="shared" si="0"/>
        <v>-19.848748611306853</v>
      </c>
      <c r="AP11" s="3">
        <f t="shared" si="0"/>
        <v>-20.92987764070163</v>
      </c>
      <c r="AQ11" s="3"/>
    </row>
    <row r="12" spans="2:43" x14ac:dyDescent="0.15">
      <c r="B12" t="s">
        <v>457</v>
      </c>
      <c r="C12" s="107">
        <f>U28</f>
        <v>-0.57965010557602148</v>
      </c>
      <c r="D12" s="107">
        <f>V28</f>
        <v>-3.3707784927193938</v>
      </c>
      <c r="E12">
        <f>C12*LN(F4)+D12</f>
        <v>-1.8161792316930825</v>
      </c>
      <c r="F12" s="213">
        <f>IF(E12&lt;-1,-1,IF(E12&gt;1,1,E12))</f>
        <v>-1</v>
      </c>
      <c r="G12" t="s">
        <v>31</v>
      </c>
      <c r="K12" s="308">
        <v>60</v>
      </c>
      <c r="L12" s="3">
        <v>5.988999999999999</v>
      </c>
      <c r="M12" s="3">
        <v>199.7</v>
      </c>
      <c r="N12" s="3">
        <v>-23.459373713588381</v>
      </c>
      <c r="O12" s="3">
        <v>10.910513665900297</v>
      </c>
      <c r="P12" s="3">
        <v>34.369887379488681</v>
      </c>
      <c r="Q12" s="3">
        <v>60</v>
      </c>
      <c r="R12" s="3">
        <v>5.9939999999999998</v>
      </c>
      <c r="S12" s="3">
        <v>218.2</v>
      </c>
      <c r="T12" s="3">
        <v>-27.4204270966043</v>
      </c>
      <c r="U12" s="3">
        <v>8.1606630098083706</v>
      </c>
      <c r="V12" s="3">
        <v>35.581090106412674</v>
      </c>
      <c r="W12" s="3">
        <v>259.35833531644158</v>
      </c>
      <c r="X12" s="3">
        <v>61.366762753653845</v>
      </c>
      <c r="Y12" s="3">
        <v>55.884924627314881</v>
      </c>
      <c r="Z12" s="3">
        <v>46.989125287479069</v>
      </c>
      <c r="AA12" s="3">
        <v>34.946790007381985</v>
      </c>
      <c r="AB12" s="3">
        <v>30.722183874220484</v>
      </c>
      <c r="AC12" s="3">
        <v>23.753305795418918</v>
      </c>
      <c r="AD12" s="3">
        <v>25.452754920157975</v>
      </c>
      <c r="AE12" s="3">
        <v>23.657990100749792</v>
      </c>
      <c r="AF12" s="3">
        <v>62.58320144579492</v>
      </c>
      <c r="AG12" s="309">
        <v>43.397891485041725</v>
      </c>
      <c r="AI12" s="3">
        <f t="shared" si="1"/>
        <v>17.968871268612119</v>
      </c>
      <c r="AJ12" s="3">
        <f t="shared" si="0"/>
        <v>12.487033142273155</v>
      </c>
      <c r="AK12" s="3">
        <f t="shared" si="0"/>
        <v>3.591233802437344</v>
      </c>
      <c r="AL12" s="3">
        <f t="shared" si="0"/>
        <v>-8.4511014776597406</v>
      </c>
      <c r="AM12" s="3">
        <f t="shared" si="0"/>
        <v>-12.675707610821242</v>
      </c>
      <c r="AN12" s="3">
        <f t="shared" si="0"/>
        <v>-19.644585689622808</v>
      </c>
      <c r="AO12" s="3">
        <f t="shared" si="0"/>
        <v>-17.94513656488375</v>
      </c>
      <c r="AP12" s="3">
        <f t="shared" si="0"/>
        <v>-19.739901384291933</v>
      </c>
      <c r="AQ12" s="3"/>
    </row>
    <row r="13" spans="2:43" x14ac:dyDescent="0.15">
      <c r="K13" s="308">
        <v>60</v>
      </c>
      <c r="L13" s="3">
        <v>5.9947999999999997</v>
      </c>
      <c r="M13" s="3">
        <v>173.95</v>
      </c>
      <c r="N13" s="3">
        <v>-41.97741313864146</v>
      </c>
      <c r="O13" s="3">
        <v>55.474149340767042</v>
      </c>
      <c r="P13" s="3">
        <v>97.451562479408508</v>
      </c>
      <c r="Q13" s="3">
        <v>60</v>
      </c>
      <c r="R13" s="3">
        <v>6.0069999999999988</v>
      </c>
      <c r="S13" s="3">
        <v>182.1</v>
      </c>
      <c r="T13" s="3">
        <v>-49.858537320759162</v>
      </c>
      <c r="U13" s="3">
        <v>53.024605703615251</v>
      </c>
      <c r="V13" s="3">
        <v>102.88314302437441</v>
      </c>
      <c r="W13" s="3">
        <v>220.49732692531043</v>
      </c>
      <c r="X13" s="3">
        <v>60.696326680480432</v>
      </c>
      <c r="Y13" s="3">
        <v>54.29788293029663</v>
      </c>
      <c r="Z13" s="3">
        <v>44.977806639831179</v>
      </c>
      <c r="AA13" s="3">
        <v>33.46182000852744</v>
      </c>
      <c r="AB13" s="3">
        <v>30.224885205480724</v>
      </c>
      <c r="AC13" s="3">
        <v>23.194924135847206</v>
      </c>
      <c r="AD13" s="3">
        <v>23.259405868737375</v>
      </c>
      <c r="AE13" s="3">
        <v>21.641169172190146</v>
      </c>
      <c r="AF13" s="3">
        <v>61.697410757595293</v>
      </c>
      <c r="AG13" s="309">
        <v>42.037975231571743</v>
      </c>
      <c r="AI13" s="3">
        <f t="shared" si="1"/>
        <v>18.658351448908689</v>
      </c>
      <c r="AJ13" s="3">
        <f t="shared" si="0"/>
        <v>12.259907698724888</v>
      </c>
      <c r="AK13" s="3">
        <f t="shared" si="0"/>
        <v>2.9398314082594368</v>
      </c>
      <c r="AL13" s="3">
        <f t="shared" si="0"/>
        <v>-8.576155223044303</v>
      </c>
      <c r="AM13" s="3">
        <f t="shared" si="0"/>
        <v>-11.813090026091018</v>
      </c>
      <c r="AN13" s="3">
        <f t="shared" si="0"/>
        <v>-18.843051095724537</v>
      </c>
      <c r="AO13" s="3">
        <f t="shared" si="0"/>
        <v>-18.778569362834368</v>
      </c>
      <c r="AP13" s="3">
        <f t="shared" si="0"/>
        <v>-20.396806059381596</v>
      </c>
      <c r="AQ13" s="3"/>
    </row>
    <row r="14" spans="2:43" ht="14" thickBot="1" x14ac:dyDescent="0.2">
      <c r="F14" t="s">
        <v>458</v>
      </c>
      <c r="H14" t="s">
        <v>460</v>
      </c>
      <c r="K14" s="310">
        <v>60</v>
      </c>
      <c r="L14" s="311">
        <v>6.0060000000000002</v>
      </c>
      <c r="M14" s="311">
        <v>128.4</v>
      </c>
      <c r="N14" s="311">
        <v>-62.401752628216236</v>
      </c>
      <c r="O14" s="311">
        <v>95.93427382776386</v>
      </c>
      <c r="P14" s="311">
        <v>158.33602645598009</v>
      </c>
      <c r="Q14" s="311">
        <v>60</v>
      </c>
      <c r="R14" s="311">
        <v>6.0003000000000002</v>
      </c>
      <c r="S14" s="311">
        <v>130</v>
      </c>
      <c r="T14" s="311">
        <v>-77.298695160468242</v>
      </c>
      <c r="U14" s="311">
        <v>89.519464554965609</v>
      </c>
      <c r="V14" s="311">
        <v>166.81815971543386</v>
      </c>
      <c r="W14" s="311">
        <v>173.13748215541941</v>
      </c>
      <c r="X14" s="311">
        <v>61.27583180576643</v>
      </c>
      <c r="Y14" s="311">
        <v>54.252490404039399</v>
      </c>
      <c r="Z14" s="311">
        <v>43.309075772355826</v>
      </c>
      <c r="AA14" s="311">
        <v>31.684610278627403</v>
      </c>
      <c r="AB14" s="311">
        <v>25.613292739404354</v>
      </c>
      <c r="AC14" s="311">
        <v>21.985333705734263</v>
      </c>
      <c r="AD14" s="311">
        <v>20.857122600026315</v>
      </c>
      <c r="AE14" s="311">
        <v>19.02380520290744</v>
      </c>
      <c r="AF14" s="311">
        <v>62.125402324774001</v>
      </c>
      <c r="AG14" s="312">
        <v>41.522310881079832</v>
      </c>
      <c r="AI14" s="3">
        <f t="shared" si="1"/>
        <v>19.753520924686597</v>
      </c>
      <c r="AJ14" s="3">
        <f t="shared" si="0"/>
        <v>12.730179522959567</v>
      </c>
      <c r="AK14" s="3">
        <f t="shared" si="0"/>
        <v>1.7867648912759933</v>
      </c>
      <c r="AL14" s="3">
        <f t="shared" si="0"/>
        <v>-9.8377006024524292</v>
      </c>
      <c r="AM14" s="3">
        <f t="shared" si="0"/>
        <v>-15.909018141675478</v>
      </c>
      <c r="AN14" s="3">
        <f t="shared" si="0"/>
        <v>-19.536977175345569</v>
      </c>
      <c r="AO14" s="3">
        <f t="shared" si="0"/>
        <v>-20.665188281053517</v>
      </c>
      <c r="AP14" s="3">
        <f t="shared" si="0"/>
        <v>-22.498505678172393</v>
      </c>
      <c r="AQ14" s="3"/>
    </row>
    <row r="15" spans="2:43" x14ac:dyDescent="0.15">
      <c r="B15" t="s">
        <v>91</v>
      </c>
      <c r="C15" s="314">
        <f>MAX(C4,C5)</f>
        <v>4.8722550824769089</v>
      </c>
      <c r="D15" t="s">
        <v>25</v>
      </c>
      <c r="E15" s="82" t="s">
        <v>42</v>
      </c>
      <c r="F15" s="5">
        <f>C11*LN(C15)+D11</f>
        <v>38.025657220159793</v>
      </c>
      <c r="G15" t="s">
        <v>31</v>
      </c>
      <c r="H15" s="3">
        <f>F15+F12</f>
        <v>37.025657220159793</v>
      </c>
      <c r="I15" t="s">
        <v>31</v>
      </c>
    </row>
    <row r="16" spans="2:43" x14ac:dyDescent="0.15">
      <c r="B16" t="s">
        <v>92</v>
      </c>
      <c r="C16" s="79">
        <f>(2*MAX(C4,C5)+MIN(C4,C5))/3</f>
        <v>4.8060986420995944</v>
      </c>
      <c r="D16" t="s">
        <v>25</v>
      </c>
      <c r="E16" s="82" t="s">
        <v>42</v>
      </c>
      <c r="F16" s="5">
        <f>C11*LN(C16)+D11</f>
        <v>37.730926658601518</v>
      </c>
      <c r="G16" t="s">
        <v>31</v>
      </c>
      <c r="H16" s="3">
        <f>F16+F12</f>
        <v>36.730926658601518</v>
      </c>
      <c r="I16" t="s">
        <v>31</v>
      </c>
      <c r="U16" s="2" t="s">
        <v>453</v>
      </c>
      <c r="AI16" s="3">
        <f>AVERAGE(AI6:AI14)</f>
        <v>17.550783611685731</v>
      </c>
      <c r="AJ16" s="3">
        <f t="shared" ref="AJ16:AP16" si="2">AVERAGE(AJ6:AJ14)</f>
        <v>12.470744429571859</v>
      </c>
      <c r="AK16" s="3">
        <f t="shared" si="2"/>
        <v>3.4806943409591775</v>
      </c>
      <c r="AL16" s="3">
        <f t="shared" si="2"/>
        <v>-9.699103544599005</v>
      </c>
      <c r="AM16" s="3">
        <f t="shared" si="2"/>
        <v>-14.029286646404659</v>
      </c>
      <c r="AN16" s="3">
        <f t="shared" si="2"/>
        <v>-17.889395217753208</v>
      </c>
      <c r="AO16" s="3">
        <f t="shared" si="2"/>
        <v>-17.706926772737738</v>
      </c>
      <c r="AP16" s="3">
        <f t="shared" si="2"/>
        <v>-19.035760621304281</v>
      </c>
    </row>
    <row r="17" spans="2:42" x14ac:dyDescent="0.15">
      <c r="L17" s="4" t="s">
        <v>25</v>
      </c>
      <c r="M17" s="4" t="s">
        <v>27</v>
      </c>
      <c r="N17" s="4" t="s">
        <v>444</v>
      </c>
      <c r="O17" s="4" t="s">
        <v>445</v>
      </c>
      <c r="P17" t="s">
        <v>446</v>
      </c>
      <c r="R17" t="s">
        <v>447</v>
      </c>
      <c r="S17" t="s">
        <v>87</v>
      </c>
      <c r="U17" t="s">
        <v>82</v>
      </c>
      <c r="V17" t="s">
        <v>448</v>
      </c>
      <c r="X17" t="s">
        <v>449</v>
      </c>
      <c r="AI17" s="3">
        <f>ROUND(AI16,0)</f>
        <v>18</v>
      </c>
      <c r="AJ17" s="3">
        <f t="shared" ref="AJ17:AP17" si="3">ROUND(AJ16,0)</f>
        <v>12</v>
      </c>
      <c r="AK17" s="3">
        <f t="shared" si="3"/>
        <v>3</v>
      </c>
      <c r="AL17" s="3">
        <f t="shared" si="3"/>
        <v>-10</v>
      </c>
      <c r="AM17" s="3">
        <f t="shared" si="3"/>
        <v>-14</v>
      </c>
      <c r="AN17" s="3">
        <f t="shared" si="3"/>
        <v>-18</v>
      </c>
      <c r="AO17" s="3">
        <f t="shared" si="3"/>
        <v>-18</v>
      </c>
      <c r="AP17" s="3">
        <f t="shared" si="3"/>
        <v>-19</v>
      </c>
    </row>
    <row r="18" spans="2:42" ht="14" x14ac:dyDescent="0.15">
      <c r="B18" s="83" t="s">
        <v>82</v>
      </c>
      <c r="K18" s="3"/>
      <c r="L18" s="5">
        <f>L6</f>
        <v>9.9980000000000011</v>
      </c>
      <c r="M18" s="6">
        <f>AG6</f>
        <v>54.052145206595526</v>
      </c>
      <c r="N18" s="99">
        <f>P6/M6^2</f>
        <v>8.0196175148723031E-4</v>
      </c>
      <c r="O18" s="99">
        <f>V6/S6^2</f>
        <v>7.6520997302445765E-4</v>
      </c>
      <c r="P18" s="213">
        <f>AVERAGE(N18:O18)</f>
        <v>7.8358586225584404E-4</v>
      </c>
      <c r="R18">
        <f t="shared" ref="R18:R26" si="4">$L$29*LN(L18)+$M$29</f>
        <v>53.522487316077793</v>
      </c>
      <c r="S18" s="3">
        <f>M18-R18</f>
        <v>0.52965789051773271</v>
      </c>
      <c r="U18">
        <f t="shared" ref="U18:U26" si="5">$U$28*LN(P18)+$V$28</f>
        <v>0.77466454202855406</v>
      </c>
      <c r="V18" s="84">
        <f>R18+U18</f>
        <v>54.297151858106346</v>
      </c>
      <c r="X18" s="3">
        <f>V18-M18</f>
        <v>0.24500665151082046</v>
      </c>
    </row>
    <row r="19" spans="2:42" x14ac:dyDescent="0.15">
      <c r="K19" s="3"/>
      <c r="L19" s="5">
        <f t="shared" ref="L19:L26" si="6">L7</f>
        <v>9.9939</v>
      </c>
      <c r="M19" s="6">
        <f t="shared" ref="M19:M26" si="7">AG7</f>
        <v>52.776208381479023</v>
      </c>
      <c r="N19" s="99">
        <f t="shared" ref="N19:N26" si="8">P7/M7^2</f>
        <v>3.4384230248819276E-3</v>
      </c>
      <c r="O19" s="99">
        <f t="shared" ref="O19:O26" si="9">V7/S7^2</f>
        <v>3.1483150169535471E-3</v>
      </c>
      <c r="P19" s="213">
        <f t="shared" ref="P19:P26" si="10">AVERAGE(N19:O19)</f>
        <v>3.2933690209177371E-3</v>
      </c>
      <c r="R19">
        <f t="shared" si="4"/>
        <v>53.513644765335449</v>
      </c>
      <c r="S19" s="3">
        <f t="shared" ref="S19:S26" si="11">M19-R19</f>
        <v>-0.7374363838564264</v>
      </c>
      <c r="U19">
        <f t="shared" si="5"/>
        <v>-5.7588787350060233E-2</v>
      </c>
      <c r="V19" s="84">
        <f t="shared" ref="V19:V26" si="12">R19+U19</f>
        <v>53.456055977985386</v>
      </c>
      <c r="X19" s="3">
        <f t="shared" ref="X19:X26" si="13">V19-M19</f>
        <v>0.67984759650636306</v>
      </c>
    </row>
    <row r="20" spans="2:42" x14ac:dyDescent="0.15">
      <c r="B20" s="2" t="s">
        <v>84</v>
      </c>
      <c r="K20" s="3"/>
      <c r="L20" s="5">
        <f t="shared" si="6"/>
        <v>9.9953000000000003</v>
      </c>
      <c r="M20" s="6">
        <f t="shared" si="7"/>
        <v>53.024004158793858</v>
      </c>
      <c r="N20" s="99">
        <f t="shared" si="8"/>
        <v>1.1773327174725056E-2</v>
      </c>
      <c r="O20" s="99">
        <f t="shared" si="9"/>
        <v>1.0164108316721305E-2</v>
      </c>
      <c r="P20" s="213">
        <f t="shared" si="10"/>
        <v>1.096871774572318E-2</v>
      </c>
      <c r="R20">
        <f t="shared" si="4"/>
        <v>53.516664580708863</v>
      </c>
      <c r="S20" s="3">
        <f t="shared" si="11"/>
        <v>-0.49266042191500503</v>
      </c>
      <c r="U20">
        <f t="shared" si="5"/>
        <v>-0.75498688269917702</v>
      </c>
      <c r="V20" s="84">
        <f t="shared" si="12"/>
        <v>52.761677698009684</v>
      </c>
      <c r="X20" s="3">
        <f t="shared" si="13"/>
        <v>-0.26232646078417332</v>
      </c>
    </row>
    <row r="21" spans="2:42" x14ac:dyDescent="0.15">
      <c r="B21" t="s">
        <v>85</v>
      </c>
      <c r="C21" t="s">
        <v>28</v>
      </c>
      <c r="D21" s="3">
        <f>'R-series ENT'!N54</f>
        <v>51.350319413350157</v>
      </c>
      <c r="E21" t="s">
        <v>31</v>
      </c>
      <c r="K21" s="3"/>
      <c r="L21" s="5">
        <f t="shared" si="6"/>
        <v>8.0030000000000001</v>
      </c>
      <c r="M21" s="6">
        <f t="shared" si="7"/>
        <v>50.113323788361761</v>
      </c>
      <c r="N21" s="99">
        <f t="shared" si="8"/>
        <v>7.9873009967434787E-4</v>
      </c>
      <c r="O21" s="99">
        <f t="shared" si="9"/>
        <v>7.5038812782047876E-4</v>
      </c>
      <c r="P21" s="213">
        <f t="shared" si="10"/>
        <v>7.7455911374741337E-4</v>
      </c>
      <c r="R21">
        <f t="shared" si="4"/>
        <v>48.724250594754039</v>
      </c>
      <c r="S21" s="3">
        <f t="shared" si="11"/>
        <v>1.3890731936077216</v>
      </c>
      <c r="U21">
        <f t="shared" si="5"/>
        <v>0.78138075180835287</v>
      </c>
      <c r="V21" s="84">
        <f t="shared" si="12"/>
        <v>49.505631346562396</v>
      </c>
      <c r="X21" s="3">
        <f t="shared" si="13"/>
        <v>-0.60769244179936521</v>
      </c>
    </row>
    <row r="22" spans="2:42" x14ac:dyDescent="0.15">
      <c r="B22" s="25"/>
      <c r="C22" s="25" t="s">
        <v>8</v>
      </c>
      <c r="D22" s="81">
        <f>'R-series ENT'!N55</f>
        <v>51.65220443099701</v>
      </c>
      <c r="E22" t="s">
        <v>31</v>
      </c>
      <c r="K22" s="3"/>
      <c r="L22" s="5">
        <f t="shared" si="6"/>
        <v>8.0055000000000014</v>
      </c>
      <c r="M22" s="6">
        <f t="shared" si="7"/>
        <v>48.656389304625122</v>
      </c>
      <c r="N22" s="99">
        <f t="shared" si="8"/>
        <v>3.3759377704797714E-3</v>
      </c>
      <c r="O22" s="99">
        <f t="shared" si="9"/>
        <v>3.1063773510820757E-3</v>
      </c>
      <c r="P22" s="213">
        <f t="shared" si="10"/>
        <v>3.2411575607809236E-3</v>
      </c>
      <c r="R22">
        <f t="shared" si="4"/>
        <v>48.730984037016214</v>
      </c>
      <c r="S22" s="3">
        <f t="shared" si="11"/>
        <v>-7.4594732391091156E-2</v>
      </c>
      <c r="U22">
        <f t="shared" si="5"/>
        <v>-4.8325676375312376E-2</v>
      </c>
      <c r="V22" s="84">
        <f t="shared" si="12"/>
        <v>48.6826583606409</v>
      </c>
      <c r="X22" s="3">
        <f t="shared" si="13"/>
        <v>2.6269056015777892E-2</v>
      </c>
    </row>
    <row r="23" spans="2:42" x14ac:dyDescent="0.15">
      <c r="C23" t="s">
        <v>87</v>
      </c>
      <c r="D23" s="3">
        <f>ABS(D21-D22)</f>
        <v>0.30188501764685327</v>
      </c>
      <c r="E23" t="s">
        <v>31</v>
      </c>
      <c r="K23" s="3"/>
      <c r="L23" s="5">
        <f t="shared" si="6"/>
        <v>7.9989999999999997</v>
      </c>
      <c r="M23" s="6">
        <f t="shared" si="7"/>
        <v>48.64710508699757</v>
      </c>
      <c r="N23" s="99">
        <f t="shared" si="8"/>
        <v>1.1080495590122922E-2</v>
      </c>
      <c r="O23" s="99">
        <f t="shared" si="9"/>
        <v>1.0098624372825278E-2</v>
      </c>
      <c r="P23" s="213">
        <f t="shared" si="10"/>
        <v>1.05895599814741E-2</v>
      </c>
      <c r="R23">
        <f t="shared" si="4"/>
        <v>48.71347271080726</v>
      </c>
      <c r="S23" s="3">
        <f t="shared" si="11"/>
        <v>-6.6367623809689746E-2</v>
      </c>
      <c r="U23">
        <f t="shared" si="5"/>
        <v>-0.73459550395123774</v>
      </c>
      <c r="V23" s="84">
        <f t="shared" si="12"/>
        <v>47.978877206856019</v>
      </c>
      <c r="X23" s="3">
        <f t="shared" si="13"/>
        <v>-0.66822788014155066</v>
      </c>
    </row>
    <row r="24" spans="2:42" x14ac:dyDescent="0.15">
      <c r="D24" s="3"/>
      <c r="K24" s="3"/>
      <c r="L24" s="5">
        <f t="shared" si="6"/>
        <v>5.988999999999999</v>
      </c>
      <c r="M24" s="6">
        <f t="shared" si="7"/>
        <v>43.397891485041725</v>
      </c>
      <c r="N24" s="99">
        <f t="shared" si="8"/>
        <v>8.6183073758079999E-4</v>
      </c>
      <c r="O24" s="99">
        <f t="shared" si="9"/>
        <v>7.4732542371113786E-4</v>
      </c>
      <c r="P24" s="213">
        <f t="shared" si="10"/>
        <v>8.0457808064596887E-4</v>
      </c>
      <c r="R24">
        <f t="shared" si="4"/>
        <v>42.474624562876087</v>
      </c>
      <c r="S24" s="3">
        <f t="shared" si="11"/>
        <v>0.92326692216563799</v>
      </c>
      <c r="U24">
        <f t="shared" si="5"/>
        <v>0.75934011613379315</v>
      </c>
      <c r="V24" s="84">
        <f t="shared" si="12"/>
        <v>43.23396467900988</v>
      </c>
      <c r="X24" s="3">
        <f t="shared" si="13"/>
        <v>-0.16392680603184573</v>
      </c>
    </row>
    <row r="25" spans="2:42" x14ac:dyDescent="0.15">
      <c r="B25" t="s">
        <v>86</v>
      </c>
      <c r="C25" t="s">
        <v>7</v>
      </c>
      <c r="D25" s="3">
        <f>'R-series ENT'!N53</f>
        <v>62.081900793182115</v>
      </c>
      <c r="E25" t="s">
        <v>31</v>
      </c>
      <c r="K25" s="3"/>
      <c r="L25" s="5">
        <f t="shared" si="6"/>
        <v>5.9947999999999997</v>
      </c>
      <c r="M25" s="6">
        <f t="shared" si="7"/>
        <v>42.037975231571743</v>
      </c>
      <c r="N25" s="99">
        <f t="shared" si="8"/>
        <v>3.2206233741101731E-3</v>
      </c>
      <c r="O25" s="99">
        <f t="shared" si="9"/>
        <v>3.1025895947720313E-3</v>
      </c>
      <c r="P25" s="213">
        <f t="shared" si="10"/>
        <v>3.1616064844411022E-3</v>
      </c>
      <c r="R25">
        <f t="shared" si="4"/>
        <v>42.495492582848584</v>
      </c>
      <c r="S25" s="3">
        <f t="shared" si="11"/>
        <v>-0.45751735127684157</v>
      </c>
      <c r="U25">
        <f t="shared" si="5"/>
        <v>-3.3921221542812852E-2</v>
      </c>
      <c r="V25" s="84">
        <f t="shared" si="12"/>
        <v>42.461571361305772</v>
      </c>
      <c r="X25" s="3">
        <f t="shared" si="13"/>
        <v>0.4235961297340296</v>
      </c>
    </row>
    <row r="26" spans="2:42" x14ac:dyDescent="0.15">
      <c r="B26" s="25"/>
      <c r="C26" s="25" t="s">
        <v>57</v>
      </c>
      <c r="D26" s="81">
        <f>'R-series ENT'!N56</f>
        <v>61.797611511157953</v>
      </c>
      <c r="E26" t="s">
        <v>31</v>
      </c>
      <c r="K26" s="3"/>
      <c r="L26" s="5">
        <f t="shared" si="6"/>
        <v>6.0060000000000002</v>
      </c>
      <c r="M26" s="6">
        <f t="shared" si="7"/>
        <v>41.522310881079832</v>
      </c>
      <c r="N26" s="99">
        <f t="shared" si="8"/>
        <v>9.6039456658017237E-3</v>
      </c>
      <c r="O26" s="99">
        <f t="shared" si="9"/>
        <v>9.8708970245818851E-3</v>
      </c>
      <c r="P26" s="213">
        <f t="shared" si="10"/>
        <v>9.7374213451918053E-3</v>
      </c>
      <c r="R26">
        <f t="shared" si="4"/>
        <v>42.535732374121807</v>
      </c>
      <c r="S26" s="3">
        <f t="shared" si="11"/>
        <v>-1.0134214930419745</v>
      </c>
      <c r="U26">
        <f t="shared" si="5"/>
        <v>-0.68596733805203858</v>
      </c>
      <c r="V26" s="84">
        <f t="shared" si="12"/>
        <v>41.849765036069769</v>
      </c>
      <c r="X26" s="3">
        <f t="shared" si="13"/>
        <v>0.3274541549899368</v>
      </c>
    </row>
    <row r="27" spans="2:42" x14ac:dyDescent="0.15">
      <c r="C27" t="s">
        <v>87</v>
      </c>
      <c r="D27" s="3">
        <f>ABS(D25-D26)</f>
        <v>0.28428928202416159</v>
      </c>
      <c r="E27" t="s">
        <v>31</v>
      </c>
      <c r="K27" s="3"/>
      <c r="U27" t="s">
        <v>452</v>
      </c>
    </row>
    <row r="28" spans="2:42" x14ac:dyDescent="0.15">
      <c r="K28" s="3"/>
      <c r="L28" t="s">
        <v>451</v>
      </c>
      <c r="U28" s="2" cm="1">
        <f t="array" ref="U28:V28">LINEST(S18:S26,LN(P18:P26))</f>
        <v>-0.57965010557602148</v>
      </c>
      <c r="V28" s="2">
        <v>-3.3707784927193938</v>
      </c>
      <c r="X28" s="314">
        <f t="array" ref="X28">AVERAGE(ABS(X18:X26))</f>
        <v>0.37826079750154029</v>
      </c>
      <c r="Y28" t="s">
        <v>31</v>
      </c>
    </row>
    <row r="29" spans="2:42" x14ac:dyDescent="0.15">
      <c r="B29" t="s">
        <v>94</v>
      </c>
      <c r="C29" s="3">
        <f>AVERAGE(D27,D23)</f>
        <v>0.29308714983550743</v>
      </c>
      <c r="D29" t="s">
        <v>31</v>
      </c>
      <c r="L29" s="2">
        <f t="array" ref="L29:M29">LINEST(M18:M26,LN(L18:L26))</f>
        <v>21.558461915520574</v>
      </c>
      <c r="M29" s="2">
        <v>3.8866064051300953</v>
      </c>
    </row>
    <row r="30" spans="2:42" x14ac:dyDescent="0.15">
      <c r="B30" t="s">
        <v>93</v>
      </c>
      <c r="C30" s="3">
        <f>-10*LOG10((1-10^(-C29/10)))-3</f>
        <v>8.853594809152499</v>
      </c>
      <c r="D30" t="s">
        <v>31</v>
      </c>
      <c r="U30" s="4" t="s">
        <v>22</v>
      </c>
      <c r="V30" s="4" t="s">
        <v>450</v>
      </c>
    </row>
    <row r="31" spans="2:42" x14ac:dyDescent="0.15">
      <c r="U31" s="4">
        <v>1</v>
      </c>
      <c r="V31" s="4">
        <v>-1</v>
      </c>
    </row>
    <row r="32" spans="2:42" x14ac:dyDescent="0.15">
      <c r="B32" t="s">
        <v>83</v>
      </c>
      <c r="C32" s="3">
        <f>H15+C30</f>
        <v>45.879252029312291</v>
      </c>
      <c r="D32" t="s">
        <v>31</v>
      </c>
    </row>
    <row r="33" spans="2:23" x14ac:dyDescent="0.15">
      <c r="B33" t="s">
        <v>95</v>
      </c>
      <c r="C33" s="3">
        <f>H15-2.6</f>
        <v>34.425657220159792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MIN(H15,IF(C29&lt;3,H16,IF(C29&gt;10,C33,C32)))</f>
        <v>36.730926658601518</v>
      </c>
      <c r="D35" s="2" t="s">
        <v>31</v>
      </c>
      <c r="F35" s="5">
        <f>C35+10*LOG10(4/10)</f>
        <v>32.751526571881143</v>
      </c>
      <c r="G35" s="5">
        <f>C35+10*LOG10(4/2.5)</f>
        <v>38.772126485160769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315">
        <f>AI17</f>
        <v>18</v>
      </c>
      <c r="D39" s="315">
        <f t="shared" ref="D39:J39" si="14">AJ17</f>
        <v>12</v>
      </c>
      <c r="E39" s="315">
        <f t="shared" si="14"/>
        <v>3</v>
      </c>
      <c r="F39" s="315">
        <f t="shared" si="14"/>
        <v>-10</v>
      </c>
      <c r="G39" s="315">
        <f t="shared" si="14"/>
        <v>-14</v>
      </c>
      <c r="H39" s="315">
        <f t="shared" si="14"/>
        <v>-18</v>
      </c>
      <c r="I39" s="315">
        <f t="shared" si="14"/>
        <v>-18</v>
      </c>
      <c r="J39" s="315">
        <f t="shared" si="14"/>
        <v>-19</v>
      </c>
      <c r="K39" s="87" t="s">
        <v>42</v>
      </c>
      <c r="L39" s="86">
        <f>$C$35+C39</f>
        <v>54.730926658601518</v>
      </c>
      <c r="M39" s="86">
        <f t="shared" ref="M39:S39" si="15">$C$35+D39</f>
        <v>48.730926658601518</v>
      </c>
      <c r="N39" s="86">
        <f t="shared" si="15"/>
        <v>39.730926658601518</v>
      </c>
      <c r="O39" s="86">
        <f t="shared" si="15"/>
        <v>26.730926658601518</v>
      </c>
      <c r="P39" s="86">
        <f t="shared" si="15"/>
        <v>22.730926658601518</v>
      </c>
      <c r="Q39" s="86">
        <f t="shared" si="15"/>
        <v>18.730926658601518</v>
      </c>
      <c r="R39" s="86">
        <f t="shared" si="15"/>
        <v>18.730926658601518</v>
      </c>
      <c r="S39" s="86">
        <f t="shared" si="15"/>
        <v>17.730926658601518</v>
      </c>
      <c r="T39" s="5">
        <f t="array" ref="T39">10*LOG10(SUM(10^(L39:S39/10)))</f>
        <v>55.822421642246312</v>
      </c>
      <c r="U39" s="5">
        <f t="array" ref="U39">10*LOG10(SUM(10^((L39:S39+L41:S41)/10)))</f>
        <v>36.526937641404963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mergeCells count="26"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BB6E5-E83F-4333-87B1-4747798A9A53}">
  <dimension ref="C2:AP99"/>
  <sheetViews>
    <sheetView zoomScale="70" zoomScaleNormal="70" workbookViewId="0">
      <selection activeCell="R20" sqref="R20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 ENT'!$E$33</f>
        <v>34.722222222222221</v>
      </c>
      <c r="K3" t="s">
        <v>13</v>
      </c>
      <c r="L3" s="122">
        <f>'R-series ENT'!$E$39</f>
        <v>75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17.469123402364794</v>
      </c>
      <c r="Q5" s="52">
        <v>-10.980926569793787</v>
      </c>
      <c r="R5" t="s">
        <v>28</v>
      </c>
      <c r="T5" s="4"/>
      <c r="U5" s="39" t="s">
        <v>43</v>
      </c>
      <c r="V5" t="s">
        <v>28</v>
      </c>
      <c r="W5" s="9">
        <f>$P$5*LN($J$3)+$Q$5</f>
        <v>50.988690515830783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17.171733753484475</v>
      </c>
      <c r="Q6" s="52">
        <v>1.0438619995957623</v>
      </c>
      <c r="R6" t="s">
        <v>7</v>
      </c>
      <c r="T6" s="4"/>
      <c r="U6" s="39" t="s">
        <v>43</v>
      </c>
      <c r="V6" t="s">
        <v>7</v>
      </c>
      <c r="W6" s="9">
        <f>$P$6*LN($J$3)+$Q$6</f>
        <v>61.958525024740858</v>
      </c>
      <c r="X6" t="s">
        <v>31</v>
      </c>
      <c r="AA6" s="55">
        <v>25</v>
      </c>
      <c r="AB6" s="56">
        <f t="shared" ref="AB6:AB12" si="0">(-$D$9-SQRT($D$9^2-(4*$C$9*($E$9-AA6))))/(2*$C$9)</f>
        <v>105.55992375280067</v>
      </c>
      <c r="AC6" s="55">
        <v>20</v>
      </c>
      <c r="AD6" s="57">
        <f t="shared" ref="AD6:AD12" si="1">(-$D$14-SQRT($D$14^2-(4*$C$14*($E$14-AC6))))/(2*$C$14)</f>
        <v>80.704641716435873</v>
      </c>
      <c r="AE6" s="55">
        <v>10</v>
      </c>
      <c r="AF6" s="57">
        <f t="shared" ref="AF6:AF11" si="2">(-$D$19-SQRT($D$19^2-(4*$C$19*($E$19-AE6))))/(2*$C$19)</f>
        <v>54.339001915022031</v>
      </c>
      <c r="AG6" s="56">
        <v>10</v>
      </c>
      <c r="AH6" s="57">
        <f>(-$D$24-SQRT($D$24^2-(4*$C$24*($E$24-AG6))))/(2*$C$24)</f>
        <v>20.411043893478237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91.334084830633799</v>
      </c>
      <c r="AC7" s="55">
        <v>50</v>
      </c>
      <c r="AD7" s="57">
        <f t="shared" si="1"/>
        <v>73.838694391688321</v>
      </c>
      <c r="AE7" s="55">
        <v>40</v>
      </c>
      <c r="AF7" s="57">
        <f t="shared" si="2"/>
        <v>44.807769064929076</v>
      </c>
      <c r="AG7" s="56">
        <v>20</v>
      </c>
      <c r="AH7" s="57">
        <f>(-$D$24-SQRT($D$24^2-(4*$C$24*($E$24-AG7))))/(2*$C$24)</f>
        <v>15.414623288200497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79.861474107511413</v>
      </c>
      <c r="AC8" s="55">
        <v>100</v>
      </c>
      <c r="AD8" s="57">
        <f t="shared" si="1"/>
        <v>61.665564184927057</v>
      </c>
      <c r="AE8" s="55">
        <v>60</v>
      </c>
      <c r="AF8" s="57">
        <f t="shared" si="2"/>
        <v>38.065608935044438</v>
      </c>
      <c r="AG8" s="56">
        <v>25</v>
      </c>
      <c r="AH8" s="57">
        <f>(-$D$24-SQRT($D$24^2-(4*$C$24*($E$24-AG8))))/(2*$C$24)</f>
        <v>12.814599421780468</v>
      </c>
    </row>
    <row r="9" spans="3:34" x14ac:dyDescent="0.15">
      <c r="C9" s="8">
        <v>-2.2433298857689056E-2</v>
      </c>
      <c r="D9" s="8">
        <v>-2.2610071547254913</v>
      </c>
      <c r="E9" s="8">
        <v>513.64369267596055</v>
      </c>
      <c r="H9" s="2"/>
      <c r="P9" t="s">
        <v>23</v>
      </c>
      <c r="Q9" s="52">
        <f t="array" ref="Q9:R9">LINEST(AC35:AC37,U35:U37)</f>
        <v>9.1400563333415707</v>
      </c>
      <c r="R9" s="52">
        <v>-11.006782389197554</v>
      </c>
      <c r="U9" s="39" t="s">
        <v>42</v>
      </c>
      <c r="V9" t="s">
        <v>44</v>
      </c>
      <c r="W9" s="9">
        <f>IF($J$3&gt;$AJ$35,($J$3-$R$10)/$Q$10,($J$3-$R$9)/$Q$9)</f>
        <v>5.0031425347573784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69.154705393973089</v>
      </c>
      <c r="AC9" s="55">
        <v>150</v>
      </c>
      <c r="AD9" s="57">
        <f t="shared" si="1"/>
        <v>48.356228284154241</v>
      </c>
      <c r="AE9" s="55">
        <v>80</v>
      </c>
      <c r="AF9" s="57">
        <f t="shared" si="2"/>
        <v>30.953738781884212</v>
      </c>
      <c r="AG9" s="56">
        <v>30</v>
      </c>
      <c r="AH9" s="57">
        <f>(-$D$24-SQRT($D$24^2-(4*$C$24*($E$24-AG9))))/(2*$C$24)</f>
        <v>10.138839913756215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LINEST(AJ34:AJ35,AI34:AI35)</f>
        <v>3.2548377211097028</v>
      </c>
      <c r="R10" s="52">
        <v>33.132357202541456</v>
      </c>
      <c r="W10" t="b">
        <f>IF(AND(W9&lt;=10.01,'R-series ENT'!E33&gt;=W11),TRUE,FALSE)</f>
        <v>1</v>
      </c>
      <c r="AA10" s="55">
        <v>320</v>
      </c>
      <c r="AB10" s="56">
        <f t="shared" si="0"/>
        <v>55.301465600422567</v>
      </c>
      <c r="AC10" s="55">
        <v>170</v>
      </c>
      <c r="AD10" s="57">
        <f t="shared" si="1"/>
        <v>42.633564679818207</v>
      </c>
      <c r="AE10" s="55">
        <v>100</v>
      </c>
      <c r="AF10" s="57">
        <f t="shared" si="2"/>
        <v>23.403717201633526</v>
      </c>
      <c r="AG10" s="56">
        <v>34</v>
      </c>
      <c r="AH10" s="57">
        <f>(-$D$24-SQRT($D$24^2-(4*$C$24*($E$24-AG10))))/(2*$C$24)</f>
        <v>7.9390146933981729</v>
      </c>
    </row>
    <row r="11" spans="3:34" x14ac:dyDescent="0.15">
      <c r="C11" s="2" t="s">
        <v>114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39.334311694441077</v>
      </c>
      <c r="AC11" s="55">
        <v>190</v>
      </c>
      <c r="AD11" s="57">
        <f t="shared" si="1"/>
        <v>36.633999759441082</v>
      </c>
      <c r="AE11" s="55">
        <v>110</v>
      </c>
      <c r="AF11" s="57">
        <f t="shared" si="2"/>
        <v>19.436728566723829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400</v>
      </c>
      <c r="AB12" s="59">
        <f t="shared" si="0"/>
        <v>36.814967342900474</v>
      </c>
      <c r="AC12" s="58">
        <v>220</v>
      </c>
      <c r="AD12" s="60">
        <f t="shared" si="1"/>
        <v>27.014459006801598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3.02902129321444E-2</v>
      </c>
      <c r="Q13" s="51">
        <v>-0.88326554414422365</v>
      </c>
      <c r="R13" s="51">
        <v>13.032951747940231</v>
      </c>
      <c r="U13" s="39" t="s">
        <v>43</v>
      </c>
      <c r="V13" t="s">
        <v>44</v>
      </c>
      <c r="W13" s="9">
        <f>$P$13*J3^2+$Q$13*J3+$R$13</f>
        <v>18.882880930027859</v>
      </c>
      <c r="X13" t="s">
        <v>49</v>
      </c>
    </row>
    <row r="14" spans="3:34" x14ac:dyDescent="0.15">
      <c r="C14" s="8">
        <v>-1.3760266882226247E-2</v>
      </c>
      <c r="D14" s="8">
        <v>-2.2428322199751851</v>
      </c>
      <c r="E14" s="8">
        <v>290.63088032834924</v>
      </c>
      <c r="H14" s="2"/>
      <c r="V14" t="s">
        <v>52</v>
      </c>
      <c r="W14" s="3">
        <f>IF(W13&gt;118,118,W13)</f>
        <v>18.882880930027859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100_ENT'!W13</f>
        <v>17.934301963298594</v>
      </c>
    </row>
    <row r="17" spans="3:38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8" x14ac:dyDescent="0.15">
      <c r="C18" t="s">
        <v>4</v>
      </c>
      <c r="D18" t="s">
        <v>5</v>
      </c>
      <c r="E18" t="s">
        <v>6</v>
      </c>
      <c r="H18" s="1"/>
    </row>
    <row r="19" spans="3:38" x14ac:dyDescent="0.15">
      <c r="C19" s="8">
        <v>-1.1130949340999082E-2</v>
      </c>
      <c r="D19" s="8">
        <v>-2.0439489619943845</v>
      </c>
      <c r="E19" s="8">
        <v>153.93280265205709</v>
      </c>
      <c r="V19" s="74" t="s">
        <v>74</v>
      </c>
      <c r="W19" s="77">
        <f>W13+W16+W17</f>
        <v>39.817182893326454</v>
      </c>
      <c r="X19" s="75" t="s">
        <v>49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V21" t="s">
        <v>78</v>
      </c>
      <c r="W21">
        <f>MAX(J3,'Laskenta poistopuoli 60_ENT'!J3)</f>
        <v>34.722222222222221</v>
      </c>
      <c r="X21" t="s">
        <v>13</v>
      </c>
      <c r="AB21" s="6"/>
      <c r="AC21" s="6"/>
    </row>
    <row r="22" spans="3:38" ht="15" x14ac:dyDescent="0.15">
      <c r="C22" t="s">
        <v>11</v>
      </c>
      <c r="D22" s="1"/>
      <c r="E22" s="1"/>
      <c r="H22" s="1"/>
      <c r="V22" t="s">
        <v>75</v>
      </c>
      <c r="W22">
        <f>W19/W21</f>
        <v>1.1467348673278019</v>
      </c>
      <c r="X22" t="s">
        <v>77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-1.0317131036642325E-2</v>
      </c>
      <c r="D24" s="8">
        <v>-1.6318146807999949</v>
      </c>
      <c r="E24" s="8">
        <v>47.605268391279175</v>
      </c>
      <c r="H24" s="1"/>
    </row>
    <row r="25" spans="3:38" x14ac:dyDescent="0.15"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6.2208000000000006E-2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</row>
    <row r="34" spans="21:42" x14ac:dyDescent="0.15">
      <c r="U34" s="35">
        <v>10</v>
      </c>
      <c r="V34" s="98">
        <f>C9</f>
        <v>-2.2433298857689056E-2</v>
      </c>
      <c r="W34" s="99">
        <f>D9</f>
        <v>-2.2610071547254913</v>
      </c>
      <c r="X34" s="100">
        <f>E9</f>
        <v>513.64369267596055</v>
      </c>
      <c r="Y34" s="36">
        <f>C9-U29</f>
        <v>-8.4641298857689062E-2</v>
      </c>
      <c r="Z34" s="28">
        <f>(-W34+SQRT(W34^2-(4*Y34*X34)))/(2*Y34)</f>
        <v>-92.393547015049734</v>
      </c>
      <c r="AA34" s="29">
        <f>(-W34-SQRT(W34^2-(4*Y34*X34)))/(2*Y34)</f>
        <v>65.68073441363849</v>
      </c>
      <c r="AB34" s="36">
        <f>AB6</f>
        <v>105.55992375280067</v>
      </c>
      <c r="AC34" s="53">
        <f>IF(Z34&lt;0,AA34,IF(Z34&gt;AB34,AA34,Z34))</f>
        <v>65.68073441363849</v>
      </c>
      <c r="AD34" s="53">
        <f>V34*AC34^2+W34*AC34+X34</f>
        <v>268.36275357873274</v>
      </c>
      <c r="AE34" s="53">
        <f>X51*AC34^2+Y51*AC34+Z51</f>
        <v>86.126456995977861</v>
      </c>
      <c r="AF34" s="53">
        <f>$H$60*AC34^2+$I$60*AC34+$J$60</f>
        <v>62.185377817756802</v>
      </c>
      <c r="AG34" s="53">
        <f>$R$60*AC34^2+$S$60*AC34+$T$60</f>
        <v>73.446329924553979</v>
      </c>
      <c r="AI34">
        <v>10</v>
      </c>
      <c r="AJ34" s="3">
        <f>AC34</f>
        <v>65.68073441363849</v>
      </c>
      <c r="AL34" s="616">
        <f>AC34/$J$3-1</f>
        <v>0.89160515111278849</v>
      </c>
      <c r="AO34" s="278" t="b">
        <f>IF(AL36&gt;AC34,FALSE,TRUE)</f>
        <v>1</v>
      </c>
      <c r="AP34" t="s">
        <v>1117</v>
      </c>
    </row>
    <row r="35" spans="21:42" x14ac:dyDescent="0.15">
      <c r="U35" s="35">
        <v>6.5</v>
      </c>
      <c r="V35" s="98">
        <f>C14</f>
        <v>-1.3760266882226247E-2</v>
      </c>
      <c r="W35" s="99">
        <f>D14</f>
        <v>-2.2428322199751851</v>
      </c>
      <c r="X35" s="100">
        <f>E14</f>
        <v>290.63088032834924</v>
      </c>
      <c r="Y35" s="36">
        <f>C14-U29</f>
        <v>-7.5968266882226257E-2</v>
      </c>
      <c r="Z35" s="28">
        <f t="shared" ref="Z35:Z37" si="3">(-W35+SQRT(W35^2-(4*Y35*X35)))/(2*Y35)</f>
        <v>-78.350897955837922</v>
      </c>
      <c r="AA35" s="29">
        <f t="shared" ref="AA35:AA37" si="4">(-W35-SQRT(W35^2-(4*Y35*X35)))/(2*Y35)</f>
        <v>48.827620513530974</v>
      </c>
      <c r="AB35" s="36">
        <f>AD6</f>
        <v>80.704641716435873</v>
      </c>
      <c r="AC35" s="53">
        <f t="shared" ref="AC35:AC37" si="5">IF(Z35&lt;0,AA35,IF(Z35&gt;AB35,AA35,Z35))</f>
        <v>48.827620513530974</v>
      </c>
      <c r="AD35" s="53">
        <f>V35*AC35^2+W35*AC35+X35</f>
        <v>148.31236494803295</v>
      </c>
      <c r="AE35" s="53">
        <f t="shared" ref="AE35:AE37" si="6">X52*AC35^2+Y52*AC35+Z52</f>
        <v>40.701982031288438</v>
      </c>
      <c r="AF35" s="53">
        <f>$H$65*AC35^2+$I$65*AC35+$J$65</f>
        <v>56.990184915336407</v>
      </c>
      <c r="AG35" s="53">
        <f>$R$65*AC35^2+$S$65*AC35+$T$65</f>
        <v>67.502697274371826</v>
      </c>
      <c r="AI35">
        <v>7.5</v>
      </c>
      <c r="AJ35" s="3">
        <f>Q9*AI35+R9</f>
        <v>57.543640110864231</v>
      </c>
      <c r="AL35" t="s">
        <v>1114</v>
      </c>
      <c r="AO35" t="s">
        <v>1116</v>
      </c>
    </row>
    <row r="36" spans="21:42" x14ac:dyDescent="0.15">
      <c r="U36" s="35">
        <v>5</v>
      </c>
      <c r="V36" s="98">
        <f>C19</f>
        <v>-1.1130949340999082E-2</v>
      </c>
      <c r="W36" s="99">
        <f>D19</f>
        <v>-2.0439489619943845</v>
      </c>
      <c r="X36" s="100">
        <f>E19</f>
        <v>153.93280265205709</v>
      </c>
      <c r="Y36" s="36">
        <f>C19-U29</f>
        <v>-7.3338949340999091E-2</v>
      </c>
      <c r="Z36" s="28">
        <f t="shared" si="3"/>
        <v>-61.821331959123384</v>
      </c>
      <c r="AA36" s="29">
        <f t="shared" si="4"/>
        <v>33.951434989495752</v>
      </c>
      <c r="AB36" s="36">
        <f>AF6</f>
        <v>54.339001915022031</v>
      </c>
      <c r="AC36" s="53">
        <f t="shared" si="5"/>
        <v>33.951434989495752</v>
      </c>
      <c r="AD36" s="53">
        <f>V36*AC36^2+W36*AC36+X36</f>
        <v>71.707157733521285</v>
      </c>
      <c r="AE36" s="53">
        <f t="shared" si="6"/>
        <v>19.365385937716219</v>
      </c>
      <c r="AF36" s="53">
        <f>$H$70*AC36^2+$I$70*AC36+$J$70</f>
        <v>50.408240270052204</v>
      </c>
      <c r="AG36" s="53">
        <f>$R$70*AC36^2+$S$70*AC36+$T$70</f>
        <v>60.99454181797703</v>
      </c>
      <c r="AI36">
        <v>6.5</v>
      </c>
      <c r="AJ36" s="3">
        <f>AC35</f>
        <v>48.827620513530974</v>
      </c>
      <c r="AL36" s="609">
        <f>Tulokset_ENT!$CR$16</f>
        <v>41.666666666666664</v>
      </c>
      <c r="AM36" t="s">
        <v>13</v>
      </c>
      <c r="AO36" s="617">
        <f>IF($AL$36&gt;$AJ$35,($AL$36-$R$10)/$Q$10,($AL$36-$R$9)/$Q$9)</f>
        <v>5.7629238961820493</v>
      </c>
      <c r="AP36" t="s">
        <v>25</v>
      </c>
    </row>
    <row r="37" spans="21:42" x14ac:dyDescent="0.15">
      <c r="U37" s="38">
        <v>3</v>
      </c>
      <c r="V37" s="101">
        <f>C24</f>
        <v>-1.0317131036642325E-2</v>
      </c>
      <c r="W37" s="102">
        <f>D24</f>
        <v>-1.6318146807999949</v>
      </c>
      <c r="X37" s="103">
        <f>E24</f>
        <v>47.605268391279175</v>
      </c>
      <c r="Y37" s="37">
        <f>C24-U29</f>
        <v>-7.2525131036642335E-2</v>
      </c>
      <c r="Z37" s="30">
        <f t="shared" si="3"/>
        <v>-39.231403579957544</v>
      </c>
      <c r="AA37" s="31">
        <f t="shared" si="4"/>
        <v>16.731414162833396</v>
      </c>
      <c r="AB37" s="37">
        <f>AH6</f>
        <v>20.411043893478237</v>
      </c>
      <c r="AC37" s="53">
        <f t="shared" si="5"/>
        <v>16.731414162833396</v>
      </c>
      <c r="AD37" s="53">
        <f>V37*AC37^2+W37*AC37+X37</f>
        <v>17.41452119880902</v>
      </c>
      <c r="AE37" s="53">
        <f t="shared" si="6"/>
        <v>6.3119945496939174</v>
      </c>
      <c r="AF37" s="53">
        <f>$H$75*AC37^2+$I$75*AC37+$J$75</f>
        <v>38.315511356203451</v>
      </c>
      <c r="AG37" s="53">
        <f>$R$75*AC37^2+$S$75*AC37+$T$75</f>
        <v>49.767932382854006</v>
      </c>
      <c r="AI37">
        <v>5</v>
      </c>
      <c r="AJ37" s="3">
        <f t="shared" ref="AJ37:AJ38" si="7">AC36</f>
        <v>33.951434989495752</v>
      </c>
      <c r="AL37" s="609">
        <f>Tulokset_ENT!$CR$17</f>
        <v>107.99999999999999</v>
      </c>
      <c r="AM37" t="s">
        <v>14</v>
      </c>
    </row>
    <row r="38" spans="21:42" x14ac:dyDescent="0.15">
      <c r="AI38">
        <v>3</v>
      </c>
      <c r="AJ38" s="3">
        <f t="shared" si="7"/>
        <v>16.731414162833396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26</v>
      </c>
      <c r="V43" s="21"/>
      <c r="W43" s="49">
        <v>21</v>
      </c>
      <c r="X43" s="49">
        <v>10</v>
      </c>
      <c r="Y43" s="49">
        <v>3</v>
      </c>
      <c r="Z43" s="49">
        <v>-8</v>
      </c>
      <c r="AA43" s="49">
        <v>-20</v>
      </c>
      <c r="AB43" s="49">
        <v>-26</v>
      </c>
      <c r="AC43" s="49">
        <v>-34</v>
      </c>
      <c r="AD43" s="49">
        <v>-39</v>
      </c>
      <c r="AE43" s="39" t="s">
        <v>42</v>
      </c>
      <c r="AF43" s="53">
        <f>$W$5+W43</f>
        <v>71.988690515830783</v>
      </c>
      <c r="AG43" s="53">
        <f t="shared" ref="AG43:AM43" si="8">$W$5+X43</f>
        <v>60.988690515830783</v>
      </c>
      <c r="AH43" s="53">
        <f t="shared" si="8"/>
        <v>53.988690515830783</v>
      </c>
      <c r="AI43" s="53">
        <f t="shared" si="8"/>
        <v>42.988690515830783</v>
      </c>
      <c r="AJ43" s="53">
        <f t="shared" si="8"/>
        <v>30.988690515830783</v>
      </c>
      <c r="AK43" s="53">
        <f t="shared" si="8"/>
        <v>24.988690515830783</v>
      </c>
      <c r="AL43" s="53">
        <f t="shared" si="8"/>
        <v>16.988690515830783</v>
      </c>
      <c r="AM43" s="53">
        <f t="shared" si="8"/>
        <v>11.988690515830783</v>
      </c>
      <c r="AN43" s="5">
        <f t="array" ref="AN43">10*LOG10(SUM(10^(AF43:AM43/10)))</f>
        <v>72.389348089252962</v>
      </c>
      <c r="AO43" s="5">
        <f t="array" ref="AO43">10*LOG10(SUM(10^((AF43:AM43+AF46:AM46)/10)))</f>
        <v>50.591765996255333</v>
      </c>
      <c r="AP43" t="str">
        <f>IF(ABS(W5-AO43)&lt;0.5,"OK","Tarkista laskenta!")</f>
        <v>OK</v>
      </c>
    </row>
    <row r="44" spans="21:42" x14ac:dyDescent="0.15">
      <c r="U44" s="14" t="s">
        <v>29</v>
      </c>
      <c r="V44" s="26"/>
      <c r="W44" s="49">
        <v>22</v>
      </c>
      <c r="X44" s="49">
        <v>7</v>
      </c>
      <c r="Y44" s="49">
        <v>-1</v>
      </c>
      <c r="Z44" s="49">
        <v>-4</v>
      </c>
      <c r="AA44" s="49">
        <v>-10</v>
      </c>
      <c r="AB44" s="49">
        <v>-12</v>
      </c>
      <c r="AC44" s="49">
        <v>-18</v>
      </c>
      <c r="AD44" s="49">
        <v>-28</v>
      </c>
      <c r="AE44" s="39" t="s">
        <v>43</v>
      </c>
      <c r="AF44" s="53">
        <f>$W$6+W44</f>
        <v>83.958525024740851</v>
      </c>
      <c r="AG44" s="53">
        <f t="shared" ref="AG44:AM44" si="9">$W$6+X44</f>
        <v>68.958525024740851</v>
      </c>
      <c r="AH44" s="53">
        <f t="shared" si="9"/>
        <v>60.958525024740858</v>
      </c>
      <c r="AI44" s="53">
        <f t="shared" si="9"/>
        <v>57.958525024740858</v>
      </c>
      <c r="AJ44" s="53">
        <f t="shared" si="9"/>
        <v>51.958525024740858</v>
      </c>
      <c r="AK44" s="53">
        <f t="shared" si="9"/>
        <v>49.958525024740858</v>
      </c>
      <c r="AL44" s="53">
        <f t="shared" si="9"/>
        <v>43.958525024740858</v>
      </c>
      <c r="AM44" s="53">
        <f t="shared" si="9"/>
        <v>33.958525024740858</v>
      </c>
      <c r="AN44" s="5">
        <f t="array" ref="AN44">10*LOG10(SUM(10^(AF44:AM44/10)))</f>
        <v>84.13005089297971</v>
      </c>
      <c r="AO44" s="5">
        <f t="array" ref="AO44">10*LOG10(SUM(10^((AF44:AM44+AF46:AM46)/10)))</f>
        <v>61.992136843222347</v>
      </c>
      <c r="AP44" t="str">
        <f>IF(ABS(W6-AO44)&lt;0.5,"OK","Tarkista laskenta!")</f>
        <v>OK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LINEST(Y59:Y66,X59:X66^{1,2})</f>
        <v>1.1019708129873754E-3</v>
      </c>
      <c r="Y51" s="54">
        <v>0.49949986878694219</v>
      </c>
      <c r="Z51" s="54">
        <v>48.565082007934905</v>
      </c>
    </row>
    <row r="52" spans="3:26" x14ac:dyDescent="0.15">
      <c r="W52" t="s">
        <v>114</v>
      </c>
      <c r="X52" s="54">
        <f t="array" ref="X52:Z52">LINEST(Y68:Y74,X68:X74^{1,2})</f>
        <v>3.3056674883169667E-3</v>
      </c>
      <c r="Y52" s="54">
        <v>0.10846434327603942</v>
      </c>
      <c r="Z52" s="54">
        <v>27.524763640110876</v>
      </c>
    </row>
    <row r="53" spans="3:26" x14ac:dyDescent="0.15">
      <c r="W53" t="s">
        <v>10</v>
      </c>
      <c r="X53" s="54">
        <f t="array" ref="X53:Z53">LINEST(Y76:Y82,X76:X82^{1,2})</f>
        <v>2.3976835076928613E-4</v>
      </c>
      <c r="Y53" s="54">
        <v>0.20093966601378838</v>
      </c>
      <c r="Z53" s="54">
        <v>12.266814967208909</v>
      </c>
    </row>
    <row r="54" spans="3:26" x14ac:dyDescent="0.15">
      <c r="W54" t="s">
        <v>12</v>
      </c>
      <c r="X54" s="54">
        <f t="array" ref="X54:Z54">LINEST(Y84:Y90,X84:X90^{1,2})</f>
        <v>-1.0064670513641066E-3</v>
      </c>
      <c r="Y54" s="54">
        <v>0.10696333911409533</v>
      </c>
      <c r="Z54" s="54">
        <v>4.8040972304055503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95.520909090909086</v>
      </c>
      <c r="E59" s="68">
        <v>60.180326897119542</v>
      </c>
      <c r="F59" s="69">
        <v>106.65063291523533</v>
      </c>
      <c r="H59" t="s">
        <v>4</v>
      </c>
      <c r="I59" t="s">
        <v>5</v>
      </c>
      <c r="K59" s="24"/>
      <c r="M59" s="10" t="s">
        <v>3</v>
      </c>
      <c r="N59" s="67">
        <v>95.407272727272726</v>
      </c>
      <c r="O59" s="68">
        <v>72.434028068386084</v>
      </c>
      <c r="P59" s="69">
        <v>106.19633938032837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95.520909090909086</v>
      </c>
      <c r="Y59" s="20">
        <f>F59</f>
        <v>106.65063291523533</v>
      </c>
    </row>
    <row r="60" spans="3:26" x14ac:dyDescent="0.15">
      <c r="C60" s="12"/>
      <c r="D60" s="67">
        <v>78.172727272727286</v>
      </c>
      <c r="E60" s="68">
        <v>61.456607403903462</v>
      </c>
      <c r="F60" s="69">
        <v>95.448490538974724</v>
      </c>
      <c r="H60" s="2">
        <f t="array" ref="H60:J60">LINEST(E59:E62,D59:D62^{1,2})</f>
        <v>-1.0982553884466228E-3</v>
      </c>
      <c r="I60" s="2">
        <v>0.10839165020177523</v>
      </c>
      <c r="J60" s="2">
        <v>59.803963206133574</v>
      </c>
      <c r="K60" s="24"/>
      <c r="M60" s="12"/>
      <c r="N60" s="67">
        <v>77.219090909090923</v>
      </c>
      <c r="O60" s="68">
        <v>73.081985525444978</v>
      </c>
      <c r="P60" s="69">
        <v>91.725088498374021</v>
      </c>
      <c r="R60" s="2">
        <f t="array" ref="R60:T60">LINEST(O59:O62,N59:N62^{1,2})</f>
        <v>-1.4051787516405751E-4</v>
      </c>
      <c r="S60" s="2">
        <v>-1.1427217610349823E-2</v>
      </c>
      <c r="T60" s="27">
        <v>74.80306630390146</v>
      </c>
      <c r="W60" s="12"/>
      <c r="X60" s="17">
        <f t="shared" ref="X60:X61" si="10">D60</f>
        <v>78.172727272727286</v>
      </c>
      <c r="Y60" s="13">
        <f>F60</f>
        <v>95.448490538974724</v>
      </c>
    </row>
    <row r="61" spans="3:26" x14ac:dyDescent="0.15">
      <c r="C61" s="12"/>
      <c r="D61" s="67">
        <v>56.99727272727273</v>
      </c>
      <c r="E61" s="68">
        <v>62.50621121454131</v>
      </c>
      <c r="F61" s="69">
        <v>80.537498818479889</v>
      </c>
      <c r="K61" s="24"/>
      <c r="M61" s="12"/>
      <c r="N61" s="67">
        <v>59.029999999999994</v>
      </c>
      <c r="O61" s="68">
        <v>73.639643529409511</v>
      </c>
      <c r="P61" s="69">
        <v>82.855372720521331</v>
      </c>
      <c r="T61" s="24"/>
      <c r="W61" s="12"/>
      <c r="X61" s="17">
        <f t="shared" si="10"/>
        <v>56.99727272727273</v>
      </c>
      <c r="Y61" s="13">
        <f>F61</f>
        <v>80.537498818479889</v>
      </c>
    </row>
    <row r="62" spans="3:26" x14ac:dyDescent="0.15">
      <c r="C62" s="14"/>
      <c r="D62" s="67">
        <v>32.736363636363635</v>
      </c>
      <c r="E62" s="68">
        <v>62.149005233465246</v>
      </c>
      <c r="F62" s="69">
        <v>66.133043858226713</v>
      </c>
      <c r="K62" s="24"/>
      <c r="M62" s="14"/>
      <c r="N62" s="67">
        <v>38.99818181818182</v>
      </c>
      <c r="O62" s="68">
        <v>74.143482700632447</v>
      </c>
      <c r="P62" s="69">
        <v>69.415027502984827</v>
      </c>
      <c r="T62" s="24"/>
      <c r="W62" s="12"/>
      <c r="X62" s="17">
        <f>D62</f>
        <v>32.736363636363635</v>
      </c>
      <c r="Y62" s="13">
        <f>F62</f>
        <v>66.133043858226713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N59</f>
        <v>95.407272727272726</v>
      </c>
      <c r="Y63" s="13">
        <f>P59</f>
        <v>106.19633938032837</v>
      </c>
    </row>
    <row r="64" spans="3:26" x14ac:dyDescent="0.15">
      <c r="C64" s="10" t="s">
        <v>114</v>
      </c>
      <c r="D64" s="67">
        <v>71.593636363636364</v>
      </c>
      <c r="E64" s="68">
        <v>55.838973854241011</v>
      </c>
      <c r="F64" s="69">
        <v>52.194949899355123</v>
      </c>
      <c r="H64" t="s">
        <v>4</v>
      </c>
      <c r="I64" t="s">
        <v>5</v>
      </c>
      <c r="K64" s="24"/>
      <c r="M64" s="10" t="s">
        <v>114</v>
      </c>
      <c r="N64" s="67">
        <v>71.99636363636364</v>
      </c>
      <c r="O64" s="68">
        <v>67.703973728550324</v>
      </c>
      <c r="P64" s="69">
        <v>52.536219188228884</v>
      </c>
      <c r="R64" t="s">
        <v>4</v>
      </c>
      <c r="S64" t="s">
        <v>5</v>
      </c>
      <c r="T64" s="24" t="s">
        <v>6</v>
      </c>
      <c r="W64" s="12"/>
      <c r="X64" s="17">
        <f>N60</f>
        <v>77.219090909090923</v>
      </c>
      <c r="Y64" s="13">
        <f>P60</f>
        <v>91.725088498374021</v>
      </c>
    </row>
    <row r="65" spans="3:25" x14ac:dyDescent="0.15">
      <c r="C65" s="12"/>
      <c r="D65" s="67">
        <v>58.130909090909093</v>
      </c>
      <c r="E65" s="68">
        <v>56.980393615773181</v>
      </c>
      <c r="F65" s="69">
        <v>45.464837323019012</v>
      </c>
      <c r="H65" s="2">
        <f t="array" ref="H65:J65">LINEST(E64:E67,D64:D67^{1,2})</f>
        <v>-1.4316881664672219E-3</v>
      </c>
      <c r="I65" s="2">
        <v>0.12588817640384847</v>
      </c>
      <c r="J65" s="2">
        <v>54.256704860852807</v>
      </c>
      <c r="K65" s="24"/>
      <c r="M65" s="12"/>
      <c r="N65" s="67">
        <v>56.690000000000012</v>
      </c>
      <c r="O65" s="68">
        <v>67.260898795552592</v>
      </c>
      <c r="P65" s="69">
        <v>43.668066011702436</v>
      </c>
      <c r="R65" s="2">
        <f t="array" ref="R65:T65">LINEST(O64:O67,N64:N67^{1,2})</f>
        <v>3.7721279960482786E-4</v>
      </c>
      <c r="S65" s="2">
        <v>-3.9883279660960939E-2</v>
      </c>
      <c r="T65" s="27">
        <v>68.550776105251828</v>
      </c>
      <c r="W65" s="12"/>
      <c r="X65" s="17">
        <f>N61</f>
        <v>59.029999999999994</v>
      </c>
      <c r="Y65" s="13">
        <f>P61</f>
        <v>82.855372720521331</v>
      </c>
    </row>
    <row r="66" spans="3:25" x14ac:dyDescent="0.15">
      <c r="C66" s="12"/>
      <c r="D66" s="67">
        <v>42.961818181818181</v>
      </c>
      <c r="E66" s="68">
        <v>56.813930556628023</v>
      </c>
      <c r="F66" s="69">
        <v>38.699649580468403</v>
      </c>
      <c r="K66" s="24"/>
      <c r="M66" s="12"/>
      <c r="N66" s="67">
        <v>44.324545454545458</v>
      </c>
      <c r="O66" s="68">
        <v>67.765318576720148</v>
      </c>
      <c r="P66" s="69">
        <v>38.977527480776331</v>
      </c>
      <c r="T66" s="24"/>
      <c r="W66" s="14"/>
      <c r="X66" s="18">
        <f>N62</f>
        <v>38.99818181818182</v>
      </c>
      <c r="Y66" s="15">
        <f>P62</f>
        <v>69.415027502984827</v>
      </c>
    </row>
    <row r="67" spans="3:25" x14ac:dyDescent="0.15">
      <c r="C67" s="14"/>
      <c r="D67" s="67">
        <v>24.492727272727276</v>
      </c>
      <c r="E67" s="68">
        <v>56.538389487610488</v>
      </c>
      <c r="F67" s="69">
        <v>32.090640557202242</v>
      </c>
      <c r="K67" s="24"/>
      <c r="M67" s="14"/>
      <c r="N67" s="67">
        <v>29.030909090909088</v>
      </c>
      <c r="O67" s="68">
        <v>67.64137602780049</v>
      </c>
      <c r="P67" s="69">
        <v>33.518757421823459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0" t="s">
        <v>114</v>
      </c>
      <c r="X68" s="19">
        <f>D64</f>
        <v>71.593636363636364</v>
      </c>
      <c r="Y68" s="20">
        <f>F64</f>
        <v>52.194949899355123</v>
      </c>
    </row>
    <row r="69" spans="3:25" x14ac:dyDescent="0.15">
      <c r="C69" s="10" t="s">
        <v>10</v>
      </c>
      <c r="D69" s="67">
        <v>48.453636363636363</v>
      </c>
      <c r="E69" s="68">
        <v>49.799365980303392</v>
      </c>
      <c r="F69" s="69">
        <v>22.084999954212599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49.231818181818191</v>
      </c>
      <c r="O69" s="68">
        <v>60.990690037945541</v>
      </c>
      <c r="P69" s="69">
        <v>23.249163831892666</v>
      </c>
      <c r="R69" t="s">
        <v>4</v>
      </c>
      <c r="S69" t="s">
        <v>5</v>
      </c>
      <c r="T69" s="24" t="s">
        <v>6</v>
      </c>
      <c r="W69" s="12"/>
      <c r="X69" s="17">
        <f t="shared" ref="X69" si="11">D65</f>
        <v>58.130909090909093</v>
      </c>
      <c r="Y69" s="13">
        <f t="shared" ref="Y69" si="12">F65</f>
        <v>45.464837323019012</v>
      </c>
    </row>
    <row r="70" spans="3:25" x14ac:dyDescent="0.15">
      <c r="C70" s="12"/>
      <c r="D70" s="67">
        <v>39.006666666666668</v>
      </c>
      <c r="E70" s="68">
        <v>50.541339372801886</v>
      </c>
      <c r="F70" s="69">
        <v>20.340828016323975</v>
      </c>
      <c r="H70" s="2">
        <f t="array" ref="H70:J70">LINEST(E69:E72,D69:D72^{1,2})</f>
        <v>-2.4813072563783746E-3</v>
      </c>
      <c r="I70" s="2">
        <v>0.16747253449120214</v>
      </c>
      <c r="J70" s="2">
        <v>47.582510122952144</v>
      </c>
      <c r="K70" s="24"/>
      <c r="M70" s="12"/>
      <c r="N70" s="67">
        <v>40.072727272727271</v>
      </c>
      <c r="O70" s="68">
        <v>60.942920884584417</v>
      </c>
      <c r="P70" s="69">
        <v>20.640400917798857</v>
      </c>
      <c r="R70" s="2">
        <f t="array" ref="R70:T70">LINEST(O69:O72,N69:N72^{1,2})</f>
        <v>-2.0466834695403832E-3</v>
      </c>
      <c r="S70" s="2">
        <v>0.16670571124716313</v>
      </c>
      <c r="T70" s="27">
        <v>57.693855608320867</v>
      </c>
      <c r="W70" s="12"/>
      <c r="X70" s="17">
        <f>D67</f>
        <v>24.492727272727276</v>
      </c>
      <c r="Y70" s="13">
        <f>F67</f>
        <v>32.090640557202242</v>
      </c>
    </row>
    <row r="71" spans="3:25" x14ac:dyDescent="0.15">
      <c r="C71" s="12"/>
      <c r="D71" s="67">
        <v>29.039090909090906</v>
      </c>
      <c r="E71" s="68">
        <v>50.173067772041257</v>
      </c>
      <c r="F71" s="69">
        <v>17.742840503077311</v>
      </c>
      <c r="K71" s="24"/>
      <c r="M71" s="12"/>
      <c r="N71" s="67">
        <v>30.720000000000002</v>
      </c>
      <c r="O71" s="68">
        <v>61.016773499151313</v>
      </c>
      <c r="P71" s="69">
        <v>18.90122564173631</v>
      </c>
      <c r="T71" s="24"/>
      <c r="W71" s="12"/>
      <c r="X71" s="17">
        <f>N64</f>
        <v>71.99636363636364</v>
      </c>
      <c r="Y71" s="13">
        <f>P64</f>
        <v>52.536219188228884</v>
      </c>
    </row>
    <row r="72" spans="3:25" x14ac:dyDescent="0.15">
      <c r="C72" s="14"/>
      <c r="D72" s="67">
        <v>17.136363636363637</v>
      </c>
      <c r="E72" s="68">
        <v>49.774669272965056</v>
      </c>
      <c r="F72" s="69">
        <v>15.776092335456077</v>
      </c>
      <c r="K72" s="24"/>
      <c r="M72" s="14"/>
      <c r="N72" s="67">
        <v>19.857272727272729</v>
      </c>
      <c r="O72" s="68">
        <v>60.158306495107098</v>
      </c>
      <c r="P72" s="69">
        <v>16.28554460898053</v>
      </c>
      <c r="T72" s="24"/>
      <c r="W72" s="12"/>
      <c r="X72" s="17">
        <f>N65</f>
        <v>56.690000000000012</v>
      </c>
      <c r="Y72" s="13">
        <f>P65</f>
        <v>43.668066011702436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44.324545454545458</v>
      </c>
      <c r="Y73" s="13">
        <f>P66</f>
        <v>38.977527480776331</v>
      </c>
    </row>
    <row r="74" spans="3:25" x14ac:dyDescent="0.15">
      <c r="C74" s="10" t="s">
        <v>12</v>
      </c>
      <c r="D74" s="67">
        <v>21.903636363636362</v>
      </c>
      <c r="E74" s="68">
        <v>38.632326393106936</v>
      </c>
      <c r="F74" s="69">
        <v>6.6132263513281977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21.793636363636359</v>
      </c>
      <c r="O74" s="68">
        <v>49.813501297965026</v>
      </c>
      <c r="P74" s="69">
        <v>6.6531657966354825</v>
      </c>
      <c r="R74" t="s">
        <v>4</v>
      </c>
      <c r="S74" t="s">
        <v>5</v>
      </c>
      <c r="T74" s="24" t="s">
        <v>6</v>
      </c>
      <c r="W74" s="14"/>
      <c r="X74" s="18">
        <f>N67</f>
        <v>29.030909090909088</v>
      </c>
      <c r="Y74" s="15">
        <f>P67</f>
        <v>33.518757421823459</v>
      </c>
    </row>
    <row r="75" spans="3:25" x14ac:dyDescent="0.15">
      <c r="C75" s="12"/>
      <c r="D75" s="67">
        <v>19.979090909090907</v>
      </c>
      <c r="E75" s="68">
        <v>39.344215844681003</v>
      </c>
      <c r="F75" s="69">
        <v>6.6144485250853018</v>
      </c>
      <c r="H75" s="2">
        <f t="array" ref="H75:J75">LINEST(E74:E77,D74:D77^{1,2})</f>
        <v>4.6809357438497299E-3</v>
      </c>
      <c r="I75" s="2">
        <v>-4.4231079421311992E-2</v>
      </c>
      <c r="J75" s="2">
        <v>37.745177683454479</v>
      </c>
      <c r="K75" s="24"/>
      <c r="M75" s="12"/>
      <c r="N75" s="67">
        <v>19.188181818181821</v>
      </c>
      <c r="O75" s="68">
        <v>50.04941091899903</v>
      </c>
      <c r="P75" s="69">
        <v>6.4972963143468565</v>
      </c>
      <c r="R75" s="2">
        <f t="array" ref="R75:T75">LINEST(O74:O77,N74:N77^{1,2})</f>
        <v>-1.5284862940544696E-2</v>
      </c>
      <c r="S75" s="2">
        <v>0.61031421618680159</v>
      </c>
      <c r="T75" s="27">
        <v>43.835360354905617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14.368181818181819</v>
      </c>
      <c r="E76" s="68">
        <v>37.758734004584319</v>
      </c>
      <c r="F76" s="69">
        <v>6.0285714153053958</v>
      </c>
      <c r="K76" s="24"/>
      <c r="M76" s="12"/>
      <c r="N76" s="67">
        <v>15.046363636363639</v>
      </c>
      <c r="O76" s="68">
        <v>49.468484079007489</v>
      </c>
      <c r="P76" s="69">
        <v>6.237904494197366</v>
      </c>
      <c r="T76" s="24"/>
      <c r="W76" s="10" t="s">
        <v>10</v>
      </c>
      <c r="X76" s="19">
        <f>D69</f>
        <v>48.453636363636363</v>
      </c>
      <c r="Y76" s="20">
        <f>F69</f>
        <v>22.084999954212599</v>
      </c>
    </row>
    <row r="77" spans="3:25" x14ac:dyDescent="0.15">
      <c r="C77" s="14"/>
      <c r="D77" s="67">
        <v>8.8800000000000008</v>
      </c>
      <c r="E77" s="68">
        <v>37.81432117265679</v>
      </c>
      <c r="F77" s="69">
        <v>5.783268035632072</v>
      </c>
      <c r="G77" s="25"/>
      <c r="H77" s="25"/>
      <c r="I77" s="25"/>
      <c r="J77" s="25"/>
      <c r="K77" s="26"/>
      <c r="M77" s="14"/>
      <c r="N77" s="67">
        <v>9.67090909090909</v>
      </c>
      <c r="O77" s="68">
        <v>48.329792466244619</v>
      </c>
      <c r="P77" s="69">
        <v>5.7652596451523648</v>
      </c>
      <c r="Q77" s="25"/>
      <c r="R77" s="25"/>
      <c r="S77" s="25"/>
      <c r="T77" s="26"/>
      <c r="W77" s="12"/>
      <c r="X77" s="17">
        <f t="shared" ref="X77" si="13">D70</f>
        <v>39.006666666666668</v>
      </c>
      <c r="Y77" s="13">
        <f>F70</f>
        <v>20.340828016323975</v>
      </c>
    </row>
    <row r="78" spans="3:25" x14ac:dyDescent="0.15">
      <c r="W78" s="12"/>
      <c r="X78" s="17">
        <f>D72</f>
        <v>17.136363636363637</v>
      </c>
      <c r="Y78" s="13">
        <f>F72</f>
        <v>15.776092335456077</v>
      </c>
    </row>
    <row r="79" spans="3:25" x14ac:dyDescent="0.15">
      <c r="F79" s="5"/>
      <c r="W79" s="12"/>
      <c r="X79" s="17">
        <f>N69</f>
        <v>49.231818181818191</v>
      </c>
      <c r="Y79" s="13">
        <f>P69</f>
        <v>23.249163831892666</v>
      </c>
    </row>
    <row r="80" spans="3:25" x14ac:dyDescent="0.15">
      <c r="F80" s="5"/>
      <c r="W80" s="12"/>
      <c r="X80" s="17">
        <f>N70</f>
        <v>40.072727272727271</v>
      </c>
      <c r="Y80" s="13">
        <f>P70</f>
        <v>20.640400917798857</v>
      </c>
    </row>
    <row r="81" spans="6:25" x14ac:dyDescent="0.15">
      <c r="F81" s="5"/>
      <c r="W81" s="12"/>
      <c r="X81" s="17">
        <f>N71</f>
        <v>30.720000000000002</v>
      </c>
      <c r="Y81" s="13">
        <f>P71</f>
        <v>18.90122564173631</v>
      </c>
    </row>
    <row r="82" spans="6:25" x14ac:dyDescent="0.15">
      <c r="F82" s="5"/>
      <c r="W82" s="14"/>
      <c r="X82" s="18">
        <f>N72</f>
        <v>19.857272727272729</v>
      </c>
      <c r="Y82" s="15">
        <f>P72</f>
        <v>16.28554460898053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21.903636363636362</v>
      </c>
      <c r="Y84" s="20">
        <f>F74</f>
        <v>6.6132263513281977</v>
      </c>
    </row>
    <row r="85" spans="6:25" x14ac:dyDescent="0.15">
      <c r="W85" s="12"/>
      <c r="X85" s="17">
        <f t="shared" ref="X85:X86" si="14">D75</f>
        <v>19.979090909090907</v>
      </c>
      <c r="Y85" s="13">
        <f>F75</f>
        <v>6.6144485250853018</v>
      </c>
    </row>
    <row r="86" spans="6:25" x14ac:dyDescent="0.15">
      <c r="W86" s="12"/>
      <c r="X86" s="17">
        <f t="shared" si="14"/>
        <v>14.368181818181819</v>
      </c>
      <c r="Y86" s="13">
        <f>F76</f>
        <v>6.0285714153053958</v>
      </c>
    </row>
    <row r="87" spans="6:25" x14ac:dyDescent="0.15">
      <c r="F87" s="5"/>
      <c r="W87" s="12"/>
      <c r="X87" s="17">
        <f>N74</f>
        <v>21.793636363636359</v>
      </c>
      <c r="Y87" s="13">
        <f>P74</f>
        <v>6.6531657966354825</v>
      </c>
    </row>
    <row r="88" spans="6:25" x14ac:dyDescent="0.15">
      <c r="F88" s="5"/>
      <c r="W88" s="12"/>
      <c r="X88" s="17">
        <f t="shared" ref="X88:X90" si="15">N75</f>
        <v>19.188181818181821</v>
      </c>
      <c r="Y88" s="13">
        <f>P75</f>
        <v>6.4972963143468565</v>
      </c>
    </row>
    <row r="89" spans="6:25" x14ac:dyDescent="0.15">
      <c r="F89" s="5"/>
      <c r="W89" s="12"/>
      <c r="X89" s="17">
        <f t="shared" si="15"/>
        <v>15.046363636363639</v>
      </c>
      <c r="Y89" s="13">
        <f>P76</f>
        <v>6.237904494197366</v>
      </c>
    </row>
    <row r="90" spans="6:25" x14ac:dyDescent="0.15">
      <c r="F90" s="5"/>
      <c r="W90" s="14"/>
      <c r="X90" s="18">
        <f t="shared" si="15"/>
        <v>9.67090909090909</v>
      </c>
      <c r="Y90" s="15">
        <f>P77</f>
        <v>5.7652596451523648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9C9DC-C5F4-402F-9AA4-27049E4C1AF0}">
  <dimension ref="C2:AP99"/>
  <sheetViews>
    <sheetView zoomScale="85" zoomScaleNormal="85" workbookViewId="0">
      <selection activeCell="R20" sqref="R20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 ENT'!$G$33</f>
        <v>34.722222222222221</v>
      </c>
      <c r="K3" t="s">
        <v>13</v>
      </c>
      <c r="L3" s="7">
        <f>'R-series ENT'!$G$39</f>
        <v>90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19.338518299486154</v>
      </c>
      <c r="Q5" s="52">
        <v>-19.214096900376369</v>
      </c>
      <c r="R5" t="s">
        <v>28</v>
      </c>
      <c r="T5" s="4"/>
      <c r="U5" s="39" t="s">
        <v>43</v>
      </c>
      <c r="V5" t="s">
        <v>8</v>
      </c>
      <c r="W5" s="9">
        <f>$P$5*LN($J$3)+$Q$5</f>
        <v>49.386974053205257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18.503464313062896</v>
      </c>
      <c r="Q6" s="52">
        <v>-3.5077077774234766</v>
      </c>
      <c r="R6" t="s">
        <v>7</v>
      </c>
      <c r="T6" s="4"/>
      <c r="U6" s="39" t="s">
        <v>43</v>
      </c>
      <c r="V6" t="s">
        <v>57</v>
      </c>
      <c r="W6" s="9">
        <f>$P$6*LN($J$3)+$Q$6</f>
        <v>62.131109456119262</v>
      </c>
      <c r="X6" t="s">
        <v>31</v>
      </c>
      <c r="AA6" s="55">
        <v>25</v>
      </c>
      <c r="AB6" s="56">
        <f t="shared" ref="AB6:AB12" si="0">(-$D$9-SQRT($D$9^2-(4*$C$9*($E$9-AA6))))/(2*$C$9)</f>
        <v>115.67880715777122</v>
      </c>
      <c r="AC6" s="55">
        <v>20</v>
      </c>
      <c r="AD6" s="57">
        <f t="shared" ref="AD6:AD12" si="1">(-$D$14-SQRT($D$14^2-(4*$C$14*($E$14-AC6))))/(2*$C$14)</f>
        <v>91.988373586551461</v>
      </c>
      <c r="AE6" s="55">
        <v>15</v>
      </c>
      <c r="AF6" s="57">
        <f t="shared" ref="AF6:AF11" si="2">(-$D$19-SQRT($D$19^2-(4*$C$19*($E$19-AE6))))/(2*$C$19)</f>
        <v>63.494874015749062</v>
      </c>
      <c r="AG6" s="56">
        <v>10</v>
      </c>
      <c r="AH6" s="57">
        <f>(-$D$24-SQRT($D$24^2-(4*$C$24*($E$24-AG6))))/(2*$C$24)</f>
        <v>29.670491870313402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103.49402125954791</v>
      </c>
      <c r="AC7" s="55">
        <v>50</v>
      </c>
      <c r="AD7" s="57">
        <f t="shared" si="1"/>
        <v>86.286536155517794</v>
      </c>
      <c r="AE7" s="55">
        <v>40</v>
      </c>
      <c r="AF7" s="57">
        <f t="shared" si="2"/>
        <v>56.973770904089747</v>
      </c>
      <c r="AG7" s="56">
        <v>20</v>
      </c>
      <c r="AH7" s="57">
        <f>(-$D$24-SQRT($D$24^2-(4*$C$24*($E$24-AG7))))/(2*$C$24)</f>
        <v>22.578901953211147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93.392194792281046</v>
      </c>
      <c r="AC8" s="55">
        <v>100</v>
      </c>
      <c r="AD8" s="57">
        <f t="shared" si="1"/>
        <v>75.900637350102883</v>
      </c>
      <c r="AE8" s="55">
        <v>60</v>
      </c>
      <c r="AF8" s="57">
        <f t="shared" si="2"/>
        <v>51.145153604780376</v>
      </c>
      <c r="AG8" s="56">
        <v>30</v>
      </c>
      <c r="AH8" s="57">
        <f>(-$D$24-SQRT($D$24^2-(4*$C$24*($E$24-AG8))))/(2*$C$24)</f>
        <v>16.488965411522997</v>
      </c>
    </row>
    <row r="9" spans="3:34" x14ac:dyDescent="0.15">
      <c r="C9" s="8">
        <v>-3.8909821266423048E-2</v>
      </c>
      <c r="D9" s="8">
        <v>0.73136751553427193</v>
      </c>
      <c r="E9" s="8">
        <v>461.07141428430361</v>
      </c>
      <c r="H9" s="2"/>
      <c r="P9" t="s">
        <v>23</v>
      </c>
      <c r="Q9" s="52">
        <f t="array" ref="Q9:R9">LINEST(AC35:AC37,U35:U37)</f>
        <v>9.2390979241031932</v>
      </c>
      <c r="R9" s="52">
        <v>-9.1629117498565194</v>
      </c>
      <c r="U9" s="39" t="s">
        <v>42</v>
      </c>
      <c r="V9" t="s">
        <v>44</v>
      </c>
      <c r="W9" s="9">
        <f>IF($J$3&gt;$AJ$35,($J$3-$R$10)/$Q$10,($J$3-$R$9)/$Q$9)</f>
        <v>4.7499370969529489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83.647531933078071</v>
      </c>
      <c r="AC9" s="55">
        <v>150</v>
      </c>
      <c r="AD9" s="57">
        <f t="shared" si="1"/>
        <v>63.979035472792781</v>
      </c>
      <c r="AE9" s="55">
        <v>80</v>
      </c>
      <c r="AF9" s="57">
        <f t="shared" si="2"/>
        <v>44.536021272153903</v>
      </c>
      <c r="AG9" s="56">
        <v>35</v>
      </c>
      <c r="AH9" s="57">
        <f>(-$D$24-SQRT($D$24^2-(4*$C$24*($E$24-AG9))))/(2*$C$24)</f>
        <v>13.708304384736721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LINEST(AJ34:AJ35,AI34:AI35)</f>
        <v>2.7562860600789971</v>
      </c>
      <c r="R10" s="52">
        <v>39.458177230324949</v>
      </c>
      <c r="W10" t="b">
        <f>IF(AND(W9&lt;=10.01,'R-series ENT'!G33&gt;=W11),TRUE,FALSE)</f>
        <v>1</v>
      </c>
      <c r="AA10" s="55">
        <v>320</v>
      </c>
      <c r="AB10" s="56">
        <f t="shared" si="0"/>
        <v>70.340226812771604</v>
      </c>
      <c r="AC10" s="55">
        <v>170</v>
      </c>
      <c r="AD10" s="57">
        <f t="shared" si="1"/>
        <v>58.592403493552204</v>
      </c>
      <c r="AE10" s="55">
        <v>100</v>
      </c>
      <c r="AF10" s="57">
        <f t="shared" si="2"/>
        <v>36.710790610696051</v>
      </c>
      <c r="AG10" s="56">
        <v>40</v>
      </c>
      <c r="AH10" s="57">
        <f>(-$D$24-SQRT($D$24^2-(4*$C$24*($E$24-AG10))))/(2*$C$24)</f>
        <v>11.06772203702376</v>
      </c>
    </row>
    <row r="11" spans="3:34" x14ac:dyDescent="0.15">
      <c r="C11" s="2" t="s">
        <v>113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53.15774384679068</v>
      </c>
      <c r="AC11" s="55">
        <v>190</v>
      </c>
      <c r="AD11" s="57">
        <f t="shared" si="1"/>
        <v>52.709351379206979</v>
      </c>
      <c r="AE11" s="55">
        <v>125</v>
      </c>
      <c r="AF11" s="57">
        <f t="shared" si="2"/>
        <v>23.297949159489587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425</v>
      </c>
      <c r="AB12" s="59">
        <f t="shared" si="0"/>
        <v>41.2632427578814</v>
      </c>
      <c r="AC12" s="58">
        <v>245</v>
      </c>
      <c r="AD12" s="60">
        <f t="shared" si="1"/>
        <v>32.044849239800861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3.0442189048109941E-2</v>
      </c>
      <c r="Q13" s="51">
        <v>-0.91806828416451514</v>
      </c>
      <c r="R13" s="51">
        <v>13.10957387667159</v>
      </c>
      <c r="U13" s="39" t="s">
        <v>43</v>
      </c>
      <c r="V13" t="s">
        <v>44</v>
      </c>
      <c r="W13" s="9">
        <f>$P$13*J3^2+$Q$13*J3+$R$13</f>
        <v>17.934301963298594</v>
      </c>
      <c r="X13" t="s">
        <v>49</v>
      </c>
    </row>
    <row r="14" spans="3:34" x14ac:dyDescent="0.15">
      <c r="C14" s="8">
        <v>-2.7800182131953462E-2</v>
      </c>
      <c r="D14" s="8">
        <v>-0.30538686886773114</v>
      </c>
      <c r="E14" s="8">
        <v>283.33331488483418</v>
      </c>
      <c r="H14" s="2"/>
      <c r="V14" t="s">
        <v>52</v>
      </c>
      <c r="W14" s="3">
        <f>IF(W13&gt;118,118,W13)</f>
        <v>17.934301963298594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60_ENT'!W14</f>
        <v>18.17041705048598</v>
      </c>
    </row>
    <row r="17" spans="3:38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8" x14ac:dyDescent="0.15">
      <c r="C18" t="s">
        <v>4</v>
      </c>
      <c r="D18" t="s">
        <v>5</v>
      </c>
      <c r="E18" t="s">
        <v>6</v>
      </c>
      <c r="H18" s="1"/>
    </row>
    <row r="19" spans="3:38" x14ac:dyDescent="0.15">
      <c r="C19" s="8">
        <v>-3.2580629334682858E-2</v>
      </c>
      <c r="D19" s="8">
        <v>9.1237059087708919E-2</v>
      </c>
      <c r="E19" s="8">
        <v>140.55894792882015</v>
      </c>
      <c r="V19" s="74" t="s">
        <v>74</v>
      </c>
      <c r="W19" s="77">
        <f>W13+W16+W17</f>
        <v>39.104719013784575</v>
      </c>
      <c r="X19" s="75" t="s">
        <v>49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V21" t="s">
        <v>78</v>
      </c>
      <c r="W21">
        <f>MAX(J3,'Laskenta poistopuoli 60_ENT'!J3)</f>
        <v>34.722222222222221</v>
      </c>
      <c r="X21" t="s">
        <v>13</v>
      </c>
      <c r="AB21" s="6"/>
      <c r="AC21" s="6"/>
    </row>
    <row r="22" spans="3:38" ht="15" x14ac:dyDescent="0.15">
      <c r="C22" t="s">
        <v>11</v>
      </c>
      <c r="D22" s="1"/>
      <c r="E22" s="1"/>
      <c r="H22" s="1"/>
      <c r="V22" t="s">
        <v>75</v>
      </c>
      <c r="W22">
        <f>W19/W21</f>
        <v>1.1262159075969957</v>
      </c>
      <c r="X22" t="s">
        <v>77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1.7595247173049694E-2</v>
      </c>
      <c r="D24" s="8">
        <v>-2.3294620179338841</v>
      </c>
      <c r="E24" s="8">
        <v>63.626517614156882</v>
      </c>
      <c r="H24" s="1"/>
    </row>
    <row r="25" spans="3:38" x14ac:dyDescent="0.15">
      <c r="E25" s="2"/>
      <c r="F25" s="2"/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7.4649599999999997E-2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</row>
    <row r="34" spans="21:42" x14ac:dyDescent="0.15">
      <c r="U34" s="35">
        <v>10</v>
      </c>
      <c r="V34" s="98">
        <f>C9</f>
        <v>-3.8909821266423048E-2</v>
      </c>
      <c r="W34" s="99">
        <f>D9</f>
        <v>0.73136751553427193</v>
      </c>
      <c r="X34" s="100">
        <f>E9</f>
        <v>461.07141428430361</v>
      </c>
      <c r="Y34" s="36">
        <f>C9-U29</f>
        <v>-0.11355942126642304</v>
      </c>
      <c r="Z34" s="28">
        <f>(-W34+SQRT(W34^2-(4*Y34*X34)))/(2*Y34)</f>
        <v>-60.580642949052233</v>
      </c>
      <c r="AA34" s="29">
        <f>(-W34-SQRT(W34^2-(4*Y34*X34)))/(2*Y34)</f>
        <v>67.021037831114924</v>
      </c>
      <c r="AB34" s="36">
        <f>AB6</f>
        <v>115.67880715777122</v>
      </c>
      <c r="AC34" s="53">
        <f>IF(Z34&lt;0,AA34,IF(Z34&gt;AB34,AA34,Z34))</f>
        <v>67.021037831114924</v>
      </c>
      <c r="AD34" s="53">
        <f>V34*AC34^2+W34*AC34+X34</f>
        <v>335.31252983998957</v>
      </c>
      <c r="AE34" s="53">
        <f>X51*AC34^2+Y51*AC34+Z51</f>
        <v>88.497252392673403</v>
      </c>
      <c r="AF34" s="53">
        <f>$H$60*AC34^2+$I$60*AC34+$J$60</f>
        <v>62.644005047994796</v>
      </c>
      <c r="AG34" s="53">
        <f>$R$60*AC34^2+$S$60*AC34+$T$60</f>
        <v>74.491984111439152</v>
      </c>
      <c r="AI34">
        <v>10</v>
      </c>
      <c r="AJ34" s="3">
        <f>AC34</f>
        <v>67.021037831114924</v>
      </c>
      <c r="AL34" s="616">
        <f>AC34/$J$3-1</f>
        <v>0.93020588953610983</v>
      </c>
      <c r="AO34" s="278" t="b">
        <f>IF(AL36&gt;AC34,FALSE,TRUE)</f>
        <v>1</v>
      </c>
      <c r="AP34" t="s">
        <v>1117</v>
      </c>
    </row>
    <row r="35" spans="21:42" x14ac:dyDescent="0.15">
      <c r="U35" s="35">
        <v>6.5</v>
      </c>
      <c r="V35" s="98">
        <f>C14</f>
        <v>-2.7800182131953462E-2</v>
      </c>
      <c r="W35" s="99">
        <f>D14</f>
        <v>-0.30538686886773114</v>
      </c>
      <c r="X35" s="100">
        <f>E14</f>
        <v>283.33331488483418</v>
      </c>
      <c r="Y35" s="36">
        <f>C14-U29</f>
        <v>-0.10244978213195347</v>
      </c>
      <c r="Z35" s="28">
        <f t="shared" ref="Z35:Z37" si="3">(-W35+SQRT(W35^2-(4*Y35*X35)))/(2*Y35)</f>
        <v>-54.100343019185445</v>
      </c>
      <c r="AA35" s="29">
        <f t="shared" ref="AA35:AA37" si="4">(-W35-SQRT(W35^2-(4*Y35*X35)))/(2*Y35)</f>
        <v>51.119498526276722</v>
      </c>
      <c r="AB35" s="36">
        <f>AD6</f>
        <v>91.988373586551461</v>
      </c>
      <c r="AC35" s="53">
        <f t="shared" ref="AC35:AC37" si="5">IF(Z35&lt;0,AA35,IF(Z35&gt;AB35,AA35,Z35))</f>
        <v>51.119498526276722</v>
      </c>
      <c r="AD35" s="53">
        <f>V35*AC35^2+W35*AC35+X35</f>
        <v>195.07456834174653</v>
      </c>
      <c r="AE35" s="53">
        <f t="shared" ref="AE35:AE37" si="6">X52*AC35^2+Y52*AC35+Z52</f>
        <v>45.177242314137828</v>
      </c>
      <c r="AF35" s="53">
        <f>$H$65*AC35^2+$I$65*AC35+$J$65</f>
        <v>56.639364925438649</v>
      </c>
      <c r="AG35" s="53">
        <f>$R$65*AC35^2+$S$65*AC35+$T$65</f>
        <v>69.167460992575258</v>
      </c>
      <c r="AI35">
        <v>7.5</v>
      </c>
      <c r="AJ35" s="3">
        <f>Q9*AI35+R9</f>
        <v>60.13032268091743</v>
      </c>
      <c r="AL35" t="s">
        <v>1114</v>
      </c>
      <c r="AO35" t="s">
        <v>1116</v>
      </c>
    </row>
    <row r="36" spans="21:42" x14ac:dyDescent="0.15">
      <c r="U36" s="35">
        <v>5</v>
      </c>
      <c r="V36" s="98">
        <f>C19</f>
        <v>-3.2580629334682858E-2</v>
      </c>
      <c r="W36" s="99">
        <f>D19</f>
        <v>9.1237059087708919E-2</v>
      </c>
      <c r="X36" s="100">
        <f>E19</f>
        <v>140.55894792882015</v>
      </c>
      <c r="Y36" s="36">
        <f>C19-U29</f>
        <v>-0.10723022933468285</v>
      </c>
      <c r="Z36" s="28">
        <f t="shared" si="3"/>
        <v>-35.78224673681737</v>
      </c>
      <c r="AA36" s="29">
        <f t="shared" si="4"/>
        <v>36.633098774100091</v>
      </c>
      <c r="AB36" s="36">
        <f>AF6</f>
        <v>63.494874015749062</v>
      </c>
      <c r="AC36" s="53">
        <f t="shared" si="5"/>
        <v>36.633098774100091</v>
      </c>
      <c r="AD36" s="53">
        <f>V36*AC36^2+W36*AC36+X36</f>
        <v>100.17856326687517</v>
      </c>
      <c r="AE36" s="53">
        <f t="shared" si="6"/>
        <v>20.854062898587856</v>
      </c>
      <c r="AF36" s="53">
        <f>$H$70*AC36^2+$I$70*AC36+$J$70</f>
        <v>49.738275987667514</v>
      </c>
      <c r="AG36" s="53">
        <f>$R$70*AC36^2+$S$70*AC36+$T$70</f>
        <v>62.936979150699045</v>
      </c>
      <c r="AI36">
        <v>6.5</v>
      </c>
      <c r="AJ36" s="3">
        <f>AC35</f>
        <v>51.119498526276722</v>
      </c>
      <c r="AL36" s="609">
        <f>Tulokset_ENT!$CS$16</f>
        <v>41.666666666666664</v>
      </c>
      <c r="AM36" t="s">
        <v>13</v>
      </c>
      <c r="AO36" s="617">
        <f>IF($AL$36&gt;$AJ$35,($AL$36-$R$10)/$Q$10,($AL$36-$R$9)/$Q$9)</f>
        <v>5.5015737287422501</v>
      </c>
      <c r="AP36" t="s">
        <v>25</v>
      </c>
    </row>
    <row r="37" spans="21:42" x14ac:dyDescent="0.15">
      <c r="U37" s="38">
        <v>3</v>
      </c>
      <c r="V37" s="101">
        <f>C24</f>
        <v>1.7595247173049694E-2</v>
      </c>
      <c r="W37" s="102">
        <f>D24</f>
        <v>-2.3294620179338841</v>
      </c>
      <c r="X37" s="103">
        <f>E24</f>
        <v>63.626517614156882</v>
      </c>
      <c r="Y37" s="37">
        <f>C24-U29</f>
        <v>-5.7054352826950303E-2</v>
      </c>
      <c r="Z37" s="30">
        <f t="shared" si="3"/>
        <v>-59.554409385255049</v>
      </c>
      <c r="AA37" s="31">
        <f t="shared" si="4"/>
        <v>18.725587349549915</v>
      </c>
      <c r="AB37" s="37">
        <f>AH6</f>
        <v>29.670491870313402</v>
      </c>
      <c r="AC37" s="53">
        <f t="shared" si="5"/>
        <v>18.725587349549915</v>
      </c>
      <c r="AD37" s="53">
        <f>V37*AC37^2+W37*AC37+X37</f>
        <v>26.17570469231817</v>
      </c>
      <c r="AE37" s="53">
        <f t="shared" si="6"/>
        <v>6.4454564131275482</v>
      </c>
      <c r="AF37" s="53">
        <f>$H$75*AC37^2+$I$75*AC37+$J$75</f>
        <v>37.818332224258718</v>
      </c>
      <c r="AG37" s="53">
        <f>$R$75*AC37^2+$S$75*AC37+$T$75</f>
        <v>50.818855386610061</v>
      </c>
      <c r="AI37">
        <v>5</v>
      </c>
      <c r="AJ37" s="3">
        <f t="shared" ref="AJ37:AJ38" si="7">AC36</f>
        <v>36.633098774100091</v>
      </c>
      <c r="AL37" s="609">
        <f>Tulokset_ENT!$CS$17</f>
        <v>129.59999999999997</v>
      </c>
      <c r="AM37" t="s">
        <v>14</v>
      </c>
    </row>
    <row r="38" spans="21:42" x14ac:dyDescent="0.15">
      <c r="AI38">
        <v>3</v>
      </c>
      <c r="AJ38" s="3">
        <f t="shared" si="7"/>
        <v>18.725587349549915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55</v>
      </c>
      <c r="V43" s="21"/>
      <c r="W43" s="49">
        <v>19</v>
      </c>
      <c r="X43" s="49">
        <v>10</v>
      </c>
      <c r="Y43" s="49">
        <v>3</v>
      </c>
      <c r="Z43" s="49">
        <v>-5</v>
      </c>
      <c r="AA43" s="49">
        <v>-13</v>
      </c>
      <c r="AB43" s="49">
        <v>-19</v>
      </c>
      <c r="AC43" s="49">
        <v>-29</v>
      </c>
      <c r="AD43" s="49">
        <v>-34</v>
      </c>
      <c r="AE43" s="39" t="s">
        <v>42</v>
      </c>
      <c r="AF43" s="53">
        <f>$W$5+W43</f>
        <v>68.38697405320525</v>
      </c>
      <c r="AG43" s="53">
        <f t="shared" ref="AG43:AM43" si="8">$W$5+X43</f>
        <v>59.386974053205257</v>
      </c>
      <c r="AH43" s="53">
        <f t="shared" si="8"/>
        <v>52.386974053205257</v>
      </c>
      <c r="AI43" s="53">
        <f t="shared" si="8"/>
        <v>44.386974053205257</v>
      </c>
      <c r="AJ43" s="53">
        <f t="shared" si="8"/>
        <v>36.386974053205257</v>
      </c>
      <c r="AK43" s="53">
        <f t="shared" si="8"/>
        <v>30.386974053205257</v>
      </c>
      <c r="AL43" s="53">
        <f t="shared" si="8"/>
        <v>20.386974053205257</v>
      </c>
      <c r="AM43" s="53">
        <f t="shared" si="8"/>
        <v>15.386974053205257</v>
      </c>
      <c r="AN43" s="5">
        <f t="array" ref="AN43">10*LOG10(SUM(10^(AF43:AM43/10)))</f>
        <v>69.015811417949848</v>
      </c>
      <c r="AO43" s="5">
        <f t="array" ref="AO43">10*LOG10(SUM(10^((AF43:AM43+AF46:AM46)/10)))</f>
        <v>49.078357249222918</v>
      </c>
      <c r="AP43" t="str">
        <f>IF(ABS(W5-AO43)&lt;0.5,"OK","Tarkista laskenta!")</f>
        <v>OK</v>
      </c>
    </row>
    <row r="44" spans="21:42" x14ac:dyDescent="0.15">
      <c r="U44" s="14" t="s">
        <v>56</v>
      </c>
      <c r="V44" s="26"/>
      <c r="W44" s="49">
        <v>22</v>
      </c>
      <c r="X44" s="49">
        <v>6</v>
      </c>
      <c r="Y44" s="49">
        <v>3</v>
      </c>
      <c r="Z44" s="49">
        <v>-4</v>
      </c>
      <c r="AA44" s="49">
        <v>-9</v>
      </c>
      <c r="AB44" s="49">
        <v>-11</v>
      </c>
      <c r="AC44" s="49">
        <v>-18</v>
      </c>
      <c r="AD44" s="49">
        <v>-22</v>
      </c>
      <c r="AE44" s="39" t="s">
        <v>43</v>
      </c>
      <c r="AF44" s="53">
        <f>$W$6+W44</f>
        <v>84.131109456119262</v>
      </c>
      <c r="AG44" s="53">
        <f t="shared" ref="AG44:AM44" si="9">$W$6+X44</f>
        <v>68.131109456119262</v>
      </c>
      <c r="AH44" s="53">
        <f t="shared" si="9"/>
        <v>65.131109456119262</v>
      </c>
      <c r="AI44" s="53">
        <f t="shared" si="9"/>
        <v>58.131109456119262</v>
      </c>
      <c r="AJ44" s="53">
        <f t="shared" si="9"/>
        <v>53.131109456119262</v>
      </c>
      <c r="AK44" s="53">
        <f t="shared" si="9"/>
        <v>51.131109456119262</v>
      </c>
      <c r="AL44" s="53">
        <f t="shared" si="9"/>
        <v>44.131109456119262</v>
      </c>
      <c r="AM44" s="53">
        <f t="shared" si="9"/>
        <v>40.131109456119262</v>
      </c>
      <c r="AN44" s="5">
        <f t="array" ref="AN44">10*LOG10(SUM(10^(AF44:AM44/10)))</f>
        <v>84.308349864706869</v>
      </c>
      <c r="AO44" s="5">
        <f t="array" ref="AO44">10*LOG10(SUM(10^((AF44:AM44+AF46:AM46)/10)))</f>
        <v>62.920524919159746</v>
      </c>
      <c r="AP44" t="str">
        <f>IF(ABS(W6-AO44)&lt;0.5,"OK","Tarkista laskenta!")</f>
        <v>Tarkista laskenta!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LINEST(Y59:Y66,X59:X66^{1,2})</f>
        <v>3.404876143412186E-3</v>
      </c>
      <c r="Y51" s="54">
        <v>0.14582077649031241</v>
      </c>
      <c r="Z51" s="54">
        <v>63.430103518168544</v>
      </c>
    </row>
    <row r="52" spans="3:26" x14ac:dyDescent="0.15">
      <c r="W52" t="s">
        <v>114</v>
      </c>
      <c r="X52" s="54">
        <f t="array" ref="X52:Z52">LINEST(Y68:Y74,X68:X74^{1,2})</f>
        <v>1.3761811536388557E-3</v>
      </c>
      <c r="Y52" s="54">
        <v>0.30357538159247754</v>
      </c>
      <c r="Z52" s="54">
        <v>26.062380144651947</v>
      </c>
    </row>
    <row r="53" spans="3:26" x14ac:dyDescent="0.15">
      <c r="W53" t="s">
        <v>10</v>
      </c>
      <c r="X53" s="54">
        <f t="array" ref="X53:Z53">LINEST(Y76:Y82,X76:X82^{1,2})</f>
        <v>-3.5886654480964011E-4</v>
      </c>
      <c r="Y53" s="54">
        <v>0.27499770222331427</v>
      </c>
      <c r="Z53" s="54">
        <v>11.261638045030018</v>
      </c>
    </row>
    <row r="54" spans="3:26" x14ac:dyDescent="0.15">
      <c r="W54" t="s">
        <v>12</v>
      </c>
      <c r="X54" s="54">
        <f t="array" ref="X54:Z54">LINEST(Y84:Y90,X84:X90^{1,2})</f>
        <v>2.757743471335926E-3</v>
      </c>
      <c r="Y54" s="54">
        <v>-4.1244508145930545E-2</v>
      </c>
      <c r="Z54" s="54">
        <v>6.2507878639361696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107.47020000000001</v>
      </c>
      <c r="E59" s="68">
        <v>61.13403135247551</v>
      </c>
      <c r="F59" s="69">
        <v>116.62868994636517</v>
      </c>
      <c r="H59" t="s">
        <v>4</v>
      </c>
      <c r="I59" t="s">
        <v>5</v>
      </c>
      <c r="K59" s="24"/>
      <c r="M59" s="10" t="s">
        <v>3</v>
      </c>
      <c r="N59" s="67">
        <v>104.62084545454545</v>
      </c>
      <c r="O59" s="68">
        <v>73.349403929077283</v>
      </c>
      <c r="P59" s="69">
        <v>117.15166181231858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107.47020000000001</v>
      </c>
      <c r="Y59" s="20">
        <f>F59</f>
        <v>116.62868994636517</v>
      </c>
    </row>
    <row r="60" spans="3:26" x14ac:dyDescent="0.15">
      <c r="C60" s="12"/>
      <c r="D60" s="67">
        <v>97.16458181818183</v>
      </c>
      <c r="E60" s="68">
        <v>61.463135764555233</v>
      </c>
      <c r="F60" s="69">
        <v>107.89046746765455</v>
      </c>
      <c r="H60" s="2">
        <f t="array" ref="H60:J60">LINEST(E59:E62,D59:D62^{1,2})</f>
        <v>-4.677120877135426E-4</v>
      </c>
      <c r="I60" s="2">
        <v>4.2405171151349258E-2</v>
      </c>
      <c r="J60" s="2">
        <v>61.902844749596426</v>
      </c>
      <c r="K60" s="24"/>
      <c r="M60" s="12"/>
      <c r="N60" s="67">
        <v>87.716672727272737</v>
      </c>
      <c r="O60" s="68">
        <v>73.586568674570273</v>
      </c>
      <c r="P60" s="69">
        <v>108.25149905730171</v>
      </c>
      <c r="R60" s="2">
        <f t="array" ref="R60:T60">LINEST(O59:O62,N59:N62^{1,2})</f>
        <v>-2.0328170830458944E-4</v>
      </c>
      <c r="S60" s="2">
        <v>1.0981707002607516E-3</v>
      </c>
      <c r="T60" s="27">
        <v>75.331488315179016</v>
      </c>
      <c r="W60" s="12"/>
      <c r="X60" s="17">
        <f>D60</f>
        <v>97.16458181818183</v>
      </c>
      <c r="Y60" s="13">
        <f>F60</f>
        <v>107.89046746765455</v>
      </c>
    </row>
    <row r="61" spans="3:26" x14ac:dyDescent="0.15">
      <c r="C61" s="12"/>
      <c r="D61" s="67">
        <v>77.45038181818181</v>
      </c>
      <c r="E61" s="68">
        <v>62.476142119666449</v>
      </c>
      <c r="F61" s="69">
        <v>92.233101144109327</v>
      </c>
      <c r="K61" s="24"/>
      <c r="M61" s="12"/>
      <c r="N61" s="67">
        <v>60.068663636363638</v>
      </c>
      <c r="O61" s="68">
        <v>74.903691388935115</v>
      </c>
      <c r="P61" s="69">
        <v>88.100138396815751</v>
      </c>
      <c r="T61" s="24"/>
      <c r="W61" s="12"/>
      <c r="X61" s="17">
        <f t="shared" ref="X61:X62" si="10">D61</f>
        <v>77.45038181818181</v>
      </c>
      <c r="Y61" s="13">
        <f t="shared" ref="Y61:Y62" si="11">F61</f>
        <v>92.233101144109327</v>
      </c>
    </row>
    <row r="62" spans="3:26" x14ac:dyDescent="0.15">
      <c r="C62" s="14"/>
      <c r="D62" s="67">
        <v>55.766072727272736</v>
      </c>
      <c r="E62" s="68">
        <v>62.786941941504857</v>
      </c>
      <c r="F62" s="69">
        <v>76.472486133861551</v>
      </c>
      <c r="K62" s="24"/>
      <c r="M62" s="14"/>
      <c r="N62" s="67">
        <v>38.46300909090909</v>
      </c>
      <c r="O62" s="68">
        <v>74.98237026058645</v>
      </c>
      <c r="P62" s="69">
        <v>75.666190479058542</v>
      </c>
      <c r="T62" s="24"/>
      <c r="W62" s="12"/>
      <c r="X62" s="17">
        <f t="shared" si="10"/>
        <v>55.766072727272736</v>
      </c>
      <c r="Y62" s="13">
        <f t="shared" si="11"/>
        <v>76.472486133861551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N59</f>
        <v>104.62084545454545</v>
      </c>
      <c r="Y63" s="13">
        <f>P59</f>
        <v>117.15166181231858</v>
      </c>
    </row>
    <row r="64" spans="3:26" x14ac:dyDescent="0.15">
      <c r="C64" s="10" t="s">
        <v>114</v>
      </c>
      <c r="D64" s="67">
        <v>85.219390909090919</v>
      </c>
      <c r="E64" s="68">
        <v>56.226832789947956</v>
      </c>
      <c r="F64" s="69">
        <v>60.577810396612868</v>
      </c>
      <c r="H64" t="s">
        <v>4</v>
      </c>
      <c r="I64" t="s">
        <v>5</v>
      </c>
      <c r="K64" s="24"/>
      <c r="M64" s="10" t="s">
        <v>114</v>
      </c>
      <c r="N64" s="67">
        <v>81.794172727272723</v>
      </c>
      <c r="O64" s="68">
        <v>68.625830013402279</v>
      </c>
      <c r="P64" s="69">
        <v>61.609359236476912</v>
      </c>
      <c r="R64" t="s">
        <v>4</v>
      </c>
      <c r="S64" t="s">
        <v>5</v>
      </c>
      <c r="T64" s="24" t="s">
        <v>6</v>
      </c>
      <c r="W64" s="12"/>
      <c r="X64" s="17">
        <f>N60</f>
        <v>87.716672727272737</v>
      </c>
      <c r="Y64" s="13">
        <f>P60</f>
        <v>108.25149905730171</v>
      </c>
    </row>
    <row r="65" spans="3:25" x14ac:dyDescent="0.15">
      <c r="C65" s="12"/>
      <c r="D65" s="67">
        <v>75.308918181818171</v>
      </c>
      <c r="E65" s="68">
        <v>56.986921976424952</v>
      </c>
      <c r="F65" s="69">
        <v>55.527582956445499</v>
      </c>
      <c r="H65" s="2">
        <f t="array" ref="H65:J65">LINEST(E64:E67,D64:D67^{1,2})</f>
        <v>-4.5476181235321262E-4</v>
      </c>
      <c r="I65" s="2">
        <v>5.5462481626888674E-2</v>
      </c>
      <c r="J65" s="2">
        <v>54.992535668903244</v>
      </c>
      <c r="K65" s="24"/>
      <c r="M65" s="12"/>
      <c r="N65" s="67">
        <v>68.961309090909083</v>
      </c>
      <c r="O65" s="68">
        <v>68.692809828117717</v>
      </c>
      <c r="P65" s="69">
        <v>55.253225557202001</v>
      </c>
      <c r="R65" s="2">
        <f t="array" ref="R65:T65">LINEST(O64:O67,N64:N67^{1,2})</f>
        <v>-1.9893804719841405E-4</v>
      </c>
      <c r="S65" s="2">
        <v>6.2784188853242271E-3</v>
      </c>
      <c r="T65" s="27">
        <v>69.366376895150609</v>
      </c>
      <c r="W65" s="12"/>
      <c r="X65" s="17">
        <f>N61</f>
        <v>60.068663636363638</v>
      </c>
      <c r="Y65" s="13">
        <f>P61</f>
        <v>88.100138396815751</v>
      </c>
    </row>
    <row r="66" spans="3:25" x14ac:dyDescent="0.15">
      <c r="C66" s="12"/>
      <c r="D66" s="67">
        <v>59.091099999999997</v>
      </c>
      <c r="E66" s="68">
        <v>56.387195431614472</v>
      </c>
      <c r="F66" s="69">
        <v>45.26100217347367</v>
      </c>
      <c r="K66" s="24"/>
      <c r="M66" s="12"/>
      <c r="N66" s="67">
        <v>46.599072727272727</v>
      </c>
      <c r="O66" s="68">
        <v>69.362565246831508</v>
      </c>
      <c r="P66" s="69">
        <v>44.871075383176873</v>
      </c>
      <c r="T66" s="24"/>
      <c r="W66" s="14"/>
      <c r="X66" s="18">
        <f>N62</f>
        <v>38.46300909090909</v>
      </c>
      <c r="Y66" s="15">
        <f>P62</f>
        <v>75.666190479058542</v>
      </c>
    </row>
    <row r="67" spans="3:25" x14ac:dyDescent="0.15">
      <c r="C67" s="14"/>
      <c r="D67" s="67">
        <v>42.177563636363637</v>
      </c>
      <c r="E67" s="68">
        <v>56.610398713632122</v>
      </c>
      <c r="F67" s="69">
        <v>37.764911609904139</v>
      </c>
      <c r="K67" s="24"/>
      <c r="M67" s="14"/>
      <c r="N67" s="67">
        <v>29.631227272727273</v>
      </c>
      <c r="O67" s="68">
        <v>69.325721365716447</v>
      </c>
      <c r="P67" s="69">
        <v>37.472218612103255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0" t="s">
        <v>114</v>
      </c>
      <c r="X68" s="19">
        <f>D64</f>
        <v>85.219390909090919</v>
      </c>
      <c r="Y68" s="20">
        <f>F64</f>
        <v>60.577810396612868</v>
      </c>
    </row>
    <row r="69" spans="3:25" x14ac:dyDescent="0.15">
      <c r="C69" s="10" t="s">
        <v>10</v>
      </c>
      <c r="D69" s="67">
        <v>59.232490909090913</v>
      </c>
      <c r="E69" s="68">
        <v>49.375419806217764</v>
      </c>
      <c r="F69" s="69">
        <v>25.417263103473928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57.921581818181828</v>
      </c>
      <c r="O69" s="68">
        <v>62.212651636773103</v>
      </c>
      <c r="P69" s="69">
        <v>26.864447987055424</v>
      </c>
      <c r="R69" t="s">
        <v>4</v>
      </c>
      <c r="S69" t="s">
        <v>5</v>
      </c>
      <c r="T69" s="24" t="s">
        <v>6</v>
      </c>
      <c r="W69" s="12"/>
      <c r="X69" s="17">
        <f t="shared" ref="X69" si="12">D65</f>
        <v>75.308918181818171</v>
      </c>
      <c r="Y69" s="13">
        <f t="shared" ref="Y69" si="13">F65</f>
        <v>55.527582956445499</v>
      </c>
    </row>
    <row r="70" spans="3:25" x14ac:dyDescent="0.15">
      <c r="C70" s="12"/>
      <c r="D70" s="67">
        <v>52.589927272727273</v>
      </c>
      <c r="E70" s="68">
        <v>50.547867733453664</v>
      </c>
      <c r="F70" s="69">
        <v>24.344285214676759</v>
      </c>
      <c r="H70" s="2">
        <f t="array" ref="H70:J70">LINEST(E69:E72,D69:D72^{1,2})</f>
        <v>-4.6443571247542616E-3</v>
      </c>
      <c r="I70" s="2">
        <v>0.43795144783417811</v>
      </c>
      <c r="J70" s="2">
        <v>39.927409947960214</v>
      </c>
      <c r="K70" s="24"/>
      <c r="M70" s="12"/>
      <c r="N70" s="67">
        <v>49.687200000000004</v>
      </c>
      <c r="O70" s="68">
        <v>62.579738505250276</v>
      </c>
      <c r="P70" s="69">
        <v>24.610628081174507</v>
      </c>
      <c r="R70" s="2">
        <f t="array" ref="R70:T70">LINEST(O69:O72,N69:N72^{1,2})</f>
        <v>-1.6762396791323024E-3</v>
      </c>
      <c r="S70" s="2">
        <v>0.12276790013227128</v>
      </c>
      <c r="T70" s="27">
        <v>60.689097244036617</v>
      </c>
      <c r="W70" s="12"/>
      <c r="X70" s="17">
        <f>D67</f>
        <v>42.177563636363637</v>
      </c>
      <c r="Y70" s="13">
        <f>F67</f>
        <v>37.764911609904139</v>
      </c>
    </row>
    <row r="71" spans="3:25" x14ac:dyDescent="0.15">
      <c r="C71" s="12"/>
      <c r="D71" s="67">
        <v>42.68132727272728</v>
      </c>
      <c r="E71" s="68">
        <v>49.836422150407898</v>
      </c>
      <c r="F71" s="69">
        <v>21.073070749514169</v>
      </c>
      <c r="K71" s="24"/>
      <c r="M71" s="12"/>
      <c r="N71" s="67">
        <v>33.798045454545452</v>
      </c>
      <c r="O71" s="68">
        <v>62.978561224871314</v>
      </c>
      <c r="P71" s="69">
        <v>20.989449770999862</v>
      </c>
      <c r="T71" s="24"/>
      <c r="W71" s="12"/>
      <c r="X71" s="17">
        <f>N64</f>
        <v>81.794172727272723</v>
      </c>
      <c r="Y71" s="13">
        <f>P64</f>
        <v>61.609359236476912</v>
      </c>
    </row>
    <row r="72" spans="3:25" x14ac:dyDescent="0.15">
      <c r="C72" s="14"/>
      <c r="D72" s="67">
        <v>31.091018181818189</v>
      </c>
      <c r="E72" s="68">
        <v>49.141774046972884</v>
      </c>
      <c r="F72" s="69">
        <v>18.071598855872615</v>
      </c>
      <c r="K72" s="24"/>
      <c r="M72" s="14"/>
      <c r="N72" s="67">
        <v>21.24609090909091</v>
      </c>
      <c r="O72" s="68">
        <v>62.520601425604632</v>
      </c>
      <c r="P72" s="69">
        <v>17.303475403537568</v>
      </c>
      <c r="T72" s="24"/>
      <c r="W72" s="12"/>
      <c r="X72" s="17">
        <f>N65</f>
        <v>68.961309090909083</v>
      </c>
      <c r="Y72" s="13">
        <f>P65</f>
        <v>55.253225557202001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46.599072727272727</v>
      </c>
      <c r="Y73" s="13">
        <f>P66</f>
        <v>44.871075383176873</v>
      </c>
    </row>
    <row r="74" spans="3:25" x14ac:dyDescent="0.15">
      <c r="C74" s="10" t="s">
        <v>12</v>
      </c>
      <c r="D74" s="67">
        <v>31.706209090909095</v>
      </c>
      <c r="E74" s="68">
        <v>38.574210349979992</v>
      </c>
      <c r="F74" s="69">
        <v>7.6542509640036691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28.261327272727272</v>
      </c>
      <c r="O74" s="68">
        <v>50.304556178333428</v>
      </c>
      <c r="P74" s="69">
        <v>7.4176728977971926</v>
      </c>
      <c r="R74" t="s">
        <v>4</v>
      </c>
      <c r="S74" t="s">
        <v>5</v>
      </c>
      <c r="T74" s="24" t="s">
        <v>6</v>
      </c>
      <c r="W74" s="14"/>
      <c r="X74" s="18">
        <f>N67</f>
        <v>29.631227272727273</v>
      </c>
      <c r="Y74" s="15">
        <f>P67</f>
        <v>37.472218612103255</v>
      </c>
    </row>
    <row r="75" spans="3:25" x14ac:dyDescent="0.15">
      <c r="C75" s="12"/>
      <c r="D75" s="67">
        <v>26.826818181818176</v>
      </c>
      <c r="E75" s="68">
        <v>39.350744205332788</v>
      </c>
      <c r="F75" s="69">
        <v>7.0952373016298811</v>
      </c>
      <c r="H75" s="2">
        <f t="array" ref="H75:J75">LINEST(E74:E77,D74:D77^{1,2})</f>
        <v>-1.1004077891536422E-2</v>
      </c>
      <c r="I75" s="2">
        <v>0.62759605543996311</v>
      </c>
      <c r="J75" s="2">
        <v>29.92478120829491</v>
      </c>
      <c r="K75" s="24"/>
      <c r="M75" s="12"/>
      <c r="N75" s="67">
        <v>23.704045454545458</v>
      </c>
      <c r="O75" s="68">
        <v>50.910345390046182</v>
      </c>
      <c r="P75" s="69">
        <v>6.9120341052630758</v>
      </c>
      <c r="R75" s="2">
        <f t="array" ref="R75:T75">LINEST(O74:O77,N74:N77^{1,2})</f>
        <v>-1.095556192538661E-2</v>
      </c>
      <c r="S75" s="2">
        <v>0.4649688341537197</v>
      </c>
      <c r="T75" s="27">
        <v>45.953582600117024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21.224554545454549</v>
      </c>
      <c r="E76" s="68">
        <v>37.7927756489185</v>
      </c>
      <c r="F76" s="69">
        <v>6.4091373237387206</v>
      </c>
      <c r="K76" s="24"/>
      <c r="M76" s="12"/>
      <c r="N76" s="67">
        <v>16.993127272727271</v>
      </c>
      <c r="O76" s="68">
        <v>50.609911956999383</v>
      </c>
      <c r="P76" s="69">
        <v>6.4396716809091377</v>
      </c>
      <c r="T76" s="24"/>
      <c r="W76" s="10" t="s">
        <v>10</v>
      </c>
      <c r="X76" s="19">
        <f>D69</f>
        <v>59.232490909090913</v>
      </c>
      <c r="Y76" s="20">
        <f>F69</f>
        <v>25.417263103473928</v>
      </c>
    </row>
    <row r="77" spans="3:25" x14ac:dyDescent="0.15">
      <c r="C77" s="14"/>
      <c r="D77" s="67">
        <v>16.087663636363636</v>
      </c>
      <c r="E77" s="71">
        <v>37.346744413222602</v>
      </c>
      <c r="F77" s="69">
        <v>6.0005082661815887</v>
      </c>
      <c r="G77" s="25"/>
      <c r="H77" s="25"/>
      <c r="I77" s="25"/>
      <c r="J77" s="25"/>
      <c r="K77" s="26"/>
      <c r="M77" s="14"/>
      <c r="N77" s="67">
        <v>11.464836363636362</v>
      </c>
      <c r="O77" s="71">
        <v>49.874271233326027</v>
      </c>
      <c r="P77" s="69">
        <v>6.1312138558419154</v>
      </c>
      <c r="Q77" s="25"/>
      <c r="R77" s="25"/>
      <c r="S77" s="25"/>
      <c r="T77" s="26"/>
      <c r="W77" s="12"/>
      <c r="X77" s="17">
        <f t="shared" ref="X77" si="14">D70</f>
        <v>52.589927272727273</v>
      </c>
      <c r="Y77" s="13">
        <f>F70</f>
        <v>24.344285214676759</v>
      </c>
    </row>
    <row r="78" spans="3:25" x14ac:dyDescent="0.15">
      <c r="W78" s="12"/>
      <c r="X78" s="17">
        <f>D72</f>
        <v>31.091018181818189</v>
      </c>
      <c r="Y78" s="13">
        <f>F72</f>
        <v>18.071598855872615</v>
      </c>
    </row>
    <row r="79" spans="3:25" x14ac:dyDescent="0.15">
      <c r="F79" s="5"/>
      <c r="W79" s="12"/>
      <c r="X79" s="17">
        <f>N69</f>
        <v>57.921581818181828</v>
      </c>
      <c r="Y79" s="13">
        <f>P69</f>
        <v>26.864447987055424</v>
      </c>
    </row>
    <row r="80" spans="3:25" x14ac:dyDescent="0.15">
      <c r="F80" s="5"/>
      <c r="W80" s="12"/>
      <c r="X80" s="17">
        <f>N70</f>
        <v>49.687200000000004</v>
      </c>
      <c r="Y80" s="13">
        <f>P70</f>
        <v>24.610628081174507</v>
      </c>
    </row>
    <row r="81" spans="6:25" x14ac:dyDescent="0.15">
      <c r="F81" s="5"/>
      <c r="W81" s="12"/>
      <c r="X81" s="17">
        <f>N71</f>
        <v>33.798045454545452</v>
      </c>
      <c r="Y81" s="13">
        <f>P71</f>
        <v>20.989449770999862</v>
      </c>
    </row>
    <row r="82" spans="6:25" x14ac:dyDescent="0.15">
      <c r="F82" s="5"/>
      <c r="W82" s="14"/>
      <c r="X82" s="18">
        <f>N72</f>
        <v>21.24609090909091</v>
      </c>
      <c r="Y82" s="15">
        <f>P72</f>
        <v>17.303475403537568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31.706209090909095</v>
      </c>
      <c r="Y84" s="20">
        <f>F74</f>
        <v>7.6542509640036691</v>
      </c>
    </row>
    <row r="85" spans="6:25" x14ac:dyDescent="0.15">
      <c r="W85" s="12"/>
      <c r="X85" s="17">
        <f t="shared" ref="X85:X86" si="15">D75</f>
        <v>26.826818181818176</v>
      </c>
      <c r="Y85" s="13">
        <f>F75</f>
        <v>7.0952373016298811</v>
      </c>
    </row>
    <row r="86" spans="6:25" x14ac:dyDescent="0.15">
      <c r="W86" s="12"/>
      <c r="X86" s="17">
        <f t="shared" si="15"/>
        <v>21.224554545454549</v>
      </c>
      <c r="Y86" s="13">
        <f>F76</f>
        <v>6.4091373237387206</v>
      </c>
    </row>
    <row r="87" spans="6:25" x14ac:dyDescent="0.15">
      <c r="F87" s="5"/>
      <c r="W87" s="12"/>
      <c r="X87" s="17">
        <f>N74</f>
        <v>28.261327272727272</v>
      </c>
      <c r="Y87" s="13">
        <f>P74</f>
        <v>7.4176728977971926</v>
      </c>
    </row>
    <row r="88" spans="6:25" x14ac:dyDescent="0.15">
      <c r="F88" s="5"/>
      <c r="W88" s="12"/>
      <c r="X88" s="17">
        <f t="shared" ref="X88:X90" si="16">N75</f>
        <v>23.704045454545458</v>
      </c>
      <c r="Y88" s="13">
        <f>P75</f>
        <v>6.9120341052630758</v>
      </c>
    </row>
    <row r="89" spans="6:25" x14ac:dyDescent="0.15">
      <c r="F89" s="5"/>
      <c r="W89" s="12"/>
      <c r="X89" s="17">
        <f t="shared" si="16"/>
        <v>16.993127272727271</v>
      </c>
      <c r="Y89" s="13">
        <f>P76</f>
        <v>6.4396716809091377</v>
      </c>
    </row>
    <row r="90" spans="6:25" x14ac:dyDescent="0.15">
      <c r="F90" s="5"/>
      <c r="W90" s="14"/>
      <c r="X90" s="18">
        <f t="shared" si="16"/>
        <v>11.464836363636362</v>
      </c>
      <c r="Y90" s="15">
        <f>P77</f>
        <v>6.1312138558419154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D9242-B1CE-40D6-A6EF-C6A345E0DAD3}">
  <dimension ref="B3:W49"/>
  <sheetViews>
    <sheetView workbookViewId="0">
      <selection activeCell="R20" sqref="R20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>
        <f>Tulokset_ENT!E24</f>
        <v>5.0031425347573784</v>
      </c>
      <c r="D4" t="s">
        <v>25</v>
      </c>
    </row>
    <row r="5" spans="2:7" x14ac:dyDescent="0.15">
      <c r="B5" t="s">
        <v>8</v>
      </c>
      <c r="C5" s="3">
        <f>Tulokset_ENT!H24</f>
        <v>4.7499370969529489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80</v>
      </c>
      <c r="C12" s="107">
        <v>7.6565049371440148</v>
      </c>
      <c r="D12" s="107">
        <v>31.928822753619976</v>
      </c>
    </row>
    <row r="13" spans="2:7" x14ac:dyDescent="0.15">
      <c r="B13" t="s">
        <v>81</v>
      </c>
      <c r="C13" s="107">
        <v>26.329228187200453</v>
      </c>
      <c r="D13" s="107">
        <v>-5.5042062290429712</v>
      </c>
    </row>
    <row r="15" spans="2:7" x14ac:dyDescent="0.15">
      <c r="B15" t="s">
        <v>91</v>
      </c>
      <c r="C15" s="3">
        <f>MAX(C4,C5)</f>
        <v>5.0031425347573784</v>
      </c>
      <c r="D15" t="s">
        <v>25</v>
      </c>
      <c r="E15" s="82" t="s">
        <v>42</v>
      </c>
      <c r="F15" s="5">
        <f>IF(C15&gt;7.5,C12*LN(C15)+D12,C13*LN(C15)+D13)</f>
        <v>36.8875947253877</v>
      </c>
      <c r="G15" t="s">
        <v>31</v>
      </c>
    </row>
    <row r="16" spans="2:7" x14ac:dyDescent="0.15">
      <c r="B16" t="s">
        <v>92</v>
      </c>
      <c r="C16" s="79">
        <f>(2*MAX(C4,C5)+MIN(C4,C5))/3</f>
        <v>4.9187407221559019</v>
      </c>
      <c r="D16" t="s">
        <v>25</v>
      </c>
      <c r="E16" s="82" t="s">
        <v>42</v>
      </c>
      <c r="F16" s="5">
        <f>IF(C16&gt;7.5,C12*LN(C16)+D12,C13*LN(C16)+D13)</f>
        <v>36.439637794117878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>
        <f>'R-series ENT'!N54</f>
        <v>51.350319413350157</v>
      </c>
      <c r="E21" t="s">
        <v>31</v>
      </c>
    </row>
    <row r="22" spans="2:5" x14ac:dyDescent="0.15">
      <c r="B22" s="25"/>
      <c r="C22" s="25" t="s">
        <v>8</v>
      </c>
      <c r="D22" s="81">
        <f>'R-series ENT'!N55</f>
        <v>51.65220443099701</v>
      </c>
      <c r="E22" t="s">
        <v>31</v>
      </c>
    </row>
    <row r="23" spans="2:5" x14ac:dyDescent="0.15">
      <c r="C23" t="s">
        <v>87</v>
      </c>
      <c r="D23" s="3">
        <f>ABS(D21-D22)</f>
        <v>0.30188501764685327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>
        <f>'R-series ENT'!N53</f>
        <v>62.081900793182115</v>
      </c>
      <c r="E25" t="s">
        <v>31</v>
      </c>
    </row>
    <row r="26" spans="2:5" x14ac:dyDescent="0.15">
      <c r="B26" s="25"/>
      <c r="C26" s="25" t="s">
        <v>57</v>
      </c>
      <c r="D26" s="81">
        <f>'R-series ENT'!N56</f>
        <v>61.797611511157953</v>
      </c>
      <c r="E26" t="s">
        <v>31</v>
      </c>
    </row>
    <row r="27" spans="2:5" x14ac:dyDescent="0.15">
      <c r="C27" t="s">
        <v>87</v>
      </c>
      <c r="D27" s="3">
        <f>ABS(D25-D26)</f>
        <v>0.28428928202416159</v>
      </c>
      <c r="E27" t="s">
        <v>31</v>
      </c>
    </row>
    <row r="29" spans="2:5" x14ac:dyDescent="0.15">
      <c r="B29" t="s">
        <v>94</v>
      </c>
      <c r="C29" s="3">
        <f>AVERAGE(D27,D23)</f>
        <v>0.29308714983550743</v>
      </c>
      <c r="D29" t="s">
        <v>31</v>
      </c>
    </row>
    <row r="30" spans="2:5" x14ac:dyDescent="0.15">
      <c r="B30" t="s">
        <v>93</v>
      </c>
      <c r="C30" s="3">
        <f>-10*LOG10((1-10^(-C29/10)))-3</f>
        <v>8.853594809152499</v>
      </c>
      <c r="D30" t="s">
        <v>31</v>
      </c>
    </row>
    <row r="32" spans="2:5" x14ac:dyDescent="0.15">
      <c r="B32" t="s">
        <v>83</v>
      </c>
      <c r="C32" s="3">
        <f>F15+C30</f>
        <v>45.741189534540197</v>
      </c>
      <c r="D32" t="s">
        <v>31</v>
      </c>
    </row>
    <row r="33" spans="2:23" x14ac:dyDescent="0.15">
      <c r="B33" t="s">
        <v>95</v>
      </c>
      <c r="C33" s="3">
        <f>F15-2.6</f>
        <v>34.287594725387699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36.439637794117878</v>
      </c>
      <c r="D35" s="2" t="s">
        <v>31</v>
      </c>
      <c r="F35" s="5">
        <f>C35+10*LOG10(4/10)</f>
        <v>32.460237707397503</v>
      </c>
      <c r="G35" s="5">
        <f>C35+10*LOG10(4/2.5)</f>
        <v>38.480837620677129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15</v>
      </c>
      <c r="D39" s="85">
        <v>10</v>
      </c>
      <c r="E39" s="85">
        <v>5</v>
      </c>
      <c r="F39" s="85">
        <v>-5</v>
      </c>
      <c r="G39" s="85">
        <v>-14</v>
      </c>
      <c r="H39" s="85">
        <v>-20</v>
      </c>
      <c r="I39" s="85">
        <v>-26</v>
      </c>
      <c r="J39" s="85">
        <v>-30</v>
      </c>
      <c r="K39" s="87" t="s">
        <v>42</v>
      </c>
      <c r="L39" s="86">
        <f>$C$35+C39</f>
        <v>51.439637794117878</v>
      </c>
      <c r="M39" s="86">
        <f t="shared" ref="M39:S39" si="0">$C$35+D39</f>
        <v>46.439637794117878</v>
      </c>
      <c r="N39" s="86">
        <f t="shared" si="0"/>
        <v>41.439637794117878</v>
      </c>
      <c r="O39" s="86">
        <f t="shared" si="0"/>
        <v>31.439637794117878</v>
      </c>
      <c r="P39" s="86">
        <f t="shared" si="0"/>
        <v>22.439637794117878</v>
      </c>
      <c r="Q39" s="86">
        <f t="shared" si="0"/>
        <v>16.439637794117878</v>
      </c>
      <c r="R39" s="86">
        <f t="shared" si="0"/>
        <v>10.439637794117878</v>
      </c>
      <c r="S39" s="86">
        <f t="shared" si="0"/>
        <v>6.4396377941178784</v>
      </c>
      <c r="T39" s="5">
        <f t="array" ref="T39">10*LOG10(SUM(10^(L39:S39/10)))</f>
        <v>52.986658234084388</v>
      </c>
      <c r="U39" s="5">
        <f t="array" ref="U39">10*LOG10(SUM(10^((L39:S39+L41:S41)/10)))</f>
        <v>36.290004330785301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15FBE-D264-47C6-8E75-2ACC845F6061}">
  <dimension ref="A2:BS99"/>
  <sheetViews>
    <sheetView topLeftCell="AM1" zoomScale="85" zoomScaleNormal="85" workbookViewId="0">
      <selection activeCell="R20" sqref="R20"/>
    </sheetView>
  </sheetViews>
  <sheetFormatPr baseColWidth="10" defaultColWidth="8.83203125" defaultRowHeight="13" x14ac:dyDescent="0.15"/>
  <cols>
    <col min="1" max="1" width="19.5" customWidth="1"/>
    <col min="16" max="16" width="10.83203125" customWidth="1"/>
    <col min="17" max="18" width="9.33203125" bestFit="1" customWidth="1"/>
    <col min="19" max="19" width="10" bestFit="1" customWidth="1"/>
    <col min="22" max="22" width="13" customWidth="1"/>
    <col min="23" max="23" width="10.1640625" bestFit="1" customWidth="1"/>
    <col min="25" max="25" width="10" customWidth="1"/>
  </cols>
  <sheetData>
    <row r="2" spans="1:53" x14ac:dyDescent="0.15">
      <c r="C2" s="2" t="s">
        <v>0</v>
      </c>
      <c r="J2" t="s">
        <v>15</v>
      </c>
    </row>
    <row r="3" spans="1:53" x14ac:dyDescent="0.15">
      <c r="J3" s="7">
        <f>'R-series ENT'!$E$33</f>
        <v>34.722222222222221</v>
      </c>
      <c r="K3" t="s">
        <v>13</v>
      </c>
      <c r="L3" s="7">
        <f>'R-series ENT'!$E$39</f>
        <v>75</v>
      </c>
      <c r="M3" t="s">
        <v>14</v>
      </c>
      <c r="P3" t="s">
        <v>34</v>
      </c>
      <c r="AA3" s="2" t="s">
        <v>53</v>
      </c>
      <c r="AT3" t="s">
        <v>2873</v>
      </c>
    </row>
    <row r="4" spans="1:53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1:53" x14ac:dyDescent="0.15">
      <c r="C5" t="s">
        <v>2</v>
      </c>
      <c r="D5" s="1"/>
      <c r="E5" s="1"/>
      <c r="H5" s="1"/>
      <c r="O5" t="s">
        <v>134</v>
      </c>
      <c r="P5" s="52">
        <f t="array" ref="P5:Q5">LINEST(AF34:AF36,LN(AC34:AC36))</f>
        <v>13.68055333203603</v>
      </c>
      <c r="Q5" s="52">
        <v>-4.1721818851152008</v>
      </c>
      <c r="R5" t="s">
        <v>28</v>
      </c>
      <c r="S5" s="9">
        <f>$P$5*LN($J$3)+$Q$5</f>
        <v>44.357937914197365</v>
      </c>
      <c r="T5" t="s">
        <v>31</v>
      </c>
      <c r="U5" s="39" t="s">
        <v>42</v>
      </c>
      <c r="V5" s="32" t="s">
        <v>28</v>
      </c>
      <c r="W5" s="9">
        <f>IF($J$3&gt;$AC$35,S5,IF($J$3&lt;$AC$36,S6,AVERAGE(S5:S6)))</f>
        <v>41.559850828106313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T5" s="2" t="s">
        <v>2874</v>
      </c>
    </row>
    <row r="6" spans="1:53" x14ac:dyDescent="0.15">
      <c r="C6" s="2" t="s">
        <v>3</v>
      </c>
      <c r="D6" s="1"/>
      <c r="E6" s="1"/>
      <c r="H6" s="1"/>
      <c r="O6" t="s">
        <v>136</v>
      </c>
      <c r="P6" s="52">
        <f t="array" ref="P6:Q6">LINEST(AF35:AF37,LN(AC35:AC37))</f>
        <v>21.14045639136749</v>
      </c>
      <c r="Q6" s="52">
        <v>-33.433379078956129</v>
      </c>
      <c r="R6" t="s">
        <v>28</v>
      </c>
      <c r="S6" s="9">
        <f>$P$6*LN($J$3)+$Q$6</f>
        <v>41.559850828106313</v>
      </c>
      <c r="T6" t="s">
        <v>31</v>
      </c>
      <c r="U6" s="39"/>
      <c r="AA6" s="55">
        <v>60</v>
      </c>
      <c r="AB6" s="56">
        <f t="shared" ref="AB6:AB12" si="0">(-$D$9-SQRT($D$9^2-(4*$C$9*($E$9-AA6))))/(2*$C$9)</f>
        <v>164.68916428096787</v>
      </c>
      <c r="AC6" s="55">
        <v>40</v>
      </c>
      <c r="AD6" s="57">
        <f t="shared" ref="AD6:AD12" si="1">(-$D$14-SQRT($D$14^2-(4*$C$14*($E$14-AC6))))/(2*$C$14)</f>
        <v>121.06721286656557</v>
      </c>
      <c r="AE6" s="55">
        <v>25</v>
      </c>
      <c r="AF6" s="57">
        <f t="shared" ref="AF6:AF11" si="2">(-$D$19-SQRT($D$19^2-(4*$C$19*($E$19-AE6))))/(2*$C$19)</f>
        <v>87.031407197974815</v>
      </c>
      <c r="AG6" s="56">
        <v>10</v>
      </c>
      <c r="AH6" s="57">
        <f>(-$D$24-SQRT($D$24^2-(4*$C$24*($E$24-AG6))))/(2*$C$24)</f>
        <v>46.040286179214114</v>
      </c>
      <c r="AT6" t="s">
        <v>2893</v>
      </c>
    </row>
    <row r="7" spans="1:53" x14ac:dyDescent="0.15">
      <c r="C7" t="s">
        <v>11</v>
      </c>
      <c r="D7" s="1"/>
      <c r="E7" s="1"/>
      <c r="H7" s="1"/>
      <c r="AA7" s="55">
        <v>120</v>
      </c>
      <c r="AB7" s="56">
        <f t="shared" si="0"/>
        <v>156.33824873484488</v>
      </c>
      <c r="AC7" s="55">
        <v>50</v>
      </c>
      <c r="AD7" s="57">
        <f t="shared" si="1"/>
        <v>118.95547364278103</v>
      </c>
      <c r="AE7" s="55">
        <v>40</v>
      </c>
      <c r="AF7" s="57">
        <f t="shared" si="2"/>
        <v>83.42811903148889</v>
      </c>
      <c r="AG7" s="56">
        <v>20</v>
      </c>
      <c r="AH7" s="57">
        <f>(-$D$24-SQRT($D$24^2-(4*$C$24*($E$24-AG7))))/(2*$C$24)</f>
        <v>42.712694256060544</v>
      </c>
      <c r="AT7" t="s">
        <v>2897</v>
      </c>
    </row>
    <row r="8" spans="1:53" x14ac:dyDescent="0.15">
      <c r="C8" t="s">
        <v>4</v>
      </c>
      <c r="D8" t="s">
        <v>5</v>
      </c>
      <c r="E8" t="s">
        <v>6</v>
      </c>
      <c r="O8" t="s">
        <v>134</v>
      </c>
      <c r="P8" s="52">
        <f t="array" ref="P8:Q8">LINEST(AG34:AG36,LN(AC34:AC36))</f>
        <v>22.569935267339499</v>
      </c>
      <c r="Q8" s="52">
        <v>-29.990965592282677</v>
      </c>
      <c r="R8" t="s">
        <v>7</v>
      </c>
      <c r="S8" s="9">
        <f>$P$8*LN($J$3)+$Q$8</f>
        <v>50.073168935213261</v>
      </c>
      <c r="T8" t="s">
        <v>31</v>
      </c>
      <c r="U8" s="39" t="s">
        <v>43</v>
      </c>
      <c r="V8" t="s">
        <v>7</v>
      </c>
      <c r="W8" s="9">
        <f>IF($J$3&gt;$AC$35,S8,IF($J$3&lt;$AC$36,S9,AVERAGE(S8:S9)))</f>
        <v>50.418302348437102</v>
      </c>
      <c r="X8" t="s">
        <v>31</v>
      </c>
      <c r="AA8" s="55">
        <v>190</v>
      </c>
      <c r="AB8" s="56">
        <f t="shared" si="0"/>
        <v>146.58883133740329</v>
      </c>
      <c r="AC8" s="55">
        <v>100</v>
      </c>
      <c r="AD8" s="57">
        <f t="shared" si="1"/>
        <v>108.72757540655722</v>
      </c>
      <c r="AE8" s="55">
        <v>60</v>
      </c>
      <c r="AF8" s="57">
        <f t="shared" si="2"/>
        <v>78.654122417993619</v>
      </c>
      <c r="AG8" s="56">
        <v>25</v>
      </c>
      <c r="AH8" s="57">
        <f>(-$D$24-SQRT($D$24^2-(4*$C$24*($E$24-AG8))))/(2*$C$24)</f>
        <v>40.984448126885262</v>
      </c>
      <c r="AT8" t="s">
        <v>2898</v>
      </c>
    </row>
    <row r="9" spans="1:53" x14ac:dyDescent="0.15">
      <c r="A9" s="2" t="s">
        <v>2876</v>
      </c>
      <c r="C9" s="1654">
        <v>-2.720802286377485E-4</v>
      </c>
      <c r="D9" s="1654">
        <v>-7.0974957397722029</v>
      </c>
      <c r="E9" s="1654">
        <v>1236.260143539894</v>
      </c>
      <c r="H9" s="2"/>
      <c r="O9" t="s">
        <v>135</v>
      </c>
      <c r="P9" s="52">
        <f t="array" ref="P9:Q9">LINEST(AG35:AG37,LN(AC35:AC37))</f>
        <v>21.082773952290992</v>
      </c>
      <c r="Q9" s="52">
        <v>-24.370306034133073</v>
      </c>
      <c r="R9" t="s">
        <v>7</v>
      </c>
      <c r="S9" s="9">
        <f>$P$9*LN($J$3)+$Q$9</f>
        <v>50.418302348437102</v>
      </c>
      <c r="T9" t="s">
        <v>31</v>
      </c>
      <c r="AA9" s="55">
        <v>250</v>
      </c>
      <c r="AB9" s="56">
        <f t="shared" si="0"/>
        <v>138.22644841705758</v>
      </c>
      <c r="AC9" s="55">
        <v>150</v>
      </c>
      <c r="AD9" s="57">
        <f t="shared" si="1"/>
        <v>98.993053012637731</v>
      </c>
      <c r="AE9" s="55">
        <v>80</v>
      </c>
      <c r="AF9" s="57">
        <f t="shared" si="2"/>
        <v>73.914173663721783</v>
      </c>
      <c r="AG9" s="56">
        <v>30</v>
      </c>
      <c r="AH9" s="57">
        <f>(-$D$24-SQRT($D$24^2-(4*$C$24*($E$24-AG9))))/(2*$C$24)</f>
        <v>39.208521433821417</v>
      </c>
      <c r="AU9" s="104" t="s">
        <v>2868</v>
      </c>
      <c r="AV9" s="104" t="s">
        <v>2869</v>
      </c>
      <c r="AW9" s="104" t="s">
        <v>87</v>
      </c>
    </row>
    <row r="10" spans="1:53" x14ac:dyDescent="0.15">
      <c r="C10" s="2"/>
      <c r="D10" s="2"/>
      <c r="E10" s="2"/>
      <c r="H10" s="2"/>
      <c r="V10" t="s">
        <v>144</v>
      </c>
      <c r="W10">
        <v>180</v>
      </c>
      <c r="AA10" s="55">
        <v>320</v>
      </c>
      <c r="AB10" s="56">
        <f t="shared" si="0"/>
        <v>128.463624829699</v>
      </c>
      <c r="AC10" s="55">
        <v>170</v>
      </c>
      <c r="AD10" s="57">
        <f t="shared" si="1"/>
        <v>95.222301961660534</v>
      </c>
      <c r="AE10" s="55">
        <v>100</v>
      </c>
      <c r="AF10" s="57">
        <f t="shared" si="2"/>
        <v>69.207554513858213</v>
      </c>
      <c r="AG10" s="56">
        <v>50</v>
      </c>
      <c r="AH10" s="57">
        <f>(-$D$24-SQRT($D$24^2-(4*$C$24*($E$24-AG10))))/(2*$C$24)</f>
        <v>31.533758619712255</v>
      </c>
      <c r="AT10" s="628" t="s">
        <v>13</v>
      </c>
      <c r="AU10" s="628" t="s">
        <v>14</v>
      </c>
      <c r="AV10" s="628" t="s">
        <v>14</v>
      </c>
      <c r="AW10" s="628" t="s">
        <v>14</v>
      </c>
    </row>
    <row r="11" spans="1:53" x14ac:dyDescent="0.15">
      <c r="C11" s="2" t="s">
        <v>114</v>
      </c>
      <c r="D11" s="1"/>
      <c r="E11" s="1"/>
      <c r="H11" s="1"/>
      <c r="P11" t="s">
        <v>130</v>
      </c>
      <c r="T11" s="4"/>
      <c r="U11" s="5"/>
      <c r="V11" t="s">
        <v>142</v>
      </c>
      <c r="W11">
        <v>600</v>
      </c>
      <c r="X11" t="s">
        <v>14</v>
      </c>
      <c r="AA11" s="55">
        <v>350</v>
      </c>
      <c r="AB11" s="56">
        <f t="shared" si="0"/>
        <v>124.27734168192819</v>
      </c>
      <c r="AC11" s="55">
        <v>190</v>
      </c>
      <c r="AD11" s="57">
        <f t="shared" si="1"/>
        <v>91.516389636149285</v>
      </c>
      <c r="AE11" s="55">
        <v>130</v>
      </c>
      <c r="AF11" s="57">
        <f t="shared" si="2"/>
        <v>62.208608606064594</v>
      </c>
      <c r="AG11" s="56"/>
      <c r="AH11" s="57"/>
      <c r="AT11" s="628">
        <v>0</v>
      </c>
      <c r="AU11" s="344">
        <v>0</v>
      </c>
      <c r="AV11" s="344">
        <v>0</v>
      </c>
      <c r="AW11" s="628">
        <v>0</v>
      </c>
      <c r="AY11" t="s">
        <v>2868</v>
      </c>
    </row>
    <row r="12" spans="1:53" x14ac:dyDescent="0.15">
      <c r="C12" t="s">
        <v>11</v>
      </c>
      <c r="D12" s="1"/>
      <c r="E12" s="1"/>
      <c r="H12" s="1"/>
      <c r="P12" t="s">
        <v>132</v>
      </c>
      <c r="Q12" s="51">
        <v>0</v>
      </c>
      <c r="R12" s="51">
        <f t="array" ref="R12:S12">LINEST(U35:U37,AC35:AC37)</f>
        <v>8.5595517530485749E-2</v>
      </c>
      <c r="S12" s="51">
        <v>0.47573011306532997</v>
      </c>
      <c r="U12" s="39" t="s">
        <v>42</v>
      </c>
      <c r="V12" t="s">
        <v>44</v>
      </c>
      <c r="W12" s="9">
        <f>Q14*J3^2+R14*J3+S14</f>
        <v>3.4477966939849738</v>
      </c>
      <c r="X12" t="s">
        <v>25</v>
      </c>
      <c r="Y12" t="str">
        <f>IF(W12&gt;10,"Ei käyttöalueella","OK")</f>
        <v>OK</v>
      </c>
      <c r="AA12" s="58">
        <v>420</v>
      </c>
      <c r="AB12" s="59">
        <f t="shared" si="0"/>
        <v>114.50416792437591</v>
      </c>
      <c r="AC12" s="58">
        <v>240</v>
      </c>
      <c r="AD12" s="60">
        <f t="shared" si="1"/>
        <v>82.51468853794691</v>
      </c>
      <c r="AE12" s="58"/>
      <c r="AF12" s="60"/>
      <c r="AG12" s="59"/>
      <c r="AH12" s="60"/>
      <c r="AT12" s="628">
        <v>50</v>
      </c>
      <c r="AU12" s="344">
        <v>16.899999999999999</v>
      </c>
      <c r="AV12" s="344">
        <v>19</v>
      </c>
      <c r="AW12" s="628">
        <f>AU12-AV12</f>
        <v>-2.1000000000000014</v>
      </c>
      <c r="AY12">
        <f t="array" ref="AY12:BA12">LINEST(AU11:AU18,AT11:AT18^{1,2})</f>
        <v>1.4435000000000008E-3</v>
      </c>
      <c r="AZ12">
        <v>0.25909642857142828</v>
      </c>
      <c r="BA12">
        <v>0.14625000000003041</v>
      </c>
    </row>
    <row r="13" spans="1:53" x14ac:dyDescent="0.15">
      <c r="C13" t="s">
        <v>4</v>
      </c>
      <c r="D13" t="s">
        <v>5</v>
      </c>
      <c r="E13" t="s">
        <v>6</v>
      </c>
      <c r="P13" t="s">
        <v>131</v>
      </c>
      <c r="Q13" s="51">
        <v>0</v>
      </c>
      <c r="R13" s="51">
        <f t="array" ref="R13:S13">LINEST(U34:U35,AC34:AC35)</f>
        <v>0.14371092910044972</v>
      </c>
      <c r="S13" s="51">
        <v>-3.6382548897414981</v>
      </c>
      <c r="W13" t="b">
        <f>IF(AND(W12&lt;=10.01,'R-series ENT'!E33&gt;=W14,AD34&lt;W11,J3&lt;W10),TRUE,FALSE)</f>
        <v>1</v>
      </c>
      <c r="AT13" s="628">
        <v>100</v>
      </c>
      <c r="AU13" s="344">
        <v>40.56</v>
      </c>
      <c r="AV13" s="344">
        <v>48</v>
      </c>
      <c r="AW13" s="628">
        <f t="shared" ref="AW13:AW18" si="3">AU13-AV13</f>
        <v>-7.4399999999999977</v>
      </c>
      <c r="AY13" t="s">
        <v>2869</v>
      </c>
    </row>
    <row r="14" spans="1:53" x14ac:dyDescent="0.15">
      <c r="A14" s="2" t="s">
        <v>2876</v>
      </c>
      <c r="C14" s="1654">
        <v>1.2411767621147977E-2</v>
      </c>
      <c r="D14" s="1654">
        <v>-7.7145389945269383</v>
      </c>
      <c r="E14" s="1654">
        <v>792.05510502917105</v>
      </c>
      <c r="H14" s="2"/>
      <c r="P14" t="s">
        <v>21</v>
      </c>
      <c r="Q14" s="54">
        <f>IF($J$3&gt;$AC$35,Q13,Q12)</f>
        <v>0</v>
      </c>
      <c r="R14" s="54">
        <f>IF($J$3&gt;$AC$35,R13,R12)</f>
        <v>8.5595517530485749E-2</v>
      </c>
      <c r="S14" s="54">
        <f>IF($J$3&gt;$AC$35,S13,S12)</f>
        <v>0.47573011306532997</v>
      </c>
      <c r="V14" t="s">
        <v>346</v>
      </c>
      <c r="W14">
        <v>30</v>
      </c>
      <c r="X14" t="s">
        <v>13</v>
      </c>
      <c r="Y14" t="s">
        <v>355</v>
      </c>
      <c r="AT14" s="628">
        <v>150</v>
      </c>
      <c r="AU14" s="344">
        <v>71.47</v>
      </c>
      <c r="AV14" s="344">
        <v>85</v>
      </c>
      <c r="AW14" s="628">
        <f t="shared" si="3"/>
        <v>-13.530000000000001</v>
      </c>
      <c r="AY14">
        <f t="array" ref="AY14:BA14">LINEST(AV11:AV18,AT11:AT18^{1,2})</f>
        <v>1.6214285714285716E-3</v>
      </c>
      <c r="AZ14">
        <v>0.2836904761904761</v>
      </c>
      <c r="BA14">
        <v>1.5416666666666714</v>
      </c>
    </row>
    <row r="15" spans="1:53" x14ac:dyDescent="0.15">
      <c r="C15" s="2"/>
      <c r="D15" s="2"/>
      <c r="E15" s="2"/>
      <c r="H15" s="2"/>
      <c r="V15" t="s">
        <v>22</v>
      </c>
      <c r="W15">
        <v>169</v>
      </c>
      <c r="X15" t="s">
        <v>49</v>
      </c>
      <c r="AT15" s="628">
        <v>200</v>
      </c>
      <c r="AU15" s="344">
        <v>109.6</v>
      </c>
      <c r="AV15" s="344">
        <v>125</v>
      </c>
      <c r="AW15" s="628">
        <f t="shared" si="3"/>
        <v>-15.400000000000006</v>
      </c>
      <c r="AY15" t="s">
        <v>87</v>
      </c>
    </row>
    <row r="16" spans="1:53" x14ac:dyDescent="0.15">
      <c r="C16" s="2" t="s">
        <v>10</v>
      </c>
      <c r="D16" s="1"/>
      <c r="E16" s="1"/>
      <c r="H16" s="1"/>
      <c r="U16" s="39" t="s">
        <v>43</v>
      </c>
      <c r="V16" t="s">
        <v>44</v>
      </c>
      <c r="W16" s="9">
        <f>$P$18*J3^2+$Q$18*J3+$R$18</f>
        <v>14.831422496293676</v>
      </c>
      <c r="X16" t="s">
        <v>49</v>
      </c>
      <c r="AT16" s="628">
        <v>250</v>
      </c>
      <c r="AU16" s="344">
        <v>155.1</v>
      </c>
      <c r="AV16" s="344">
        <v>167</v>
      </c>
      <c r="AW16" s="628">
        <f t="shared" si="3"/>
        <v>-11.900000000000006</v>
      </c>
      <c r="AY16" s="2">
        <f>AY14-AY12</f>
        <v>1.7792857142857085E-4</v>
      </c>
      <c r="AZ16" s="2">
        <f t="shared" ref="AZ16:BA16" si="4">AZ14-AZ12</f>
        <v>2.4594047619047821E-2</v>
      </c>
      <c r="BA16" s="2">
        <f t="shared" si="4"/>
        <v>1.395416666666641</v>
      </c>
    </row>
    <row r="17" spans="1:64" x14ac:dyDescent="0.15">
      <c r="C17" t="s">
        <v>11</v>
      </c>
      <c r="D17" s="1"/>
      <c r="E17" s="1"/>
      <c r="H17" s="1"/>
      <c r="P17" t="s">
        <v>51</v>
      </c>
      <c r="V17" t="s">
        <v>52</v>
      </c>
      <c r="W17" s="3">
        <f>IF(W16&gt;W15,W15,W16)</f>
        <v>14.831422496293676</v>
      </c>
      <c r="X17" t="s">
        <v>49</v>
      </c>
      <c r="AT17" s="628">
        <v>300</v>
      </c>
      <c r="AU17" s="344">
        <v>207.8</v>
      </c>
      <c r="AV17" s="344">
        <v>229</v>
      </c>
      <c r="AW17" s="628">
        <f t="shared" si="3"/>
        <v>-21.199999999999989</v>
      </c>
      <c r="AY17">
        <f t="array" ref="AY17:BA17">LINEST(AW11:AW18,AT11:AT18^{1,2})</f>
        <v>-1.779285714285715E-4</v>
      </c>
      <c r="AZ17">
        <v>-2.4594047619047599E-2</v>
      </c>
      <c r="BA17">
        <v>-1.3954166666666667</v>
      </c>
    </row>
    <row r="18" spans="1:64" x14ac:dyDescent="0.15">
      <c r="C18" t="s">
        <v>4</v>
      </c>
      <c r="D18" t="s">
        <v>5</v>
      </c>
      <c r="E18" t="s">
        <v>6</v>
      </c>
      <c r="H18" s="1"/>
      <c r="P18" s="51">
        <f t="array" ref="P18:R18">LINEST(AE34:AE37,AC34:AC37^{1,2})</f>
        <v>3.2222449305837432E-2</v>
      </c>
      <c r="Q18" s="51">
        <v>-1.6547507368093721</v>
      </c>
      <c r="R18" s="51">
        <v>33.439606227814323</v>
      </c>
      <c r="AT18" s="628">
        <v>350</v>
      </c>
      <c r="AU18" s="344">
        <v>267.7</v>
      </c>
      <c r="AV18" s="344">
        <v>304</v>
      </c>
      <c r="AW18" s="628">
        <f t="shared" si="3"/>
        <v>-36.300000000000011</v>
      </c>
    </row>
    <row r="19" spans="1:64" x14ac:dyDescent="0.15">
      <c r="A19" s="2" t="s">
        <v>2876</v>
      </c>
      <c r="C19" s="1654">
        <v>3.1630306487606197E-3</v>
      </c>
      <c r="D19" s="1654">
        <v>-4.7020330971767343</v>
      </c>
      <c r="E19" s="1654">
        <v>410.26628954243944</v>
      </c>
      <c r="V19" t="s">
        <v>58</v>
      </c>
      <c r="W19">
        <f>'Laskenta poistopuoli 60_ENT'!W14</f>
        <v>18.17041705048598</v>
      </c>
      <c r="AB19" s="6"/>
      <c r="AC19" s="6"/>
    </row>
    <row r="20" spans="1:64" x14ac:dyDescent="0.15">
      <c r="C20" s="2"/>
      <c r="D20" s="2"/>
      <c r="E20" s="2"/>
      <c r="H20" s="1"/>
      <c r="V20" t="s">
        <v>73</v>
      </c>
      <c r="W20">
        <v>3</v>
      </c>
      <c r="AB20" s="6"/>
      <c r="AC20" s="6"/>
      <c r="AT20" s="2" t="s">
        <v>2880</v>
      </c>
    </row>
    <row r="21" spans="1:64" x14ac:dyDescent="0.15">
      <c r="C21" s="2" t="s">
        <v>12</v>
      </c>
      <c r="D21" s="1"/>
      <c r="E21" s="1"/>
      <c r="H21" s="1"/>
      <c r="AB21" s="6"/>
      <c r="AC21" s="6"/>
      <c r="AU21" t="s">
        <v>4</v>
      </c>
      <c r="AV21" t="s">
        <v>5</v>
      </c>
      <c r="AW21" t="s">
        <v>6</v>
      </c>
    </row>
    <row r="22" spans="1:64" x14ac:dyDescent="0.15">
      <c r="C22" t="s">
        <v>11</v>
      </c>
      <c r="D22" s="1"/>
      <c r="E22" s="1"/>
      <c r="H22" s="1"/>
      <c r="V22" s="74" t="s">
        <v>74</v>
      </c>
      <c r="W22" s="77">
        <f>W16+W19+W20</f>
        <v>36.001839546779657</v>
      </c>
      <c r="X22" s="75" t="s">
        <v>49</v>
      </c>
      <c r="AB22" s="6"/>
      <c r="AC22" s="6"/>
      <c r="AT22">
        <v>10</v>
      </c>
      <c r="AU22" s="8">
        <v>-4.5000880006631935E-4</v>
      </c>
      <c r="AV22" s="8">
        <v>-7.1220897873912508</v>
      </c>
      <c r="AW22" s="8">
        <v>1234.8647268732273</v>
      </c>
    </row>
    <row r="23" spans="1:64" x14ac:dyDescent="0.15">
      <c r="C23" t="s">
        <v>4</v>
      </c>
      <c r="D23" t="s">
        <v>5</v>
      </c>
      <c r="E23" t="s">
        <v>6</v>
      </c>
      <c r="H23" s="1"/>
      <c r="V23" t="s">
        <v>78</v>
      </c>
      <c r="W23">
        <f>MAX(J3,'Laskenta poistopuoli 60_ENT'!J3)</f>
        <v>34.722222222222221</v>
      </c>
      <c r="X23" t="s">
        <v>13</v>
      </c>
      <c r="AT23">
        <v>6.5</v>
      </c>
      <c r="AU23" s="8">
        <v>1.2233839049719407E-2</v>
      </c>
      <c r="AV23" s="8">
        <v>-7.7391330421459861</v>
      </c>
      <c r="AW23" s="8">
        <v>790.65968836250443</v>
      </c>
    </row>
    <row r="24" spans="1:64" ht="15" x14ac:dyDescent="0.15">
      <c r="A24" s="2" t="s">
        <v>2876</v>
      </c>
      <c r="C24" s="1654">
        <v>-2.2166403904158357E-2</v>
      </c>
      <c r="D24" s="1654">
        <v>-1.037841772715546</v>
      </c>
      <c r="E24" s="1654">
        <v>104.76883483557231</v>
      </c>
      <c r="H24" s="1"/>
      <c r="V24" t="s">
        <v>75</v>
      </c>
      <c r="W24">
        <f>W22/W23</f>
        <v>1.036852978947254</v>
      </c>
      <c r="X24" t="s">
        <v>77</v>
      </c>
      <c r="AT24">
        <v>5</v>
      </c>
      <c r="AU24" s="8">
        <v>2.9851020773320486E-3</v>
      </c>
      <c r="AV24" s="8">
        <v>-4.7266271447957822</v>
      </c>
      <c r="AW24" s="8">
        <v>408.87087287577282</v>
      </c>
    </row>
    <row r="25" spans="1:64" x14ac:dyDescent="0.15">
      <c r="G25" s="2"/>
      <c r="H25" s="1"/>
      <c r="AT25">
        <v>3</v>
      </c>
      <c r="AU25" s="8">
        <v>-2.2344332475586929E-2</v>
      </c>
      <c r="AV25" s="8">
        <v>-1.0624358203345938</v>
      </c>
      <c r="AW25" s="8">
        <v>103.37341816890566</v>
      </c>
    </row>
    <row r="27" spans="1:64" x14ac:dyDescent="0.15">
      <c r="U27" t="s">
        <v>37</v>
      </c>
    </row>
    <row r="28" spans="1:64" x14ac:dyDescent="0.15">
      <c r="U28" s="4" t="s">
        <v>17</v>
      </c>
      <c r="AL28" t="s">
        <v>1153</v>
      </c>
      <c r="AT28" s="2" t="s">
        <v>2882</v>
      </c>
    </row>
    <row r="29" spans="1:64" x14ac:dyDescent="0.15">
      <c r="U29" s="4">
        <f>(L3/J3)^2/L3</f>
        <v>6.2208000000000006E-2</v>
      </c>
      <c r="AL29" s="213">
        <f>IF($AL$36&gt;$AC$35,Q13,Q12)</f>
        <v>0</v>
      </c>
      <c r="AM29" s="213">
        <f>IF($AL$36&gt;$AC$35,R13,R12)</f>
        <v>8.5595517530485749E-2</v>
      </c>
      <c r="AN29" s="213">
        <f>IF($AL$36&gt;$AC$35,S13,S12)</f>
        <v>0.47573011306532997</v>
      </c>
      <c r="AU29" t="s">
        <v>4</v>
      </c>
      <c r="AV29" t="s">
        <v>5</v>
      </c>
      <c r="AW29" t="s">
        <v>6</v>
      </c>
    </row>
    <row r="30" spans="1:64" x14ac:dyDescent="0.15">
      <c r="AT30">
        <f>AT22</f>
        <v>10</v>
      </c>
      <c r="AU30" s="1654">
        <f>AU22+$AY$16</f>
        <v>-2.720802286377485E-4</v>
      </c>
      <c r="AV30" s="1654">
        <f>AV22+$AZ$16</f>
        <v>-7.0974957397722029</v>
      </c>
      <c r="AW30" s="1654">
        <f>AW22+$BA$16</f>
        <v>1236.260143539894</v>
      </c>
    </row>
    <row r="31" spans="1:64" x14ac:dyDescent="0.15">
      <c r="U31" s="2" t="s">
        <v>16</v>
      </c>
      <c r="AL31" s="2" t="s">
        <v>1110</v>
      </c>
      <c r="AT31">
        <v>7.5</v>
      </c>
      <c r="AU31" s="1654">
        <f>AU23+$AY$16</f>
        <v>1.2411767621147977E-2</v>
      </c>
      <c r="AV31" s="1654">
        <f>AV23+$AZ$16</f>
        <v>-7.7145389945269383</v>
      </c>
      <c r="AW31" s="1654">
        <f>AW23+$BA$16</f>
        <v>792.05510502917105</v>
      </c>
    </row>
    <row r="32" spans="1:64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T32">
        <f t="shared" ref="AT32:AT33" si="5">AT24</f>
        <v>5</v>
      </c>
      <c r="AU32" s="1654">
        <f>AU24+$AY$16</f>
        <v>3.1630306487606197E-3</v>
      </c>
      <c r="AV32" s="1654">
        <f>AV24+$AZ$16</f>
        <v>-4.7020330971767343</v>
      </c>
      <c r="AW32" s="1654">
        <f>AW24+$BA$16</f>
        <v>410.26628954243944</v>
      </c>
      <c r="BC32" t="s">
        <v>2883</v>
      </c>
      <c r="BL32" t="s">
        <v>2883</v>
      </c>
    </row>
    <row r="33" spans="21:71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  <c r="AT33">
        <f t="shared" si="5"/>
        <v>3</v>
      </c>
      <c r="AU33" s="1654">
        <f>AU25+$AY$16</f>
        <v>-2.2166403904158357E-2</v>
      </c>
      <c r="AV33" s="1654">
        <f>AV25+$AZ$16</f>
        <v>-1.037841772715546</v>
      </c>
      <c r="AW33" s="1654">
        <f>AW25+$BA$16</f>
        <v>104.76883483557231</v>
      </c>
      <c r="BC33" s="2" t="s">
        <v>2884</v>
      </c>
      <c r="BL33" s="2" t="s">
        <v>2727</v>
      </c>
    </row>
    <row r="34" spans="21:71" x14ac:dyDescent="0.15">
      <c r="U34" s="35">
        <v>10</v>
      </c>
      <c r="V34" s="98">
        <f>C9</f>
        <v>-2.720802286377485E-4</v>
      </c>
      <c r="W34" s="99">
        <f>D9</f>
        <v>-7.0974957397722029</v>
      </c>
      <c r="X34" s="100">
        <f>E9</f>
        <v>1236.260143539894</v>
      </c>
      <c r="Y34" s="36">
        <f>C9-U29</f>
        <v>-6.2480080228637755E-2</v>
      </c>
      <c r="Z34" s="28">
        <f>(-W34+SQRT(W34^2-(4*Y34*X34)))/(2*Y34)</f>
        <v>-208.49674716034278</v>
      </c>
      <c r="AA34" s="29">
        <f>(-W34-SQRT(W34^2-(4*Y34*X34)))/(2*Y34)</f>
        <v>94.900610378830393</v>
      </c>
      <c r="AB34" s="36">
        <f>AB6</f>
        <v>164.68916428096787</v>
      </c>
      <c r="AC34" s="53">
        <f>IF(Z34&lt;0,AA34,IF(Z34&gt;AB34,AA34,Z34))</f>
        <v>94.900610378830393</v>
      </c>
      <c r="AD34" s="53">
        <f>V34*AC34^2+W34*AC34+X34</f>
        <v>560.25307689388046</v>
      </c>
      <c r="AE34" s="53">
        <f>AB83*AC34^2+AC83*AC34+AD83</f>
        <v>166.94289409818376</v>
      </c>
      <c r="AF34" s="53">
        <f>$H$60*AC34^2+$I$60*AC34+$J$60</f>
        <v>56.111956801467315</v>
      </c>
      <c r="AG34" s="53">
        <f>$R$60*AC34^2+$S$60*AC34+$T$60</f>
        <v>73.428305005485569</v>
      </c>
      <c r="AI34">
        <v>10</v>
      </c>
      <c r="AJ34" s="3">
        <f>AC34</f>
        <v>94.900610378830393</v>
      </c>
      <c r="AL34" s="616">
        <f>AC34/$J$3-1</f>
        <v>1.7331375789103154</v>
      </c>
      <c r="AO34" s="278" t="b">
        <f>IF(AL36&gt;AC34,FALSE,TRUE)</f>
        <v>1</v>
      </c>
      <c r="AP34" t="s">
        <v>1117</v>
      </c>
      <c r="BC34" s="1655" t="s">
        <v>102</v>
      </c>
      <c r="BD34" s="1656"/>
      <c r="BE34" s="1655" t="s">
        <v>564</v>
      </c>
      <c r="BF34" s="1657"/>
      <c r="BG34" s="1655" t="s">
        <v>103</v>
      </c>
      <c r="BH34" s="1657"/>
      <c r="BI34" s="1656" t="s">
        <v>104</v>
      </c>
      <c r="BJ34" s="1657"/>
      <c r="BL34" s="1655" t="s">
        <v>102</v>
      </c>
      <c r="BM34" s="1656"/>
      <c r="BN34" s="1655" t="s">
        <v>564</v>
      </c>
      <c r="BO34" s="1657"/>
      <c r="BP34" s="1655" t="s">
        <v>103</v>
      </c>
      <c r="BQ34" s="1657"/>
      <c r="BR34" s="1656" t="s">
        <v>104</v>
      </c>
      <c r="BS34" s="1657"/>
    </row>
    <row r="35" spans="21:71" x14ac:dyDescent="0.15">
      <c r="U35" s="35">
        <v>6.5</v>
      </c>
      <c r="V35" s="98">
        <f>C14</f>
        <v>1.2411767621147977E-2</v>
      </c>
      <c r="W35" s="99">
        <f>D14</f>
        <v>-7.7145389945269383</v>
      </c>
      <c r="X35" s="100">
        <f>E14</f>
        <v>792.05510502917105</v>
      </c>
      <c r="Y35" s="36">
        <f>C14-U29</f>
        <v>-4.9796232378852029E-2</v>
      </c>
      <c r="Z35" s="28">
        <f t="shared" ref="Z35:Z37" si="6">(-W35+SQRT(W35^2-(4*Y35*X35)))/(2*Y35)</f>
        <v>-225.4683070311408</v>
      </c>
      <c r="AA35" s="29">
        <f t="shared" ref="AA35:AA37" si="7">(-W35-SQRT(W35^2-(4*Y35*X35)))/(2*Y35)</f>
        <v>70.546164812943033</v>
      </c>
      <c r="AB35" s="36">
        <f>AD6</f>
        <v>121.06721286656557</v>
      </c>
      <c r="AC35" s="53">
        <f t="shared" ref="AC35:AC37" si="8">IF(Z35&lt;0,AA35,IF(Z35&gt;AB35,AA35,Z35))</f>
        <v>70.546164812943033</v>
      </c>
      <c r="AD35" s="53">
        <f>V35*AC35^2+W35*AC35+X35</f>
        <v>309.59437129344673</v>
      </c>
      <c r="AE35" s="53">
        <f>AB84*AC35^2+AC84*AC35+AD84</f>
        <v>75.787338367670941</v>
      </c>
      <c r="AF35" s="53">
        <f>$H$65*AC35^2+$I$65*AC35+$J$65</f>
        <v>58.073557849808779</v>
      </c>
      <c r="AG35" s="53">
        <f>$R$65*AC35^2+$S$65*AC35+$T$65</f>
        <v>64.743220013449601</v>
      </c>
      <c r="AI35">
        <v>6.5</v>
      </c>
      <c r="AJ35" s="3">
        <f>AC35</f>
        <v>70.546164812943033</v>
      </c>
      <c r="AL35" t="s">
        <v>1114</v>
      </c>
      <c r="AO35" t="s">
        <v>1116</v>
      </c>
      <c r="BC35" s="1658" t="s">
        <v>14</v>
      </c>
      <c r="BD35" s="1659" t="s">
        <v>13</v>
      </c>
      <c r="BE35" s="1658" t="s">
        <v>14</v>
      </c>
      <c r="BF35" s="1660" t="s">
        <v>13</v>
      </c>
      <c r="BG35" s="1658" t="s">
        <v>14</v>
      </c>
      <c r="BH35" s="1660" t="s">
        <v>13</v>
      </c>
      <c r="BI35" s="1659" t="s">
        <v>14</v>
      </c>
      <c r="BJ35" s="1660" t="s">
        <v>13</v>
      </c>
      <c r="BL35" s="1658" t="s">
        <v>14</v>
      </c>
      <c r="BM35" s="1659" t="s">
        <v>13</v>
      </c>
      <c r="BN35" s="1658" t="s">
        <v>14</v>
      </c>
      <c r="BO35" s="1660" t="s">
        <v>13</v>
      </c>
      <c r="BP35" s="1658" t="s">
        <v>14</v>
      </c>
      <c r="BQ35" s="1660" t="s">
        <v>13</v>
      </c>
      <c r="BR35" s="1659" t="s">
        <v>14</v>
      </c>
      <c r="BS35" s="1660" t="s">
        <v>13</v>
      </c>
    </row>
    <row r="36" spans="21:71" x14ac:dyDescent="0.15">
      <c r="U36" s="35">
        <v>5</v>
      </c>
      <c r="V36" s="98">
        <f>C19</f>
        <v>3.1630306487606197E-3</v>
      </c>
      <c r="W36" s="99">
        <f>D19</f>
        <v>-4.7020330971767343</v>
      </c>
      <c r="X36" s="100">
        <f>E19</f>
        <v>410.26628954243944</v>
      </c>
      <c r="Y36" s="36">
        <f>C19-U29</f>
        <v>-5.9044969351239388E-2</v>
      </c>
      <c r="Z36" s="28">
        <f t="shared" si="6"/>
        <v>-132.19592847316451</v>
      </c>
      <c r="AA36" s="29">
        <f t="shared" si="7"/>
        <v>52.561149272825489</v>
      </c>
      <c r="AB36" s="36">
        <f>AF6</f>
        <v>87.031407197974815</v>
      </c>
      <c r="AC36" s="53">
        <f t="shared" si="8"/>
        <v>52.561149272825489</v>
      </c>
      <c r="AD36" s="53">
        <f>V36*AC36^2+W36*AC36+X36</f>
        <v>171.86044987645411</v>
      </c>
      <c r="AE36" s="53">
        <f>AB85*AC36^2+AC85*AC36+AD85</f>
        <v>36.797023285222394</v>
      </c>
      <c r="AF36" s="53">
        <f>$H$70*AC36^2+$I$70*AC36+$J$70</f>
        <v>48.013308135963882</v>
      </c>
      <c r="AG36" s="53">
        <f>$R$70*AC36^2+$S$70*AC36+$T$70</f>
        <v>60.097907315597602</v>
      </c>
      <c r="AI36">
        <f>AVERAGE(AI35,AI37)</f>
        <v>5.75</v>
      </c>
      <c r="AJ36">
        <f>AVERAGE(AJ35,AJ37)</f>
        <v>61.553657042884261</v>
      </c>
      <c r="AL36" s="609">
        <f>Tulokset_ENT!$CR$16</f>
        <v>41.666666666666664</v>
      </c>
      <c r="AM36" t="s">
        <v>13</v>
      </c>
      <c r="AO36" s="617">
        <f>AL29*AL36^2+AM29*AL36+AN29</f>
        <v>4.0422100101689029</v>
      </c>
      <c r="AP36" t="s">
        <v>25</v>
      </c>
      <c r="AT36" t="s">
        <v>2885</v>
      </c>
      <c r="BC36" s="55">
        <v>60</v>
      </c>
      <c r="BD36" s="1662">
        <f t="shared" ref="BD36:BD42" si="9">(-$AV$22-SQRT($AV$22^2-(4*$AU$22*($AW$22-BC36))))/(2*$AU$22)</f>
        <v>163.27621827727629</v>
      </c>
      <c r="BE36" s="55">
        <v>40</v>
      </c>
      <c r="BF36" s="1662">
        <f t="shared" ref="BF36:BF42" si="10">(-$AV$23-SQRT($AV$23^2-(4*$AU$23*($AW$23-BE36))))/(2*$AU$23)</f>
        <v>119.61125525000722</v>
      </c>
      <c r="BG36" s="55">
        <v>25</v>
      </c>
      <c r="BH36" s="1662">
        <f t="shared" ref="BH36:BH41" si="11">(-$AV$24-SQRT($AV$24^2-(4*$AU$24*($AW$24-BG36))))/(2*$AU$24)</f>
        <v>85.871546877565663</v>
      </c>
      <c r="BI36" s="56">
        <v>10</v>
      </c>
      <c r="BJ36" s="1662">
        <f>(-$AV$25-SQRT($AV$25^2-(4*$AU$25*($AW$25-BI36))))/(2*$AU$25)</f>
        <v>45.102913284775056</v>
      </c>
      <c r="BL36" s="55">
        <v>60</v>
      </c>
      <c r="BM36" s="1662">
        <f t="shared" ref="BM36:BM42" si="12">(-$AV$30-SQRT($AV$30^2-(4*$AU$30*($AW$30-BL36))))/(2*$AU$30)</f>
        <v>164.68916428096787</v>
      </c>
      <c r="BN36" s="55">
        <v>40</v>
      </c>
      <c r="BO36" s="1662">
        <f t="array" ref="BO36">(-$AV$31-SQRT($AV$31^2-(4*$AU$31*($AW$31-BN36))))/(2*$AU$31)</f>
        <v>121.06721286656557</v>
      </c>
      <c r="BP36" s="55">
        <v>25</v>
      </c>
      <c r="BQ36" s="1662">
        <f t="shared" ref="BQ36:BQ41" si="13">(-$AV$32-SQRT($AV$32^2-(4*$AU$32*($AW$32-BP36))))/(2*$AU$32)</f>
        <v>87.031407197974815</v>
      </c>
      <c r="BR36" s="56">
        <v>10</v>
      </c>
      <c r="BS36" s="1662">
        <f>(-$AV$33-SQRT($AV$33^2-(4*$AU$33*($AW$33-BR36))))/(2*$AU$33)</f>
        <v>46.040286179214114</v>
      </c>
    </row>
    <row r="37" spans="21:71" x14ac:dyDescent="0.15">
      <c r="U37" s="38">
        <v>3</v>
      </c>
      <c r="V37" s="101">
        <f>C24</f>
        <v>-2.2166403904158357E-2</v>
      </c>
      <c r="W37" s="102">
        <f>D24</f>
        <v>-1.037841772715546</v>
      </c>
      <c r="X37" s="103">
        <f>E24</f>
        <v>104.76883483557231</v>
      </c>
      <c r="Y37" s="37">
        <f>C24-U29</f>
        <v>-8.437440390415836E-2</v>
      </c>
      <c r="Z37" s="30">
        <f t="shared" si="6"/>
        <v>-41.920856412248625</v>
      </c>
      <c r="AA37" s="31">
        <f t="shared" si="7"/>
        <v>29.620422575768554</v>
      </c>
      <c r="AB37" s="37">
        <f>AH6</f>
        <v>46.040286179214114</v>
      </c>
      <c r="AC37" s="53">
        <f t="shared" si="8"/>
        <v>29.620422575768554</v>
      </c>
      <c r="AD37" s="53">
        <f>V37*AC37^2+W37*AC37+X37</f>
        <v>54.579397723342133</v>
      </c>
      <c r="AE37" s="53">
        <f>AB86*AC37^2+AC86*AC37+AD86</f>
        <v>12.321982351995995</v>
      </c>
      <c r="AF37" s="53">
        <f>$H$75*AC37^2+$I$75*AC37+$J$75</f>
        <v>38.984114432492937</v>
      </c>
      <c r="AG37" s="53">
        <f>$R$75*AC37^2+$S$75*AC37+$T$75</f>
        <v>46.749568960217189</v>
      </c>
      <c r="AI37">
        <v>5</v>
      </c>
      <c r="AJ37" s="3">
        <f>AC36</f>
        <v>52.561149272825489</v>
      </c>
      <c r="AL37" s="609">
        <f>Tulokset_ENT!$CR$17</f>
        <v>107.99999999999999</v>
      </c>
      <c r="AM37" t="s">
        <v>14</v>
      </c>
      <c r="AU37" t="s">
        <v>13</v>
      </c>
      <c r="AV37" s="4" t="s">
        <v>2886</v>
      </c>
      <c r="AW37" s="4" t="s">
        <v>2887</v>
      </c>
      <c r="AY37" t="s">
        <v>2119</v>
      </c>
      <c r="BC37" s="55">
        <v>120</v>
      </c>
      <c r="BD37" s="57">
        <f t="shared" si="9"/>
        <v>155.01781265788924</v>
      </c>
      <c r="BE37" s="55">
        <v>50</v>
      </c>
      <c r="BF37" s="57">
        <f t="shared" si="10"/>
        <v>117.54420481108893</v>
      </c>
      <c r="BG37" s="55">
        <v>40</v>
      </c>
      <c r="BH37" s="57">
        <f t="shared" si="11"/>
        <v>82.320877538980454</v>
      </c>
      <c r="BI37" s="56">
        <v>20</v>
      </c>
      <c r="BJ37" s="57">
        <f>(-$AV$25-SQRT($AV$25^2-(4*$AU$25*($AW$25-BI37))))/(2*$AU$25)</f>
        <v>41.773612621820391</v>
      </c>
      <c r="BL37" s="55">
        <v>120</v>
      </c>
      <c r="BM37" s="57">
        <f t="shared" si="12"/>
        <v>156.33824873484488</v>
      </c>
      <c r="BN37" s="55">
        <v>50</v>
      </c>
      <c r="BO37" s="57">
        <f t="array" ref="BO37">(-$AV$31-SQRT($AV$31^2-(4*$AU$31*($AW$31-BN37))))/(2*$AU$31)</f>
        <v>118.95547364278103</v>
      </c>
      <c r="BP37" s="55">
        <v>40</v>
      </c>
      <c r="BQ37" s="57">
        <f t="shared" si="13"/>
        <v>83.42811903148889</v>
      </c>
      <c r="BR37" s="56">
        <v>20</v>
      </c>
      <c r="BS37" s="57">
        <f>(-$AV$33-SQRT($AV$33^2-(4*$AU$33*($AW$33-BR37))))/(2*$AU$33)</f>
        <v>42.712694256060544</v>
      </c>
    </row>
    <row r="38" spans="21:71" x14ac:dyDescent="0.15">
      <c r="AI38">
        <f>AVERAGE(AI37,AI39)</f>
        <v>4</v>
      </c>
      <c r="AJ38">
        <f>AVERAGE(AJ37,AJ39)</f>
        <v>41.090785924297023</v>
      </c>
      <c r="AT38" t="s">
        <v>102</v>
      </c>
      <c r="AU38">
        <v>100</v>
      </c>
      <c r="AV38" s="5">
        <f>$AU$22*AU38^2+$AV$22*AU38+$AW$22</f>
        <v>518.15566013343903</v>
      </c>
      <c r="AW38" s="5">
        <f>$AU$30*AU38^2+$AV$30*AU38+$AW$30</f>
        <v>523.78976727629617</v>
      </c>
      <c r="AY38" s="3">
        <f>AV38-AW38</f>
        <v>-5.6341071428571468</v>
      </c>
      <c r="BC38" s="55">
        <v>190</v>
      </c>
      <c r="BD38" s="57">
        <f t="shared" si="9"/>
        <v>145.37230967576792</v>
      </c>
      <c r="BE38" s="55">
        <v>100</v>
      </c>
      <c r="BF38" s="57">
        <f t="shared" si="10"/>
        <v>107.51569663316263</v>
      </c>
      <c r="BG38" s="55">
        <v>60</v>
      </c>
      <c r="BH38" s="57">
        <f t="shared" si="11"/>
        <v>77.614114597794</v>
      </c>
      <c r="BI38" s="56">
        <v>25</v>
      </c>
      <c r="BJ38" s="57">
        <f>(-$AV$25-SQRT($AV$25^2-(4*$AU$25*($AW$25-BI38))))/(2*$AU$25)</f>
        <v>40.043863570173315</v>
      </c>
      <c r="BL38" s="55">
        <v>190</v>
      </c>
      <c r="BM38" s="57">
        <f t="shared" si="12"/>
        <v>146.58883133740329</v>
      </c>
      <c r="BN38" s="55">
        <v>100</v>
      </c>
      <c r="BO38" s="57">
        <f t="array" ref="BO38">(-$AV$31-SQRT($AV$31^2-(4*$AU$31*($AW$31-BN38))))/(2*$AU$31)</f>
        <v>108.72757540655722</v>
      </c>
      <c r="BP38" s="55">
        <v>60</v>
      </c>
      <c r="BQ38" s="57">
        <f t="shared" si="13"/>
        <v>78.654122417993619</v>
      </c>
      <c r="BR38" s="56">
        <v>25</v>
      </c>
      <c r="BS38" s="57">
        <f>(-$AV$33-SQRT($AV$33^2-(4*$AU$33*($AW$33-BR38))))/(2*$AU$33)</f>
        <v>40.984448126885262</v>
      </c>
    </row>
    <row r="39" spans="21:71" x14ac:dyDescent="0.15">
      <c r="U39" s="2" t="s">
        <v>35</v>
      </c>
      <c r="W39" t="s">
        <v>36</v>
      </c>
      <c r="AI39">
        <v>3</v>
      </c>
      <c r="AJ39" s="3">
        <f>AC37</f>
        <v>29.620422575768554</v>
      </c>
      <c r="AU39">
        <v>60</v>
      </c>
      <c r="AV39" s="5">
        <f>$AU$22*AU39^2+$AV$22*AU39+$AW$22</f>
        <v>805.9193079495135</v>
      </c>
      <c r="AW39" s="5">
        <f>$AU$30*AU39^2+$AV$30*AU39+$AW$30</f>
        <v>809.43091033046585</v>
      </c>
      <c r="AY39" s="3">
        <f t="shared" ref="AY39:AY44" si="14">AV39-AW39</f>
        <v>-3.511602380952354</v>
      </c>
      <c r="BC39" s="55">
        <v>250</v>
      </c>
      <c r="BD39" s="57">
        <f t="shared" si="9"/>
        <v>137.09553750932855</v>
      </c>
      <c r="BE39" s="55">
        <v>150</v>
      </c>
      <c r="BF39" s="57">
        <f t="shared" si="10"/>
        <v>97.947292697105993</v>
      </c>
      <c r="BG39" s="55">
        <v>80</v>
      </c>
      <c r="BH39" s="57">
        <f t="shared" si="11"/>
        <v>72.938172794171322</v>
      </c>
      <c r="BI39" s="56">
        <v>30</v>
      </c>
      <c r="BJ39" s="57">
        <f>(-$AV$25-SQRT($AV$25^2-(4*$AU$25*($AW$25-BI39))))/(2*$AU$25)</f>
        <v>38.265905843604642</v>
      </c>
      <c r="BL39" s="55">
        <v>250</v>
      </c>
      <c r="BM39" s="57">
        <f t="shared" si="12"/>
        <v>138.22644841705758</v>
      </c>
      <c r="BN39" s="55">
        <v>150</v>
      </c>
      <c r="BO39" s="57">
        <f t="array" ref="BO39">(-$AV$31-SQRT($AV$31^2-(4*$AU$31*($AW$31-BN39))))/(2*$AU$31)</f>
        <v>98.993053012637731</v>
      </c>
      <c r="BP39" s="55">
        <v>80</v>
      </c>
      <c r="BQ39" s="57">
        <f t="shared" si="13"/>
        <v>73.914173663721783</v>
      </c>
      <c r="BR39" s="56">
        <v>30</v>
      </c>
      <c r="BS39" s="57">
        <f>(-$AV$33-SQRT($AV$33^2-(4*$AU$33*($AW$33-BR39))))/(2*$AU$33)</f>
        <v>39.208521433821417</v>
      </c>
    </row>
    <row r="40" spans="21:71" x14ac:dyDescent="0.15">
      <c r="AU40">
        <v>40</v>
      </c>
      <c r="AV40" s="5">
        <f>$AU$22*AU40^2+$AV$22*AU40+$AW$22</f>
        <v>949.26112129747116</v>
      </c>
      <c r="AW40" s="5">
        <f>$AU$30*AU40^2+$AV$30*AU40+$AW$30</f>
        <v>951.9249855831855</v>
      </c>
      <c r="AY40" s="3">
        <f t="shared" si="14"/>
        <v>-2.6638642857143395</v>
      </c>
      <c r="BC40" s="55">
        <v>320</v>
      </c>
      <c r="BD40" s="57">
        <f t="shared" si="9"/>
        <v>127.42853528220249</v>
      </c>
      <c r="BE40" s="55">
        <v>170</v>
      </c>
      <c r="BF40" s="57">
        <f t="shared" si="10"/>
        <v>94.235341332553887</v>
      </c>
      <c r="BG40" s="55">
        <v>100</v>
      </c>
      <c r="BH40" s="57">
        <f t="shared" si="11"/>
        <v>68.292454467686269</v>
      </c>
      <c r="BI40" s="56">
        <v>50</v>
      </c>
      <c r="BJ40" s="57">
        <f>(-$AV$25-SQRT($AV$25^2-(4*$AU$25*($AW$25-BI40))))/(2*$AU$25)</f>
        <v>30.575525636930571</v>
      </c>
      <c r="BL40" s="55">
        <v>320</v>
      </c>
      <c r="BM40" s="57">
        <f t="shared" si="12"/>
        <v>128.463624829699</v>
      </c>
      <c r="BN40" s="55">
        <v>170</v>
      </c>
      <c r="BO40" s="57">
        <f t="array" ref="BO40">(-$AV$31-SQRT($AV$31^2-(4*$AU$31*($AW$31-BN40))))/(2*$AU$31)</f>
        <v>95.222301961660534</v>
      </c>
      <c r="BP40" s="55">
        <v>100</v>
      </c>
      <c r="BQ40" s="57">
        <f t="shared" si="13"/>
        <v>69.207554513858213</v>
      </c>
      <c r="BR40" s="56">
        <v>50</v>
      </c>
      <c r="BS40" s="57">
        <f>(-$AV$33-SQRT($AV$33^2-(4*$AU$33*($AW$33-BR40))))/(2*$AU$33)</f>
        <v>31.533758619712255</v>
      </c>
    </row>
    <row r="41" spans="21:71" x14ac:dyDescent="0.15">
      <c r="U41" s="10"/>
      <c r="V41" s="22"/>
      <c r="W41" s="43">
        <v>63</v>
      </c>
      <c r="X41" s="44">
        <v>125</v>
      </c>
      <c r="Y41" s="44">
        <v>250</v>
      </c>
      <c r="Z41" s="44">
        <v>500</v>
      </c>
      <c r="AA41" s="44">
        <v>1000</v>
      </c>
      <c r="AB41" s="44">
        <v>2000</v>
      </c>
      <c r="AC41" s="44">
        <v>4000</v>
      </c>
      <c r="AD41" s="45">
        <v>8000</v>
      </c>
      <c r="AH41" s="43">
        <v>63</v>
      </c>
      <c r="AI41" s="44">
        <v>125</v>
      </c>
      <c r="AJ41" s="44">
        <v>250</v>
      </c>
      <c r="AK41" s="44">
        <v>500</v>
      </c>
      <c r="AL41" s="44">
        <v>1000</v>
      </c>
      <c r="AM41" s="44">
        <v>2000</v>
      </c>
      <c r="AN41" s="44">
        <v>4000</v>
      </c>
      <c r="AO41" s="45">
        <v>8000</v>
      </c>
      <c r="AP41" t="s">
        <v>70</v>
      </c>
      <c r="AQ41" t="s">
        <v>71</v>
      </c>
      <c r="AT41" t="s">
        <v>103</v>
      </c>
      <c r="AU41">
        <v>80</v>
      </c>
      <c r="AV41" s="5">
        <f>$AU$24*AU41^2+$AV$24*AU41+$AW$24</f>
        <v>49.845354587035388</v>
      </c>
      <c r="AW41" s="5">
        <f>$AU$32*AU41^2+$AV$32*AU41+$AW$32</f>
        <v>54.347037920368678</v>
      </c>
      <c r="AY41" s="3">
        <f t="shared" si="14"/>
        <v>-4.5016833333332897</v>
      </c>
      <c r="BC41" s="55">
        <v>350</v>
      </c>
      <c r="BD41" s="57">
        <f t="shared" si="9"/>
        <v>123.28197466777817</v>
      </c>
      <c r="BE41" s="55">
        <v>190</v>
      </c>
      <c r="BF41" s="57">
        <f t="shared" si="10"/>
        <v>90.584425650551594</v>
      </c>
      <c r="BG41" s="55">
        <v>130</v>
      </c>
      <c r="BH41" s="57">
        <f t="shared" si="11"/>
        <v>61.379285336312044</v>
      </c>
      <c r="BI41" s="55"/>
      <c r="BJ41" s="57"/>
      <c r="BL41" s="55">
        <v>350</v>
      </c>
      <c r="BM41" s="57">
        <f t="shared" si="12"/>
        <v>124.27734168192819</v>
      </c>
      <c r="BN41" s="55">
        <v>190</v>
      </c>
      <c r="BO41" s="57">
        <f t="array" ref="BO41">(-$AV$31-SQRT($AV$31^2-(4*$AU$31*($AW$31-BN41))))/(2*$AU$31)</f>
        <v>91.516389636149285</v>
      </c>
      <c r="BP41" s="55">
        <v>130</v>
      </c>
      <c r="BQ41" s="57">
        <f t="shared" si="13"/>
        <v>62.208608606064594</v>
      </c>
      <c r="BR41" s="55"/>
      <c r="BS41" s="57"/>
    </row>
    <row r="42" spans="21:71" x14ac:dyDescent="0.15">
      <c r="U42" s="10" t="s">
        <v>26</v>
      </c>
      <c r="V42" s="21"/>
      <c r="W42" s="86">
        <f>W49</f>
        <v>17.350315113104458</v>
      </c>
      <c r="X42" s="86">
        <f t="shared" ref="X42:AD42" si="15">X49</f>
        <v>10.630788748907307</v>
      </c>
      <c r="Y42" s="86">
        <f t="shared" si="15"/>
        <v>5.098929410533886</v>
      </c>
      <c r="Z42" s="86">
        <f t="shared" si="15"/>
        <v>-4.4664152942253494</v>
      </c>
      <c r="AA42" s="86">
        <f t="shared" si="15"/>
        <v>-18.988088587428464</v>
      </c>
      <c r="AB42" s="86">
        <f t="shared" si="15"/>
        <v>-23.738381230041611</v>
      </c>
      <c r="AC42" s="86">
        <f t="shared" si="15"/>
        <v>-30</v>
      </c>
      <c r="AD42" s="86">
        <f t="shared" si="15"/>
        <v>-35</v>
      </c>
      <c r="AG42" s="39" t="s">
        <v>42</v>
      </c>
      <c r="AH42" s="53">
        <f t="shared" ref="AH42:AO42" si="16">$S$5+W42</f>
        <v>61.708253027301822</v>
      </c>
      <c r="AI42" s="53">
        <f t="shared" si="16"/>
        <v>54.988726663104671</v>
      </c>
      <c r="AJ42" s="53">
        <f t="shared" si="16"/>
        <v>49.456867324731249</v>
      </c>
      <c r="AK42" s="53">
        <f t="shared" si="16"/>
        <v>39.891522619972015</v>
      </c>
      <c r="AL42" s="53">
        <f t="shared" si="16"/>
        <v>25.3698493267689</v>
      </c>
      <c r="AM42" s="53">
        <f t="shared" si="16"/>
        <v>20.619556684155754</v>
      </c>
      <c r="AN42" s="53">
        <f t="shared" si="16"/>
        <v>14.357937914197365</v>
      </c>
      <c r="AO42" s="53">
        <f t="shared" si="16"/>
        <v>9.3579379141973646</v>
      </c>
      <c r="AP42" s="5">
        <f t="array" ref="AP42">10*LOG10(SUM(10^(AH42:AO42/10)))</f>
        <v>62.777977946742176</v>
      </c>
      <c r="AQ42" s="5">
        <f t="array" ref="AQ42">10*LOG10(SUM(10^((AH42:AO42+AH45:AO45)/10)))</f>
        <v>44.576394015153696</v>
      </c>
      <c r="AR42" s="5"/>
      <c r="AS42" s="5"/>
      <c r="AU42">
        <v>50</v>
      </c>
      <c r="AV42" s="5">
        <f>$AU$24*AU42^2+$AV$24*AU42+$AW$24</f>
        <v>180.00227082931383</v>
      </c>
      <c r="AW42" s="5">
        <f>$AU$32*AU42^2+$AV$32*AU42+$AW$32</f>
        <v>183.07221130550425</v>
      </c>
      <c r="AY42" s="3">
        <f t="shared" si="14"/>
        <v>-3.0699404761904248</v>
      </c>
      <c r="BC42" s="58">
        <v>420</v>
      </c>
      <c r="BD42" s="60">
        <f t="shared" si="9"/>
        <v>113.59833638037064</v>
      </c>
      <c r="BE42" s="58">
        <v>240</v>
      </c>
      <c r="BF42" s="60">
        <f t="shared" si="10"/>
        <v>81.705583352655495</v>
      </c>
      <c r="BG42" s="58"/>
      <c r="BH42" s="60"/>
      <c r="BI42" s="58"/>
      <c r="BJ42" s="60"/>
      <c r="BL42" s="58">
        <v>420</v>
      </c>
      <c r="BM42" s="60">
        <f t="shared" si="12"/>
        <v>114.50416792437591</v>
      </c>
      <c r="BN42" s="58">
        <v>240</v>
      </c>
      <c r="BO42" s="60">
        <f t="array" ref="BO42">(-$AV$31-SQRT($AV$31^2-(4*$AU$31*($AW$31-BN42))))/(2*$AU$31)</f>
        <v>82.51468853794691</v>
      </c>
      <c r="BP42" s="58"/>
      <c r="BQ42" s="60"/>
      <c r="BR42" s="58"/>
      <c r="BS42" s="60"/>
    </row>
    <row r="43" spans="21:71" x14ac:dyDescent="0.15">
      <c r="U43" s="14" t="s">
        <v>29</v>
      </c>
      <c r="V43" s="26"/>
      <c r="W43" s="86">
        <f>W55</f>
        <v>11.084563387587638</v>
      </c>
      <c r="X43" s="86">
        <f t="shared" ref="X43:AD43" si="17">X55</f>
        <v>10.126110834418219</v>
      </c>
      <c r="Y43" s="86">
        <f t="shared" si="17"/>
        <v>5.509035760924311</v>
      </c>
      <c r="Z43" s="86">
        <f t="shared" si="17"/>
        <v>-4.322820012855491</v>
      </c>
      <c r="AA43" s="86">
        <f t="shared" si="17"/>
        <v>-13.385658225075337</v>
      </c>
      <c r="AB43" s="86">
        <f t="shared" si="17"/>
        <v>-13.814349572554702</v>
      </c>
      <c r="AC43" s="86">
        <f t="shared" si="17"/>
        <v>-23.933303662829033</v>
      </c>
      <c r="AD43" s="86">
        <f t="shared" si="17"/>
        <v>-28.758992045238902</v>
      </c>
      <c r="AG43" s="39" t="s">
        <v>43</v>
      </c>
      <c r="AH43" s="53">
        <f t="shared" ref="AH43:AO43" si="18">$W$8+W43</f>
        <v>61.502865736024738</v>
      </c>
      <c r="AI43" s="53">
        <f t="shared" si="18"/>
        <v>60.544413182855322</v>
      </c>
      <c r="AJ43" s="53">
        <f t="shared" si="18"/>
        <v>55.927338109361415</v>
      </c>
      <c r="AK43" s="53">
        <f t="shared" si="18"/>
        <v>46.095482335581607</v>
      </c>
      <c r="AL43" s="53">
        <f t="shared" si="18"/>
        <v>37.032644123361763</v>
      </c>
      <c r="AM43" s="53">
        <f t="shared" si="18"/>
        <v>36.603952775882398</v>
      </c>
      <c r="AN43" s="53">
        <f t="shared" si="18"/>
        <v>26.484998685608069</v>
      </c>
      <c r="AO43" s="53">
        <f t="shared" si="18"/>
        <v>21.6593103031982</v>
      </c>
      <c r="AP43" s="5">
        <f t="array" ref="AP43">10*LOG10(SUM(10^(AH43:AO43/10)))</f>
        <v>64.75589189462076</v>
      </c>
      <c r="AQ43" s="5">
        <f t="array" ref="AQ43">10*LOG10(SUM(10^((AH43:AO43+AH45:AO45)/10)))</f>
        <v>50.662940881269549</v>
      </c>
      <c r="AR43" s="5"/>
      <c r="AS43" s="5"/>
      <c r="AU43">
        <v>30</v>
      </c>
      <c r="AV43" s="5">
        <f>$AU$24*AU43^2+$AV$24*AU43+$AW$24</f>
        <v>269.75865040149824</v>
      </c>
      <c r="AW43" s="5">
        <f>$AU$32*AU43^2+$AV$32*AU43+$AW$32</f>
        <v>272.05202421102194</v>
      </c>
      <c r="AY43" s="3">
        <f t="shared" si="14"/>
        <v>-2.2933738095237004</v>
      </c>
    </row>
    <row r="44" spans="21:71" x14ac:dyDescent="0.15">
      <c r="AE44" t="s">
        <v>140</v>
      </c>
      <c r="AY44" s="3">
        <f t="shared" si="14"/>
        <v>0</v>
      </c>
    </row>
    <row r="45" spans="21:71" x14ac:dyDescent="0.15">
      <c r="U45" t="s">
        <v>26</v>
      </c>
      <c r="V45">
        <v>10</v>
      </c>
      <c r="W45" s="49">
        <v>15.295903703473467</v>
      </c>
      <c r="X45" s="49">
        <v>6.9606844827178733</v>
      </c>
      <c r="Y45" s="49">
        <v>1.935537565534295</v>
      </c>
      <c r="Z45" s="49">
        <v>0.80412623094933799</v>
      </c>
      <c r="AA45" s="49">
        <v>-13.48298515888643</v>
      </c>
      <c r="AB45" s="49">
        <v>-17.356702189585882</v>
      </c>
      <c r="AC45" s="49">
        <v>-22.469592711139754</v>
      </c>
      <c r="AD45" s="49">
        <v>-29.685489565677955</v>
      </c>
      <c r="AE45" s="32">
        <f>ABS($W$12-V45)</f>
        <v>6.5522033060150262</v>
      </c>
      <c r="AH45" s="73">
        <v>-26.2</v>
      </c>
      <c r="AI45" s="73">
        <v>-16.100000000000001</v>
      </c>
      <c r="AJ45" s="73">
        <v>-8.6</v>
      </c>
      <c r="AK45" s="73">
        <v>-3.2</v>
      </c>
      <c r="AL45" s="73">
        <v>0</v>
      </c>
      <c r="AM45" s="73">
        <v>1.2</v>
      </c>
      <c r="AN45" s="73">
        <v>1</v>
      </c>
      <c r="AO45" s="73">
        <v>-1.1000000000000001</v>
      </c>
    </row>
    <row r="46" spans="21:71" x14ac:dyDescent="0.15">
      <c r="V46">
        <v>6.5</v>
      </c>
      <c r="W46" s="49">
        <v>14.136883628769926</v>
      </c>
      <c r="X46" s="49">
        <v>5.8347496355939548</v>
      </c>
      <c r="Y46" s="49">
        <v>3.3755957124767981</v>
      </c>
      <c r="Z46" s="49">
        <v>1.0256528729394354</v>
      </c>
      <c r="AA46" s="49">
        <v>-16.732317497815437</v>
      </c>
      <c r="AB46" s="49">
        <v>-20.921804597817399</v>
      </c>
      <c r="AC46" s="49">
        <v>-26.633808344493076</v>
      </c>
      <c r="AD46" s="49">
        <v>-32.178832312787037</v>
      </c>
      <c r="AE46" s="32">
        <f>ABS($W$12-V46)</f>
        <v>3.0522033060150262</v>
      </c>
      <c r="AP46" t="str">
        <f>IF(ABS(W5-AQ42)&lt;0.5,"OK","Tarkista laskenta!")</f>
        <v>Tarkista laskenta!</v>
      </c>
    </row>
    <row r="47" spans="21:71" x14ac:dyDescent="0.15">
      <c r="V47">
        <v>5</v>
      </c>
      <c r="W47" s="49">
        <v>13.207303139013563</v>
      </c>
      <c r="X47" s="49">
        <v>7.27329685557193</v>
      </c>
      <c r="Y47" s="49">
        <v>6.0198246123504049</v>
      </c>
      <c r="Z47" s="49">
        <v>-5.5137584121986887</v>
      </c>
      <c r="AA47" s="49">
        <v>-18.724936993031957</v>
      </c>
      <c r="AB47" s="49">
        <v>-22.9828764100704</v>
      </c>
      <c r="AC47" s="49">
        <v>-29.235642196929327</v>
      </c>
      <c r="AD47" s="49">
        <v>-33</v>
      </c>
      <c r="AE47" s="32">
        <f>ABS($W$12-V47)</f>
        <v>1.5522033060150262</v>
      </c>
      <c r="AP47" t="str">
        <f>IF(ABS(W8-AQ43)&lt;0.5,"OK","Tarkista laskenta!")</f>
        <v>OK</v>
      </c>
    </row>
    <row r="48" spans="21:71" x14ac:dyDescent="0.15">
      <c r="V48">
        <v>3</v>
      </c>
      <c r="W48" s="49">
        <v>17.350315113104458</v>
      </c>
      <c r="X48" s="49">
        <v>10.630788748907307</v>
      </c>
      <c r="Y48" s="49">
        <v>5.098929410533886</v>
      </c>
      <c r="Z48" s="49">
        <v>-4.4664152942253494</v>
      </c>
      <c r="AA48" s="49">
        <v>-18.988088587428464</v>
      </c>
      <c r="AB48" s="49">
        <v>-23.738381230041611</v>
      </c>
      <c r="AC48" s="49">
        <v>-30</v>
      </c>
      <c r="AD48" s="49">
        <v>-35</v>
      </c>
      <c r="AE48" s="32">
        <f>ABS($W$12-V48)</f>
        <v>0.44779669398497379</v>
      </c>
    </row>
    <row r="49" spans="3:35" x14ac:dyDescent="0.15">
      <c r="U49" t="s">
        <v>139</v>
      </c>
      <c r="V49">
        <f>MATCH(AE49,AE45:AE48,0)</f>
        <v>4</v>
      </c>
      <c r="W49" s="86">
        <f>INDEX(W45:W48,$V$49)</f>
        <v>17.350315113104458</v>
      </c>
      <c r="X49" s="86">
        <f t="shared" ref="X49:AD49" si="19">INDEX(X45:X48,$V$49)</f>
        <v>10.630788748907307</v>
      </c>
      <c r="Y49" s="86">
        <f t="shared" si="19"/>
        <v>5.098929410533886</v>
      </c>
      <c r="Z49" s="86">
        <f t="shared" si="19"/>
        <v>-4.4664152942253494</v>
      </c>
      <c r="AA49" s="86">
        <f t="shared" si="19"/>
        <v>-18.988088587428464</v>
      </c>
      <c r="AB49" s="86">
        <f t="shared" si="19"/>
        <v>-23.738381230041611</v>
      </c>
      <c r="AC49" s="86">
        <f t="shared" si="19"/>
        <v>-30</v>
      </c>
      <c r="AD49" s="86">
        <f t="shared" si="19"/>
        <v>-35</v>
      </c>
      <c r="AE49" s="111">
        <f>MIN(AE45:AE48)</f>
        <v>0.44779669398497379</v>
      </c>
    </row>
    <row r="50" spans="3:35" x14ac:dyDescent="0.15">
      <c r="AE50" t="s">
        <v>140</v>
      </c>
      <c r="AI50" s="110"/>
    </row>
    <row r="51" spans="3:35" x14ac:dyDescent="0.15">
      <c r="U51" t="s">
        <v>29</v>
      </c>
      <c r="V51">
        <v>10</v>
      </c>
      <c r="W51" s="49">
        <v>9.0860632115522435</v>
      </c>
      <c r="X51" s="49">
        <v>4.6160098027811856</v>
      </c>
      <c r="Y51" s="49">
        <v>1.4209759058410043E-2</v>
      </c>
      <c r="Z51" s="49">
        <v>-0.99375938105970718</v>
      </c>
      <c r="AA51" s="49">
        <v>-8.5773328725729545</v>
      </c>
      <c r="AB51" s="49">
        <v>-8.3183136021134469</v>
      </c>
      <c r="AC51" s="49">
        <v>-12.157080066801592</v>
      </c>
      <c r="AD51" s="49">
        <v>-16.104226903646911</v>
      </c>
      <c r="AE51" s="32">
        <f>ABS($W$12-V51)</f>
        <v>6.5522033060150262</v>
      </c>
      <c r="AI51" s="110"/>
    </row>
    <row r="52" spans="3:35" x14ac:dyDescent="0.15">
      <c r="V52">
        <v>6.5</v>
      </c>
      <c r="W52" s="49">
        <v>8.3585835518863654</v>
      </c>
      <c r="X52" s="49">
        <v>4.1894650406436611</v>
      </c>
      <c r="Y52" s="49">
        <v>1.1896979263598197</v>
      </c>
      <c r="Z52" s="49">
        <v>1.3113807808434359</v>
      </c>
      <c r="AA52" s="49">
        <v>-10.802769533783056</v>
      </c>
      <c r="AB52" s="49">
        <v>-10.767062383812114</v>
      </c>
      <c r="AC52" s="49">
        <v>-15.52404319784258</v>
      </c>
      <c r="AD52" s="49">
        <v>-19.758638415577899</v>
      </c>
      <c r="AE52" s="32">
        <f>ABS($W$12-V52)</f>
        <v>3.0522033060150262</v>
      </c>
      <c r="AI52" s="110"/>
    </row>
    <row r="53" spans="3:35" x14ac:dyDescent="0.15">
      <c r="V53">
        <v>5</v>
      </c>
      <c r="W53" s="49">
        <v>9.0198726899580457</v>
      </c>
      <c r="X53" s="49">
        <v>5.3967143634452128</v>
      </c>
      <c r="Y53" s="49">
        <v>5.3185642022107373</v>
      </c>
      <c r="Z53" s="49">
        <v>-4.0658032708185985</v>
      </c>
      <c r="AA53" s="49">
        <v>-11.11864988006031</v>
      </c>
      <c r="AB53" s="49">
        <v>-11.255628030211168</v>
      </c>
      <c r="AC53" s="49">
        <v>-17.052825639989059</v>
      </c>
      <c r="AD53" s="49">
        <v>-23.369744658909188</v>
      </c>
      <c r="AE53" s="32">
        <f>ABS($W$12-V53)</f>
        <v>1.5522033060150262</v>
      </c>
      <c r="AI53" s="110"/>
    </row>
    <row r="54" spans="3:35" x14ac:dyDescent="0.15">
      <c r="V54">
        <v>3</v>
      </c>
      <c r="W54" s="49">
        <v>11.084563387587638</v>
      </c>
      <c r="X54" s="49">
        <v>10.126110834418219</v>
      </c>
      <c r="Y54" s="49">
        <v>5.509035760924311</v>
      </c>
      <c r="Z54" s="49">
        <v>-4.322820012855491</v>
      </c>
      <c r="AA54" s="49">
        <v>-13.385658225075337</v>
      </c>
      <c r="AB54" s="49">
        <v>-13.814349572554702</v>
      </c>
      <c r="AC54" s="49">
        <v>-23.933303662829033</v>
      </c>
      <c r="AD54" s="49">
        <v>-28.758992045238902</v>
      </c>
      <c r="AE54" s="32">
        <f>ABS($W$12-V54)</f>
        <v>0.44779669398497379</v>
      </c>
    </row>
    <row r="55" spans="3:35" x14ac:dyDescent="0.15">
      <c r="U55" t="s">
        <v>139</v>
      </c>
      <c r="V55">
        <f>MATCH(AE55,AE51:AE54,0)</f>
        <v>4</v>
      </c>
      <c r="W55" s="86">
        <f>INDEX(W51:W54,$V$49)</f>
        <v>11.084563387587638</v>
      </c>
      <c r="X55" s="86">
        <f t="shared" ref="X55:AD55" si="20">INDEX(X51:X54,$V$49)</f>
        <v>10.126110834418219</v>
      </c>
      <c r="Y55" s="86">
        <f t="shared" si="20"/>
        <v>5.509035760924311</v>
      </c>
      <c r="Z55" s="86">
        <f t="shared" si="20"/>
        <v>-4.322820012855491</v>
      </c>
      <c r="AA55" s="86">
        <f t="shared" si="20"/>
        <v>-13.385658225075337</v>
      </c>
      <c r="AB55" s="86">
        <f t="shared" si="20"/>
        <v>-13.814349572554702</v>
      </c>
      <c r="AC55" s="86">
        <f t="shared" si="20"/>
        <v>-23.933303662829033</v>
      </c>
      <c r="AD55" s="86">
        <f t="shared" si="20"/>
        <v>-28.758992045238902</v>
      </c>
      <c r="AE55" s="111">
        <f>MIN(AE51:AE54)</f>
        <v>0.44779669398497379</v>
      </c>
    </row>
    <row r="56" spans="3:35" x14ac:dyDescent="0.15">
      <c r="C56" s="2" t="s">
        <v>45</v>
      </c>
    </row>
    <row r="57" spans="3:35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35" x14ac:dyDescent="0.15">
      <c r="C58" s="12"/>
      <c r="D58" s="16" t="s">
        <v>13</v>
      </c>
      <c r="E58" s="41" t="s">
        <v>27</v>
      </c>
      <c r="F58" s="11" t="s">
        <v>47</v>
      </c>
      <c r="G58" s="41" t="s">
        <v>133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Q58" s="41" t="s">
        <v>133</v>
      </c>
      <c r="R58" t="s">
        <v>33</v>
      </c>
      <c r="T58" s="24"/>
      <c r="W58" s="10"/>
      <c r="X58" s="16" t="s">
        <v>13</v>
      </c>
      <c r="Y58" s="11" t="s">
        <v>49</v>
      </c>
    </row>
    <row r="59" spans="3:35" x14ac:dyDescent="0.15">
      <c r="C59" s="10" t="s">
        <v>3</v>
      </c>
      <c r="D59" s="116">
        <v>157.28305069533172</v>
      </c>
      <c r="E59" s="118">
        <v>59.584121033260161</v>
      </c>
      <c r="F59" s="117">
        <v>166.48112332133923</v>
      </c>
      <c r="G59" s="112">
        <v>4020</v>
      </c>
      <c r="H59" t="s">
        <v>4</v>
      </c>
      <c r="I59" t="s">
        <v>5</v>
      </c>
      <c r="K59" s="24"/>
      <c r="M59" s="10" t="s">
        <v>3</v>
      </c>
      <c r="N59" s="116">
        <v>157.12388402585512</v>
      </c>
      <c r="O59" s="118">
        <v>73.586266756288396</v>
      </c>
      <c r="P59" s="117">
        <v>168.36896936050229</v>
      </c>
      <c r="Q59" s="112">
        <v>4020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157.28305069533172</v>
      </c>
      <c r="Y59" s="20">
        <f>F59</f>
        <v>166.48112332133923</v>
      </c>
    </row>
    <row r="60" spans="3:35" x14ac:dyDescent="0.15">
      <c r="C60" s="12"/>
      <c r="D60" s="116">
        <v>146.55078601347955</v>
      </c>
      <c r="E60" s="118">
        <v>59.034665171222933</v>
      </c>
      <c r="F60" s="117">
        <v>166.42923332157457</v>
      </c>
      <c r="G60" s="112">
        <v>4006.6666666666665</v>
      </c>
      <c r="H60" s="2">
        <f t="array" ref="H60:J60">LINEST(E59:E62,D59:D62^{1,2})</f>
        <v>-2.4253924294031796E-4</v>
      </c>
      <c r="I60" s="2">
        <v>0.11644381384373942</v>
      </c>
      <c r="J60" s="2">
        <v>47.245706738408366</v>
      </c>
      <c r="K60" s="24"/>
      <c r="M60" s="12"/>
      <c r="N60" s="116">
        <v>146.40382196258597</v>
      </c>
      <c r="O60" s="118">
        <v>72.598590028138631</v>
      </c>
      <c r="P60" s="117">
        <v>168.14315376683695</v>
      </c>
      <c r="Q60" s="112">
        <v>4006.6666666666665</v>
      </c>
      <c r="R60" s="2">
        <f t="array" ref="R60:T60">LINEST(O59:O62,N59:N62^{1,2})</f>
        <v>2.0151766087067014E-3</v>
      </c>
      <c r="S60" s="2">
        <v>-0.50465709385193103</v>
      </c>
      <c r="T60" s="27">
        <v>103.17163709549845</v>
      </c>
      <c r="W60" s="12"/>
      <c r="X60" s="17">
        <f t="shared" ref="X60:X61" si="21">D60</f>
        <v>146.55078601347955</v>
      </c>
      <c r="Y60" s="13">
        <f>F60</f>
        <v>166.42923332157457</v>
      </c>
    </row>
    <row r="61" spans="3:35" x14ac:dyDescent="0.15">
      <c r="C61" s="12"/>
      <c r="D61" s="116">
        <v>135.16967854746008</v>
      </c>
      <c r="E61" s="118">
        <v>58.616529819458627</v>
      </c>
      <c r="F61" s="117">
        <v>166.52729894333069</v>
      </c>
      <c r="G61" s="112">
        <v>3993.3333333333335</v>
      </c>
      <c r="K61" s="24"/>
      <c r="M61" s="12"/>
      <c r="N61" s="116">
        <v>134.62489122030723</v>
      </c>
      <c r="O61" s="118">
        <v>71.643458641188545</v>
      </c>
      <c r="P61" s="117">
        <v>168.27049338091555</v>
      </c>
      <c r="Q61" s="112">
        <v>4013.3333333333335</v>
      </c>
      <c r="T61" s="24"/>
      <c r="W61" s="12"/>
      <c r="X61" s="17">
        <f t="shared" si="21"/>
        <v>135.16967854746008</v>
      </c>
      <c r="Y61" s="13">
        <f>F61</f>
        <v>166.52729894333069</v>
      </c>
    </row>
    <row r="62" spans="3:35" x14ac:dyDescent="0.15">
      <c r="C62" s="14"/>
      <c r="D62" s="116">
        <v>122.87386253386013</v>
      </c>
      <c r="E62" s="118">
        <v>57.87243224523074</v>
      </c>
      <c r="F62" s="117">
        <v>166.32352391719792</v>
      </c>
      <c r="G62" s="112">
        <v>4020</v>
      </c>
      <c r="K62" s="24"/>
      <c r="M62" s="14"/>
      <c r="N62" s="116">
        <v>122.81318999787912</v>
      </c>
      <c r="O62" s="118">
        <v>71.624683220101119</v>
      </c>
      <c r="P62" s="117">
        <v>168.09244462004463</v>
      </c>
      <c r="Q62" s="112">
        <v>4026.6666666666665</v>
      </c>
      <c r="T62" s="24"/>
      <c r="W62" s="12"/>
      <c r="X62" s="17">
        <f>D62</f>
        <v>122.87386253386013</v>
      </c>
      <c r="Y62" s="13">
        <f>F62</f>
        <v>166.32352391719792</v>
      </c>
    </row>
    <row r="63" spans="3:35" x14ac:dyDescent="0.15">
      <c r="C63" s="12"/>
      <c r="D63" s="17"/>
      <c r="E63" s="42"/>
      <c r="F63" s="13"/>
      <c r="G63" s="96"/>
      <c r="K63" s="24"/>
      <c r="M63" s="12"/>
      <c r="N63" s="17"/>
      <c r="O63" s="42"/>
      <c r="P63" s="13"/>
      <c r="Q63" s="35"/>
      <c r="T63" s="24"/>
      <c r="W63" s="12"/>
      <c r="X63" s="17">
        <f>N59</f>
        <v>157.12388402585512</v>
      </c>
      <c r="Y63" s="13">
        <f>P59</f>
        <v>168.36896936050229</v>
      </c>
    </row>
    <row r="64" spans="3:35" x14ac:dyDescent="0.15">
      <c r="C64" s="10" t="s">
        <v>114</v>
      </c>
      <c r="D64" s="116">
        <v>115.79564526412705</v>
      </c>
      <c r="E64" s="118">
        <v>56.197280887668541</v>
      </c>
      <c r="F64" s="117">
        <v>80.608112872381284</v>
      </c>
      <c r="G64" s="112">
        <v>3120</v>
      </c>
      <c r="H64" t="s">
        <v>4</v>
      </c>
      <c r="I64" t="s">
        <v>5</v>
      </c>
      <c r="K64" s="24"/>
      <c r="M64" s="10" t="s">
        <v>114</v>
      </c>
      <c r="N64" s="116">
        <v>115.7527395118049</v>
      </c>
      <c r="O64" s="118">
        <v>69.410422694236928</v>
      </c>
      <c r="P64" s="117">
        <v>81.524141516906852</v>
      </c>
      <c r="Q64" s="112">
        <v>3113.3333333333335</v>
      </c>
      <c r="R64" t="s">
        <v>4</v>
      </c>
      <c r="S64" t="s">
        <v>5</v>
      </c>
      <c r="T64" s="24" t="s">
        <v>6</v>
      </c>
      <c r="W64" s="12"/>
      <c r="X64" s="17">
        <f>N60</f>
        <v>146.40382196258597</v>
      </c>
      <c r="Y64" s="13">
        <f>P60</f>
        <v>168.14315376683695</v>
      </c>
    </row>
    <row r="65" spans="3:25" x14ac:dyDescent="0.15">
      <c r="C65" s="12"/>
      <c r="D65" s="116">
        <v>106.97675022173922</v>
      </c>
      <c r="E65" s="118">
        <v>55.237406763421937</v>
      </c>
      <c r="F65" s="117">
        <v>80.694248796772087</v>
      </c>
      <c r="G65" s="112">
        <v>3113.3333333333335</v>
      </c>
      <c r="H65" s="2">
        <f t="array" ref="H65:J65">LINEST(E64:E67,D64:D67^{1,2})</f>
        <v>4.3868183690127143E-3</v>
      </c>
      <c r="I65" s="2">
        <v>-0.85842399657591062</v>
      </c>
      <c r="J65" s="2">
        <v>96.799930396341239</v>
      </c>
      <c r="K65" s="24"/>
      <c r="M65" s="12"/>
      <c r="N65" s="116">
        <v>106.91665501286138</v>
      </c>
      <c r="O65" s="118">
        <v>68.273831250714295</v>
      </c>
      <c r="P65" s="117">
        <v>81.530004886189204</v>
      </c>
      <c r="Q65" s="112">
        <v>3120</v>
      </c>
      <c r="R65" s="2">
        <f t="array" ref="R65:T65">LINEST(O64:O67,N64:N67^{1,2})</f>
        <v>-5.5969345669236144E-4</v>
      </c>
      <c r="S65" s="2">
        <v>0.20509321187369209</v>
      </c>
      <c r="T65" s="27">
        <v>53.060141260797003</v>
      </c>
      <c r="W65" s="12"/>
      <c r="X65" s="17">
        <f>N61</f>
        <v>134.62489122030723</v>
      </c>
      <c r="Y65" s="13">
        <f>P61</f>
        <v>168.27049338091555</v>
      </c>
    </row>
    <row r="66" spans="3:25" x14ac:dyDescent="0.15">
      <c r="C66" s="12"/>
      <c r="D66" s="116">
        <v>98.206572415924612</v>
      </c>
      <c r="E66" s="118">
        <v>54.74149561639608</v>
      </c>
      <c r="F66" s="117">
        <v>79.165188724749541</v>
      </c>
      <c r="G66" s="112">
        <v>3113.3333333333335</v>
      </c>
      <c r="K66" s="24"/>
      <c r="M66" s="12"/>
      <c r="N66" s="116">
        <v>97.668417506006648</v>
      </c>
      <c r="O66" s="118">
        <v>68.062176855408353</v>
      </c>
      <c r="P66" s="117">
        <v>80.071634336582761</v>
      </c>
      <c r="Q66" s="112">
        <v>3080</v>
      </c>
      <c r="T66" s="24"/>
      <c r="W66" s="14"/>
      <c r="X66" s="18">
        <f>N62</f>
        <v>122.81318999787912</v>
      </c>
      <c r="Y66" s="15">
        <f>P62</f>
        <v>168.09244462004463</v>
      </c>
    </row>
    <row r="67" spans="3:25" x14ac:dyDescent="0.15">
      <c r="C67" s="14"/>
      <c r="D67" s="116">
        <v>88.917966582246621</v>
      </c>
      <c r="E67" s="118">
        <v>55.175030795562357</v>
      </c>
      <c r="F67" s="117">
        <v>78.903619549585414</v>
      </c>
      <c r="G67" s="112">
        <v>3100</v>
      </c>
      <c r="K67" s="24"/>
      <c r="M67" s="14"/>
      <c r="N67" s="116">
        <v>88.471240528681378</v>
      </c>
      <c r="O67" s="118">
        <v>66.721187940680181</v>
      </c>
      <c r="P67" s="117">
        <v>79.731279286309771</v>
      </c>
      <c r="Q67" s="112">
        <v>3120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G68" s="96"/>
      <c r="K68" s="24"/>
      <c r="M68" s="12"/>
      <c r="N68" s="17"/>
      <c r="O68" s="42"/>
      <c r="P68" s="13"/>
      <c r="Q68" s="35"/>
      <c r="T68" s="24"/>
      <c r="W68" s="10" t="s">
        <v>114</v>
      </c>
      <c r="X68" s="19">
        <f>D64</f>
        <v>115.79564526412705</v>
      </c>
      <c r="Y68" s="20">
        <f>F64</f>
        <v>80.608112872381284</v>
      </c>
    </row>
    <row r="69" spans="3:25" x14ac:dyDescent="0.15">
      <c r="C69" s="10" t="s">
        <v>10</v>
      </c>
      <c r="D69" s="116">
        <v>84.357257896408399</v>
      </c>
      <c r="E69" s="118">
        <v>51.396877204560091</v>
      </c>
      <c r="F69" s="117">
        <v>39.263936860617122</v>
      </c>
      <c r="G69" s="112">
        <v>2400</v>
      </c>
      <c r="H69" t="s">
        <v>4</v>
      </c>
      <c r="I69" t="s">
        <v>5</v>
      </c>
      <c r="J69" t="s">
        <v>6</v>
      </c>
      <c r="K69" s="24"/>
      <c r="M69" s="10" t="s">
        <v>10</v>
      </c>
      <c r="N69" s="116">
        <v>84.276112176172617</v>
      </c>
      <c r="O69" s="118">
        <v>62.221587821743327</v>
      </c>
      <c r="P69" s="117">
        <v>39.708361053428277</v>
      </c>
      <c r="Q69" s="112">
        <v>2393.3333333333335</v>
      </c>
      <c r="R69" t="s">
        <v>4</v>
      </c>
      <c r="S69" t="s">
        <v>5</v>
      </c>
      <c r="T69" s="24" t="s">
        <v>6</v>
      </c>
      <c r="W69" s="12"/>
      <c r="X69" s="17">
        <f t="shared" ref="X69" si="22">D65</f>
        <v>106.97675022173922</v>
      </c>
      <c r="Y69" s="13">
        <f t="shared" ref="Y69" si="23">F65</f>
        <v>80.694248796772087</v>
      </c>
    </row>
    <row r="70" spans="3:25" x14ac:dyDescent="0.15">
      <c r="C70" s="12"/>
      <c r="D70" s="116">
        <v>78.503845274925567</v>
      </c>
      <c r="E70" s="118">
        <v>50.687179139252699</v>
      </c>
      <c r="F70" s="117">
        <v>39.205095983284998</v>
      </c>
      <c r="G70" s="112">
        <v>2400</v>
      </c>
      <c r="H70" s="2">
        <f t="array" ref="H70:J70">LINEST(E69:E72,D69:D72^{1,2})</f>
        <v>-1.3755929825614837E-3</v>
      </c>
      <c r="I70" s="2">
        <v>0.29221743902654007</v>
      </c>
      <c r="J70" s="2">
        <v>36.454339238627362</v>
      </c>
      <c r="K70" s="24"/>
      <c r="M70" s="12"/>
      <c r="N70" s="116">
        <v>78.366665869479021</v>
      </c>
      <c r="O70" s="118">
        <v>61.769751245014781</v>
      </c>
      <c r="P70" s="117">
        <v>39.612367593859325</v>
      </c>
      <c r="Q70" s="112">
        <v>2386.6666666666665</v>
      </c>
      <c r="R70" s="2">
        <f t="array" ref="R70:T70">LINEST(O69:O72,N69:N72^{1,2})</f>
        <v>-2.7736381432987483E-4</v>
      </c>
      <c r="S70" s="2">
        <v>0.10405666660144859</v>
      </c>
      <c r="T70" s="27">
        <v>55.39483524243424</v>
      </c>
      <c r="W70" s="12"/>
      <c r="X70" s="17">
        <f>D67</f>
        <v>88.917966582246621</v>
      </c>
      <c r="Y70" s="13">
        <f>F67</f>
        <v>78.903619549585414</v>
      </c>
    </row>
    <row r="71" spans="3:25" x14ac:dyDescent="0.15">
      <c r="C71" s="12"/>
      <c r="D71" s="116">
        <v>72.383196337283366</v>
      </c>
      <c r="E71" s="118">
        <v>50.612475302246779</v>
      </c>
      <c r="F71" s="117">
        <v>39.115474021616095</v>
      </c>
      <c r="G71" s="112">
        <v>2400</v>
      </c>
      <c r="K71" s="24"/>
      <c r="M71" s="12"/>
      <c r="N71" s="116">
        <v>71.9434750225589</v>
      </c>
      <c r="O71" s="118">
        <v>61.518377533862719</v>
      </c>
      <c r="P71" s="117">
        <v>39.564974448031926</v>
      </c>
      <c r="Q71" s="112">
        <v>2400</v>
      </c>
      <c r="T71" s="24"/>
      <c r="W71" s="12"/>
      <c r="X71" s="17">
        <f>N64</f>
        <v>115.7527395118049</v>
      </c>
      <c r="Y71" s="13">
        <f>P64</f>
        <v>81.524141516906852</v>
      </c>
    </row>
    <row r="72" spans="3:25" x14ac:dyDescent="0.15">
      <c r="C72" s="14"/>
      <c r="D72" s="116">
        <v>65.600686333526227</v>
      </c>
      <c r="E72" s="118">
        <v>49.639499165934055</v>
      </c>
      <c r="F72" s="117">
        <v>38.567327276797485</v>
      </c>
      <c r="G72" s="112">
        <v>2400</v>
      </c>
      <c r="K72" s="24"/>
      <c r="M72" s="14"/>
      <c r="N72" s="116">
        <v>65.492862624326236</v>
      </c>
      <c r="O72" s="118">
        <v>60.996208646351839</v>
      </c>
      <c r="P72" s="117">
        <v>38.97346583117239</v>
      </c>
      <c r="Q72" s="112">
        <v>2400</v>
      </c>
      <c r="T72" s="24"/>
      <c r="W72" s="12"/>
      <c r="X72" s="17">
        <f>N65</f>
        <v>106.91665501286138</v>
      </c>
      <c r="Y72" s="13">
        <f>P65</f>
        <v>81.530004886189204</v>
      </c>
    </row>
    <row r="73" spans="3:25" x14ac:dyDescent="0.15">
      <c r="C73" s="12"/>
      <c r="D73" s="17"/>
      <c r="E73" s="42"/>
      <c r="F73" s="13"/>
      <c r="G73" s="96"/>
      <c r="K73" s="24"/>
      <c r="M73" s="12"/>
      <c r="N73" s="17"/>
      <c r="O73" s="42"/>
      <c r="P73" s="13"/>
      <c r="Q73" s="35"/>
      <c r="T73" s="24"/>
      <c r="W73" s="12"/>
      <c r="X73" s="17">
        <f>N66</f>
        <v>97.668417506006648</v>
      </c>
      <c r="Y73" s="13">
        <f>P66</f>
        <v>80.071634336582761</v>
      </c>
    </row>
    <row r="74" spans="3:25" x14ac:dyDescent="0.15">
      <c r="C74" s="10" t="s">
        <v>12</v>
      </c>
      <c r="D74" s="116">
        <v>45.043697488606703</v>
      </c>
      <c r="E74" s="118">
        <v>38.857851553991033</v>
      </c>
      <c r="F74" s="117">
        <v>12.340574913574338</v>
      </c>
      <c r="G74" s="112">
        <v>1440</v>
      </c>
      <c r="H74" t="s">
        <v>4</v>
      </c>
      <c r="I74" t="s">
        <v>5</v>
      </c>
      <c r="J74" t="s">
        <v>6</v>
      </c>
      <c r="K74" s="24"/>
      <c r="M74" s="10" t="s">
        <v>12</v>
      </c>
      <c r="N74" s="116">
        <v>45.056263579141628</v>
      </c>
      <c r="O74" s="118">
        <v>51.172241569318196</v>
      </c>
      <c r="P74" s="117">
        <v>12.47957178325729</v>
      </c>
      <c r="Q74" s="112">
        <v>1473.3333333333333</v>
      </c>
      <c r="R74" t="s">
        <v>4</v>
      </c>
      <c r="S74" t="s">
        <v>5</v>
      </c>
      <c r="T74" s="24" t="s">
        <v>6</v>
      </c>
      <c r="W74" s="14"/>
      <c r="X74" s="18">
        <f>N67</f>
        <v>88.471240528681378</v>
      </c>
      <c r="Y74" s="15">
        <f>P67</f>
        <v>79.731279286309771</v>
      </c>
    </row>
    <row r="75" spans="3:25" x14ac:dyDescent="0.15">
      <c r="C75" s="12"/>
      <c r="D75" s="116">
        <v>42.867192759507176</v>
      </c>
      <c r="E75" s="118">
        <v>38.771970649710418</v>
      </c>
      <c r="F75" s="117">
        <v>12.170740859137242</v>
      </c>
      <c r="G75" s="112">
        <v>1440</v>
      </c>
      <c r="H75" s="2">
        <f t="array" ref="H75:J75">LINEST(E74:E77,D74:D77^{1,2})</f>
        <v>1.0045473392584981E-2</v>
      </c>
      <c r="I75" s="2">
        <v>-0.75458790224089733</v>
      </c>
      <c r="J75" s="2">
        <v>52.521735667065393</v>
      </c>
      <c r="K75" s="24"/>
      <c r="M75" s="12"/>
      <c r="N75" s="116">
        <v>42.835910101814022</v>
      </c>
      <c r="O75" s="118">
        <v>51.491026615654533</v>
      </c>
      <c r="P75" s="117">
        <v>12.297721047662893</v>
      </c>
      <c r="Q75" s="114">
        <v>1480</v>
      </c>
      <c r="R75" s="2">
        <f t="array" ref="R75:T75">LINEST(O74:O77,N74:N77^{1,2})</f>
        <v>-2.728362272228212E-2</v>
      </c>
      <c r="S75" s="2">
        <v>2.3270074664211888</v>
      </c>
      <c r="T75" s="27">
        <v>1.7604410813601277</v>
      </c>
      <c r="W75" s="12"/>
      <c r="X75" s="16" t="s">
        <v>13</v>
      </c>
      <c r="Y75" s="11" t="s">
        <v>49</v>
      </c>
    </row>
    <row r="76" spans="3:25" x14ac:dyDescent="0.15">
      <c r="C76" s="12"/>
      <c r="D76" s="116">
        <v>40.200875313800047</v>
      </c>
      <c r="E76" s="118">
        <v>38.312133032218668</v>
      </c>
      <c r="F76" s="117">
        <v>12.068060072659554</v>
      </c>
      <c r="G76" s="112">
        <v>1480</v>
      </c>
      <c r="K76" s="24"/>
      <c r="M76" s="12"/>
      <c r="N76" s="116">
        <v>40.04683467591375</v>
      </c>
      <c r="O76" s="118">
        <v>51.101913029693968</v>
      </c>
      <c r="P76" s="117">
        <v>12.206532294709383</v>
      </c>
      <c r="Q76" s="114">
        <v>1440</v>
      </c>
      <c r="T76" s="24"/>
      <c r="W76" s="10" t="s">
        <v>10</v>
      </c>
      <c r="X76" s="19">
        <f>D69</f>
        <v>84.357257896408399</v>
      </c>
      <c r="Y76" s="20">
        <f>F69</f>
        <v>39.263936860617122</v>
      </c>
    </row>
    <row r="77" spans="3:25" x14ac:dyDescent="0.15">
      <c r="C77" s="14"/>
      <c r="D77" s="120">
        <v>36.701633625452011</v>
      </c>
      <c r="E77" s="119">
        <v>38.385869540907585</v>
      </c>
      <c r="F77" s="121">
        <v>11.936812679215606</v>
      </c>
      <c r="G77" s="113">
        <v>1466.6666666666667</v>
      </c>
      <c r="H77" s="25"/>
      <c r="I77" s="25"/>
      <c r="J77" s="25"/>
      <c r="K77" s="26"/>
      <c r="M77" s="14"/>
      <c r="N77" s="116">
        <v>36.610447186451644</v>
      </c>
      <c r="O77" s="119">
        <v>50.408682683836055</v>
      </c>
      <c r="P77" s="117">
        <v>12.062555970967841</v>
      </c>
      <c r="Q77" s="115">
        <v>1440</v>
      </c>
      <c r="R77" s="25"/>
      <c r="S77" s="25"/>
      <c r="T77" s="26"/>
      <c r="W77" s="12"/>
      <c r="X77" s="17">
        <f t="shared" ref="X77" si="24">D70</f>
        <v>78.503845274925567</v>
      </c>
      <c r="Y77" s="13">
        <f>F70</f>
        <v>39.205095983284998</v>
      </c>
    </row>
    <row r="78" spans="3:25" x14ac:dyDescent="0.15">
      <c r="W78" s="12"/>
      <c r="X78" s="17">
        <f>D72</f>
        <v>65.600686333526227</v>
      </c>
      <c r="Y78" s="13">
        <f>F72</f>
        <v>38.567327276797485</v>
      </c>
    </row>
    <row r="79" spans="3:25" x14ac:dyDescent="0.15">
      <c r="F79" s="5"/>
      <c r="W79" s="12"/>
      <c r="X79" s="17">
        <f>N69</f>
        <v>84.276112176172617</v>
      </c>
      <c r="Y79" s="13">
        <f>P69</f>
        <v>39.708361053428277</v>
      </c>
    </row>
    <row r="80" spans="3:25" x14ac:dyDescent="0.15">
      <c r="F80" s="5"/>
      <c r="W80" s="12"/>
      <c r="X80" s="17">
        <f>N70</f>
        <v>78.366665869479021</v>
      </c>
      <c r="Y80" s="13">
        <f>P70</f>
        <v>39.612367593859325</v>
      </c>
    </row>
    <row r="81" spans="6:30" x14ac:dyDescent="0.15">
      <c r="F81" s="5"/>
      <c r="W81" s="12"/>
      <c r="X81" s="17">
        <f>N71</f>
        <v>71.9434750225589</v>
      </c>
      <c r="Y81" s="13">
        <f>P71</f>
        <v>39.564974448031926</v>
      </c>
      <c r="AA81" t="s">
        <v>50</v>
      </c>
    </row>
    <row r="82" spans="6:30" x14ac:dyDescent="0.15">
      <c r="F82" s="5"/>
      <c r="W82" s="14"/>
      <c r="X82" s="18">
        <f>N72</f>
        <v>65.492862624326236</v>
      </c>
      <c r="Y82" s="15">
        <f>P72</f>
        <v>38.97346583117239</v>
      </c>
      <c r="AB82" s="4" t="s">
        <v>4</v>
      </c>
      <c r="AC82" s="4" t="s">
        <v>5</v>
      </c>
      <c r="AD82" s="4" t="s">
        <v>6</v>
      </c>
    </row>
    <row r="83" spans="6:30" x14ac:dyDescent="0.15">
      <c r="W83" s="12"/>
      <c r="X83" s="16" t="s">
        <v>13</v>
      </c>
      <c r="Y83" s="11" t="s">
        <v>49</v>
      </c>
      <c r="AA83" t="s">
        <v>3</v>
      </c>
      <c r="AB83" s="54">
        <f t="array" ref="AB83:AD83">LINEST(Y59:Y66,X59:X66^{1,2})</f>
        <v>-1.0756346522803263E-4</v>
      </c>
      <c r="AC83" s="54">
        <v>3.4200096278811223E-2</v>
      </c>
      <c r="AD83" s="54">
        <v>164.66601419104509</v>
      </c>
    </row>
    <row r="84" spans="6:30" x14ac:dyDescent="0.15">
      <c r="W84" s="10" t="s">
        <v>12</v>
      </c>
      <c r="X84" s="19">
        <f>D74</f>
        <v>45.043697488606703</v>
      </c>
      <c r="Y84" s="20">
        <f>F74</f>
        <v>12.340574913574338</v>
      </c>
      <c r="AA84" t="s">
        <v>114</v>
      </c>
      <c r="AB84" s="54">
        <f t="array" ref="AB84:AD84">LINEST(Y68:Y74,X68:X74^{1,2})</f>
        <v>-2.7576805932085923E-3</v>
      </c>
      <c r="AC84" s="54">
        <v>0.63166725308020022</v>
      </c>
      <c r="AD84" s="54">
        <v>44.949954471504952</v>
      </c>
    </row>
    <row r="85" spans="6:30" x14ac:dyDescent="0.15">
      <c r="W85" s="12"/>
      <c r="X85" s="17">
        <f t="shared" ref="X85:X86" si="25">D75</f>
        <v>42.867192759507176</v>
      </c>
      <c r="Y85" s="13">
        <f>F75</f>
        <v>12.170740859137242</v>
      </c>
      <c r="AA85" t="s">
        <v>10</v>
      </c>
      <c r="AB85" s="54">
        <f t="array" ref="AB85:AD85">LINEST(Y76:Y82,X76:X82^{1,2})</f>
        <v>-3.8308146457983862E-3</v>
      </c>
      <c r="AC85" s="54">
        <v>0.60756217460898576</v>
      </c>
      <c r="AD85" s="54">
        <v>15.446150735511129</v>
      </c>
    </row>
    <row r="86" spans="6:30" x14ac:dyDescent="0.15">
      <c r="W86" s="12"/>
      <c r="X86" s="17">
        <f t="shared" si="25"/>
        <v>40.200875313800047</v>
      </c>
      <c r="Y86" s="13">
        <f>F76</f>
        <v>12.068060072659554</v>
      </c>
      <c r="AA86" t="s">
        <v>12</v>
      </c>
      <c r="AB86" s="54">
        <f t="array" ref="AB86:AD86">LINEST(Y84:Y90,X84:X90^{1,2})</f>
        <v>4.8830001645742008E-3</v>
      </c>
      <c r="AC86" s="54">
        <v>-0.35934994558101141</v>
      </c>
      <c r="AD86" s="54">
        <v>18.681884504184467</v>
      </c>
    </row>
    <row r="87" spans="6:30" x14ac:dyDescent="0.15">
      <c r="F87" s="5"/>
      <c r="W87" s="12"/>
      <c r="X87" s="17">
        <f>N74</f>
        <v>45.056263579141628</v>
      </c>
      <c r="Y87" s="13">
        <f>P74</f>
        <v>12.47957178325729</v>
      </c>
    </row>
    <row r="88" spans="6:30" x14ac:dyDescent="0.15">
      <c r="F88" s="5"/>
      <c r="W88" s="12"/>
      <c r="X88" s="17">
        <f t="shared" ref="X88:X90" si="26">N75</f>
        <v>42.835910101814022</v>
      </c>
      <c r="Y88" s="13">
        <f>P75</f>
        <v>12.297721047662893</v>
      </c>
    </row>
    <row r="89" spans="6:30" x14ac:dyDescent="0.15">
      <c r="F89" s="5"/>
      <c r="W89" s="12"/>
      <c r="X89" s="17">
        <f t="shared" si="26"/>
        <v>40.04683467591375</v>
      </c>
      <c r="Y89" s="13">
        <f>P76</f>
        <v>12.206532294709383</v>
      </c>
    </row>
    <row r="90" spans="6:30" x14ac:dyDescent="0.15">
      <c r="F90" s="5"/>
      <c r="W90" s="14"/>
      <c r="X90" s="18">
        <f t="shared" si="26"/>
        <v>36.610447186451644</v>
      </c>
      <c r="Y90" s="15">
        <f>P77</f>
        <v>12.062555970967841</v>
      </c>
    </row>
    <row r="91" spans="6:30" x14ac:dyDescent="0.15">
      <c r="F91" s="5"/>
    </row>
    <row r="92" spans="6:30" x14ac:dyDescent="0.15">
      <c r="F92" s="5"/>
    </row>
    <row r="93" spans="6:30" x14ac:dyDescent="0.15">
      <c r="F93" s="5"/>
      <c r="W93">
        <v>15.295903703473467</v>
      </c>
      <c r="X93">
        <v>6.9606844827178733</v>
      </c>
      <c r="Y93">
        <v>1.935537565534295</v>
      </c>
      <c r="Z93">
        <v>0.80412623094933799</v>
      </c>
      <c r="AA93">
        <v>-13.48298515888643</v>
      </c>
      <c r="AB93">
        <v>-17.356702189585882</v>
      </c>
      <c r="AC93">
        <v>-22.469592711139754</v>
      </c>
      <c r="AD93">
        <v>-29.685489565677955</v>
      </c>
    </row>
    <row r="94" spans="6:30" x14ac:dyDescent="0.15">
      <c r="F94" s="5"/>
      <c r="W94">
        <v>14.136883628769926</v>
      </c>
      <c r="X94">
        <v>5.8347496355939548</v>
      </c>
      <c r="Y94">
        <v>3.3755957124767981</v>
      </c>
      <c r="Z94">
        <v>1.0256528729394354</v>
      </c>
      <c r="AA94">
        <v>-16.732317497815437</v>
      </c>
      <c r="AB94">
        <v>-20.921804597817399</v>
      </c>
      <c r="AC94">
        <v>-26.633808344493076</v>
      </c>
      <c r="AD94">
        <v>-32.178832312787037</v>
      </c>
    </row>
    <row r="95" spans="6:30" x14ac:dyDescent="0.15">
      <c r="F95" s="5"/>
      <c r="W95">
        <v>13.207303139013563</v>
      </c>
      <c r="X95">
        <v>7.27329685557193</v>
      </c>
      <c r="Y95">
        <v>6.0198246123504049</v>
      </c>
      <c r="Z95">
        <v>-5.5137584121986887</v>
      </c>
      <c r="AA95">
        <v>-18.724936993031957</v>
      </c>
      <c r="AB95">
        <v>-22.9828764100704</v>
      </c>
      <c r="AC95">
        <v>-29.235642196929327</v>
      </c>
      <c r="AD95">
        <v>-33</v>
      </c>
    </row>
    <row r="96" spans="6:30" x14ac:dyDescent="0.15">
      <c r="F96" s="5"/>
      <c r="W96">
        <v>17.350315113104458</v>
      </c>
      <c r="X96">
        <v>10.630788748907307</v>
      </c>
      <c r="Y96">
        <v>5.098929410533886</v>
      </c>
      <c r="Z96">
        <v>-4.4664152942253494</v>
      </c>
      <c r="AA96">
        <v>-18.988088587428464</v>
      </c>
      <c r="AB96">
        <v>-23.738381230041611</v>
      </c>
      <c r="AC96">
        <v>-30</v>
      </c>
      <c r="AD96">
        <v>-35</v>
      </c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AF513-CAE6-4446-8718-7B122564BFD6}">
  <dimension ref="C2:AL66"/>
  <sheetViews>
    <sheetView showGridLines="0" topLeftCell="A5" zoomScaleNormal="100" zoomScaleSheetLayoutView="70" workbookViewId="0">
      <selection activeCell="AL33" sqref="AL33"/>
    </sheetView>
  </sheetViews>
  <sheetFormatPr baseColWidth="10" defaultColWidth="8.83203125" defaultRowHeight="13" x14ac:dyDescent="0.15"/>
  <cols>
    <col min="2" max="2" width="1" customWidth="1"/>
    <col min="3" max="3" width="3" customWidth="1"/>
    <col min="4" max="4" width="1.33203125" customWidth="1"/>
    <col min="5" max="5" width="11.1640625" customWidth="1"/>
    <col min="6" max="6" width="6.5" customWidth="1"/>
    <col min="7" max="7" width="6.33203125" customWidth="1"/>
    <col min="8" max="10" width="5.83203125" customWidth="1"/>
    <col min="11" max="11" width="5.83203125" style="233" customWidth="1"/>
    <col min="12" max="25" width="5.83203125" style="4" customWidth="1"/>
    <col min="26" max="26" width="5.83203125" customWidth="1"/>
    <col min="27" max="32" width="4.5" customWidth="1"/>
    <col min="33" max="33" width="2" customWidth="1"/>
    <col min="34" max="34" width="5.6640625" customWidth="1"/>
    <col min="37" max="37" width="9" customWidth="1"/>
    <col min="38" max="38" width="175.6640625" customWidth="1"/>
  </cols>
  <sheetData>
    <row r="2" spans="3:38" x14ac:dyDescent="0.15">
      <c r="C2" s="1021"/>
      <c r="D2" s="1022"/>
      <c r="E2" s="1022"/>
      <c r="F2" s="1022"/>
      <c r="G2" s="1022"/>
      <c r="H2" s="1022"/>
      <c r="I2" s="1022"/>
      <c r="J2" s="1022"/>
      <c r="K2" s="1023"/>
      <c r="L2" s="1024"/>
      <c r="M2" s="1024"/>
      <c r="N2" s="1024"/>
      <c r="O2" s="1024"/>
      <c r="P2" s="1024"/>
      <c r="Q2" s="1024"/>
      <c r="R2" s="1024"/>
      <c r="S2" s="1024"/>
      <c r="T2" s="1024"/>
      <c r="U2" s="1024"/>
      <c r="V2" s="1024"/>
      <c r="W2" s="1024"/>
      <c r="X2" s="1024"/>
      <c r="Y2" s="1024"/>
      <c r="Z2" s="1022"/>
      <c r="AA2" s="1022"/>
      <c r="AB2" s="1022"/>
      <c r="AC2" s="1022"/>
      <c r="AD2" s="1022"/>
      <c r="AE2" s="1022"/>
      <c r="AF2" s="1022"/>
      <c r="AG2" s="1022"/>
      <c r="AH2" s="1025"/>
      <c r="AK2" t="str" cm="1">
        <f t="array" ref="AK2">INDEX(KirjastoC!$D$4:$K$500,186,KirjastoC!$B$4)</f>
        <v>VALITTU MALLI JA KOODIAVAIN:</v>
      </c>
    </row>
    <row r="3" spans="3:38" ht="21.75" customHeight="1" x14ac:dyDescent="0.2">
      <c r="C3" s="1026"/>
      <c r="D3" s="1027"/>
      <c r="E3" s="1028" t="str" cm="1">
        <f t="array" ref="E3">INDEX(KirjastoC!$D$4:$K$500,153,KirjastoC!$B$4)</f>
        <v>Airfi: C-sarjan koneiden laitekoodin valinta</v>
      </c>
      <c r="F3" s="88"/>
      <c r="G3" s="88"/>
      <c r="H3" s="88"/>
      <c r="I3" s="88"/>
      <c r="J3" s="88"/>
      <c r="K3" s="1029"/>
      <c r="L3" s="1030"/>
      <c r="M3" s="1030"/>
      <c r="N3" s="1030"/>
      <c r="O3" s="1030"/>
      <c r="P3" s="1030"/>
      <c r="Q3" s="1030"/>
      <c r="R3" s="1030"/>
      <c r="S3" s="1030"/>
      <c r="T3" s="1030"/>
      <c r="U3" s="1030"/>
      <c r="V3" s="1030"/>
      <c r="W3" s="1030"/>
      <c r="X3" s="1030"/>
      <c r="Y3" s="1030"/>
      <c r="Z3" s="88"/>
      <c r="AA3" s="88"/>
      <c r="AB3" s="88"/>
      <c r="AC3" s="88"/>
      <c r="AD3" s="88"/>
      <c r="AE3" s="88"/>
      <c r="AF3" s="88"/>
      <c r="AG3" s="88"/>
      <c r="AH3" s="1031"/>
      <c r="AK3" s="1778" t="str">
        <f>H8</f>
        <v>Airfi Model C5 Electric</v>
      </c>
      <c r="AL3" s="1779"/>
    </row>
    <row r="4" spans="3:38" ht="18.75" customHeight="1" x14ac:dyDescent="0.2">
      <c r="C4" s="1026"/>
      <c r="D4" s="1027"/>
      <c r="E4" s="1031" t="str" cm="1">
        <f t="array" ref="E4">INDEX(KirjastoC!$D$4:$K$500,154,KirjastoC!$B$4)</f>
        <v>Valitse vaihtoehto jokaisesta alla olevasta liukuvalikosta</v>
      </c>
      <c r="F4" s="88"/>
      <c r="G4" s="88"/>
      <c r="H4" s="88"/>
      <c r="I4" s="88"/>
      <c r="J4" s="88"/>
      <c r="K4" s="1029"/>
      <c r="L4" s="1030"/>
      <c r="M4" s="1030"/>
      <c r="N4" s="1030"/>
      <c r="O4" s="1030"/>
      <c r="P4" s="1030"/>
      <c r="Q4" s="1030"/>
      <c r="R4" s="1030"/>
      <c r="S4" s="1030"/>
      <c r="T4" s="1030"/>
      <c r="U4" s="1030"/>
      <c r="V4" s="1030"/>
      <c r="W4" s="1030"/>
      <c r="X4" s="1030"/>
      <c r="Y4" s="1030"/>
      <c r="Z4" s="88"/>
      <c r="AA4" s="88"/>
      <c r="AB4" s="88"/>
      <c r="AC4" s="88"/>
      <c r="AD4" s="88"/>
      <c r="AE4" s="88"/>
      <c r="AF4" s="88"/>
      <c r="AG4" s="88"/>
      <c r="AH4" s="1031"/>
      <c r="AK4" s="1056" t="str" cm="1">
        <f t="array" ref="AK4">INDEX(KirjastoC!$D$4:$K$500,187,KirjastoC!$B$4)</f>
        <v>Koodi:</v>
      </c>
      <c r="AL4" s="1057" t="str">
        <f>'C koodit'!B76</f>
        <v>20051165121000000008009</v>
      </c>
    </row>
    <row r="5" spans="3:38" ht="16" x14ac:dyDescent="0.2">
      <c r="C5" s="1026"/>
      <c r="D5" s="1027"/>
      <c r="E5" s="88"/>
      <c r="F5" s="88"/>
      <c r="G5" s="88"/>
      <c r="H5" s="88"/>
      <c r="I5" s="88"/>
      <c r="J5" s="88"/>
      <c r="K5" s="1029"/>
      <c r="L5" s="1030"/>
      <c r="M5" s="1030"/>
      <c r="N5" s="1030"/>
      <c r="O5" s="1030"/>
      <c r="P5" s="1030"/>
      <c r="Q5" s="1030"/>
      <c r="R5" s="1030"/>
      <c r="S5" s="1030"/>
      <c r="T5" s="1030"/>
      <c r="U5" s="1030"/>
      <c r="V5" s="1030"/>
      <c r="W5" s="1030"/>
      <c r="X5" s="1030"/>
      <c r="Y5" s="1030"/>
      <c r="Z5" s="88"/>
      <c r="AA5" s="88"/>
      <c r="AB5" s="88"/>
      <c r="AC5" s="88"/>
      <c r="AD5" s="88"/>
      <c r="AE5" s="88"/>
      <c r="AF5" s="88"/>
      <c r="AG5" s="88"/>
      <c r="AH5" s="1031"/>
      <c r="AK5" s="1058" t="str" cm="1">
        <f t="array" ref="AK5">INDEX(KirjastoC!$D$4:$K$500,188,KirjastoC!$B$4)</f>
        <v>Sisältökuvaus:</v>
      </c>
      <c r="AL5" s="1059"/>
    </row>
    <row r="6" spans="3:38" ht="16.5" customHeight="1" x14ac:dyDescent="0.2">
      <c r="C6" s="1026"/>
      <c r="D6" s="1027"/>
      <c r="E6" s="1055" t="str" cm="1">
        <f t="array" ref="E6">INDEX(KirjastoC!$D$4:$K$500,3,KirjastoC!$B$4)</f>
        <v>Kohde:</v>
      </c>
      <c r="F6" s="1036"/>
      <c r="G6" s="1783"/>
      <c r="H6" s="1784"/>
      <c r="I6" s="1784"/>
      <c r="J6" s="1784"/>
      <c r="K6" s="1784"/>
      <c r="L6" s="1784"/>
      <c r="M6" s="1784"/>
      <c r="N6" s="1784"/>
      <c r="O6" s="1784"/>
      <c r="P6" s="1784"/>
      <c r="Q6" s="1785"/>
      <c r="R6" s="1030"/>
      <c r="S6" s="1030"/>
      <c r="T6" s="1030"/>
      <c r="U6" s="1030"/>
      <c r="V6" s="1030"/>
      <c r="W6" s="1030"/>
      <c r="X6" s="1030"/>
      <c r="Y6" s="1030"/>
      <c r="Z6" s="88"/>
      <c r="AA6" s="88"/>
      <c r="AB6" s="88"/>
      <c r="AC6" s="88"/>
      <c r="AD6" s="88"/>
      <c r="AE6" s="88"/>
      <c r="AF6" s="88"/>
      <c r="AG6" s="88"/>
      <c r="AH6" s="1031"/>
      <c r="AK6" s="1060" t="s">
        <v>4</v>
      </c>
      <c r="AL6" s="1061" t="str">
        <f>'C koodit'!C79</f>
        <v>2 = C = Commercial AHU, LTO-Vastavirtasiirrin</v>
      </c>
    </row>
    <row r="7" spans="3:38" ht="16.5" customHeight="1" x14ac:dyDescent="0.2">
      <c r="C7" s="1026"/>
      <c r="D7" s="1027"/>
      <c r="E7" s="1055" t="str" cm="1">
        <f t="array" ref="E7">INDEX(KirjastoC!$D$4:$K$500,4,KirjastoC!$B$4)</f>
        <v>Suunnittelija:</v>
      </c>
      <c r="F7" s="1036"/>
      <c r="G7" s="1786"/>
      <c r="H7" s="1787"/>
      <c r="I7" s="1787"/>
      <c r="J7" s="1787"/>
      <c r="K7" s="1787"/>
      <c r="L7" s="1787"/>
      <c r="M7" s="1787"/>
      <c r="N7" s="1787"/>
      <c r="O7" s="1787"/>
      <c r="P7" s="1787"/>
      <c r="Q7" s="1788"/>
      <c r="R7" s="1030"/>
      <c r="S7" s="1030"/>
      <c r="T7" s="1030"/>
      <c r="U7" s="1030"/>
      <c r="V7" s="1030"/>
      <c r="W7" s="1030"/>
      <c r="X7" s="1030"/>
      <c r="Y7" s="1030"/>
      <c r="Z7" s="88"/>
      <c r="AA7" s="88"/>
      <c r="AB7" s="88"/>
      <c r="AC7" s="88"/>
      <c r="AD7" s="88"/>
      <c r="AE7" s="88"/>
      <c r="AF7" s="88"/>
      <c r="AG7" s="88"/>
      <c r="AH7" s="1031"/>
      <c r="AK7" s="1062" t="s">
        <v>2158</v>
      </c>
      <c r="AL7" s="1063" t="str">
        <f>'C koodit'!C81</f>
        <v>005, 500dm³/s…1800m³/h   (Kone: Airfi Model C5 Electric, 230VAC 50Hz 16A, max ottoteho 2 kW  /  Airfi Model C5 Water, 230VAC 50Hz 16A, max ottoteho 2 kW )</v>
      </c>
    </row>
    <row r="8" spans="3:38" ht="16.5" customHeight="1" x14ac:dyDescent="0.2">
      <c r="C8" s="1026"/>
      <c r="D8" s="1027"/>
      <c r="E8" s="88"/>
      <c r="F8" s="88"/>
      <c r="G8" s="88"/>
      <c r="H8" s="1789" t="str">
        <f>'C koodit'!C125</f>
        <v>Airfi Model C5 Electric</v>
      </c>
      <c r="I8" s="1789"/>
      <c r="J8" s="1789"/>
      <c r="K8" s="1789"/>
      <c r="L8" s="1789"/>
      <c r="M8" s="1789"/>
      <c r="N8" s="1789"/>
      <c r="O8" s="1789"/>
      <c r="P8" s="1789"/>
      <c r="Q8" s="1789"/>
      <c r="R8" s="1030"/>
      <c r="S8" s="1030"/>
      <c r="T8" s="1030"/>
      <c r="U8" s="1030"/>
      <c r="V8" s="1030"/>
      <c r="W8" s="1030"/>
      <c r="X8" s="1030"/>
      <c r="Y8" s="1030"/>
      <c r="Z8" s="88"/>
      <c r="AA8" s="88"/>
      <c r="AB8" s="88"/>
      <c r="AC8" s="88"/>
      <c r="AD8" s="88"/>
      <c r="AE8" s="88"/>
      <c r="AF8" s="88"/>
      <c r="AG8" s="88"/>
      <c r="AH8" s="1031"/>
      <c r="AK8" s="1062" t="s">
        <v>6</v>
      </c>
      <c r="AL8" s="1063" t="str">
        <f>'C koodit'!C83</f>
        <v>1 = R = oikea (jäteilma oikeassa reunassa huoltosuunnasta katsoen), Vakiotoimitus, jos ei muuta pyydetty</v>
      </c>
    </row>
    <row r="9" spans="3:38" ht="16.5" customHeight="1" x14ac:dyDescent="0.2">
      <c r="C9" s="1026"/>
      <c r="D9" s="1027"/>
      <c r="E9" s="1027"/>
      <c r="F9" s="88"/>
      <c r="G9" s="1032"/>
      <c r="H9" s="1790"/>
      <c r="I9" s="1790"/>
      <c r="J9" s="1790"/>
      <c r="K9" s="1790"/>
      <c r="L9" s="1790"/>
      <c r="M9" s="1790"/>
      <c r="N9" s="1790"/>
      <c r="O9" s="1790"/>
      <c r="P9" s="1790"/>
      <c r="Q9" s="1790"/>
      <c r="R9" s="1030"/>
      <c r="S9" s="1030"/>
      <c r="T9" s="1030"/>
      <c r="U9" s="1030"/>
      <c r="V9" s="1030"/>
      <c r="W9" s="1030"/>
      <c r="X9" s="1030"/>
      <c r="Y9" s="1030"/>
      <c r="Z9" s="88"/>
      <c r="AA9" s="88"/>
      <c r="AB9" s="88"/>
      <c r="AC9" s="88"/>
      <c r="AD9" s="88"/>
      <c r="AE9" s="88"/>
      <c r="AF9" s="88"/>
      <c r="AG9" s="88"/>
      <c r="AH9" s="1031"/>
      <c r="AK9" s="1064" t="s">
        <v>178</v>
      </c>
      <c r="AL9" s="1063" t="str">
        <f>'C koodit'!C85</f>
        <v>1 = Airfi automatiikka, valmiina mm. ModBus RTU/TCP . Monipuoliset kytkentä mahdollisuudet jne… Vakiotoimitus jos ei muuta pyydetty.</v>
      </c>
    </row>
    <row r="10" spans="3:38" ht="16.5" customHeight="1" x14ac:dyDescent="0.2">
      <c r="C10" s="1026"/>
      <c r="D10" s="1027"/>
      <c r="E10" s="1050" t="str" cm="1">
        <f t="array" ref="E10">INDEX(KirjastoC!$D$4:$K$500,155,KirjastoC!$B$4)</f>
        <v>Koodiavain:</v>
      </c>
      <c r="F10" s="1045"/>
      <c r="G10" s="1045"/>
      <c r="H10" s="1780" t="str" cm="1">
        <f t="array" ref="H10">INDEX(KirjastoC!$D$4:$K$500,162,KirjastoC!$B$4)</f>
        <v>Perusrakenne:</v>
      </c>
      <c r="I10" s="1782"/>
      <c r="J10" s="1782"/>
      <c r="K10" s="1781"/>
      <c r="L10" s="1780" t="str" cm="1">
        <f t="array" ref="L10">INDEX(KirjastoC!$D$4:$K$500,163,KirjastoC!$B$4)</f>
        <v>Suodatus:</v>
      </c>
      <c r="M10" s="1781"/>
      <c r="N10" s="1780" t="str" cm="1">
        <f t="array" ref="N10">INDEX(KirjastoC!$D$4:$K$500,164,KirjastoC!$B$4)</f>
        <v>Patterit:</v>
      </c>
      <c r="O10" s="1782"/>
      <c r="P10" s="1782"/>
      <c r="Q10" s="1781"/>
      <c r="R10" s="1780" t="str" cm="1">
        <f t="array" ref="R10">INDEX(KirjastoC!$D$4:$K$500,165,KirjastoC!$B$4)</f>
        <v>Tarvikkeet:</v>
      </c>
      <c r="S10" s="1782"/>
      <c r="T10" s="1782"/>
      <c r="U10" s="1782"/>
      <c r="V10" s="1782"/>
      <c r="W10" s="1781"/>
      <c r="X10" s="1780" t="str" cm="1">
        <f t="array" ref="X10">INDEX(KirjastoC!$D$4:$K$500,166,KirjastoC!$B$4)</f>
        <v>Ohjaukset:</v>
      </c>
      <c r="Y10" s="1782"/>
      <c r="Z10" s="1781"/>
      <c r="AA10" s="1043"/>
      <c r="AB10" s="1043"/>
      <c r="AC10" s="1043"/>
      <c r="AD10" s="1043"/>
      <c r="AE10" s="1043"/>
      <c r="AF10" s="1043"/>
      <c r="AG10" s="88"/>
      <c r="AH10" s="1031"/>
      <c r="AK10" s="1065" t="s">
        <v>179</v>
      </c>
      <c r="AL10" s="1061" t="str">
        <f>'C koodit'!C87</f>
        <v>6 = ISO ePM1 65%,  (Vakiotoimitus C-koneissa, jos ei valittu muuta) (aiempi luokitus F7 taso)</v>
      </c>
    </row>
    <row r="11" spans="3:38" ht="16.5" customHeight="1" x14ac:dyDescent="0.2">
      <c r="C11" s="1026"/>
      <c r="D11" s="1027"/>
      <c r="E11" s="1046"/>
      <c r="F11" s="1043"/>
      <c r="G11" s="1043"/>
      <c r="H11" s="1051" t="s">
        <v>4</v>
      </c>
      <c r="I11" s="1051" t="s">
        <v>2158</v>
      </c>
      <c r="J11" s="1051" t="s">
        <v>6</v>
      </c>
      <c r="K11" s="1052" t="s">
        <v>178</v>
      </c>
      <c r="L11" s="1051" t="s">
        <v>179</v>
      </c>
      <c r="M11" s="1052" t="s">
        <v>180</v>
      </c>
      <c r="N11" s="1051" t="s">
        <v>2159</v>
      </c>
      <c r="O11" s="1051" t="s">
        <v>2128</v>
      </c>
      <c r="P11" s="1051" t="s">
        <v>2129</v>
      </c>
      <c r="Q11" s="1052" t="s">
        <v>2130</v>
      </c>
      <c r="R11" s="1051" t="s">
        <v>496</v>
      </c>
      <c r="S11" s="1051" t="s">
        <v>2069</v>
      </c>
      <c r="T11" s="1051" t="s">
        <v>2131</v>
      </c>
      <c r="U11" s="1051" t="s">
        <v>2132</v>
      </c>
      <c r="V11" s="1051" t="s">
        <v>2133</v>
      </c>
      <c r="W11" s="1052" t="s">
        <v>47</v>
      </c>
      <c r="X11" s="1051" t="s">
        <v>2134</v>
      </c>
      <c r="Y11" s="1051" t="s">
        <v>2160</v>
      </c>
      <c r="Z11" s="1052" t="s">
        <v>2135</v>
      </c>
      <c r="AA11" s="1044"/>
      <c r="AB11" s="1044"/>
      <c r="AC11" s="1044"/>
      <c r="AD11" s="1044"/>
      <c r="AE11" s="1044"/>
      <c r="AF11" s="1043"/>
      <c r="AG11" s="88"/>
      <c r="AH11" s="1031"/>
      <c r="AK11" s="1066" t="s">
        <v>180</v>
      </c>
      <c r="AL11" s="1067" t="str">
        <f>'C koodit'!C89</f>
        <v>5 = ISO ePM10 50%,  (Vakiotoimitus C-koneissa, jos ei valittu muuta) (aiempi luokitus M5-taso)</v>
      </c>
    </row>
    <row r="12" spans="3:38" ht="16.5" customHeight="1" x14ac:dyDescent="0.2">
      <c r="C12" s="1026"/>
      <c r="D12" s="1027"/>
      <c r="E12" s="1053" t="str" cm="1">
        <f t="array" ref="E12">INDEX(KirjastoC!$D$4:$K$500,156,KirjastoC!$B$4)</f>
        <v>Valinta:</v>
      </c>
      <c r="F12" s="1047"/>
      <c r="G12" s="1047"/>
      <c r="H12" s="1048">
        <f>'C koodit'!$D$79</f>
        <v>2</v>
      </c>
      <c r="I12" s="1048" t="str">
        <f>'C koodit'!$D$81</f>
        <v>005</v>
      </c>
      <c r="J12" s="1048">
        <f>'C koodit'!$D$83</f>
        <v>1</v>
      </c>
      <c r="K12" s="1049">
        <f>'C koodit'!$D$85</f>
        <v>1</v>
      </c>
      <c r="L12" s="1048">
        <f>'C koodit'!$D$87</f>
        <v>6</v>
      </c>
      <c r="M12" s="1049">
        <f>'C koodit'!$D$89</f>
        <v>5</v>
      </c>
      <c r="N12" s="1048">
        <f>'C koodit'!$D$91</f>
        <v>12</v>
      </c>
      <c r="O12" s="1048">
        <f>'C koodit'!$D$93</f>
        <v>1</v>
      </c>
      <c r="P12" s="1048">
        <f>'C koodit'!$D$95</f>
        <v>0</v>
      </c>
      <c r="Q12" s="1049">
        <f>'C koodit'!$D$97</f>
        <v>0</v>
      </c>
      <c r="R12" s="1048">
        <f>'C koodit'!$D$99</f>
        <v>0</v>
      </c>
      <c r="S12" s="1048">
        <f>'C koodit'!$D$101</f>
        <v>0</v>
      </c>
      <c r="T12" s="1048">
        <f>'C koodit'!$D$103</f>
        <v>0</v>
      </c>
      <c r="U12" s="1048">
        <f>'C koodit'!$D$105</f>
        <v>0</v>
      </c>
      <c r="V12" s="1048">
        <f>'C koodit'!$D$107</f>
        <v>0</v>
      </c>
      <c r="W12" s="1049">
        <f>'C koodit'!$D$109</f>
        <v>0</v>
      </c>
      <c r="X12" s="1048">
        <f>'C koodit'!$D$111</f>
        <v>8</v>
      </c>
      <c r="Y12" s="1048" t="str">
        <f>'C koodit'!$D$113</f>
        <v>00</v>
      </c>
      <c r="Z12" s="1049">
        <f>'C koodit'!$D$115</f>
        <v>9</v>
      </c>
      <c r="AA12" s="1044"/>
      <c r="AB12" s="1044"/>
      <c r="AC12" s="1044"/>
      <c r="AD12" s="1044"/>
      <c r="AE12" s="1044"/>
      <c r="AF12" s="1043"/>
      <c r="AG12" s="88"/>
      <c r="AH12" s="1031"/>
      <c r="AK12" s="1065" t="s">
        <v>2159</v>
      </c>
      <c r="AL12" s="1061" t="str">
        <f>'C koodit'!C91</f>
        <v>12 = Electric, Jälkilämmityspaketti 2: Sulakekoko 400VAC 3x25A, max ottoteho 14,4 kW - Oma jälkilämmityksen syöttö (malleihin C5, Cxx),  Vakiotoimitus konekoossa C5 Electric jos ei muuta pyydetty</v>
      </c>
    </row>
    <row r="13" spans="3:38" ht="16.5" customHeight="1" x14ac:dyDescent="0.2">
      <c r="C13" s="1026"/>
      <c r="D13" s="1027"/>
      <c r="E13" s="1027"/>
      <c r="F13" s="88"/>
      <c r="G13" s="1032"/>
      <c r="H13" s="88"/>
      <c r="I13" s="88"/>
      <c r="J13" s="88"/>
      <c r="K13" s="1029"/>
      <c r="L13" s="1030"/>
      <c r="M13" s="1030"/>
      <c r="N13" s="1030"/>
      <c r="O13" s="1030"/>
      <c r="P13" s="1030"/>
      <c r="Q13" s="1030"/>
      <c r="R13" s="1030"/>
      <c r="S13" s="1030"/>
      <c r="T13" s="1030"/>
      <c r="U13" s="1030"/>
      <c r="V13" s="1030"/>
      <c r="W13" s="1030"/>
      <c r="X13" s="1030"/>
      <c r="Y13" s="1030"/>
      <c r="Z13" s="88"/>
      <c r="AA13" s="88"/>
      <c r="AB13" s="88"/>
      <c r="AC13" s="88"/>
      <c r="AD13" s="88"/>
      <c r="AE13" s="88"/>
      <c r="AF13" s="88"/>
      <c r="AG13" s="88"/>
      <c r="AH13" s="1031"/>
      <c r="AK13" s="1068" t="s">
        <v>2128</v>
      </c>
      <c r="AL13" s="1063" t="str">
        <f>'C koodit'!C93</f>
        <v>1 = Electric, Vakiona valitun teholuokan mukaiset varusteet (Huom! Electric malleissa jälkilämmityksen oma sähkönsyöttö)</v>
      </c>
    </row>
    <row r="14" spans="3:38" ht="16" x14ac:dyDescent="0.2">
      <c r="C14" s="1026"/>
      <c r="D14" s="1027"/>
      <c r="E14" s="1033" t="str" cm="1">
        <f t="array" ref="E14">INDEX(KirjastoC!$D$4:$K$500,157,KirjastoC!$B$4)</f>
        <v>PERUSRAKENNE:</v>
      </c>
      <c r="F14" s="88"/>
      <c r="G14" s="88"/>
      <c r="H14" s="88"/>
      <c r="I14" s="88"/>
      <c r="J14" s="88"/>
      <c r="K14" s="1029"/>
      <c r="L14" s="1030"/>
      <c r="M14" s="1030"/>
      <c r="N14" s="1030"/>
      <c r="O14" s="1030"/>
      <c r="P14" s="1030"/>
      <c r="Q14" s="1030"/>
      <c r="R14" s="1030"/>
      <c r="S14" s="1030"/>
      <c r="T14" s="1030"/>
      <c r="U14" s="1030"/>
      <c r="V14" s="1030"/>
      <c r="W14" s="1030"/>
      <c r="X14" s="1030"/>
      <c r="Y14" s="1030"/>
      <c r="Z14" s="88"/>
      <c r="AA14" s="88"/>
      <c r="AB14" s="88"/>
      <c r="AC14" s="88"/>
      <c r="AD14" s="88"/>
      <c r="AE14" s="88"/>
      <c r="AF14" s="88"/>
      <c r="AG14" s="88"/>
      <c r="AH14" s="1031"/>
      <c r="AK14" s="1068" t="s">
        <v>2129</v>
      </c>
      <c r="AL14" s="1063" t="str">
        <f>'C koodit'!C95</f>
        <v xml:space="preserve">0 = ei sisäistä jäähdytystä. Vakiotoimitus jos ei muuta pyydetty. </v>
      </c>
    </row>
    <row r="15" spans="3:38" ht="16.5" customHeight="1" x14ac:dyDescent="0.2">
      <c r="C15" s="1026"/>
      <c r="D15" s="1027"/>
      <c r="E15" s="1040" t="str" cm="1">
        <f t="array" ref="E15">INDEX(KirjastoC!$D$4:$K$500,167,KirjastoC!$B$4)</f>
        <v>(A ) Konetyyppi</v>
      </c>
      <c r="F15" s="1022"/>
      <c r="G15" s="1041"/>
      <c r="H15" s="1022"/>
      <c r="I15" s="1022"/>
      <c r="J15" s="1022"/>
      <c r="K15" s="1023"/>
      <c r="L15" s="1024"/>
      <c r="M15" s="1024"/>
      <c r="N15" s="1024"/>
      <c r="O15" s="1024"/>
      <c r="P15" s="1024"/>
      <c r="Q15" s="1024"/>
      <c r="R15" s="1024"/>
      <c r="S15" s="1024"/>
      <c r="T15" s="1024"/>
      <c r="U15" s="1024"/>
      <c r="V15" s="1024"/>
      <c r="W15" s="1024"/>
      <c r="X15" s="1024"/>
      <c r="Y15" s="1024"/>
      <c r="Z15" s="1022"/>
      <c r="AA15" s="1022"/>
      <c r="AB15" s="1022"/>
      <c r="AC15" s="1022"/>
      <c r="AD15" s="1041"/>
      <c r="AE15" s="1022"/>
      <c r="AF15" s="1022"/>
      <c r="AG15" s="1025"/>
      <c r="AH15" s="1031"/>
      <c r="AK15" s="1066" t="s">
        <v>2130</v>
      </c>
      <c r="AL15" s="1067" t="str">
        <f>'C koodit'!C97</f>
        <v>0 = Ei jäähdytyksen toimilaitteita tai venttiileitä. Vakiotoimitus jos ei muuta pyydetty.</v>
      </c>
    </row>
    <row r="16" spans="3:38" ht="23.25" customHeight="1" x14ac:dyDescent="0.15">
      <c r="C16" s="1026"/>
      <c r="D16" s="88"/>
      <c r="E16" s="1026"/>
      <c r="F16" s="88"/>
      <c r="G16" s="88"/>
      <c r="H16" s="88"/>
      <c r="I16" s="88"/>
      <c r="J16" s="88"/>
      <c r="K16" s="1029"/>
      <c r="L16" s="1030"/>
      <c r="M16" s="1030"/>
      <c r="N16" s="1030"/>
      <c r="O16" s="1030"/>
      <c r="P16" s="1030"/>
      <c r="Q16" s="1030"/>
      <c r="R16" s="1030"/>
      <c r="S16" s="1030"/>
      <c r="T16" s="1030"/>
      <c r="U16" s="1030"/>
      <c r="V16" s="1030"/>
      <c r="W16" s="1030"/>
      <c r="X16" s="1030"/>
      <c r="Y16" s="1030"/>
      <c r="Z16" s="88"/>
      <c r="AA16" s="88"/>
      <c r="AB16" s="88"/>
      <c r="AC16" s="88"/>
      <c r="AD16" s="88"/>
      <c r="AE16" s="88"/>
      <c r="AF16" s="88"/>
      <c r="AG16" s="1031"/>
      <c r="AH16" s="1031"/>
      <c r="AK16" s="1065" t="s">
        <v>496</v>
      </c>
      <c r="AL16" s="1061" t="str">
        <f>'C koodit'!C99</f>
        <v>0 = Ei suodatinvahteja.  Vakiotoimitus jos ei muuta pyydetty.</v>
      </c>
    </row>
    <row r="17" spans="3:38" ht="18" customHeight="1" x14ac:dyDescent="0.15">
      <c r="C17" s="1026"/>
      <c r="D17" s="88"/>
      <c r="E17" s="1042" t="str" cm="1">
        <f t="array" ref="E17">INDEX(KirjastoC!$D$4:$K$500,168,KirjastoC!$B$4)</f>
        <v>( BBB ) Konekoko</v>
      </c>
      <c r="F17" s="88"/>
      <c r="G17" s="1034"/>
      <c r="H17" s="88"/>
      <c r="I17" s="88"/>
      <c r="J17" s="88"/>
      <c r="K17" s="1029"/>
      <c r="L17" s="1030"/>
      <c r="M17" s="1030"/>
      <c r="N17" s="1030"/>
      <c r="O17" s="1030"/>
      <c r="P17" s="1030"/>
      <c r="Q17" s="1030"/>
      <c r="R17" s="1030"/>
      <c r="S17" s="1030"/>
      <c r="T17" s="1030"/>
      <c r="U17" s="1030"/>
      <c r="V17" s="1030"/>
      <c r="W17" s="1030"/>
      <c r="X17" s="1030"/>
      <c r="Y17" s="1030"/>
      <c r="Z17" s="88"/>
      <c r="AA17" s="88"/>
      <c r="AB17" s="88"/>
      <c r="AC17" s="88"/>
      <c r="AD17" s="88"/>
      <c r="AE17" s="88"/>
      <c r="AF17" s="88"/>
      <c r="AG17" s="1031"/>
      <c r="AH17" s="1031"/>
      <c r="AK17" s="1068" t="s">
        <v>2069</v>
      </c>
      <c r="AL17" s="1063" t="str">
        <f>'C koodit'!C101</f>
        <v>0 = Ei vakiopainesäätöä. Vakiotoimitus jos ei muuta pyydetty.</v>
      </c>
    </row>
    <row r="18" spans="3:38" ht="23.25" customHeight="1" x14ac:dyDescent="0.15">
      <c r="C18" s="1026"/>
      <c r="D18" s="88"/>
      <c r="E18" s="1026"/>
      <c r="F18" s="88"/>
      <c r="G18" s="88"/>
      <c r="H18" s="88"/>
      <c r="I18" s="88"/>
      <c r="J18" s="88"/>
      <c r="K18" s="1029"/>
      <c r="L18" s="1030"/>
      <c r="M18" s="1030"/>
      <c r="N18" s="1030"/>
      <c r="O18" s="1030"/>
      <c r="P18" s="1030"/>
      <c r="Q18" s="1030"/>
      <c r="R18" s="1030"/>
      <c r="S18" s="1030"/>
      <c r="T18" s="1030"/>
      <c r="U18" s="1030"/>
      <c r="V18" s="1030"/>
      <c r="W18" s="1030"/>
      <c r="X18" s="1030"/>
      <c r="Y18" s="1030"/>
      <c r="Z18" s="88"/>
      <c r="AA18" s="88"/>
      <c r="AB18" s="88"/>
      <c r="AC18" s="88"/>
      <c r="AD18" s="88"/>
      <c r="AE18" s="88"/>
      <c r="AF18" s="88"/>
      <c r="AG18" s="1031"/>
      <c r="AH18" s="1031"/>
      <c r="AK18" s="1068" t="s">
        <v>2131</v>
      </c>
      <c r="AL18" s="1063" t="str">
        <f>'C koodit'!C103</f>
        <v xml:space="preserve">0 = Ei ilmamäärämittausta. Vakiotoimitus jos ei muuta pyydetty. </v>
      </c>
    </row>
    <row r="19" spans="3:38" ht="17.5" customHeight="1" x14ac:dyDescent="0.15">
      <c r="C19" s="1026"/>
      <c r="D19" s="88"/>
      <c r="E19" s="1042" t="str" cm="1">
        <f t="array" ref="E19">INDEX(KirjastoC!$D$4:$K$500,169,KirjastoC!$B$4)</f>
        <v>( C ) Kätisyys   - Huom!  Varmista kanavajärjestys</v>
      </c>
      <c r="F19" s="88"/>
      <c r="G19" s="1034"/>
      <c r="H19" s="88"/>
      <c r="I19" s="88"/>
      <c r="J19" s="88"/>
      <c r="K19" s="1029"/>
      <c r="L19" s="1030"/>
      <c r="M19" s="1030"/>
      <c r="N19" s="1030"/>
      <c r="O19" s="1030"/>
      <c r="P19" s="1030"/>
      <c r="Q19" s="1030"/>
      <c r="R19" s="1030"/>
      <c r="S19" s="1030"/>
      <c r="T19" s="1030"/>
      <c r="U19" s="1030"/>
      <c r="V19" s="1030"/>
      <c r="W19" s="1030"/>
      <c r="X19" s="1030"/>
      <c r="Y19" s="1030"/>
      <c r="Z19" s="88"/>
      <c r="AA19" s="88"/>
      <c r="AB19" s="88"/>
      <c r="AC19" s="88"/>
      <c r="AD19" s="88"/>
      <c r="AE19" s="88"/>
      <c r="AF19" s="88"/>
      <c r="AG19" s="1031"/>
      <c r="AH19" s="1031"/>
      <c r="AK19" s="1068" t="s">
        <v>2132</v>
      </c>
      <c r="AL19" s="1063" t="str">
        <f>'C koodit'!C105</f>
        <v>0 = Ei  sulkupeltejä eikä toimilaitteita jäte- ja ulkoilmalle. Vakiotoimitus jos ei muuta pyydetty.</v>
      </c>
    </row>
    <row r="20" spans="3:38" ht="23.25" customHeight="1" x14ac:dyDescent="0.15">
      <c r="C20" s="1026"/>
      <c r="D20" s="88"/>
      <c r="E20" s="1026"/>
      <c r="F20" s="88"/>
      <c r="G20" s="88"/>
      <c r="H20" s="88"/>
      <c r="I20" s="88"/>
      <c r="J20" s="88"/>
      <c r="K20" s="1029"/>
      <c r="L20" s="1030"/>
      <c r="M20" s="1030"/>
      <c r="N20" s="1030"/>
      <c r="O20" s="1030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88"/>
      <c r="AA20" s="88"/>
      <c r="AB20" s="88"/>
      <c r="AC20" s="88"/>
      <c r="AD20" s="88"/>
      <c r="AE20" s="88"/>
      <c r="AF20" s="88"/>
      <c r="AG20" s="1031"/>
      <c r="AH20" s="1031"/>
      <c r="AK20" s="1068" t="s">
        <v>2133</v>
      </c>
      <c r="AL20" s="1063" t="str">
        <f>'C koodit'!C107</f>
        <v xml:space="preserve">0 = Ei sensoreita. Vakiotoimitus jos ei muuta pyydetty. </v>
      </c>
    </row>
    <row r="21" spans="3:38" ht="17.5" customHeight="1" x14ac:dyDescent="0.15">
      <c r="C21" s="1026"/>
      <c r="D21" s="88"/>
      <c r="E21" s="1042" t="str" cm="1">
        <f t="array" ref="E21">INDEX(KirjastoC!$D$4:$K$500,170,KirjastoC!$B$4)</f>
        <v>( D ) Koneen automatiikka</v>
      </c>
      <c r="F21" s="88"/>
      <c r="G21" s="1034"/>
      <c r="H21" s="88"/>
      <c r="I21" s="88"/>
      <c r="J21" s="88"/>
      <c r="K21" s="1029"/>
      <c r="L21" s="1030"/>
      <c r="M21" s="1030"/>
      <c r="N21" s="1030"/>
      <c r="O21" s="1030"/>
      <c r="P21" s="1030"/>
      <c r="Q21" s="1030"/>
      <c r="R21" s="1030"/>
      <c r="S21" s="1030"/>
      <c r="T21" s="1030"/>
      <c r="U21" s="1030"/>
      <c r="V21" s="1030"/>
      <c r="W21" s="1030"/>
      <c r="X21" s="1030"/>
      <c r="Y21" s="1030"/>
      <c r="Z21" s="88"/>
      <c r="AA21" s="88"/>
      <c r="AB21" s="88"/>
      <c r="AC21" s="88"/>
      <c r="AD21" s="88"/>
      <c r="AE21" s="88"/>
      <c r="AF21" s="88"/>
      <c r="AG21" s="1031"/>
      <c r="AH21" s="1031"/>
      <c r="AK21" s="1066" t="s">
        <v>47</v>
      </c>
      <c r="AL21" s="1067" t="str">
        <f>'C koodit'!C109</f>
        <v>0 = Ei energiamittareita. Vakiotoimitus jos ei muuta pyydetty.</v>
      </c>
    </row>
    <row r="22" spans="3:38" ht="23.25" customHeight="1" x14ac:dyDescent="0.15">
      <c r="C22" s="1026"/>
      <c r="D22" s="88"/>
      <c r="E22" s="1035"/>
      <c r="F22" s="1036"/>
      <c r="G22" s="1036"/>
      <c r="H22" s="1036"/>
      <c r="I22" s="1036"/>
      <c r="J22" s="1036"/>
      <c r="K22" s="1037"/>
      <c r="L22" s="1038"/>
      <c r="M22" s="1038"/>
      <c r="N22" s="1038"/>
      <c r="O22" s="1038"/>
      <c r="P22" s="1038"/>
      <c r="Q22" s="1038"/>
      <c r="R22" s="1038"/>
      <c r="S22" s="1038"/>
      <c r="T22" s="1038"/>
      <c r="U22" s="1038"/>
      <c r="V22" s="1038"/>
      <c r="W22" s="1038"/>
      <c r="X22" s="1038"/>
      <c r="Y22" s="1038"/>
      <c r="Z22" s="1036"/>
      <c r="AA22" s="1036"/>
      <c r="AB22" s="1036"/>
      <c r="AC22" s="1036"/>
      <c r="AD22" s="1036"/>
      <c r="AE22" s="1036"/>
      <c r="AF22" s="1036"/>
      <c r="AG22" s="1039"/>
      <c r="AH22" s="1031"/>
      <c r="AK22" s="1065" t="s">
        <v>2134</v>
      </c>
      <c r="AL22" s="1061" t="str">
        <f>'C koodit'!C111</f>
        <v>8 = Mille Wire (vakiona toimituksessa C-sarjan koneissa 1 kpl)</v>
      </c>
    </row>
    <row r="23" spans="3:38" ht="23.25" customHeight="1" x14ac:dyDescent="0.15">
      <c r="C23" s="1026"/>
      <c r="D23" s="88"/>
      <c r="E23" s="1033" t="str" cm="1">
        <f t="array" ref="E23">INDEX(KirjastoC!$D$4:$K$500,158,KirjastoC!$B$4)</f>
        <v>SUODATUS:</v>
      </c>
      <c r="F23" s="88"/>
      <c r="G23" s="88"/>
      <c r="H23" s="88"/>
      <c r="I23" s="88"/>
      <c r="J23" s="88"/>
      <c r="K23" s="1029"/>
      <c r="L23" s="1030"/>
      <c r="M23" s="1030"/>
      <c r="N23" s="1030"/>
      <c r="O23" s="1030"/>
      <c r="P23" s="1030"/>
      <c r="Q23" s="1030"/>
      <c r="R23" s="1030"/>
      <c r="S23" s="1030"/>
      <c r="T23" s="1030"/>
      <c r="U23" s="1030"/>
      <c r="V23" s="1030"/>
      <c r="W23" s="1030"/>
      <c r="X23" s="1030"/>
      <c r="Y23" s="1030"/>
      <c r="Z23" s="88"/>
      <c r="AA23" s="88"/>
      <c r="AB23" s="88"/>
      <c r="AC23" s="88"/>
      <c r="AD23" s="88"/>
      <c r="AE23" s="88"/>
      <c r="AF23" s="88"/>
      <c r="AG23" s="88"/>
      <c r="AH23" s="1031"/>
      <c r="AK23" s="1068" t="s">
        <v>2160</v>
      </c>
      <c r="AL23" s="1063" t="str">
        <f>'C koodit'!C113</f>
        <v>00 = Oletus (ei valittu),  Vakiotoimitus jos ei muuta pyydetty)</v>
      </c>
    </row>
    <row r="24" spans="3:38" ht="17.5" customHeight="1" x14ac:dyDescent="0.15">
      <c r="C24" s="1026"/>
      <c r="D24" s="88"/>
      <c r="E24" s="1040" t="str" cm="1">
        <f t="array" ref="E24">INDEX(KirjastoC!$D$4:$K$500,171,KirjastoC!$B$4)</f>
        <v>( E ) Suodatus TULO</v>
      </c>
      <c r="F24" s="1022"/>
      <c r="G24" s="1041"/>
      <c r="H24" s="1022"/>
      <c r="I24" s="1022"/>
      <c r="J24" s="1022"/>
      <c r="K24" s="1023"/>
      <c r="L24" s="1024"/>
      <c r="M24" s="1024"/>
      <c r="N24" s="1024"/>
      <c r="O24" s="1024"/>
      <c r="P24" s="1024"/>
      <c r="Q24" s="1024"/>
      <c r="R24" s="1024"/>
      <c r="S24" s="1024"/>
      <c r="T24" s="1024"/>
      <c r="U24" s="1024"/>
      <c r="V24" s="1024"/>
      <c r="W24" s="1024"/>
      <c r="X24" s="1024"/>
      <c r="Y24" s="1024"/>
      <c r="Z24" s="1022"/>
      <c r="AA24" s="1022"/>
      <c r="AB24" s="1022"/>
      <c r="AC24" s="1022"/>
      <c r="AD24" s="1022"/>
      <c r="AE24" s="1022"/>
      <c r="AF24" s="1022"/>
      <c r="AG24" s="1025"/>
      <c r="AH24" s="1031"/>
      <c r="AK24" s="1066" t="s">
        <v>2135</v>
      </c>
      <c r="AL24" s="1067" t="str">
        <f>'C koodit'!C115</f>
        <v>9 = Toimitus listauksen mukaisesti</v>
      </c>
    </row>
    <row r="25" spans="3:38" ht="23.25" customHeight="1" x14ac:dyDescent="0.15">
      <c r="C25" s="1026"/>
      <c r="D25" s="88"/>
      <c r="E25" s="1026"/>
      <c r="F25" s="88"/>
      <c r="G25" s="88"/>
      <c r="H25" s="88"/>
      <c r="I25" s="88"/>
      <c r="J25" s="88"/>
      <c r="K25" s="1029"/>
      <c r="L25" s="1030"/>
      <c r="M25" s="1030"/>
      <c r="N25" s="1030"/>
      <c r="O25" s="1030"/>
      <c r="P25" s="1030"/>
      <c r="Q25" s="1030"/>
      <c r="R25" s="1030"/>
      <c r="S25" s="1030"/>
      <c r="T25" s="1030"/>
      <c r="U25" s="1030"/>
      <c r="V25" s="1030"/>
      <c r="W25" s="1030"/>
      <c r="X25" s="1030"/>
      <c r="Y25" s="1030"/>
      <c r="Z25" s="88"/>
      <c r="AA25" s="88"/>
      <c r="AB25" s="88"/>
      <c r="AC25" s="88"/>
      <c r="AD25" s="88"/>
      <c r="AE25" s="88"/>
      <c r="AF25" s="88"/>
      <c r="AG25" s="1031"/>
      <c r="AH25" s="1031"/>
    </row>
    <row r="26" spans="3:38" ht="17.5" customHeight="1" x14ac:dyDescent="0.15">
      <c r="C26" s="1026"/>
      <c r="D26" s="88"/>
      <c r="E26" s="1042" t="str" cm="1">
        <f t="array" ref="E26">INDEX(KirjastoC!$D$4:$K$500,172,KirjastoC!$B$4)</f>
        <v>( F ) Suodatus POISTO</v>
      </c>
      <c r="F26" s="88"/>
      <c r="G26" s="1034"/>
      <c r="H26" s="88"/>
      <c r="I26" s="88"/>
      <c r="J26" s="88"/>
      <c r="K26" s="1029"/>
      <c r="L26" s="1030"/>
      <c r="M26" s="1030"/>
      <c r="N26" s="1030"/>
      <c r="O26" s="1030"/>
      <c r="P26" s="1030"/>
      <c r="Q26" s="1030"/>
      <c r="R26" s="1030"/>
      <c r="S26" s="1030"/>
      <c r="T26" s="1030"/>
      <c r="U26" s="1030"/>
      <c r="V26" s="1030"/>
      <c r="W26" s="1030"/>
      <c r="X26" s="1030"/>
      <c r="Y26" s="1030"/>
      <c r="Z26" s="88"/>
      <c r="AA26" s="88"/>
      <c r="AB26" s="88"/>
      <c r="AC26" s="88"/>
      <c r="AD26" s="88"/>
      <c r="AE26" s="88"/>
      <c r="AF26" s="88"/>
      <c r="AG26" s="1031"/>
      <c r="AH26" s="1031"/>
    </row>
    <row r="27" spans="3:38" ht="23.25" customHeight="1" x14ac:dyDescent="0.15">
      <c r="C27" s="1026"/>
      <c r="D27" s="88"/>
      <c r="E27" s="1035"/>
      <c r="F27" s="1036"/>
      <c r="G27" s="1036"/>
      <c r="H27" s="1036"/>
      <c r="I27" s="1036"/>
      <c r="J27" s="1036"/>
      <c r="K27" s="1037"/>
      <c r="L27" s="1038"/>
      <c r="M27" s="1038"/>
      <c r="N27" s="1038"/>
      <c r="O27" s="1038"/>
      <c r="P27" s="1038"/>
      <c r="Q27" s="1038"/>
      <c r="R27" s="1038"/>
      <c r="S27" s="1038"/>
      <c r="T27" s="1038"/>
      <c r="U27" s="1038"/>
      <c r="V27" s="1038"/>
      <c r="W27" s="1038"/>
      <c r="X27" s="1038"/>
      <c r="Y27" s="1038"/>
      <c r="Z27" s="1036"/>
      <c r="AA27" s="1036"/>
      <c r="AB27" s="1036"/>
      <c r="AC27" s="1036"/>
      <c r="AD27" s="1036"/>
      <c r="AE27" s="1036"/>
      <c r="AF27" s="1036"/>
      <c r="AG27" s="1039"/>
      <c r="AH27" s="1031"/>
    </row>
    <row r="28" spans="3:38" ht="23.25" customHeight="1" x14ac:dyDescent="0.15">
      <c r="C28" s="1026"/>
      <c r="D28" s="88"/>
      <c r="E28" s="1033" t="str" cm="1">
        <f t="array" ref="E28">INDEX(KirjastoC!$D$4:$K$500,159,KirjastoC!$B$4)</f>
        <v>PATTERIT:</v>
      </c>
      <c r="F28" s="88"/>
      <c r="G28" s="88"/>
      <c r="H28" s="88"/>
      <c r="I28" s="88"/>
      <c r="J28" s="88"/>
      <c r="K28" s="1029"/>
      <c r="L28" s="1030"/>
      <c r="M28" s="1030"/>
      <c r="N28" s="1030"/>
      <c r="O28" s="1030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88"/>
      <c r="AA28" s="88"/>
      <c r="AB28" s="88"/>
      <c r="AC28" s="88"/>
      <c r="AD28" s="88"/>
      <c r="AE28" s="88"/>
      <c r="AF28" s="88"/>
      <c r="AG28" s="88"/>
      <c r="AH28" s="1031"/>
    </row>
    <row r="29" spans="3:38" ht="17.25" customHeight="1" x14ac:dyDescent="0.15">
      <c r="C29" s="1026"/>
      <c r="D29" s="88"/>
      <c r="E29" s="1040" t="str" cm="1">
        <f t="array" ref="E29">INDEX(KirjastoC!$D$4:$K$500,173,KirjastoC!$B$4)</f>
        <v xml:space="preserve">( GG ) Jälkilämmityspatteri, sisäinen </v>
      </c>
      <c r="F29" s="1022"/>
      <c r="G29" s="1041"/>
      <c r="H29" s="1022"/>
      <c r="I29" s="1022"/>
      <c r="J29" s="1022"/>
      <c r="K29" s="1023"/>
      <c r="L29" s="1024"/>
      <c r="M29" s="1024"/>
      <c r="N29" s="1024"/>
      <c r="O29" s="1024"/>
      <c r="P29" s="1024"/>
      <c r="Q29" s="1024"/>
      <c r="R29" s="1024"/>
      <c r="S29" s="1024"/>
      <c r="T29" s="1024"/>
      <c r="U29" s="1024"/>
      <c r="V29" s="1024"/>
      <c r="W29" s="1024"/>
      <c r="X29" s="1024"/>
      <c r="Y29" s="1024"/>
      <c r="Z29" s="1022"/>
      <c r="AA29" s="1022"/>
      <c r="AB29" s="1022"/>
      <c r="AC29" s="1022"/>
      <c r="AD29" s="1022"/>
      <c r="AE29" s="1022"/>
      <c r="AF29" s="1022"/>
      <c r="AG29" s="1025"/>
      <c r="AH29" s="1031"/>
    </row>
    <row r="30" spans="3:38" ht="23.25" customHeight="1" x14ac:dyDescent="0.15">
      <c r="C30" s="1026"/>
      <c r="D30" s="88"/>
      <c r="E30" s="1026"/>
      <c r="F30" s="88"/>
      <c r="G30" s="88"/>
      <c r="H30" s="88"/>
      <c r="I30" s="88"/>
      <c r="J30" s="88"/>
      <c r="K30" s="1029"/>
      <c r="L30" s="1030"/>
      <c r="M30" s="1030"/>
      <c r="N30" s="1030"/>
      <c r="O30" s="1030"/>
      <c r="P30" s="1030"/>
      <c r="Q30" s="1030"/>
      <c r="R30" s="1030"/>
      <c r="S30" s="1030"/>
      <c r="T30" s="1030"/>
      <c r="U30" s="1030"/>
      <c r="V30" s="1030"/>
      <c r="W30" s="1030"/>
      <c r="X30" s="1030"/>
      <c r="Y30" s="1030"/>
      <c r="Z30" s="88"/>
      <c r="AA30" s="88"/>
      <c r="AB30" s="88"/>
      <c r="AC30" s="88"/>
      <c r="AD30" s="88"/>
      <c r="AE30" s="88"/>
      <c r="AF30" s="88"/>
      <c r="AG30" s="1031"/>
      <c r="AH30" s="1031"/>
    </row>
    <row r="31" spans="3:38" ht="17.5" customHeight="1" x14ac:dyDescent="0.15">
      <c r="C31" s="1026"/>
      <c r="D31" s="88"/>
      <c r="E31" s="1042" t="str" cm="1">
        <f t="array" ref="E31">INDEX(KirjastoC!$D$4:$K$500,174,KirjastoC!$B$4)</f>
        <v>( H ) Jälkilämmityksen ohjaus, sisäinen</v>
      </c>
      <c r="F31" s="88"/>
      <c r="G31" s="1034"/>
      <c r="H31" s="88"/>
      <c r="I31" s="88"/>
      <c r="J31" s="88"/>
      <c r="K31" s="1029"/>
      <c r="L31" s="1030"/>
      <c r="M31" s="1030"/>
      <c r="N31" s="1030"/>
      <c r="O31" s="1030"/>
      <c r="P31" s="1030"/>
      <c r="Q31" s="1030"/>
      <c r="R31" s="1030"/>
      <c r="S31" s="1030"/>
      <c r="T31" s="1030"/>
      <c r="U31" s="1030"/>
      <c r="V31" s="1030"/>
      <c r="W31" s="1030"/>
      <c r="X31" s="1030"/>
      <c r="Y31" s="1030"/>
      <c r="Z31" s="88"/>
      <c r="AA31" s="88"/>
      <c r="AB31" s="88"/>
      <c r="AC31" s="88"/>
      <c r="AD31" s="88"/>
      <c r="AE31" s="88"/>
      <c r="AF31" s="88"/>
      <c r="AG31" s="1031"/>
      <c r="AH31" s="1031"/>
    </row>
    <row r="32" spans="3:38" ht="23.25" customHeight="1" x14ac:dyDescent="0.15">
      <c r="C32" s="1026"/>
      <c r="D32" s="88"/>
      <c r="E32" s="1026"/>
      <c r="F32" s="88"/>
      <c r="G32" s="88"/>
      <c r="H32" s="88"/>
      <c r="I32" s="88"/>
      <c r="J32" s="88"/>
      <c r="K32" s="1029"/>
      <c r="L32" s="1030"/>
      <c r="M32" s="1030"/>
      <c r="N32" s="1030"/>
      <c r="O32" s="1030"/>
      <c r="P32" s="1030"/>
      <c r="Q32" s="1030"/>
      <c r="R32" s="1030"/>
      <c r="S32" s="1030"/>
      <c r="T32" s="1030"/>
      <c r="U32" s="1030"/>
      <c r="V32" s="1030"/>
      <c r="W32" s="1030"/>
      <c r="X32" s="1030"/>
      <c r="Y32" s="1030"/>
      <c r="Z32" s="88"/>
      <c r="AA32" s="88"/>
      <c r="AB32" s="88"/>
      <c r="AC32" s="88"/>
      <c r="AD32" s="88"/>
      <c r="AE32" s="88"/>
      <c r="AF32" s="88"/>
      <c r="AG32" s="1031"/>
      <c r="AH32" s="1031"/>
    </row>
    <row r="33" spans="3:34" ht="17.5" customHeight="1" x14ac:dyDescent="0.15">
      <c r="C33" s="1026"/>
      <c r="D33" s="88"/>
      <c r="E33" s="1042" t="str" cm="1">
        <f t="array" ref="E33">INDEX(KirjastoC!$D$4:$K$500,175,KirjastoC!$B$4)</f>
        <v>( I ) Jäähdytyspatteri, sisäinen</v>
      </c>
      <c r="F33" s="88"/>
      <c r="G33" s="1034"/>
      <c r="H33" s="88"/>
      <c r="I33" s="88"/>
      <c r="J33" s="88"/>
      <c r="K33" s="1029"/>
      <c r="L33" s="1030"/>
      <c r="M33" s="1030"/>
      <c r="N33" s="1030"/>
      <c r="O33" s="1030"/>
      <c r="P33" s="1030"/>
      <c r="Q33" s="1030"/>
      <c r="R33" s="1030"/>
      <c r="S33" s="1030"/>
      <c r="T33" s="1030"/>
      <c r="U33" s="1030"/>
      <c r="V33" s="1030"/>
      <c r="W33" s="1030"/>
      <c r="X33" s="1030"/>
      <c r="Y33" s="1030"/>
      <c r="Z33" s="88"/>
      <c r="AA33" s="88"/>
      <c r="AB33" s="88"/>
      <c r="AC33" s="88"/>
      <c r="AD33" s="88"/>
      <c r="AE33" s="88"/>
      <c r="AF33" s="88"/>
      <c r="AG33" s="1031"/>
      <c r="AH33" s="1031"/>
    </row>
    <row r="34" spans="3:34" ht="23.25" customHeight="1" x14ac:dyDescent="0.15">
      <c r="C34" s="1026"/>
      <c r="D34" s="88"/>
      <c r="E34" s="1026"/>
      <c r="F34" s="88"/>
      <c r="G34" s="88"/>
      <c r="H34" s="88"/>
      <c r="I34" s="88"/>
      <c r="J34" s="88"/>
      <c r="K34" s="1029"/>
      <c r="L34" s="1030"/>
      <c r="M34" s="1030"/>
      <c r="N34" s="1030"/>
      <c r="O34" s="1030"/>
      <c r="P34" s="1030"/>
      <c r="Q34" s="1030"/>
      <c r="R34" s="1030"/>
      <c r="S34" s="1030"/>
      <c r="T34" s="1030"/>
      <c r="U34" s="1030"/>
      <c r="V34" s="1030"/>
      <c r="W34" s="1030"/>
      <c r="X34" s="1030"/>
      <c r="Y34" s="1030"/>
      <c r="Z34" s="88"/>
      <c r="AA34" s="88"/>
      <c r="AB34" s="88"/>
      <c r="AC34" s="88"/>
      <c r="AD34" s="88"/>
      <c r="AE34" s="88"/>
      <c r="AF34" s="88"/>
      <c r="AG34" s="1031"/>
      <c r="AH34" s="1031"/>
    </row>
    <row r="35" spans="3:34" ht="18" customHeight="1" x14ac:dyDescent="0.15">
      <c r="C35" s="1026"/>
      <c r="D35" s="88"/>
      <c r="E35" s="1042" t="str" cm="1">
        <f t="array" ref="E35">INDEX(KirjastoC!$D$4:$K$500,176,KirjastoC!$B$4)</f>
        <v>( J ) Jäähdytyksen ohjaus, sisäinen jäähdytyspatteri</v>
      </c>
      <c r="F35" s="88"/>
      <c r="G35" s="1034"/>
      <c r="H35" s="88"/>
      <c r="I35" s="88"/>
      <c r="J35" s="88"/>
      <c r="K35" s="1029"/>
      <c r="L35" s="1030"/>
      <c r="M35" s="1030"/>
      <c r="N35" s="1030"/>
      <c r="O35" s="1030"/>
      <c r="P35" s="1030"/>
      <c r="Q35" s="1030"/>
      <c r="R35" s="1030"/>
      <c r="S35" s="1030"/>
      <c r="T35" s="1030"/>
      <c r="U35" s="1030"/>
      <c r="V35" s="1030"/>
      <c r="W35" s="1030"/>
      <c r="X35" s="1030"/>
      <c r="Y35" s="1030"/>
      <c r="Z35" s="88"/>
      <c r="AA35" s="88"/>
      <c r="AB35" s="88"/>
      <c r="AC35" s="88"/>
      <c r="AD35" s="88"/>
      <c r="AE35" s="88"/>
      <c r="AF35" s="88"/>
      <c r="AG35" s="1031"/>
      <c r="AH35" s="1031"/>
    </row>
    <row r="36" spans="3:34" ht="23.25" customHeight="1" x14ac:dyDescent="0.15">
      <c r="C36" s="1026"/>
      <c r="D36" s="88"/>
      <c r="E36" s="1035"/>
      <c r="F36" s="1036"/>
      <c r="G36" s="1036"/>
      <c r="H36" s="1036"/>
      <c r="I36" s="1036"/>
      <c r="J36" s="1036"/>
      <c r="K36" s="1037"/>
      <c r="L36" s="1038"/>
      <c r="M36" s="1038"/>
      <c r="N36" s="1038"/>
      <c r="O36" s="1038"/>
      <c r="P36" s="1038"/>
      <c r="Q36" s="1038"/>
      <c r="R36" s="1038"/>
      <c r="S36" s="1038"/>
      <c r="T36" s="1038"/>
      <c r="U36" s="1038"/>
      <c r="V36" s="1038"/>
      <c r="W36" s="1038"/>
      <c r="X36" s="1038"/>
      <c r="Y36" s="1038"/>
      <c r="Z36" s="1036"/>
      <c r="AA36" s="1036"/>
      <c r="AB36" s="1036"/>
      <c r="AC36" s="1036"/>
      <c r="AD36" s="1036"/>
      <c r="AE36" s="1036"/>
      <c r="AF36" s="1036"/>
      <c r="AG36" s="1039"/>
      <c r="AH36" s="1031"/>
    </row>
    <row r="37" spans="3:34" ht="23.25" customHeight="1" x14ac:dyDescent="0.15">
      <c r="C37" s="1026"/>
      <c r="D37" s="88"/>
      <c r="E37" s="1033" t="str" cm="1">
        <f t="array" ref="E37">INDEX(KirjastoC!$D$4:$K$500,160,KirjastoC!$B$4)</f>
        <v>TARVIKKEET:</v>
      </c>
      <c r="F37" s="88"/>
      <c r="G37" s="88"/>
      <c r="H37" s="88"/>
      <c r="I37" s="88"/>
      <c r="J37" s="88"/>
      <c r="K37" s="1029"/>
      <c r="L37" s="1030"/>
      <c r="M37" s="1030"/>
      <c r="N37" s="1030"/>
      <c r="O37" s="1030"/>
      <c r="P37" s="1030"/>
      <c r="Q37" s="1030"/>
      <c r="R37" s="1030"/>
      <c r="S37" s="1030"/>
      <c r="T37" s="1030"/>
      <c r="U37" s="1030"/>
      <c r="V37" s="1030"/>
      <c r="W37" s="1030"/>
      <c r="X37" s="1030"/>
      <c r="Y37" s="1030"/>
      <c r="Z37" s="88"/>
      <c r="AA37" s="88"/>
      <c r="AB37" s="88"/>
      <c r="AC37" s="88"/>
      <c r="AD37" s="88"/>
      <c r="AE37" s="88"/>
      <c r="AF37" s="88"/>
      <c r="AG37" s="88"/>
      <c r="AH37" s="1031"/>
    </row>
    <row r="38" spans="3:34" ht="18" customHeight="1" x14ac:dyDescent="0.15">
      <c r="C38" s="1026"/>
      <c r="D38" s="88"/>
      <c r="E38" s="1040" t="str" cm="1">
        <f t="array" ref="E38">INDEX(KirjastoC!$D$4:$K$500,177,KirjastoC!$B$4)</f>
        <v>( K ) Suodatinvahti*</v>
      </c>
      <c r="F38" s="1022"/>
      <c r="G38" s="1041"/>
      <c r="H38" s="1022"/>
      <c r="I38" s="1022"/>
      <c r="J38" s="1022"/>
      <c r="K38" s="1023"/>
      <c r="L38" s="1024"/>
      <c r="M38" s="1024"/>
      <c r="N38" s="1024"/>
      <c r="O38" s="1024"/>
      <c r="P38" s="1024"/>
      <c r="Q38" s="1024"/>
      <c r="R38" s="1024"/>
      <c r="S38" s="1024"/>
      <c r="T38" s="1024"/>
      <c r="U38" s="1024"/>
      <c r="V38" s="1024"/>
      <c r="W38" s="1024"/>
      <c r="X38" s="1024"/>
      <c r="Y38" s="1024"/>
      <c r="Z38" s="1022"/>
      <c r="AA38" s="1022"/>
      <c r="AB38" s="1022"/>
      <c r="AC38" s="1022"/>
      <c r="AD38" s="1022"/>
      <c r="AE38" s="1022"/>
      <c r="AF38" s="1022"/>
      <c r="AG38" s="1025"/>
      <c r="AH38" s="1031"/>
    </row>
    <row r="39" spans="3:34" ht="23.25" customHeight="1" x14ac:dyDescent="0.15">
      <c r="C39" s="1026"/>
      <c r="D39" s="88"/>
      <c r="E39" s="1026"/>
      <c r="F39" s="88"/>
      <c r="G39" s="88"/>
      <c r="H39" s="88"/>
      <c r="I39" s="88"/>
      <c r="J39" s="88"/>
      <c r="K39" s="1029"/>
      <c r="L39" s="1030"/>
      <c r="M39" s="1030"/>
      <c r="N39" s="1030"/>
      <c r="O39" s="1030"/>
      <c r="P39" s="1030"/>
      <c r="Q39" s="1030"/>
      <c r="R39" s="1030"/>
      <c r="S39" s="1030"/>
      <c r="T39" s="1030"/>
      <c r="U39" s="1030"/>
      <c r="V39" s="1030"/>
      <c r="W39" s="1030"/>
      <c r="X39" s="1030"/>
      <c r="Y39" s="1030"/>
      <c r="Z39" s="88"/>
      <c r="AA39" s="88"/>
      <c r="AB39" s="88"/>
      <c r="AC39" s="88"/>
      <c r="AD39" s="88"/>
      <c r="AE39" s="88"/>
      <c r="AF39" s="88"/>
      <c r="AG39" s="1031"/>
      <c r="AH39" s="1031"/>
    </row>
    <row r="40" spans="3:34" ht="18" customHeight="1" x14ac:dyDescent="0.15">
      <c r="C40" s="1026"/>
      <c r="D40" s="88"/>
      <c r="E40" s="1042" t="str" cm="1">
        <f t="array" ref="E40">INDEX(KirjastoC!$D$4:$K$500,178,KirjastoC!$B$4)</f>
        <v>( L ) Vakiopainesäätö*</v>
      </c>
      <c r="F40" s="88"/>
      <c r="G40" s="1034"/>
      <c r="H40" s="88"/>
      <c r="I40" s="88"/>
      <c r="J40" s="88"/>
      <c r="K40" s="1029"/>
      <c r="L40" s="1030"/>
      <c r="M40" s="1030"/>
      <c r="N40" s="1030"/>
      <c r="O40" s="1030"/>
      <c r="P40" s="1030"/>
      <c r="Q40" s="1030"/>
      <c r="R40" s="1030"/>
      <c r="S40" s="1030"/>
      <c r="T40" s="1030"/>
      <c r="U40" s="1030"/>
      <c r="V40" s="1030"/>
      <c r="W40" s="1030"/>
      <c r="X40" s="1030"/>
      <c r="Y40" s="1030"/>
      <c r="Z40" s="88"/>
      <c r="AA40" s="88"/>
      <c r="AB40" s="88"/>
      <c r="AC40" s="88"/>
      <c r="AD40" s="88"/>
      <c r="AE40" s="88"/>
      <c r="AF40" s="88"/>
      <c r="AG40" s="1031"/>
      <c r="AH40" s="1031"/>
    </row>
    <row r="41" spans="3:34" ht="23.25" customHeight="1" x14ac:dyDescent="0.15">
      <c r="C41" s="1026"/>
      <c r="D41" s="88"/>
      <c r="E41" s="1026"/>
      <c r="F41" s="88"/>
      <c r="G41" s="88"/>
      <c r="H41" s="88"/>
      <c r="I41" s="88"/>
      <c r="J41" s="88"/>
      <c r="K41" s="1029"/>
      <c r="L41" s="1030"/>
      <c r="M41" s="1030"/>
      <c r="N41" s="1030"/>
      <c r="O41" s="1030"/>
      <c r="P41" s="1030"/>
      <c r="Q41" s="1030"/>
      <c r="R41" s="1030"/>
      <c r="S41" s="1030"/>
      <c r="T41" s="1030"/>
      <c r="U41" s="1030"/>
      <c r="V41" s="1030"/>
      <c r="W41" s="1030"/>
      <c r="X41" s="1030"/>
      <c r="Y41" s="1030"/>
      <c r="Z41" s="88"/>
      <c r="AA41" s="88"/>
      <c r="AB41" s="88"/>
      <c r="AC41" s="88"/>
      <c r="AD41" s="88"/>
      <c r="AE41" s="88"/>
      <c r="AF41" s="88"/>
      <c r="AG41" s="1031"/>
      <c r="AH41" s="1031"/>
    </row>
    <row r="42" spans="3:34" ht="18" customHeight="1" x14ac:dyDescent="0.15">
      <c r="C42" s="1026"/>
      <c r="D42" s="88"/>
      <c r="E42" s="1042" t="str" cm="1">
        <f t="array" ref="E42">INDEX(KirjastoC!$D$4:$K$500,179,KirjastoC!$B$4)</f>
        <v xml:space="preserve">( M ) Ilmamäärämittaus* </v>
      </c>
      <c r="F42" s="88"/>
      <c r="G42" s="1034"/>
      <c r="H42" s="88"/>
      <c r="I42" s="88"/>
      <c r="J42" s="88"/>
      <c r="K42" s="1029"/>
      <c r="L42" s="1030"/>
      <c r="M42" s="1030"/>
      <c r="N42" s="1030"/>
      <c r="O42" s="1030"/>
      <c r="P42" s="1030"/>
      <c r="Q42" s="1030"/>
      <c r="R42" s="1030"/>
      <c r="S42" s="1030"/>
      <c r="T42" s="1030"/>
      <c r="U42" s="1030"/>
      <c r="V42" s="1030"/>
      <c r="W42" s="1030"/>
      <c r="X42" s="1030"/>
      <c r="Y42" s="1030"/>
      <c r="Z42" s="88"/>
      <c r="AA42" s="88"/>
      <c r="AB42" s="88"/>
      <c r="AC42" s="88"/>
      <c r="AD42" s="88"/>
      <c r="AE42" s="88"/>
      <c r="AF42" s="88"/>
      <c r="AG42" s="1031"/>
      <c r="AH42" s="1031"/>
    </row>
    <row r="43" spans="3:34" ht="23.25" customHeight="1" x14ac:dyDescent="0.15">
      <c r="C43" s="1026"/>
      <c r="D43" s="88"/>
      <c r="E43" s="1026"/>
      <c r="F43" s="88"/>
      <c r="G43" s="88"/>
      <c r="H43" s="88"/>
      <c r="I43" s="88"/>
      <c r="J43" s="88"/>
      <c r="K43" s="1029"/>
      <c r="L43" s="1030"/>
      <c r="M43" s="1030"/>
      <c r="N43" s="1030"/>
      <c r="O43" s="1030"/>
      <c r="P43" s="1030"/>
      <c r="Q43" s="1030"/>
      <c r="R43" s="1030"/>
      <c r="S43" s="1030"/>
      <c r="T43" s="1030"/>
      <c r="U43" s="1030"/>
      <c r="V43" s="1030"/>
      <c r="W43" s="1030"/>
      <c r="X43" s="1030"/>
      <c r="Y43" s="1030"/>
      <c r="Z43" s="88"/>
      <c r="AA43" s="88"/>
      <c r="AB43" s="88"/>
      <c r="AC43" s="88"/>
      <c r="AD43" s="88"/>
      <c r="AE43" s="88"/>
      <c r="AF43" s="88"/>
      <c r="AG43" s="1031"/>
      <c r="AH43" s="1031"/>
    </row>
    <row r="44" spans="3:34" ht="18" customHeight="1" x14ac:dyDescent="0.15">
      <c r="C44" s="1026"/>
      <c r="D44" s="88"/>
      <c r="E44" s="1042" t="str" cm="1">
        <f t="array" ref="E44">INDEX(KirjastoC!$D$4:$K$500,180,KirjastoC!$B$4)</f>
        <v>( N ) Jousipalautteiset sulkupellit</v>
      </c>
      <c r="F44" s="88"/>
      <c r="G44" s="1034"/>
      <c r="H44" s="88"/>
      <c r="I44" s="88"/>
      <c r="J44" s="88"/>
      <c r="K44" s="1029"/>
      <c r="L44" s="1030"/>
      <c r="M44" s="1030"/>
      <c r="N44" s="1030"/>
      <c r="O44" s="1030"/>
      <c r="P44" s="1030"/>
      <c r="Q44" s="1030"/>
      <c r="R44" s="1030"/>
      <c r="S44" s="1030"/>
      <c r="T44" s="1030"/>
      <c r="U44" s="1030"/>
      <c r="V44" s="1030"/>
      <c r="W44" s="1030"/>
      <c r="X44" s="1030"/>
      <c r="Y44" s="1030"/>
      <c r="Z44" s="88"/>
      <c r="AA44" s="88"/>
      <c r="AB44" s="88"/>
      <c r="AC44" s="88"/>
      <c r="AD44" s="88"/>
      <c r="AE44" s="88"/>
      <c r="AF44" s="88"/>
      <c r="AG44" s="1031"/>
      <c r="AH44" s="1031"/>
    </row>
    <row r="45" spans="3:34" ht="23.25" customHeight="1" x14ac:dyDescent="0.15">
      <c r="C45" s="1026"/>
      <c r="D45" s="88"/>
      <c r="E45" s="1026"/>
      <c r="F45" s="88"/>
      <c r="G45" s="88"/>
      <c r="H45" s="88"/>
      <c r="I45" s="88"/>
      <c r="J45" s="88"/>
      <c r="K45" s="1029"/>
      <c r="L45" s="1030"/>
      <c r="M45" s="1030"/>
      <c r="N45" s="1030"/>
      <c r="O45" s="1030"/>
      <c r="P45" s="1030"/>
      <c r="Q45" s="1030"/>
      <c r="R45" s="1030"/>
      <c r="S45" s="1030"/>
      <c r="T45" s="1030"/>
      <c r="U45" s="1030"/>
      <c r="V45" s="1030"/>
      <c r="W45" s="1030"/>
      <c r="X45" s="1030"/>
      <c r="Y45" s="1030"/>
      <c r="Z45" s="88"/>
      <c r="AA45" s="88"/>
      <c r="AB45" s="88"/>
      <c r="AC45" s="88"/>
      <c r="AD45" s="88"/>
      <c r="AE45" s="88"/>
      <c r="AF45" s="88"/>
      <c r="AG45" s="1031"/>
      <c r="AH45" s="1031"/>
    </row>
    <row r="46" spans="3:34" ht="18" customHeight="1" x14ac:dyDescent="0.15">
      <c r="C46" s="1026"/>
      <c r="D46" s="88"/>
      <c r="E46" s="1042" t="str" cm="1">
        <f t="array" ref="E46">INDEX(KirjastoC!$D$4:$K$500,181,KirjastoC!$B$4)</f>
        <v>( O ) Mittausanturit, sisäinen *</v>
      </c>
      <c r="F46" s="88"/>
      <c r="G46" s="1034"/>
      <c r="H46" s="88"/>
      <c r="I46" s="88"/>
      <c r="J46" s="88"/>
      <c r="K46" s="1029"/>
      <c r="L46" s="1030"/>
      <c r="M46" s="1030"/>
      <c r="N46" s="1030"/>
      <c r="O46" s="1030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88"/>
      <c r="AA46" s="88"/>
      <c r="AB46" s="88"/>
      <c r="AC46" s="88"/>
      <c r="AD46" s="88"/>
      <c r="AE46" s="88"/>
      <c r="AF46" s="88"/>
      <c r="AG46" s="1031"/>
      <c r="AH46" s="1031"/>
    </row>
    <row r="47" spans="3:34" ht="23.25" customHeight="1" x14ac:dyDescent="0.15">
      <c r="C47" s="1026"/>
      <c r="D47" s="88"/>
      <c r="E47" s="1026"/>
      <c r="F47" s="88"/>
      <c r="G47" s="88"/>
      <c r="H47" s="88"/>
      <c r="I47" s="88"/>
      <c r="J47" s="88"/>
      <c r="K47" s="1029"/>
      <c r="L47" s="1030"/>
      <c r="M47" s="1030"/>
      <c r="N47" s="1030"/>
      <c r="O47" s="1030"/>
      <c r="P47" s="1030"/>
      <c r="Q47" s="1030"/>
      <c r="R47" s="1030"/>
      <c r="S47" s="1030"/>
      <c r="T47" s="1030"/>
      <c r="U47" s="1030"/>
      <c r="V47" s="1030"/>
      <c r="W47" s="1030"/>
      <c r="X47" s="1030"/>
      <c r="Y47" s="1030"/>
      <c r="Z47" s="88"/>
      <c r="AA47" s="88"/>
      <c r="AB47" s="88"/>
      <c r="AC47" s="88"/>
      <c r="AD47" s="88"/>
      <c r="AE47" s="88"/>
      <c r="AF47" s="88"/>
      <c r="AG47" s="1031"/>
      <c r="AH47" s="1031"/>
    </row>
    <row r="48" spans="3:34" ht="18" customHeight="1" x14ac:dyDescent="0.15">
      <c r="C48" s="1026"/>
      <c r="D48" s="88"/>
      <c r="E48" s="1042" t="str" cm="1">
        <f t="array" ref="E48">INDEX(KirjastoC!$D$4:$K$500,182,KirjastoC!$B$4)</f>
        <v>( P ) Energiamittaus **</v>
      </c>
      <c r="F48" s="88"/>
      <c r="G48" s="1034"/>
      <c r="H48" s="88"/>
      <c r="I48" s="88"/>
      <c r="J48" s="88"/>
      <c r="K48" s="1029"/>
      <c r="L48" s="1030"/>
      <c r="M48" s="1030"/>
      <c r="N48" s="1030"/>
      <c r="O48" s="1030"/>
      <c r="P48" s="1030"/>
      <c r="Q48" s="1030"/>
      <c r="R48" s="1030"/>
      <c r="S48" s="1030"/>
      <c r="T48" s="1030"/>
      <c r="U48" s="1030"/>
      <c r="V48" s="1030"/>
      <c r="W48" s="1030"/>
      <c r="X48" s="1030"/>
      <c r="Y48" s="1030"/>
      <c r="Z48" s="88"/>
      <c r="AA48" s="88"/>
      <c r="AB48" s="88"/>
      <c r="AC48" s="88"/>
      <c r="AD48" s="88"/>
      <c r="AE48" s="88"/>
      <c r="AF48" s="88"/>
      <c r="AG48" s="1031"/>
      <c r="AH48" s="1031"/>
    </row>
    <row r="49" spans="3:34" ht="23.25" customHeight="1" x14ac:dyDescent="0.15">
      <c r="C49" s="1026"/>
      <c r="D49" s="88"/>
      <c r="E49" s="1035"/>
      <c r="F49" s="1036"/>
      <c r="G49" s="1036"/>
      <c r="H49" s="1036"/>
      <c r="I49" s="1036"/>
      <c r="J49" s="1036"/>
      <c r="K49" s="1037"/>
      <c r="L49" s="1038"/>
      <c r="M49" s="1038"/>
      <c r="N49" s="1038"/>
      <c r="O49" s="1038"/>
      <c r="P49" s="1038"/>
      <c r="Q49" s="1038"/>
      <c r="R49" s="1038"/>
      <c r="S49" s="1038"/>
      <c r="T49" s="1038"/>
      <c r="U49" s="1038"/>
      <c r="V49" s="1038"/>
      <c r="W49" s="1038"/>
      <c r="X49" s="1038"/>
      <c r="Y49" s="1038"/>
      <c r="Z49" s="1036"/>
      <c r="AA49" s="1036"/>
      <c r="AB49" s="1036"/>
      <c r="AC49" s="1036"/>
      <c r="AD49" s="1036"/>
      <c r="AE49" s="1036"/>
      <c r="AF49" s="1036"/>
      <c r="AG49" s="1039"/>
      <c r="AH49" s="1031"/>
    </row>
    <row r="50" spans="3:34" ht="23.25" customHeight="1" x14ac:dyDescent="0.15">
      <c r="C50" s="1026"/>
      <c r="D50" s="88"/>
      <c r="E50" s="1033" t="str" cm="1">
        <f t="array" ref="E50">INDEX(KirjastoC!$D$4:$K$500,161,KirjastoC!$B$4)</f>
        <v>OHJAUKSET:</v>
      </c>
      <c r="F50" s="88"/>
      <c r="G50" s="88"/>
      <c r="H50" s="88"/>
      <c r="I50" s="88"/>
      <c r="J50" s="88"/>
      <c r="K50" s="1029"/>
      <c r="L50" s="1030"/>
      <c r="M50" s="1030"/>
      <c r="N50" s="1030"/>
      <c r="O50" s="1030"/>
      <c r="P50" s="1030"/>
      <c r="Q50" s="1030"/>
      <c r="R50" s="1030"/>
      <c r="S50" s="1030"/>
      <c r="T50" s="1030"/>
      <c r="U50" s="1030"/>
      <c r="V50" s="1030"/>
      <c r="W50" s="1030"/>
      <c r="X50" s="1030"/>
      <c r="Y50" s="1030"/>
      <c r="Z50" s="88"/>
      <c r="AA50" s="88"/>
      <c r="AB50" s="88"/>
      <c r="AC50" s="88"/>
      <c r="AD50" s="88"/>
      <c r="AE50" s="88"/>
      <c r="AF50" s="88"/>
      <c r="AG50" s="88"/>
      <c r="AH50" s="1031"/>
    </row>
    <row r="51" spans="3:34" ht="18" customHeight="1" x14ac:dyDescent="0.15">
      <c r="C51" s="1026"/>
      <c r="D51" s="88"/>
      <c r="E51" s="1040" t="str" cm="1">
        <f t="array" ref="E51">INDEX(KirjastoC!$D$4:$K$500,183,KirjastoC!$B$4)</f>
        <v xml:space="preserve">( Q ) Ohjaus1- toimitus irrallaan, asennus työmaalla </v>
      </c>
      <c r="F51" s="1022"/>
      <c r="G51" s="1041"/>
      <c r="H51" s="1022"/>
      <c r="I51" s="1022"/>
      <c r="J51" s="1022"/>
      <c r="K51" s="1023"/>
      <c r="L51" s="1024"/>
      <c r="M51" s="1024"/>
      <c r="N51" s="1024"/>
      <c r="O51" s="1024"/>
      <c r="P51" s="1024"/>
      <c r="Q51" s="1024"/>
      <c r="R51" s="1024"/>
      <c r="S51" s="1024"/>
      <c r="T51" s="1024"/>
      <c r="U51" s="1024"/>
      <c r="V51" s="1024"/>
      <c r="W51" s="1024"/>
      <c r="X51" s="1024"/>
      <c r="Y51" s="1024"/>
      <c r="Z51" s="1022"/>
      <c r="AA51" s="1022"/>
      <c r="AB51" s="1022"/>
      <c r="AC51" s="1022"/>
      <c r="AD51" s="1022"/>
      <c r="AE51" s="1022"/>
      <c r="AF51" s="1022"/>
      <c r="AG51" s="1025"/>
      <c r="AH51" s="1031"/>
    </row>
    <row r="52" spans="3:34" ht="23.25" customHeight="1" x14ac:dyDescent="0.15">
      <c r="C52" s="1026"/>
      <c r="D52" s="88"/>
      <c r="E52" s="1026"/>
      <c r="F52" s="88"/>
      <c r="G52" s="88"/>
      <c r="H52" s="88"/>
      <c r="I52" s="88"/>
      <c r="J52" s="88"/>
      <c r="K52" s="1029"/>
      <c r="L52" s="1030"/>
      <c r="M52" s="1030"/>
      <c r="N52" s="1030"/>
      <c r="O52" s="1030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88"/>
      <c r="AA52" s="88"/>
      <c r="AB52" s="88"/>
      <c r="AC52" s="88"/>
      <c r="AD52" s="88"/>
      <c r="AE52" s="88"/>
      <c r="AF52" s="88"/>
      <c r="AG52" s="1031"/>
      <c r="AH52" s="1031"/>
    </row>
    <row r="53" spans="3:34" ht="18" customHeight="1" x14ac:dyDescent="0.15">
      <c r="C53" s="1026"/>
      <c r="D53" s="88"/>
      <c r="E53" s="1042" t="str" cm="1">
        <f t="array" ref="E53">INDEX(KirjastoC!$D$4:$K$500,184,KirjastoC!$B$4)</f>
        <v>( RR ) Ohjaus2- toimitus irrallaan, asennus työmaalla</v>
      </c>
      <c r="F53" s="88"/>
      <c r="G53" s="1034"/>
      <c r="H53" s="88"/>
      <c r="I53" s="88"/>
      <c r="J53" s="88"/>
      <c r="K53" s="1029"/>
      <c r="L53" s="1030"/>
      <c r="M53" s="1030"/>
      <c r="N53" s="1030"/>
      <c r="O53" s="1030"/>
      <c r="P53" s="1030"/>
      <c r="Q53" s="1030"/>
      <c r="R53" s="1030"/>
      <c r="S53" s="1030"/>
      <c r="T53" s="1030"/>
      <c r="U53" s="1030"/>
      <c r="V53" s="1030"/>
      <c r="W53" s="1030"/>
      <c r="X53" s="1030"/>
      <c r="Y53" s="1030"/>
      <c r="Z53" s="88"/>
      <c r="AA53" s="88"/>
      <c r="AB53" s="88"/>
      <c r="AC53" s="88"/>
      <c r="AD53" s="88"/>
      <c r="AE53" s="88"/>
      <c r="AF53" s="88"/>
      <c r="AG53" s="1031"/>
      <c r="AH53" s="1031"/>
    </row>
    <row r="54" spans="3:34" ht="23.25" customHeight="1" x14ac:dyDescent="0.15">
      <c r="C54" s="1026"/>
      <c r="D54" s="88"/>
      <c r="E54" s="1026"/>
      <c r="F54" s="88"/>
      <c r="G54" s="88"/>
      <c r="H54" s="88"/>
      <c r="I54" s="88"/>
      <c r="J54" s="88"/>
      <c r="K54" s="1029"/>
      <c r="L54" s="1030"/>
      <c r="M54" s="1030"/>
      <c r="N54" s="1030"/>
      <c r="O54" s="1030"/>
      <c r="P54" s="1030"/>
      <c r="Q54" s="1030"/>
      <c r="R54" s="1030"/>
      <c r="S54" s="1030"/>
      <c r="T54" s="1030"/>
      <c r="U54" s="1030"/>
      <c r="V54" s="1030"/>
      <c r="W54" s="1030"/>
      <c r="X54" s="1030"/>
      <c r="Y54" s="1030"/>
      <c r="Z54" s="88"/>
      <c r="AA54" s="88"/>
      <c r="AB54" s="88"/>
      <c r="AC54" s="88"/>
      <c r="AD54" s="88"/>
      <c r="AE54" s="88"/>
      <c r="AF54" s="88"/>
      <c r="AG54" s="1031"/>
      <c r="AH54" s="1031"/>
    </row>
    <row r="55" spans="3:34" ht="18" customHeight="1" x14ac:dyDescent="0.15">
      <c r="C55" s="1026"/>
      <c r="D55" s="88"/>
      <c r="E55" s="1042" t="str" cm="1">
        <f t="array" ref="E55">INDEX(KirjastoC!$D$4:$K$500,185,KirjastoC!$B$4)</f>
        <v>( S ) Lisäinfo</v>
      </c>
      <c r="F55" s="88"/>
      <c r="G55" s="1034"/>
      <c r="H55" s="88"/>
      <c r="I55" s="88"/>
      <c r="J55" s="88"/>
      <c r="K55" s="1029"/>
      <c r="L55" s="1030"/>
      <c r="M55" s="1030"/>
      <c r="N55" s="1030"/>
      <c r="O55" s="1030"/>
      <c r="P55" s="1030"/>
      <c r="Q55" s="1030"/>
      <c r="R55" s="1030"/>
      <c r="S55" s="1030"/>
      <c r="T55" s="1030"/>
      <c r="U55" s="1030"/>
      <c r="V55" s="1030"/>
      <c r="W55" s="1030"/>
      <c r="X55" s="1030"/>
      <c r="Y55" s="1030"/>
      <c r="Z55" s="88"/>
      <c r="AA55" s="88"/>
      <c r="AB55" s="88"/>
      <c r="AC55" s="88"/>
      <c r="AD55" s="88"/>
      <c r="AE55" s="88"/>
      <c r="AF55" s="88"/>
      <c r="AG55" s="1031"/>
      <c r="AH55" s="1031"/>
    </row>
    <row r="56" spans="3:34" ht="23.25" customHeight="1" x14ac:dyDescent="0.15">
      <c r="C56" s="1026"/>
      <c r="D56" s="88"/>
      <c r="E56" s="1035"/>
      <c r="F56" s="1036"/>
      <c r="G56" s="1036"/>
      <c r="H56" s="1036"/>
      <c r="I56" s="1036"/>
      <c r="J56" s="1036"/>
      <c r="K56" s="1037"/>
      <c r="L56" s="1038"/>
      <c r="M56" s="1038"/>
      <c r="N56" s="1038"/>
      <c r="O56" s="1038"/>
      <c r="P56" s="1038"/>
      <c r="Q56" s="1038"/>
      <c r="R56" s="1038"/>
      <c r="S56" s="1038"/>
      <c r="T56" s="1038"/>
      <c r="U56" s="1038"/>
      <c r="V56" s="1038"/>
      <c r="W56" s="1038"/>
      <c r="X56" s="1038"/>
      <c r="Y56" s="1038"/>
      <c r="Z56" s="1036"/>
      <c r="AA56" s="1036"/>
      <c r="AB56" s="1036"/>
      <c r="AC56" s="1036"/>
      <c r="AD56" s="1036"/>
      <c r="AE56" s="1036"/>
      <c r="AF56" s="1036"/>
      <c r="AG56" s="1039"/>
      <c r="AH56" s="1031"/>
    </row>
    <row r="57" spans="3:34" ht="21.75" customHeight="1" x14ac:dyDescent="0.15">
      <c r="C57" s="1035"/>
      <c r="D57" s="1036"/>
      <c r="E57" s="1036"/>
      <c r="F57" s="1036"/>
      <c r="G57" s="1036"/>
      <c r="H57" s="1036"/>
      <c r="I57" s="1036"/>
      <c r="J57" s="1036"/>
      <c r="K57" s="1037"/>
      <c r="L57" s="1038"/>
      <c r="M57" s="1038"/>
      <c r="N57" s="1038"/>
      <c r="O57" s="1038"/>
      <c r="P57" s="1038"/>
      <c r="Q57" s="1038"/>
      <c r="R57" s="1038"/>
      <c r="S57" s="1038"/>
      <c r="T57" s="1038"/>
      <c r="U57" s="1038"/>
      <c r="V57" s="1038"/>
      <c r="W57" s="1038"/>
      <c r="X57" s="1038"/>
      <c r="Y57" s="1038"/>
      <c r="Z57" s="1036"/>
      <c r="AA57" s="1036"/>
      <c r="AB57" s="1036"/>
      <c r="AC57" s="1036"/>
      <c r="AD57" s="1036"/>
      <c r="AE57" s="1036"/>
      <c r="AF57" s="1036"/>
      <c r="AG57" s="1036"/>
      <c r="AH57" s="1054" t="str">
        <f>'C-series'!O2</f>
        <v>Versio 8.0</v>
      </c>
    </row>
    <row r="58" spans="3:34" ht="18" customHeight="1" x14ac:dyDescent="0.15"/>
    <row r="59" spans="3:34" ht="18" customHeight="1" x14ac:dyDescent="0.15"/>
    <row r="60" spans="3:34" ht="18" customHeight="1" x14ac:dyDescent="0.15"/>
    <row r="61" spans="3:34" ht="18" customHeight="1" x14ac:dyDescent="0.15"/>
    <row r="62" spans="3:34" ht="18" customHeight="1" x14ac:dyDescent="0.15"/>
    <row r="63" spans="3:34" ht="18" customHeight="1" x14ac:dyDescent="0.15"/>
    <row r="64" spans="3:34" ht="18" customHeight="1" x14ac:dyDescent="0.15"/>
    <row r="65" ht="18" customHeight="1" x14ac:dyDescent="0.15"/>
    <row r="66" ht="18" customHeight="1" x14ac:dyDescent="0.15"/>
  </sheetData>
  <sheetProtection algorithmName="SHA-512" hashValue="y/xHsTLvTMGLoYygG5XsAmx/Z2D+wELOCiY1cb627U0tLOjJVA94b1p9oNx1eeN4TZeCmKKB+KK5zYEgNeesPw==" saltValue="GWlM57a+0VEKYvLxZY7ATA==" spinCount="100000" sheet="1" objects="1" scenarios="1"/>
  <mergeCells count="9">
    <mergeCell ref="AK3:AL3"/>
    <mergeCell ref="L10:M10"/>
    <mergeCell ref="N10:Q10"/>
    <mergeCell ref="R10:W10"/>
    <mergeCell ref="X10:Z10"/>
    <mergeCell ref="G6:Q6"/>
    <mergeCell ref="G7:Q7"/>
    <mergeCell ref="H10:K10"/>
    <mergeCell ref="H8:Q9"/>
  </mergeCells>
  <dataValidations disablePrompts="1" count="2">
    <dataValidation type="list" allowBlank="1" showInputMessage="1" showErrorMessage="1" sqref="H135:J135" xr:uid="{48BF3F19-0A3A-459E-B293-BBF43CAE8E45}">
      <formula1>Alkulista</formula1>
    </dataValidation>
    <dataValidation type="list" allowBlank="1" showInputMessage="1" showErrorMessage="1" sqref="K135" xr:uid="{99B5562F-71ED-4BCB-B1EC-31C583554C27}">
      <formula1>INDIRECT($H$135)</formula1>
    </dataValidation>
  </dataValidations>
  <pageMargins left="0.7" right="0.7" top="0.75" bottom="0.75" header="0.3" footer="0.3"/>
  <pageSetup paperSize="9" scale="48" orientation="portrait" r:id="rId1"/>
  <colBreaks count="1" manualBreakCount="1">
    <brk id="36" min="1" max="56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9" r:id="rId4" name="Drop Down 19">
              <controlPr defaultSize="0" autoLine="0" autoPict="0">
                <anchor moveWithCells="1">
                  <from>
                    <xdr:col>4</xdr:col>
                    <xdr:colOff>50800</xdr:colOff>
                    <xdr:row>55</xdr:row>
                    <xdr:rowOff>63500</xdr:rowOff>
                  </from>
                  <to>
                    <xdr:col>32</xdr:col>
                    <xdr:colOff>63500</xdr:colOff>
                    <xdr:row>55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1" r:id="rId5" name="Drop Down 1">
              <controlPr defaultSize="0" autoLine="0" autoPict="0">
                <anchor moveWithCells="1">
                  <from>
                    <xdr:col>4</xdr:col>
                    <xdr:colOff>50800</xdr:colOff>
                    <xdr:row>15</xdr:row>
                    <xdr:rowOff>63500</xdr:rowOff>
                  </from>
                  <to>
                    <xdr:col>32</xdr:col>
                    <xdr:colOff>63500</xdr:colOff>
                    <xdr:row>15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2" r:id="rId6" name="Drop Down 2">
              <controlPr defaultSize="0" autoLine="0" autoPict="0">
                <anchor moveWithCells="1">
                  <from>
                    <xdr:col>4</xdr:col>
                    <xdr:colOff>50800</xdr:colOff>
                    <xdr:row>17</xdr:row>
                    <xdr:rowOff>63500</xdr:rowOff>
                  </from>
                  <to>
                    <xdr:col>32</xdr:col>
                    <xdr:colOff>63500</xdr:colOff>
                    <xdr:row>17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3" r:id="rId7" name="Drop Down 3">
              <controlPr defaultSize="0" autoLine="0" autoPict="0">
                <anchor moveWithCells="1">
                  <from>
                    <xdr:col>4</xdr:col>
                    <xdr:colOff>50800</xdr:colOff>
                    <xdr:row>19</xdr:row>
                    <xdr:rowOff>63500</xdr:rowOff>
                  </from>
                  <to>
                    <xdr:col>32</xdr:col>
                    <xdr:colOff>63500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4" r:id="rId8" name="Drop Down 4">
              <controlPr defaultSize="0" autoLine="0" autoPict="0">
                <anchor moveWithCells="1">
                  <from>
                    <xdr:col>4</xdr:col>
                    <xdr:colOff>38100</xdr:colOff>
                    <xdr:row>21</xdr:row>
                    <xdr:rowOff>50800</xdr:rowOff>
                  </from>
                  <to>
                    <xdr:col>32</xdr:col>
                    <xdr:colOff>50800</xdr:colOff>
                    <xdr:row>21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5" r:id="rId9" name="Drop Down 5">
              <controlPr defaultSize="0" autoLine="0" autoPict="0">
                <anchor moveWithCells="1">
                  <from>
                    <xdr:col>4</xdr:col>
                    <xdr:colOff>50800</xdr:colOff>
                    <xdr:row>26</xdr:row>
                    <xdr:rowOff>63500</xdr:rowOff>
                  </from>
                  <to>
                    <xdr:col>32</xdr:col>
                    <xdr:colOff>63500</xdr:colOff>
                    <xdr:row>26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6" r:id="rId10" name="Drop Down 6">
              <controlPr defaultSize="0" autoLine="0" autoPict="0">
                <anchor moveWithCells="1">
                  <from>
                    <xdr:col>4</xdr:col>
                    <xdr:colOff>38100</xdr:colOff>
                    <xdr:row>24</xdr:row>
                    <xdr:rowOff>63500</xdr:rowOff>
                  </from>
                  <to>
                    <xdr:col>32</xdr:col>
                    <xdr:colOff>50800</xdr:colOff>
                    <xdr:row>24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7" r:id="rId11" name="Drop Down 7">
              <controlPr defaultSize="0" autoLine="0" autoPict="0">
                <anchor moveWithCells="1">
                  <from>
                    <xdr:col>4</xdr:col>
                    <xdr:colOff>50800</xdr:colOff>
                    <xdr:row>29</xdr:row>
                    <xdr:rowOff>63500</xdr:rowOff>
                  </from>
                  <to>
                    <xdr:col>32</xdr:col>
                    <xdr:colOff>63500</xdr:colOff>
                    <xdr:row>29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8" r:id="rId12" name="Drop Down 8">
              <controlPr defaultSize="0" autoLine="0" autoPict="0">
                <anchor moveWithCells="1">
                  <from>
                    <xdr:col>4</xdr:col>
                    <xdr:colOff>50800</xdr:colOff>
                    <xdr:row>31</xdr:row>
                    <xdr:rowOff>63500</xdr:rowOff>
                  </from>
                  <to>
                    <xdr:col>32</xdr:col>
                    <xdr:colOff>63500</xdr:colOff>
                    <xdr:row>31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9" r:id="rId13" name="Drop Down 9">
              <controlPr defaultSize="0" autoLine="0" autoPict="0">
                <anchor moveWithCells="1">
                  <from>
                    <xdr:col>4</xdr:col>
                    <xdr:colOff>50800</xdr:colOff>
                    <xdr:row>33</xdr:row>
                    <xdr:rowOff>63500</xdr:rowOff>
                  </from>
                  <to>
                    <xdr:col>32</xdr:col>
                    <xdr:colOff>63500</xdr:colOff>
                    <xdr:row>33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0" r:id="rId14" name="Drop Down 10">
              <controlPr defaultSize="0" autoLine="0" autoPict="0">
                <anchor moveWithCells="1">
                  <from>
                    <xdr:col>4</xdr:col>
                    <xdr:colOff>50800</xdr:colOff>
                    <xdr:row>35</xdr:row>
                    <xdr:rowOff>63500</xdr:rowOff>
                  </from>
                  <to>
                    <xdr:col>32</xdr:col>
                    <xdr:colOff>63500</xdr:colOff>
                    <xdr:row>35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1" r:id="rId15" name="Drop Down 11">
              <controlPr defaultSize="0" autoLine="0" autoPict="0">
                <anchor moveWithCells="1">
                  <from>
                    <xdr:col>4</xdr:col>
                    <xdr:colOff>50800</xdr:colOff>
                    <xdr:row>38</xdr:row>
                    <xdr:rowOff>63500</xdr:rowOff>
                  </from>
                  <to>
                    <xdr:col>32</xdr:col>
                    <xdr:colOff>63500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2" r:id="rId16" name="Drop Down 12">
              <controlPr defaultSize="0" autoLine="0" autoPict="0">
                <anchor moveWithCells="1">
                  <from>
                    <xdr:col>4</xdr:col>
                    <xdr:colOff>63500</xdr:colOff>
                    <xdr:row>40</xdr:row>
                    <xdr:rowOff>63500</xdr:rowOff>
                  </from>
                  <to>
                    <xdr:col>32</xdr:col>
                    <xdr:colOff>63500</xdr:colOff>
                    <xdr:row>40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3" r:id="rId17" name="Drop Down 13">
              <controlPr defaultSize="0" autoLine="0" autoPict="0">
                <anchor moveWithCells="1">
                  <from>
                    <xdr:col>4</xdr:col>
                    <xdr:colOff>50800</xdr:colOff>
                    <xdr:row>42</xdr:row>
                    <xdr:rowOff>63500</xdr:rowOff>
                  </from>
                  <to>
                    <xdr:col>32</xdr:col>
                    <xdr:colOff>63500</xdr:colOff>
                    <xdr:row>42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4" r:id="rId18" name="Drop Down 14">
              <controlPr defaultSize="0" autoLine="0" autoPict="0">
                <anchor moveWithCells="1">
                  <from>
                    <xdr:col>4</xdr:col>
                    <xdr:colOff>50800</xdr:colOff>
                    <xdr:row>44</xdr:row>
                    <xdr:rowOff>63500</xdr:rowOff>
                  </from>
                  <to>
                    <xdr:col>32</xdr:col>
                    <xdr:colOff>63500</xdr:colOff>
                    <xdr:row>44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5" r:id="rId19" name="Drop Down 15">
              <controlPr defaultSize="0" autoLine="0" autoPict="0">
                <anchor moveWithCells="1">
                  <from>
                    <xdr:col>4</xdr:col>
                    <xdr:colOff>50800</xdr:colOff>
                    <xdr:row>46</xdr:row>
                    <xdr:rowOff>50800</xdr:rowOff>
                  </from>
                  <to>
                    <xdr:col>32</xdr:col>
                    <xdr:colOff>63500</xdr:colOff>
                    <xdr:row>46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6" r:id="rId20" name="Drop Down 16">
              <controlPr defaultSize="0" autoLine="0" autoPict="0">
                <anchor moveWithCells="1">
                  <from>
                    <xdr:col>4</xdr:col>
                    <xdr:colOff>50800</xdr:colOff>
                    <xdr:row>48</xdr:row>
                    <xdr:rowOff>50800</xdr:rowOff>
                  </from>
                  <to>
                    <xdr:col>32</xdr:col>
                    <xdr:colOff>63500</xdr:colOff>
                    <xdr:row>48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7" r:id="rId21" name="Drop Down 17">
              <controlPr defaultSize="0" autoLine="0" autoPict="0">
                <anchor moveWithCells="1">
                  <from>
                    <xdr:col>4</xdr:col>
                    <xdr:colOff>50800</xdr:colOff>
                    <xdr:row>51</xdr:row>
                    <xdr:rowOff>63500</xdr:rowOff>
                  </from>
                  <to>
                    <xdr:col>32</xdr:col>
                    <xdr:colOff>63500</xdr:colOff>
                    <xdr:row>51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8" r:id="rId22" name="Drop Down 18">
              <controlPr defaultSize="0" autoLine="0" autoPict="0">
                <anchor moveWithCells="1">
                  <from>
                    <xdr:col>4</xdr:col>
                    <xdr:colOff>50800</xdr:colOff>
                    <xdr:row>53</xdr:row>
                    <xdr:rowOff>63500</xdr:rowOff>
                  </from>
                  <to>
                    <xdr:col>32</xdr:col>
                    <xdr:colOff>63500</xdr:colOff>
                    <xdr:row>53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0" r:id="rId23" name="Option Button 20">
              <controlPr defaultSize="0" autoFill="0" autoLine="0" autoPict="0" altText="Suomi">
                <anchor moveWithCells="1">
                  <from>
                    <xdr:col>23</xdr:col>
                    <xdr:colOff>12700</xdr:colOff>
                    <xdr:row>2</xdr:row>
                    <xdr:rowOff>63500</xdr:rowOff>
                  </from>
                  <to>
                    <xdr:col>25</xdr:col>
                    <xdr:colOff>139700</xdr:colOff>
                    <xdr:row>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1" r:id="rId24" name="Option Button 21">
              <controlPr defaultSize="0" autoFill="0" autoLine="0" autoPict="0">
                <anchor moveWithCells="1">
                  <from>
                    <xdr:col>24</xdr:col>
                    <xdr:colOff>292100</xdr:colOff>
                    <xdr:row>2</xdr:row>
                    <xdr:rowOff>63500</xdr:rowOff>
                  </from>
                  <to>
                    <xdr:col>27</xdr:col>
                    <xdr:colOff>101600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1D1CA-9104-41DE-ACF3-B4CF5AE8C389}">
  <dimension ref="A2:BS99"/>
  <sheetViews>
    <sheetView topLeftCell="AL13" zoomScale="85" zoomScaleNormal="85" workbookViewId="0">
      <selection activeCell="R20" sqref="R20"/>
    </sheetView>
  </sheetViews>
  <sheetFormatPr baseColWidth="10" defaultColWidth="8.83203125" defaultRowHeight="13" x14ac:dyDescent="0.15"/>
  <cols>
    <col min="1" max="1" width="20.33203125" customWidth="1"/>
    <col min="16" max="16" width="10.83203125" customWidth="1"/>
    <col min="17" max="18" width="9.33203125" bestFit="1" customWidth="1"/>
    <col min="19" max="19" width="10" bestFit="1" customWidth="1"/>
    <col min="22" max="22" width="13" customWidth="1"/>
    <col min="23" max="23" width="10.1640625" bestFit="1" customWidth="1"/>
    <col min="25" max="25" width="10" customWidth="1"/>
  </cols>
  <sheetData>
    <row r="2" spans="1:53" x14ac:dyDescent="0.15">
      <c r="C2" s="2" t="s">
        <v>59</v>
      </c>
      <c r="J2" t="s">
        <v>15</v>
      </c>
    </row>
    <row r="3" spans="1:53" x14ac:dyDescent="0.15">
      <c r="J3" s="7">
        <f>'R-series ENT'!$G$33</f>
        <v>34.722222222222221</v>
      </c>
      <c r="K3" t="s">
        <v>13</v>
      </c>
      <c r="L3" s="7">
        <f>'R-series ENT'!$G$39</f>
        <v>90</v>
      </c>
      <c r="M3" t="s">
        <v>14</v>
      </c>
      <c r="P3" t="s">
        <v>34</v>
      </c>
      <c r="AA3" s="2" t="s">
        <v>53</v>
      </c>
      <c r="AT3" t="s">
        <v>2873</v>
      </c>
    </row>
    <row r="4" spans="1:53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1:53" x14ac:dyDescent="0.15">
      <c r="C5" t="s">
        <v>2</v>
      </c>
      <c r="D5" s="1"/>
      <c r="E5" s="1"/>
      <c r="H5" s="1"/>
      <c r="O5" t="s">
        <v>134</v>
      </c>
      <c r="P5" s="52">
        <f t="array" ref="P5:Q5">LINEST(AF34:AF36,LN(AC34:AC36))</f>
        <v>7.315054797265403</v>
      </c>
      <c r="Q5" s="52">
        <v>20.742868430843195</v>
      </c>
      <c r="R5" t="s">
        <v>28</v>
      </c>
      <c r="S5" s="9">
        <f>$P$5*LN($J$3)+$Q$5</f>
        <v>46.692146726371945</v>
      </c>
      <c r="T5" t="s">
        <v>31</v>
      </c>
      <c r="U5" s="39" t="s">
        <v>42</v>
      </c>
      <c r="V5" s="32" t="s">
        <v>8</v>
      </c>
      <c r="W5" s="9">
        <f>IF($J$3&gt;$AC$35,S5,IF($J$3&lt;$AC$36,S6,AVERAGE(S5:S6)))</f>
        <v>43.62808829312722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T5" s="2" t="s">
        <v>2874</v>
      </c>
    </row>
    <row r="6" spans="1:53" x14ac:dyDescent="0.15">
      <c r="C6" s="2" t="s">
        <v>3</v>
      </c>
      <c r="D6" s="1"/>
      <c r="E6" s="1"/>
      <c r="H6" s="1"/>
      <c r="O6" t="s">
        <v>136</v>
      </c>
      <c r="P6" s="52">
        <f t="array" ref="P6:Q6">LINEST(AF35:AF37,LN(AC35:AC37))</f>
        <v>13.690473033502697</v>
      </c>
      <c r="Q6" s="52">
        <v>-4.9372204557012509</v>
      </c>
      <c r="R6" t="s">
        <v>28</v>
      </c>
      <c r="S6" s="9">
        <f>$P$6*LN($J$3)+$Q$6</f>
        <v>43.62808829312722</v>
      </c>
      <c r="T6" t="s">
        <v>31</v>
      </c>
      <c r="U6" s="39"/>
      <c r="AA6" s="55">
        <v>100</v>
      </c>
      <c r="AB6" s="56">
        <f t="shared" ref="AB6:AB12" si="0">(-$D$9-SQRT($D$9^2-(4*$C$9*($E$9-AA6))))/(2*$C$9)</f>
        <v>181.77869057311793</v>
      </c>
      <c r="AC6" s="55">
        <v>50</v>
      </c>
      <c r="AD6" s="57">
        <f t="shared" ref="AD6:AD12" si="1">(-$D$14-SQRT($D$14^2-(4*$C$14*($E$14-AC6))))/(2*$C$14)</f>
        <v>133.02077164686926</v>
      </c>
      <c r="AE6" s="55">
        <v>35</v>
      </c>
      <c r="AF6" s="57">
        <f t="shared" ref="AF6:AF11" si="2">(-$D$19-SQRT($D$19^2-(4*$C$19*($E$19-AE6))))/(2*$C$19)</f>
        <v>97.869351818976341</v>
      </c>
      <c r="AG6" s="56">
        <v>15</v>
      </c>
      <c r="AH6" s="57">
        <f>(-$D$24-SQRT($D$24^2-(4*$C$24*($E$24-AG6))))/(2*$C$24)</f>
        <v>53.529905260257379</v>
      </c>
      <c r="AT6" t="s">
        <v>2893</v>
      </c>
    </row>
    <row r="7" spans="1:53" x14ac:dyDescent="0.15">
      <c r="C7" t="s">
        <v>11</v>
      </c>
      <c r="D7" s="1"/>
      <c r="E7" s="1"/>
      <c r="H7" s="1"/>
      <c r="AA7" s="55">
        <v>120</v>
      </c>
      <c r="AB7" s="56">
        <f t="shared" si="0"/>
        <v>177.24711473659906</v>
      </c>
      <c r="AC7" s="55">
        <v>50</v>
      </c>
      <c r="AD7" s="57">
        <f t="shared" si="1"/>
        <v>133.02077164686926</v>
      </c>
      <c r="AE7" s="55">
        <v>40</v>
      </c>
      <c r="AF7" s="57">
        <f t="shared" si="2"/>
        <v>96.341221718555602</v>
      </c>
      <c r="AG7" s="56">
        <v>20</v>
      </c>
      <c r="AH7" s="57">
        <f>(-$D$24-SQRT($D$24^2-(4*$C$24*($E$24-AG7))))/(2*$C$24)</f>
        <v>51.668157815233783</v>
      </c>
      <c r="AT7" t="s">
        <v>2897</v>
      </c>
    </row>
    <row r="8" spans="1:53" x14ac:dyDescent="0.15">
      <c r="C8" t="s">
        <v>4</v>
      </c>
      <c r="D8" t="s">
        <v>5</v>
      </c>
      <c r="E8" t="s">
        <v>6</v>
      </c>
      <c r="O8" t="s">
        <v>134</v>
      </c>
      <c r="P8" s="52">
        <f t="array" ref="P8:Q8">LINEST(AG34:AG36,LN(AC34:AC36))</f>
        <v>12.15833091764395</v>
      </c>
      <c r="Q8" s="52">
        <v>15.437808187593014</v>
      </c>
      <c r="R8" t="s">
        <v>7</v>
      </c>
      <c r="S8" s="9">
        <f>$P$8*LN($J$3)+$Q$8</f>
        <v>58.568026803182612</v>
      </c>
      <c r="T8" t="s">
        <v>31</v>
      </c>
      <c r="U8" s="39" t="s">
        <v>43</v>
      </c>
      <c r="V8" t="s">
        <v>57</v>
      </c>
      <c r="W8" s="9">
        <f>IF($J$3&gt;$AC$35,S8,IF($J$3&lt;$AC$36,S9,AVERAGE(S8:S9)))</f>
        <v>52.470768897953512</v>
      </c>
      <c r="X8" t="s">
        <v>31</v>
      </c>
      <c r="AA8" s="55">
        <v>190</v>
      </c>
      <c r="AB8" s="56">
        <f t="shared" si="0"/>
        <v>163.95870969060681</v>
      </c>
      <c r="AC8" s="55">
        <v>100</v>
      </c>
      <c r="AD8" s="57">
        <f t="shared" si="1"/>
        <v>120.97570091639558</v>
      </c>
      <c r="AE8" s="55">
        <v>60</v>
      </c>
      <c r="AF8" s="57">
        <f t="shared" si="2"/>
        <v>90.3580825260903</v>
      </c>
      <c r="AG8" s="56">
        <v>25</v>
      </c>
      <c r="AH8" s="57">
        <f>(-$D$24-SQRT($D$24^2-(4*$C$24*($E$24-AG8))))/(2*$C$24)</f>
        <v>49.756583660446097</v>
      </c>
      <c r="AT8" t="s">
        <v>2898</v>
      </c>
    </row>
    <row r="9" spans="1:53" x14ac:dyDescent="0.15">
      <c r="A9" s="2" t="s">
        <v>2876</v>
      </c>
      <c r="C9" s="1654">
        <v>4.7939141726425612E-2</v>
      </c>
      <c r="D9" s="1654">
        <v>-21.624864700115982</v>
      </c>
      <c r="E9" s="1654">
        <v>2446.862926274086</v>
      </c>
      <c r="H9" s="2"/>
      <c r="O9" t="s">
        <v>135</v>
      </c>
      <c r="P9" s="52">
        <f t="array" ref="P9:Q9">LINEST(AG35:AG37,LN(AC35:AC37))</f>
        <v>25.40963451402007</v>
      </c>
      <c r="Q9" s="52">
        <v>-37.666857636090946</v>
      </c>
      <c r="R9" t="s">
        <v>7</v>
      </c>
      <c r="S9" s="9">
        <f>$P$9*LN($J$3)+$Q$9</f>
        <v>52.470768897953512</v>
      </c>
      <c r="T9" t="s">
        <v>31</v>
      </c>
      <c r="AA9" s="55">
        <v>250</v>
      </c>
      <c r="AB9" s="56">
        <f t="shared" si="0"/>
        <v>154.52064814384127</v>
      </c>
      <c r="AC9" s="55">
        <v>150</v>
      </c>
      <c r="AD9" s="57">
        <f t="shared" si="1"/>
        <v>109.3336223187892</v>
      </c>
      <c r="AE9" s="55">
        <v>80</v>
      </c>
      <c r="AF9" s="57">
        <f t="shared" si="2"/>
        <v>84.567084347681643</v>
      </c>
      <c r="AG9" s="56">
        <v>30</v>
      </c>
      <c r="AH9" s="57">
        <f>(-$D$24-SQRT($D$24^2-(4*$C$24*($E$24-AG9))))/(2*$C$24)</f>
        <v>47.79095425763191</v>
      </c>
      <c r="AU9" s="104" t="s">
        <v>2868</v>
      </c>
      <c r="AV9" s="104" t="s">
        <v>2869</v>
      </c>
      <c r="AW9" s="104" t="s">
        <v>87</v>
      </c>
    </row>
    <row r="10" spans="1:53" x14ac:dyDescent="0.15">
      <c r="C10" s="2"/>
      <c r="D10" s="2"/>
      <c r="E10" s="2"/>
      <c r="H10" s="2"/>
      <c r="V10" t="s">
        <v>144</v>
      </c>
      <c r="W10">
        <v>200</v>
      </c>
      <c r="AA10" s="55">
        <v>320</v>
      </c>
      <c r="AB10" s="56">
        <f t="shared" si="0"/>
        <v>144.89362815563373</v>
      </c>
      <c r="AC10" s="55">
        <v>170</v>
      </c>
      <c r="AD10" s="57">
        <f t="shared" si="1"/>
        <v>104.78093084349958</v>
      </c>
      <c r="AE10" s="55">
        <v>100</v>
      </c>
      <c r="AF10" s="57">
        <f t="shared" si="2"/>
        <v>78.950825326358625</v>
      </c>
      <c r="AG10" s="56">
        <v>55</v>
      </c>
      <c r="AH10" s="57">
        <f>(-$D$24-SQRT($D$24^2-(4*$C$24*($E$24-AG10))))/(2*$C$24)</f>
        <v>36.950275816920829</v>
      </c>
      <c r="AT10" s="628" t="s">
        <v>13</v>
      </c>
      <c r="AU10" s="628" t="s">
        <v>14</v>
      </c>
      <c r="AV10" s="628" t="s">
        <v>14</v>
      </c>
      <c r="AW10" s="628" t="s">
        <v>14</v>
      </c>
    </row>
    <row r="11" spans="1:53" x14ac:dyDescent="0.15">
      <c r="C11" s="2" t="s">
        <v>114</v>
      </c>
      <c r="D11" s="1"/>
      <c r="E11" s="1"/>
      <c r="H11" s="1"/>
      <c r="P11" t="s">
        <v>130</v>
      </c>
      <c r="T11" s="4"/>
      <c r="U11" s="5"/>
      <c r="V11" t="s">
        <v>143</v>
      </c>
      <c r="W11">
        <v>750</v>
      </c>
      <c r="X11" t="s">
        <v>14</v>
      </c>
      <c r="Y11" t="str">
        <f>IF(W12&gt;10,"Ei käyttöalueella","OK")</f>
        <v>OK</v>
      </c>
      <c r="AA11" s="55">
        <v>390</v>
      </c>
      <c r="AB11" s="56">
        <f t="shared" si="0"/>
        <v>136.29910964571815</v>
      </c>
      <c r="AC11" s="55">
        <v>190</v>
      </c>
      <c r="AD11" s="57">
        <f t="shared" si="1"/>
        <v>100.28442653274774</v>
      </c>
      <c r="AE11" s="55">
        <v>138</v>
      </c>
      <c r="AF11" s="57">
        <f t="shared" si="2"/>
        <v>68.709516695144444</v>
      </c>
      <c r="AG11" s="56"/>
      <c r="AH11" s="57"/>
      <c r="AT11" s="628">
        <v>0</v>
      </c>
      <c r="AU11" s="344">
        <v>0</v>
      </c>
      <c r="AV11" s="344">
        <v>0</v>
      </c>
      <c r="AW11" s="628">
        <v>0</v>
      </c>
      <c r="AY11" t="s">
        <v>2868</v>
      </c>
    </row>
    <row r="12" spans="1:53" x14ac:dyDescent="0.15">
      <c r="C12" t="s">
        <v>11</v>
      </c>
      <c r="D12" s="1"/>
      <c r="E12" s="1"/>
      <c r="H12" s="1"/>
      <c r="P12" t="s">
        <v>132</v>
      </c>
      <c r="Q12" s="51">
        <v>0</v>
      </c>
      <c r="R12" s="51">
        <f t="array" ref="R12:S12">LINEST(U35:U37,AC35:AC37)</f>
        <v>9.326748643415754E-2</v>
      </c>
      <c r="S12" s="51">
        <v>0.16520299354544754</v>
      </c>
      <c r="U12" s="39" t="s">
        <v>42</v>
      </c>
      <c r="V12" t="s">
        <v>58</v>
      </c>
      <c r="W12" s="9">
        <f>Q14*J3^2+R14*J3+S14</f>
        <v>3.4036573836203621</v>
      </c>
      <c r="X12" t="s">
        <v>25</v>
      </c>
      <c r="AA12" s="58">
        <v>450</v>
      </c>
      <c r="AB12" s="59">
        <f t="shared" si="0"/>
        <v>129.54283234586202</v>
      </c>
      <c r="AC12" s="58">
        <v>235</v>
      </c>
      <c r="AD12" s="60">
        <f t="shared" si="1"/>
        <v>90.362402112613097</v>
      </c>
      <c r="AE12" s="58"/>
      <c r="AF12" s="60"/>
      <c r="AG12" s="59"/>
      <c r="AH12" s="60"/>
      <c r="AT12" s="628">
        <v>50</v>
      </c>
      <c r="AU12" s="344">
        <v>16.899999999999999</v>
      </c>
      <c r="AV12" s="344">
        <v>19</v>
      </c>
      <c r="AW12" s="628">
        <f>AU12-AV12</f>
        <v>-2.1000000000000014</v>
      </c>
      <c r="AY12">
        <f t="array" ref="AY12:BA12">LINEST(AU11:AU18,AT11:AT18^{1,2})</f>
        <v>1.4435000000000008E-3</v>
      </c>
      <c r="AZ12">
        <v>0.25909642857142828</v>
      </c>
      <c r="BA12">
        <v>0.14625000000003041</v>
      </c>
    </row>
    <row r="13" spans="1:53" x14ac:dyDescent="0.15">
      <c r="C13" t="s">
        <v>4</v>
      </c>
      <c r="D13" t="s">
        <v>5</v>
      </c>
      <c r="E13" t="s">
        <v>6</v>
      </c>
      <c r="P13" t="s">
        <v>131</v>
      </c>
      <c r="Q13" s="51">
        <v>0</v>
      </c>
      <c r="R13" s="51">
        <f t="array" ref="R13:S13">LINEST(U34:U35,AC34:AC35)</f>
        <v>0.10627960982443495</v>
      </c>
      <c r="S13" s="51">
        <v>-0.69598812321841663</v>
      </c>
      <c r="W13" t="b">
        <f>IF(AND(W12&lt;=10.01,'R-series ENT'!G33&gt;=W14,AD34&lt;W11,J3&lt;W10),TRUE,FALSE)</f>
        <v>0</v>
      </c>
      <c r="AT13" s="628">
        <v>100</v>
      </c>
      <c r="AU13" s="344">
        <v>40.56</v>
      </c>
      <c r="AV13" s="344">
        <v>48</v>
      </c>
      <c r="AW13" s="628">
        <f t="shared" ref="AW13:AW18" si="3">AU13-AV13</f>
        <v>-7.4399999999999977</v>
      </c>
      <c r="AY13" t="s">
        <v>2869</v>
      </c>
    </row>
    <row r="14" spans="1:53" x14ac:dyDescent="0.15">
      <c r="A14" s="2" t="s">
        <v>2876</v>
      </c>
      <c r="C14" s="1654">
        <v>6.0661604452831638E-3</v>
      </c>
      <c r="D14" s="1654">
        <v>-5.6918590207296491</v>
      </c>
      <c r="E14" s="1654">
        <v>699.79764720678668</v>
      </c>
      <c r="H14" s="2"/>
      <c r="P14" t="s">
        <v>21</v>
      </c>
      <c r="Q14" s="54">
        <f>IF($J$3&gt;$AC$35,Q13,Q12)</f>
        <v>0</v>
      </c>
      <c r="R14" s="54">
        <f>IF($J$3&gt;$AC$35,R13,R12)</f>
        <v>9.326748643415754E-2</v>
      </c>
      <c r="S14" s="54">
        <f>IF($J$3&gt;$AC$35,S13,S12)</f>
        <v>0.16520299354544754</v>
      </c>
      <c r="V14" t="s">
        <v>346</v>
      </c>
      <c r="W14">
        <v>30</v>
      </c>
      <c r="X14" t="s">
        <v>13</v>
      </c>
      <c r="Y14" t="s">
        <v>355</v>
      </c>
      <c r="AT14" s="628">
        <v>150</v>
      </c>
      <c r="AU14" s="344">
        <v>71.47</v>
      </c>
      <c r="AV14" s="344">
        <v>85</v>
      </c>
      <c r="AW14" s="628">
        <f t="shared" si="3"/>
        <v>-13.530000000000001</v>
      </c>
      <c r="AY14">
        <f t="array" ref="AY14:BA14">LINEST(AV11:AV18,AT11:AT18^{1,2})</f>
        <v>1.6214285714285716E-3</v>
      </c>
      <c r="AZ14">
        <v>0.2836904761904761</v>
      </c>
      <c r="BA14">
        <v>1.5416666666666714</v>
      </c>
    </row>
    <row r="15" spans="1:53" x14ac:dyDescent="0.15">
      <c r="C15" s="2"/>
      <c r="D15" s="2"/>
      <c r="E15" s="2"/>
      <c r="H15" s="2"/>
      <c r="V15" t="s">
        <v>22</v>
      </c>
      <c r="W15">
        <v>169</v>
      </c>
      <c r="X15" t="s">
        <v>49</v>
      </c>
      <c r="AT15" s="628">
        <v>200</v>
      </c>
      <c r="AU15" s="344">
        <v>109.6</v>
      </c>
      <c r="AV15" s="344">
        <v>125</v>
      </c>
      <c r="AW15" s="628">
        <f t="shared" si="3"/>
        <v>-15.400000000000006</v>
      </c>
      <c r="AY15" t="s">
        <v>87</v>
      </c>
    </row>
    <row r="16" spans="1:53" x14ac:dyDescent="0.15">
      <c r="C16" s="2" t="s">
        <v>10</v>
      </c>
      <c r="D16" s="1"/>
      <c r="E16" s="1"/>
      <c r="H16" s="1"/>
      <c r="U16" s="39" t="s">
        <v>43</v>
      </c>
      <c r="V16" t="s">
        <v>58</v>
      </c>
      <c r="W16" s="9">
        <f>$P$18*J3^2+$Q$18*J3+$R$18</f>
        <v>13.661473130403767</v>
      </c>
      <c r="X16" t="s">
        <v>49</v>
      </c>
      <c r="AT16" s="628">
        <v>250</v>
      </c>
      <c r="AU16" s="344">
        <v>155.1</v>
      </c>
      <c r="AV16" s="344">
        <v>167</v>
      </c>
      <c r="AW16" s="628">
        <f t="shared" si="3"/>
        <v>-11.900000000000006</v>
      </c>
      <c r="AY16" s="2">
        <f>AY14-AY12</f>
        <v>1.7792857142857085E-4</v>
      </c>
      <c r="AZ16" s="2">
        <f t="shared" ref="AZ16:BA16" si="4">AZ14-AZ12</f>
        <v>2.4594047619047821E-2</v>
      </c>
      <c r="BA16" s="2">
        <f t="shared" si="4"/>
        <v>1.395416666666641</v>
      </c>
    </row>
    <row r="17" spans="1:64" x14ac:dyDescent="0.15">
      <c r="C17" t="s">
        <v>11</v>
      </c>
      <c r="D17" s="1"/>
      <c r="E17" s="1"/>
      <c r="H17" s="1"/>
      <c r="P17" t="s">
        <v>51</v>
      </c>
      <c r="V17" t="s">
        <v>52</v>
      </c>
      <c r="W17" s="3">
        <f>IF(W16&gt;W15,W15,W16)</f>
        <v>13.661473130403767</v>
      </c>
      <c r="X17" t="s">
        <v>49</v>
      </c>
      <c r="AT17" s="628">
        <v>300</v>
      </c>
      <c r="AU17" s="344">
        <v>207.8</v>
      </c>
      <c r="AV17" s="344">
        <v>229</v>
      </c>
      <c r="AW17" s="628">
        <f t="shared" si="3"/>
        <v>-21.199999999999989</v>
      </c>
      <c r="AY17">
        <f t="array" ref="AY17:BA17">LINEST(AW11:AW18,AT11:AT18^{1,2})</f>
        <v>-1.779285714285715E-4</v>
      </c>
      <c r="AZ17">
        <v>-2.4594047619047599E-2</v>
      </c>
      <c r="BA17">
        <v>-1.3954166666666667</v>
      </c>
    </row>
    <row r="18" spans="1:64" x14ac:dyDescent="0.15">
      <c r="C18" t="s">
        <v>4</v>
      </c>
      <c r="D18" t="s">
        <v>5</v>
      </c>
      <c r="E18" t="s">
        <v>6</v>
      </c>
      <c r="H18" s="1"/>
      <c r="P18" s="51">
        <f t="array" ref="P18:R18">LINEST(AE34:AE37,AC34:AC37^{1,2})</f>
        <v>2.1430887974381824E-2</v>
      </c>
      <c r="Q18" s="51">
        <v>-0.52487629224784649</v>
      </c>
      <c r="R18" s="51">
        <v>6.0485647131055345</v>
      </c>
      <c r="AT18" s="628">
        <v>350</v>
      </c>
      <c r="AU18" s="344">
        <v>267.7</v>
      </c>
      <c r="AV18" s="344">
        <v>304</v>
      </c>
      <c r="AW18" s="628">
        <f t="shared" si="3"/>
        <v>-36.300000000000011</v>
      </c>
    </row>
    <row r="19" spans="1:64" x14ac:dyDescent="0.15">
      <c r="A19" s="2" t="s">
        <v>2876</v>
      </c>
      <c r="C19" s="1654">
        <v>9.4197296997933361E-3</v>
      </c>
      <c r="D19" s="1654">
        <v>-5.1013838267883447</v>
      </c>
      <c r="E19" s="1654">
        <v>444.04309511389863</v>
      </c>
      <c r="AB19" s="6"/>
      <c r="AC19" s="6"/>
    </row>
    <row r="20" spans="1:64" x14ac:dyDescent="0.15">
      <c r="C20" s="2"/>
      <c r="D20" s="2"/>
      <c r="E20" s="2"/>
      <c r="H20" s="1"/>
      <c r="AB20" s="6"/>
      <c r="AC20" s="6"/>
      <c r="AT20" s="2" t="s">
        <v>2880</v>
      </c>
    </row>
    <row r="21" spans="1:64" x14ac:dyDescent="0.15">
      <c r="C21" s="2" t="s">
        <v>12</v>
      </c>
      <c r="D21" s="1"/>
      <c r="E21" s="1"/>
      <c r="H21" s="1"/>
      <c r="AB21" s="6"/>
      <c r="AC21" s="6"/>
      <c r="AU21" t="s">
        <v>4</v>
      </c>
      <c r="AV21" t="s">
        <v>5</v>
      </c>
      <c r="AW21" t="s">
        <v>6</v>
      </c>
    </row>
    <row r="22" spans="1:64" x14ac:dyDescent="0.15">
      <c r="C22" t="s">
        <v>11</v>
      </c>
      <c r="D22" s="1"/>
      <c r="E22" s="1"/>
      <c r="H22" s="1"/>
      <c r="V22" s="74"/>
      <c r="W22" s="77"/>
      <c r="X22" s="75"/>
      <c r="AB22" s="6"/>
      <c r="AC22" s="6"/>
      <c r="AT22">
        <v>10</v>
      </c>
      <c r="AU22" s="8">
        <v>4.776121315499704E-2</v>
      </c>
      <c r="AV22" s="8">
        <v>-21.649458747735029</v>
      </c>
      <c r="AW22" s="8">
        <v>2445.4675096074193</v>
      </c>
    </row>
    <row r="23" spans="1:64" x14ac:dyDescent="0.15">
      <c r="C23" t="s">
        <v>4</v>
      </c>
      <c r="D23" t="s">
        <v>5</v>
      </c>
      <c r="E23" t="s">
        <v>6</v>
      </c>
      <c r="H23" s="1"/>
      <c r="AT23">
        <v>6.5</v>
      </c>
      <c r="AU23" s="8">
        <v>5.8882318738545927E-3</v>
      </c>
      <c r="AV23" s="8">
        <v>-5.7164530683486969</v>
      </c>
      <c r="AW23" s="8">
        <v>698.40223054012006</v>
      </c>
    </row>
    <row r="24" spans="1:64" x14ac:dyDescent="0.15">
      <c r="A24" s="2" t="s">
        <v>2876</v>
      </c>
      <c r="C24" s="1654">
        <v>-1.8552245225257846E-2</v>
      </c>
      <c r="D24" s="1654">
        <v>-0.7339886485227004</v>
      </c>
      <c r="E24" s="1654">
        <v>107.45088794548266</v>
      </c>
      <c r="H24" s="1"/>
      <c r="AT24">
        <v>5</v>
      </c>
      <c r="AU24" s="8">
        <v>9.2418011283647659E-3</v>
      </c>
      <c r="AV24" s="8">
        <v>-5.1259778744073925</v>
      </c>
      <c r="AW24" s="8">
        <v>442.64767844723201</v>
      </c>
    </row>
    <row r="25" spans="1:64" x14ac:dyDescent="0.15">
      <c r="G25" s="2"/>
      <c r="H25" s="1"/>
      <c r="AT25">
        <v>3</v>
      </c>
      <c r="AU25" s="8">
        <v>-1.8730173796686417E-2</v>
      </c>
      <c r="AV25" s="8">
        <v>-0.75858269614174823</v>
      </c>
      <c r="AW25" s="8">
        <v>106.05547127881601</v>
      </c>
    </row>
    <row r="27" spans="1:64" x14ac:dyDescent="0.15">
      <c r="U27" t="s">
        <v>37</v>
      </c>
    </row>
    <row r="28" spans="1:64" x14ac:dyDescent="0.15">
      <c r="U28" s="4" t="s">
        <v>17</v>
      </c>
      <c r="AL28" t="s">
        <v>1153</v>
      </c>
      <c r="AT28" s="2" t="s">
        <v>2882</v>
      </c>
    </row>
    <row r="29" spans="1:64" x14ac:dyDescent="0.15">
      <c r="U29" s="4">
        <f>(L3/J3)^2/L3</f>
        <v>7.4649599999999997E-2</v>
      </c>
      <c r="AL29" s="213">
        <f>IF($AL$36&gt;$AC$35,Q13,Q12)</f>
        <v>0</v>
      </c>
      <c r="AM29" s="213">
        <f>IF($AL$36&gt;$AC$35,R13,R12)</f>
        <v>9.326748643415754E-2</v>
      </c>
      <c r="AN29" s="213">
        <f>IF($AL$36&gt;$AC$35,S13,S12)</f>
        <v>0.16520299354544754</v>
      </c>
      <c r="AU29" t="s">
        <v>4</v>
      </c>
      <c r="AV29" t="s">
        <v>5</v>
      </c>
      <c r="AW29" t="s">
        <v>6</v>
      </c>
    </row>
    <row r="30" spans="1:64" x14ac:dyDescent="0.15">
      <c r="AT30">
        <f>AT22</f>
        <v>10</v>
      </c>
      <c r="AU30" s="1654">
        <f>AU22+$AY$16</f>
        <v>4.7939141726425612E-2</v>
      </c>
      <c r="AV30" s="1654">
        <f>AV22+$AZ$16</f>
        <v>-21.624864700115982</v>
      </c>
      <c r="AW30" s="1654">
        <f>AW22+$BA$16</f>
        <v>2446.862926274086</v>
      </c>
    </row>
    <row r="31" spans="1:64" x14ac:dyDescent="0.15">
      <c r="U31" s="2" t="s">
        <v>16</v>
      </c>
      <c r="AL31" s="2" t="s">
        <v>1110</v>
      </c>
      <c r="AT31">
        <f t="shared" ref="AT31:AT33" si="5">AT23</f>
        <v>6.5</v>
      </c>
      <c r="AU31" s="1654">
        <f>AU23+$AY$16</f>
        <v>6.0661604452831638E-3</v>
      </c>
      <c r="AV31" s="1654">
        <f>AV23+$AZ$16</f>
        <v>-5.6918590207296491</v>
      </c>
      <c r="AW31" s="1654">
        <f>AW23+$BA$16</f>
        <v>699.79764720678668</v>
      </c>
    </row>
    <row r="32" spans="1:64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T32">
        <f t="shared" si="5"/>
        <v>5</v>
      </c>
      <c r="AU32" s="1654">
        <f>AU24+$AY$16</f>
        <v>9.4197296997933361E-3</v>
      </c>
      <c r="AV32" s="1654">
        <f>AV24+$AZ$16</f>
        <v>-5.1013838267883447</v>
      </c>
      <c r="AW32" s="1654">
        <f>AW24+$BA$16</f>
        <v>444.04309511389863</v>
      </c>
      <c r="BC32" t="s">
        <v>2883</v>
      </c>
      <c r="BL32" t="s">
        <v>2883</v>
      </c>
    </row>
    <row r="33" spans="21:71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  <c r="AT33">
        <f t="shared" si="5"/>
        <v>3</v>
      </c>
      <c r="AU33" s="1654">
        <f>AU25+$AY$16</f>
        <v>-1.8552245225257846E-2</v>
      </c>
      <c r="AV33" s="1654">
        <f>AV25+$AZ$16</f>
        <v>-0.7339886485227004</v>
      </c>
      <c r="AW33" s="1654">
        <f>AW25+$BA$16</f>
        <v>107.45088794548266</v>
      </c>
      <c r="BC33" s="2" t="s">
        <v>2884</v>
      </c>
      <c r="BL33" s="2" t="s">
        <v>2727</v>
      </c>
    </row>
    <row r="34" spans="21:71" x14ac:dyDescent="0.15">
      <c r="U34" s="35">
        <v>10</v>
      </c>
      <c r="V34" s="98">
        <f>C9</f>
        <v>4.7939141726425612E-2</v>
      </c>
      <c r="W34" s="99">
        <f>D9</f>
        <v>-21.624864700115982</v>
      </c>
      <c r="X34" s="100">
        <f>E9</f>
        <v>2446.862926274086</v>
      </c>
      <c r="Y34" s="36">
        <f>C9-U29</f>
        <v>-2.6710458273574385E-2</v>
      </c>
      <c r="Z34" s="28">
        <f>(-W34+SQRT(W34^2-(4*Y34*X34)))/(2*Y34)</f>
        <v>-910.24298535813807</v>
      </c>
      <c r="AA34" s="29">
        <f>(-W34-SQRT(W34^2-(4*Y34*X34)))/(2*Y34)</f>
        <v>100.64007706546248</v>
      </c>
      <c r="AB34" s="36">
        <f>AB6</f>
        <v>181.77869057311793</v>
      </c>
      <c r="AC34" s="53">
        <f>IF(Z34&lt;0,AA34,IF(Z34&gt;AB34,AA34,Z34))</f>
        <v>100.64007706546248</v>
      </c>
      <c r="AD34" s="53">
        <f>V34*AC34^2+W34*AC34+X34</f>
        <v>756.08288322151338</v>
      </c>
      <c r="AE34" s="53">
        <f>AB83*AC34^2+AC83*AC34+AD83</f>
        <v>169.43574564840276</v>
      </c>
      <c r="AF34" s="53">
        <f>$H$60*AC34^2+$I$60*AC34+$J$60</f>
        <v>53.887457382090659</v>
      </c>
      <c r="AG34" s="53">
        <f>$R$60*AC34^2+$S$60*AC34+$T$60</f>
        <v>69.976882967247889</v>
      </c>
      <c r="AI34">
        <v>10</v>
      </c>
      <c r="AJ34" s="3">
        <f>AC34</f>
        <v>100.64007706546248</v>
      </c>
      <c r="AL34" s="616">
        <f>AC34/$J$3-1</f>
        <v>1.8984342194853192</v>
      </c>
      <c r="AO34" s="278" t="b">
        <f>IF(AL36&gt;AC34,FALSE,TRUE)</f>
        <v>1</v>
      </c>
      <c r="AP34" t="s">
        <v>1117</v>
      </c>
      <c r="BC34" s="1655" t="s">
        <v>102</v>
      </c>
      <c r="BD34" s="1656"/>
      <c r="BE34" s="1655" t="s">
        <v>564</v>
      </c>
      <c r="BF34" s="1657"/>
      <c r="BG34" s="1655" t="s">
        <v>103</v>
      </c>
      <c r="BH34" s="1657"/>
      <c r="BI34" s="1656" t="s">
        <v>104</v>
      </c>
      <c r="BJ34" s="1657"/>
      <c r="BL34" s="1655" t="s">
        <v>102</v>
      </c>
      <c r="BM34" s="1656"/>
      <c r="BN34" s="1655" t="s">
        <v>564</v>
      </c>
      <c r="BO34" s="1657"/>
      <c r="BP34" s="1655" t="s">
        <v>103</v>
      </c>
      <c r="BQ34" s="1657"/>
      <c r="BR34" s="1656" t="s">
        <v>104</v>
      </c>
      <c r="BS34" s="1657"/>
    </row>
    <row r="35" spans="21:71" x14ac:dyDescent="0.15">
      <c r="U35" s="35">
        <v>6.5</v>
      </c>
      <c r="V35" s="98">
        <f>C14</f>
        <v>6.0661604452831638E-3</v>
      </c>
      <c r="W35" s="99">
        <f>D14</f>
        <v>-5.6918590207296491</v>
      </c>
      <c r="X35" s="100">
        <f>E14</f>
        <v>699.79764720678668</v>
      </c>
      <c r="Y35" s="36">
        <f>C14-U29</f>
        <v>-6.8583439554716838E-2</v>
      </c>
      <c r="Z35" s="28">
        <f t="shared" ref="Z35:Z37" si="6">(-W35+SQRT(W35^2-(4*Y35*X35)))/(2*Y35)</f>
        <v>-150.69981864542919</v>
      </c>
      <c r="AA35" s="29">
        <f t="shared" ref="AA35:AA37" si="7">(-W35-SQRT(W35^2-(4*Y35*X35)))/(2*Y35)</f>
        <v>67.708078107414849</v>
      </c>
      <c r="AB35" s="36">
        <f>AD6</f>
        <v>133.02077164686926</v>
      </c>
      <c r="AC35" s="53">
        <f t="shared" ref="AC35:AC37" si="8">IF(Z35&lt;0,AA35,IF(Z35&gt;AB35,AA35,Z35))</f>
        <v>67.708078107414849</v>
      </c>
      <c r="AD35" s="53">
        <f>V35*AC35^2+W35*AC35+X35</f>
        <v>342.22241997709807</v>
      </c>
      <c r="AE35" s="53">
        <f>AB84*AC35^2+AC84*AC35+AD84</f>
        <v>73.748824180172548</v>
      </c>
      <c r="AF35" s="53">
        <f>$H$65*AC35^2+$I$65*AC35+$J$65</f>
        <v>53.064225914690645</v>
      </c>
      <c r="AG35" s="53">
        <f>$R$65*AC35^2+$S$65*AC35+$T$65</f>
        <v>70.548249435941557</v>
      </c>
      <c r="AI35">
        <v>6.5</v>
      </c>
      <c r="AJ35" s="3">
        <f>AC35</f>
        <v>67.708078107414849</v>
      </c>
      <c r="AL35" t="s">
        <v>1114</v>
      </c>
      <c r="AO35" t="s">
        <v>1116</v>
      </c>
      <c r="BC35" s="1658" t="s">
        <v>14</v>
      </c>
      <c r="BD35" s="1659" t="s">
        <v>13</v>
      </c>
      <c r="BE35" s="1658" t="s">
        <v>14</v>
      </c>
      <c r="BF35" s="1660" t="s">
        <v>13</v>
      </c>
      <c r="BG35" s="1658" t="s">
        <v>14</v>
      </c>
      <c r="BH35" s="1660" t="s">
        <v>13</v>
      </c>
      <c r="BI35" s="1659" t="s">
        <v>14</v>
      </c>
      <c r="BJ35" s="1660" t="s">
        <v>13</v>
      </c>
      <c r="BL35" s="1658" t="s">
        <v>14</v>
      </c>
      <c r="BM35" s="1659" t="s">
        <v>13</v>
      </c>
      <c r="BN35" s="1658" t="s">
        <v>14</v>
      </c>
      <c r="BO35" s="1660" t="s">
        <v>13</v>
      </c>
      <c r="BP35" s="1658" t="s">
        <v>14</v>
      </c>
      <c r="BQ35" s="1660" t="s">
        <v>13</v>
      </c>
      <c r="BR35" s="1659" t="s">
        <v>14</v>
      </c>
      <c r="BS35" s="1660" t="s">
        <v>13</v>
      </c>
    </row>
    <row r="36" spans="21:71" x14ac:dyDescent="0.15">
      <c r="U36" s="35">
        <v>5</v>
      </c>
      <c r="V36" s="98">
        <f>C19</f>
        <v>9.4197296997933361E-3</v>
      </c>
      <c r="W36" s="99">
        <f>D19</f>
        <v>-5.1013838267883447</v>
      </c>
      <c r="X36" s="100">
        <f>E19</f>
        <v>444.04309511389863</v>
      </c>
      <c r="Y36" s="36">
        <f>C19-U29</f>
        <v>-6.522987030020666E-2</v>
      </c>
      <c r="Z36" s="28">
        <f t="shared" si="6"/>
        <v>-130.40708543035808</v>
      </c>
      <c r="AA36" s="29">
        <f t="shared" si="7"/>
        <v>52.200831097637398</v>
      </c>
      <c r="AB36" s="36">
        <f>AF6</f>
        <v>97.869351818976341</v>
      </c>
      <c r="AC36" s="53">
        <f t="shared" si="8"/>
        <v>52.200831097637398</v>
      </c>
      <c r="AD36" s="53">
        <f>V36*AC36^2+W36*AC36+X36</f>
        <v>203.41469320704871</v>
      </c>
      <c r="AE36" s="53">
        <f>AB85*AC36^2+AC85*AC36+AD85</f>
        <v>31.257269164199577</v>
      </c>
      <c r="AF36" s="53">
        <f>$H$70*AC36^2+$I$70*AC36+$J$70</f>
        <v>48.776887852981119</v>
      </c>
      <c r="AG36" s="53">
        <f>$R$70*AC36^2+$S$70*AC36+$T$70</f>
        <v>61.194308544541435</v>
      </c>
      <c r="AI36">
        <f>AVERAGE(AI35,AI37)</f>
        <v>5.75</v>
      </c>
      <c r="AJ36">
        <f>AVERAGE(AJ35,AJ37)</f>
        <v>59.954454602526127</v>
      </c>
      <c r="AL36" s="609">
        <f>Tulokset_ENT!$CS$16</f>
        <v>41.666666666666664</v>
      </c>
      <c r="AM36" t="s">
        <v>13</v>
      </c>
      <c r="AO36" s="617">
        <f>AL29*AL36^2+AM29*AL36+AN29</f>
        <v>4.0513482616353453</v>
      </c>
      <c r="AP36" t="s">
        <v>25</v>
      </c>
      <c r="AT36" t="s">
        <v>2885</v>
      </c>
      <c r="BC36" s="55">
        <v>100</v>
      </c>
      <c r="BD36" s="1662">
        <f t="shared" ref="BD36:BD42" si="9">(-$AV$22-SQRT($AV$22^2-(4*$AU$22*($AW$22-BC36))))/(2*$AU$22)</f>
        <v>179.11691580328477</v>
      </c>
      <c r="BE36" s="55">
        <v>50</v>
      </c>
      <c r="BF36" s="1662">
        <f t="shared" ref="BF36:BF42" si="10">(-$AV$23-SQRT($AV$23^2-(4*$AU$23*($AW$23-BE36))))/(2*$AU$23)</f>
        <v>131.14254504164199</v>
      </c>
      <c r="BG36" s="55">
        <v>35</v>
      </c>
      <c r="BH36" s="1662">
        <f t="shared" ref="BH36:BH41" si="11">(-$AV$24-SQRT($AV$24^2-(4*$AU$24*($AW$24-BG36))))/(2*$AU$24)</f>
        <v>96.216817804800328</v>
      </c>
      <c r="BI36" s="56">
        <v>15</v>
      </c>
      <c r="BJ36" s="1662">
        <f>(-$AV$25-SQRT($AV$25^2-(4*$AU$25*($AW$25-BI36))))/(2*$AU$25)</f>
        <v>52.354855059834129</v>
      </c>
      <c r="BL36" s="55">
        <v>100</v>
      </c>
      <c r="BM36" s="1662">
        <f t="shared" ref="BM36:BM42" si="12">(-$AV$30-SQRT($AV$30^2-(4*$AU$30*($AW$30-BL36))))/(2*$AU$30)</f>
        <v>181.77869057311793</v>
      </c>
      <c r="BN36" s="55">
        <v>50</v>
      </c>
      <c r="BO36" s="1662">
        <f t="array" ref="BO36">(-$AV$31-SQRT($AV$31^2-(4*$AU$31*($AW$31-BN36))))/(2*$AU$31)</f>
        <v>133.02077164686926</v>
      </c>
      <c r="BP36" s="55">
        <v>35</v>
      </c>
      <c r="BQ36" s="1662">
        <f t="shared" ref="BQ36:BQ41" si="13">(-$AV$32-SQRT($AV$32^2-(4*$AU$32*($AW$32-BP36))))/(2*$AU$32)</f>
        <v>97.869351818976341</v>
      </c>
      <c r="BR36" s="56">
        <v>15</v>
      </c>
      <c r="BS36" s="1662">
        <f>(-$AV$33-SQRT($AV$33^2-(4*$AU$33*($AW$33-BR36))))/(2*$AU$33)</f>
        <v>53.529905260257379</v>
      </c>
    </row>
    <row r="37" spans="21:71" x14ac:dyDescent="0.15">
      <c r="U37" s="38">
        <v>3</v>
      </c>
      <c r="V37" s="101">
        <f>C24</f>
        <v>-1.8552245225257846E-2</v>
      </c>
      <c r="W37" s="102">
        <f>D24</f>
        <v>-0.7339886485227004</v>
      </c>
      <c r="X37" s="103">
        <f>E24</f>
        <v>107.45088794548266</v>
      </c>
      <c r="Y37" s="37">
        <f>C24-U29</f>
        <v>-9.3201845225257846E-2</v>
      </c>
      <c r="Z37" s="30">
        <f t="shared" si="6"/>
        <v>-38.119329497371204</v>
      </c>
      <c r="AA37" s="31">
        <f t="shared" si="7"/>
        <v>30.244070732389282</v>
      </c>
      <c r="AB37" s="37">
        <f>AH6</f>
        <v>53.529905260257379</v>
      </c>
      <c r="AC37" s="53">
        <f t="shared" si="8"/>
        <v>30.244070732389282</v>
      </c>
      <c r="AD37" s="53">
        <f>V37*AC37^2+W37*AC37+X37</f>
        <v>68.282273868343651</v>
      </c>
      <c r="AE37" s="53">
        <f>AB86*AC37^2+AC86*AC37+AD86</f>
        <v>11.426165698771166</v>
      </c>
      <c r="AF37" s="53">
        <f>$H$75*AC37^2+$I$75*AC37+$J$75</f>
        <v>41.877482090091789</v>
      </c>
      <c r="AG37" s="53">
        <f>$R$75*AC37^2+$S$75*AC37+$T$75</f>
        <v>49.490376283702858</v>
      </c>
      <c r="AI37">
        <v>5</v>
      </c>
      <c r="AJ37" s="3">
        <f>AC36</f>
        <v>52.200831097637398</v>
      </c>
      <c r="AL37" s="609">
        <f>Tulokset_ENT!$CS$17</f>
        <v>129.59999999999997</v>
      </c>
      <c r="AM37" t="s">
        <v>14</v>
      </c>
      <c r="AU37" t="s">
        <v>13</v>
      </c>
      <c r="AV37" s="4" t="s">
        <v>2886</v>
      </c>
      <c r="AW37" s="4" t="s">
        <v>2887</v>
      </c>
      <c r="AY37" t="s">
        <v>2119</v>
      </c>
      <c r="BC37" s="55">
        <v>120</v>
      </c>
      <c r="BD37" s="57">
        <f t="shared" si="9"/>
        <v>174.89861666422897</v>
      </c>
      <c r="BE37" s="55">
        <v>50</v>
      </c>
      <c r="BF37" s="57">
        <f t="shared" si="10"/>
        <v>131.14254504164199</v>
      </c>
      <c r="BG37" s="55">
        <v>40</v>
      </c>
      <c r="BH37" s="57">
        <f t="shared" si="11"/>
        <v>94.729294500929157</v>
      </c>
      <c r="BI37" s="56">
        <v>20</v>
      </c>
      <c r="BJ37" s="57">
        <f>(-$AV$25-SQRT($AV$25^2-(4*$AU$25*($AW$25-BI37))))/(2*$AU$25)</f>
        <v>50.492611628762866</v>
      </c>
      <c r="BL37" s="55">
        <v>120</v>
      </c>
      <c r="BM37" s="57">
        <f t="shared" si="12"/>
        <v>177.24711473659906</v>
      </c>
      <c r="BN37" s="55">
        <v>50</v>
      </c>
      <c r="BO37" s="57">
        <f t="array" ref="BO37">(-$AV$31-SQRT($AV$31^2-(4*$AU$31*($AW$31-BN37))))/(2*$AU$31)</f>
        <v>133.02077164686926</v>
      </c>
      <c r="BP37" s="55">
        <v>40</v>
      </c>
      <c r="BQ37" s="57">
        <f t="shared" si="13"/>
        <v>96.341221718555602</v>
      </c>
      <c r="BR37" s="56">
        <v>20</v>
      </c>
      <c r="BS37" s="57">
        <f>(-$AV$33-SQRT($AV$33^2-(4*$AU$33*($AW$33-BR37))))/(2*$AU$33)</f>
        <v>51.668157815233783</v>
      </c>
    </row>
    <row r="38" spans="21:71" x14ac:dyDescent="0.15">
      <c r="AI38">
        <f>AVERAGE(AI37,AI39)</f>
        <v>4</v>
      </c>
      <c r="AJ38">
        <f>AVERAGE(AJ37,AJ39)</f>
        <v>41.22245091501334</v>
      </c>
      <c r="AT38" t="s">
        <v>102</v>
      </c>
      <c r="AU38">
        <v>150</v>
      </c>
      <c r="AV38" s="5">
        <f>$AU$22*AU38^2+$AV$22*AU38+$AW$22</f>
        <v>272.67599343459869</v>
      </c>
      <c r="AW38" s="5">
        <f>$AU$30*AU38^2+$AV$30*AU38+$AW$30</f>
        <v>281.76391010126463</v>
      </c>
      <c r="AY38" s="3">
        <f>AV38-AW38</f>
        <v>-9.087916666665933</v>
      </c>
      <c r="BC38" s="55">
        <v>190</v>
      </c>
      <c r="BD38" s="57">
        <f t="shared" si="9"/>
        <v>162.27597672313368</v>
      </c>
      <c r="BE38" s="55">
        <v>100</v>
      </c>
      <c r="BF38" s="57">
        <f t="shared" si="10"/>
        <v>119.35417996021101</v>
      </c>
      <c r="BG38" s="55">
        <v>60</v>
      </c>
      <c r="BH38" s="57">
        <f t="shared" si="11"/>
        <v>88.896594856540219</v>
      </c>
      <c r="BI38" s="56">
        <v>25</v>
      </c>
      <c r="BJ38" s="57">
        <f>(-$AV$25-SQRT($AV$25^2-(4*$AU$25*($AW$25-BI38))))/(2*$AU$25)</f>
        <v>48.580002546231498</v>
      </c>
      <c r="BL38" s="55">
        <v>190</v>
      </c>
      <c r="BM38" s="57">
        <f t="shared" si="12"/>
        <v>163.95870969060681</v>
      </c>
      <c r="BN38" s="55">
        <v>100</v>
      </c>
      <c r="BO38" s="57">
        <f t="array" ref="BO38">(-$AV$31-SQRT($AV$31^2-(4*$AU$31*($AW$31-BN38))))/(2*$AU$31)</f>
        <v>120.97570091639558</v>
      </c>
      <c r="BP38" s="55">
        <v>60</v>
      </c>
      <c r="BQ38" s="57">
        <f t="shared" si="13"/>
        <v>90.3580825260903</v>
      </c>
      <c r="BR38" s="56">
        <v>25</v>
      </c>
      <c r="BS38" s="57">
        <f>(-$AV$33-SQRT($AV$33^2-(4*$AU$33*($AW$33-BR38))))/(2*$AU$33)</f>
        <v>49.756583660446097</v>
      </c>
    </row>
    <row r="39" spans="21:71" x14ac:dyDescent="0.15">
      <c r="U39" s="2" t="s">
        <v>35</v>
      </c>
      <c r="W39" t="s">
        <v>36</v>
      </c>
      <c r="AI39">
        <v>3</v>
      </c>
      <c r="AJ39" s="3">
        <f>AC37</f>
        <v>30.244070732389282</v>
      </c>
      <c r="AU39">
        <v>120</v>
      </c>
      <c r="AV39" s="5">
        <f>$AU$22*AU39^2+$AV$22*AU39+$AW$22</f>
        <v>535.29392931117309</v>
      </c>
      <c r="AW39" s="5">
        <f>$AU$30*AU39^2+$AV$30*AU39+$AW$30</f>
        <v>542.20280312069735</v>
      </c>
      <c r="AY39" s="3">
        <f t="shared" ref="AY39:AY44" si="14">AV39-AW39</f>
        <v>-6.9088738095242661</v>
      </c>
      <c r="BC39" s="55">
        <v>250</v>
      </c>
      <c r="BD39" s="57">
        <f t="shared" si="9"/>
        <v>153.16260121404989</v>
      </c>
      <c r="BE39" s="55">
        <v>150</v>
      </c>
      <c r="BF39" s="57">
        <f t="shared" si="10"/>
        <v>107.93377609376739</v>
      </c>
      <c r="BG39" s="55">
        <v>80</v>
      </c>
      <c r="BH39" s="57">
        <f t="shared" si="11"/>
        <v>83.239100699553205</v>
      </c>
      <c r="BI39" s="56">
        <v>30</v>
      </c>
      <c r="BJ39" s="57">
        <f>(-$AV$25-SQRT($AV$25^2-(4*$AU$25*($AW$25-BI39))))/(2*$AU$25)</f>
        <v>46.612705838811827</v>
      </c>
      <c r="BL39" s="55">
        <v>250</v>
      </c>
      <c r="BM39" s="57">
        <f t="shared" si="12"/>
        <v>154.52064814384127</v>
      </c>
      <c r="BN39" s="55">
        <v>150</v>
      </c>
      <c r="BO39" s="57">
        <f t="array" ref="BO39">(-$AV$31-SQRT($AV$31^2-(4*$AU$31*($AW$31-BN39))))/(2*$AU$31)</f>
        <v>109.3336223187892</v>
      </c>
      <c r="BP39" s="55">
        <v>80</v>
      </c>
      <c r="BQ39" s="57">
        <f t="shared" si="13"/>
        <v>84.567084347681643</v>
      </c>
      <c r="BR39" s="56">
        <v>30</v>
      </c>
      <c r="BS39" s="57">
        <f>(-$AV$33-SQRT($AV$33^2-(4*$AU$33*($AW$33-BR39))))/(2*$AU$33)</f>
        <v>47.79095425763191</v>
      </c>
    </row>
    <row r="40" spans="21:71" x14ac:dyDescent="0.15">
      <c r="AU40">
        <v>80</v>
      </c>
      <c r="AV40" s="5">
        <f>$AU$22*AU40^2+$AV$22*AU40+$AW$22</f>
        <v>1019.1825739805981</v>
      </c>
      <c r="AW40" s="5">
        <f>$AU$30*AU40^2+$AV$30*AU40+$AW$30</f>
        <v>1023.6842573139315</v>
      </c>
      <c r="AY40" s="3">
        <f t="shared" si="14"/>
        <v>-4.5016833333334034</v>
      </c>
      <c r="BC40" s="55">
        <v>320</v>
      </c>
      <c r="BD40" s="57">
        <f t="shared" si="9"/>
        <v>143.78770801919913</v>
      </c>
      <c r="BE40" s="55">
        <v>170</v>
      </c>
      <c r="BF40" s="57">
        <f t="shared" si="10"/>
        <v>103.46121449007943</v>
      </c>
      <c r="BG40" s="55">
        <v>100</v>
      </c>
      <c r="BH40" s="57">
        <f t="shared" si="11"/>
        <v>77.741912106746298</v>
      </c>
      <c r="BI40" s="56">
        <v>55</v>
      </c>
      <c r="BJ40" s="57">
        <f>(-$AV$25-SQRT($AV$25^2-(4*$AU$25*($AW$25-BI40))))/(2*$AU$25)</f>
        <v>35.748954672957019</v>
      </c>
      <c r="BL40" s="55">
        <v>320</v>
      </c>
      <c r="BM40" s="57">
        <f t="shared" si="12"/>
        <v>144.89362815563373</v>
      </c>
      <c r="BN40" s="55">
        <v>170</v>
      </c>
      <c r="BO40" s="57">
        <f t="array" ref="BO40">(-$AV$31-SQRT($AV$31^2-(4*$AU$31*($AW$31-BN40))))/(2*$AU$31)</f>
        <v>104.78093084349958</v>
      </c>
      <c r="BP40" s="55">
        <v>100</v>
      </c>
      <c r="BQ40" s="57">
        <f t="shared" si="13"/>
        <v>78.950825326358625</v>
      </c>
      <c r="BR40" s="56">
        <v>55</v>
      </c>
      <c r="BS40" s="57">
        <f>(-$AV$33-SQRT($AV$33^2-(4*$AU$33*($AW$33-BR40))))/(2*$AU$33)</f>
        <v>36.950275816920829</v>
      </c>
    </row>
    <row r="41" spans="21:71" x14ac:dyDescent="0.15">
      <c r="U41" s="10"/>
      <c r="V41" s="22"/>
      <c r="W41" s="43">
        <v>63</v>
      </c>
      <c r="X41" s="44">
        <v>125</v>
      </c>
      <c r="Y41" s="44">
        <v>250</v>
      </c>
      <c r="Z41" s="44">
        <v>500</v>
      </c>
      <c r="AA41" s="44">
        <v>1000</v>
      </c>
      <c r="AB41" s="44">
        <v>2000</v>
      </c>
      <c r="AC41" s="44">
        <v>4000</v>
      </c>
      <c r="AD41" s="45">
        <v>8000</v>
      </c>
      <c r="AH41" s="43">
        <v>63</v>
      </c>
      <c r="AI41" s="44">
        <v>125</v>
      </c>
      <c r="AJ41" s="44">
        <v>250</v>
      </c>
      <c r="AK41" s="44">
        <v>500</v>
      </c>
      <c r="AL41" s="44">
        <v>1000</v>
      </c>
      <c r="AM41" s="44">
        <v>2000</v>
      </c>
      <c r="AN41" s="44">
        <v>4000</v>
      </c>
      <c r="AO41" s="45">
        <v>8000</v>
      </c>
      <c r="AP41" t="s">
        <v>70</v>
      </c>
      <c r="AQ41" t="s">
        <v>71</v>
      </c>
      <c r="AT41" t="s">
        <v>103</v>
      </c>
      <c r="AU41">
        <v>80</v>
      </c>
      <c r="AV41" s="5">
        <f>$AU$24*AU41^2+$AV$24*AU41+$AW$24</f>
        <v>91.716975716175114</v>
      </c>
      <c r="AW41" s="5">
        <f>$AU$32*AU41^2+$AV$32*AU41+$AW$32</f>
        <v>96.21865904950846</v>
      </c>
      <c r="AY41" s="3">
        <f t="shared" si="14"/>
        <v>-4.5016833333333466</v>
      </c>
      <c r="BC41" s="55">
        <v>390</v>
      </c>
      <c r="BD41" s="57">
        <f t="shared" si="9"/>
        <v>135.37071942904149</v>
      </c>
      <c r="BE41" s="55">
        <v>190</v>
      </c>
      <c r="BF41" s="57">
        <f t="shared" si="10"/>
        <v>99.040422729184755</v>
      </c>
      <c r="BG41" s="55">
        <v>138</v>
      </c>
      <c r="BH41" s="57">
        <f t="shared" si="11"/>
        <v>67.694020441116294</v>
      </c>
      <c r="BI41" s="55"/>
      <c r="BJ41" s="57"/>
      <c r="BL41" s="55">
        <v>390</v>
      </c>
      <c r="BM41" s="57">
        <f t="shared" si="12"/>
        <v>136.29910964571815</v>
      </c>
      <c r="BN41" s="55">
        <v>190</v>
      </c>
      <c r="BO41" s="57">
        <f t="array" ref="BO41">(-$AV$31-SQRT($AV$31^2-(4*$AU$31*($AW$31-BN41))))/(2*$AU$31)</f>
        <v>100.28442653274774</v>
      </c>
      <c r="BP41" s="55">
        <v>138</v>
      </c>
      <c r="BQ41" s="57">
        <f t="shared" si="13"/>
        <v>68.709516695144444</v>
      </c>
      <c r="BR41" s="55"/>
      <c r="BS41" s="57"/>
    </row>
    <row r="42" spans="21:71" x14ac:dyDescent="0.15">
      <c r="U42" s="10" t="s">
        <v>55</v>
      </c>
      <c r="V42" s="21"/>
      <c r="W42" s="86">
        <f>W49</f>
        <v>11.309407920324789</v>
      </c>
      <c r="X42" s="86">
        <f t="shared" ref="X42:AD42" si="15">X49</f>
        <v>11.112927756783211</v>
      </c>
      <c r="Y42" s="86">
        <f t="shared" si="15"/>
        <v>6.4458938755306647</v>
      </c>
      <c r="Z42" s="86">
        <f t="shared" si="15"/>
        <v>-8.1119705467250149</v>
      </c>
      <c r="AA42" s="86">
        <f t="shared" si="15"/>
        <v>-18.68980700464456</v>
      </c>
      <c r="AB42" s="86">
        <f t="shared" si="15"/>
        <v>-25.105548407351193</v>
      </c>
      <c r="AC42" s="86">
        <f t="shared" si="15"/>
        <v>-30</v>
      </c>
      <c r="AD42" s="86">
        <f t="shared" si="15"/>
        <v>-34</v>
      </c>
      <c r="AG42" s="39" t="s">
        <v>42</v>
      </c>
      <c r="AH42" s="53">
        <f t="shared" ref="AH42:AO42" si="16">$S$5+W42</f>
        <v>58.001554646696732</v>
      </c>
      <c r="AI42" s="53">
        <f t="shared" si="16"/>
        <v>57.805074483155153</v>
      </c>
      <c r="AJ42" s="53">
        <f t="shared" si="16"/>
        <v>53.13804060190261</v>
      </c>
      <c r="AK42" s="53">
        <f t="shared" si="16"/>
        <v>38.580176179646926</v>
      </c>
      <c r="AL42" s="53">
        <f t="shared" si="16"/>
        <v>28.002339721727385</v>
      </c>
      <c r="AM42" s="53">
        <f t="shared" si="16"/>
        <v>21.586598319020752</v>
      </c>
      <c r="AN42" s="53">
        <f t="shared" si="16"/>
        <v>16.692146726371945</v>
      </c>
      <c r="AO42" s="53">
        <f t="shared" si="16"/>
        <v>12.692146726371945</v>
      </c>
      <c r="AP42" s="5">
        <f t="array" ref="AP42">10*LOG10(SUM(10^(AH42:AO42/10)))</f>
        <v>61.609093206305666</v>
      </c>
      <c r="AQ42" s="5">
        <f t="array" ref="AQ42">10*LOG10(SUM(10^((AH42:AO42+AH45:AO45)/10)))</f>
        <v>46.910841488283864</v>
      </c>
      <c r="AR42" t="str">
        <f>IF(ABS(W5-AQ42)&lt;0.5,"OK","Tarkista laskenta!")</f>
        <v>Tarkista laskenta!</v>
      </c>
      <c r="AU42">
        <v>50</v>
      </c>
      <c r="AV42" s="5">
        <f>$AU$24*AU42^2+$AV$24*AU42+$AW$24</f>
        <v>209.45328754777429</v>
      </c>
      <c r="AW42" s="5">
        <f>$AU$32*AU42^2+$AV$32*AU42+$AW$32</f>
        <v>212.52322802396472</v>
      </c>
      <c r="AY42" s="3">
        <f t="shared" si="14"/>
        <v>-3.0699404761904248</v>
      </c>
      <c r="BC42" s="58">
        <v>450</v>
      </c>
      <c r="BD42" s="60">
        <f t="shared" si="9"/>
        <v>128.73037088287538</v>
      </c>
      <c r="BE42" s="58">
        <v>235</v>
      </c>
      <c r="BF42" s="60">
        <f t="shared" si="10"/>
        <v>89.273980043178298</v>
      </c>
      <c r="BG42" s="58"/>
      <c r="BH42" s="60"/>
      <c r="BI42" s="58"/>
      <c r="BJ42" s="60"/>
      <c r="BL42" s="58">
        <v>450</v>
      </c>
      <c r="BM42" s="60">
        <f t="shared" si="12"/>
        <v>129.54283234586202</v>
      </c>
      <c r="BN42" s="58">
        <v>235</v>
      </c>
      <c r="BO42" s="60">
        <f t="array" ref="BO42">(-$AV$31-SQRT($AV$31^2-(4*$AU$31*($AW$31-BN42))))/(2*$AU$31)</f>
        <v>90.362402112613097</v>
      </c>
      <c r="BP42" s="58"/>
      <c r="BQ42" s="60"/>
      <c r="BR42" s="58"/>
      <c r="BS42" s="60"/>
    </row>
    <row r="43" spans="21:71" x14ac:dyDescent="0.15">
      <c r="U43" s="14" t="s">
        <v>56</v>
      </c>
      <c r="V43" s="26"/>
      <c r="W43" s="86">
        <f>W55</f>
        <v>8.1745920488476003</v>
      </c>
      <c r="X43" s="86">
        <f t="shared" ref="X43:AD43" si="17">X55</f>
        <v>7.9779140886882125</v>
      </c>
      <c r="Y43" s="86">
        <f t="shared" si="17"/>
        <v>7.0100901619141673</v>
      </c>
      <c r="Z43" s="86">
        <f t="shared" si="17"/>
        <v>-4.1121752744456082</v>
      </c>
      <c r="AA43" s="86">
        <f t="shared" si="17"/>
        <v>-14.100294352330009</v>
      </c>
      <c r="AB43" s="86">
        <f t="shared" si="17"/>
        <v>-15.048066525616184</v>
      </c>
      <c r="AC43" s="86">
        <f t="shared" si="17"/>
        <v>-24.498896685085626</v>
      </c>
      <c r="AD43" s="86">
        <f t="shared" si="17"/>
        <v>-30.353443514642237</v>
      </c>
      <c r="AG43" s="39" t="s">
        <v>43</v>
      </c>
      <c r="AH43" s="53">
        <f t="shared" ref="AH43:AO43" si="18">$W$8+W43</f>
        <v>60.645360946801112</v>
      </c>
      <c r="AI43" s="53">
        <f t="shared" si="18"/>
        <v>60.448682986641728</v>
      </c>
      <c r="AJ43" s="53">
        <f t="shared" si="18"/>
        <v>59.480859059867683</v>
      </c>
      <c r="AK43" s="53">
        <f t="shared" si="18"/>
        <v>48.3585936235079</v>
      </c>
      <c r="AL43" s="53">
        <f t="shared" si="18"/>
        <v>38.370474545623502</v>
      </c>
      <c r="AM43" s="53">
        <f t="shared" si="18"/>
        <v>37.422702372337326</v>
      </c>
      <c r="AN43" s="53">
        <f t="shared" si="18"/>
        <v>27.971872212867886</v>
      </c>
      <c r="AO43" s="53">
        <f t="shared" si="18"/>
        <v>22.117325383311275</v>
      </c>
      <c r="AP43" s="5">
        <f t="array" ref="AP43">10*LOG10(SUM(10^(AH43:AO43/10)))</f>
        <v>65.10289001913543</v>
      </c>
      <c r="AQ43" s="5">
        <f t="array" ref="AQ43">10*LOG10(SUM(10^((AH43:AO43+AH45:AO45)/10)))</f>
        <v>53.018023869513087</v>
      </c>
      <c r="AR43" t="str">
        <f>IF(ABS(W8-AQ43)&lt;0.5,"OK","Tarkista laskenta!")</f>
        <v>Tarkista laskenta!</v>
      </c>
      <c r="AU43">
        <v>30</v>
      </c>
      <c r="AV43" s="5">
        <f>$AU$24*AU43^2+$AV$24*AU43+$AW$24</f>
        <v>297.1859632305385</v>
      </c>
      <c r="AW43" s="5">
        <f>$AU$32*AU43^2+$AV$32*AU43+$AW$32</f>
        <v>299.47933704006232</v>
      </c>
      <c r="AY43" s="3">
        <f t="shared" si="14"/>
        <v>-2.2933738095238141</v>
      </c>
    </row>
    <row r="44" spans="21:71" x14ac:dyDescent="0.15">
      <c r="AE44" t="s">
        <v>140</v>
      </c>
      <c r="AY44" s="3">
        <f t="shared" si="14"/>
        <v>0</v>
      </c>
    </row>
    <row r="45" spans="21:71" x14ac:dyDescent="0.15">
      <c r="U45" t="s">
        <v>55</v>
      </c>
      <c r="V45">
        <v>10</v>
      </c>
      <c r="W45" s="49">
        <v>16.643754559052947</v>
      </c>
      <c r="X45" s="49">
        <v>9.6038616586855667</v>
      </c>
      <c r="Y45" s="49">
        <v>3.4633172615662886</v>
      </c>
      <c r="Z45" s="49">
        <v>-0.90276455849374493</v>
      </c>
      <c r="AA45" s="49">
        <v>-11.044425173774911</v>
      </c>
      <c r="AB45" s="49">
        <v>-14.768702890672929</v>
      </c>
      <c r="AC45" s="49">
        <v>-20.801809997499124</v>
      </c>
      <c r="AD45" s="49">
        <v>-28.45714878681634</v>
      </c>
      <c r="AE45" s="32">
        <f>ABS($W$12-V45)</f>
        <v>6.5963426163796379</v>
      </c>
      <c r="AH45" s="73">
        <v>-26.2</v>
      </c>
      <c r="AI45" s="73">
        <v>-16.100000000000001</v>
      </c>
      <c r="AJ45" s="73">
        <v>-8.6</v>
      </c>
      <c r="AK45" s="73">
        <v>-3.2</v>
      </c>
      <c r="AL45" s="73">
        <v>0</v>
      </c>
      <c r="AM45" s="73">
        <v>1.2</v>
      </c>
      <c r="AN45" s="73">
        <v>1</v>
      </c>
      <c r="AO45" s="73">
        <v>-1.1000000000000001</v>
      </c>
    </row>
    <row r="46" spans="21:71" x14ac:dyDescent="0.15">
      <c r="V46">
        <v>6.5</v>
      </c>
      <c r="W46" s="49">
        <v>19.378566133628354</v>
      </c>
      <c r="X46" s="49">
        <v>8.4557349290393589</v>
      </c>
      <c r="Y46" s="49">
        <v>3.4064885085549452</v>
      </c>
      <c r="Z46" s="49">
        <v>-1.089403922974963</v>
      </c>
      <c r="AA46" s="49">
        <v>-12.952556703065635</v>
      </c>
      <c r="AB46" s="49">
        <v>-17.854795039701958</v>
      </c>
      <c r="AC46" s="49">
        <v>-24.342681018766374</v>
      </c>
      <c r="AD46" s="49">
        <v>-30.841332830555583</v>
      </c>
      <c r="AE46" s="32">
        <f>ABS($W$12-V46)</f>
        <v>3.0963426163796379</v>
      </c>
    </row>
    <row r="47" spans="21:71" x14ac:dyDescent="0.15">
      <c r="V47">
        <v>5</v>
      </c>
      <c r="W47" s="49">
        <v>12.106309558397262</v>
      </c>
      <c r="X47" s="49">
        <v>8.871716290375522</v>
      </c>
      <c r="Y47" s="49">
        <v>6.5498645757293268</v>
      </c>
      <c r="Z47" s="49">
        <v>-6.3233151496478346</v>
      </c>
      <c r="AA47" s="49">
        <v>-15.065620319456047</v>
      </c>
      <c r="AB47" s="49">
        <v>-20.569623997123269</v>
      </c>
      <c r="AC47" s="49">
        <v>-27.795708654535332</v>
      </c>
      <c r="AD47" s="49">
        <v>-32</v>
      </c>
      <c r="AE47" s="32">
        <f>ABS($W$12-V47)</f>
        <v>1.5963426163796379</v>
      </c>
    </row>
    <row r="48" spans="21:71" x14ac:dyDescent="0.15">
      <c r="V48">
        <v>3</v>
      </c>
      <c r="W48" s="49">
        <v>11.309407920324789</v>
      </c>
      <c r="X48" s="49">
        <v>11.112927756783211</v>
      </c>
      <c r="Y48" s="49">
        <v>6.4458938755306647</v>
      </c>
      <c r="Z48" s="49">
        <v>-8.1119705467250149</v>
      </c>
      <c r="AA48" s="49">
        <v>-18.68980700464456</v>
      </c>
      <c r="AB48" s="49">
        <v>-25.105548407351193</v>
      </c>
      <c r="AC48" s="49">
        <v>-30</v>
      </c>
      <c r="AD48" s="49">
        <v>-34</v>
      </c>
      <c r="AE48" s="32">
        <f>ABS($W$12-V48)</f>
        <v>0.40365738362036208</v>
      </c>
    </row>
    <row r="49" spans="3:35" x14ac:dyDescent="0.15">
      <c r="U49" t="s">
        <v>139</v>
      </c>
      <c r="V49">
        <f>MATCH(AE49,AE45:AE48,0)</f>
        <v>4</v>
      </c>
      <c r="W49" s="86">
        <f>INDEX(W45:W48,$V$49)</f>
        <v>11.309407920324789</v>
      </c>
      <c r="X49" s="86">
        <f t="shared" ref="X49:AD49" si="19">INDEX(X45:X48,$V$49)</f>
        <v>11.112927756783211</v>
      </c>
      <c r="Y49" s="86">
        <f t="shared" si="19"/>
        <v>6.4458938755306647</v>
      </c>
      <c r="Z49" s="86">
        <f t="shared" si="19"/>
        <v>-8.1119705467250149</v>
      </c>
      <c r="AA49" s="86">
        <f t="shared" si="19"/>
        <v>-18.68980700464456</v>
      </c>
      <c r="AB49" s="86">
        <f t="shared" si="19"/>
        <v>-25.105548407351193</v>
      </c>
      <c r="AC49" s="86">
        <f t="shared" si="19"/>
        <v>-30</v>
      </c>
      <c r="AD49" s="86">
        <f t="shared" si="19"/>
        <v>-34</v>
      </c>
      <c r="AE49" s="111">
        <f>MIN(AE45:AE48)</f>
        <v>0.40365738362036208</v>
      </c>
    </row>
    <row r="50" spans="3:35" x14ac:dyDescent="0.15">
      <c r="AE50" t="s">
        <v>140</v>
      </c>
      <c r="AI50" s="110"/>
    </row>
    <row r="51" spans="3:35" x14ac:dyDescent="0.15">
      <c r="U51" t="s">
        <v>56</v>
      </c>
      <c r="V51">
        <v>10</v>
      </c>
      <c r="W51" s="49">
        <v>9.2947440409368909</v>
      </c>
      <c r="X51" s="49">
        <v>3.0579795390972322</v>
      </c>
      <c r="Y51" s="49">
        <v>-5.858210899039662E-2</v>
      </c>
      <c r="Z51" s="49">
        <v>0.19913089100602832</v>
      </c>
      <c r="AA51" s="49">
        <v>-9.978555454168152</v>
      </c>
      <c r="AB51" s="49">
        <v>-9.0529477205952311</v>
      </c>
      <c r="AC51" s="49">
        <v>-12.79870753817251</v>
      </c>
      <c r="AD51" s="49">
        <v>-17.819987857452691</v>
      </c>
      <c r="AE51" s="32">
        <f>ABS($W$12-V51)</f>
        <v>6.5963426163796379</v>
      </c>
      <c r="AI51" s="110"/>
    </row>
    <row r="52" spans="3:35" x14ac:dyDescent="0.15">
      <c r="V52">
        <v>6.5</v>
      </c>
      <c r="W52" s="49">
        <v>7.3233914641408262</v>
      </c>
      <c r="X52" s="49">
        <v>1.4451970915344177</v>
      </c>
      <c r="Y52" s="49">
        <v>2.5879664585779452</v>
      </c>
      <c r="Z52" s="49">
        <v>1.0540480684597675</v>
      </c>
      <c r="AA52" s="49">
        <v>-12.285290617989812</v>
      </c>
      <c r="AB52" s="49">
        <v>-11.658469643057707</v>
      </c>
      <c r="AC52" s="49">
        <v>-16.303592693138867</v>
      </c>
      <c r="AD52" s="49">
        <v>-22.18673389593679</v>
      </c>
      <c r="AE52" s="32">
        <f>ABS($W$12-V52)</f>
        <v>3.0963426163796379</v>
      </c>
      <c r="AI52" s="110"/>
    </row>
    <row r="53" spans="3:35" x14ac:dyDescent="0.15">
      <c r="V53">
        <v>5</v>
      </c>
      <c r="W53" s="49">
        <v>6.7220842635078153</v>
      </c>
      <c r="X53" s="49">
        <v>2.7302013953504112</v>
      </c>
      <c r="Y53" s="49">
        <v>5.8797310325172258</v>
      </c>
      <c r="Z53" s="49">
        <v>-3.8771823360336004</v>
      </c>
      <c r="AA53" s="49">
        <v>-12.349096075200096</v>
      </c>
      <c r="AB53" s="49">
        <v>-12.11471290690996</v>
      </c>
      <c r="AC53" s="49">
        <v>-17.779459234554068</v>
      </c>
      <c r="AD53" s="49">
        <v>-26.287326275549606</v>
      </c>
      <c r="AE53" s="32">
        <f>ABS($W$12-V53)</f>
        <v>1.5963426163796379</v>
      </c>
      <c r="AI53" s="110"/>
    </row>
    <row r="54" spans="3:35" x14ac:dyDescent="0.15">
      <c r="V54">
        <v>3</v>
      </c>
      <c r="W54" s="49">
        <v>8.1745920488476003</v>
      </c>
      <c r="X54" s="49">
        <v>7.9779140886882125</v>
      </c>
      <c r="Y54" s="49">
        <v>7.0100901619141673</v>
      </c>
      <c r="Z54" s="49">
        <v>-4.1121752744456082</v>
      </c>
      <c r="AA54" s="49">
        <v>-14.100294352330009</v>
      </c>
      <c r="AB54" s="49">
        <v>-15.048066525616184</v>
      </c>
      <c r="AC54" s="49">
        <v>-24.498896685085626</v>
      </c>
      <c r="AD54" s="49">
        <v>-30.353443514642237</v>
      </c>
      <c r="AE54" s="32">
        <f>ABS($W$12-V54)</f>
        <v>0.40365738362036208</v>
      </c>
    </row>
    <row r="55" spans="3:35" x14ac:dyDescent="0.15">
      <c r="U55" t="s">
        <v>139</v>
      </c>
      <c r="V55">
        <f>MATCH(AE55,AE51:AE54,0)</f>
        <v>4</v>
      </c>
      <c r="W55" s="86">
        <f>INDEX(W51:W54,$V$49)</f>
        <v>8.1745920488476003</v>
      </c>
      <c r="X55" s="86">
        <f t="shared" ref="X55:AD55" si="20">INDEX(X51:X54,$V$49)</f>
        <v>7.9779140886882125</v>
      </c>
      <c r="Y55" s="86">
        <f t="shared" si="20"/>
        <v>7.0100901619141673</v>
      </c>
      <c r="Z55" s="86">
        <f t="shared" si="20"/>
        <v>-4.1121752744456082</v>
      </c>
      <c r="AA55" s="86">
        <f t="shared" si="20"/>
        <v>-14.100294352330009</v>
      </c>
      <c r="AB55" s="86">
        <f t="shared" si="20"/>
        <v>-15.048066525616184</v>
      </c>
      <c r="AC55" s="86">
        <f t="shared" si="20"/>
        <v>-24.498896685085626</v>
      </c>
      <c r="AD55" s="86">
        <f t="shared" si="20"/>
        <v>-30.353443514642237</v>
      </c>
      <c r="AE55" s="111">
        <f>MIN(AE51:AE54)</f>
        <v>0.40365738362036208</v>
      </c>
    </row>
    <row r="56" spans="3:35" x14ac:dyDescent="0.15">
      <c r="C56" s="2" t="s">
        <v>45</v>
      </c>
    </row>
    <row r="57" spans="3:35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35" x14ac:dyDescent="0.15">
      <c r="C58" s="12"/>
      <c r="D58" s="16" t="s">
        <v>13</v>
      </c>
      <c r="E58" s="41" t="s">
        <v>27</v>
      </c>
      <c r="F58" s="11" t="s">
        <v>47</v>
      </c>
      <c r="G58" s="41" t="s">
        <v>133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Q58" s="41" t="s">
        <v>133</v>
      </c>
      <c r="R58" t="s">
        <v>33</v>
      </c>
      <c r="T58" s="24"/>
      <c r="W58" s="10"/>
      <c r="X58" s="16" t="s">
        <v>13</v>
      </c>
      <c r="Y58" s="11" t="s">
        <v>49</v>
      </c>
    </row>
    <row r="59" spans="3:35" x14ac:dyDescent="0.15">
      <c r="C59" s="10" t="s">
        <v>3</v>
      </c>
      <c r="D59" s="116">
        <v>177.37307385653068</v>
      </c>
      <c r="E59" s="118">
        <v>59.060591218014309</v>
      </c>
      <c r="F59" s="117">
        <v>168.54259322528048</v>
      </c>
      <c r="G59" s="112">
        <v>4086.6666666666665</v>
      </c>
      <c r="H59" t="s">
        <v>4</v>
      </c>
      <c r="I59" t="s">
        <v>5</v>
      </c>
      <c r="K59" s="24"/>
      <c r="M59" s="10" t="s">
        <v>3</v>
      </c>
      <c r="N59" s="116">
        <v>177.73570182908642</v>
      </c>
      <c r="O59" s="118">
        <v>75.33438936131401</v>
      </c>
      <c r="P59" s="117">
        <v>166.12773047785547</v>
      </c>
      <c r="Q59" s="112">
        <v>4066.6666666666665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177.37307385653068</v>
      </c>
      <c r="Y59" s="20">
        <f>F59</f>
        <v>168.54259322528048</v>
      </c>
    </row>
    <row r="60" spans="3:35" x14ac:dyDescent="0.15">
      <c r="C60" s="12"/>
      <c r="D60" s="116">
        <v>163.0789877970802</v>
      </c>
      <c r="E60" s="118">
        <v>58.487634881019723</v>
      </c>
      <c r="F60" s="117">
        <v>167.59942656948792</v>
      </c>
      <c r="G60" s="112">
        <v>4060</v>
      </c>
      <c r="H60" s="2">
        <f t="array" ref="H60:J60">LINEST(E59:E62,D59:D62^{1,2})</f>
        <v>-9.4551175516497006E-4</v>
      </c>
      <c r="I60" s="2">
        <v>0.32886921715375045</v>
      </c>
      <c r="J60" s="2">
        <v>30.366579027739252</v>
      </c>
      <c r="K60" s="24"/>
      <c r="M60" s="12"/>
      <c r="N60" s="116">
        <v>163.49986992681139</v>
      </c>
      <c r="O60" s="118">
        <v>74.723775090917528</v>
      </c>
      <c r="P60" s="117">
        <v>166.43802423984073</v>
      </c>
      <c r="Q60" s="112">
        <v>4020</v>
      </c>
      <c r="R60" s="2">
        <f t="array" ref="R60:T60">LINEST(O59:O62,N59:N62^{1,2})</f>
        <v>-4.2303280713429652E-4</v>
      </c>
      <c r="S60" s="2">
        <v>0.18725410530684089</v>
      </c>
      <c r="T60" s="27">
        <v>55.416271485213016</v>
      </c>
      <c r="W60" s="12"/>
      <c r="X60" s="17">
        <f t="shared" ref="X60:X61" si="21">D60</f>
        <v>163.0789877970802</v>
      </c>
      <c r="Y60" s="13">
        <f>F60</f>
        <v>167.59942656948792</v>
      </c>
    </row>
    <row r="61" spans="3:35" x14ac:dyDescent="0.15">
      <c r="C61" s="12"/>
      <c r="D61" s="116">
        <v>150.05253955002848</v>
      </c>
      <c r="E61" s="118">
        <v>58.850988893487546</v>
      </c>
      <c r="F61" s="117">
        <v>169.17807377970442</v>
      </c>
      <c r="G61" s="112">
        <v>4053.3333333333335</v>
      </c>
      <c r="K61" s="24"/>
      <c r="M61" s="12"/>
      <c r="N61" s="116">
        <v>150.93715952891725</v>
      </c>
      <c r="O61" s="118">
        <v>74.042236453158083</v>
      </c>
      <c r="P61" s="117">
        <v>167.04225955146646</v>
      </c>
      <c r="Q61" s="112">
        <v>4006.6666666666665</v>
      </c>
      <c r="T61" s="24"/>
      <c r="W61" s="12"/>
      <c r="X61" s="17">
        <f t="shared" si="21"/>
        <v>150.05253955002848</v>
      </c>
      <c r="Y61" s="13">
        <f>F61</f>
        <v>169.17807377970442</v>
      </c>
    </row>
    <row r="62" spans="3:35" x14ac:dyDescent="0.15">
      <c r="C62" s="14"/>
      <c r="D62" s="116">
        <v>139.45609818368541</v>
      </c>
      <c r="E62" s="118">
        <v>57.67195124759094</v>
      </c>
      <c r="F62" s="117">
        <v>169.16904544949875</v>
      </c>
      <c r="G62" s="112">
        <v>4040</v>
      </c>
      <c r="K62" s="24"/>
      <c r="M62" s="14"/>
      <c r="N62" s="116">
        <v>139.8137012360778</v>
      </c>
      <c r="O62" s="118">
        <v>73.327605236408132</v>
      </c>
      <c r="P62" s="117">
        <v>166.27144487679067</v>
      </c>
      <c r="Q62" s="112">
        <v>4013.3333333333335</v>
      </c>
      <c r="T62" s="24"/>
      <c r="W62" s="12"/>
      <c r="X62" s="17">
        <f>D62</f>
        <v>139.45609818368541</v>
      </c>
      <c r="Y62" s="13">
        <f>F62</f>
        <v>169.16904544949875</v>
      </c>
    </row>
    <row r="63" spans="3:35" x14ac:dyDescent="0.15">
      <c r="C63" s="12"/>
      <c r="D63" s="17"/>
      <c r="E63" s="42"/>
      <c r="F63" s="13"/>
      <c r="G63" s="96"/>
      <c r="K63" s="24"/>
      <c r="M63" s="12"/>
      <c r="N63" s="17"/>
      <c r="O63" s="42"/>
      <c r="P63" s="13"/>
      <c r="Q63" s="35"/>
      <c r="T63" s="24"/>
      <c r="W63" s="12"/>
      <c r="X63" s="17">
        <f>N59</f>
        <v>177.73570182908642</v>
      </c>
      <c r="Y63" s="13">
        <f>P59</f>
        <v>166.12773047785547</v>
      </c>
    </row>
    <row r="64" spans="3:35" x14ac:dyDescent="0.15">
      <c r="C64" s="10" t="s">
        <v>114</v>
      </c>
      <c r="D64" s="116">
        <v>128.90693428688564</v>
      </c>
      <c r="E64" s="118">
        <v>54.451504598514305</v>
      </c>
      <c r="F64" s="117">
        <v>74.820392141737685</v>
      </c>
      <c r="G64" s="112">
        <v>3073.3333333333335</v>
      </c>
      <c r="H64" t="s">
        <v>4</v>
      </c>
      <c r="I64" t="s">
        <v>5</v>
      </c>
      <c r="K64" s="24"/>
      <c r="M64" s="10" t="s">
        <v>114</v>
      </c>
      <c r="N64" s="116">
        <v>129.19990627446921</v>
      </c>
      <c r="O64" s="118">
        <v>71.015258117342043</v>
      </c>
      <c r="P64" s="117">
        <v>74.664735053247043</v>
      </c>
      <c r="Q64" s="112">
        <v>3080</v>
      </c>
      <c r="R64" t="s">
        <v>4</v>
      </c>
      <c r="S64" t="s">
        <v>5</v>
      </c>
      <c r="T64" s="24" t="s">
        <v>6</v>
      </c>
      <c r="W64" s="12"/>
      <c r="X64" s="17">
        <f>N60</f>
        <v>163.49986992681139</v>
      </c>
      <c r="Y64" s="13">
        <f>P60</f>
        <v>166.43802423984073</v>
      </c>
    </row>
    <row r="65" spans="3:25" x14ac:dyDescent="0.15">
      <c r="C65" s="12"/>
      <c r="D65" s="116">
        <v>118.92053609192801</v>
      </c>
      <c r="E65" s="118">
        <v>54.067114966227088</v>
      </c>
      <c r="F65" s="117">
        <v>75.833334962098107</v>
      </c>
      <c r="G65" s="112">
        <v>3060</v>
      </c>
      <c r="H65" s="2">
        <f t="array" ref="H65:J65">LINEST(E64:E67,D64:D67^{1,2})</f>
        <v>-8.35886805969236E-4</v>
      </c>
      <c r="I65" s="2">
        <v>0.18440299465554127</v>
      </c>
      <c r="J65" s="2">
        <v>44.410679515502345</v>
      </c>
      <c r="K65" s="24"/>
      <c r="M65" s="12"/>
      <c r="N65" s="116">
        <v>118.49379513279769</v>
      </c>
      <c r="O65" s="118">
        <v>69.207392594698533</v>
      </c>
      <c r="P65" s="117">
        <v>75.607005937099942</v>
      </c>
      <c r="Q65" s="112">
        <v>3066.6666666666665</v>
      </c>
      <c r="R65" s="2">
        <f t="array" ref="R65:T65">LINEST(O64:O67,N64:N67^{1,2})</f>
        <v>1.8677123402232993E-3</v>
      </c>
      <c r="S65" s="2">
        <v>-0.36322330930282604</v>
      </c>
      <c r="T65" s="27">
        <v>86.579091360495411</v>
      </c>
      <c r="W65" s="12"/>
      <c r="X65" s="17">
        <f>N61</f>
        <v>150.93715952891725</v>
      </c>
      <c r="Y65" s="13">
        <f>P61</f>
        <v>167.04225955146646</v>
      </c>
    </row>
    <row r="66" spans="3:25" x14ac:dyDescent="0.15">
      <c r="C66" s="12"/>
      <c r="D66" s="116">
        <v>108.09236183775965</v>
      </c>
      <c r="E66" s="118">
        <v>55.01792182177379</v>
      </c>
      <c r="F66" s="117">
        <v>75.129711107349408</v>
      </c>
      <c r="G66" s="112">
        <v>3053.3333333333335</v>
      </c>
      <c r="K66" s="24"/>
      <c r="M66" s="12"/>
      <c r="N66" s="116">
        <v>107.73788615282413</v>
      </c>
      <c r="O66" s="118">
        <v>69.667473858703929</v>
      </c>
      <c r="P66" s="117">
        <v>75.008544459619515</v>
      </c>
      <c r="Q66" s="112">
        <v>3053.3333333333335</v>
      </c>
      <c r="T66" s="24"/>
      <c r="W66" s="14"/>
      <c r="X66" s="18">
        <f>N62</f>
        <v>139.8137012360778</v>
      </c>
      <c r="Y66" s="15">
        <f>P62</f>
        <v>166.27144487679067</v>
      </c>
    </row>
    <row r="67" spans="3:25" x14ac:dyDescent="0.15">
      <c r="C67" s="14"/>
      <c r="D67" s="116">
        <v>97.637725898629455</v>
      </c>
      <c r="E67" s="118">
        <v>54.297349049625566</v>
      </c>
      <c r="F67" s="117">
        <v>75.029888520884157</v>
      </c>
      <c r="G67" s="112">
        <v>3060</v>
      </c>
      <c r="K67" s="24"/>
      <c r="M67" s="14"/>
      <c r="N67" s="116">
        <v>96.456384991227822</v>
      </c>
      <c r="O67" s="118">
        <v>68.747405149388015</v>
      </c>
      <c r="P67" s="117">
        <v>76.147690977104276</v>
      </c>
      <c r="Q67" s="112">
        <v>3073.3333333333335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G68" s="96"/>
      <c r="K68" s="24"/>
      <c r="M68" s="12"/>
      <c r="N68" s="17"/>
      <c r="O68" s="42"/>
      <c r="P68" s="13"/>
      <c r="Q68" s="35"/>
      <c r="T68" s="24"/>
      <c r="W68" s="10" t="s">
        <v>114</v>
      </c>
      <c r="X68" s="19">
        <f>D64</f>
        <v>128.90693428688564</v>
      </c>
      <c r="Y68" s="20">
        <f>F64</f>
        <v>74.820392141737685</v>
      </c>
    </row>
    <row r="69" spans="3:25" x14ac:dyDescent="0.15">
      <c r="C69" s="10" t="s">
        <v>10</v>
      </c>
      <c r="D69" s="116">
        <v>96.446026922929775</v>
      </c>
      <c r="E69" s="118">
        <v>50.705217763769895</v>
      </c>
      <c r="F69" s="117">
        <v>37.521574862086936</v>
      </c>
      <c r="G69" s="112">
        <v>2366.6666666666665</v>
      </c>
      <c r="I69" t="s">
        <v>4</v>
      </c>
      <c r="J69" t="s">
        <v>5</v>
      </c>
      <c r="K69" s="24"/>
      <c r="M69" s="10" t="s">
        <v>10</v>
      </c>
      <c r="N69" s="116">
        <v>96.677155462994648</v>
      </c>
      <c r="O69" s="118">
        <v>63.474654182224072</v>
      </c>
      <c r="P69" s="117">
        <v>37.671500566760479</v>
      </c>
      <c r="Q69" s="112">
        <v>2358</v>
      </c>
      <c r="R69" t="s">
        <v>4</v>
      </c>
      <c r="S69" t="s">
        <v>5</v>
      </c>
      <c r="T69" s="24" t="s">
        <v>6</v>
      </c>
      <c r="W69" s="12"/>
      <c r="X69" s="17">
        <f t="shared" ref="X69" si="22">D65</f>
        <v>118.92053609192801</v>
      </c>
      <c r="Y69" s="13">
        <f t="shared" ref="Y69" si="23">F65</f>
        <v>75.833334962098107</v>
      </c>
    </row>
    <row r="70" spans="3:25" x14ac:dyDescent="0.15">
      <c r="C70" s="12"/>
      <c r="D70" s="116">
        <v>89.482984390049424</v>
      </c>
      <c r="E70" s="118">
        <v>49.862182652532596</v>
      </c>
      <c r="F70" s="117">
        <v>38.03015416313044</v>
      </c>
      <c r="G70" s="112">
        <v>2366.6666666666665</v>
      </c>
      <c r="H70" s="2"/>
      <c r="I70" s="2">
        <f t="array" ref="I70:J70">LINEST(E69:E72,D69:D72)</f>
        <v>3.7361249881721015E-2</v>
      </c>
      <c r="J70" s="2">
        <v>46.826599558308779</v>
      </c>
      <c r="K70" s="24"/>
      <c r="M70" s="12"/>
      <c r="N70" s="116">
        <v>89.050003982355406</v>
      </c>
      <c r="O70" s="118">
        <v>63.121110432341567</v>
      </c>
      <c r="P70" s="117">
        <v>38.131443787846948</v>
      </c>
      <c r="Q70" s="112">
        <v>2360</v>
      </c>
      <c r="R70" s="2">
        <f t="array" ref="R70:T70">LINEST(O69:O72,N69:N72^{1,2})</f>
        <v>-4.9835663178183934E-4</v>
      </c>
      <c r="S70" s="2">
        <v>0.12485231562017783</v>
      </c>
      <c r="T70" s="27">
        <v>56.03489923029948</v>
      </c>
      <c r="W70" s="12"/>
      <c r="X70" s="17">
        <f>D67</f>
        <v>97.637725898629455</v>
      </c>
      <c r="Y70" s="13">
        <f>F67</f>
        <v>75.029888520884157</v>
      </c>
    </row>
    <row r="71" spans="3:25" x14ac:dyDescent="0.15">
      <c r="C71" s="12"/>
      <c r="D71" s="116">
        <v>81.913305263117934</v>
      </c>
      <c r="E71" s="118">
        <v>49.69054596207009</v>
      </c>
      <c r="F71" s="117">
        <v>37.605259566643696</v>
      </c>
      <c r="G71" s="112">
        <v>2346.6666666666665</v>
      </c>
      <c r="K71" s="24"/>
      <c r="M71" s="12"/>
      <c r="N71" s="116">
        <v>81.113386537818101</v>
      </c>
      <c r="O71" s="118">
        <v>62.964148018821327</v>
      </c>
      <c r="P71" s="117">
        <v>38.111301196784787</v>
      </c>
      <c r="Q71" s="112">
        <v>2373.3333333333335</v>
      </c>
      <c r="T71" s="24"/>
      <c r="W71" s="12"/>
      <c r="X71" s="17">
        <f>N64</f>
        <v>129.19990627446921</v>
      </c>
      <c r="Y71" s="13">
        <f>P64</f>
        <v>74.664735053247043</v>
      </c>
    </row>
    <row r="72" spans="3:25" x14ac:dyDescent="0.15">
      <c r="C72" s="14"/>
      <c r="D72" s="116">
        <v>74.605066551746319</v>
      </c>
      <c r="E72" s="118">
        <v>49.842714107243317</v>
      </c>
      <c r="F72" s="117">
        <v>37.553374474480925</v>
      </c>
      <c r="G72" s="112">
        <v>2346.6666666666665</v>
      </c>
      <c r="K72" s="24"/>
      <c r="M72" s="14"/>
      <c r="N72" s="116">
        <v>73.662533531132837</v>
      </c>
      <c r="O72" s="118">
        <v>62.499440267629495</v>
      </c>
      <c r="P72" s="117">
        <v>37.03115401994468</v>
      </c>
      <c r="Q72" s="112">
        <v>2352</v>
      </c>
      <c r="T72" s="24"/>
      <c r="W72" s="12"/>
      <c r="X72" s="17">
        <f>N65</f>
        <v>118.49379513279769</v>
      </c>
      <c r="Y72" s="13">
        <f>P65</f>
        <v>75.607005937099942</v>
      </c>
    </row>
    <row r="73" spans="3:25" x14ac:dyDescent="0.15">
      <c r="C73" s="12"/>
      <c r="D73" s="17"/>
      <c r="E73" s="42"/>
      <c r="F73" s="13"/>
      <c r="G73" s="96"/>
      <c r="K73" s="24"/>
      <c r="M73" s="12"/>
      <c r="N73" s="17"/>
      <c r="O73" s="42"/>
      <c r="P73" s="13"/>
      <c r="Q73" s="35"/>
      <c r="T73" s="24"/>
      <c r="W73" s="12"/>
      <c r="X73" s="17">
        <f>N66</f>
        <v>107.73788615282413</v>
      </c>
      <c r="Y73" s="13">
        <f>P66</f>
        <v>75.008544459619515</v>
      </c>
    </row>
    <row r="74" spans="3:25" x14ac:dyDescent="0.15">
      <c r="C74" s="10" t="s">
        <v>12</v>
      </c>
      <c r="D74" s="116">
        <v>52.691549157468963</v>
      </c>
      <c r="E74" s="118">
        <v>41.380052436275669</v>
      </c>
      <c r="F74" s="117">
        <v>12.146003600193032</v>
      </c>
      <c r="G74" s="112">
        <v>1433.3333333333333</v>
      </c>
      <c r="I74" t="s">
        <v>4</v>
      </c>
      <c r="J74" t="s">
        <v>5</v>
      </c>
      <c r="K74" s="24"/>
      <c r="M74" s="10" t="s">
        <v>12</v>
      </c>
      <c r="N74" s="116">
        <v>52.674432772712962</v>
      </c>
      <c r="O74" s="118">
        <v>52.459873209173018</v>
      </c>
      <c r="P74" s="117">
        <v>12.163996986693864</v>
      </c>
      <c r="Q74" s="112">
        <v>1446.6666666666667</v>
      </c>
      <c r="R74" t="s">
        <v>4</v>
      </c>
      <c r="S74" t="s">
        <v>5</v>
      </c>
      <c r="T74" s="24" t="s">
        <v>6</v>
      </c>
      <c r="W74" s="14"/>
      <c r="X74" s="18">
        <f>N67</f>
        <v>96.456384991227822</v>
      </c>
      <c r="Y74" s="15">
        <f>P67</f>
        <v>76.147690977104276</v>
      </c>
    </row>
    <row r="75" spans="3:25" x14ac:dyDescent="0.15">
      <c r="C75" s="12"/>
      <c r="D75" s="116">
        <v>50.633657357814492</v>
      </c>
      <c r="E75" s="118">
        <v>41.607142667549759</v>
      </c>
      <c r="F75" s="117">
        <v>12.05591376347108</v>
      </c>
      <c r="G75" s="112">
        <v>1433.3333333333333</v>
      </c>
      <c r="H75" s="2"/>
      <c r="I75" s="2">
        <f t="array" ref="I75:J75">LINEST(E74:E77,D74:D77)</f>
        <v>-1.3616432748390729E-2</v>
      </c>
      <c r="J75" s="2">
        <v>42.289298445256939</v>
      </c>
      <c r="K75" s="24"/>
      <c r="M75" s="12"/>
      <c r="N75" s="116">
        <v>50.314053190972899</v>
      </c>
      <c r="O75" s="118">
        <v>51.838959953428834</v>
      </c>
      <c r="P75" s="117">
        <v>12.018930654554175</v>
      </c>
      <c r="Q75" s="112">
        <v>1440</v>
      </c>
      <c r="R75" s="2">
        <f t="array" ref="R75:T75">LINEST(O74:O77,N74:N77^{1,2})</f>
        <v>6.3700247481394186E-4</v>
      </c>
      <c r="S75" s="2">
        <v>7.5665774519152101E-2</v>
      </c>
      <c r="T75" s="27">
        <v>46.619266653588156</v>
      </c>
      <c r="W75" s="12"/>
      <c r="X75" s="16" t="s">
        <v>13</v>
      </c>
      <c r="Y75" s="11" t="s">
        <v>49</v>
      </c>
    </row>
    <row r="76" spans="3:25" x14ac:dyDescent="0.15">
      <c r="C76" s="12"/>
      <c r="D76" s="116">
        <v>47.425486734660552</v>
      </c>
      <c r="E76" s="118">
        <v>42.11228816912228</v>
      </c>
      <c r="F76" s="117">
        <v>12.128112153149525</v>
      </c>
      <c r="G76" s="112">
        <v>1433.3333333333333</v>
      </c>
      <c r="K76" s="24"/>
      <c r="M76" s="12"/>
      <c r="N76" s="116">
        <v>47.062148526651839</v>
      </c>
      <c r="O76" s="118">
        <v>51.742817256488848</v>
      </c>
      <c r="P76" s="117">
        <v>12.057302090130493</v>
      </c>
      <c r="Q76" s="112">
        <v>1433.3333333333333</v>
      </c>
      <c r="T76" s="24"/>
      <c r="W76" s="10" t="s">
        <v>10</v>
      </c>
      <c r="X76" s="19">
        <f>D69</f>
        <v>96.446026922929775</v>
      </c>
      <c r="Y76" s="20">
        <f>F69</f>
        <v>37.521574862086936</v>
      </c>
    </row>
    <row r="77" spans="3:25" x14ac:dyDescent="0.15">
      <c r="C77" s="14"/>
      <c r="D77" s="116">
        <v>43.955253994144648</v>
      </c>
      <c r="E77" s="118">
        <v>41.40651007171919</v>
      </c>
      <c r="F77" s="117">
        <v>12.087786856883648</v>
      </c>
      <c r="G77" s="112">
        <v>1440</v>
      </c>
      <c r="H77" s="25"/>
      <c r="I77" s="25"/>
      <c r="J77" s="25"/>
      <c r="K77" s="26"/>
      <c r="M77" s="14"/>
      <c r="N77" s="116">
        <v>43.017634077035808</v>
      </c>
      <c r="O77" s="118">
        <v>51.013721065119356</v>
      </c>
      <c r="P77" s="117">
        <v>11.924120066096666</v>
      </c>
      <c r="Q77" s="112">
        <v>1433.3333333333333</v>
      </c>
      <c r="R77" s="25"/>
      <c r="S77" s="25"/>
      <c r="T77" s="26"/>
      <c r="W77" s="12"/>
      <c r="X77" s="17">
        <f t="shared" ref="X77" si="24">D70</f>
        <v>89.482984390049424</v>
      </c>
      <c r="Y77" s="13">
        <f>F70</f>
        <v>38.03015416313044</v>
      </c>
    </row>
    <row r="78" spans="3:25" x14ac:dyDescent="0.15">
      <c r="W78" s="12"/>
      <c r="X78" s="17">
        <f>D72</f>
        <v>74.605066551746319</v>
      </c>
      <c r="Y78" s="13">
        <f>F72</f>
        <v>37.553374474480925</v>
      </c>
    </row>
    <row r="79" spans="3:25" x14ac:dyDescent="0.15">
      <c r="F79" s="5"/>
      <c r="W79" s="12"/>
      <c r="X79" s="17">
        <f>N69</f>
        <v>96.677155462994648</v>
      </c>
      <c r="Y79" s="13">
        <f>P69</f>
        <v>37.671500566760479</v>
      </c>
    </row>
    <row r="80" spans="3:25" x14ac:dyDescent="0.15">
      <c r="F80" s="5"/>
      <c r="W80" s="12"/>
      <c r="X80" s="17">
        <f>N70</f>
        <v>89.050003982355406</v>
      </c>
      <c r="Y80" s="13">
        <f>P70</f>
        <v>38.131443787846948</v>
      </c>
    </row>
    <row r="81" spans="6:30" x14ac:dyDescent="0.15">
      <c r="F81" s="5"/>
      <c r="W81" s="12"/>
      <c r="X81" s="17">
        <f>N71</f>
        <v>81.113386537818101</v>
      </c>
      <c r="Y81" s="13">
        <f>P71</f>
        <v>38.111301196784787</v>
      </c>
      <c r="AA81" t="s">
        <v>50</v>
      </c>
    </row>
    <row r="82" spans="6:30" x14ac:dyDescent="0.15">
      <c r="F82" s="5"/>
      <c r="W82" s="14"/>
      <c r="X82" s="18">
        <f>N72</f>
        <v>73.662533531132837</v>
      </c>
      <c r="Y82" s="15">
        <f>P72</f>
        <v>37.03115401994468</v>
      </c>
      <c r="AB82" s="4" t="s">
        <v>4</v>
      </c>
      <c r="AC82" s="4" t="s">
        <v>5</v>
      </c>
      <c r="AD82" s="4" t="s">
        <v>6</v>
      </c>
    </row>
    <row r="83" spans="6:30" x14ac:dyDescent="0.15">
      <c r="W83" s="12"/>
      <c r="X83" s="16" t="s">
        <v>13</v>
      </c>
      <c r="Y83" s="11" t="s">
        <v>49</v>
      </c>
      <c r="AA83" t="s">
        <v>3</v>
      </c>
      <c r="AB83" s="54">
        <f t="array" ref="AB83:AD83">LINEST(Y59:Y66,X59:X66^{1,2})</f>
        <v>2.5025571648286973E-4</v>
      </c>
      <c r="AC83" s="54">
        <v>-9.8634961625720954E-2</v>
      </c>
      <c r="AD83" s="54">
        <v>176.82767950458211</v>
      </c>
    </row>
    <row r="84" spans="6:30" x14ac:dyDescent="0.15">
      <c r="W84" s="10" t="s">
        <v>12</v>
      </c>
      <c r="X84" s="19">
        <f>D74</f>
        <v>52.691549157468963</v>
      </c>
      <c r="Y84" s="20">
        <f>F74</f>
        <v>12.146003600193032</v>
      </c>
      <c r="AA84" t="s">
        <v>114</v>
      </c>
      <c r="AB84" s="54">
        <f t="array" ref="AB84:AD84">LINEST(Y68:Y74,X68:X74^{1,2})</f>
        <v>-1.3104809546391626E-3</v>
      </c>
      <c r="AC84" s="54">
        <v>0.27612268497059966</v>
      </c>
      <c r="AD84" s="54">
        <v>61.060835571339837</v>
      </c>
    </row>
    <row r="85" spans="6:30" x14ac:dyDescent="0.15">
      <c r="W85" s="12"/>
      <c r="X85" s="17">
        <f t="shared" ref="X85:X86" si="25">D75</f>
        <v>50.633657357814492</v>
      </c>
      <c r="Y85" s="13">
        <f>F75</f>
        <v>12.05591376347108</v>
      </c>
      <c r="AA85" t="s">
        <v>10</v>
      </c>
      <c r="AB85" s="54">
        <f t="array" ref="AB85:AD85">LINEST(Y76:Y82,X76:X82^{1,2})</f>
        <v>-5.9348652144834849E-3</v>
      </c>
      <c r="AC85" s="54">
        <v>1.0252845617812771</v>
      </c>
      <c r="AD85" s="54">
        <v>-6.0913639891909028</v>
      </c>
    </row>
    <row r="86" spans="6:30" x14ac:dyDescent="0.15">
      <c r="W86" s="12"/>
      <c r="X86" s="17">
        <f t="shared" si="25"/>
        <v>47.425486734660552</v>
      </c>
      <c r="Y86" s="13">
        <f>F76</f>
        <v>12.128112153149525</v>
      </c>
      <c r="AA86" t="s">
        <v>12</v>
      </c>
      <c r="AB86" s="54">
        <f t="array" ref="AB86:AD86">LINEST(Y84:Y90,X84:X90^{1,2})</f>
        <v>-9.7181951292139239E-4</v>
      </c>
      <c r="AC86" s="54">
        <v>0.11181227950970757</v>
      </c>
      <c r="AD86" s="54">
        <v>8.93343422397135</v>
      </c>
    </row>
    <row r="87" spans="6:30" x14ac:dyDescent="0.15">
      <c r="F87" s="5"/>
      <c r="W87" s="12"/>
      <c r="X87" s="17">
        <f>N74</f>
        <v>52.674432772712962</v>
      </c>
      <c r="Y87" s="13">
        <f>P74</f>
        <v>12.163996986693864</v>
      </c>
    </row>
    <row r="88" spans="6:30" x14ac:dyDescent="0.15">
      <c r="F88" s="5"/>
      <c r="W88" s="12"/>
      <c r="X88" s="17">
        <f t="shared" ref="X88:X90" si="26">N75</f>
        <v>50.314053190972899</v>
      </c>
      <c r="Y88" s="13">
        <f>P75</f>
        <v>12.018930654554175</v>
      </c>
    </row>
    <row r="89" spans="6:30" x14ac:dyDescent="0.15">
      <c r="F89" s="5"/>
      <c r="W89" s="12"/>
      <c r="X89" s="17">
        <f t="shared" si="26"/>
        <v>47.062148526651839</v>
      </c>
      <c r="Y89" s="13">
        <f>P76</f>
        <v>12.057302090130493</v>
      </c>
    </row>
    <row r="90" spans="6:30" x14ac:dyDescent="0.15">
      <c r="F90" s="5"/>
      <c r="W90" s="14"/>
      <c r="X90" s="18">
        <f t="shared" si="26"/>
        <v>43.017634077035808</v>
      </c>
      <c r="Y90" s="15">
        <f>P77</f>
        <v>11.924120066096666</v>
      </c>
    </row>
    <row r="91" spans="6:30" x14ac:dyDescent="0.15">
      <c r="F91" s="5"/>
    </row>
    <row r="92" spans="6:30" x14ac:dyDescent="0.15">
      <c r="F92" s="5"/>
    </row>
    <row r="93" spans="6:30" x14ac:dyDescent="0.15">
      <c r="F93" s="5"/>
    </row>
    <row r="94" spans="6:30" x14ac:dyDescent="0.15">
      <c r="F94" s="5"/>
    </row>
    <row r="95" spans="6:30" x14ac:dyDescent="0.15">
      <c r="F95" s="5"/>
    </row>
    <row r="96" spans="6:30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5F46D-7E03-40F2-9E1C-944C4BCE95AD}">
  <dimension ref="B3:W49"/>
  <sheetViews>
    <sheetView workbookViewId="0">
      <selection activeCell="R20" sqref="R20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>
        <f>Tulokset_ENT!E38</f>
        <v>4.8722550824769089</v>
      </c>
      <c r="D4" t="s">
        <v>25</v>
      </c>
    </row>
    <row r="5" spans="2:7" x14ac:dyDescent="0.15">
      <c r="B5" t="s">
        <v>8</v>
      </c>
      <c r="C5" s="3">
        <f>Tulokset_ENT!H38</f>
        <v>4.6737857613449663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141</v>
      </c>
      <c r="C12" s="107">
        <v>12.290304219710688</v>
      </c>
      <c r="D12" s="107">
        <v>19.607987409354017</v>
      </c>
    </row>
    <row r="15" spans="2:7" x14ac:dyDescent="0.15">
      <c r="B15" t="s">
        <v>91</v>
      </c>
      <c r="C15" s="3">
        <f>MAX(C4,C5)</f>
        <v>4.8722550824769089</v>
      </c>
      <c r="D15" t="s">
        <v>25</v>
      </c>
      <c r="E15" s="82" t="s">
        <v>42</v>
      </c>
      <c r="F15" s="5">
        <f>C12*LN(C15)+D12</f>
        <v>39.070383285880325</v>
      </c>
      <c r="G15" t="s">
        <v>31</v>
      </c>
    </row>
    <row r="16" spans="2:7" x14ac:dyDescent="0.15">
      <c r="B16" t="s">
        <v>92</v>
      </c>
      <c r="C16" s="79">
        <f>(2*MAX(C4,C5)+MIN(C4,C5))/3</f>
        <v>4.8060986420995944</v>
      </c>
      <c r="D16" t="s">
        <v>25</v>
      </c>
      <c r="E16" s="82" t="s">
        <v>42</v>
      </c>
      <c r="F16" s="5">
        <f>C12*LN(C16)+D12</f>
        <v>38.902359784083586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>
        <f>'R-series ENT'!N54</f>
        <v>51.350319413350157</v>
      </c>
      <c r="E21" t="s">
        <v>31</v>
      </c>
    </row>
    <row r="22" spans="2:5" x14ac:dyDescent="0.15">
      <c r="B22" s="25"/>
      <c r="C22" s="25" t="s">
        <v>8</v>
      </c>
      <c r="D22" s="81">
        <f>'R-series ENT'!N55</f>
        <v>51.65220443099701</v>
      </c>
      <c r="E22" t="s">
        <v>31</v>
      </c>
    </row>
    <row r="23" spans="2:5" x14ac:dyDescent="0.15">
      <c r="C23" t="s">
        <v>87</v>
      </c>
      <c r="D23" s="3">
        <f>ABS(D21-D22)</f>
        <v>0.30188501764685327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>
        <f>'R-series ENT'!N53</f>
        <v>62.081900793182115</v>
      </c>
      <c r="E25" t="s">
        <v>31</v>
      </c>
    </row>
    <row r="26" spans="2:5" x14ac:dyDescent="0.15">
      <c r="B26" s="25"/>
      <c r="C26" s="25" t="s">
        <v>57</v>
      </c>
      <c r="D26" s="81">
        <f>'R-series ENT'!N56</f>
        <v>61.797611511157953</v>
      </c>
      <c r="E26" t="s">
        <v>31</v>
      </c>
    </row>
    <row r="27" spans="2:5" x14ac:dyDescent="0.15">
      <c r="C27" t="s">
        <v>87</v>
      </c>
      <c r="D27" s="3">
        <f>ABS(D25-D26)</f>
        <v>0.28428928202416159</v>
      </c>
      <c r="E27" t="s">
        <v>31</v>
      </c>
    </row>
    <row r="29" spans="2:5" x14ac:dyDescent="0.15">
      <c r="B29" t="s">
        <v>94</v>
      </c>
      <c r="C29" s="3">
        <f>AVERAGE(D27,D23)</f>
        <v>0.29308714983550743</v>
      </c>
      <c r="D29" t="s">
        <v>31</v>
      </c>
    </row>
    <row r="30" spans="2:5" x14ac:dyDescent="0.15">
      <c r="B30" t="s">
        <v>93</v>
      </c>
      <c r="C30" s="3">
        <f>-10*LOG10((1-10^(-C29/10)))-3</f>
        <v>8.853594809152499</v>
      </c>
      <c r="D30" t="s">
        <v>31</v>
      </c>
    </row>
    <row r="32" spans="2:5" x14ac:dyDescent="0.15">
      <c r="B32" t="s">
        <v>83</v>
      </c>
      <c r="C32" s="3">
        <f>F15+C30</f>
        <v>47.923978095032822</v>
      </c>
      <c r="D32" t="s">
        <v>31</v>
      </c>
    </row>
    <row r="33" spans="2:23" x14ac:dyDescent="0.15">
      <c r="B33" t="s">
        <v>95</v>
      </c>
      <c r="C33" s="3">
        <f>F15-2.6</f>
        <v>36.470383285880324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38.902359784083586</v>
      </c>
      <c r="D35" s="2" t="s">
        <v>31</v>
      </c>
      <c r="F35" s="5">
        <f>C35+10*LOG10(4/10)</f>
        <v>34.922959697363211</v>
      </c>
      <c r="G35" s="5">
        <f>C35+10*LOG10(4/2.5)</f>
        <v>40.943559610642836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11</v>
      </c>
      <c r="D39" s="85">
        <v>6</v>
      </c>
      <c r="E39" s="85">
        <v>6</v>
      </c>
      <c r="F39" s="85">
        <v>-4</v>
      </c>
      <c r="G39" s="85">
        <v>-16</v>
      </c>
      <c r="H39" s="85">
        <v>-18</v>
      </c>
      <c r="I39" s="85">
        <v>-23</v>
      </c>
      <c r="J39" s="85">
        <v>-24</v>
      </c>
      <c r="K39" s="87" t="s">
        <v>42</v>
      </c>
      <c r="L39" s="86">
        <f>$C$35+C39</f>
        <v>49.902359784083586</v>
      </c>
      <c r="M39" s="86">
        <f t="shared" ref="M39:S39" si="0">$C$35+D39</f>
        <v>44.902359784083586</v>
      </c>
      <c r="N39" s="86">
        <f t="shared" si="0"/>
        <v>44.902359784083586</v>
      </c>
      <c r="O39" s="86">
        <f t="shared" si="0"/>
        <v>34.902359784083586</v>
      </c>
      <c r="P39" s="86">
        <f t="shared" si="0"/>
        <v>22.902359784083586</v>
      </c>
      <c r="Q39" s="86">
        <f t="shared" si="0"/>
        <v>20.902359784083586</v>
      </c>
      <c r="R39" s="86">
        <f t="shared" si="0"/>
        <v>15.902359784083586</v>
      </c>
      <c r="S39" s="86">
        <f t="shared" si="0"/>
        <v>14.902359784083586</v>
      </c>
      <c r="T39" s="5">
        <f t="array" ref="T39">10*LOG10(SUM(10^(L39:S39/10)))</f>
        <v>52.124442179289602</v>
      </c>
      <c r="U39" s="5">
        <f t="array" ref="U39">10*LOG10(SUM(10^((L39:S39+L41:S41)/10)))</f>
        <v>38.556361388701625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D8645-5ACA-4001-BF6B-EACFF28C5005}">
  <dimension ref="B1:AX84"/>
  <sheetViews>
    <sheetView workbookViewId="0">
      <selection activeCell="R20" sqref="R20"/>
    </sheetView>
  </sheetViews>
  <sheetFormatPr baseColWidth="10" defaultColWidth="8.83203125" defaultRowHeight="13" x14ac:dyDescent="0.15"/>
  <cols>
    <col min="2" max="2" width="15.6640625" customWidth="1"/>
    <col min="3" max="5" width="11" customWidth="1"/>
  </cols>
  <sheetData>
    <row r="1" spans="2:50" x14ac:dyDescent="0.15">
      <c r="C1" s="344" t="s">
        <v>1175</v>
      </c>
      <c r="D1" s="344" t="s">
        <v>1180</v>
      </c>
      <c r="E1" s="344" t="s">
        <v>1181</v>
      </c>
    </row>
    <row r="2" spans="2:50" ht="14" x14ac:dyDescent="0.15">
      <c r="B2" s="344" t="b">
        <f>Tulokset_ENT!DG4</f>
        <v>0</v>
      </c>
      <c r="C2" s="344" t="s">
        <v>988</v>
      </c>
      <c r="D2" s="344">
        <v>0</v>
      </c>
      <c r="E2" s="344">
        <v>7</v>
      </c>
      <c r="H2" s="2" t="s">
        <v>1195</v>
      </c>
      <c r="Z2" s="2" t="s">
        <v>21</v>
      </c>
    </row>
    <row r="3" spans="2:50" x14ac:dyDescent="0.15">
      <c r="B3" s="344" t="b">
        <f>IF(B2,FALSE,TRUE)</f>
        <v>1</v>
      </c>
      <c r="C3" s="344" t="s">
        <v>1177</v>
      </c>
      <c r="D3" s="344">
        <v>7</v>
      </c>
      <c r="E3" s="344">
        <v>10</v>
      </c>
      <c r="H3" s="2" t="s">
        <v>1016</v>
      </c>
      <c r="I3" s="2" t="s">
        <v>270</v>
      </c>
      <c r="J3" s="2" t="s">
        <v>271</v>
      </c>
      <c r="K3" s="2" t="s">
        <v>272</v>
      </c>
      <c r="L3" s="2" t="str">
        <f>B11</f>
        <v>SWE - Stockholm</v>
      </c>
      <c r="M3" s="2" t="str">
        <f>B12</f>
        <v>SWE - Gothenburg</v>
      </c>
      <c r="N3" s="2" t="str">
        <f>B13</f>
        <v>NOR - Oslo</v>
      </c>
      <c r="O3" s="2" t="str">
        <f>B14</f>
        <v>LAT - Riga</v>
      </c>
      <c r="P3" s="2" t="str">
        <f>B15</f>
        <v>LTU - Vilnius</v>
      </c>
      <c r="Q3" s="2" t="str">
        <f>B16</f>
        <v>POL - Warsaw</v>
      </c>
      <c r="R3" s="2" t="str">
        <f>B17</f>
        <v>POL - Krakow</v>
      </c>
      <c r="S3" s="2" t="str">
        <f>B18</f>
        <v>POL - Gdansk</v>
      </c>
      <c r="T3" s="2" t="str">
        <f>B19</f>
        <v>ISL - Reykjavík</v>
      </c>
      <c r="U3" s="2" t="str">
        <f>B20</f>
        <v>ROU - Bucharest</v>
      </c>
      <c r="V3" s="2" t="str">
        <f>B21</f>
        <v>EST - Tallinn</v>
      </c>
      <c r="W3" s="2" t="str">
        <f>B22</f>
        <v>DEN - Copenhagen</v>
      </c>
      <c r="X3" s="2" t="str">
        <f>B23</f>
        <v>GER - Berlin</v>
      </c>
      <c r="Z3" t="str" cm="1">
        <f t="array" ref="Z3">INDEX(H3:X3,1,$B$30)</f>
        <v>EST - Tallinn</v>
      </c>
      <c r="AH3" t="s">
        <v>1016</v>
      </c>
      <c r="AI3" t="s">
        <v>270</v>
      </c>
      <c r="AJ3" t="s">
        <v>271</v>
      </c>
      <c r="AK3" t="s">
        <v>272</v>
      </c>
      <c r="AL3" t="s">
        <v>1361</v>
      </c>
      <c r="AM3" t="s">
        <v>1365</v>
      </c>
      <c r="AN3" t="s">
        <v>1362</v>
      </c>
      <c r="AO3" t="s">
        <v>1371</v>
      </c>
      <c r="AP3" t="s">
        <v>1374</v>
      </c>
      <c r="AQ3" t="s">
        <v>1375</v>
      </c>
      <c r="AR3" t="s">
        <v>1376</v>
      </c>
      <c r="AS3" t="s">
        <v>1382</v>
      </c>
      <c r="AT3" t="s">
        <v>1383</v>
      </c>
      <c r="AU3" t="s">
        <v>1385</v>
      </c>
      <c r="AV3" t="s">
        <v>1387</v>
      </c>
      <c r="AW3" t="s">
        <v>1391</v>
      </c>
      <c r="AX3" t="s">
        <v>1389</v>
      </c>
    </row>
    <row r="4" spans="2:50" x14ac:dyDescent="0.15">
      <c r="C4" s="628" t="s">
        <v>21</v>
      </c>
      <c r="D4" s="628">
        <f>IF($B$2,D2,D3)</f>
        <v>7</v>
      </c>
      <c r="E4" s="628">
        <f>IF($B$2,E2,E3)</f>
        <v>10</v>
      </c>
      <c r="G4" s="563">
        <v>-40</v>
      </c>
      <c r="H4" s="564">
        <v>0</v>
      </c>
      <c r="I4" s="564">
        <v>0</v>
      </c>
      <c r="J4" s="564">
        <v>0</v>
      </c>
      <c r="K4" s="564">
        <v>0</v>
      </c>
      <c r="L4" s="564">
        <v>0</v>
      </c>
      <c r="M4" s="564">
        <v>0</v>
      </c>
      <c r="N4" s="564">
        <v>0</v>
      </c>
      <c r="O4" s="564">
        <v>0</v>
      </c>
      <c r="P4" s="564">
        <v>0</v>
      </c>
      <c r="Q4" s="564">
        <v>0</v>
      </c>
      <c r="R4" s="564">
        <v>0</v>
      </c>
      <c r="S4" s="564">
        <v>0</v>
      </c>
      <c r="T4" s="564">
        <v>0</v>
      </c>
      <c r="U4" s="564">
        <v>0</v>
      </c>
      <c r="V4" s="564">
        <v>0</v>
      </c>
      <c r="W4" s="564">
        <v>0</v>
      </c>
      <c r="X4" s="564">
        <v>0</v>
      </c>
      <c r="Z4" s="655" cm="1">
        <f t="array" ref="Z4">INDEX(H4:X4,1,$B$30)</f>
        <v>0</v>
      </c>
      <c r="AH4">
        <v>0</v>
      </c>
      <c r="AI4">
        <v>0</v>
      </c>
      <c r="AJ4">
        <v>0</v>
      </c>
      <c r="AK4">
        <v>0</v>
      </c>
      <c r="AL4" t="s">
        <v>1019</v>
      </c>
      <c r="AM4" t="s">
        <v>1020</v>
      </c>
      <c r="AN4" t="s">
        <v>1392</v>
      </c>
      <c r="AO4" t="s">
        <v>1022</v>
      </c>
      <c r="AP4" t="s">
        <v>1023</v>
      </c>
      <c r="AQ4" t="s">
        <v>1393</v>
      </c>
      <c r="AR4" t="s">
        <v>1394</v>
      </c>
      <c r="AS4" t="s">
        <v>1377</v>
      </c>
      <c r="AT4" t="s">
        <v>1379</v>
      </c>
      <c r="AU4" t="s">
        <v>1380</v>
      </c>
      <c r="AV4" t="s">
        <v>1381</v>
      </c>
      <c r="AW4" t="s">
        <v>1395</v>
      </c>
      <c r="AX4" t="s">
        <v>1396</v>
      </c>
    </row>
    <row r="5" spans="2:50" x14ac:dyDescent="0.15">
      <c r="G5" s="565">
        <v>-39</v>
      </c>
      <c r="H5" s="564">
        <v>0</v>
      </c>
      <c r="I5" s="564">
        <v>0</v>
      </c>
      <c r="J5" s="564">
        <v>0</v>
      </c>
      <c r="K5" s="564">
        <v>0</v>
      </c>
      <c r="L5" s="564">
        <v>0</v>
      </c>
      <c r="M5" s="564">
        <v>0</v>
      </c>
      <c r="N5" s="564">
        <v>0</v>
      </c>
      <c r="O5" s="564">
        <v>0</v>
      </c>
      <c r="P5" s="564">
        <v>0</v>
      </c>
      <c r="Q5" s="564">
        <v>0</v>
      </c>
      <c r="R5" s="564">
        <v>0</v>
      </c>
      <c r="S5" s="564">
        <v>0</v>
      </c>
      <c r="T5" s="564">
        <v>0</v>
      </c>
      <c r="U5" s="564">
        <v>0</v>
      </c>
      <c r="V5" s="564">
        <v>0</v>
      </c>
      <c r="W5" s="564">
        <v>0</v>
      </c>
      <c r="X5" s="564">
        <v>0</v>
      </c>
      <c r="Z5" s="655" cm="1">
        <f t="array" ref="Z5">INDEX(H5:X5,1,$B$30)</f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2:50" x14ac:dyDescent="0.15">
      <c r="B6" s="2" t="s">
        <v>1179</v>
      </c>
      <c r="G6" s="565">
        <v>-38</v>
      </c>
      <c r="H6" s="564">
        <v>0</v>
      </c>
      <c r="I6" s="564">
        <v>0</v>
      </c>
      <c r="J6" s="564">
        <v>0</v>
      </c>
      <c r="K6" s="564">
        <v>3.4246575342465754E-4</v>
      </c>
      <c r="L6" s="564">
        <v>0</v>
      </c>
      <c r="M6" s="564">
        <v>0</v>
      </c>
      <c r="N6" s="564">
        <v>0</v>
      </c>
      <c r="O6" s="564">
        <v>0</v>
      </c>
      <c r="P6" s="564">
        <v>0</v>
      </c>
      <c r="Q6" s="564">
        <v>0</v>
      </c>
      <c r="R6" s="564">
        <v>0</v>
      </c>
      <c r="S6" s="564">
        <v>0</v>
      </c>
      <c r="T6" s="564">
        <v>0</v>
      </c>
      <c r="U6" s="564">
        <v>0</v>
      </c>
      <c r="V6" s="564">
        <v>0</v>
      </c>
      <c r="W6" s="564">
        <v>0</v>
      </c>
      <c r="X6" s="564">
        <v>0</v>
      </c>
      <c r="Z6" s="655" cm="1">
        <f t="array" ref="Z6">INDEX(H6:X6,1,$B$30)</f>
        <v>0</v>
      </c>
      <c r="AH6">
        <v>0</v>
      </c>
      <c r="AI6">
        <v>0</v>
      </c>
      <c r="AJ6">
        <v>0</v>
      </c>
      <c r="AK6">
        <v>3.4246575342465754E-4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2:50" x14ac:dyDescent="0.15">
      <c r="B7" t="str" cm="1">
        <f t="array" ref="B7">INDEX('Kirjasto (kaupungit)_ENT'!$D$4:$K$23,1,'Kirjasto (kaupungit)_ENT'!$B$4)</f>
        <v>I (Vantaa)</v>
      </c>
      <c r="D7" t="str" cm="1">
        <f t="array" aca="1" ref="D7:D16" ca="1">OFFSET($B$7,$D$4,0,$E$4,1)</f>
        <v>LAT - Riga</v>
      </c>
      <c r="G7" s="565">
        <v>-37</v>
      </c>
      <c r="H7" s="564">
        <v>0</v>
      </c>
      <c r="I7" s="564">
        <v>0</v>
      </c>
      <c r="J7" s="564">
        <v>0</v>
      </c>
      <c r="K7" s="564">
        <v>5.7077625570776253E-4</v>
      </c>
      <c r="L7" s="564">
        <v>0</v>
      </c>
      <c r="M7" s="564">
        <v>0</v>
      </c>
      <c r="N7" s="564">
        <v>0</v>
      </c>
      <c r="O7" s="564">
        <v>0</v>
      </c>
      <c r="P7" s="564">
        <v>0</v>
      </c>
      <c r="Q7" s="564">
        <v>0</v>
      </c>
      <c r="R7" s="564">
        <v>0</v>
      </c>
      <c r="S7" s="564">
        <v>0</v>
      </c>
      <c r="T7" s="564">
        <v>0</v>
      </c>
      <c r="U7" s="564">
        <v>0</v>
      </c>
      <c r="V7" s="564">
        <v>0</v>
      </c>
      <c r="W7" s="564">
        <v>0</v>
      </c>
      <c r="X7" s="564">
        <v>0</v>
      </c>
      <c r="Z7" s="655" cm="1">
        <f t="array" ref="Z7">INDEX(H7:X7,1,$B$30)</f>
        <v>0</v>
      </c>
      <c r="AH7">
        <v>0</v>
      </c>
      <c r="AI7">
        <v>0</v>
      </c>
      <c r="AJ7">
        <v>0</v>
      </c>
      <c r="AK7">
        <v>5.7077625570776253E-4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2:50" x14ac:dyDescent="0.15">
      <c r="B8" t="str" cm="1">
        <f t="array" ref="B8">INDEX('Kirjasto (kaupungit)_ENT'!$D$4:$K$23,2,'Kirjasto (kaupungit)_ENT'!$B$4)</f>
        <v>II (Jokioinen)</v>
      </c>
      <c r="D8" t="str">
        <f ca="1"/>
        <v>LTU - Vilnius</v>
      </c>
      <c r="G8" s="565">
        <v>-36</v>
      </c>
      <c r="H8" s="564">
        <v>0</v>
      </c>
      <c r="I8" s="564">
        <v>0</v>
      </c>
      <c r="J8" s="564">
        <v>0</v>
      </c>
      <c r="K8" s="564">
        <v>1.1415525114155251E-3</v>
      </c>
      <c r="L8" s="564">
        <v>0</v>
      </c>
      <c r="M8" s="564">
        <v>0</v>
      </c>
      <c r="N8" s="564">
        <v>0</v>
      </c>
      <c r="O8" s="564">
        <v>0</v>
      </c>
      <c r="P8" s="564">
        <v>0</v>
      </c>
      <c r="Q8" s="564">
        <v>0</v>
      </c>
      <c r="R8" s="564">
        <v>0</v>
      </c>
      <c r="S8" s="564">
        <v>0</v>
      </c>
      <c r="T8" s="564">
        <v>0</v>
      </c>
      <c r="U8" s="564">
        <v>0</v>
      </c>
      <c r="V8" s="564">
        <v>0</v>
      </c>
      <c r="W8" s="564">
        <v>0</v>
      </c>
      <c r="X8" s="564">
        <v>0</v>
      </c>
      <c r="Z8" s="655" cm="1">
        <f t="array" ref="Z8">INDEX(H8:X8,1,$B$30)</f>
        <v>0</v>
      </c>
      <c r="AH8">
        <v>0</v>
      </c>
      <c r="AI8">
        <v>0</v>
      </c>
      <c r="AJ8">
        <v>0</v>
      </c>
      <c r="AK8">
        <v>1.1415525114155251E-3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2:50" x14ac:dyDescent="0.15">
      <c r="B9" t="str" cm="1">
        <f t="array" ref="B9">INDEX('Kirjasto (kaupungit)_ENT'!$D$4:$K$23,3,'Kirjasto (kaupungit)_ENT'!$B$4)</f>
        <v>III (Jyväskylä)</v>
      </c>
      <c r="D9" t="str">
        <f ca="1"/>
        <v>POL - Warsaw</v>
      </c>
      <c r="G9" s="565">
        <v>-35</v>
      </c>
      <c r="H9" s="564">
        <v>0</v>
      </c>
      <c r="I9" s="564">
        <v>0</v>
      </c>
      <c r="J9" s="564">
        <v>0</v>
      </c>
      <c r="K9" s="564">
        <v>1.8264840182648401E-3</v>
      </c>
      <c r="L9" s="564">
        <v>0</v>
      </c>
      <c r="M9" s="564">
        <v>0</v>
      </c>
      <c r="N9" s="564">
        <v>0</v>
      </c>
      <c r="O9" s="564">
        <v>0</v>
      </c>
      <c r="P9" s="564">
        <v>0</v>
      </c>
      <c r="Q9" s="564">
        <v>0</v>
      </c>
      <c r="R9" s="564">
        <v>0</v>
      </c>
      <c r="S9" s="564">
        <v>0</v>
      </c>
      <c r="T9" s="564">
        <v>0</v>
      </c>
      <c r="U9" s="564">
        <v>0</v>
      </c>
      <c r="V9" s="564">
        <v>0</v>
      </c>
      <c r="W9" s="564">
        <v>0</v>
      </c>
      <c r="X9" s="564">
        <v>0</v>
      </c>
      <c r="Z9" s="655" cm="1">
        <f t="array" ref="Z9">INDEX(H9:X9,1,$B$30)</f>
        <v>0</v>
      </c>
      <c r="AH9">
        <v>0</v>
      </c>
      <c r="AI9">
        <v>0</v>
      </c>
      <c r="AJ9">
        <v>0</v>
      </c>
      <c r="AK9">
        <v>1.8264840182648401E-3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2:50" x14ac:dyDescent="0.15">
      <c r="B10" t="str" cm="1">
        <f t="array" ref="B10">INDEX('Kirjasto (kaupungit)_ENT'!$D$4:$K$23,4,'Kirjasto (kaupungit)_ENT'!$B$4)</f>
        <v>IV (Sodankylä)</v>
      </c>
      <c r="D10" t="str">
        <f ca="1"/>
        <v>POL - Krakow</v>
      </c>
      <c r="G10" s="565">
        <v>-34</v>
      </c>
      <c r="H10" s="564">
        <v>0</v>
      </c>
      <c r="I10" s="564">
        <v>0</v>
      </c>
      <c r="J10" s="564">
        <v>0</v>
      </c>
      <c r="K10" s="564">
        <v>2.9680365296803654E-3</v>
      </c>
      <c r="L10" s="564">
        <v>0</v>
      </c>
      <c r="M10" s="564">
        <v>0</v>
      </c>
      <c r="N10" s="564">
        <v>0</v>
      </c>
      <c r="O10" s="564">
        <v>0</v>
      </c>
      <c r="P10" s="564">
        <v>0</v>
      </c>
      <c r="Q10" s="564">
        <v>0</v>
      </c>
      <c r="R10" s="564">
        <v>0</v>
      </c>
      <c r="S10" s="564">
        <v>0</v>
      </c>
      <c r="T10" s="564">
        <v>0</v>
      </c>
      <c r="U10" s="564">
        <v>0</v>
      </c>
      <c r="V10" s="564">
        <v>0</v>
      </c>
      <c r="W10" s="564">
        <v>0</v>
      </c>
      <c r="X10" s="564">
        <v>0</v>
      </c>
      <c r="Z10" s="655" cm="1">
        <f t="array" ref="Z10">INDEX(H10:X10,1,$B$30)</f>
        <v>0</v>
      </c>
      <c r="AH10">
        <v>0</v>
      </c>
      <c r="AI10">
        <v>0</v>
      </c>
      <c r="AJ10">
        <v>0</v>
      </c>
      <c r="AK10">
        <v>2.9680365296803654E-3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2:50" x14ac:dyDescent="0.15">
      <c r="B11" t="str" cm="1">
        <f t="array" ref="B11">INDEX('Kirjasto (kaupungit)_ENT'!$D$4:$K$23,5,'Kirjasto (kaupungit)_ENT'!$B$4)</f>
        <v>SWE - Stockholm</v>
      </c>
      <c r="D11" t="str">
        <f ca="1"/>
        <v>POL - Gdansk</v>
      </c>
      <c r="G11" s="565">
        <v>-33</v>
      </c>
      <c r="H11" s="564">
        <v>0</v>
      </c>
      <c r="I11" s="564">
        <v>0</v>
      </c>
      <c r="J11" s="564">
        <v>0</v>
      </c>
      <c r="K11" s="564">
        <v>4.10958904109589E-3</v>
      </c>
      <c r="L11" s="564">
        <v>0</v>
      </c>
      <c r="M11" s="564">
        <v>0</v>
      </c>
      <c r="N11" s="564">
        <v>0</v>
      </c>
      <c r="O11" s="564">
        <v>0</v>
      </c>
      <c r="P11" s="564">
        <v>0</v>
      </c>
      <c r="Q11" s="564">
        <v>0</v>
      </c>
      <c r="R11" s="564">
        <v>0</v>
      </c>
      <c r="S11" s="564">
        <v>0</v>
      </c>
      <c r="T11" s="564">
        <v>0</v>
      </c>
      <c r="U11" s="564">
        <v>0</v>
      </c>
      <c r="V11" s="564">
        <v>0</v>
      </c>
      <c r="W11" s="564">
        <v>0</v>
      </c>
      <c r="X11" s="564">
        <v>0</v>
      </c>
      <c r="Z11" s="655" cm="1">
        <f t="array" ref="Z11">INDEX(H11:X11,1,$B$30)</f>
        <v>0</v>
      </c>
      <c r="AH11">
        <v>0</v>
      </c>
      <c r="AI11">
        <v>0</v>
      </c>
      <c r="AJ11">
        <v>0</v>
      </c>
      <c r="AK11">
        <v>4.10958904109589E-3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2:50" x14ac:dyDescent="0.15">
      <c r="B12" t="str" cm="1">
        <f t="array" ref="B12">INDEX('Kirjasto (kaupungit)_ENT'!$D$4:$K$23,6,'Kirjasto (kaupungit)_ENT'!$B$4)</f>
        <v>SWE - Gothenburg</v>
      </c>
      <c r="D12" t="str">
        <f ca="1"/>
        <v>ISL - Reykjavík</v>
      </c>
      <c r="G12" s="565">
        <v>-32</v>
      </c>
      <c r="H12" s="564">
        <v>0</v>
      </c>
      <c r="I12" s="564">
        <v>0</v>
      </c>
      <c r="J12" s="564">
        <v>0</v>
      </c>
      <c r="K12" s="564">
        <v>4.7945205479452057E-3</v>
      </c>
      <c r="L12" s="564">
        <v>0</v>
      </c>
      <c r="M12" s="564">
        <v>0</v>
      </c>
      <c r="N12" s="564">
        <v>0</v>
      </c>
      <c r="O12" s="564">
        <v>0</v>
      </c>
      <c r="P12" s="564">
        <v>0</v>
      </c>
      <c r="Q12" s="564">
        <v>0</v>
      </c>
      <c r="R12" s="564">
        <v>0</v>
      </c>
      <c r="S12" s="564">
        <v>0</v>
      </c>
      <c r="T12" s="564">
        <v>0</v>
      </c>
      <c r="U12" s="564">
        <v>0</v>
      </c>
      <c r="V12" s="564">
        <v>0</v>
      </c>
      <c r="W12" s="564">
        <v>0</v>
      </c>
      <c r="X12" s="564">
        <v>0</v>
      </c>
      <c r="Z12" s="655" cm="1">
        <f t="array" ref="Z12">INDEX(H12:X12,1,$B$30)</f>
        <v>0</v>
      </c>
      <c r="AH12">
        <v>0</v>
      </c>
      <c r="AI12">
        <v>0</v>
      </c>
      <c r="AJ12">
        <v>0</v>
      </c>
      <c r="AK12">
        <v>4.7945205479452057E-3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2:50" x14ac:dyDescent="0.15">
      <c r="B13" t="str" cm="1">
        <f t="array" ref="B13">INDEX('Kirjasto (kaupungit)_ENT'!$D$4:$K$23,15,'Kirjasto (kaupungit)_ENT'!$B$4)</f>
        <v>NOR - Oslo</v>
      </c>
      <c r="D13" t="str">
        <f ca="1"/>
        <v>ROU - Bucharest</v>
      </c>
      <c r="G13" s="565">
        <v>-31</v>
      </c>
      <c r="H13" s="564">
        <v>0</v>
      </c>
      <c r="I13" s="564">
        <v>0</v>
      </c>
      <c r="J13" s="564">
        <v>2.2831050228310502E-4</v>
      </c>
      <c r="K13" s="564">
        <v>6.0502283105022831E-3</v>
      </c>
      <c r="L13" s="564">
        <v>0</v>
      </c>
      <c r="M13" s="564">
        <v>0</v>
      </c>
      <c r="N13" s="564">
        <v>0</v>
      </c>
      <c r="O13" s="564">
        <v>0</v>
      </c>
      <c r="P13" s="564">
        <v>0</v>
      </c>
      <c r="Q13" s="564">
        <v>0</v>
      </c>
      <c r="R13" s="564">
        <v>0</v>
      </c>
      <c r="S13" s="564">
        <v>0</v>
      </c>
      <c r="T13" s="564">
        <v>0</v>
      </c>
      <c r="U13" s="564">
        <v>0</v>
      </c>
      <c r="V13" s="564">
        <v>0</v>
      </c>
      <c r="W13" s="564">
        <v>0</v>
      </c>
      <c r="X13" s="564">
        <v>0</v>
      </c>
      <c r="Z13" s="655" cm="1">
        <f t="array" ref="Z13">INDEX(H13:X13,1,$B$30)</f>
        <v>0</v>
      </c>
      <c r="AH13">
        <v>0</v>
      </c>
      <c r="AI13">
        <v>0</v>
      </c>
      <c r="AJ13">
        <v>2.2831050228310502E-4</v>
      </c>
      <c r="AK13">
        <v>6.0502283105022831E-3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2:50" x14ac:dyDescent="0.15">
      <c r="B14" t="str" cm="1">
        <f t="array" ref="B14">INDEX('Kirjasto (kaupungit)_ENT'!$D$4:$K$23,8,'Kirjasto (kaupungit)_ENT'!$B$4)</f>
        <v>LAT - Riga</v>
      </c>
      <c r="D14" t="str">
        <f ca="1"/>
        <v>EST - Tallinn</v>
      </c>
      <c r="G14" s="565">
        <v>-30</v>
      </c>
      <c r="H14" s="564">
        <v>0</v>
      </c>
      <c r="I14" s="564">
        <v>0</v>
      </c>
      <c r="J14" s="564">
        <v>3.4246575342465754E-4</v>
      </c>
      <c r="K14" s="564">
        <v>7.9908675799086754E-3</v>
      </c>
      <c r="L14" s="564">
        <v>0</v>
      </c>
      <c r="M14" s="564">
        <v>0</v>
      </c>
      <c r="N14" s="564">
        <v>0</v>
      </c>
      <c r="O14" s="564">
        <v>0</v>
      </c>
      <c r="P14" s="564">
        <v>0</v>
      </c>
      <c r="Q14" s="564">
        <v>0</v>
      </c>
      <c r="R14" s="564">
        <v>0</v>
      </c>
      <c r="S14" s="564">
        <v>0</v>
      </c>
      <c r="T14" s="564">
        <v>0</v>
      </c>
      <c r="U14" s="564">
        <v>0</v>
      </c>
      <c r="V14" s="564">
        <v>0</v>
      </c>
      <c r="W14" s="564">
        <v>0</v>
      </c>
      <c r="X14" s="564">
        <v>0</v>
      </c>
      <c r="Z14" s="655" cm="1">
        <f t="array" ref="Z14">INDEX(H14:X14,1,$B$30)</f>
        <v>0</v>
      </c>
      <c r="AH14">
        <v>0</v>
      </c>
      <c r="AI14">
        <v>0</v>
      </c>
      <c r="AJ14">
        <v>3.4246575342465754E-4</v>
      </c>
      <c r="AK14">
        <v>7.9908675799086754E-3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2:50" x14ac:dyDescent="0.15">
      <c r="B15" t="str" cm="1">
        <f t="array" ref="B15">INDEX('Kirjasto (kaupungit)_ENT'!$D$4:$K$23,9,'Kirjasto (kaupungit)_ENT'!$B$4)</f>
        <v>LTU - Vilnius</v>
      </c>
      <c r="D15" t="str">
        <f ca="1"/>
        <v>DEN - Copenhagen</v>
      </c>
      <c r="G15" s="565">
        <v>-29</v>
      </c>
      <c r="H15" s="564">
        <v>0</v>
      </c>
      <c r="I15" s="564">
        <v>0</v>
      </c>
      <c r="J15" s="564">
        <v>4.5662100456621003E-4</v>
      </c>
      <c r="K15" s="564">
        <v>1.1187214611872146E-2</v>
      </c>
      <c r="L15" s="564">
        <v>0</v>
      </c>
      <c r="M15" s="564">
        <v>0</v>
      </c>
      <c r="N15" s="564">
        <v>0</v>
      </c>
      <c r="O15" s="564">
        <v>0</v>
      </c>
      <c r="P15" s="564">
        <v>0</v>
      </c>
      <c r="Q15" s="564">
        <v>0</v>
      </c>
      <c r="R15" s="564">
        <v>0</v>
      </c>
      <c r="S15" s="564">
        <v>0</v>
      </c>
      <c r="T15" s="564">
        <v>0</v>
      </c>
      <c r="U15" s="564">
        <v>0</v>
      </c>
      <c r="V15" s="564">
        <v>0</v>
      </c>
      <c r="W15" s="564">
        <v>0</v>
      </c>
      <c r="X15" s="564">
        <v>0</v>
      </c>
      <c r="Z15" s="655" cm="1">
        <f t="array" ref="Z15">INDEX(H15:X15,1,$B$30)</f>
        <v>0</v>
      </c>
      <c r="AH15">
        <v>0</v>
      </c>
      <c r="AI15">
        <v>0</v>
      </c>
      <c r="AJ15">
        <v>4.5662100456621003E-4</v>
      </c>
      <c r="AK15">
        <v>1.1187214611872146E-2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2:50" x14ac:dyDescent="0.15">
      <c r="B16" t="str" cm="1">
        <f t="array" ref="B16">INDEX('Kirjasto (kaupungit)_ENT'!$D$4:$K$23,10,'Kirjasto (kaupungit)_ENT'!$B$4)</f>
        <v>POL - Warsaw</v>
      </c>
      <c r="D16" t="str">
        <f ca="1"/>
        <v>GER - Berlin</v>
      </c>
      <c r="G16" s="565">
        <v>-28</v>
      </c>
      <c r="H16" s="564">
        <v>0</v>
      </c>
      <c r="I16" s="564">
        <v>0</v>
      </c>
      <c r="J16" s="564">
        <v>9.1324200913242006E-4</v>
      </c>
      <c r="K16" s="564">
        <v>1.4726027397260274E-2</v>
      </c>
      <c r="L16" s="564">
        <v>0</v>
      </c>
      <c r="M16" s="564">
        <v>0</v>
      </c>
      <c r="N16" s="564">
        <v>0</v>
      </c>
      <c r="O16" s="564">
        <v>0</v>
      </c>
      <c r="P16" s="564">
        <v>0</v>
      </c>
      <c r="Q16" s="564">
        <v>0</v>
      </c>
      <c r="R16" s="564">
        <v>0</v>
      </c>
      <c r="S16" s="564">
        <v>0</v>
      </c>
      <c r="T16" s="564">
        <v>0</v>
      </c>
      <c r="U16" s="564">
        <v>0</v>
      </c>
      <c r="V16" s="564">
        <v>0</v>
      </c>
      <c r="W16" s="564">
        <v>0</v>
      </c>
      <c r="X16" s="564">
        <v>0</v>
      </c>
      <c r="Z16" s="655" cm="1">
        <f t="array" ref="Z16">INDEX(H16:X16,1,$B$30)</f>
        <v>0</v>
      </c>
      <c r="AH16">
        <v>0</v>
      </c>
      <c r="AI16">
        <v>0</v>
      </c>
      <c r="AJ16">
        <v>9.1324200913242006E-4</v>
      </c>
      <c r="AK16">
        <v>1.4726027397260274E-2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2:44" x14ac:dyDescent="0.15">
      <c r="B17" t="str" cm="1">
        <f t="array" ref="B17">INDEX('Kirjasto (kaupungit)_ENT'!$D$4:$K$23,11,'Kirjasto (kaupungit)_ENT'!$B$4)</f>
        <v>POL - Krakow</v>
      </c>
      <c r="G17" s="565">
        <v>-27</v>
      </c>
      <c r="H17" s="564">
        <v>0</v>
      </c>
      <c r="I17" s="564">
        <v>0</v>
      </c>
      <c r="J17" s="564">
        <v>1.8264840182648401E-3</v>
      </c>
      <c r="K17" s="564">
        <v>1.906392694063927E-2</v>
      </c>
      <c r="L17" s="564">
        <v>0</v>
      </c>
      <c r="M17" s="564">
        <v>0</v>
      </c>
      <c r="N17" s="564">
        <v>0</v>
      </c>
      <c r="O17" s="564">
        <v>0</v>
      </c>
      <c r="P17" s="564">
        <v>0</v>
      </c>
      <c r="Q17" s="564">
        <v>0</v>
      </c>
      <c r="R17" s="564">
        <v>0</v>
      </c>
      <c r="S17" s="564">
        <v>0</v>
      </c>
      <c r="T17" s="564">
        <v>0</v>
      </c>
      <c r="U17" s="564">
        <v>0</v>
      </c>
      <c r="V17" s="564">
        <v>0</v>
      </c>
      <c r="W17" s="564">
        <v>0</v>
      </c>
      <c r="X17" s="564">
        <v>0</v>
      </c>
      <c r="Z17" s="655" cm="1">
        <f t="array" ref="Z17">INDEX(H17:X17,1,$B$30)</f>
        <v>0</v>
      </c>
      <c r="AH17">
        <v>0</v>
      </c>
      <c r="AI17">
        <v>0</v>
      </c>
      <c r="AJ17">
        <v>1.8264840182648401E-3</v>
      </c>
      <c r="AK17">
        <v>1.906392694063927E-2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2:44" x14ac:dyDescent="0.15">
      <c r="B18" t="str" cm="1">
        <f t="array" ref="B18">INDEX('Kirjasto (kaupungit)_ENT'!$D$4:$K$23,12,'Kirjasto (kaupungit)_ENT'!$B$4)</f>
        <v>POL - Gdansk</v>
      </c>
      <c r="G18" s="565">
        <v>-26</v>
      </c>
      <c r="H18" s="564">
        <v>0</v>
      </c>
      <c r="I18" s="564">
        <v>3.4246575342465754E-4</v>
      </c>
      <c r="J18" s="564">
        <v>2.625570776255708E-3</v>
      </c>
      <c r="K18" s="564">
        <v>2.2488584474885845E-2</v>
      </c>
      <c r="L18" s="564">
        <v>0</v>
      </c>
      <c r="M18" s="564">
        <v>0</v>
      </c>
      <c r="N18" s="564">
        <v>0</v>
      </c>
      <c r="O18" s="564">
        <v>0</v>
      </c>
      <c r="P18" s="564">
        <v>0</v>
      </c>
      <c r="Q18" s="564">
        <v>0</v>
      </c>
      <c r="R18" s="564">
        <v>0</v>
      </c>
      <c r="S18" s="564">
        <v>0</v>
      </c>
      <c r="T18" s="564">
        <v>0</v>
      </c>
      <c r="U18" s="564">
        <v>0</v>
      </c>
      <c r="V18" s="564">
        <v>0</v>
      </c>
      <c r="W18" s="564">
        <v>0</v>
      </c>
      <c r="X18" s="564">
        <v>0</v>
      </c>
      <c r="Z18" s="655" cm="1">
        <f t="array" ref="Z18">INDEX(H18:X18,1,$B$30)</f>
        <v>0</v>
      </c>
      <c r="AH18">
        <v>0</v>
      </c>
      <c r="AI18">
        <v>3.4246575342465754E-4</v>
      </c>
      <c r="AJ18">
        <v>2.625570776255708E-3</v>
      </c>
      <c r="AK18">
        <v>2.2488584474885845E-2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2:44" x14ac:dyDescent="0.15">
      <c r="B19" t="str" cm="1">
        <f t="array" ref="B19">INDEX('Kirjasto (kaupungit)_ENT'!$D$4:$K$23,13,'Kirjasto (kaupungit)_ENT'!$B$4)</f>
        <v>ISL - Reykjavík</v>
      </c>
      <c r="G19" s="565">
        <v>-25</v>
      </c>
      <c r="H19" s="564">
        <v>0</v>
      </c>
      <c r="I19" s="564">
        <v>9.1324200913242006E-4</v>
      </c>
      <c r="J19" s="564">
        <v>3.8812785388127853E-3</v>
      </c>
      <c r="K19" s="564">
        <v>2.7397260273972601E-2</v>
      </c>
      <c r="L19" s="564">
        <v>0</v>
      </c>
      <c r="M19" s="564">
        <v>0</v>
      </c>
      <c r="N19" s="564">
        <v>0</v>
      </c>
      <c r="O19" s="564">
        <v>0</v>
      </c>
      <c r="P19" s="564">
        <v>0</v>
      </c>
      <c r="Q19" s="564">
        <v>0</v>
      </c>
      <c r="R19" s="564">
        <v>0</v>
      </c>
      <c r="S19" s="564">
        <v>0</v>
      </c>
      <c r="T19" s="564">
        <v>0</v>
      </c>
      <c r="U19" s="564">
        <v>0</v>
      </c>
      <c r="V19" s="564">
        <v>0</v>
      </c>
      <c r="W19" s="564">
        <v>0</v>
      </c>
      <c r="X19" s="564">
        <v>0</v>
      </c>
      <c r="Z19" s="655" cm="1">
        <f t="array" ref="Z19">INDEX(H19:X19,1,$B$30)</f>
        <v>0</v>
      </c>
      <c r="AH19">
        <v>0</v>
      </c>
      <c r="AI19">
        <v>9.1324200913242006E-4</v>
      </c>
      <c r="AJ19">
        <v>3.8812785388127853E-3</v>
      </c>
      <c r="AK19">
        <v>2.7397260273972601E-2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2:44" x14ac:dyDescent="0.15">
      <c r="B20" t="str" cm="1">
        <f t="array" ref="B20">INDEX('Kirjasto (kaupungit)_ENT'!$D$4:$K$23,14,'Kirjasto (kaupungit)_ENT'!$B$4)</f>
        <v>ROU - Bucharest</v>
      </c>
      <c r="G20" s="565">
        <v>-24</v>
      </c>
      <c r="H20" s="564">
        <v>1.1415525114155251E-4</v>
      </c>
      <c r="I20" s="564">
        <v>1.3698630136986301E-3</v>
      </c>
      <c r="J20" s="564">
        <v>5.8219178082191785E-3</v>
      </c>
      <c r="K20" s="564">
        <v>3.093607305936073E-2</v>
      </c>
      <c r="L20" s="564">
        <v>0</v>
      </c>
      <c r="M20" s="564">
        <v>0</v>
      </c>
      <c r="N20" s="564">
        <v>0</v>
      </c>
      <c r="O20" s="564">
        <v>0</v>
      </c>
      <c r="P20" s="564">
        <v>1.1415525114155251E-4</v>
      </c>
      <c r="Q20" s="564">
        <v>0</v>
      </c>
      <c r="R20" s="564">
        <v>0</v>
      </c>
      <c r="S20" s="564">
        <v>0</v>
      </c>
      <c r="T20" s="564">
        <v>0</v>
      </c>
      <c r="U20" s="564">
        <v>0</v>
      </c>
      <c r="V20" s="564">
        <v>0</v>
      </c>
      <c r="W20" s="564">
        <v>0</v>
      </c>
      <c r="X20" s="564">
        <v>0</v>
      </c>
      <c r="Z20" s="655" cm="1">
        <f t="array" ref="Z20">INDEX(H20:X20,1,$B$30)</f>
        <v>0</v>
      </c>
      <c r="AH20">
        <v>1.1415525114155251E-4</v>
      </c>
      <c r="AI20">
        <v>1.3698630136986301E-3</v>
      </c>
      <c r="AJ20">
        <v>5.8219178082191785E-3</v>
      </c>
      <c r="AK20">
        <v>3.093607305936073E-2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2:44" x14ac:dyDescent="0.15">
      <c r="B21" t="str" cm="1">
        <f t="array" ref="B21">INDEX('Kirjasto (kaupungit)_ENT'!$D$4:$K$23,7,'Kirjasto (kaupungit)_ENT'!$B$4)</f>
        <v>EST - Tallinn</v>
      </c>
      <c r="G21" s="565">
        <v>-23</v>
      </c>
      <c r="H21" s="564">
        <v>3.4246575342465754E-4</v>
      </c>
      <c r="I21" s="564">
        <v>2.3972602739726029E-3</v>
      </c>
      <c r="J21" s="564">
        <v>7.3059360730593605E-3</v>
      </c>
      <c r="K21" s="564">
        <v>3.4018264840182645E-2</v>
      </c>
      <c r="L21" s="564">
        <v>0</v>
      </c>
      <c r="M21" s="564">
        <v>0</v>
      </c>
      <c r="N21" s="564">
        <v>0</v>
      </c>
      <c r="O21" s="564">
        <v>0</v>
      </c>
      <c r="P21" s="564">
        <v>1.1415525114155251E-3</v>
      </c>
      <c r="Q21" s="564">
        <v>0</v>
      </c>
      <c r="R21" s="564">
        <v>0</v>
      </c>
      <c r="S21" s="564">
        <v>0</v>
      </c>
      <c r="T21" s="564">
        <v>0</v>
      </c>
      <c r="U21" s="564">
        <v>0</v>
      </c>
      <c r="V21" s="564">
        <v>0</v>
      </c>
      <c r="W21" s="564">
        <v>0</v>
      </c>
      <c r="X21" s="564">
        <v>0</v>
      </c>
      <c r="Z21" s="655" cm="1">
        <f t="array" ref="Z21">INDEX(H21:X21,1,$B$30)</f>
        <v>0</v>
      </c>
      <c r="AH21">
        <v>3.4246575342465754E-4</v>
      </c>
      <c r="AI21">
        <v>2.3972602739726029E-3</v>
      </c>
      <c r="AJ21">
        <v>7.3059360730593605E-3</v>
      </c>
      <c r="AK21">
        <v>3.4018264840182645E-2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2:44" x14ac:dyDescent="0.15">
      <c r="B22" t="str" cm="1">
        <f t="array" ref="B22">INDEX('Kirjasto (kaupungit)_ENT'!$D$4:$K$23,16,'Kirjasto (kaupungit)_ENT'!$B$4)</f>
        <v>DEN - Copenhagen</v>
      </c>
      <c r="G22" s="565">
        <v>-22</v>
      </c>
      <c r="H22" s="564">
        <v>5.7077625570776253E-4</v>
      </c>
      <c r="I22" s="564">
        <v>2.9680365296803654E-3</v>
      </c>
      <c r="J22" s="564">
        <v>8.3333333333333332E-3</v>
      </c>
      <c r="K22" s="564">
        <v>4.1095890410958902E-2</v>
      </c>
      <c r="L22" s="564">
        <v>0</v>
      </c>
      <c r="M22" s="564">
        <v>0</v>
      </c>
      <c r="N22" s="564">
        <v>0</v>
      </c>
      <c r="O22" s="564">
        <v>0</v>
      </c>
      <c r="P22" s="564">
        <v>2.2831050228310501E-3</v>
      </c>
      <c r="Q22" s="564">
        <v>0</v>
      </c>
      <c r="R22" s="564">
        <v>0</v>
      </c>
      <c r="S22" s="564">
        <v>0</v>
      </c>
      <c r="T22" s="564">
        <v>0</v>
      </c>
      <c r="U22" s="564">
        <v>0</v>
      </c>
      <c r="V22" s="564">
        <v>0</v>
      </c>
      <c r="W22" s="564">
        <v>0</v>
      </c>
      <c r="X22" s="564">
        <v>0</v>
      </c>
      <c r="Z22" s="655" cm="1">
        <f t="array" ref="Z22">INDEX(H22:X22,1,$B$30)</f>
        <v>0</v>
      </c>
      <c r="AH22">
        <v>5.7077625570776253E-4</v>
      </c>
      <c r="AI22">
        <v>2.9680365296803654E-3</v>
      </c>
      <c r="AJ22">
        <v>8.3333333333333332E-3</v>
      </c>
      <c r="AK22">
        <v>4.1095890410958902E-2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2:44" x14ac:dyDescent="0.15">
      <c r="B23" t="str" cm="1">
        <f t="array" ref="B23">INDEX('Kirjasto (kaupungit)_ENT'!$D$4:$K$23,17,'Kirjasto (kaupungit)_ENT'!$B$4)</f>
        <v>GER - Berlin</v>
      </c>
      <c r="G23" s="565">
        <v>-21</v>
      </c>
      <c r="H23" s="564">
        <v>1.1415525114155251E-3</v>
      </c>
      <c r="I23" s="564">
        <v>4.5662100456621002E-3</v>
      </c>
      <c r="J23" s="564">
        <v>1.0616438356164383E-2</v>
      </c>
      <c r="K23" s="564">
        <v>4.8059360730593609E-2</v>
      </c>
      <c r="L23" s="564">
        <v>0</v>
      </c>
      <c r="M23" s="564">
        <v>0</v>
      </c>
      <c r="N23" s="564">
        <v>0</v>
      </c>
      <c r="O23" s="564">
        <v>0</v>
      </c>
      <c r="P23" s="564">
        <v>3.3105022831050228E-3</v>
      </c>
      <c r="Q23" s="564">
        <v>0</v>
      </c>
      <c r="R23" s="564">
        <v>0</v>
      </c>
      <c r="S23" s="564">
        <v>0</v>
      </c>
      <c r="T23" s="564">
        <v>0</v>
      </c>
      <c r="U23" s="564">
        <v>0</v>
      </c>
      <c r="V23" s="564">
        <v>0</v>
      </c>
      <c r="W23" s="564">
        <v>0</v>
      </c>
      <c r="X23" s="564">
        <v>0</v>
      </c>
      <c r="Z23" s="655" cm="1">
        <f t="array" ref="Z23">INDEX(H23:X23,1,$B$30)</f>
        <v>0</v>
      </c>
      <c r="AH23">
        <v>1.1415525114155251E-3</v>
      </c>
      <c r="AI23">
        <v>4.5662100456621002E-3</v>
      </c>
      <c r="AJ23">
        <v>1.0616438356164383E-2</v>
      </c>
      <c r="AK23">
        <v>4.8059360730593609E-2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2:44" x14ac:dyDescent="0.15">
      <c r="G24" s="565">
        <v>-20</v>
      </c>
      <c r="H24" s="564">
        <v>2.8538812785388126E-3</v>
      </c>
      <c r="I24" s="564">
        <v>5.8219178082191785E-3</v>
      </c>
      <c r="J24" s="564">
        <v>1.2671232876712329E-2</v>
      </c>
      <c r="K24" s="564">
        <v>5.5251141552511415E-2</v>
      </c>
      <c r="L24" s="564">
        <v>0</v>
      </c>
      <c r="M24" s="564">
        <v>0</v>
      </c>
      <c r="N24" s="564">
        <v>0</v>
      </c>
      <c r="O24" s="564">
        <v>0</v>
      </c>
      <c r="P24" s="564">
        <v>5.5936073059360729E-3</v>
      </c>
      <c r="Q24" s="564">
        <v>0</v>
      </c>
      <c r="R24" s="564">
        <v>0</v>
      </c>
      <c r="S24" s="564">
        <v>0</v>
      </c>
      <c r="T24" s="564">
        <v>0</v>
      </c>
      <c r="U24" s="564">
        <v>0</v>
      </c>
      <c r="V24" s="564">
        <v>0</v>
      </c>
      <c r="W24" s="564">
        <v>0</v>
      </c>
      <c r="X24" s="564">
        <v>0</v>
      </c>
      <c r="Z24" s="655" cm="1">
        <f t="array" ref="Z24">INDEX(H24:X24,1,$B$30)</f>
        <v>0</v>
      </c>
      <c r="AH24">
        <v>2.8538812785388126E-3</v>
      </c>
      <c r="AI24">
        <v>5.8219178082191785E-3</v>
      </c>
      <c r="AJ24">
        <v>1.2671232876712329E-2</v>
      </c>
      <c r="AK24">
        <v>5.5251141552511415E-2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2:44" x14ac:dyDescent="0.15">
      <c r="G25" s="565">
        <v>-19</v>
      </c>
      <c r="H25" s="564">
        <v>5.3652968036529683E-3</v>
      </c>
      <c r="I25" s="564">
        <v>7.7625570776255707E-3</v>
      </c>
      <c r="J25" s="564">
        <v>1.6552511415525113E-2</v>
      </c>
      <c r="K25" s="564">
        <v>6.2557077625570778E-2</v>
      </c>
      <c r="L25" s="564">
        <v>0</v>
      </c>
      <c r="M25" s="564">
        <v>0</v>
      </c>
      <c r="N25" s="564">
        <v>0</v>
      </c>
      <c r="O25" s="564">
        <v>3.4246575342465754E-4</v>
      </c>
      <c r="P25" s="564">
        <v>6.392694063926941E-3</v>
      </c>
      <c r="Q25" s="564">
        <v>0</v>
      </c>
      <c r="R25" s="564">
        <v>0</v>
      </c>
      <c r="S25" s="564">
        <v>0</v>
      </c>
      <c r="T25" s="564">
        <v>0</v>
      </c>
      <c r="U25" s="564">
        <v>0</v>
      </c>
      <c r="V25" s="564">
        <v>0</v>
      </c>
      <c r="W25" s="564">
        <v>0</v>
      </c>
      <c r="X25" s="564">
        <v>0</v>
      </c>
      <c r="Z25" s="655" cm="1">
        <f t="array" ref="Z25">INDEX(H25:X25,1,$B$30)</f>
        <v>0</v>
      </c>
      <c r="AH25">
        <v>5.3652968036529683E-3</v>
      </c>
      <c r="AI25">
        <v>7.7625570776255707E-3</v>
      </c>
      <c r="AJ25">
        <v>1.6552511415525113E-2</v>
      </c>
      <c r="AK25">
        <v>6.2557077625570778E-2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2:44" x14ac:dyDescent="0.15">
      <c r="G26" s="565">
        <v>-18</v>
      </c>
      <c r="H26" s="564">
        <v>7.0776255707762558E-3</v>
      </c>
      <c r="I26" s="564">
        <v>1.0045662100456621E-2</v>
      </c>
      <c r="J26" s="564">
        <v>1.8949771689497717E-2</v>
      </c>
      <c r="K26" s="564">
        <v>6.803652968036529E-2</v>
      </c>
      <c r="L26" s="564">
        <v>0</v>
      </c>
      <c r="M26" s="564">
        <v>0</v>
      </c>
      <c r="N26" s="564">
        <v>4.5662100456621003E-4</v>
      </c>
      <c r="O26" s="564">
        <v>2.5114155251141552E-3</v>
      </c>
      <c r="P26" s="564">
        <v>7.0776255707762558E-3</v>
      </c>
      <c r="Q26" s="564">
        <v>3.4246575342465754E-4</v>
      </c>
      <c r="R26" s="564">
        <v>0</v>
      </c>
      <c r="S26" s="564">
        <v>0</v>
      </c>
      <c r="T26" s="564">
        <v>0</v>
      </c>
      <c r="U26" s="564">
        <v>0</v>
      </c>
      <c r="V26" s="564">
        <v>0</v>
      </c>
      <c r="W26" s="564">
        <v>0</v>
      </c>
      <c r="X26" s="564">
        <v>0</v>
      </c>
      <c r="Z26" s="655" cm="1">
        <f t="array" ref="Z26">INDEX(H26:X26,1,$B$30)</f>
        <v>0</v>
      </c>
      <c r="AH26">
        <v>7.0776255707762558E-3</v>
      </c>
      <c r="AI26">
        <v>1.0045662100456621E-2</v>
      </c>
      <c r="AJ26">
        <v>1.8949771689497717E-2</v>
      </c>
      <c r="AK26">
        <v>6.803652968036529E-2</v>
      </c>
      <c r="AL26">
        <v>0</v>
      </c>
      <c r="AM26">
        <v>4.5662100456621003E-4</v>
      </c>
      <c r="AN26">
        <v>0</v>
      </c>
      <c r="AO26">
        <v>3.4246575342465754E-4</v>
      </c>
      <c r="AP26">
        <v>0</v>
      </c>
      <c r="AQ26">
        <v>0</v>
      </c>
      <c r="AR26">
        <v>0</v>
      </c>
    </row>
    <row r="27" spans="2:44" x14ac:dyDescent="0.15">
      <c r="B27">
        <v>8</v>
      </c>
      <c r="C27" t="s">
        <v>1182</v>
      </c>
      <c r="G27" s="565">
        <v>-17</v>
      </c>
      <c r="H27" s="564">
        <v>9.2465753424657536E-3</v>
      </c>
      <c r="I27" s="564">
        <v>1.3127853881278538E-2</v>
      </c>
      <c r="J27" s="564">
        <v>2.3287671232876714E-2</v>
      </c>
      <c r="K27" s="564">
        <v>7.4543378995433784E-2</v>
      </c>
      <c r="L27" s="564">
        <v>0</v>
      </c>
      <c r="M27" s="564">
        <v>0</v>
      </c>
      <c r="N27" s="564">
        <v>1.8264840182648401E-3</v>
      </c>
      <c r="O27" s="564">
        <v>3.6529680365296802E-3</v>
      </c>
      <c r="P27" s="564">
        <v>7.9908675799086754E-3</v>
      </c>
      <c r="Q27" s="564">
        <v>1.0273972602739725E-3</v>
      </c>
      <c r="R27" s="564">
        <v>1.1415525114155251E-4</v>
      </c>
      <c r="S27" s="564">
        <v>0</v>
      </c>
      <c r="T27" s="564">
        <v>0</v>
      </c>
      <c r="U27" s="564">
        <v>0</v>
      </c>
      <c r="V27" s="564">
        <v>2.2831050228310502E-4</v>
      </c>
      <c r="W27" s="564">
        <v>0</v>
      </c>
      <c r="X27" s="564">
        <v>0</v>
      </c>
      <c r="Z27" s="655" cm="1">
        <f t="array" ref="Z27">INDEX(H27:X27,1,$B$30)</f>
        <v>2.2831050228310502E-4</v>
      </c>
      <c r="AH27">
        <v>9.2465753424657536E-3</v>
      </c>
      <c r="AI27">
        <v>1.3127853881278538E-2</v>
      </c>
      <c r="AJ27">
        <v>2.3287671232876714E-2</v>
      </c>
      <c r="AK27">
        <v>7.4543378995433784E-2</v>
      </c>
      <c r="AL27">
        <v>2.2831050228310502E-4</v>
      </c>
      <c r="AM27">
        <v>1.8264840182648401E-3</v>
      </c>
      <c r="AN27">
        <v>0</v>
      </c>
      <c r="AO27">
        <v>1.0273972602739725E-3</v>
      </c>
      <c r="AP27">
        <v>0</v>
      </c>
      <c r="AQ27">
        <v>0</v>
      </c>
      <c r="AR27">
        <v>0</v>
      </c>
    </row>
    <row r="28" spans="2:44" x14ac:dyDescent="0.15">
      <c r="B28" s="278">
        <f>IF(AND(B2,B27&gt;E2),E2,B27)</f>
        <v>8</v>
      </c>
      <c r="C28" t="s">
        <v>1183</v>
      </c>
      <c r="G28" s="565">
        <v>-16</v>
      </c>
      <c r="H28" s="564">
        <v>1.1872146118721462E-2</v>
      </c>
      <c r="I28" s="564">
        <v>1.8264840182648401E-2</v>
      </c>
      <c r="J28" s="564">
        <v>2.8538812785388126E-2</v>
      </c>
      <c r="K28" s="564">
        <v>8.1621004566210048E-2</v>
      </c>
      <c r="L28" s="564">
        <v>0</v>
      </c>
      <c r="M28" s="564">
        <v>2.2831050228310502E-4</v>
      </c>
      <c r="N28" s="564">
        <v>3.767123287671233E-3</v>
      </c>
      <c r="O28" s="564">
        <v>9.8173515981735161E-3</v>
      </c>
      <c r="P28" s="564">
        <v>1.1301369863013699E-2</v>
      </c>
      <c r="Q28" s="564">
        <v>2.054794520547945E-3</v>
      </c>
      <c r="R28" s="564">
        <v>1.8264840182648401E-3</v>
      </c>
      <c r="S28" s="564">
        <v>0</v>
      </c>
      <c r="T28" s="564">
        <v>0</v>
      </c>
      <c r="U28" s="564">
        <v>0</v>
      </c>
      <c r="V28" s="564">
        <v>1.2557077625570776E-3</v>
      </c>
      <c r="W28" s="564">
        <v>0</v>
      </c>
      <c r="X28" s="564">
        <v>0</v>
      </c>
      <c r="Z28" s="655" cm="1">
        <f t="array" ref="Z28">INDEX(H28:X28,1,$B$30)</f>
        <v>1.2557077625570776E-3</v>
      </c>
      <c r="AH28">
        <v>1.1872146118721462E-2</v>
      </c>
      <c r="AI28">
        <v>1.8264840182648401E-2</v>
      </c>
      <c r="AJ28">
        <v>2.8538812785388126E-2</v>
      </c>
      <c r="AK28">
        <v>8.1621004566210048E-2</v>
      </c>
      <c r="AL28">
        <v>1.2557077625570776E-3</v>
      </c>
      <c r="AM28">
        <v>3.767123287671233E-3</v>
      </c>
      <c r="AN28">
        <v>0</v>
      </c>
      <c r="AO28">
        <v>2.054794520547945E-3</v>
      </c>
      <c r="AP28">
        <v>0</v>
      </c>
      <c r="AQ28">
        <v>0</v>
      </c>
      <c r="AR28">
        <v>0</v>
      </c>
    </row>
    <row r="29" spans="2:44" x14ac:dyDescent="0.15">
      <c r="G29" s="565">
        <v>-15</v>
      </c>
      <c r="H29" s="564">
        <v>1.632420091324201E-2</v>
      </c>
      <c r="I29" s="564">
        <v>2.3287671232876714E-2</v>
      </c>
      <c r="J29" s="564">
        <v>3.5844748858447489E-2</v>
      </c>
      <c r="K29" s="564">
        <v>9.0981735159817348E-2</v>
      </c>
      <c r="L29" s="564">
        <v>0</v>
      </c>
      <c r="M29" s="564">
        <v>2.1689497716894978E-3</v>
      </c>
      <c r="N29" s="564">
        <v>6.392694063926941E-3</v>
      </c>
      <c r="O29" s="564">
        <v>1.2442922374429224E-2</v>
      </c>
      <c r="P29" s="564">
        <v>1.3470319634703196E-2</v>
      </c>
      <c r="Q29" s="564">
        <v>3.767123287671233E-3</v>
      </c>
      <c r="R29" s="564">
        <v>3.4246575342465752E-3</v>
      </c>
      <c r="S29" s="564">
        <v>0</v>
      </c>
      <c r="T29" s="564">
        <v>0</v>
      </c>
      <c r="U29" s="564">
        <v>0</v>
      </c>
      <c r="V29" s="564">
        <v>4.7945205479452057E-3</v>
      </c>
      <c r="W29" s="564">
        <v>0</v>
      </c>
      <c r="X29" s="564">
        <v>1.1415525114155251E-4</v>
      </c>
      <c r="Z29" s="655" cm="1">
        <f t="array" ref="Z29">INDEX(H29:X29,1,$B$30)</f>
        <v>4.7945205479452057E-3</v>
      </c>
      <c r="AH29">
        <v>1.632420091324201E-2</v>
      </c>
      <c r="AI29">
        <v>2.3287671232876714E-2</v>
      </c>
      <c r="AJ29">
        <v>3.5844748858447489E-2</v>
      </c>
      <c r="AK29">
        <v>9.0981735159817348E-2</v>
      </c>
      <c r="AL29">
        <v>4.7945205479452057E-3</v>
      </c>
      <c r="AM29">
        <v>6.392694063926941E-3</v>
      </c>
      <c r="AN29">
        <v>0</v>
      </c>
      <c r="AO29">
        <v>3.767123287671233E-3</v>
      </c>
      <c r="AP29">
        <v>1.1415525114155251E-4</v>
      </c>
      <c r="AQ29">
        <v>0</v>
      </c>
      <c r="AR29">
        <v>0</v>
      </c>
    </row>
    <row r="30" spans="2:44" x14ac:dyDescent="0.15">
      <c r="B30">
        <f>IF($B$2,B28,B28+D3)</f>
        <v>15</v>
      </c>
      <c r="C30" t="s">
        <v>1184</v>
      </c>
      <c r="G30" s="565">
        <v>-14</v>
      </c>
      <c r="H30" s="564">
        <v>2.1917808219178082E-2</v>
      </c>
      <c r="I30" s="564">
        <v>2.9794520547945205E-2</v>
      </c>
      <c r="J30" s="564">
        <v>4.3493150684931509E-2</v>
      </c>
      <c r="K30" s="564">
        <v>0.10422374429223745</v>
      </c>
      <c r="L30" s="564">
        <v>0</v>
      </c>
      <c r="M30" s="564">
        <v>2.5114155251141552E-3</v>
      </c>
      <c r="N30" s="564">
        <v>7.4200913242009128E-3</v>
      </c>
      <c r="O30" s="564">
        <v>1.3926940639269407E-2</v>
      </c>
      <c r="P30" s="564">
        <v>1.5639269406392695E-2</v>
      </c>
      <c r="Q30" s="564">
        <v>4.7945205479452057E-3</v>
      </c>
      <c r="R30" s="564">
        <v>4.4520547945205479E-3</v>
      </c>
      <c r="S30" s="564">
        <v>0</v>
      </c>
      <c r="T30" s="564">
        <v>0</v>
      </c>
      <c r="U30" s="564">
        <v>0</v>
      </c>
      <c r="V30" s="564">
        <v>6.8493150684931503E-3</v>
      </c>
      <c r="W30" s="564">
        <v>0</v>
      </c>
      <c r="X30" s="564">
        <v>6.8493150684931507E-4</v>
      </c>
      <c r="Z30" s="655" cm="1">
        <f t="array" ref="Z30">INDEX(H30:X30,1,$B$30)</f>
        <v>6.8493150684931503E-3</v>
      </c>
      <c r="AH30">
        <v>2.1917808219178082E-2</v>
      </c>
      <c r="AI30">
        <v>2.9794520547945205E-2</v>
      </c>
      <c r="AJ30">
        <v>4.3493150684931509E-2</v>
      </c>
      <c r="AK30">
        <v>0.10422374429223745</v>
      </c>
      <c r="AL30">
        <v>6.8493150684931503E-3</v>
      </c>
      <c r="AM30">
        <v>7.4200913242009128E-3</v>
      </c>
      <c r="AN30">
        <v>0</v>
      </c>
      <c r="AO30">
        <v>4.7945205479452057E-3</v>
      </c>
      <c r="AP30">
        <v>6.8493150684931507E-4</v>
      </c>
      <c r="AQ30">
        <v>0</v>
      </c>
      <c r="AR30">
        <v>0</v>
      </c>
    </row>
    <row r="31" spans="2:44" x14ac:dyDescent="0.15">
      <c r="B31" t="str" cm="1">
        <f t="array" ref="B31">INDEX(H3:X3,1,B30)</f>
        <v>EST - Tallinn</v>
      </c>
      <c r="C31" t="s">
        <v>1185</v>
      </c>
      <c r="G31" s="565">
        <v>-13</v>
      </c>
      <c r="H31" s="564">
        <v>2.8652968036529679E-2</v>
      </c>
      <c r="I31" s="564">
        <v>3.6529680365296802E-2</v>
      </c>
      <c r="J31" s="564">
        <v>5.1598173515981734E-2</v>
      </c>
      <c r="K31" s="564">
        <v>0.11746575342465754</v>
      </c>
      <c r="L31" s="564">
        <v>0</v>
      </c>
      <c r="M31" s="564">
        <v>3.5388127853881279E-3</v>
      </c>
      <c r="N31" s="564">
        <v>1.1301369863013699E-2</v>
      </c>
      <c r="O31" s="564">
        <v>1.6210045662100457E-2</v>
      </c>
      <c r="P31" s="564">
        <v>2.0205479452054795E-2</v>
      </c>
      <c r="Q31" s="564">
        <v>6.735159817351598E-3</v>
      </c>
      <c r="R31" s="564">
        <v>7.534246575342466E-3</v>
      </c>
      <c r="S31" s="564">
        <v>0</v>
      </c>
      <c r="T31" s="564">
        <v>0</v>
      </c>
      <c r="U31" s="564">
        <v>6.8493150684931507E-4</v>
      </c>
      <c r="V31" s="564">
        <v>1.2557077625570776E-2</v>
      </c>
      <c r="W31" s="564">
        <v>0</v>
      </c>
      <c r="X31" s="564">
        <v>1.5981735159817352E-3</v>
      </c>
      <c r="Z31" s="655" cm="1">
        <f t="array" ref="Z31">INDEX(H31:X31,1,$B$30)</f>
        <v>1.2557077625570776E-2</v>
      </c>
      <c r="AH31">
        <v>2.8652968036529679E-2</v>
      </c>
      <c r="AI31">
        <v>3.6529680365296802E-2</v>
      </c>
      <c r="AJ31">
        <v>5.1598173515981734E-2</v>
      </c>
      <c r="AK31">
        <v>0.11746575342465754</v>
      </c>
      <c r="AL31">
        <v>1.2557077625570776E-2</v>
      </c>
      <c r="AM31">
        <v>1.1301369863013699E-2</v>
      </c>
      <c r="AN31">
        <v>0</v>
      </c>
      <c r="AO31">
        <v>6.735159817351598E-3</v>
      </c>
      <c r="AP31">
        <v>1.5981735159817352E-3</v>
      </c>
      <c r="AQ31">
        <v>0</v>
      </c>
      <c r="AR31">
        <v>6.8493150684931507E-4</v>
      </c>
    </row>
    <row r="32" spans="2:44" x14ac:dyDescent="0.15">
      <c r="G32" s="565">
        <v>-12</v>
      </c>
      <c r="H32" s="564">
        <v>3.4589041095890408E-2</v>
      </c>
      <c r="I32" s="564">
        <v>4.1324200913242008E-2</v>
      </c>
      <c r="J32" s="564">
        <v>6.095890410958904E-2</v>
      </c>
      <c r="K32" s="564">
        <v>0.13344748858447489</v>
      </c>
      <c r="L32" s="564">
        <v>3.4246575342465754E-4</v>
      </c>
      <c r="M32" s="564">
        <v>7.3059360730593605E-3</v>
      </c>
      <c r="N32" s="564">
        <v>1.4041095890410958E-2</v>
      </c>
      <c r="O32" s="564">
        <v>1.9863013698630139E-2</v>
      </c>
      <c r="P32" s="564">
        <v>2.8995433789954339E-2</v>
      </c>
      <c r="Q32" s="564">
        <v>9.7031963470319629E-3</v>
      </c>
      <c r="R32" s="564">
        <v>1.0159817351598174E-2</v>
      </c>
      <c r="S32" s="564">
        <v>3.4246575342465754E-4</v>
      </c>
      <c r="T32" s="564">
        <v>0</v>
      </c>
      <c r="U32" s="564">
        <v>5.0228310502283104E-3</v>
      </c>
      <c r="V32" s="564">
        <v>1.9748858447488585E-2</v>
      </c>
      <c r="W32" s="564">
        <v>0</v>
      </c>
      <c r="X32" s="564">
        <v>3.767123287671233E-3</v>
      </c>
      <c r="Z32" s="655" cm="1">
        <f t="array" ref="Z32">INDEX(H32:X32,1,$B$30)</f>
        <v>1.9748858447488585E-2</v>
      </c>
      <c r="AH32">
        <v>3.4589041095890408E-2</v>
      </c>
      <c r="AI32">
        <v>4.1324200913242008E-2</v>
      </c>
      <c r="AJ32">
        <v>6.095890410958904E-2</v>
      </c>
      <c r="AK32">
        <v>0.13344748858447489</v>
      </c>
      <c r="AL32">
        <v>1.9748858447488585E-2</v>
      </c>
      <c r="AM32">
        <v>1.4041095890410958E-2</v>
      </c>
      <c r="AN32">
        <v>0</v>
      </c>
      <c r="AO32">
        <v>9.7031963470319629E-3</v>
      </c>
      <c r="AP32">
        <v>3.767123287671233E-3</v>
      </c>
      <c r="AQ32">
        <v>0</v>
      </c>
      <c r="AR32">
        <v>5.0228310502283104E-3</v>
      </c>
    </row>
    <row r="33" spans="7:44" x14ac:dyDescent="0.15">
      <c r="G33" s="565">
        <v>-11</v>
      </c>
      <c r="H33" s="564">
        <v>4.0639269406392696E-2</v>
      </c>
      <c r="I33" s="564">
        <v>4.8401826484018265E-2</v>
      </c>
      <c r="J33" s="564">
        <v>7.1575342465753422E-2</v>
      </c>
      <c r="K33" s="564">
        <v>0.15136986301369862</v>
      </c>
      <c r="L33" s="564">
        <v>1.3698630136986301E-3</v>
      </c>
      <c r="M33" s="564">
        <v>1.2671232876712329E-2</v>
      </c>
      <c r="N33" s="564">
        <v>1.872146118721461E-2</v>
      </c>
      <c r="O33" s="564">
        <v>2.9109589041095889E-2</v>
      </c>
      <c r="P33" s="564">
        <v>3.6073059360730596E-2</v>
      </c>
      <c r="Q33" s="564">
        <v>1.3356164383561644E-2</v>
      </c>
      <c r="R33" s="564">
        <v>1.3812785388127854E-2</v>
      </c>
      <c r="S33" s="564">
        <v>1.3698630136986301E-3</v>
      </c>
      <c r="T33" s="564">
        <v>1.2557077625570776E-3</v>
      </c>
      <c r="U33" s="564">
        <v>1.0273972602739725E-2</v>
      </c>
      <c r="V33" s="564">
        <v>2.9223744292237442E-2</v>
      </c>
      <c r="W33" s="564">
        <v>0</v>
      </c>
      <c r="X33" s="564">
        <v>5.4794520547945206E-3</v>
      </c>
      <c r="Z33" s="655" cm="1">
        <f t="array" ref="Z33">INDEX(H33:X33,1,$B$30)</f>
        <v>2.9223744292237442E-2</v>
      </c>
      <c r="AH33">
        <v>4.0639269406392696E-2</v>
      </c>
      <c r="AI33">
        <v>4.8401826484018265E-2</v>
      </c>
      <c r="AJ33">
        <v>7.1575342465753422E-2</v>
      </c>
      <c r="AK33">
        <v>0.15136986301369862</v>
      </c>
      <c r="AL33">
        <v>2.9223744292237442E-2</v>
      </c>
      <c r="AM33">
        <v>1.872146118721461E-2</v>
      </c>
      <c r="AN33">
        <v>0</v>
      </c>
      <c r="AO33">
        <v>1.3356164383561644E-2</v>
      </c>
      <c r="AP33">
        <v>5.4794520547945206E-3</v>
      </c>
      <c r="AQ33">
        <v>1.2557077625570776E-3</v>
      </c>
      <c r="AR33">
        <v>1.0273972602739725E-2</v>
      </c>
    </row>
    <row r="34" spans="7:44" x14ac:dyDescent="0.15">
      <c r="G34" s="565">
        <v>-10</v>
      </c>
      <c r="H34" s="564">
        <v>4.6575342465753428E-2</v>
      </c>
      <c r="I34" s="564">
        <v>5.6963470319634703E-2</v>
      </c>
      <c r="J34" s="564">
        <v>8.3105022831050229E-2</v>
      </c>
      <c r="K34" s="564">
        <v>0.16860730593607307</v>
      </c>
      <c r="L34" s="564">
        <v>4.9086757990867581E-3</v>
      </c>
      <c r="M34" s="564">
        <v>1.5753424657534248E-2</v>
      </c>
      <c r="N34" s="564">
        <v>2.1232876712328767E-2</v>
      </c>
      <c r="O34" s="564">
        <v>3.6415525114155252E-2</v>
      </c>
      <c r="P34" s="564">
        <v>4.5890410958904108E-2</v>
      </c>
      <c r="Q34" s="564">
        <v>1.8036529680365298E-2</v>
      </c>
      <c r="R34" s="564">
        <v>1.6552511415525113E-2</v>
      </c>
      <c r="S34" s="564">
        <v>4.9086757990867581E-3</v>
      </c>
      <c r="T34" s="564">
        <v>3.6529680365296802E-3</v>
      </c>
      <c r="U34" s="564">
        <v>1.3584474885844749E-2</v>
      </c>
      <c r="V34" s="564">
        <v>4.029680365296804E-2</v>
      </c>
      <c r="W34" s="564">
        <v>2.5114155251141552E-3</v>
      </c>
      <c r="X34" s="564">
        <v>8.1050228310502286E-3</v>
      </c>
      <c r="Z34" s="655" cm="1">
        <f t="array" ref="Z34">INDEX(H34:X34,1,$B$30)</f>
        <v>4.029680365296804E-2</v>
      </c>
      <c r="AH34">
        <v>4.6575342465753428E-2</v>
      </c>
      <c r="AI34">
        <v>5.6963470319634703E-2</v>
      </c>
      <c r="AJ34">
        <v>8.3105022831050229E-2</v>
      </c>
      <c r="AK34">
        <v>0.16860730593607307</v>
      </c>
      <c r="AL34">
        <v>4.029680365296804E-2</v>
      </c>
      <c r="AM34">
        <v>2.1232876712328767E-2</v>
      </c>
      <c r="AN34">
        <v>2.5114155251141552E-3</v>
      </c>
      <c r="AO34">
        <v>1.8036529680365298E-2</v>
      </c>
      <c r="AP34">
        <v>8.1050228310502286E-3</v>
      </c>
      <c r="AQ34">
        <v>3.6529680365296802E-3</v>
      </c>
      <c r="AR34">
        <v>1.3584474885844749E-2</v>
      </c>
    </row>
    <row r="35" spans="7:44" x14ac:dyDescent="0.15">
      <c r="G35" s="565">
        <v>-9</v>
      </c>
      <c r="H35" s="564">
        <v>5.4680365296803653E-2</v>
      </c>
      <c r="I35" s="564">
        <v>6.7351598173515978E-2</v>
      </c>
      <c r="J35" s="564">
        <v>9.7945205479452055E-2</v>
      </c>
      <c r="K35" s="564">
        <v>0.18630136986301371</v>
      </c>
      <c r="L35" s="564">
        <v>6.735159817351598E-3</v>
      </c>
      <c r="M35" s="564">
        <v>1.7579908675799085E-2</v>
      </c>
      <c r="N35" s="564">
        <v>2.3173515981735161E-2</v>
      </c>
      <c r="O35" s="564">
        <v>3.9497716894977171E-2</v>
      </c>
      <c r="P35" s="564">
        <v>5.2054794520547946E-2</v>
      </c>
      <c r="Q35" s="564">
        <v>2.0547945205479451E-2</v>
      </c>
      <c r="R35" s="564">
        <v>1.872146118721461E-2</v>
      </c>
      <c r="S35" s="564">
        <v>6.735159817351598E-3</v>
      </c>
      <c r="T35" s="564">
        <v>4.7945205479452057E-3</v>
      </c>
      <c r="U35" s="564">
        <v>1.5068493150684932E-2</v>
      </c>
      <c r="V35" s="564">
        <v>4.8744292237442921E-2</v>
      </c>
      <c r="W35" s="564">
        <v>3.0821917808219177E-3</v>
      </c>
      <c r="X35" s="564">
        <v>9.2465753424657536E-3</v>
      </c>
      <c r="Z35" s="655" cm="1">
        <f t="array" ref="Z35">INDEX(H35:X35,1,$B$30)</f>
        <v>4.8744292237442921E-2</v>
      </c>
      <c r="AH35">
        <v>5.4680365296803653E-2</v>
      </c>
      <c r="AI35">
        <v>6.7351598173515978E-2</v>
      </c>
      <c r="AJ35">
        <v>9.7945205479452055E-2</v>
      </c>
      <c r="AK35">
        <v>0.18630136986301371</v>
      </c>
      <c r="AL35">
        <v>4.8744292237442921E-2</v>
      </c>
      <c r="AM35">
        <v>2.3173515981735161E-2</v>
      </c>
      <c r="AN35">
        <v>3.0821917808219177E-3</v>
      </c>
      <c r="AO35">
        <v>2.0547945205479451E-2</v>
      </c>
      <c r="AP35">
        <v>9.2465753424657536E-3</v>
      </c>
      <c r="AQ35">
        <v>4.7945205479452057E-3</v>
      </c>
      <c r="AR35">
        <v>1.5068493150684932E-2</v>
      </c>
    </row>
    <row r="36" spans="7:44" x14ac:dyDescent="0.15">
      <c r="G36" s="565">
        <v>-8</v>
      </c>
      <c r="H36" s="564">
        <v>6.3356164383561647E-2</v>
      </c>
      <c r="I36" s="564">
        <v>7.6255707762557079E-2</v>
      </c>
      <c r="J36" s="564">
        <v>0.11666666666666667</v>
      </c>
      <c r="K36" s="564">
        <v>0.20091324200913241</v>
      </c>
      <c r="L36" s="564">
        <v>9.1324200913242004E-3</v>
      </c>
      <c r="M36" s="564">
        <v>2.363013698630137E-2</v>
      </c>
      <c r="N36" s="564">
        <v>3.0365296803652967E-2</v>
      </c>
      <c r="O36" s="564">
        <v>4.8401826484018265E-2</v>
      </c>
      <c r="P36" s="564">
        <v>6.7009132420091322E-2</v>
      </c>
      <c r="Q36" s="564">
        <v>2.5228310502283104E-2</v>
      </c>
      <c r="R36" s="564">
        <v>2.5684931506849314E-2</v>
      </c>
      <c r="S36" s="564">
        <v>9.1324200913242004E-3</v>
      </c>
      <c r="T36" s="564">
        <v>9.0182648401826489E-3</v>
      </c>
      <c r="U36" s="564">
        <v>2.0319634703196348E-2</v>
      </c>
      <c r="V36" s="564">
        <v>6.2557077625570778E-2</v>
      </c>
      <c r="W36" s="564">
        <v>5.0228310502283104E-3</v>
      </c>
      <c r="X36" s="564">
        <v>1.2785388127853882E-2</v>
      </c>
      <c r="Z36" s="655" cm="1">
        <f t="array" ref="Z36">INDEX(H36:X36,1,$B$30)</f>
        <v>6.2557077625570778E-2</v>
      </c>
      <c r="AH36">
        <v>6.3356164383561647E-2</v>
      </c>
      <c r="AI36">
        <v>7.6255707762557079E-2</v>
      </c>
      <c r="AJ36">
        <v>0.11666666666666667</v>
      </c>
      <c r="AK36">
        <v>0.20091324200913241</v>
      </c>
      <c r="AL36">
        <v>6.2557077625570778E-2</v>
      </c>
      <c r="AM36">
        <v>3.0365296803652967E-2</v>
      </c>
      <c r="AN36">
        <v>5.0228310502283104E-3</v>
      </c>
      <c r="AO36">
        <v>2.5228310502283104E-2</v>
      </c>
      <c r="AP36">
        <v>1.2785388127853882E-2</v>
      </c>
      <c r="AQ36">
        <v>9.0182648401826489E-3</v>
      </c>
      <c r="AR36">
        <v>2.0319634703196348E-2</v>
      </c>
    </row>
    <row r="37" spans="7:44" x14ac:dyDescent="0.15">
      <c r="G37" s="565">
        <v>-7</v>
      </c>
      <c r="H37" s="564">
        <v>7.4999999999999997E-2</v>
      </c>
      <c r="I37" s="564">
        <v>8.7785388127853886E-2</v>
      </c>
      <c r="J37" s="564">
        <v>0.13698630136986301</v>
      </c>
      <c r="K37" s="564">
        <v>0.22237442922374429</v>
      </c>
      <c r="L37" s="564">
        <v>1.1301369863013699E-2</v>
      </c>
      <c r="M37" s="564">
        <v>3.1849315068493152E-2</v>
      </c>
      <c r="N37" s="564">
        <v>3.9041095890410958E-2</v>
      </c>
      <c r="O37" s="564">
        <v>6.837899543378996E-2</v>
      </c>
      <c r="P37" s="564">
        <v>8.2762557077625573E-2</v>
      </c>
      <c r="Q37" s="564">
        <v>3.4018264840182645E-2</v>
      </c>
      <c r="R37" s="564">
        <v>3.8698630136986302E-2</v>
      </c>
      <c r="S37" s="564">
        <v>1.1301369863013699E-2</v>
      </c>
      <c r="T37" s="564">
        <v>1.3356164383561644E-2</v>
      </c>
      <c r="U37" s="564">
        <v>2.8310502283105023E-2</v>
      </c>
      <c r="V37" s="564">
        <v>8.4474885844748854E-2</v>
      </c>
      <c r="W37" s="564">
        <v>8.6757990867579911E-3</v>
      </c>
      <c r="X37" s="564">
        <v>1.6552511415525113E-2</v>
      </c>
      <c r="Z37" s="655" cm="1">
        <f t="array" ref="Z37">INDEX(H37:X37,1,$B$30)</f>
        <v>8.4474885844748854E-2</v>
      </c>
      <c r="AH37">
        <v>7.4999999999999997E-2</v>
      </c>
      <c r="AI37">
        <v>8.7785388127853886E-2</v>
      </c>
      <c r="AJ37">
        <v>0.13698630136986301</v>
      </c>
      <c r="AK37">
        <v>0.22237442922374429</v>
      </c>
      <c r="AL37">
        <v>8.4474885844748854E-2</v>
      </c>
      <c r="AM37">
        <v>3.9041095890410958E-2</v>
      </c>
      <c r="AN37">
        <v>8.6757990867579911E-3</v>
      </c>
      <c r="AO37">
        <v>3.4018264840182645E-2</v>
      </c>
      <c r="AP37">
        <v>1.6552511415525113E-2</v>
      </c>
      <c r="AQ37">
        <v>1.3356164383561644E-2</v>
      </c>
      <c r="AR37">
        <v>2.8310502283105023E-2</v>
      </c>
    </row>
    <row r="38" spans="7:44" x14ac:dyDescent="0.15">
      <c r="G38" s="565">
        <v>-6</v>
      </c>
      <c r="H38" s="564">
        <v>8.8470319634703198E-2</v>
      </c>
      <c r="I38" s="564">
        <v>0.1021689497716895</v>
      </c>
      <c r="J38" s="564">
        <v>0.16095890410958905</v>
      </c>
      <c r="K38" s="564">
        <v>0.24121004566210047</v>
      </c>
      <c r="L38" s="564">
        <v>2.3858447488584476E-2</v>
      </c>
      <c r="M38" s="564">
        <v>4.2808219178082189E-2</v>
      </c>
      <c r="N38" s="564">
        <v>5.3538812785388128E-2</v>
      </c>
      <c r="O38" s="564">
        <v>8.7899543378995429E-2</v>
      </c>
      <c r="P38" s="564">
        <v>0.10582191780821917</v>
      </c>
      <c r="Q38" s="564">
        <v>4.9086757990867577E-2</v>
      </c>
      <c r="R38" s="564">
        <v>5.4337899543378997E-2</v>
      </c>
      <c r="S38" s="564">
        <v>2.3858447488584476E-2</v>
      </c>
      <c r="T38" s="564">
        <v>2.2716894977168951E-2</v>
      </c>
      <c r="U38" s="564">
        <v>3.9954337899543377E-2</v>
      </c>
      <c r="V38" s="564">
        <v>0.10616438356164383</v>
      </c>
      <c r="W38" s="564">
        <v>1.4041095890410958E-2</v>
      </c>
      <c r="X38" s="564">
        <v>2.1803652968036529E-2</v>
      </c>
      <c r="Z38" s="655" cm="1">
        <f t="array" ref="Z38">INDEX(H38:X38,1,$B$30)</f>
        <v>0.10616438356164383</v>
      </c>
      <c r="AH38">
        <v>8.8470319634703198E-2</v>
      </c>
      <c r="AI38">
        <v>0.1021689497716895</v>
      </c>
      <c r="AJ38">
        <v>0.16095890410958905</v>
      </c>
      <c r="AK38">
        <v>0.24121004566210047</v>
      </c>
      <c r="AL38">
        <v>0.10616438356164383</v>
      </c>
      <c r="AM38">
        <v>5.3538812785388128E-2</v>
      </c>
      <c r="AN38">
        <v>1.4041095890410958E-2</v>
      </c>
      <c r="AO38">
        <v>4.9086757990867577E-2</v>
      </c>
      <c r="AP38">
        <v>2.1803652968036529E-2</v>
      </c>
      <c r="AQ38">
        <v>2.2716894977168951E-2</v>
      </c>
      <c r="AR38">
        <v>3.9954337899543377E-2</v>
      </c>
    </row>
    <row r="39" spans="7:44" x14ac:dyDescent="0.15">
      <c r="G39" s="565">
        <v>-5</v>
      </c>
      <c r="H39" s="564">
        <v>0.10547945205479452</v>
      </c>
      <c r="I39" s="564">
        <v>0.12317351598173516</v>
      </c>
      <c r="J39" s="564">
        <v>0.18801369863013698</v>
      </c>
      <c r="K39" s="564">
        <v>0.27180365296803655</v>
      </c>
      <c r="L39" s="564">
        <v>4.2922374429223746E-2</v>
      </c>
      <c r="M39" s="564">
        <v>5.9018264840182647E-2</v>
      </c>
      <c r="N39" s="564">
        <v>7.4543378995433784E-2</v>
      </c>
      <c r="O39" s="564">
        <v>0.11347031963470319</v>
      </c>
      <c r="P39" s="564">
        <v>0.13070776255707764</v>
      </c>
      <c r="Q39" s="564">
        <v>6.9977168949771684E-2</v>
      </c>
      <c r="R39" s="564">
        <v>7.0205479452054798E-2</v>
      </c>
      <c r="S39" s="564">
        <v>4.2922374429223746E-2</v>
      </c>
      <c r="T39" s="564">
        <v>4.1894977168949771E-2</v>
      </c>
      <c r="U39" s="564">
        <v>5.399543378995434E-2</v>
      </c>
      <c r="V39" s="564">
        <v>0.13070776255707764</v>
      </c>
      <c r="W39" s="564">
        <v>2.0662100456621004E-2</v>
      </c>
      <c r="X39" s="564">
        <v>2.8767123287671233E-2</v>
      </c>
      <c r="Z39" s="655" cm="1">
        <f t="array" ref="Z39">INDEX(H39:X39,1,$B$30)</f>
        <v>0.13070776255707764</v>
      </c>
      <c r="AH39">
        <v>0.10547945205479452</v>
      </c>
      <c r="AI39">
        <v>0.12317351598173516</v>
      </c>
      <c r="AJ39">
        <v>0.18801369863013698</v>
      </c>
      <c r="AK39">
        <v>0.27180365296803655</v>
      </c>
      <c r="AL39">
        <v>0.13070776255707764</v>
      </c>
      <c r="AM39">
        <v>7.4543378995433784E-2</v>
      </c>
      <c r="AN39">
        <v>2.0662100456621004E-2</v>
      </c>
      <c r="AO39">
        <v>6.9977168949771684E-2</v>
      </c>
      <c r="AP39">
        <v>2.8767123287671233E-2</v>
      </c>
      <c r="AQ39">
        <v>4.1894977168949771E-2</v>
      </c>
      <c r="AR39">
        <v>5.399543378995434E-2</v>
      </c>
    </row>
    <row r="40" spans="7:44" x14ac:dyDescent="0.15">
      <c r="G40" s="565">
        <v>-4</v>
      </c>
      <c r="H40" s="564">
        <v>0.12888127853881279</v>
      </c>
      <c r="I40" s="564">
        <v>0.14452054794520547</v>
      </c>
      <c r="J40" s="564">
        <v>0.2139269406392694</v>
      </c>
      <c r="K40" s="564">
        <v>0.3065068493150685</v>
      </c>
      <c r="L40" s="564">
        <v>5.6849315068493153E-2</v>
      </c>
      <c r="M40" s="564">
        <v>7.031963470319634E-2</v>
      </c>
      <c r="N40" s="564">
        <v>8.6872146118721461E-2</v>
      </c>
      <c r="O40" s="564">
        <v>0.1291095890410959</v>
      </c>
      <c r="P40" s="564">
        <v>0.14874429223744293</v>
      </c>
      <c r="Q40" s="564">
        <v>8.3447488584474885E-2</v>
      </c>
      <c r="R40" s="564">
        <v>8.1735159817351605E-2</v>
      </c>
      <c r="S40" s="564">
        <v>5.6849315068493153E-2</v>
      </c>
      <c r="T40" s="564">
        <v>4.942922374429224E-2</v>
      </c>
      <c r="U40" s="564">
        <v>6.3698630136986303E-2</v>
      </c>
      <c r="V40" s="564">
        <v>0.14771689497716894</v>
      </c>
      <c r="W40" s="564">
        <v>2.8767123287671233E-2</v>
      </c>
      <c r="X40" s="564">
        <v>3.515981735159817E-2</v>
      </c>
      <c r="Z40" s="655" cm="1">
        <f t="array" ref="Z40">INDEX(H40:X40,1,$B$30)</f>
        <v>0.14771689497716894</v>
      </c>
      <c r="AH40">
        <v>0.12888127853881279</v>
      </c>
      <c r="AI40">
        <v>0.14452054794520547</v>
      </c>
      <c r="AJ40">
        <v>0.2139269406392694</v>
      </c>
      <c r="AK40">
        <v>0.3065068493150685</v>
      </c>
      <c r="AL40">
        <v>0.14771689497716894</v>
      </c>
      <c r="AM40">
        <v>8.6872146118721461E-2</v>
      </c>
      <c r="AN40">
        <v>2.8767123287671233E-2</v>
      </c>
      <c r="AO40">
        <v>8.3447488584474885E-2</v>
      </c>
      <c r="AP40">
        <v>3.515981735159817E-2</v>
      </c>
      <c r="AQ40">
        <v>4.942922374429224E-2</v>
      </c>
      <c r="AR40">
        <v>6.3698630136986303E-2</v>
      </c>
    </row>
    <row r="41" spans="7:44" x14ac:dyDescent="0.15">
      <c r="G41" s="565">
        <v>-3</v>
      </c>
      <c r="H41" s="564">
        <v>0.15570776255707763</v>
      </c>
      <c r="I41" s="564">
        <v>0.16849315068493151</v>
      </c>
      <c r="J41" s="564">
        <v>0.24406392694063928</v>
      </c>
      <c r="K41" s="564">
        <v>0.34178082191780823</v>
      </c>
      <c r="L41" s="564">
        <v>8.0936073059360736E-2</v>
      </c>
      <c r="M41" s="564">
        <v>0.10148401826484019</v>
      </c>
      <c r="N41" s="564">
        <v>0.11780821917808219</v>
      </c>
      <c r="O41" s="564">
        <v>0.16598173515981735</v>
      </c>
      <c r="P41" s="564">
        <v>0.19075342465753425</v>
      </c>
      <c r="Q41" s="564">
        <v>0.11529680365296803</v>
      </c>
      <c r="R41" s="564">
        <v>0.10251141552511416</v>
      </c>
      <c r="S41" s="564">
        <v>8.0936073059360736E-2</v>
      </c>
      <c r="T41" s="564">
        <v>7.8538812785388129E-2</v>
      </c>
      <c r="U41" s="564">
        <v>8.4931506849315067E-2</v>
      </c>
      <c r="V41" s="564">
        <v>0.17340182648401825</v>
      </c>
      <c r="W41" s="564">
        <v>4.4292237442922378E-2</v>
      </c>
      <c r="X41" s="564">
        <v>4.8858447488584478E-2</v>
      </c>
      <c r="Z41" s="655" cm="1">
        <f t="array" ref="Z41">INDEX(H41:X41,1,$B$30)</f>
        <v>0.17340182648401825</v>
      </c>
      <c r="AH41">
        <v>0.15570776255707763</v>
      </c>
      <c r="AI41">
        <v>0.16849315068493151</v>
      </c>
      <c r="AJ41">
        <v>0.24406392694063928</v>
      </c>
      <c r="AK41">
        <v>0.34178082191780823</v>
      </c>
      <c r="AL41">
        <v>0.17340182648401825</v>
      </c>
      <c r="AM41">
        <v>0.11780821917808219</v>
      </c>
      <c r="AN41">
        <v>4.4292237442922378E-2</v>
      </c>
      <c r="AO41">
        <v>0.11529680365296803</v>
      </c>
      <c r="AP41">
        <v>4.8858447488584478E-2</v>
      </c>
      <c r="AQ41">
        <v>7.8538812785388129E-2</v>
      </c>
      <c r="AR41">
        <v>8.4931506849315067E-2</v>
      </c>
    </row>
    <row r="42" spans="7:44" x14ac:dyDescent="0.15">
      <c r="G42" s="565">
        <v>-2</v>
      </c>
      <c r="H42" s="564">
        <v>0.18424657534246575</v>
      </c>
      <c r="I42" s="564">
        <v>0.19337899543378995</v>
      </c>
      <c r="J42" s="564">
        <v>0.27728310502283104</v>
      </c>
      <c r="K42" s="564">
        <v>0.37648401826484018</v>
      </c>
      <c r="L42" s="564">
        <v>0.1110730593607306</v>
      </c>
      <c r="M42" s="564">
        <v>0.13515981735159818</v>
      </c>
      <c r="N42" s="564">
        <v>0.16244292237442923</v>
      </c>
      <c r="O42" s="564">
        <v>0.20228310502283106</v>
      </c>
      <c r="P42" s="564">
        <v>0.22910958904109588</v>
      </c>
      <c r="Q42" s="564">
        <v>0.15376712328767123</v>
      </c>
      <c r="R42" s="564">
        <v>0.13390410958904109</v>
      </c>
      <c r="S42" s="564">
        <v>0.1110730593607306</v>
      </c>
      <c r="T42" s="564">
        <v>0.11723744292237442</v>
      </c>
      <c r="U42" s="564">
        <v>0.11015981735159817</v>
      </c>
      <c r="V42" s="564">
        <v>0.20468036529680364</v>
      </c>
      <c r="W42" s="564">
        <v>7.1689497716894979E-2</v>
      </c>
      <c r="X42" s="564">
        <v>6.632420091324201E-2</v>
      </c>
      <c r="Z42" s="655" cm="1">
        <f t="array" ref="Z42">INDEX(H42:X42,1,$B$30)</f>
        <v>0.20468036529680364</v>
      </c>
      <c r="AH42">
        <v>0.18424657534246575</v>
      </c>
      <c r="AI42">
        <v>0.19337899543378995</v>
      </c>
      <c r="AJ42">
        <v>0.27728310502283104</v>
      </c>
      <c r="AK42">
        <v>0.37648401826484018</v>
      </c>
      <c r="AL42">
        <v>0.20468036529680364</v>
      </c>
      <c r="AM42">
        <v>0.16244292237442923</v>
      </c>
      <c r="AN42">
        <v>7.1689497716894979E-2</v>
      </c>
      <c r="AO42">
        <v>0.15376712328767123</v>
      </c>
      <c r="AP42">
        <v>6.632420091324201E-2</v>
      </c>
      <c r="AQ42">
        <v>0.11723744292237442</v>
      </c>
      <c r="AR42">
        <v>0.11015981735159817</v>
      </c>
    </row>
    <row r="43" spans="7:44" x14ac:dyDescent="0.15">
      <c r="G43" s="565">
        <v>-1</v>
      </c>
      <c r="H43" s="564">
        <v>0.20924657534246574</v>
      </c>
      <c r="I43" s="564">
        <v>0.22340182648401827</v>
      </c>
      <c r="J43" s="564">
        <v>0.31210045662100455</v>
      </c>
      <c r="K43" s="564">
        <v>0.41678082191780824</v>
      </c>
      <c r="L43" s="564">
        <v>0.15719178082191781</v>
      </c>
      <c r="M43" s="564">
        <v>0.16666666666666666</v>
      </c>
      <c r="N43" s="564">
        <v>0.21118721461187215</v>
      </c>
      <c r="O43" s="564">
        <v>0.24463470319634703</v>
      </c>
      <c r="P43" s="564">
        <v>0.27100456621004565</v>
      </c>
      <c r="Q43" s="564">
        <v>0.19121004566210045</v>
      </c>
      <c r="R43" s="564">
        <v>0.16929223744292238</v>
      </c>
      <c r="S43" s="564">
        <v>0.15719178082191781</v>
      </c>
      <c r="T43" s="564">
        <v>0.15570776255707763</v>
      </c>
      <c r="U43" s="564">
        <v>0.13470319634703196</v>
      </c>
      <c r="V43" s="564">
        <v>0.23184931506849316</v>
      </c>
      <c r="W43" s="564">
        <v>0.10148401826484019</v>
      </c>
      <c r="X43" s="564">
        <v>0.10091324200913242</v>
      </c>
      <c r="Z43" s="655" cm="1">
        <f t="array" ref="Z43">INDEX(H43:X43,1,$B$30)</f>
        <v>0.23184931506849316</v>
      </c>
      <c r="AH43">
        <v>0.20924657534246574</v>
      </c>
      <c r="AI43">
        <v>0.22340182648401827</v>
      </c>
      <c r="AJ43">
        <v>0.31210045662100455</v>
      </c>
      <c r="AK43">
        <v>0.41678082191780824</v>
      </c>
      <c r="AL43">
        <v>0.23184931506849316</v>
      </c>
      <c r="AM43">
        <v>0.21118721461187215</v>
      </c>
      <c r="AN43">
        <v>0.10148401826484019</v>
      </c>
      <c r="AO43">
        <v>0.19121004566210045</v>
      </c>
      <c r="AP43">
        <v>0.10091324200913242</v>
      </c>
      <c r="AQ43">
        <v>0.15570776255707763</v>
      </c>
      <c r="AR43">
        <v>0.13470319634703196</v>
      </c>
    </row>
    <row r="44" spans="7:44" x14ac:dyDescent="0.15">
      <c r="G44" s="565">
        <v>0</v>
      </c>
      <c r="H44" s="564">
        <v>0.24920091324200913</v>
      </c>
      <c r="I44" s="564">
        <v>0.27089041095890409</v>
      </c>
      <c r="J44" s="564">
        <v>0.36792237442922376</v>
      </c>
      <c r="K44" s="564">
        <v>0.46027397260273972</v>
      </c>
      <c r="L44" s="564">
        <v>0.21255707762557077</v>
      </c>
      <c r="M44" s="564">
        <v>0.20468036529680364</v>
      </c>
      <c r="N44" s="564">
        <v>0.25753424657534246</v>
      </c>
      <c r="O44" s="564">
        <v>0.28938356164383561</v>
      </c>
      <c r="P44" s="564">
        <v>0.30810502283105023</v>
      </c>
      <c r="Q44" s="564">
        <v>0.22979452054794522</v>
      </c>
      <c r="R44" s="564">
        <v>0.20833333333333334</v>
      </c>
      <c r="S44" s="564">
        <v>0.21255707762557077</v>
      </c>
      <c r="T44" s="564">
        <v>0.20273972602739726</v>
      </c>
      <c r="U44" s="564">
        <v>0.16381278538812785</v>
      </c>
      <c r="V44" s="564">
        <v>0.27363013698630134</v>
      </c>
      <c r="W44" s="564">
        <v>0.14212328767123289</v>
      </c>
      <c r="X44" s="564">
        <v>0.13904109589041097</v>
      </c>
      <c r="Z44" s="655" cm="1">
        <f t="array" ref="Z44">INDEX(H44:X44,1,$B$30)</f>
        <v>0.27363013698630134</v>
      </c>
      <c r="AH44">
        <v>0.24920091324200913</v>
      </c>
      <c r="AI44">
        <v>0.27089041095890409</v>
      </c>
      <c r="AJ44">
        <v>0.36792237442922376</v>
      </c>
      <c r="AK44">
        <v>0.46027397260273972</v>
      </c>
      <c r="AL44">
        <v>0.27363013698630134</v>
      </c>
      <c r="AM44">
        <v>0.25753424657534246</v>
      </c>
      <c r="AN44">
        <v>0.14212328767123289</v>
      </c>
      <c r="AO44">
        <v>0.22979452054794522</v>
      </c>
      <c r="AP44">
        <v>0.13904109589041097</v>
      </c>
      <c r="AQ44">
        <v>0.20273972602739726</v>
      </c>
      <c r="AR44">
        <v>0.16381278538812785</v>
      </c>
    </row>
    <row r="45" spans="7:44" x14ac:dyDescent="0.15">
      <c r="G45" s="565">
        <v>1</v>
      </c>
      <c r="H45" s="564">
        <v>0.30993150684931509</v>
      </c>
      <c r="I45" s="564">
        <v>0.3422374429223744</v>
      </c>
      <c r="J45" s="564">
        <v>0.41004566210045662</v>
      </c>
      <c r="K45" s="564">
        <v>0.51118721461187211</v>
      </c>
      <c r="L45" s="564">
        <v>0.24155251141552511</v>
      </c>
      <c r="M45" s="564">
        <v>0.22500000000000001</v>
      </c>
      <c r="N45" s="564">
        <v>0.28150684931506847</v>
      </c>
      <c r="O45" s="564">
        <v>0.31050228310502281</v>
      </c>
      <c r="P45" s="564">
        <v>0.32968036529680367</v>
      </c>
      <c r="Q45" s="564">
        <v>0.24520547945205479</v>
      </c>
      <c r="R45" s="564">
        <v>0.22888127853881279</v>
      </c>
      <c r="S45" s="564">
        <v>0.24155251141552511</v>
      </c>
      <c r="T45" s="564">
        <v>0.23378995433789954</v>
      </c>
      <c r="U45" s="564">
        <v>0.18013698630136987</v>
      </c>
      <c r="V45" s="564">
        <v>0.30490867579908676</v>
      </c>
      <c r="W45" s="564">
        <v>0.1636986301369863</v>
      </c>
      <c r="X45" s="564">
        <v>0.16232876712328767</v>
      </c>
      <c r="Z45" s="655" cm="1">
        <f t="array" ref="Z45">INDEX(H45:X45,1,$B$30)</f>
        <v>0.30490867579908676</v>
      </c>
      <c r="AH45">
        <v>0.30993150684931509</v>
      </c>
      <c r="AI45">
        <v>0.3422374429223744</v>
      </c>
      <c r="AJ45">
        <v>0.41004566210045662</v>
      </c>
      <c r="AK45">
        <v>0.51118721461187211</v>
      </c>
      <c r="AL45">
        <v>0.30490867579908676</v>
      </c>
      <c r="AM45">
        <v>0.28150684931506847</v>
      </c>
      <c r="AN45">
        <v>0.1636986301369863</v>
      </c>
      <c r="AO45">
        <v>0.24520547945205479</v>
      </c>
      <c r="AP45">
        <v>0.16232876712328767</v>
      </c>
      <c r="AQ45">
        <v>0.23378995433789954</v>
      </c>
      <c r="AR45">
        <v>0.18013698630136987</v>
      </c>
    </row>
    <row r="46" spans="7:44" x14ac:dyDescent="0.15">
      <c r="G46" s="565">
        <v>2</v>
      </c>
      <c r="H46" s="564">
        <v>0.36917808219178083</v>
      </c>
      <c r="I46" s="564">
        <v>0.40136986301369865</v>
      </c>
      <c r="J46" s="564">
        <v>0.45171232876712331</v>
      </c>
      <c r="K46" s="564">
        <v>0.54372146118721465</v>
      </c>
      <c r="L46" s="564">
        <v>0.30034246575342466</v>
      </c>
      <c r="M46" s="564">
        <v>0.27111872146118721</v>
      </c>
      <c r="N46" s="564">
        <v>0.33550228310502284</v>
      </c>
      <c r="O46" s="564">
        <v>0.35239726027397261</v>
      </c>
      <c r="P46" s="564">
        <v>0.36723744292237442</v>
      </c>
      <c r="Q46" s="564">
        <v>0.27716894977168949</v>
      </c>
      <c r="R46" s="564">
        <v>0.26529680365296804</v>
      </c>
      <c r="S46" s="564">
        <v>0.30034246575342466</v>
      </c>
      <c r="T46" s="564">
        <v>0.29497716894977166</v>
      </c>
      <c r="U46" s="564">
        <v>0.21107305936073059</v>
      </c>
      <c r="V46" s="564">
        <v>0.36506849315068496</v>
      </c>
      <c r="W46" s="564">
        <v>0.20742009132420092</v>
      </c>
      <c r="X46" s="564">
        <v>0.1980593607305936</v>
      </c>
      <c r="Z46" s="655" cm="1">
        <f t="array" ref="Z46">INDEX(H46:X46,1,$B$30)</f>
        <v>0.36506849315068496</v>
      </c>
      <c r="AH46">
        <v>0.36917808219178083</v>
      </c>
      <c r="AI46">
        <v>0.40136986301369865</v>
      </c>
      <c r="AJ46">
        <v>0.45171232876712331</v>
      </c>
      <c r="AK46">
        <v>0.54372146118721465</v>
      </c>
      <c r="AL46">
        <v>0.36506849315068496</v>
      </c>
      <c r="AM46">
        <v>0.33550228310502284</v>
      </c>
      <c r="AN46">
        <v>0.20742009132420092</v>
      </c>
      <c r="AO46">
        <v>0.27716894977168949</v>
      </c>
      <c r="AP46">
        <v>0.1980593607305936</v>
      </c>
      <c r="AQ46">
        <v>0.29497716894977166</v>
      </c>
      <c r="AR46">
        <v>0.21107305936073059</v>
      </c>
    </row>
    <row r="47" spans="7:44" x14ac:dyDescent="0.15">
      <c r="G47" s="565">
        <v>3</v>
      </c>
      <c r="H47" s="564">
        <v>0.41598173515981735</v>
      </c>
      <c r="I47" s="564">
        <v>0.44018264840182647</v>
      </c>
      <c r="J47" s="564">
        <v>0.48652968036529681</v>
      </c>
      <c r="K47" s="564">
        <v>0.57363013698630139</v>
      </c>
      <c r="L47" s="564">
        <v>0.3485159817351598</v>
      </c>
      <c r="M47" s="564">
        <v>0.32522831050228312</v>
      </c>
      <c r="N47" s="564">
        <v>0.38824200913242007</v>
      </c>
      <c r="O47" s="564">
        <v>0.39063926940639271</v>
      </c>
      <c r="P47" s="564">
        <v>0.40273972602739727</v>
      </c>
      <c r="Q47" s="564">
        <v>0.31324200913242012</v>
      </c>
      <c r="R47" s="564">
        <v>0.30445205479452053</v>
      </c>
      <c r="S47" s="564">
        <v>0.3485159817351598</v>
      </c>
      <c r="T47" s="564">
        <v>0.35856164383561645</v>
      </c>
      <c r="U47" s="564">
        <v>0.24611872146118721</v>
      </c>
      <c r="V47" s="564">
        <v>0.40559360730593608</v>
      </c>
      <c r="W47" s="564">
        <v>0.26221461187214612</v>
      </c>
      <c r="X47" s="564">
        <v>0.24200913242009131</v>
      </c>
      <c r="Z47" s="655" cm="1">
        <f t="array" ref="Z47">INDEX(H47:X47,1,$B$30)</f>
        <v>0.40559360730593608</v>
      </c>
      <c r="AH47">
        <v>0.41598173515981735</v>
      </c>
      <c r="AI47">
        <v>0.44018264840182647</v>
      </c>
      <c r="AJ47">
        <v>0.48652968036529681</v>
      </c>
      <c r="AK47">
        <v>0.57363013698630139</v>
      </c>
      <c r="AL47">
        <v>0.40559360730593608</v>
      </c>
      <c r="AM47">
        <v>0.38824200913242007</v>
      </c>
      <c r="AN47">
        <v>0.26221461187214612</v>
      </c>
      <c r="AO47">
        <v>0.31324200913242012</v>
      </c>
      <c r="AP47">
        <v>0.24200913242009131</v>
      </c>
      <c r="AQ47">
        <v>0.35856164383561645</v>
      </c>
      <c r="AR47">
        <v>0.24611872146118721</v>
      </c>
    </row>
    <row r="48" spans="7:44" x14ac:dyDescent="0.15">
      <c r="G48" s="565">
        <v>4</v>
      </c>
      <c r="H48" s="564">
        <v>0.45079908675799085</v>
      </c>
      <c r="I48" s="564">
        <v>0.4771689497716895</v>
      </c>
      <c r="J48" s="564">
        <v>0.51837899543378996</v>
      </c>
      <c r="K48" s="564">
        <v>0.61015981735159819</v>
      </c>
      <c r="L48" s="564">
        <v>0.40251141552511416</v>
      </c>
      <c r="M48" s="564">
        <v>0.36780821917808221</v>
      </c>
      <c r="N48" s="564">
        <v>0.44189497716894977</v>
      </c>
      <c r="O48" s="564">
        <v>0.42659817351598173</v>
      </c>
      <c r="P48" s="564">
        <v>0.4343607305936073</v>
      </c>
      <c r="Q48" s="564">
        <v>0.3476027397260274</v>
      </c>
      <c r="R48" s="564">
        <v>0.3393835616438356</v>
      </c>
      <c r="S48" s="564">
        <v>0.40251141552511416</v>
      </c>
      <c r="T48" s="564">
        <v>0.41586757990867579</v>
      </c>
      <c r="U48" s="564">
        <v>0.28127853881278536</v>
      </c>
      <c r="V48" s="564">
        <v>0.4534246575342466</v>
      </c>
      <c r="W48" s="564">
        <v>0.31358447488584473</v>
      </c>
      <c r="X48" s="564">
        <v>0.29486301369863016</v>
      </c>
      <c r="Z48" s="655" cm="1">
        <f t="array" ref="Z48">INDEX(H48:X48,1,$B$30)</f>
        <v>0.4534246575342466</v>
      </c>
      <c r="AH48">
        <v>0.45079908675799085</v>
      </c>
      <c r="AI48">
        <v>0.4771689497716895</v>
      </c>
      <c r="AJ48">
        <v>0.51837899543378996</v>
      </c>
      <c r="AK48">
        <v>0.61015981735159819</v>
      </c>
      <c r="AL48">
        <v>0.4534246575342466</v>
      </c>
      <c r="AM48">
        <v>0.44189497716894977</v>
      </c>
      <c r="AN48">
        <v>0.31358447488584473</v>
      </c>
      <c r="AO48">
        <v>0.3476027397260274</v>
      </c>
      <c r="AP48">
        <v>0.29486301369863016</v>
      </c>
      <c r="AQ48">
        <v>0.41586757990867579</v>
      </c>
      <c r="AR48">
        <v>0.28127853881278536</v>
      </c>
    </row>
    <row r="49" spans="7:44" x14ac:dyDescent="0.15">
      <c r="G49" s="565">
        <v>5</v>
      </c>
      <c r="H49" s="564">
        <v>0.48413242009132418</v>
      </c>
      <c r="I49" s="564">
        <v>0.50776255707762552</v>
      </c>
      <c r="J49" s="564">
        <v>0.54885844748858448</v>
      </c>
      <c r="K49" s="564">
        <v>0.63641552511415522</v>
      </c>
      <c r="L49" s="564">
        <v>0.44121004566210048</v>
      </c>
      <c r="M49" s="564">
        <v>0.41746575342465753</v>
      </c>
      <c r="N49" s="564">
        <v>0.48162100456621004</v>
      </c>
      <c r="O49" s="564">
        <v>0.46575342465753422</v>
      </c>
      <c r="P49" s="564">
        <v>0.46700913242009134</v>
      </c>
      <c r="Q49" s="564">
        <v>0.38367579908675797</v>
      </c>
      <c r="R49" s="564">
        <v>0.37614155251141551</v>
      </c>
      <c r="S49" s="564">
        <v>0.44121004566210048</v>
      </c>
      <c r="T49" s="564">
        <v>0.48139269406392693</v>
      </c>
      <c r="U49" s="564">
        <v>0.32260273972602738</v>
      </c>
      <c r="V49" s="564">
        <v>0.49874429223744293</v>
      </c>
      <c r="W49" s="564">
        <v>0.36598173515981736</v>
      </c>
      <c r="X49" s="564">
        <v>0.34166666666666667</v>
      </c>
      <c r="Z49" s="655" cm="1">
        <f t="array" ref="Z49">INDEX(H49:X49,1,$B$30)</f>
        <v>0.49874429223744293</v>
      </c>
      <c r="AH49">
        <v>0.48413242009132418</v>
      </c>
      <c r="AI49">
        <v>0.50776255707762552</v>
      </c>
      <c r="AJ49">
        <v>0.54885844748858448</v>
      </c>
      <c r="AK49">
        <v>0.63641552511415522</v>
      </c>
      <c r="AL49">
        <v>0.49874429223744293</v>
      </c>
      <c r="AM49">
        <v>0.48162100456621004</v>
      </c>
      <c r="AN49">
        <v>0.36598173515981736</v>
      </c>
      <c r="AO49">
        <v>0.38367579908675797</v>
      </c>
      <c r="AP49">
        <v>0.34166666666666667</v>
      </c>
      <c r="AQ49">
        <v>0.48139269406392693</v>
      </c>
      <c r="AR49">
        <v>0.32260273972602738</v>
      </c>
    </row>
    <row r="50" spans="7:44" x14ac:dyDescent="0.15">
      <c r="G50" s="565">
        <v>6</v>
      </c>
      <c r="H50" s="564">
        <v>0.51586757990867582</v>
      </c>
      <c r="I50" s="564">
        <v>0.54166666666666663</v>
      </c>
      <c r="J50" s="564">
        <v>0.58139269406392691</v>
      </c>
      <c r="K50" s="564">
        <v>0.66415525114155249</v>
      </c>
      <c r="L50" s="564">
        <v>0.46187214611872146</v>
      </c>
      <c r="M50" s="564">
        <v>0.43938356164383563</v>
      </c>
      <c r="N50" s="564">
        <v>0.49771689497716892</v>
      </c>
      <c r="O50" s="564">
        <v>0.47979452054794519</v>
      </c>
      <c r="P50" s="564">
        <v>0.48881278538812784</v>
      </c>
      <c r="Q50" s="564">
        <v>0.40742009132420093</v>
      </c>
      <c r="R50" s="564">
        <v>0.39474885844748858</v>
      </c>
      <c r="S50" s="564">
        <v>0.46187214611872146</v>
      </c>
      <c r="T50" s="564">
        <v>0.51940639269406397</v>
      </c>
      <c r="U50" s="564">
        <v>0.34121004566210045</v>
      </c>
      <c r="V50" s="564">
        <v>0.51609589041095894</v>
      </c>
      <c r="W50" s="564">
        <v>0.39086757990867582</v>
      </c>
      <c r="X50" s="564">
        <v>0.36552511415525113</v>
      </c>
      <c r="Z50" s="655" cm="1">
        <f t="array" ref="Z50">INDEX(H50:X50,1,$B$30)</f>
        <v>0.51609589041095894</v>
      </c>
      <c r="AH50">
        <v>0.51586757990867582</v>
      </c>
      <c r="AI50">
        <v>0.54166666666666663</v>
      </c>
      <c r="AJ50">
        <v>0.58139269406392691</v>
      </c>
      <c r="AK50">
        <v>0.66415525114155249</v>
      </c>
      <c r="AL50">
        <v>0.51609589041095894</v>
      </c>
      <c r="AM50">
        <v>0.49771689497716892</v>
      </c>
      <c r="AN50">
        <v>0.39086757990867582</v>
      </c>
      <c r="AO50">
        <v>0.40742009132420093</v>
      </c>
      <c r="AP50">
        <v>0.36552511415525113</v>
      </c>
      <c r="AQ50">
        <v>0.51940639269406397</v>
      </c>
      <c r="AR50">
        <v>0.34121004566210045</v>
      </c>
    </row>
    <row r="51" spans="7:44" x14ac:dyDescent="0.15">
      <c r="G51" s="565">
        <v>7</v>
      </c>
      <c r="H51" s="564">
        <v>0.55331050228310508</v>
      </c>
      <c r="I51" s="564">
        <v>0.58744292237442919</v>
      </c>
      <c r="J51" s="564">
        <v>0.60719178082191783</v>
      </c>
      <c r="K51" s="564">
        <v>0.6905251141552512</v>
      </c>
      <c r="L51" s="564">
        <v>0.5044520547945206</v>
      </c>
      <c r="M51" s="564">
        <v>0.48276255707762555</v>
      </c>
      <c r="N51" s="564">
        <v>0.53230593607305932</v>
      </c>
      <c r="O51" s="564">
        <v>0.51598173515981738</v>
      </c>
      <c r="P51" s="564">
        <v>0.52465753424657535</v>
      </c>
      <c r="Q51" s="564">
        <v>0.4480593607305936</v>
      </c>
      <c r="R51" s="564">
        <v>0.43378995433789952</v>
      </c>
      <c r="S51" s="564">
        <v>0.5044520547945206</v>
      </c>
      <c r="T51" s="564">
        <v>0.59178082191780823</v>
      </c>
      <c r="U51" s="564">
        <v>0.36860730593607305</v>
      </c>
      <c r="V51" s="564">
        <v>0.5501141552511416</v>
      </c>
      <c r="W51" s="564">
        <v>0.44315068493150683</v>
      </c>
      <c r="X51" s="564">
        <v>0.41495433789954339</v>
      </c>
      <c r="Z51" s="655" cm="1">
        <f t="array" ref="Z51">INDEX(H51:X51,1,$B$30)</f>
        <v>0.5501141552511416</v>
      </c>
      <c r="AH51">
        <v>0.55331050228310508</v>
      </c>
      <c r="AI51">
        <v>0.58744292237442919</v>
      </c>
      <c r="AJ51">
        <v>0.60719178082191783</v>
      </c>
      <c r="AK51">
        <v>0.6905251141552512</v>
      </c>
      <c r="AL51">
        <v>0.5501141552511416</v>
      </c>
      <c r="AM51">
        <v>0.53230593607305932</v>
      </c>
      <c r="AN51">
        <v>0.44315068493150683</v>
      </c>
      <c r="AO51">
        <v>0.4480593607305936</v>
      </c>
      <c r="AP51">
        <v>0.41495433789954339</v>
      </c>
      <c r="AQ51">
        <v>0.59178082191780823</v>
      </c>
      <c r="AR51">
        <v>0.36860730593607305</v>
      </c>
    </row>
    <row r="52" spans="7:44" x14ac:dyDescent="0.15">
      <c r="G52" s="565">
        <v>8</v>
      </c>
      <c r="H52" s="564">
        <v>0.58984018264840188</v>
      </c>
      <c r="I52" s="564">
        <v>0.62123287671232874</v>
      </c>
      <c r="J52" s="564">
        <v>0.63162100456621006</v>
      </c>
      <c r="K52" s="564">
        <v>0.71872146118721458</v>
      </c>
      <c r="L52" s="564">
        <v>0.54589041095890412</v>
      </c>
      <c r="M52" s="564">
        <v>0.53139269406392697</v>
      </c>
      <c r="N52" s="564">
        <v>0.56666666666666665</v>
      </c>
      <c r="O52" s="564">
        <v>0.5474885844748858</v>
      </c>
      <c r="P52" s="564">
        <v>0.5592465753424658</v>
      </c>
      <c r="Q52" s="564">
        <v>0.48413242009132418</v>
      </c>
      <c r="R52" s="564">
        <v>0.47066210045662099</v>
      </c>
      <c r="S52" s="564">
        <v>0.54589041095890412</v>
      </c>
      <c r="T52" s="564">
        <v>0.66038812785388123</v>
      </c>
      <c r="U52" s="564">
        <v>0.39920091324200913</v>
      </c>
      <c r="V52" s="564">
        <v>0.58858447488584476</v>
      </c>
      <c r="W52" s="564">
        <v>0.49166666666666664</v>
      </c>
      <c r="X52" s="564">
        <v>0.45878995433789954</v>
      </c>
      <c r="Z52" s="655" cm="1">
        <f t="array" ref="Z52">INDEX(H52:X52,1,$B$30)</f>
        <v>0.58858447488584476</v>
      </c>
      <c r="AH52">
        <v>0.58984018264840188</v>
      </c>
      <c r="AI52">
        <v>0.62123287671232874</v>
      </c>
      <c r="AJ52">
        <v>0.63162100456621006</v>
      </c>
      <c r="AK52">
        <v>0.71872146118721458</v>
      </c>
      <c r="AL52">
        <v>0.58858447488584476</v>
      </c>
      <c r="AM52">
        <v>0.56666666666666665</v>
      </c>
      <c r="AN52">
        <v>0.49166666666666664</v>
      </c>
      <c r="AO52">
        <v>0.48413242009132418</v>
      </c>
      <c r="AP52">
        <v>0.45878995433789954</v>
      </c>
      <c r="AQ52">
        <v>0.66038812785388123</v>
      </c>
      <c r="AR52">
        <v>0.39920091324200913</v>
      </c>
    </row>
    <row r="53" spans="7:44" x14ac:dyDescent="0.15">
      <c r="G53" s="565">
        <v>9</v>
      </c>
      <c r="H53" s="564">
        <v>0.61746575342465748</v>
      </c>
      <c r="I53" s="564">
        <v>0.65399543378995428</v>
      </c>
      <c r="J53" s="564">
        <v>0.6623287671232877</v>
      </c>
      <c r="K53" s="564">
        <v>0.74885844748858443</v>
      </c>
      <c r="L53" s="564">
        <v>0.58036529680365301</v>
      </c>
      <c r="M53" s="564">
        <v>0.58150684931506846</v>
      </c>
      <c r="N53" s="564">
        <v>0.60136986301369866</v>
      </c>
      <c r="O53" s="564">
        <v>0.58287671232876714</v>
      </c>
      <c r="P53" s="564">
        <v>0.59509132420091326</v>
      </c>
      <c r="Q53" s="564">
        <v>0.52465753424657535</v>
      </c>
      <c r="R53" s="564">
        <v>0.50924657534246576</v>
      </c>
      <c r="S53" s="564">
        <v>0.58036529680365301</v>
      </c>
      <c r="T53" s="564">
        <v>0.73002283105022836</v>
      </c>
      <c r="U53" s="564">
        <v>0.43333333333333335</v>
      </c>
      <c r="V53" s="564">
        <v>0.6205479452054794</v>
      </c>
      <c r="W53" s="564">
        <v>0.54166666666666663</v>
      </c>
      <c r="X53" s="564">
        <v>0.50376712328767126</v>
      </c>
      <c r="Z53" s="655" cm="1">
        <f t="array" ref="Z53">INDEX(H53:X53,1,$B$30)</f>
        <v>0.6205479452054794</v>
      </c>
      <c r="AH53">
        <v>0.61746575342465748</v>
      </c>
      <c r="AI53">
        <v>0.65399543378995428</v>
      </c>
      <c r="AJ53">
        <v>0.6623287671232877</v>
      </c>
      <c r="AK53">
        <v>0.74885844748858443</v>
      </c>
      <c r="AL53">
        <v>0.6205479452054794</v>
      </c>
      <c r="AM53">
        <v>0.60136986301369866</v>
      </c>
      <c r="AN53">
        <v>0.54166666666666663</v>
      </c>
      <c r="AO53">
        <v>0.52465753424657535</v>
      </c>
      <c r="AP53">
        <v>0.50376712328767126</v>
      </c>
      <c r="AQ53">
        <v>0.73002283105022836</v>
      </c>
      <c r="AR53">
        <v>0.43333333333333335</v>
      </c>
    </row>
    <row r="54" spans="7:44" x14ac:dyDescent="0.15">
      <c r="G54" s="565">
        <v>10</v>
      </c>
      <c r="H54" s="564">
        <v>0.64394977168949774</v>
      </c>
      <c r="I54" s="564">
        <v>0.68835616438356162</v>
      </c>
      <c r="J54" s="564">
        <v>0.69623287671232881</v>
      </c>
      <c r="K54" s="564">
        <v>0.78527397260273968</v>
      </c>
      <c r="L54" s="564">
        <v>0.62180365296803652</v>
      </c>
      <c r="M54" s="564">
        <v>0.62408675799086755</v>
      </c>
      <c r="N54" s="564">
        <v>0.64577625570776254</v>
      </c>
      <c r="O54" s="564">
        <v>0.6257990867579909</v>
      </c>
      <c r="P54" s="564">
        <v>0.63401826484018264</v>
      </c>
      <c r="Q54" s="564">
        <v>0.5639269406392694</v>
      </c>
      <c r="R54" s="564">
        <v>0.55251141552511418</v>
      </c>
      <c r="S54" s="564">
        <v>0.62180365296803652</v>
      </c>
      <c r="T54" s="564">
        <v>0.79885844748858448</v>
      </c>
      <c r="U54" s="564">
        <v>0.46849315068493153</v>
      </c>
      <c r="V54" s="564">
        <v>0.65936073059360734</v>
      </c>
      <c r="W54" s="564">
        <v>0.59041095890410955</v>
      </c>
      <c r="X54" s="564">
        <v>0.54908675799086759</v>
      </c>
      <c r="Z54" s="655" cm="1">
        <f t="array" ref="Z54">INDEX(H54:X54,1,$B$30)</f>
        <v>0.65936073059360734</v>
      </c>
      <c r="AH54">
        <v>0.64394977168949774</v>
      </c>
      <c r="AI54">
        <v>0.68835616438356162</v>
      </c>
      <c r="AJ54">
        <v>0.69623287671232881</v>
      </c>
      <c r="AK54">
        <v>0.78527397260273968</v>
      </c>
      <c r="AL54">
        <v>0.65936073059360734</v>
      </c>
      <c r="AM54">
        <v>0.64577625570776254</v>
      </c>
      <c r="AN54">
        <v>0.59041095890410955</v>
      </c>
      <c r="AO54">
        <v>0.5639269406392694</v>
      </c>
      <c r="AP54">
        <v>0.54908675799086759</v>
      </c>
      <c r="AQ54">
        <v>0.79885844748858448</v>
      </c>
      <c r="AR54">
        <v>0.46849315068493153</v>
      </c>
    </row>
    <row r="55" spans="7:44" x14ac:dyDescent="0.15">
      <c r="G55" s="565">
        <v>11</v>
      </c>
      <c r="H55" s="564">
        <v>0.67625570776255706</v>
      </c>
      <c r="I55" s="564">
        <v>0.72168949771689495</v>
      </c>
      <c r="J55" s="564">
        <v>0.73105022831050226</v>
      </c>
      <c r="K55" s="564">
        <v>0.82283105022831049</v>
      </c>
      <c r="L55" s="564">
        <v>0.64634703196347032</v>
      </c>
      <c r="M55" s="564">
        <v>0.64566210045662098</v>
      </c>
      <c r="N55" s="564">
        <v>0.67168949771689501</v>
      </c>
      <c r="O55" s="564">
        <v>0.64840182648401823</v>
      </c>
      <c r="P55" s="564">
        <v>0.65228310502283104</v>
      </c>
      <c r="Q55" s="564">
        <v>0.58424657534246571</v>
      </c>
      <c r="R55" s="564">
        <v>0.57043378995433791</v>
      </c>
      <c r="S55" s="564">
        <v>0.64634703196347032</v>
      </c>
      <c r="T55" s="564">
        <v>0.8348173515981735</v>
      </c>
      <c r="U55" s="564">
        <v>0.48664383561643837</v>
      </c>
      <c r="V55" s="564">
        <v>0.68093607305936077</v>
      </c>
      <c r="W55" s="564">
        <v>0.61289954337899544</v>
      </c>
      <c r="X55" s="564">
        <v>0.57066210045662102</v>
      </c>
      <c r="Z55" s="655" cm="1">
        <f t="array" ref="Z55">INDEX(H55:X55,1,$B$30)</f>
        <v>0.68093607305936077</v>
      </c>
      <c r="AH55">
        <v>0.67625570776255706</v>
      </c>
      <c r="AI55">
        <v>0.72168949771689495</v>
      </c>
      <c r="AJ55">
        <v>0.73105022831050226</v>
      </c>
      <c r="AK55">
        <v>0.82283105022831049</v>
      </c>
      <c r="AL55">
        <v>0.68093607305936077</v>
      </c>
      <c r="AM55">
        <v>0.67168949771689501</v>
      </c>
      <c r="AN55">
        <v>0.61289954337899544</v>
      </c>
      <c r="AO55">
        <v>0.58424657534246571</v>
      </c>
      <c r="AP55">
        <v>0.57066210045662102</v>
      </c>
      <c r="AQ55">
        <v>0.8348173515981735</v>
      </c>
      <c r="AR55">
        <v>0.48664383561643837</v>
      </c>
    </row>
    <row r="56" spans="7:44" x14ac:dyDescent="0.15">
      <c r="G56" s="565">
        <v>12</v>
      </c>
      <c r="H56" s="564">
        <v>0.71415525114155254</v>
      </c>
      <c r="I56" s="564">
        <v>0.75296803652968036</v>
      </c>
      <c r="J56" s="564">
        <v>0.76780821917808217</v>
      </c>
      <c r="K56" s="564">
        <v>0.85114155251141554</v>
      </c>
      <c r="L56" s="564">
        <v>0.69668949771689492</v>
      </c>
      <c r="M56" s="564">
        <v>0.69372146118721456</v>
      </c>
      <c r="N56" s="564">
        <v>0.72568493150684932</v>
      </c>
      <c r="O56" s="564">
        <v>0.69326484018264845</v>
      </c>
      <c r="P56" s="564">
        <v>0.68949771689497719</v>
      </c>
      <c r="Q56" s="564">
        <v>0.62785388127853881</v>
      </c>
      <c r="R56" s="564">
        <v>0.60696347031963471</v>
      </c>
      <c r="S56" s="564">
        <v>0.69668949771689492</v>
      </c>
      <c r="T56" s="564">
        <v>0.89908675799086757</v>
      </c>
      <c r="U56" s="564">
        <v>0.51894977168949774</v>
      </c>
      <c r="V56" s="564">
        <v>0.71860730593607303</v>
      </c>
      <c r="W56" s="564">
        <v>0.65890410958904111</v>
      </c>
      <c r="X56" s="564">
        <v>0.61963470319634706</v>
      </c>
      <c r="Z56" s="655" cm="1">
        <f t="array" ref="Z56">INDEX(H56:X56,1,$B$30)</f>
        <v>0.71860730593607303</v>
      </c>
      <c r="AH56">
        <v>0.71415525114155254</v>
      </c>
      <c r="AI56">
        <v>0.75296803652968036</v>
      </c>
      <c r="AJ56">
        <v>0.76780821917808217</v>
      </c>
      <c r="AK56">
        <v>0.85114155251141554</v>
      </c>
      <c r="AL56">
        <v>0.71860730593607303</v>
      </c>
      <c r="AM56">
        <v>0.72568493150684932</v>
      </c>
      <c r="AN56">
        <v>0.65890410958904111</v>
      </c>
      <c r="AO56">
        <v>0.62785388127853881</v>
      </c>
      <c r="AP56">
        <v>0.61963470319634706</v>
      </c>
      <c r="AQ56">
        <v>0.89908675799086757</v>
      </c>
      <c r="AR56">
        <v>0.51894977168949774</v>
      </c>
    </row>
    <row r="57" spans="7:44" x14ac:dyDescent="0.15">
      <c r="G57" s="565">
        <v>13</v>
      </c>
      <c r="H57" s="564">
        <v>0.75433789954337904</v>
      </c>
      <c r="I57" s="564">
        <v>0.78493150684931512</v>
      </c>
      <c r="J57" s="564">
        <v>0.80593607305936077</v>
      </c>
      <c r="K57" s="564">
        <v>0.87602739726027401</v>
      </c>
      <c r="L57" s="564">
        <v>0.74589041095890407</v>
      </c>
      <c r="M57" s="564">
        <v>0.74257990867579904</v>
      </c>
      <c r="N57" s="564">
        <v>0.77579908675799092</v>
      </c>
      <c r="O57" s="564">
        <v>0.73390410958904106</v>
      </c>
      <c r="P57" s="564">
        <v>0.72397260273972608</v>
      </c>
      <c r="Q57" s="564">
        <v>0.66997716894977166</v>
      </c>
      <c r="R57" s="564">
        <v>0.65228310502283104</v>
      </c>
      <c r="S57" s="564">
        <v>0.74589041095890407</v>
      </c>
      <c r="T57" s="564">
        <v>0.94417808219178079</v>
      </c>
      <c r="U57" s="564">
        <v>0.55468036529680365</v>
      </c>
      <c r="V57" s="564">
        <v>0.76404109589041092</v>
      </c>
      <c r="W57" s="564">
        <v>0.70742009132420092</v>
      </c>
      <c r="X57" s="564">
        <v>0.67043378995433789</v>
      </c>
      <c r="Z57" s="655" cm="1">
        <f t="array" ref="Z57">INDEX(H57:X57,1,$B$30)</f>
        <v>0.76404109589041092</v>
      </c>
      <c r="AH57">
        <v>0.75433789954337904</v>
      </c>
      <c r="AI57">
        <v>0.78493150684931512</v>
      </c>
      <c r="AJ57">
        <v>0.80593607305936077</v>
      </c>
      <c r="AK57">
        <v>0.87602739726027401</v>
      </c>
      <c r="AL57">
        <v>0.76404109589041092</v>
      </c>
      <c r="AM57">
        <v>0.77579908675799092</v>
      </c>
      <c r="AN57">
        <v>0.70742009132420092</v>
      </c>
      <c r="AO57">
        <v>0.66997716894977166</v>
      </c>
      <c r="AP57">
        <v>0.67043378995433789</v>
      </c>
      <c r="AQ57">
        <v>0.94417808219178079</v>
      </c>
      <c r="AR57">
        <v>0.55468036529680365</v>
      </c>
    </row>
    <row r="58" spans="7:44" x14ac:dyDescent="0.15">
      <c r="G58" s="565">
        <v>14</v>
      </c>
      <c r="H58" s="564">
        <v>0.7873287671232877</v>
      </c>
      <c r="I58" s="564">
        <v>0.81974885844748857</v>
      </c>
      <c r="J58" s="564">
        <v>0.84509132420091326</v>
      </c>
      <c r="K58" s="564">
        <v>0.89577625570776254</v>
      </c>
      <c r="L58" s="564">
        <v>0.79063926940639273</v>
      </c>
      <c r="M58" s="564">
        <v>0.7909817351598174</v>
      </c>
      <c r="N58" s="564">
        <v>0.82248858447488582</v>
      </c>
      <c r="O58" s="564">
        <v>0.77214611872146122</v>
      </c>
      <c r="P58" s="564">
        <v>0.75821917808219175</v>
      </c>
      <c r="Q58" s="564">
        <v>0.7179223744292238</v>
      </c>
      <c r="R58" s="564">
        <v>0.69086757990867576</v>
      </c>
      <c r="S58" s="564">
        <v>0.79063926940639273</v>
      </c>
      <c r="T58" s="564">
        <v>0.97648401826484021</v>
      </c>
      <c r="U58" s="564">
        <v>0.59063926940639266</v>
      </c>
      <c r="V58" s="564">
        <v>0.80936073059360736</v>
      </c>
      <c r="W58" s="564">
        <v>0.75582191780821917</v>
      </c>
      <c r="X58" s="564">
        <v>0.72328767123287674</v>
      </c>
      <c r="Z58" s="655" cm="1">
        <f t="array" ref="Z58">INDEX(H58:X58,1,$B$30)</f>
        <v>0.80936073059360736</v>
      </c>
      <c r="AH58">
        <v>0.7873287671232877</v>
      </c>
      <c r="AI58">
        <v>0.81974885844748857</v>
      </c>
      <c r="AJ58">
        <v>0.84509132420091326</v>
      </c>
      <c r="AK58">
        <v>0.89577625570776254</v>
      </c>
      <c r="AL58">
        <v>0.80936073059360736</v>
      </c>
      <c r="AM58">
        <v>0.82248858447488582</v>
      </c>
      <c r="AN58">
        <v>0.75582191780821917</v>
      </c>
      <c r="AO58">
        <v>0.7179223744292238</v>
      </c>
      <c r="AP58">
        <v>0.72328767123287674</v>
      </c>
      <c r="AQ58">
        <v>0.97648401826484021</v>
      </c>
      <c r="AR58">
        <v>0.59063926940639266</v>
      </c>
    </row>
    <row r="59" spans="7:44" x14ac:dyDescent="0.15">
      <c r="G59" s="565">
        <v>15</v>
      </c>
      <c r="H59" s="564">
        <v>0.82625570776255708</v>
      </c>
      <c r="I59" s="564">
        <v>0.85468036529680369</v>
      </c>
      <c r="J59" s="564">
        <v>0.87568493150684934</v>
      </c>
      <c r="K59" s="564">
        <v>0.91803652968036531</v>
      </c>
      <c r="L59" s="564">
        <v>0.83755707762557075</v>
      </c>
      <c r="M59" s="564">
        <v>0.8392694063926941</v>
      </c>
      <c r="N59" s="564">
        <v>0.86130136986301364</v>
      </c>
      <c r="O59" s="564">
        <v>0.81084474885844748</v>
      </c>
      <c r="P59" s="564">
        <v>0.79429223744292232</v>
      </c>
      <c r="Q59" s="564">
        <v>0.76210045662100456</v>
      </c>
      <c r="R59" s="564">
        <v>0.72910958904109591</v>
      </c>
      <c r="S59" s="564">
        <v>0.83755707762557075</v>
      </c>
      <c r="T59" s="564">
        <v>0.99235159817351604</v>
      </c>
      <c r="U59" s="564">
        <v>0.63036529680365294</v>
      </c>
      <c r="V59" s="564">
        <v>0.84531963470319638</v>
      </c>
      <c r="W59" s="564">
        <v>0.79965753424657537</v>
      </c>
      <c r="X59" s="564">
        <v>0.77203196347031966</v>
      </c>
      <c r="Z59" s="655" cm="1">
        <f t="array" ref="Z59">INDEX(H59:X59,1,$B$30)</f>
        <v>0.84531963470319638</v>
      </c>
      <c r="AH59">
        <v>0.82625570776255708</v>
      </c>
      <c r="AI59">
        <v>0.85468036529680369</v>
      </c>
      <c r="AJ59">
        <v>0.87568493150684934</v>
      </c>
      <c r="AK59">
        <v>0.91803652968036531</v>
      </c>
      <c r="AL59">
        <v>0.84531963470319638</v>
      </c>
      <c r="AM59">
        <v>0.86130136986301364</v>
      </c>
      <c r="AN59">
        <v>0.79965753424657537</v>
      </c>
      <c r="AO59">
        <v>0.76210045662100456</v>
      </c>
      <c r="AP59">
        <v>0.77203196347031966</v>
      </c>
      <c r="AQ59">
        <v>0.99235159817351604</v>
      </c>
      <c r="AR59">
        <v>0.63036529680365294</v>
      </c>
    </row>
    <row r="60" spans="7:44" x14ac:dyDescent="0.15">
      <c r="G60" s="565">
        <v>16</v>
      </c>
      <c r="H60" s="564">
        <v>0.86187214611872143</v>
      </c>
      <c r="I60" s="564">
        <v>0.88059360730593605</v>
      </c>
      <c r="J60" s="564">
        <v>0.89908675799086757</v>
      </c>
      <c r="K60" s="564">
        <v>0.93550228310502281</v>
      </c>
      <c r="L60" s="564">
        <v>0.86472602739726023</v>
      </c>
      <c r="M60" s="564">
        <v>0.86073059360730597</v>
      </c>
      <c r="N60" s="564">
        <v>0.88299086757990863</v>
      </c>
      <c r="O60" s="564">
        <v>0.83116438356164379</v>
      </c>
      <c r="P60" s="564">
        <v>0.81198630136986305</v>
      </c>
      <c r="Q60" s="564">
        <v>0.78047945205479452</v>
      </c>
      <c r="R60" s="564">
        <v>0.75102739726027401</v>
      </c>
      <c r="S60" s="564">
        <v>0.86472602739726023</v>
      </c>
      <c r="T60" s="564">
        <v>0.99509132420091329</v>
      </c>
      <c r="U60" s="564">
        <v>0.647716894977169</v>
      </c>
      <c r="V60" s="564">
        <v>0.86312785388127855</v>
      </c>
      <c r="W60" s="564">
        <v>0.8238584474885845</v>
      </c>
      <c r="X60" s="564">
        <v>0.79349315068493154</v>
      </c>
      <c r="Z60" s="655" cm="1">
        <f t="array" ref="Z60">INDEX(H60:X60,1,$B$30)</f>
        <v>0.86312785388127855</v>
      </c>
      <c r="AH60">
        <v>0.86187214611872143</v>
      </c>
      <c r="AI60">
        <v>0.88059360730593605</v>
      </c>
      <c r="AJ60">
        <v>0.89908675799086757</v>
      </c>
      <c r="AK60">
        <v>0.93550228310502281</v>
      </c>
      <c r="AL60">
        <v>0.86312785388127855</v>
      </c>
      <c r="AM60">
        <v>0.88299086757990863</v>
      </c>
      <c r="AN60">
        <v>0.8238584474885845</v>
      </c>
      <c r="AO60">
        <v>0.78047945205479452</v>
      </c>
      <c r="AP60">
        <v>0.79349315068493154</v>
      </c>
      <c r="AQ60">
        <v>0.99509132420091329</v>
      </c>
      <c r="AR60">
        <v>0.647716894977169</v>
      </c>
    </row>
    <row r="61" spans="7:44" x14ac:dyDescent="0.15">
      <c r="G61" s="565">
        <v>17</v>
      </c>
      <c r="H61" s="564">
        <v>0.88995433789954337</v>
      </c>
      <c r="I61" s="564">
        <v>0.90388127853881284</v>
      </c>
      <c r="J61" s="564">
        <v>0.92100456621004567</v>
      </c>
      <c r="K61" s="564">
        <v>0.95273972602739732</v>
      </c>
      <c r="L61" s="564">
        <v>0.90559360730593608</v>
      </c>
      <c r="M61" s="564">
        <v>0.89223744292237439</v>
      </c>
      <c r="N61" s="564">
        <v>0.9178082191780822</v>
      </c>
      <c r="O61" s="564">
        <v>0.86906392694063928</v>
      </c>
      <c r="P61" s="564">
        <v>0.8504566210045662</v>
      </c>
      <c r="Q61" s="564">
        <v>0.82351598173515983</v>
      </c>
      <c r="R61" s="564">
        <v>0.7901826484018265</v>
      </c>
      <c r="S61" s="564">
        <v>0.90559360730593608</v>
      </c>
      <c r="T61" s="564">
        <v>0.99840182648401832</v>
      </c>
      <c r="U61" s="564">
        <v>0.68196347031963467</v>
      </c>
      <c r="V61" s="564">
        <v>0.88949771689497714</v>
      </c>
      <c r="W61" s="564">
        <v>0.86335616438356166</v>
      </c>
      <c r="X61" s="564">
        <v>0.83253424657534247</v>
      </c>
      <c r="Z61" s="655" cm="1">
        <f t="array" ref="Z61">INDEX(H61:X61,1,$B$30)</f>
        <v>0.88949771689497714</v>
      </c>
      <c r="AH61">
        <v>0.88995433789954337</v>
      </c>
      <c r="AI61">
        <v>0.90388127853881284</v>
      </c>
      <c r="AJ61">
        <v>0.92100456621004567</v>
      </c>
      <c r="AK61">
        <v>0.95273972602739732</v>
      </c>
      <c r="AL61">
        <v>0.88949771689497714</v>
      </c>
      <c r="AM61">
        <v>0.9178082191780822</v>
      </c>
      <c r="AN61">
        <v>0.86335616438356166</v>
      </c>
      <c r="AO61">
        <v>0.82351598173515983</v>
      </c>
      <c r="AP61">
        <v>0.83253424657534247</v>
      </c>
      <c r="AQ61">
        <v>0.99840182648401832</v>
      </c>
      <c r="AR61">
        <v>0.68196347031963467</v>
      </c>
    </row>
    <row r="62" spans="7:44" x14ac:dyDescent="0.15">
      <c r="G62" s="565">
        <v>18</v>
      </c>
      <c r="H62" s="564">
        <v>0.91358447488584471</v>
      </c>
      <c r="I62" s="564">
        <v>0.92260273972602735</v>
      </c>
      <c r="J62" s="564">
        <v>0.9389269406392694</v>
      </c>
      <c r="K62" s="564">
        <v>0.9671232876712329</v>
      </c>
      <c r="L62" s="564">
        <v>0.93618721461187215</v>
      </c>
      <c r="M62" s="564">
        <v>0.92682648401826484</v>
      </c>
      <c r="N62" s="564">
        <v>0.94509132420091324</v>
      </c>
      <c r="O62" s="564">
        <v>0.90148401826484015</v>
      </c>
      <c r="P62" s="564">
        <v>0.88789954337899546</v>
      </c>
      <c r="Q62" s="564">
        <v>0.86461187214611868</v>
      </c>
      <c r="R62" s="564">
        <v>0.82773972602739732</v>
      </c>
      <c r="S62" s="564">
        <v>0.93618721461187215</v>
      </c>
      <c r="T62" s="564">
        <v>1</v>
      </c>
      <c r="U62" s="564">
        <v>0.71826484018264836</v>
      </c>
      <c r="V62" s="564">
        <v>0.91461187214611872</v>
      </c>
      <c r="W62" s="564">
        <v>0.8987442922374429</v>
      </c>
      <c r="X62" s="564">
        <v>0.86906392694063928</v>
      </c>
      <c r="Z62" s="655" cm="1">
        <f t="array" ref="Z62">INDEX(H62:X62,1,$B$30)</f>
        <v>0.91461187214611872</v>
      </c>
      <c r="AH62">
        <v>0.91358447488584471</v>
      </c>
      <c r="AI62">
        <v>0.92260273972602735</v>
      </c>
      <c r="AJ62">
        <v>0.9389269406392694</v>
      </c>
      <c r="AK62">
        <v>0.9671232876712329</v>
      </c>
      <c r="AL62">
        <v>0.91461187214611872</v>
      </c>
      <c r="AM62">
        <v>0.94509132420091324</v>
      </c>
      <c r="AN62">
        <v>0.8987442922374429</v>
      </c>
      <c r="AO62">
        <v>0.86461187214611868</v>
      </c>
      <c r="AP62">
        <v>0.86906392694063928</v>
      </c>
      <c r="AQ62">
        <v>1</v>
      </c>
      <c r="AR62">
        <v>0.71826484018264836</v>
      </c>
    </row>
    <row r="63" spans="7:44" x14ac:dyDescent="0.15">
      <c r="G63" s="565">
        <v>19</v>
      </c>
      <c r="H63" s="564">
        <v>0.93219178082191778</v>
      </c>
      <c r="I63" s="564">
        <v>0.93835616438356162</v>
      </c>
      <c r="J63" s="564">
        <v>0.95490867579908678</v>
      </c>
      <c r="K63" s="564">
        <v>0.97602739726027399</v>
      </c>
      <c r="L63" s="564">
        <v>0.96175799086757996</v>
      </c>
      <c r="M63" s="564">
        <v>0.9488584474885845</v>
      </c>
      <c r="N63" s="564">
        <v>0.96369863013698631</v>
      </c>
      <c r="O63" s="564">
        <v>0.92625570776255706</v>
      </c>
      <c r="P63" s="564">
        <v>0.91837899543378998</v>
      </c>
      <c r="Q63" s="564">
        <v>0.89452054794520552</v>
      </c>
      <c r="R63" s="564">
        <v>0.86472602739726023</v>
      </c>
      <c r="S63" s="564">
        <v>0.96175799086757996</v>
      </c>
      <c r="T63" s="564">
        <v>1</v>
      </c>
      <c r="U63" s="564">
        <v>0.75205479452054791</v>
      </c>
      <c r="V63" s="564">
        <v>0.93641552511415527</v>
      </c>
      <c r="W63" s="564">
        <v>0.92625570776255706</v>
      </c>
      <c r="X63" s="564">
        <v>0.9031963470319635</v>
      </c>
      <c r="Z63" s="655" cm="1">
        <f t="array" ref="Z63">INDEX(H63:X63,1,$B$30)</f>
        <v>0.93641552511415527</v>
      </c>
      <c r="AH63">
        <v>0.93219178082191778</v>
      </c>
      <c r="AI63">
        <v>0.93835616438356162</v>
      </c>
      <c r="AJ63">
        <v>0.95490867579908678</v>
      </c>
      <c r="AK63">
        <v>0.97602739726027399</v>
      </c>
      <c r="AL63">
        <v>0.93641552511415527</v>
      </c>
      <c r="AM63">
        <v>0.96369863013698631</v>
      </c>
      <c r="AN63">
        <v>0.92625570776255706</v>
      </c>
      <c r="AO63">
        <v>0.89452054794520552</v>
      </c>
      <c r="AP63">
        <v>0.9031963470319635</v>
      </c>
      <c r="AQ63">
        <v>1</v>
      </c>
      <c r="AR63">
        <v>0.75205479452054791</v>
      </c>
    </row>
    <row r="64" spans="7:44" x14ac:dyDescent="0.15">
      <c r="G64" s="565">
        <v>20</v>
      </c>
      <c r="H64" s="564">
        <v>0.94783105022831049</v>
      </c>
      <c r="I64" s="564">
        <v>0.95490867579908678</v>
      </c>
      <c r="J64" s="564">
        <v>0.96700913242009134</v>
      </c>
      <c r="K64" s="564">
        <v>0.98264840182648405</v>
      </c>
      <c r="L64" s="564">
        <v>0.97636986301369866</v>
      </c>
      <c r="M64" s="564">
        <v>0.966324200913242</v>
      </c>
      <c r="N64" s="564">
        <v>0.97659817351598177</v>
      </c>
      <c r="O64" s="564">
        <v>0.95079908675799085</v>
      </c>
      <c r="P64" s="564">
        <v>0.94200913242009132</v>
      </c>
      <c r="Q64" s="564">
        <v>0.92123287671232879</v>
      </c>
      <c r="R64" s="564">
        <v>0.8969178082191781</v>
      </c>
      <c r="S64" s="564">
        <v>0.97636986301369866</v>
      </c>
      <c r="T64" s="564">
        <v>1</v>
      </c>
      <c r="U64" s="564">
        <v>0.78436073059360734</v>
      </c>
      <c r="V64" s="564">
        <v>0.95399543378995433</v>
      </c>
      <c r="W64" s="564">
        <v>0.9480593607305936</v>
      </c>
      <c r="X64" s="564">
        <v>0.92842465753424652</v>
      </c>
      <c r="Z64" s="655" cm="1">
        <f t="array" ref="Z64">INDEX(H64:X64,1,$B$30)</f>
        <v>0.95399543378995433</v>
      </c>
      <c r="AH64">
        <v>0.94783105022831049</v>
      </c>
      <c r="AI64">
        <v>0.95490867579908678</v>
      </c>
      <c r="AJ64">
        <v>0.96700913242009134</v>
      </c>
      <c r="AK64">
        <v>0.98264840182648405</v>
      </c>
      <c r="AL64">
        <v>0.95399543378995433</v>
      </c>
      <c r="AM64">
        <v>0.97659817351598177</v>
      </c>
      <c r="AN64">
        <v>0.9480593607305936</v>
      </c>
      <c r="AO64">
        <v>0.92123287671232879</v>
      </c>
      <c r="AP64">
        <v>0.92842465753424652</v>
      </c>
      <c r="AQ64">
        <v>1</v>
      </c>
      <c r="AR64">
        <v>0.78436073059360734</v>
      </c>
    </row>
    <row r="65" spans="7:44" x14ac:dyDescent="0.15">
      <c r="G65" s="565">
        <v>21</v>
      </c>
      <c r="H65" s="564">
        <v>0.96324200913242009</v>
      </c>
      <c r="I65" s="564">
        <v>0.96757990867579913</v>
      </c>
      <c r="J65" s="564">
        <v>0.9780821917808219</v>
      </c>
      <c r="K65" s="564">
        <v>0.98789954337899544</v>
      </c>
      <c r="L65" s="564">
        <v>0.98344748858447484</v>
      </c>
      <c r="M65" s="564">
        <v>0.97328767123287674</v>
      </c>
      <c r="N65" s="564">
        <v>0.9817351598173516</v>
      </c>
      <c r="O65" s="564">
        <v>0.96198630136986296</v>
      </c>
      <c r="P65" s="564">
        <v>0.95125570776255708</v>
      </c>
      <c r="Q65" s="564">
        <v>0.93287671232876712</v>
      </c>
      <c r="R65" s="564">
        <v>0.91255707762557081</v>
      </c>
      <c r="S65" s="564">
        <v>0.98344748858447484</v>
      </c>
      <c r="T65" s="564">
        <v>1</v>
      </c>
      <c r="U65" s="564">
        <v>0.80136986301369861</v>
      </c>
      <c r="V65" s="564">
        <v>0.96107305936073062</v>
      </c>
      <c r="W65" s="564">
        <v>0.95913242009132416</v>
      </c>
      <c r="X65" s="564">
        <v>0.9397260273972603</v>
      </c>
      <c r="Z65" s="655" cm="1">
        <f t="array" ref="Z65">INDEX(H65:X65,1,$B$30)</f>
        <v>0.96107305936073062</v>
      </c>
      <c r="AH65">
        <v>0.96324200913242009</v>
      </c>
      <c r="AI65">
        <v>0.96757990867579913</v>
      </c>
      <c r="AJ65">
        <v>0.9780821917808219</v>
      </c>
      <c r="AK65">
        <v>0.98789954337899544</v>
      </c>
      <c r="AL65">
        <v>0.96107305936073062</v>
      </c>
      <c r="AM65">
        <v>0.9817351598173516</v>
      </c>
      <c r="AN65">
        <v>0.95913242009132416</v>
      </c>
      <c r="AO65">
        <v>0.93287671232876712</v>
      </c>
      <c r="AP65">
        <v>0.9397260273972603</v>
      </c>
      <c r="AQ65">
        <v>1</v>
      </c>
      <c r="AR65">
        <v>0.80136986301369861</v>
      </c>
    </row>
    <row r="66" spans="7:44" x14ac:dyDescent="0.15">
      <c r="G66" s="565">
        <v>22</v>
      </c>
      <c r="H66" s="564">
        <v>0.97283105022831051</v>
      </c>
      <c r="I66" s="564">
        <v>0.97751141552511411</v>
      </c>
      <c r="J66" s="564">
        <v>0.98652968036529676</v>
      </c>
      <c r="K66" s="564">
        <v>0.9916666666666667</v>
      </c>
      <c r="L66" s="564">
        <v>0.99155251141552514</v>
      </c>
      <c r="M66" s="564">
        <v>0.98436073059360729</v>
      </c>
      <c r="N66" s="564">
        <v>0.98847031963470322</v>
      </c>
      <c r="O66" s="564">
        <v>0.97408675799086752</v>
      </c>
      <c r="P66" s="564">
        <v>0.96643835616438356</v>
      </c>
      <c r="Q66" s="564">
        <v>0.95091324200913241</v>
      </c>
      <c r="R66" s="564">
        <v>0.93515981735159814</v>
      </c>
      <c r="S66" s="564">
        <v>0.99155251141552514</v>
      </c>
      <c r="T66" s="564">
        <v>1</v>
      </c>
      <c r="U66" s="564">
        <v>0.83105022831050224</v>
      </c>
      <c r="V66" s="564">
        <v>0.97305936073059363</v>
      </c>
      <c r="W66" s="564">
        <v>0.97454337899543375</v>
      </c>
      <c r="X66" s="564">
        <v>0.95684931506849313</v>
      </c>
      <c r="Z66" s="655" cm="1">
        <f t="array" ref="Z66">INDEX(H66:X66,1,$B$30)</f>
        <v>0.97305936073059363</v>
      </c>
      <c r="AH66">
        <v>0.97283105022831051</v>
      </c>
      <c r="AI66">
        <v>0.97751141552511411</v>
      </c>
      <c r="AJ66">
        <v>0.98652968036529676</v>
      </c>
      <c r="AK66">
        <v>0.9916666666666667</v>
      </c>
      <c r="AL66">
        <v>0.97305936073059363</v>
      </c>
      <c r="AM66">
        <v>0.98847031963470322</v>
      </c>
      <c r="AN66">
        <v>0.97454337899543375</v>
      </c>
      <c r="AO66">
        <v>0.95091324200913241</v>
      </c>
      <c r="AP66">
        <v>0.95684931506849313</v>
      </c>
      <c r="AQ66">
        <v>1</v>
      </c>
      <c r="AR66">
        <v>0.83105022831050224</v>
      </c>
    </row>
    <row r="67" spans="7:44" x14ac:dyDescent="0.15">
      <c r="G67" s="565">
        <v>23</v>
      </c>
      <c r="H67" s="564">
        <v>0.98082191780821915</v>
      </c>
      <c r="I67" s="564">
        <v>0.9853881278538813</v>
      </c>
      <c r="J67" s="564">
        <v>0.99303652968036527</v>
      </c>
      <c r="K67" s="564">
        <v>0.99497716894977173</v>
      </c>
      <c r="L67" s="564">
        <v>0.99691780821917808</v>
      </c>
      <c r="M67" s="564">
        <v>0.9926940639269406</v>
      </c>
      <c r="N67" s="564">
        <v>0.99372146118721461</v>
      </c>
      <c r="O67" s="564">
        <v>0.98413242009132418</v>
      </c>
      <c r="P67" s="564">
        <v>0.97785388127853878</v>
      </c>
      <c r="Q67" s="564">
        <v>0.9671232876712329</v>
      </c>
      <c r="R67" s="564">
        <v>0.95525114155251145</v>
      </c>
      <c r="S67" s="564">
        <v>0.99691780821917808</v>
      </c>
      <c r="T67" s="564">
        <v>1</v>
      </c>
      <c r="U67" s="564">
        <v>0.86107305936073064</v>
      </c>
      <c r="V67" s="564">
        <v>0.98264840182648405</v>
      </c>
      <c r="W67" s="564">
        <v>0.98561643835616441</v>
      </c>
      <c r="X67" s="564">
        <v>0.96986301369863015</v>
      </c>
      <c r="Z67" s="655" cm="1">
        <f t="array" ref="Z67">INDEX(H67:X67,1,$B$30)</f>
        <v>0.98264840182648405</v>
      </c>
      <c r="AH67">
        <v>0.98082191780821915</v>
      </c>
      <c r="AI67">
        <v>0.9853881278538813</v>
      </c>
      <c r="AJ67">
        <v>0.99303652968036527</v>
      </c>
      <c r="AK67">
        <v>0.99497716894977173</v>
      </c>
      <c r="AL67">
        <v>0.98264840182648405</v>
      </c>
      <c r="AM67">
        <v>0.99372146118721461</v>
      </c>
      <c r="AN67">
        <v>0.98561643835616441</v>
      </c>
      <c r="AO67">
        <v>0.9671232876712329</v>
      </c>
      <c r="AP67">
        <v>0.96986301369863015</v>
      </c>
      <c r="AQ67">
        <v>1</v>
      </c>
      <c r="AR67">
        <v>0.86107305936073064</v>
      </c>
    </row>
    <row r="68" spans="7:44" x14ac:dyDescent="0.15">
      <c r="G68" s="565">
        <v>24</v>
      </c>
      <c r="H68" s="564">
        <v>0.98550228310502286</v>
      </c>
      <c r="I68" s="564">
        <v>0.99098173515981736</v>
      </c>
      <c r="J68" s="564">
        <v>0.99760273972602742</v>
      </c>
      <c r="K68" s="564">
        <v>0.99748858447488586</v>
      </c>
      <c r="L68" s="564">
        <v>0.99977168949771689</v>
      </c>
      <c r="M68" s="564">
        <v>0.99760273972602742</v>
      </c>
      <c r="N68" s="564">
        <v>0.9963470319634703</v>
      </c>
      <c r="O68" s="564">
        <v>0.99132420091324203</v>
      </c>
      <c r="P68" s="564">
        <v>0.98732876712328765</v>
      </c>
      <c r="Q68" s="564">
        <v>0.97819634703196345</v>
      </c>
      <c r="R68" s="564">
        <v>0.97111872146118716</v>
      </c>
      <c r="S68" s="564">
        <v>0.99977168949771689</v>
      </c>
      <c r="T68" s="564">
        <v>1</v>
      </c>
      <c r="U68" s="564">
        <v>0.89109589041095894</v>
      </c>
      <c r="V68" s="564">
        <v>0.99041095890410957</v>
      </c>
      <c r="W68" s="564">
        <v>0.99257990867579904</v>
      </c>
      <c r="X68" s="564">
        <v>0.98036529680365292</v>
      </c>
      <c r="Z68" s="655" cm="1">
        <f t="array" ref="Z68">INDEX(H68:X68,1,$B$30)</f>
        <v>0.99041095890410957</v>
      </c>
      <c r="AH68">
        <v>0.98550228310502286</v>
      </c>
      <c r="AI68">
        <v>0.99098173515981736</v>
      </c>
      <c r="AJ68">
        <v>0.99760273972602742</v>
      </c>
      <c r="AK68">
        <v>0.99748858447488586</v>
      </c>
      <c r="AL68">
        <v>0.99041095890410957</v>
      </c>
      <c r="AM68">
        <v>0.9963470319634703</v>
      </c>
      <c r="AN68">
        <v>0.99257990867579904</v>
      </c>
      <c r="AO68">
        <v>0.97819634703196345</v>
      </c>
      <c r="AP68">
        <v>0.98036529680365292</v>
      </c>
      <c r="AQ68">
        <v>1</v>
      </c>
      <c r="AR68">
        <v>0.89109589041095894</v>
      </c>
    </row>
    <row r="69" spans="7:44" x14ac:dyDescent="0.15">
      <c r="G69" s="565">
        <v>25</v>
      </c>
      <c r="H69" s="564">
        <v>0.98949771689497712</v>
      </c>
      <c r="I69" s="564">
        <v>0.99520547945205484</v>
      </c>
      <c r="J69" s="564">
        <v>0.9992009132420091</v>
      </c>
      <c r="K69" s="564">
        <v>0.99851598173515976</v>
      </c>
      <c r="L69" s="564">
        <v>1</v>
      </c>
      <c r="M69" s="564">
        <v>0.99977168949771689</v>
      </c>
      <c r="N69" s="564">
        <v>0.99840182648401832</v>
      </c>
      <c r="O69" s="564">
        <v>0.99566210045662096</v>
      </c>
      <c r="P69" s="564">
        <v>0.99326484018264838</v>
      </c>
      <c r="Q69" s="564">
        <v>0.98732876712328765</v>
      </c>
      <c r="R69" s="564">
        <v>0.98344748858447484</v>
      </c>
      <c r="S69" s="564">
        <v>1</v>
      </c>
      <c r="T69" s="564">
        <v>1</v>
      </c>
      <c r="U69" s="564">
        <v>0.91792237442922375</v>
      </c>
      <c r="V69" s="564">
        <v>0.99566210045662096</v>
      </c>
      <c r="W69" s="564">
        <v>0.99589041095890407</v>
      </c>
      <c r="X69" s="564">
        <v>0.98710045662100454</v>
      </c>
      <c r="Z69" s="655" cm="1">
        <f t="array" ref="Z69">INDEX(H69:X69,1,$B$30)</f>
        <v>0.99566210045662096</v>
      </c>
      <c r="AH69">
        <v>0.98949771689497712</v>
      </c>
      <c r="AI69">
        <v>0.99520547945205484</v>
      </c>
      <c r="AJ69">
        <v>0.9992009132420091</v>
      </c>
      <c r="AK69">
        <v>0.99851598173515976</v>
      </c>
      <c r="AL69">
        <v>0.99566210045662096</v>
      </c>
      <c r="AM69">
        <v>0.99840182648401832</v>
      </c>
      <c r="AN69">
        <v>0.99589041095890407</v>
      </c>
      <c r="AO69">
        <v>0.98732876712328765</v>
      </c>
      <c r="AP69">
        <v>0.98710045662100454</v>
      </c>
      <c r="AQ69">
        <v>1</v>
      </c>
      <c r="AR69">
        <v>0.91792237442922375</v>
      </c>
    </row>
    <row r="70" spans="7:44" x14ac:dyDescent="0.15">
      <c r="G70" s="565">
        <v>26</v>
      </c>
      <c r="H70" s="564">
        <v>0.99372146118721461</v>
      </c>
      <c r="I70" s="564">
        <v>0.99691780821917808</v>
      </c>
      <c r="J70" s="564">
        <v>0.99965753424657533</v>
      </c>
      <c r="K70" s="564">
        <v>0.99954337899543377</v>
      </c>
      <c r="L70" s="564">
        <v>1</v>
      </c>
      <c r="M70" s="564">
        <v>1</v>
      </c>
      <c r="N70" s="564">
        <v>0.99908675799086755</v>
      </c>
      <c r="O70" s="564">
        <v>0.99760273972602742</v>
      </c>
      <c r="P70" s="564">
        <v>0.9953196347031964</v>
      </c>
      <c r="Q70" s="564">
        <v>0.99018264840182646</v>
      </c>
      <c r="R70" s="564">
        <v>0.98755707762557077</v>
      </c>
      <c r="S70" s="564">
        <v>1</v>
      </c>
      <c r="T70" s="564">
        <v>1</v>
      </c>
      <c r="U70" s="564">
        <v>0.92968036529680365</v>
      </c>
      <c r="V70" s="564">
        <v>0.9981735159817352</v>
      </c>
      <c r="W70" s="564">
        <v>0.99714611872146119</v>
      </c>
      <c r="X70" s="564">
        <v>0.99075342465753424</v>
      </c>
      <c r="Z70" s="655" cm="1">
        <f t="array" ref="Z70">INDEX(H70:X70,1,$B$30)</f>
        <v>0.9981735159817352</v>
      </c>
      <c r="AH70">
        <v>0.99372146118721461</v>
      </c>
      <c r="AI70">
        <v>0.99691780821917808</v>
      </c>
      <c r="AJ70">
        <v>0.99965753424657533</v>
      </c>
      <c r="AK70">
        <v>0.99954337899543377</v>
      </c>
      <c r="AL70">
        <v>0.9981735159817352</v>
      </c>
      <c r="AM70">
        <v>0.99908675799086755</v>
      </c>
      <c r="AN70">
        <v>0.99714611872146119</v>
      </c>
      <c r="AO70">
        <v>0.99018264840182646</v>
      </c>
      <c r="AP70">
        <v>0.99075342465753424</v>
      </c>
      <c r="AQ70">
        <v>1</v>
      </c>
      <c r="AR70">
        <v>0.92968036529680365</v>
      </c>
    </row>
    <row r="71" spans="7:44" x14ac:dyDescent="0.15">
      <c r="G71" s="565">
        <v>27</v>
      </c>
      <c r="H71" s="564">
        <v>0.99668949771689497</v>
      </c>
      <c r="I71" s="564">
        <v>0.99840182648401832</v>
      </c>
      <c r="J71" s="564">
        <v>1</v>
      </c>
      <c r="K71" s="564">
        <v>1</v>
      </c>
      <c r="L71" s="564">
        <v>1</v>
      </c>
      <c r="M71" s="564">
        <v>1</v>
      </c>
      <c r="N71" s="564">
        <v>0.99965753424657533</v>
      </c>
      <c r="O71" s="564">
        <v>0.99931506849315066</v>
      </c>
      <c r="P71" s="564">
        <v>0.99805936073059365</v>
      </c>
      <c r="Q71" s="564">
        <v>0.99543378995433784</v>
      </c>
      <c r="R71" s="564">
        <v>0.99337899543378994</v>
      </c>
      <c r="S71" s="564">
        <v>1</v>
      </c>
      <c r="T71" s="564">
        <v>1</v>
      </c>
      <c r="U71" s="564">
        <v>0.94897260273972606</v>
      </c>
      <c r="V71" s="564">
        <v>0.9992009132420091</v>
      </c>
      <c r="W71" s="564">
        <v>0.99885844748858443</v>
      </c>
      <c r="X71" s="564">
        <v>0.99429223744292239</v>
      </c>
      <c r="Z71" s="655" cm="1">
        <f t="array" ref="Z71">INDEX(H71:X71,1,$B$30)</f>
        <v>0.9992009132420091</v>
      </c>
      <c r="AH71">
        <v>0.99668949771689497</v>
      </c>
      <c r="AI71">
        <v>0.99840182648401832</v>
      </c>
      <c r="AJ71">
        <v>1</v>
      </c>
      <c r="AK71">
        <v>1</v>
      </c>
      <c r="AL71">
        <v>0.9992009132420091</v>
      </c>
      <c r="AM71">
        <v>0.99965753424657533</v>
      </c>
      <c r="AN71">
        <v>0.99885844748858443</v>
      </c>
      <c r="AO71">
        <v>0.99543378995433784</v>
      </c>
      <c r="AP71">
        <v>0.99429223744292239</v>
      </c>
      <c r="AQ71">
        <v>1</v>
      </c>
      <c r="AR71">
        <v>0.94897260273972606</v>
      </c>
    </row>
    <row r="72" spans="7:44" x14ac:dyDescent="0.15">
      <c r="G72" s="565">
        <v>28</v>
      </c>
      <c r="H72" s="564">
        <v>0.99874429223744288</v>
      </c>
      <c r="I72" s="564">
        <v>0.9992009132420091</v>
      </c>
      <c r="J72" s="564">
        <v>1</v>
      </c>
      <c r="K72" s="564">
        <v>1</v>
      </c>
      <c r="L72" s="564">
        <v>1</v>
      </c>
      <c r="M72" s="564">
        <v>1</v>
      </c>
      <c r="N72" s="564">
        <v>1</v>
      </c>
      <c r="O72" s="564">
        <v>0.99988584474885844</v>
      </c>
      <c r="P72" s="564">
        <v>0.99931506849315066</v>
      </c>
      <c r="Q72" s="564">
        <v>0.99760273972602742</v>
      </c>
      <c r="R72" s="564">
        <v>0.99726027397260275</v>
      </c>
      <c r="S72" s="564">
        <v>1</v>
      </c>
      <c r="T72" s="564">
        <v>1</v>
      </c>
      <c r="U72" s="564">
        <v>0.96461187214611877</v>
      </c>
      <c r="V72" s="564">
        <v>1</v>
      </c>
      <c r="W72" s="564">
        <v>0.99965753424657533</v>
      </c>
      <c r="X72" s="564">
        <v>0.99657534246575341</v>
      </c>
      <c r="Z72" s="655" cm="1">
        <f t="array" ref="Z72">INDEX(H72:X72,1,$B$30)</f>
        <v>1</v>
      </c>
      <c r="AH72">
        <v>0.99874429223744288</v>
      </c>
      <c r="AI72">
        <v>0.9992009132420091</v>
      </c>
      <c r="AJ72">
        <v>1</v>
      </c>
      <c r="AK72">
        <v>1</v>
      </c>
      <c r="AL72">
        <v>1</v>
      </c>
      <c r="AM72">
        <v>1</v>
      </c>
      <c r="AN72">
        <v>0.99965753424657533</v>
      </c>
      <c r="AO72">
        <v>0.99760273972602742</v>
      </c>
      <c r="AP72">
        <v>0.99657534246575341</v>
      </c>
      <c r="AQ72">
        <v>1</v>
      </c>
      <c r="AR72">
        <v>0.96461187214611877</v>
      </c>
    </row>
    <row r="73" spans="7:44" x14ac:dyDescent="0.15">
      <c r="G73" s="565">
        <v>29</v>
      </c>
      <c r="H73" s="564">
        <v>0.99965753424657533</v>
      </c>
      <c r="I73" s="564">
        <v>0.99977168949771689</v>
      </c>
      <c r="J73" s="564">
        <v>1</v>
      </c>
      <c r="K73" s="564">
        <v>1</v>
      </c>
      <c r="L73" s="564">
        <v>1</v>
      </c>
      <c r="M73" s="564">
        <v>1</v>
      </c>
      <c r="N73" s="564">
        <v>1</v>
      </c>
      <c r="O73" s="564">
        <v>1</v>
      </c>
      <c r="P73" s="564">
        <v>1</v>
      </c>
      <c r="Q73" s="564">
        <v>0.9992009132420091</v>
      </c>
      <c r="R73" s="564">
        <v>0.99863013698630132</v>
      </c>
      <c r="S73" s="564">
        <v>1</v>
      </c>
      <c r="T73" s="564">
        <v>1</v>
      </c>
      <c r="U73" s="564">
        <v>0.97671232876712333</v>
      </c>
      <c r="V73" s="564">
        <v>1</v>
      </c>
      <c r="W73" s="564">
        <v>1</v>
      </c>
      <c r="X73" s="564">
        <v>0.99885844748858443</v>
      </c>
      <c r="Z73" s="655" cm="1">
        <f t="array" ref="Z73">INDEX(H73:X73,1,$B$30)</f>
        <v>1</v>
      </c>
      <c r="AH73">
        <v>0.99965753424657533</v>
      </c>
      <c r="AI73">
        <v>0.99977168949771689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0.9992009132420091</v>
      </c>
      <c r="AP73">
        <v>0.99885844748858443</v>
      </c>
      <c r="AQ73">
        <v>1</v>
      </c>
      <c r="AR73">
        <v>0.97671232876712333</v>
      </c>
    </row>
    <row r="74" spans="7:44" x14ac:dyDescent="0.15">
      <c r="G74" s="565">
        <v>30</v>
      </c>
      <c r="H74" s="564">
        <v>1</v>
      </c>
      <c r="I74" s="564">
        <v>1</v>
      </c>
      <c r="J74" s="564">
        <v>1</v>
      </c>
      <c r="K74" s="564">
        <v>1</v>
      </c>
      <c r="L74" s="564">
        <v>1</v>
      </c>
      <c r="M74" s="564">
        <v>1</v>
      </c>
      <c r="N74" s="564">
        <v>1</v>
      </c>
      <c r="O74" s="564">
        <v>1</v>
      </c>
      <c r="P74" s="564">
        <v>1</v>
      </c>
      <c r="Q74" s="564">
        <v>1</v>
      </c>
      <c r="R74" s="564">
        <v>0.99977168949771689</v>
      </c>
      <c r="S74" s="564">
        <v>1</v>
      </c>
      <c r="T74" s="564">
        <v>1</v>
      </c>
      <c r="U74" s="564">
        <v>0.98527397260273974</v>
      </c>
      <c r="V74" s="564">
        <v>1</v>
      </c>
      <c r="W74" s="564">
        <v>1</v>
      </c>
      <c r="X74" s="564">
        <v>0.99988584474885844</v>
      </c>
      <c r="Z74" s="655" cm="1">
        <f t="array" ref="Z74">INDEX(H74:X74,1,$B$30)</f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0.99988584474885844</v>
      </c>
      <c r="AQ74">
        <v>1</v>
      </c>
      <c r="AR74">
        <v>0.98527397260273974</v>
      </c>
    </row>
    <row r="75" spans="7:44" x14ac:dyDescent="0.15">
      <c r="G75" s="565">
        <v>31</v>
      </c>
      <c r="H75" s="564">
        <v>1</v>
      </c>
      <c r="I75" s="564">
        <v>1</v>
      </c>
      <c r="J75" s="564">
        <v>1</v>
      </c>
      <c r="K75" s="564">
        <v>1</v>
      </c>
      <c r="L75" s="564">
        <v>1</v>
      </c>
      <c r="M75" s="564">
        <v>1</v>
      </c>
      <c r="N75" s="564">
        <v>1</v>
      </c>
      <c r="O75" s="564">
        <v>1</v>
      </c>
      <c r="P75" s="564">
        <v>1</v>
      </c>
      <c r="Q75" s="564">
        <v>1</v>
      </c>
      <c r="R75" s="564">
        <v>1</v>
      </c>
      <c r="S75" s="564">
        <v>1</v>
      </c>
      <c r="T75" s="564">
        <v>1</v>
      </c>
      <c r="U75" s="564">
        <v>0.98892694063926945</v>
      </c>
      <c r="V75" s="564">
        <v>1</v>
      </c>
      <c r="W75" s="564">
        <v>1</v>
      </c>
      <c r="X75" s="564">
        <v>1</v>
      </c>
      <c r="Z75" s="655" cm="1">
        <f t="array" ref="Z75">INDEX(H75:X75,1,$B$30)</f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  <c r="AN75">
        <v>1</v>
      </c>
      <c r="AO75">
        <v>1</v>
      </c>
      <c r="AP75">
        <v>1</v>
      </c>
      <c r="AQ75">
        <v>1</v>
      </c>
      <c r="AR75">
        <v>0.98892694063926945</v>
      </c>
    </row>
    <row r="76" spans="7:44" x14ac:dyDescent="0.15">
      <c r="G76" s="565">
        <v>32</v>
      </c>
      <c r="H76" s="564">
        <v>1</v>
      </c>
      <c r="I76" s="564">
        <v>1</v>
      </c>
      <c r="J76" s="564">
        <v>1</v>
      </c>
      <c r="K76" s="564">
        <v>1</v>
      </c>
      <c r="L76" s="564">
        <v>1</v>
      </c>
      <c r="M76" s="564">
        <v>1</v>
      </c>
      <c r="N76" s="564">
        <v>1</v>
      </c>
      <c r="O76" s="564">
        <v>1</v>
      </c>
      <c r="P76" s="564">
        <v>1</v>
      </c>
      <c r="Q76" s="564">
        <v>1</v>
      </c>
      <c r="R76" s="564">
        <v>1</v>
      </c>
      <c r="S76" s="564">
        <v>1</v>
      </c>
      <c r="T76" s="564">
        <v>1</v>
      </c>
      <c r="U76" s="564">
        <v>0.99417808219178083</v>
      </c>
      <c r="V76" s="564">
        <v>1</v>
      </c>
      <c r="W76" s="564">
        <v>1</v>
      </c>
      <c r="X76" s="564">
        <v>1</v>
      </c>
      <c r="Z76" s="655" cm="1">
        <f t="array" ref="Z76">INDEX(H76:X76,1,$B$30)</f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0.99417808219178083</v>
      </c>
    </row>
    <row r="77" spans="7:44" x14ac:dyDescent="0.15">
      <c r="G77" s="565">
        <v>33</v>
      </c>
      <c r="H77" s="564">
        <v>1</v>
      </c>
      <c r="I77" s="564">
        <v>1</v>
      </c>
      <c r="J77" s="564">
        <v>1</v>
      </c>
      <c r="K77" s="564">
        <v>1</v>
      </c>
      <c r="L77" s="564">
        <v>1</v>
      </c>
      <c r="M77" s="564">
        <v>1</v>
      </c>
      <c r="N77" s="564">
        <v>1</v>
      </c>
      <c r="O77" s="564">
        <v>1</v>
      </c>
      <c r="P77" s="564">
        <v>1</v>
      </c>
      <c r="Q77" s="564">
        <v>1</v>
      </c>
      <c r="R77" s="564">
        <v>1</v>
      </c>
      <c r="S77" s="564">
        <v>1</v>
      </c>
      <c r="T77" s="564">
        <v>1</v>
      </c>
      <c r="U77" s="564">
        <v>0.99714611872146119</v>
      </c>
      <c r="V77" s="564">
        <v>1</v>
      </c>
      <c r="W77" s="564">
        <v>1</v>
      </c>
      <c r="X77" s="564">
        <v>1</v>
      </c>
      <c r="Z77" s="655" cm="1">
        <f t="array" ref="Z77">INDEX(H77:X77,1,$B$30)</f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0.99714611872146119</v>
      </c>
    </row>
    <row r="78" spans="7:44" x14ac:dyDescent="0.15">
      <c r="G78" s="565">
        <v>34</v>
      </c>
      <c r="H78" s="564">
        <v>1</v>
      </c>
      <c r="I78" s="564">
        <v>1</v>
      </c>
      <c r="J78" s="564">
        <v>1</v>
      </c>
      <c r="K78" s="564">
        <v>1</v>
      </c>
      <c r="L78" s="564">
        <v>1</v>
      </c>
      <c r="M78" s="564">
        <v>1</v>
      </c>
      <c r="N78" s="564">
        <v>1</v>
      </c>
      <c r="O78" s="564">
        <v>1</v>
      </c>
      <c r="P78" s="564">
        <v>1</v>
      </c>
      <c r="Q78" s="564">
        <v>1</v>
      </c>
      <c r="R78" s="564">
        <v>1</v>
      </c>
      <c r="S78" s="564">
        <v>1</v>
      </c>
      <c r="T78" s="564">
        <v>1</v>
      </c>
      <c r="U78" s="564">
        <v>0.99908675799086755</v>
      </c>
      <c r="V78" s="564">
        <v>1</v>
      </c>
      <c r="W78" s="564">
        <v>1</v>
      </c>
      <c r="X78" s="564">
        <v>1</v>
      </c>
      <c r="Z78" s="655" cm="1">
        <f t="array" ref="Z78">INDEX(H78:X78,1,$B$30)</f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1</v>
      </c>
      <c r="AQ78">
        <v>1</v>
      </c>
      <c r="AR78">
        <v>0.99908675799086755</v>
      </c>
    </row>
    <row r="79" spans="7:44" x14ac:dyDescent="0.15">
      <c r="G79" s="565">
        <v>35</v>
      </c>
      <c r="H79" s="564">
        <v>1</v>
      </c>
      <c r="I79" s="564">
        <v>1</v>
      </c>
      <c r="J79" s="564">
        <v>1</v>
      </c>
      <c r="K79" s="564">
        <v>1</v>
      </c>
      <c r="L79" s="564">
        <v>1</v>
      </c>
      <c r="M79" s="564">
        <v>1</v>
      </c>
      <c r="N79" s="564">
        <v>1</v>
      </c>
      <c r="O79" s="564">
        <v>1</v>
      </c>
      <c r="P79" s="564">
        <v>1</v>
      </c>
      <c r="Q79" s="564">
        <v>1</v>
      </c>
      <c r="R79" s="564">
        <v>1</v>
      </c>
      <c r="S79" s="564">
        <v>1</v>
      </c>
      <c r="T79" s="564">
        <v>1</v>
      </c>
      <c r="U79" s="564">
        <v>0.99942922374429222</v>
      </c>
      <c r="V79" s="564">
        <v>1</v>
      </c>
      <c r="W79" s="564">
        <v>1</v>
      </c>
      <c r="X79" s="564">
        <v>1</v>
      </c>
      <c r="Z79" s="655" cm="1">
        <f t="array" ref="Z79">INDEX(H79:X79,1,$B$30)</f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0.99942922374429222</v>
      </c>
    </row>
    <row r="80" spans="7:44" x14ac:dyDescent="0.15">
      <c r="G80" s="565">
        <v>36</v>
      </c>
      <c r="H80" s="564">
        <v>1</v>
      </c>
      <c r="I80" s="564">
        <v>1</v>
      </c>
      <c r="J80" s="564">
        <v>1</v>
      </c>
      <c r="K80" s="564">
        <v>1</v>
      </c>
      <c r="L80" s="564">
        <v>1</v>
      </c>
      <c r="M80" s="564">
        <v>1</v>
      </c>
      <c r="N80" s="564">
        <v>1</v>
      </c>
      <c r="O80" s="564">
        <v>1</v>
      </c>
      <c r="P80" s="564">
        <v>1</v>
      </c>
      <c r="Q80" s="564">
        <v>1</v>
      </c>
      <c r="R80" s="564">
        <v>1</v>
      </c>
      <c r="S80" s="564">
        <v>1</v>
      </c>
      <c r="T80" s="564">
        <v>1</v>
      </c>
      <c r="U80" s="564">
        <v>0.99942922374429222</v>
      </c>
      <c r="V80" s="564">
        <v>1</v>
      </c>
      <c r="W80" s="564">
        <v>1</v>
      </c>
      <c r="X80" s="564">
        <v>1</v>
      </c>
      <c r="Z80" s="655" cm="1">
        <f t="array" ref="Z80">INDEX(H80:X80,1,$B$30)</f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1</v>
      </c>
      <c r="AQ80">
        <v>1</v>
      </c>
      <c r="AR80">
        <v>0.99942922374429222</v>
      </c>
    </row>
    <row r="81" spans="7:44" x14ac:dyDescent="0.15">
      <c r="G81" s="565">
        <v>37</v>
      </c>
      <c r="H81" s="564">
        <v>1</v>
      </c>
      <c r="I81" s="564">
        <v>1</v>
      </c>
      <c r="J81" s="564">
        <v>1</v>
      </c>
      <c r="K81" s="564">
        <v>1</v>
      </c>
      <c r="L81" s="564">
        <v>1</v>
      </c>
      <c r="M81" s="564">
        <v>1</v>
      </c>
      <c r="N81" s="564">
        <v>1</v>
      </c>
      <c r="O81" s="564">
        <v>1</v>
      </c>
      <c r="P81" s="564">
        <v>1</v>
      </c>
      <c r="Q81" s="564">
        <v>1</v>
      </c>
      <c r="R81" s="564">
        <v>1</v>
      </c>
      <c r="S81" s="564">
        <v>1</v>
      </c>
      <c r="T81" s="564">
        <v>1</v>
      </c>
      <c r="U81" s="564">
        <v>1</v>
      </c>
      <c r="V81" s="564">
        <v>1</v>
      </c>
      <c r="W81" s="564">
        <v>1</v>
      </c>
      <c r="X81" s="564">
        <v>1</v>
      </c>
      <c r="Z81" s="655" cm="1">
        <f t="array" ref="Z81">INDEX(H81:X81,1,$B$30)</f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1</v>
      </c>
      <c r="AR81">
        <v>1</v>
      </c>
    </row>
    <row r="82" spans="7:44" x14ac:dyDescent="0.15">
      <c r="G82" s="565">
        <v>38</v>
      </c>
      <c r="H82" s="564">
        <v>1</v>
      </c>
      <c r="I82" s="564">
        <v>1</v>
      </c>
      <c r="J82" s="564">
        <v>1</v>
      </c>
      <c r="K82" s="564">
        <v>1</v>
      </c>
      <c r="L82" s="564">
        <v>1</v>
      </c>
      <c r="M82" s="564">
        <v>1</v>
      </c>
      <c r="N82" s="564">
        <v>1</v>
      </c>
      <c r="O82" s="564">
        <v>1</v>
      </c>
      <c r="P82" s="564">
        <v>1</v>
      </c>
      <c r="Q82" s="564">
        <v>1</v>
      </c>
      <c r="R82" s="564">
        <v>1</v>
      </c>
      <c r="S82" s="564">
        <v>1</v>
      </c>
      <c r="T82" s="564">
        <v>1</v>
      </c>
      <c r="U82" s="564">
        <v>1</v>
      </c>
      <c r="V82" s="564">
        <v>1</v>
      </c>
      <c r="W82" s="564">
        <v>1</v>
      </c>
      <c r="X82" s="564">
        <v>1</v>
      </c>
      <c r="Z82" s="655" cm="1">
        <f t="array" ref="Z82">INDEX(H82:X82,1,$B$30)</f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1</v>
      </c>
    </row>
    <row r="83" spans="7:44" x14ac:dyDescent="0.15">
      <c r="G83" s="565">
        <v>39</v>
      </c>
      <c r="H83" s="564">
        <v>1</v>
      </c>
      <c r="I83" s="564">
        <v>1</v>
      </c>
      <c r="J83" s="564">
        <v>1</v>
      </c>
      <c r="K83" s="564">
        <v>1</v>
      </c>
      <c r="L83" s="564">
        <v>1</v>
      </c>
      <c r="M83" s="564">
        <v>1</v>
      </c>
      <c r="N83" s="564">
        <v>1</v>
      </c>
      <c r="O83" s="564">
        <v>1</v>
      </c>
      <c r="P83" s="564">
        <v>1</v>
      </c>
      <c r="Q83" s="564">
        <v>1</v>
      </c>
      <c r="R83" s="564">
        <v>1</v>
      </c>
      <c r="S83" s="564">
        <v>1</v>
      </c>
      <c r="T83" s="564">
        <v>1</v>
      </c>
      <c r="U83" s="564">
        <v>1</v>
      </c>
      <c r="V83" s="564">
        <v>1</v>
      </c>
      <c r="W83" s="564">
        <v>1</v>
      </c>
      <c r="X83" s="564">
        <v>1</v>
      </c>
      <c r="Z83" s="655" cm="1">
        <f t="array" ref="Z83">INDEX(H83:X83,1,$B$30)</f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</row>
    <row r="84" spans="7:44" x14ac:dyDescent="0.15">
      <c r="G84" s="566">
        <v>40</v>
      </c>
      <c r="H84" s="564">
        <v>1</v>
      </c>
      <c r="I84" s="564">
        <v>1</v>
      </c>
      <c r="J84" s="564">
        <v>1</v>
      </c>
      <c r="K84" s="564">
        <v>1</v>
      </c>
      <c r="L84" s="564">
        <v>1</v>
      </c>
      <c r="M84" s="564">
        <v>1</v>
      </c>
      <c r="N84" s="564">
        <v>1</v>
      </c>
      <c r="O84" s="564">
        <v>1</v>
      </c>
      <c r="P84" s="564">
        <v>1</v>
      </c>
      <c r="Q84" s="564">
        <v>1</v>
      </c>
      <c r="R84" s="564">
        <v>1</v>
      </c>
      <c r="S84" s="564">
        <v>1</v>
      </c>
      <c r="T84" s="564">
        <v>1</v>
      </c>
      <c r="U84" s="564">
        <v>1</v>
      </c>
      <c r="V84" s="564">
        <v>1</v>
      </c>
      <c r="W84" s="564">
        <v>1</v>
      </c>
      <c r="X84" s="564">
        <v>1</v>
      </c>
      <c r="Z84" s="655" cm="1">
        <f t="array" ref="Z84">INDEX(H84:X84,1,$B$30)</f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3041" r:id="rId3" name="Drop Down 1">
              <controlPr defaultSize="0" autoLine="0" autoPict="0">
                <anchor moveWithCells="1">
                  <from>
                    <xdr:col>1</xdr:col>
                    <xdr:colOff>12700</xdr:colOff>
                    <xdr:row>24</xdr:row>
                    <xdr:rowOff>0</xdr:rowOff>
                  </from>
                  <to>
                    <xdr:col>1</xdr:col>
                    <xdr:colOff>1041400</xdr:colOff>
                    <xdr:row>24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FA91E-13EB-4AAD-B4E6-F82DBAE9DBF2}">
  <dimension ref="E1:AU171"/>
  <sheetViews>
    <sheetView topLeftCell="A11" zoomScale="85" zoomScaleNormal="85" workbookViewId="0">
      <selection activeCell="R20" sqref="R20"/>
    </sheetView>
  </sheetViews>
  <sheetFormatPr baseColWidth="10" defaultColWidth="8.83203125" defaultRowHeight="13" x14ac:dyDescent="0.15"/>
  <cols>
    <col min="5" max="5" width="18.1640625" customWidth="1"/>
    <col min="6" max="6" width="11.83203125" bestFit="1" customWidth="1"/>
    <col min="7" max="7" width="14.33203125" customWidth="1"/>
    <col min="8" max="8" width="13.83203125" customWidth="1"/>
    <col min="9" max="9" width="24.5" customWidth="1"/>
    <col min="12" max="12" width="13.6640625" bestFit="1" customWidth="1"/>
    <col min="14" max="14" width="11.6640625" customWidth="1"/>
    <col min="24" max="25" width="15.5" customWidth="1"/>
    <col min="26" max="26" width="27.83203125" customWidth="1"/>
    <col min="27" max="27" width="15.5" customWidth="1"/>
    <col min="29" max="32" width="16.83203125" customWidth="1"/>
    <col min="34" max="37" width="16.83203125" customWidth="1"/>
    <col min="38" max="38" width="12.1640625" bestFit="1" customWidth="1"/>
    <col min="39" max="40" width="9.33203125" bestFit="1" customWidth="1"/>
  </cols>
  <sheetData>
    <row r="1" spans="5:47" ht="14" thickBot="1" x14ac:dyDescent="0.2"/>
    <row r="2" spans="5:47" ht="15" thickBot="1" x14ac:dyDescent="0.2">
      <c r="M2" s="286" t="s">
        <v>1265</v>
      </c>
      <c r="Q2" s="694" t="s">
        <v>1255</v>
      </c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1"/>
    </row>
    <row r="3" spans="5:47" ht="15" x14ac:dyDescent="0.2">
      <c r="E3" s="228" t="s">
        <v>273</v>
      </c>
      <c r="F3" s="229">
        <f>Tulokset_ENT!C6</f>
        <v>1</v>
      </c>
      <c r="G3" s="230"/>
      <c r="H3" s="228" t="s">
        <v>274</v>
      </c>
      <c r="I3" s="230" t="s">
        <v>275</v>
      </c>
      <c r="J3" s="230" t="s">
        <v>276</v>
      </c>
      <c r="K3" s="230" t="s">
        <v>277</v>
      </c>
      <c r="L3" s="230" t="s">
        <v>278</v>
      </c>
      <c r="M3" s="1506" t="s">
        <v>279</v>
      </c>
      <c r="N3" s="95" t="s">
        <v>1256</v>
      </c>
      <c r="O3" s="95" t="s">
        <v>1259</v>
      </c>
      <c r="Q3" s="695" t="s">
        <v>1209</v>
      </c>
      <c r="R3" s="672"/>
      <c r="S3" s="672"/>
      <c r="T3" s="672"/>
      <c r="U3" s="673"/>
      <c r="V3" s="12"/>
      <c r="X3" s="696"/>
      <c r="Y3" s="697" t="s">
        <v>1210</v>
      </c>
      <c r="Z3" s="696"/>
      <c r="AA3" s="696"/>
      <c r="AC3" s="697" t="s">
        <v>1211</v>
      </c>
      <c r="AD3" s="696"/>
      <c r="AE3" s="696"/>
      <c r="AF3" s="696"/>
      <c r="AG3" s="696"/>
      <c r="AH3" s="697"/>
      <c r="AI3" s="696"/>
      <c r="AJ3" s="696"/>
      <c r="AK3" s="696"/>
      <c r="AL3" s="696"/>
      <c r="AM3" s="696"/>
      <c r="AN3" s="696"/>
      <c r="AO3" s="696"/>
      <c r="AP3" s="696"/>
      <c r="AQ3" s="696"/>
      <c r="AR3" s="696"/>
      <c r="AS3" s="696"/>
      <c r="AT3" s="696"/>
      <c r="AU3" s="698"/>
    </row>
    <row r="4" spans="5:47" ht="21" x14ac:dyDescent="0.25">
      <c r="E4" s="232" t="s">
        <v>280</v>
      </c>
      <c r="F4" s="233">
        <f>INDEX(L4:L10,$F$3)</f>
        <v>-6.5</v>
      </c>
      <c r="H4" s="234">
        <v>1</v>
      </c>
      <c r="I4" t="s">
        <v>2900</v>
      </c>
      <c r="J4" s="4">
        <v>18</v>
      </c>
      <c r="K4" s="4">
        <v>100</v>
      </c>
      <c r="L4" s="235">
        <v>-6.5</v>
      </c>
      <c r="M4" s="967">
        <v>0.79500000000000004</v>
      </c>
      <c r="N4" s="732">
        <f>IF($F$3=H4,$G$38,"-")</f>
        <v>0.84395127271364345</v>
      </c>
      <c r="O4" s="732">
        <f>IF($F$3=H4,$G$39,"-")</f>
        <v>0.84395127271364345</v>
      </c>
      <c r="Q4" s="699"/>
      <c r="R4" s="286"/>
      <c r="S4" s="286"/>
      <c r="T4" s="286"/>
      <c r="U4" s="660"/>
      <c r="V4" s="12"/>
      <c r="X4" s="696"/>
      <c r="Y4" s="700"/>
      <c r="Z4" s="696"/>
      <c r="AA4" s="696"/>
      <c r="AC4" s="700" t="s">
        <v>1212</v>
      </c>
      <c r="AD4" s="696"/>
      <c r="AE4" s="696"/>
      <c r="AF4" s="696"/>
      <c r="AG4" s="696"/>
      <c r="AH4" s="700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8"/>
    </row>
    <row r="5" spans="5:47" x14ac:dyDescent="0.15">
      <c r="E5" s="232" t="s">
        <v>276</v>
      </c>
      <c r="F5" s="233">
        <f>INDEX(J4:J10,$F$3)</f>
        <v>18</v>
      </c>
      <c r="H5" s="234">
        <v>2</v>
      </c>
      <c r="I5" t="s">
        <v>282</v>
      </c>
      <c r="J5" s="4">
        <v>18</v>
      </c>
      <c r="K5" s="4">
        <v>100</v>
      </c>
      <c r="L5" s="235">
        <v>-6.5</v>
      </c>
      <c r="M5" s="967">
        <v>0.82499999999999996</v>
      </c>
      <c r="N5" s="733" t="str">
        <f t="shared" ref="N5:N10" si="0">IF($F$3=H5,$G$38,"-")</f>
        <v>-</v>
      </c>
      <c r="O5" s="733" t="str">
        <f t="shared" ref="O5:O10" si="1">IF($F$3=H5,$G$39,"-")</f>
        <v>-</v>
      </c>
      <c r="Q5" s="699"/>
      <c r="R5" s="286"/>
      <c r="S5" s="286"/>
      <c r="T5" s="286"/>
      <c r="U5" s="660"/>
      <c r="V5" s="12"/>
      <c r="X5" s="701"/>
      <c r="Y5" s="701"/>
      <c r="Z5" s="701"/>
      <c r="AA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1"/>
      <c r="AR5" s="701"/>
      <c r="AS5" s="701"/>
      <c r="AT5" s="701"/>
      <c r="AU5" s="702"/>
    </row>
    <row r="6" spans="5:47" ht="15" x14ac:dyDescent="0.2">
      <c r="E6" s="232" t="s">
        <v>277</v>
      </c>
      <c r="F6" s="233">
        <f>INDEX(K4:K10,$F$3)</f>
        <v>100</v>
      </c>
      <c r="H6" s="234">
        <v>3</v>
      </c>
      <c r="I6" t="s">
        <v>2901</v>
      </c>
      <c r="J6" s="4">
        <v>30</v>
      </c>
      <c r="K6" s="4">
        <v>170</v>
      </c>
      <c r="L6" s="235">
        <v>-6.5</v>
      </c>
      <c r="M6" s="967">
        <v>0.79500000000000004</v>
      </c>
      <c r="N6" s="732" t="str">
        <f t="shared" si="0"/>
        <v>-</v>
      </c>
      <c r="O6" s="732" t="str">
        <f t="shared" si="1"/>
        <v>-</v>
      </c>
      <c r="Q6" s="699"/>
      <c r="R6" s="703" t="s">
        <v>1213</v>
      </c>
      <c r="S6" s="286"/>
      <c r="T6" s="286"/>
      <c r="U6" s="660"/>
      <c r="V6" s="12"/>
      <c r="X6" s="701"/>
      <c r="Y6" s="704"/>
      <c r="Z6" s="701"/>
      <c r="AA6" s="701"/>
      <c r="AC6" s="701"/>
      <c r="AD6" s="701"/>
      <c r="AE6" s="701"/>
      <c r="AF6" s="701"/>
      <c r="AG6" s="701"/>
      <c r="AH6" s="701"/>
      <c r="AI6" s="701"/>
      <c r="AJ6" s="701"/>
      <c r="AK6" s="701"/>
      <c r="AL6" s="701"/>
      <c r="AM6" s="701"/>
      <c r="AN6" s="701"/>
      <c r="AO6" s="701"/>
      <c r="AP6" s="701"/>
      <c r="AQ6" s="701"/>
      <c r="AR6" s="701"/>
      <c r="AS6" s="701"/>
      <c r="AT6" s="701"/>
      <c r="AU6" s="702"/>
    </row>
    <row r="7" spans="5:47" ht="14" thickBot="1" x14ac:dyDescent="0.2">
      <c r="E7" s="236" t="s">
        <v>284</v>
      </c>
      <c r="F7" s="237">
        <f>INDEX(M4:M10,$F$3)</f>
        <v>0.79500000000000004</v>
      </c>
      <c r="G7" s="238"/>
      <c r="H7" s="369">
        <v>4</v>
      </c>
      <c r="I7" s="238" t="s">
        <v>562</v>
      </c>
      <c r="J7" s="395">
        <v>30</v>
      </c>
      <c r="K7" s="395">
        <v>260</v>
      </c>
      <c r="L7" s="427">
        <v>-6.5</v>
      </c>
      <c r="M7" s="1507">
        <f>AL122</f>
        <v>0.79500000000000004</v>
      </c>
      <c r="N7" s="732" t="str">
        <f t="shared" si="0"/>
        <v>-</v>
      </c>
      <c r="O7" s="732" t="str">
        <f t="shared" si="1"/>
        <v>-</v>
      </c>
      <c r="Q7" s="699"/>
      <c r="R7" s="286"/>
      <c r="S7" s="286"/>
      <c r="T7" s="286"/>
      <c r="U7" s="660"/>
      <c r="V7" s="12"/>
      <c r="X7" s="701"/>
      <c r="Y7" s="701"/>
      <c r="Z7" s="701"/>
      <c r="AA7" s="701"/>
      <c r="AC7" s="701"/>
      <c r="AD7" s="1665" t="s">
        <v>2902</v>
      </c>
      <c r="AE7" s="701"/>
      <c r="AF7" s="701"/>
      <c r="AG7" s="701"/>
      <c r="AH7" s="701"/>
      <c r="AI7" s="701"/>
      <c r="AJ7" s="701"/>
      <c r="AK7" s="701"/>
      <c r="AL7" s="701"/>
      <c r="AM7" s="701"/>
      <c r="AN7" s="701"/>
      <c r="AO7" s="701"/>
      <c r="AP7" s="701"/>
      <c r="AQ7" s="701"/>
      <c r="AR7" s="701"/>
      <c r="AS7" s="701"/>
      <c r="AT7" s="701"/>
      <c r="AU7" s="702"/>
    </row>
    <row r="8" spans="5:47" ht="16" thickBot="1" x14ac:dyDescent="0.25">
      <c r="H8" s="369">
        <v>5</v>
      </c>
      <c r="I8" s="238" t="s">
        <v>563</v>
      </c>
      <c r="J8" s="428">
        <v>30</v>
      </c>
      <c r="K8" s="428">
        <v>360</v>
      </c>
      <c r="L8" s="429">
        <f>L7</f>
        <v>-6.5</v>
      </c>
      <c r="M8" s="1508">
        <f>M7</f>
        <v>0.79500000000000004</v>
      </c>
      <c r="N8" s="732" t="str">
        <f t="shared" si="0"/>
        <v>-</v>
      </c>
      <c r="O8" s="733" t="str">
        <f t="shared" si="1"/>
        <v>-</v>
      </c>
      <c r="Q8" s="699"/>
      <c r="R8" s="286"/>
      <c r="S8" s="286"/>
      <c r="T8" s="286"/>
      <c r="U8" s="660"/>
      <c r="V8" s="12"/>
      <c r="X8" s="701"/>
      <c r="Y8" s="701"/>
      <c r="Z8" s="701"/>
      <c r="AA8" s="701"/>
      <c r="AC8" s="701"/>
      <c r="AD8" s="1665" t="s">
        <v>2903</v>
      </c>
      <c r="AE8" s="705"/>
      <c r="AF8" s="706"/>
      <c r="AG8" s="701"/>
      <c r="AH8" s="1665" t="s">
        <v>2904</v>
      </c>
      <c r="AI8" s="701"/>
      <c r="AJ8" s="705"/>
      <c r="AK8" s="706"/>
      <c r="AL8" s="701"/>
      <c r="AM8" s="701"/>
      <c r="AN8" s="701"/>
      <c r="AO8" s="701"/>
      <c r="AP8" s="701"/>
      <c r="AQ8" s="701"/>
      <c r="AR8" s="701"/>
      <c r="AS8" s="701"/>
      <c r="AT8" s="701"/>
      <c r="AU8" s="702"/>
    </row>
    <row r="9" spans="5:47" ht="15" x14ac:dyDescent="0.2">
      <c r="F9" s="233"/>
      <c r="G9" s="233"/>
      <c r="H9" s="234">
        <v>6</v>
      </c>
      <c r="I9" s="233" t="s">
        <v>2905</v>
      </c>
      <c r="J9" s="4">
        <v>20</v>
      </c>
      <c r="K9" s="4">
        <v>130</v>
      </c>
      <c r="L9" s="235">
        <v>-6.5</v>
      </c>
      <c r="M9" s="967">
        <v>0.77500000000000002</v>
      </c>
      <c r="N9" s="1397" t="str">
        <f t="shared" si="0"/>
        <v>-</v>
      </c>
      <c r="O9" s="1397" t="str">
        <f t="shared" si="1"/>
        <v>-</v>
      </c>
      <c r="Q9" s="699"/>
      <c r="R9" s="286" t="s">
        <v>1214</v>
      </c>
      <c r="S9" s="286"/>
      <c r="T9" s="286"/>
      <c r="U9" s="660"/>
      <c r="V9" s="12"/>
      <c r="X9" s="1791" t="s">
        <v>115</v>
      </c>
      <c r="Y9" s="1791"/>
      <c r="Z9" s="1791"/>
      <c r="AA9" s="1792"/>
      <c r="AB9" s="707"/>
      <c r="AC9" s="708"/>
      <c r="AD9" s="1666" t="s">
        <v>2906</v>
      </c>
      <c r="AE9" s="705"/>
      <c r="AF9" s="709"/>
      <c r="AG9" s="708"/>
      <c r="AH9" s="708"/>
      <c r="AI9" s="708"/>
      <c r="AJ9" s="705"/>
      <c r="AK9" s="709"/>
      <c r="AL9" s="701"/>
      <c r="AM9" s="701"/>
      <c r="AN9" s="701"/>
      <c r="AO9" s="701"/>
      <c r="AP9" s="701"/>
      <c r="AQ9" s="701"/>
      <c r="AR9" s="701"/>
      <c r="AS9" s="701"/>
      <c r="AT9" s="701"/>
      <c r="AU9" s="702"/>
    </row>
    <row r="10" spans="5:47" ht="18.75" customHeight="1" x14ac:dyDescent="0.2">
      <c r="F10" s="233"/>
      <c r="G10" s="233"/>
      <c r="H10" s="1398">
        <v>7</v>
      </c>
      <c r="I10" s="1399" t="s">
        <v>2907</v>
      </c>
      <c r="J10" s="276">
        <v>10</v>
      </c>
      <c r="K10" s="276">
        <v>130</v>
      </c>
      <c r="L10" s="1400">
        <v>-6.5</v>
      </c>
      <c r="M10" s="1401"/>
      <c r="N10" s="1402" t="str">
        <f t="shared" si="0"/>
        <v>-</v>
      </c>
      <c r="O10" s="1402" t="str">
        <f t="shared" si="1"/>
        <v>-</v>
      </c>
      <c r="Q10" s="699"/>
      <c r="R10" s="286" t="s">
        <v>1215</v>
      </c>
      <c r="S10" s="286"/>
      <c r="T10" s="286"/>
      <c r="U10" s="660"/>
      <c r="V10" s="12"/>
      <c r="X10" s="674" t="s">
        <v>1216</v>
      </c>
      <c r="Y10" s="675" t="s">
        <v>1217</v>
      </c>
      <c r="Z10" s="676" t="s">
        <v>1218</v>
      </c>
      <c r="AA10" s="677"/>
      <c r="AB10" s="710"/>
      <c r="AC10" s="677" t="s">
        <v>1219</v>
      </c>
      <c r="AD10" s="677" t="s">
        <v>1220</v>
      </c>
      <c r="AE10" s="677" t="s">
        <v>1221</v>
      </c>
      <c r="AF10" s="677" t="s">
        <v>1222</v>
      </c>
      <c r="AG10" s="711"/>
      <c r="AH10" s="677" t="s">
        <v>1219</v>
      </c>
      <c r="AI10" s="677" t="s">
        <v>1220</v>
      </c>
      <c r="AJ10" s="677" t="s">
        <v>1221</v>
      </c>
      <c r="AK10" s="677" t="s">
        <v>1222</v>
      </c>
      <c r="AL10" s="701"/>
      <c r="AM10" s="701"/>
      <c r="AN10" s="701"/>
      <c r="AO10" s="701"/>
      <c r="AP10" s="701"/>
      <c r="AQ10" s="701"/>
      <c r="AR10" s="701"/>
      <c r="AS10" s="701"/>
      <c r="AT10" s="701"/>
      <c r="AU10" s="702"/>
    </row>
    <row r="11" spans="5:47" ht="15" x14ac:dyDescent="0.2">
      <c r="F11" s="233"/>
      <c r="G11" s="233"/>
      <c r="H11" s="233"/>
      <c r="I11" s="233"/>
      <c r="J11" s="4"/>
      <c r="K11" s="4"/>
      <c r="L11" s="235"/>
      <c r="M11" s="243"/>
      <c r="Q11" s="699"/>
      <c r="R11" s="286" t="s">
        <v>1223</v>
      </c>
      <c r="S11" s="286"/>
      <c r="T11" s="286"/>
      <c r="U11" s="660"/>
      <c r="V11" s="12"/>
      <c r="X11" s="678"/>
      <c r="Y11" s="679">
        <v>25</v>
      </c>
      <c r="Z11" s="679"/>
      <c r="AA11" s="680"/>
      <c r="AB11" s="712"/>
      <c r="AC11" s="1645">
        <f>'Kennolaskuri 60_ENT'!O17</f>
        <v>20</v>
      </c>
      <c r="AD11" s="1667">
        <f>'Kennolaskuri 60_ENT'!P17*100</f>
        <v>85</v>
      </c>
      <c r="AE11" s="1668">
        <f>AD11</f>
        <v>85</v>
      </c>
      <c r="AF11" s="1668">
        <f>AE11</f>
        <v>85</v>
      </c>
      <c r="AG11" s="713"/>
      <c r="AH11" s="681">
        <v>18</v>
      </c>
      <c r="AI11" s="682">
        <v>79.5</v>
      </c>
      <c r="AJ11" s="680">
        <v>79.8</v>
      </c>
      <c r="AK11" s="680">
        <v>81.75</v>
      </c>
      <c r="AL11" s="701"/>
      <c r="AM11" s="701"/>
      <c r="AN11" s="701"/>
      <c r="AO11" s="701"/>
      <c r="AP11" s="701"/>
      <c r="AQ11" s="701"/>
      <c r="AR11" s="701"/>
      <c r="AS11" s="701"/>
      <c r="AT11" s="701"/>
      <c r="AU11" s="702"/>
    </row>
    <row r="12" spans="5:47" ht="15" x14ac:dyDescent="0.2">
      <c r="E12" s="23" t="s">
        <v>1250</v>
      </c>
      <c r="F12" s="1509"/>
      <c r="G12" s="1509"/>
      <c r="H12" s="1509"/>
      <c r="I12" s="1509"/>
      <c r="J12" s="208"/>
      <c r="K12" s="208"/>
      <c r="L12" s="1510"/>
      <c r="M12" s="1511"/>
      <c r="N12" s="22"/>
      <c r="O12" s="21"/>
      <c r="Q12" s="699"/>
      <c r="R12" s="286" t="s">
        <v>1224</v>
      </c>
      <c r="S12" s="286"/>
      <c r="T12" s="286"/>
      <c r="U12" s="660"/>
      <c r="V12" s="12"/>
      <c r="X12" s="678">
        <v>3.4</v>
      </c>
      <c r="Y12" s="679">
        <v>34</v>
      </c>
      <c r="Z12" s="679">
        <v>80.099999999999994</v>
      </c>
      <c r="AA12" s="680"/>
      <c r="AB12" s="712"/>
      <c r="AC12" s="1645">
        <f>'Kennolaskuri 60_ENT'!O18</f>
        <v>45</v>
      </c>
      <c r="AD12" s="1667">
        <f>'Kennolaskuri 60_ENT'!P18*100</f>
        <v>83.972857630618719</v>
      </c>
      <c r="AE12" s="1668">
        <f t="shared" ref="AE12:AF17" si="2">AD12</f>
        <v>83.972857630618719</v>
      </c>
      <c r="AF12" s="1668">
        <f t="shared" si="2"/>
        <v>83.972857630618719</v>
      </c>
      <c r="AG12" s="713"/>
      <c r="AH12" s="681">
        <v>28</v>
      </c>
      <c r="AI12" s="682">
        <v>79.5</v>
      </c>
      <c r="AJ12" s="680">
        <v>79.7</v>
      </c>
      <c r="AK12" s="680">
        <v>81.5</v>
      </c>
      <c r="AL12" s="701"/>
      <c r="AM12" s="701"/>
      <c r="AN12" s="701"/>
      <c r="AO12" s="701"/>
      <c r="AP12" s="701"/>
      <c r="AQ12" s="701"/>
      <c r="AR12" s="701"/>
      <c r="AS12" s="701"/>
      <c r="AT12" s="701"/>
      <c r="AU12" s="702"/>
    </row>
    <row r="13" spans="5:47" ht="15" x14ac:dyDescent="0.2">
      <c r="E13" s="12" t="s">
        <v>1251</v>
      </c>
      <c r="F13" s="233"/>
      <c r="G13" s="233"/>
      <c r="H13" s="233"/>
      <c r="I13" s="233"/>
      <c r="J13" s="4"/>
      <c r="K13" s="4"/>
      <c r="L13" s="235"/>
      <c r="M13" s="243"/>
      <c r="O13" s="24"/>
      <c r="Q13" s="699"/>
      <c r="R13" s="286"/>
      <c r="S13" s="286"/>
      <c r="T13" s="286"/>
      <c r="U13" s="660"/>
      <c r="V13" s="12"/>
      <c r="X13" s="678">
        <v>3.8</v>
      </c>
      <c r="Y13" s="679">
        <v>43</v>
      </c>
      <c r="Z13" s="679">
        <v>80.7</v>
      </c>
      <c r="AA13" s="680"/>
      <c r="AB13" s="712"/>
      <c r="AC13" s="1645">
        <f>'Kennolaskuri 60_ENT'!O19</f>
        <v>55</v>
      </c>
      <c r="AD13" s="1667">
        <f>'Kennolaskuri 60_ENT'!P19*100</f>
        <v>82.425335498360226</v>
      </c>
      <c r="AE13" s="1668">
        <f t="shared" si="2"/>
        <v>82.425335498360226</v>
      </c>
      <c r="AF13" s="1668">
        <f t="shared" si="2"/>
        <v>82.425335498360226</v>
      </c>
      <c r="AG13" s="713"/>
      <c r="AH13" s="681">
        <v>36</v>
      </c>
      <c r="AI13" s="682">
        <v>79.5</v>
      </c>
      <c r="AJ13" s="680">
        <v>79.599999999999994</v>
      </c>
      <c r="AK13" s="680">
        <v>81</v>
      </c>
      <c r="AL13" s="701"/>
      <c r="AM13" s="701"/>
      <c r="AN13" s="701"/>
      <c r="AO13" s="701"/>
      <c r="AP13" s="701"/>
      <c r="AQ13" s="701"/>
      <c r="AR13" s="701"/>
      <c r="AS13" s="701"/>
      <c r="AT13" s="701"/>
      <c r="AU13" s="702"/>
    </row>
    <row r="14" spans="5:47" ht="15" x14ac:dyDescent="0.2">
      <c r="E14" s="12" t="s">
        <v>1252</v>
      </c>
      <c r="F14" s="233"/>
      <c r="G14" s="233"/>
      <c r="H14" s="233"/>
      <c r="I14" s="233"/>
      <c r="J14" s="4"/>
      <c r="K14" s="4"/>
      <c r="L14" s="235"/>
      <c r="M14" s="243"/>
      <c r="O14" s="24"/>
      <c r="Q14" s="699"/>
      <c r="R14" s="286" t="s">
        <v>1225</v>
      </c>
      <c r="S14" s="286"/>
      <c r="T14" s="286"/>
      <c r="U14" s="660"/>
      <c r="V14" s="12"/>
      <c r="X14" s="678">
        <v>5.9</v>
      </c>
      <c r="Y14" s="679">
        <v>74</v>
      </c>
      <c r="Z14" s="679">
        <v>81.5</v>
      </c>
      <c r="AA14" s="680"/>
      <c r="AB14" s="712"/>
      <c r="AC14" s="1645">
        <f>'Kennolaskuri 60_ENT'!O20</f>
        <v>65</v>
      </c>
      <c r="AD14" s="1667">
        <f>'Kennolaskuri 60_ENT'!P20*100</f>
        <v>81.158831640316947</v>
      </c>
      <c r="AE14" s="1668">
        <f t="shared" si="2"/>
        <v>81.158831640316947</v>
      </c>
      <c r="AF14" s="1668">
        <f t="shared" si="2"/>
        <v>81.158831640316947</v>
      </c>
      <c r="AG14" s="713"/>
      <c r="AH14" s="681">
        <v>61.5</v>
      </c>
      <c r="AI14" s="682">
        <v>79.5</v>
      </c>
      <c r="AJ14" s="680">
        <v>79.5</v>
      </c>
      <c r="AK14" s="680">
        <v>80.3</v>
      </c>
      <c r="AL14" s="701"/>
      <c r="AM14" s="701"/>
      <c r="AN14" s="701"/>
      <c r="AO14" s="701"/>
      <c r="AP14" s="701"/>
      <c r="AQ14" s="701"/>
      <c r="AR14" s="701"/>
      <c r="AS14" s="701"/>
      <c r="AT14" s="701"/>
      <c r="AU14" s="702"/>
    </row>
    <row r="15" spans="5:47" ht="15" x14ac:dyDescent="0.2">
      <c r="E15" s="1514" t="s">
        <v>1254</v>
      </c>
      <c r="F15" s="1010"/>
      <c r="G15" s="1010"/>
      <c r="H15" s="1010"/>
      <c r="I15" s="1010"/>
      <c r="J15" s="50"/>
      <c r="K15" s="50"/>
      <c r="L15" s="1512"/>
      <c r="M15" s="1513"/>
      <c r="N15" s="25"/>
      <c r="O15" s="26"/>
      <c r="Q15" s="699"/>
      <c r="R15" s="286"/>
      <c r="S15" s="286" t="s">
        <v>1226</v>
      </c>
      <c r="T15" s="286" t="s">
        <v>1227</v>
      </c>
      <c r="U15" s="660"/>
      <c r="V15" s="12"/>
      <c r="X15" s="678">
        <v>9.1999999999999993</v>
      </c>
      <c r="Y15" s="679">
        <v>108</v>
      </c>
      <c r="Z15" s="679">
        <v>83.1</v>
      </c>
      <c r="AA15" s="680"/>
      <c r="AB15" s="712"/>
      <c r="AC15" s="1645">
        <f>'Kennolaskuri 60_ENT'!O21</f>
        <v>75</v>
      </c>
      <c r="AD15" s="1667">
        <f>'Kennolaskuri 60_ENT'!P21*100</f>
        <v>80.089413242567431</v>
      </c>
      <c r="AE15" s="1668">
        <f t="shared" si="2"/>
        <v>80.089413242567431</v>
      </c>
      <c r="AF15" s="1668">
        <f t="shared" si="2"/>
        <v>80.089413242567431</v>
      </c>
      <c r="AG15" s="713"/>
      <c r="AH15" s="681">
        <v>90</v>
      </c>
      <c r="AI15" s="682">
        <v>79.5</v>
      </c>
      <c r="AJ15" s="680">
        <v>78.5</v>
      </c>
      <c r="AK15" s="680">
        <v>79.5</v>
      </c>
      <c r="AL15" s="701"/>
      <c r="AM15" s="701"/>
      <c r="AN15" s="701"/>
      <c r="AO15" s="701"/>
      <c r="AP15" s="701"/>
      <c r="AQ15" s="701"/>
      <c r="AR15" s="701"/>
      <c r="AS15" s="701"/>
      <c r="AT15" s="701"/>
      <c r="AU15" s="702"/>
    </row>
    <row r="16" spans="5:47" ht="15" x14ac:dyDescent="0.2">
      <c r="E16" s="74" t="s">
        <v>2709</v>
      </c>
      <c r="F16" s="1399"/>
      <c r="G16" s="1399"/>
      <c r="H16" s="1399"/>
      <c r="I16" s="1399"/>
      <c r="J16" s="276"/>
      <c r="K16" s="276"/>
      <c r="L16" s="1400"/>
      <c r="M16" s="1401"/>
      <c r="N16" s="128"/>
      <c r="O16" s="75"/>
      <c r="Q16" s="699"/>
      <c r="R16" s="286"/>
      <c r="S16" s="286">
        <v>50</v>
      </c>
      <c r="T16" s="286">
        <v>79.5</v>
      </c>
      <c r="U16" s="660"/>
      <c r="V16" s="12"/>
      <c r="X16" s="678"/>
      <c r="Y16" s="679">
        <v>130</v>
      </c>
      <c r="Z16" s="679"/>
      <c r="AA16" s="680"/>
      <c r="AB16" s="712"/>
      <c r="AC16" s="1645">
        <f>'Kennolaskuri 60_ENT'!O22</f>
        <v>87</v>
      </c>
      <c r="AD16" s="1667">
        <f>'Kennolaskuri 60_ENT'!P22*100</f>
        <v>78.995128354275536</v>
      </c>
      <c r="AE16" s="1668">
        <f t="shared" si="2"/>
        <v>78.995128354275536</v>
      </c>
      <c r="AF16" s="1668">
        <f t="shared" si="2"/>
        <v>78.995128354275536</v>
      </c>
      <c r="AG16" s="713"/>
      <c r="AH16" s="681">
        <v>130</v>
      </c>
      <c r="AI16" s="682">
        <v>79.5</v>
      </c>
      <c r="AJ16" s="680">
        <v>78</v>
      </c>
      <c r="AK16" s="680">
        <v>78.2</v>
      </c>
      <c r="AL16" s="701"/>
      <c r="AM16" s="701"/>
      <c r="AN16" s="701"/>
      <c r="AO16" s="701"/>
      <c r="AP16" s="701"/>
      <c r="AQ16" s="701"/>
      <c r="AR16" s="701"/>
      <c r="AS16" s="701"/>
      <c r="AT16" s="701"/>
      <c r="AU16" s="702"/>
    </row>
    <row r="17" spans="5:47" ht="15" x14ac:dyDescent="0.2">
      <c r="F17" s="233"/>
      <c r="G17" s="233"/>
      <c r="H17" s="233"/>
      <c r="I17" s="233"/>
      <c r="J17" s="4"/>
      <c r="K17" s="4"/>
      <c r="L17" s="235"/>
      <c r="M17" s="243"/>
      <c r="Q17" s="699"/>
      <c r="R17" s="286"/>
      <c r="S17" s="286">
        <v>100</v>
      </c>
      <c r="T17" s="286">
        <v>79.5</v>
      </c>
      <c r="U17" s="660"/>
      <c r="V17" s="12"/>
      <c r="X17" s="701"/>
      <c r="Y17" s="701"/>
      <c r="Z17" s="701"/>
      <c r="AA17" s="701"/>
      <c r="AC17" s="1645">
        <f>'Kennolaskuri 60_ENT'!O23</f>
        <v>100</v>
      </c>
      <c r="AD17" s="1667">
        <f>'Kennolaskuri 60_ENT'!P23*100</f>
        <v>77.981963966212504</v>
      </c>
      <c r="AE17" s="1668">
        <f t="shared" si="2"/>
        <v>77.981963966212504</v>
      </c>
      <c r="AF17" s="1668">
        <f t="shared" si="2"/>
        <v>77.981963966212504</v>
      </c>
      <c r="AG17" s="701"/>
      <c r="AH17" s="729">
        <f>AH16</f>
        <v>130</v>
      </c>
      <c r="AI17" s="729">
        <f t="shared" ref="AI17:AK17" si="3">AI16</f>
        <v>79.5</v>
      </c>
      <c r="AJ17" s="729">
        <f t="shared" si="3"/>
        <v>78</v>
      </c>
      <c r="AK17" s="729">
        <f t="shared" si="3"/>
        <v>78.2</v>
      </c>
      <c r="AL17" s="701"/>
      <c r="AM17" s="701"/>
      <c r="AN17" s="701"/>
      <c r="AO17" s="701"/>
      <c r="AP17" s="701"/>
      <c r="AQ17" s="701"/>
      <c r="AR17" s="701"/>
      <c r="AS17" s="701"/>
      <c r="AT17" s="701"/>
      <c r="AU17" s="702"/>
    </row>
    <row r="18" spans="5:47" x14ac:dyDescent="0.15">
      <c r="F18" s="233"/>
      <c r="G18" s="233"/>
      <c r="H18" s="233"/>
      <c r="I18" s="233"/>
      <c r="J18" s="4"/>
      <c r="K18" s="4"/>
      <c r="L18" s="235"/>
      <c r="M18" s="243"/>
      <c r="Q18" s="699"/>
      <c r="R18" s="286"/>
      <c r="S18" s="286">
        <v>150</v>
      </c>
      <c r="T18" s="286">
        <v>79.5</v>
      </c>
      <c r="U18" s="660"/>
      <c r="V18" s="12"/>
      <c r="AU18" s="364"/>
    </row>
    <row r="19" spans="5:47" x14ac:dyDescent="0.15">
      <c r="F19" s="233"/>
      <c r="G19" s="233"/>
      <c r="H19" s="233"/>
      <c r="I19" s="233"/>
      <c r="J19" s="4"/>
      <c r="K19" s="4"/>
      <c r="L19" s="235"/>
      <c r="M19" s="243"/>
      <c r="Q19" s="699"/>
      <c r="R19" s="286"/>
      <c r="S19" s="286">
        <v>200</v>
      </c>
      <c r="T19" s="286">
        <v>79.3</v>
      </c>
      <c r="U19" s="660"/>
      <c r="V19" s="12"/>
      <c r="X19" s="701"/>
      <c r="Y19" s="701"/>
      <c r="Z19" s="701"/>
      <c r="AA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1"/>
      <c r="AN19" s="701"/>
      <c r="AO19" s="701"/>
      <c r="AP19" s="701"/>
      <c r="AQ19" s="701"/>
      <c r="AR19" s="701"/>
      <c r="AS19" s="701"/>
      <c r="AT19" s="701"/>
      <c r="AU19" s="702"/>
    </row>
    <row r="20" spans="5:47" x14ac:dyDescent="0.15">
      <c r="E20" s="2" t="s">
        <v>1260</v>
      </c>
      <c r="F20" s="233">
        <f>F3</f>
        <v>1</v>
      </c>
      <c r="G20" s="241" t="str" cm="1">
        <f t="array" ref="G20">INDEX(I4:I10,F20)</f>
        <v>Airfi model 60ENT</v>
      </c>
      <c r="H20" s="233"/>
      <c r="I20" s="233"/>
      <c r="J20" s="4"/>
      <c r="K20" s="4"/>
      <c r="L20" s="235"/>
      <c r="M20" s="243"/>
      <c r="Q20" s="699"/>
      <c r="R20" s="286"/>
      <c r="S20" s="286">
        <v>250</v>
      </c>
      <c r="T20" s="286">
        <v>78.2</v>
      </c>
      <c r="U20" s="660"/>
      <c r="V20" s="12"/>
      <c r="X20" s="701"/>
      <c r="Y20" s="701"/>
      <c r="Z20" s="701"/>
      <c r="AA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1"/>
      <c r="AN20" s="701"/>
      <c r="AO20" s="701"/>
      <c r="AP20" s="701"/>
      <c r="AQ20" s="701"/>
      <c r="AR20" s="701"/>
      <c r="AS20" s="701"/>
      <c r="AT20" s="701"/>
      <c r="AU20" s="702"/>
    </row>
    <row r="21" spans="5:47" x14ac:dyDescent="0.15">
      <c r="G21" s="233"/>
      <c r="H21" s="233"/>
      <c r="I21" s="233"/>
      <c r="J21" s="4"/>
      <c r="K21" s="4"/>
      <c r="L21" s="235"/>
      <c r="M21" s="243"/>
      <c r="Q21" s="699"/>
      <c r="R21" s="286"/>
      <c r="S21" s="286">
        <v>300</v>
      </c>
      <c r="T21" s="286">
        <v>77.5</v>
      </c>
      <c r="U21" s="660"/>
      <c r="V21" s="12"/>
      <c r="X21" s="701"/>
      <c r="Y21" s="701"/>
      <c r="Z21" s="701"/>
      <c r="AA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  <c r="AO21" s="701"/>
      <c r="AP21" s="701"/>
      <c r="AQ21" s="701"/>
      <c r="AR21" s="701"/>
      <c r="AS21" s="701"/>
      <c r="AT21" s="701"/>
      <c r="AU21" s="702"/>
    </row>
    <row r="22" spans="5:47" ht="15" x14ac:dyDescent="0.2">
      <c r="F22" s="233"/>
      <c r="G22" s="233"/>
      <c r="H22" s="233"/>
      <c r="I22" s="233"/>
      <c r="J22" s="4"/>
      <c r="K22" s="4"/>
      <c r="L22" s="235"/>
      <c r="M22" s="243"/>
      <c r="Q22" s="699"/>
      <c r="R22" s="286"/>
      <c r="S22" s="286">
        <v>350</v>
      </c>
      <c r="T22" s="286">
        <v>77.3</v>
      </c>
      <c r="U22" s="660"/>
      <c r="V22" s="12"/>
      <c r="X22" s="1791" t="s">
        <v>116</v>
      </c>
      <c r="Y22" s="1791"/>
      <c r="Z22" s="1791"/>
      <c r="AA22" s="1792"/>
      <c r="AB22" s="707"/>
      <c r="AC22" s="701"/>
      <c r="AD22" s="701"/>
      <c r="AE22" s="701"/>
      <c r="AF22" s="701"/>
      <c r="AG22" s="708"/>
      <c r="AH22" s="701"/>
      <c r="AI22" s="701"/>
      <c r="AJ22" s="701"/>
      <c r="AK22" s="701"/>
      <c r="AL22" s="701"/>
      <c r="AM22" s="701"/>
      <c r="AN22" s="701"/>
      <c r="AO22" s="701"/>
      <c r="AP22" s="701"/>
      <c r="AQ22" s="701"/>
      <c r="AR22" s="701"/>
      <c r="AS22" s="701"/>
      <c r="AT22" s="701"/>
      <c r="AU22" s="702"/>
    </row>
    <row r="23" spans="5:47" ht="48" x14ac:dyDescent="0.2">
      <c r="E23" s="558" t="s">
        <v>1258</v>
      </c>
      <c r="F23" s="1669" t="s">
        <v>1261</v>
      </c>
      <c r="G23" s="558" t="s">
        <v>1257</v>
      </c>
      <c r="H23" s="628" t="s">
        <v>1259</v>
      </c>
      <c r="I23" s="233"/>
      <c r="J23" s="4"/>
      <c r="K23" s="4"/>
      <c r="L23" s="235"/>
      <c r="M23" s="243"/>
      <c r="Q23" s="699"/>
      <c r="R23" s="286"/>
      <c r="S23" s="286"/>
      <c r="T23" s="286"/>
      <c r="U23" s="660"/>
      <c r="V23" s="12"/>
      <c r="X23" s="674" t="s">
        <v>1216</v>
      </c>
      <c r="Y23" s="675" t="s">
        <v>1217</v>
      </c>
      <c r="Z23" s="676" t="s">
        <v>1228</v>
      </c>
      <c r="AA23" s="677"/>
      <c r="AB23" s="710"/>
      <c r="AC23" s="677" t="s">
        <v>1219</v>
      </c>
      <c r="AD23" s="677" t="s">
        <v>1229</v>
      </c>
      <c r="AE23" s="677" t="s">
        <v>1230</v>
      </c>
      <c r="AF23" s="677" t="s">
        <v>1231</v>
      </c>
      <c r="AG23" s="711"/>
      <c r="AH23" s="677"/>
      <c r="AI23" s="677"/>
      <c r="AJ23" s="677"/>
      <c r="AK23" s="677"/>
      <c r="AL23" s="701"/>
      <c r="AM23" s="701"/>
      <c r="AN23" s="701"/>
      <c r="AO23" s="701"/>
      <c r="AP23" s="701"/>
      <c r="AQ23" s="701"/>
      <c r="AR23" s="701"/>
      <c r="AS23" s="701"/>
      <c r="AT23" s="701"/>
      <c r="AU23" s="702"/>
    </row>
    <row r="24" spans="5:47" ht="15" x14ac:dyDescent="0.2">
      <c r="E24" s="344">
        <f>IF($F$20=1,AC11,IF($F$20=2,AC24,IF($F$20=3,AC48,IF(OR($F$20=4,$F$20=5),AC60,IF($F$20=7,AC71,AC36)))))</f>
        <v>20</v>
      </c>
      <c r="F24" s="1670">
        <f t="shared" ref="F24:H30" si="4">IF($F$20=1,AD11,IF($F$20=2,AD24,IF($F$20=3,AD48,IF(OR($F$20=4,$F$20=5),AD60,IF($F$20=7,AD71,AD36)))))</f>
        <v>85</v>
      </c>
      <c r="G24" s="609">
        <f t="shared" si="4"/>
        <v>85</v>
      </c>
      <c r="H24" s="609">
        <f t="shared" si="4"/>
        <v>85</v>
      </c>
      <c r="I24" s="233"/>
      <c r="J24" s="4"/>
      <c r="K24" s="4"/>
      <c r="L24" s="235"/>
      <c r="M24" s="243"/>
      <c r="Q24" s="699"/>
      <c r="R24" s="286"/>
      <c r="S24" s="286"/>
      <c r="T24" s="286"/>
      <c r="U24" s="660"/>
      <c r="V24" s="12"/>
      <c r="X24" s="678"/>
      <c r="Y24" s="679">
        <v>25</v>
      </c>
      <c r="Z24" s="679"/>
      <c r="AA24" s="680"/>
      <c r="AB24" s="712"/>
      <c r="AC24" s="681">
        <v>18</v>
      </c>
      <c r="AD24" s="682">
        <v>82.5</v>
      </c>
      <c r="AE24" s="680">
        <v>82.5</v>
      </c>
      <c r="AF24" s="680">
        <v>84</v>
      </c>
      <c r="AG24" s="713"/>
      <c r="AH24" s="681"/>
      <c r="AI24" s="682"/>
      <c r="AJ24" s="680"/>
      <c r="AK24" s="680"/>
      <c r="AL24" s="701"/>
      <c r="AM24" s="701"/>
      <c r="AN24" s="701"/>
      <c r="AO24" s="701"/>
      <c r="AP24" s="701"/>
      <c r="AQ24" s="701"/>
      <c r="AR24" s="701"/>
      <c r="AS24" s="701"/>
      <c r="AT24" s="701"/>
      <c r="AU24" s="702"/>
    </row>
    <row r="25" spans="5:47" ht="15" x14ac:dyDescent="0.2">
      <c r="E25" s="344">
        <f t="shared" ref="E25:E30" si="5">IF($F$20=1,AC12,IF($F$20=2,AC25,IF($F$20=3,AC49,IF(OR($F$20=4,$F$20=5),AC61,IF($F$20=7,AC72,AC37)))))</f>
        <v>45</v>
      </c>
      <c r="F25" s="1670">
        <f t="shared" si="4"/>
        <v>83.972857630618719</v>
      </c>
      <c r="G25" s="609">
        <f t="shared" si="4"/>
        <v>83.972857630618719</v>
      </c>
      <c r="H25" s="609">
        <f t="shared" si="4"/>
        <v>83.972857630618719</v>
      </c>
      <c r="I25" s="233"/>
      <c r="J25" s="4"/>
      <c r="K25" s="4"/>
      <c r="L25" s="235"/>
      <c r="M25" s="243"/>
      <c r="Q25" s="699"/>
      <c r="R25" s="286"/>
      <c r="S25" s="286"/>
      <c r="T25" s="286"/>
      <c r="U25" s="660"/>
      <c r="V25" s="12"/>
      <c r="X25" s="678">
        <v>3.6</v>
      </c>
      <c r="Y25" s="679">
        <v>34</v>
      </c>
      <c r="Z25" s="679">
        <v>82.7</v>
      </c>
      <c r="AA25" s="680"/>
      <c r="AB25" s="712"/>
      <c r="AC25" s="681">
        <v>29</v>
      </c>
      <c r="AD25" s="682">
        <v>82.5</v>
      </c>
      <c r="AE25" s="680">
        <v>82.5</v>
      </c>
      <c r="AF25" s="680">
        <v>83.7</v>
      </c>
      <c r="AG25" s="713"/>
      <c r="AH25" s="681"/>
      <c r="AI25" s="682"/>
      <c r="AJ25" s="680"/>
      <c r="AK25" s="680"/>
      <c r="AL25" s="701"/>
      <c r="AM25" s="701"/>
      <c r="AN25" s="701"/>
      <c r="AO25" s="701"/>
      <c r="AP25" s="701"/>
      <c r="AQ25" s="701"/>
      <c r="AR25" s="701"/>
      <c r="AS25" s="701"/>
      <c r="AT25" s="701"/>
      <c r="AU25" s="702"/>
    </row>
    <row r="26" spans="5:47" ht="15" x14ac:dyDescent="0.2">
      <c r="E26" s="344">
        <f t="shared" si="5"/>
        <v>55</v>
      </c>
      <c r="F26" s="1670">
        <f t="shared" si="4"/>
        <v>82.425335498360226</v>
      </c>
      <c r="G26" s="609">
        <f t="shared" si="4"/>
        <v>82.425335498360226</v>
      </c>
      <c r="H26" s="609">
        <f t="shared" si="4"/>
        <v>82.425335498360226</v>
      </c>
      <c r="I26" s="233"/>
      <c r="J26" s="4"/>
      <c r="K26" s="4"/>
      <c r="L26" s="235"/>
      <c r="M26" s="243"/>
      <c r="Q26" s="699"/>
      <c r="R26" s="286"/>
      <c r="S26" s="286"/>
      <c r="T26" s="286"/>
      <c r="U26" s="660"/>
      <c r="V26" s="12"/>
      <c r="X26" s="678">
        <v>4.2</v>
      </c>
      <c r="Y26" s="679">
        <v>43</v>
      </c>
      <c r="Z26" s="679">
        <v>82.3</v>
      </c>
      <c r="AA26" s="680"/>
      <c r="AB26" s="712"/>
      <c r="AC26" s="681">
        <v>36</v>
      </c>
      <c r="AD26" s="682">
        <v>82.5</v>
      </c>
      <c r="AE26" s="680">
        <v>82.5</v>
      </c>
      <c r="AF26" s="680">
        <v>83.5</v>
      </c>
      <c r="AG26" s="713"/>
      <c r="AH26" s="681"/>
      <c r="AI26" s="682"/>
      <c r="AJ26" s="680"/>
      <c r="AK26" s="680"/>
      <c r="AL26" s="701"/>
      <c r="AM26" s="701"/>
      <c r="AN26" s="701"/>
      <c r="AO26" s="701"/>
      <c r="AP26" s="701"/>
      <c r="AQ26" s="701"/>
      <c r="AR26" s="701"/>
      <c r="AS26" s="701"/>
      <c r="AT26" s="701"/>
      <c r="AU26" s="702"/>
    </row>
    <row r="27" spans="5:47" ht="15" x14ac:dyDescent="0.2">
      <c r="E27" s="344">
        <f t="shared" si="5"/>
        <v>65</v>
      </c>
      <c r="F27" s="1670">
        <f t="shared" si="4"/>
        <v>81.158831640316947</v>
      </c>
      <c r="G27" s="609">
        <f t="shared" si="4"/>
        <v>81.158831640316947</v>
      </c>
      <c r="H27" s="609">
        <f t="shared" si="4"/>
        <v>81.158831640316947</v>
      </c>
      <c r="I27" s="233"/>
      <c r="J27" s="4"/>
      <c r="K27" s="4"/>
      <c r="L27" s="235"/>
      <c r="M27" s="243"/>
      <c r="Q27" s="699"/>
      <c r="R27" s="286"/>
      <c r="S27" s="286"/>
      <c r="T27" s="286"/>
      <c r="U27" s="660"/>
      <c r="V27" s="12"/>
      <c r="X27" s="678">
        <v>6.1</v>
      </c>
      <c r="Y27" s="679">
        <v>71</v>
      </c>
      <c r="Z27" s="679">
        <v>83.2</v>
      </c>
      <c r="AA27" s="680"/>
      <c r="AB27" s="712"/>
      <c r="AC27" s="681">
        <v>60</v>
      </c>
      <c r="AD27" s="682">
        <v>82.5</v>
      </c>
      <c r="AE27" s="680">
        <v>82.4</v>
      </c>
      <c r="AF27" s="680">
        <v>83.2</v>
      </c>
      <c r="AG27" s="713"/>
      <c r="AH27" s="681"/>
      <c r="AI27" s="682"/>
      <c r="AJ27" s="680"/>
      <c r="AK27" s="680"/>
      <c r="AL27" s="701"/>
      <c r="AM27" s="701"/>
      <c r="AN27" s="701"/>
      <c r="AO27" s="701"/>
      <c r="AP27" s="701"/>
      <c r="AQ27" s="701"/>
      <c r="AR27" s="701"/>
      <c r="AS27" s="701"/>
      <c r="AT27" s="701"/>
      <c r="AU27" s="702"/>
    </row>
    <row r="28" spans="5:47" ht="15" x14ac:dyDescent="0.2">
      <c r="E28" s="344">
        <f t="shared" si="5"/>
        <v>75</v>
      </c>
      <c r="F28" s="1670">
        <f t="shared" si="4"/>
        <v>80.089413242567431</v>
      </c>
      <c r="G28" s="609">
        <f t="shared" si="4"/>
        <v>80.089413242567431</v>
      </c>
      <c r="H28" s="609">
        <f t="shared" si="4"/>
        <v>80.089413242567431</v>
      </c>
      <c r="I28" s="233"/>
      <c r="J28" s="4"/>
      <c r="K28" s="4"/>
      <c r="L28" s="235"/>
      <c r="M28" s="243"/>
      <c r="Q28" s="714"/>
      <c r="R28" s="683"/>
      <c r="S28" s="683"/>
      <c r="T28" s="683"/>
      <c r="U28" s="684"/>
      <c r="V28" s="12"/>
      <c r="X28" s="678">
        <v>9.6999999999999993</v>
      </c>
      <c r="Y28" s="679">
        <v>107</v>
      </c>
      <c r="Z28" s="679">
        <v>84.8</v>
      </c>
      <c r="AA28" s="680"/>
      <c r="AB28" s="712"/>
      <c r="AC28" s="681">
        <v>90</v>
      </c>
      <c r="AD28" s="682">
        <v>82.5</v>
      </c>
      <c r="AE28" s="680">
        <v>81.5</v>
      </c>
      <c r="AF28" s="680">
        <v>82</v>
      </c>
      <c r="AG28" s="713"/>
      <c r="AH28" s="681"/>
      <c r="AI28" s="682"/>
      <c r="AJ28" s="680"/>
      <c r="AK28" s="680"/>
      <c r="AL28" s="701"/>
      <c r="AM28" s="701"/>
      <c r="AN28" s="701"/>
      <c r="AO28" s="701"/>
      <c r="AP28" s="701"/>
      <c r="AQ28" s="701"/>
      <c r="AR28" s="701"/>
      <c r="AS28" s="701"/>
      <c r="AT28" s="701"/>
      <c r="AU28" s="702"/>
    </row>
    <row r="29" spans="5:47" ht="15" x14ac:dyDescent="0.2">
      <c r="E29" s="344">
        <f t="shared" si="5"/>
        <v>87</v>
      </c>
      <c r="F29" s="1670">
        <f t="shared" si="4"/>
        <v>78.995128354275536</v>
      </c>
      <c r="G29" s="609">
        <f t="shared" si="4"/>
        <v>78.995128354275536</v>
      </c>
      <c r="H29" s="609">
        <f t="shared" si="4"/>
        <v>78.995128354275536</v>
      </c>
      <c r="I29" s="233"/>
      <c r="J29" s="4"/>
      <c r="K29" s="4"/>
      <c r="L29" s="235"/>
      <c r="M29" s="243"/>
      <c r="Q29" s="232"/>
      <c r="X29" s="679"/>
      <c r="Y29" s="679">
        <v>130</v>
      </c>
      <c r="Z29" s="679"/>
      <c r="AA29" s="680"/>
      <c r="AB29" s="712"/>
      <c r="AC29" s="681">
        <v>130</v>
      </c>
      <c r="AD29" s="682">
        <v>82.5</v>
      </c>
      <c r="AE29" s="680">
        <v>80</v>
      </c>
      <c r="AF29" s="680">
        <v>80.2</v>
      </c>
      <c r="AG29" s="713"/>
      <c r="AH29" s="681"/>
      <c r="AI29" s="682"/>
      <c r="AJ29" s="680"/>
      <c r="AK29" s="680"/>
      <c r="AL29" s="701"/>
      <c r="AM29" s="701"/>
      <c r="AN29" s="701"/>
      <c r="AO29" s="701"/>
      <c r="AP29" s="701"/>
      <c r="AQ29" s="701"/>
      <c r="AR29" s="701"/>
      <c r="AS29" s="701"/>
      <c r="AT29" s="701"/>
      <c r="AU29" s="702"/>
    </row>
    <row r="30" spans="5:47" x14ac:dyDescent="0.15">
      <c r="E30" s="344">
        <f t="shared" si="5"/>
        <v>100</v>
      </c>
      <c r="F30" s="1670">
        <f t="shared" si="4"/>
        <v>77.981963966212504</v>
      </c>
      <c r="G30" s="609">
        <f t="shared" si="4"/>
        <v>77.981963966212504</v>
      </c>
      <c r="H30" s="609">
        <f t="shared" si="4"/>
        <v>77.981963966212504</v>
      </c>
      <c r="I30" s="233"/>
      <c r="J30" s="4"/>
      <c r="K30" s="4"/>
      <c r="L30" s="235"/>
      <c r="M30" s="243"/>
      <c r="Q30" s="232"/>
      <c r="X30" s="701"/>
      <c r="Y30" s="701"/>
      <c r="Z30" s="701"/>
      <c r="AA30" s="701"/>
      <c r="AC30" s="729">
        <f>AC29</f>
        <v>130</v>
      </c>
      <c r="AD30" s="729">
        <f t="shared" ref="AD30:AF30" si="6">AD29</f>
        <v>82.5</v>
      </c>
      <c r="AE30" s="729">
        <f t="shared" si="6"/>
        <v>80</v>
      </c>
      <c r="AF30" s="729">
        <f t="shared" si="6"/>
        <v>80.2</v>
      </c>
      <c r="AG30" s="701"/>
      <c r="AH30" s="729"/>
      <c r="AI30" s="729"/>
      <c r="AJ30" s="729"/>
      <c r="AK30" s="729"/>
      <c r="AL30" s="701"/>
      <c r="AM30" s="701"/>
      <c r="AN30" s="701"/>
      <c r="AO30" s="701"/>
      <c r="AP30" s="701"/>
      <c r="AQ30" s="701"/>
      <c r="AR30" s="701"/>
      <c r="AS30" s="701"/>
      <c r="AT30" s="701"/>
      <c r="AU30" s="702"/>
    </row>
    <row r="31" spans="5:47" x14ac:dyDescent="0.15">
      <c r="F31" s="233"/>
      <c r="G31" s="233"/>
      <c r="H31" s="233"/>
      <c r="I31" s="233"/>
      <c r="J31" s="4"/>
      <c r="K31" s="4"/>
      <c r="L31" s="235"/>
      <c r="M31" s="243"/>
      <c r="Q31" s="232"/>
      <c r="AU31" s="364"/>
    </row>
    <row r="32" spans="5:47" x14ac:dyDescent="0.15">
      <c r="F32" s="4" t="s">
        <v>289</v>
      </c>
      <c r="G32" s="628" t="s">
        <v>1256</v>
      </c>
      <c r="H32" s="628" t="s">
        <v>1259</v>
      </c>
      <c r="I32" s="233"/>
      <c r="J32" s="4"/>
      <c r="K32" s="4"/>
      <c r="L32" s="235"/>
      <c r="M32" s="243"/>
      <c r="Q32" s="232"/>
      <c r="X32" s="701"/>
      <c r="Y32" s="701"/>
      <c r="Z32" s="701"/>
      <c r="AA32" s="701"/>
      <c r="AC32" s="701"/>
      <c r="AD32" s="1665" t="s">
        <v>2902</v>
      </c>
      <c r="AE32" s="701"/>
      <c r="AF32" s="701"/>
      <c r="AG32" s="701"/>
      <c r="AH32" s="701"/>
      <c r="AI32" s="701"/>
      <c r="AJ32" s="701"/>
      <c r="AK32" s="701"/>
      <c r="AL32" s="701"/>
      <c r="AM32" s="701"/>
      <c r="AN32" s="701"/>
      <c r="AO32" s="701"/>
      <c r="AP32" s="701"/>
      <c r="AQ32" s="701"/>
      <c r="AR32" s="701"/>
      <c r="AS32" s="701"/>
      <c r="AT32" s="701"/>
      <c r="AU32" s="702"/>
    </row>
    <row r="33" spans="5:47" x14ac:dyDescent="0.15">
      <c r="E33" s="95" t="s">
        <v>450</v>
      </c>
      <c r="F33" s="344">
        <f>E24</f>
        <v>20</v>
      </c>
      <c r="G33" s="628">
        <f>G24</f>
        <v>85</v>
      </c>
      <c r="H33" s="628">
        <f>H24</f>
        <v>85</v>
      </c>
      <c r="I33" s="233"/>
      <c r="J33" s="4"/>
      <c r="K33" s="4"/>
      <c r="L33" s="235"/>
      <c r="M33" s="243"/>
      <c r="Q33" s="232"/>
      <c r="X33" s="701"/>
      <c r="Y33" s="701"/>
      <c r="Z33" s="701"/>
      <c r="AA33" s="701"/>
      <c r="AC33" s="701"/>
      <c r="AD33" s="1665" t="s">
        <v>2908</v>
      </c>
      <c r="AE33" s="701"/>
      <c r="AF33" s="701"/>
      <c r="AG33" s="701"/>
      <c r="AH33" s="1665" t="s">
        <v>2904</v>
      </c>
      <c r="AI33" s="701"/>
      <c r="AJ33" s="701"/>
      <c r="AK33" s="701"/>
      <c r="AL33" s="701"/>
      <c r="AM33" s="701"/>
      <c r="AN33" s="701"/>
      <c r="AO33" s="701"/>
      <c r="AP33" s="701"/>
      <c r="AQ33" s="701"/>
      <c r="AR33" s="701"/>
      <c r="AS33" s="701"/>
      <c r="AT33" s="701"/>
      <c r="AU33" s="702"/>
    </row>
    <row r="34" spans="5:47" ht="15" x14ac:dyDescent="0.2">
      <c r="E34" s="95" t="s">
        <v>22</v>
      </c>
      <c r="F34" s="344">
        <f>MAX(E24:E30)</f>
        <v>100</v>
      </c>
      <c r="G34" s="617">
        <f>G30</f>
        <v>77.981963966212504</v>
      </c>
      <c r="H34" s="617">
        <f>H30</f>
        <v>77.981963966212504</v>
      </c>
      <c r="I34" s="233"/>
      <c r="J34" s="4"/>
      <c r="K34" s="4"/>
      <c r="L34" s="235"/>
      <c r="M34" s="243"/>
      <c r="Q34" s="232"/>
      <c r="X34" s="1791" t="s">
        <v>585</v>
      </c>
      <c r="Y34" s="1791"/>
      <c r="Z34" s="1791"/>
      <c r="AA34" s="1792"/>
      <c r="AB34" s="707"/>
      <c r="AC34" s="708"/>
      <c r="AD34" s="1666" t="s">
        <v>2909</v>
      </c>
      <c r="AE34" s="708"/>
      <c r="AF34" s="708"/>
      <c r="AG34" s="708"/>
      <c r="AH34" s="708"/>
      <c r="AI34" s="708"/>
      <c r="AJ34" s="708"/>
      <c r="AK34" s="708"/>
      <c r="AL34" s="701"/>
      <c r="AM34" s="701"/>
      <c r="AN34" s="701"/>
      <c r="AO34" s="701"/>
      <c r="AP34" s="701"/>
      <c r="AQ34" s="701"/>
      <c r="AR34" s="701"/>
      <c r="AS34" s="701"/>
      <c r="AT34" s="701"/>
      <c r="AU34" s="702"/>
    </row>
    <row r="35" spans="5:47" ht="48" x14ac:dyDescent="0.2">
      <c r="F35" s="233"/>
      <c r="G35" s="233"/>
      <c r="H35" s="233"/>
      <c r="I35" s="233"/>
      <c r="J35" s="4"/>
      <c r="K35" s="4"/>
      <c r="L35" s="235"/>
      <c r="M35" s="243"/>
      <c r="Q35" s="232"/>
      <c r="X35" s="674" t="s">
        <v>1216</v>
      </c>
      <c r="Y35" s="675" t="s">
        <v>1217</v>
      </c>
      <c r="Z35" s="676" t="s">
        <v>1232</v>
      </c>
      <c r="AA35" s="677"/>
      <c r="AB35" s="710"/>
      <c r="AC35" s="677" t="s">
        <v>1219</v>
      </c>
      <c r="AD35" s="677"/>
      <c r="AE35" s="677" t="s">
        <v>2910</v>
      </c>
      <c r="AF35" s="677" t="s">
        <v>2911</v>
      </c>
      <c r="AG35" s="711"/>
      <c r="AH35" s="677" t="s">
        <v>1219</v>
      </c>
      <c r="AI35" s="677" t="s">
        <v>1233</v>
      </c>
      <c r="AJ35" s="677" t="s">
        <v>1234</v>
      </c>
      <c r="AK35" s="677" t="s">
        <v>1235</v>
      </c>
      <c r="AL35" s="701"/>
      <c r="AM35" s="701"/>
      <c r="AN35" s="701"/>
      <c r="AO35" s="701"/>
      <c r="AP35" s="701"/>
      <c r="AQ35" s="701"/>
      <c r="AR35" s="701"/>
      <c r="AS35" s="701"/>
      <c r="AT35" s="701"/>
      <c r="AU35" s="702"/>
    </row>
    <row r="36" spans="5:47" ht="15" x14ac:dyDescent="0.2">
      <c r="E36" t="s">
        <v>1262</v>
      </c>
      <c r="F36" s="5">
        <f>F53</f>
        <v>34.722222222222221</v>
      </c>
      <c r="H36" s="233"/>
      <c r="I36" s="233"/>
      <c r="J36" s="4"/>
      <c r="K36" s="4"/>
      <c r="L36" s="235"/>
      <c r="M36" s="243"/>
      <c r="Q36" s="232"/>
      <c r="X36" s="678"/>
      <c r="Y36" s="679">
        <v>25</v>
      </c>
      <c r="Z36" s="679"/>
      <c r="AA36" s="680"/>
      <c r="AB36" s="712"/>
      <c r="AC36" s="1645">
        <f>'Kennolaskuri 130_ENT'!P18</f>
        <v>18</v>
      </c>
      <c r="AD36" s="1667">
        <f>'Kennolaskuri 130_ENT'!Q18*100</f>
        <v>85</v>
      </c>
      <c r="AE36" s="1668">
        <f>AD36</f>
        <v>85</v>
      </c>
      <c r="AF36" s="1668">
        <f>AE36</f>
        <v>85</v>
      </c>
      <c r="AG36" s="713"/>
      <c r="AH36" s="681">
        <v>18</v>
      </c>
      <c r="AI36" s="682">
        <v>77.5</v>
      </c>
      <c r="AJ36" s="680">
        <v>77.5</v>
      </c>
      <c r="AK36" s="680">
        <v>79.5</v>
      </c>
      <c r="AL36" s="701"/>
      <c r="AM36" s="701"/>
      <c r="AN36" s="701"/>
      <c r="AO36" s="701"/>
      <c r="AP36" s="701"/>
      <c r="AQ36" s="701"/>
      <c r="AR36" s="701"/>
      <c r="AS36" s="701"/>
      <c r="AT36" s="701"/>
      <c r="AU36" s="702"/>
    </row>
    <row r="37" spans="5:47" ht="15" x14ac:dyDescent="0.2">
      <c r="E37" s="2" t="s">
        <v>1263</v>
      </c>
      <c r="F37" s="731">
        <f>IF(F36&lt;E24,E24,IF(F36&gt;F34,F34,F36))</f>
        <v>34.722222222222221</v>
      </c>
      <c r="I37" s="233"/>
      <c r="J37" s="4"/>
      <c r="K37" s="4"/>
      <c r="L37" s="235"/>
      <c r="M37" s="243"/>
      <c r="Q37" s="232"/>
      <c r="X37" s="685"/>
      <c r="Y37" s="679">
        <v>34</v>
      </c>
      <c r="Z37" s="679">
        <v>77.5</v>
      </c>
      <c r="AA37" s="680"/>
      <c r="AB37" s="712"/>
      <c r="AC37" s="1645">
        <f>'Kennolaskuri 130_ENT'!P19</f>
        <v>37</v>
      </c>
      <c r="AD37" s="1667">
        <f>'Kennolaskuri 130_ENT'!Q19*100</f>
        <v>83.956879413043666</v>
      </c>
      <c r="AE37" s="1668">
        <f t="shared" ref="AE37:AF42" si="7">AD37</f>
        <v>83.956879413043666</v>
      </c>
      <c r="AF37" s="1668">
        <f t="shared" si="7"/>
        <v>83.956879413043666</v>
      </c>
      <c r="AG37" s="713"/>
      <c r="AH37" s="681">
        <v>29</v>
      </c>
      <c r="AI37" s="682">
        <v>77.5</v>
      </c>
      <c r="AJ37" s="680">
        <v>77.5</v>
      </c>
      <c r="AK37" s="680">
        <v>79</v>
      </c>
      <c r="AL37" s="701"/>
      <c r="AM37" s="701"/>
      <c r="AN37" s="701"/>
      <c r="AO37" s="701"/>
      <c r="AP37" s="701"/>
      <c r="AQ37" s="701"/>
      <c r="AR37" s="701"/>
      <c r="AS37" s="701"/>
      <c r="AT37" s="701"/>
      <c r="AU37" s="702"/>
    </row>
    <row r="38" spans="5:47" ht="15" x14ac:dyDescent="0.2">
      <c r="E38" s="2" t="s">
        <v>1256</v>
      </c>
      <c r="F38" s="731">
        <f>IF(F36&lt;F33,G33,IF(F36&gt;F34,G34,_xlfn.FORECAST.LINEAR(F36,F43:F44,E43:E44)))</f>
        <v>84.395127271364345</v>
      </c>
      <c r="G38" s="733">
        <f>F38/100</f>
        <v>0.84395127271364345</v>
      </c>
      <c r="I38" s="233"/>
      <c r="J38" s="4"/>
      <c r="K38" s="4"/>
      <c r="L38" s="235"/>
      <c r="M38" s="243"/>
      <c r="Q38" s="232"/>
      <c r="X38" s="685"/>
      <c r="Y38" s="679">
        <v>43</v>
      </c>
      <c r="Z38" s="679">
        <v>77.5</v>
      </c>
      <c r="AA38" s="680"/>
      <c r="AB38" s="712"/>
      <c r="AC38" s="1645">
        <f>'Kennolaskuri 130_ENT'!P20</f>
        <v>50</v>
      </c>
      <c r="AD38" s="1667">
        <f>'Kennolaskuri 130_ENT'!Q20*100</f>
        <v>81.415097886302561</v>
      </c>
      <c r="AE38" s="1668">
        <f t="shared" si="7"/>
        <v>81.415097886302561</v>
      </c>
      <c r="AF38" s="1668">
        <f t="shared" si="7"/>
        <v>81.415097886302561</v>
      </c>
      <c r="AG38" s="713"/>
      <c r="AH38" s="681">
        <v>36</v>
      </c>
      <c r="AI38" s="682">
        <v>77.5</v>
      </c>
      <c r="AJ38" s="680">
        <v>77.5</v>
      </c>
      <c r="AK38" s="680">
        <v>78.5</v>
      </c>
      <c r="AL38" s="701"/>
      <c r="AM38" s="701"/>
      <c r="AN38" s="701"/>
      <c r="AO38" s="701"/>
      <c r="AP38" s="701"/>
      <c r="AQ38" s="701"/>
      <c r="AR38" s="701"/>
      <c r="AS38" s="701"/>
      <c r="AT38" s="701"/>
      <c r="AU38" s="702"/>
    </row>
    <row r="39" spans="5:47" ht="15" x14ac:dyDescent="0.2">
      <c r="E39" s="2" t="s">
        <v>1259</v>
      </c>
      <c r="F39" s="731">
        <f>IF(F36&lt;F33,H33,IF(F36&gt;F34,H34,_xlfn.FORECAST.LINEAR(F36,G43:G44,E43:E44)))</f>
        <v>84.395127271364345</v>
      </c>
      <c r="G39" s="733">
        <f>F39/100</f>
        <v>0.84395127271364345</v>
      </c>
      <c r="H39" s="233"/>
      <c r="I39" s="233"/>
      <c r="J39" s="4"/>
      <c r="K39" s="4"/>
      <c r="L39" s="235"/>
      <c r="M39" s="243"/>
      <c r="Q39" s="232"/>
      <c r="X39" s="685"/>
      <c r="Y39" s="679">
        <v>71</v>
      </c>
      <c r="Z39" s="679">
        <v>77.5</v>
      </c>
      <c r="AA39" s="680"/>
      <c r="AB39" s="712"/>
      <c r="AC39" s="1645">
        <f>'Kennolaskuri 130_ENT'!P21</f>
        <v>70</v>
      </c>
      <c r="AD39" s="1667">
        <f>'Kennolaskuri 130_ENT'!Q21*100</f>
        <v>78.665696430023232</v>
      </c>
      <c r="AE39" s="1668">
        <f t="shared" si="7"/>
        <v>78.665696430023232</v>
      </c>
      <c r="AF39" s="1668">
        <f t="shared" si="7"/>
        <v>78.665696430023232</v>
      </c>
      <c r="AG39" s="713"/>
      <c r="AH39" s="681">
        <v>60</v>
      </c>
      <c r="AI39" s="682">
        <v>77.5</v>
      </c>
      <c r="AJ39" s="680">
        <v>77</v>
      </c>
      <c r="AK39" s="680">
        <v>77.5</v>
      </c>
      <c r="AL39" s="701"/>
      <c r="AM39" s="701"/>
      <c r="AN39" s="701"/>
      <c r="AO39" s="701"/>
      <c r="AP39" s="701"/>
      <c r="AQ39" s="701"/>
      <c r="AR39" s="701"/>
      <c r="AS39" s="701"/>
      <c r="AT39" s="701"/>
      <c r="AU39" s="702"/>
    </row>
    <row r="40" spans="5:47" ht="15" x14ac:dyDescent="0.2">
      <c r="H40" s="233"/>
      <c r="I40" s="233"/>
      <c r="J40" s="4"/>
      <c r="K40" s="4"/>
      <c r="L40" s="235"/>
      <c r="M40" s="243"/>
      <c r="Q40" s="232"/>
      <c r="X40" s="686"/>
      <c r="Y40" s="679">
        <v>107</v>
      </c>
      <c r="Z40" s="679">
        <v>77.5</v>
      </c>
      <c r="AA40" s="680"/>
      <c r="AB40" s="712"/>
      <c r="AC40" s="1645">
        <f>'Kennolaskuri 130_ENT'!P22</f>
        <v>90</v>
      </c>
      <c r="AD40" s="1667">
        <f>'Kennolaskuri 130_ENT'!Q22*100</f>
        <v>76.672888956679259</v>
      </c>
      <c r="AE40" s="1668">
        <f t="shared" si="7"/>
        <v>76.672888956679259</v>
      </c>
      <c r="AF40" s="1668">
        <f t="shared" si="7"/>
        <v>76.672888956679259</v>
      </c>
      <c r="AG40" s="713"/>
      <c r="AH40" s="681">
        <v>90</v>
      </c>
      <c r="AI40" s="682">
        <v>77.5</v>
      </c>
      <c r="AJ40" s="680">
        <v>75.5</v>
      </c>
      <c r="AK40" s="680">
        <v>76</v>
      </c>
      <c r="AL40" s="701"/>
      <c r="AM40" s="701"/>
      <c r="AN40" s="701"/>
      <c r="AO40" s="701"/>
      <c r="AP40" s="701"/>
      <c r="AQ40" s="701"/>
      <c r="AR40" s="701"/>
      <c r="AS40" s="701"/>
      <c r="AT40" s="701"/>
      <c r="AU40" s="702"/>
    </row>
    <row r="41" spans="5:47" ht="15" x14ac:dyDescent="0.2">
      <c r="H41" s="233"/>
      <c r="I41" s="233"/>
      <c r="J41" s="4"/>
      <c r="K41" s="4"/>
      <c r="L41" s="235"/>
      <c r="M41" s="243"/>
      <c r="Q41" s="232"/>
      <c r="X41" s="679"/>
      <c r="Y41" s="679">
        <v>140</v>
      </c>
      <c r="Z41" s="679"/>
      <c r="AA41" s="680"/>
      <c r="AB41" s="712"/>
      <c r="AC41" s="1645">
        <f>'Kennolaskuri 130_ENT'!P23</f>
        <v>115</v>
      </c>
      <c r="AD41" s="1667">
        <f>'Kennolaskuri 130_ENT'!Q23*100</f>
        <v>74.777823747604515</v>
      </c>
      <c r="AE41" s="1668">
        <f t="shared" si="7"/>
        <v>74.777823747604515</v>
      </c>
      <c r="AF41" s="1668">
        <f t="shared" si="7"/>
        <v>74.777823747604515</v>
      </c>
      <c r="AG41" s="713"/>
      <c r="AH41" s="681">
        <v>140</v>
      </c>
      <c r="AI41" s="682">
        <v>77.5</v>
      </c>
      <c r="AJ41" s="680">
        <v>73.5</v>
      </c>
      <c r="AK41" s="680">
        <v>74</v>
      </c>
      <c r="AL41" s="701"/>
      <c r="AM41" s="701"/>
      <c r="AN41" s="701"/>
      <c r="AO41" s="701"/>
      <c r="AP41" s="701"/>
      <c r="AQ41" s="701"/>
      <c r="AR41" s="701"/>
      <c r="AS41" s="701"/>
      <c r="AT41" s="701"/>
      <c r="AU41" s="702"/>
    </row>
    <row r="42" spans="5:47" ht="15" x14ac:dyDescent="0.2">
      <c r="E42" s="2" t="s">
        <v>1264</v>
      </c>
      <c r="F42" s="344" t="s">
        <v>1256</v>
      </c>
      <c r="G42" s="344" t="s">
        <v>1259</v>
      </c>
      <c r="H42" s="233"/>
      <c r="I42" s="233"/>
      <c r="J42" s="4"/>
      <c r="K42" s="4"/>
      <c r="L42" s="235"/>
      <c r="M42" s="243"/>
      <c r="Q42" s="232"/>
      <c r="X42" s="701"/>
      <c r="Y42" s="701"/>
      <c r="Z42" s="715"/>
      <c r="AA42" s="701"/>
      <c r="AC42" s="1645">
        <f>'Kennolaskuri 130_ENT'!P24</f>
        <v>140</v>
      </c>
      <c r="AD42" s="1667">
        <f>'Kennolaskuri 130_ENT'!Q24*100</f>
        <v>73.290969396373313</v>
      </c>
      <c r="AE42" s="1668">
        <f t="shared" si="7"/>
        <v>73.290969396373313</v>
      </c>
      <c r="AF42" s="1668">
        <f t="shared" si="7"/>
        <v>73.290969396373313</v>
      </c>
      <c r="AG42" s="701"/>
      <c r="AH42" s="729">
        <f>AH41</f>
        <v>140</v>
      </c>
      <c r="AI42" s="729">
        <f t="shared" ref="AI42:AK42" si="8">AI41</f>
        <v>77.5</v>
      </c>
      <c r="AJ42" s="729">
        <f t="shared" si="8"/>
        <v>73.5</v>
      </c>
      <c r="AK42" s="729">
        <f t="shared" si="8"/>
        <v>74</v>
      </c>
      <c r="AL42" s="701"/>
      <c r="AM42" s="701"/>
      <c r="AN42" s="701"/>
      <c r="AO42" s="701"/>
      <c r="AP42" s="701"/>
      <c r="AQ42" s="701"/>
      <c r="AR42" s="701"/>
      <c r="AS42" s="701"/>
      <c r="AT42" s="701"/>
      <c r="AU42" s="702"/>
    </row>
    <row r="43" spans="5:47" x14ac:dyDescent="0.15">
      <c r="E43" s="74">
        <f>INDEX(E24:E30,MATCH($F$37,$E$24:$E$30,1))</f>
        <v>20</v>
      </c>
      <c r="F43" s="609">
        <f>INDEX(G24:G30,MATCH($F$37,$E$24:$E$30))</f>
        <v>85</v>
      </c>
      <c r="G43" s="609">
        <f>INDEX(H24:H30,MATCH($F$37,$E$24:$E$30))</f>
        <v>85</v>
      </c>
      <c r="H43" s="233"/>
      <c r="I43" s="233"/>
      <c r="J43" s="4"/>
      <c r="K43" s="4"/>
      <c r="L43" s="235"/>
      <c r="M43" s="243"/>
      <c r="Q43" s="232"/>
      <c r="AU43" s="364"/>
    </row>
    <row r="44" spans="5:47" x14ac:dyDescent="0.15">
      <c r="E44" s="74" cm="1">
        <f t="array" ref="E44">INDEX(E24:E30,MATCH($F$37,$E$24:$E$30,1)+1)</f>
        <v>45</v>
      </c>
      <c r="F44" s="609" cm="1">
        <f t="array" ref="F44">INDEX(G24:G30,MATCH($F$37,$E$24:$E$30)+1)</f>
        <v>83.972857630618719</v>
      </c>
      <c r="G44" s="609" cm="1">
        <f t="array" ref="G44">INDEX(H24:H30,MATCH($F$37,$E$24:$E$30)+1)</f>
        <v>83.972857630618719</v>
      </c>
      <c r="H44" s="233"/>
      <c r="I44" s="233"/>
      <c r="J44" s="4"/>
      <c r="K44" s="4"/>
      <c r="L44" s="235"/>
      <c r="M44" s="243"/>
      <c r="Q44" s="232"/>
      <c r="X44" s="701"/>
      <c r="Y44" s="701"/>
      <c r="Z44" s="701"/>
      <c r="AA44" s="701"/>
      <c r="AC44" s="701"/>
      <c r="AD44" s="701"/>
      <c r="AE44" s="701"/>
      <c r="AF44" s="701"/>
      <c r="AG44" s="701"/>
      <c r="AH44" s="701"/>
      <c r="AI44" s="701"/>
      <c r="AJ44" s="701"/>
      <c r="AK44" s="701"/>
      <c r="AL44" s="701"/>
      <c r="AM44" s="701"/>
      <c r="AN44" s="701"/>
      <c r="AO44" s="701"/>
      <c r="AP44" s="701"/>
      <c r="AQ44" s="701"/>
      <c r="AR44" s="701"/>
      <c r="AS44" s="701"/>
      <c r="AT44" s="701"/>
      <c r="AU44" s="702"/>
    </row>
    <row r="45" spans="5:47" x14ac:dyDescent="0.15">
      <c r="F45" s="233"/>
      <c r="G45" s="233"/>
      <c r="H45" s="233"/>
      <c r="I45" s="233"/>
      <c r="J45" s="4"/>
      <c r="K45" s="4"/>
      <c r="L45" s="235"/>
      <c r="M45" s="243"/>
      <c r="Q45" s="232"/>
      <c r="X45" s="701"/>
      <c r="Y45" s="701"/>
      <c r="Z45" s="701"/>
      <c r="AA45" s="701"/>
      <c r="AC45" s="701"/>
      <c r="AD45" s="701"/>
      <c r="AE45" s="701"/>
      <c r="AF45" s="701"/>
      <c r="AG45" s="701"/>
      <c r="AH45" s="1665" t="s">
        <v>2904</v>
      </c>
      <c r="AI45" s="701"/>
      <c r="AJ45" s="701"/>
      <c r="AK45" s="701"/>
      <c r="AL45" s="701"/>
      <c r="AM45" s="701"/>
      <c r="AN45" s="701"/>
      <c r="AO45" s="701"/>
      <c r="AP45" s="701"/>
      <c r="AQ45" s="701"/>
      <c r="AR45" s="701"/>
      <c r="AS45" s="701"/>
      <c r="AT45" s="701"/>
      <c r="AU45" s="702"/>
    </row>
    <row r="46" spans="5:47" ht="15" x14ac:dyDescent="0.2">
      <c r="F46" s="233"/>
      <c r="G46" s="233"/>
      <c r="H46" s="233"/>
      <c r="I46" s="233"/>
      <c r="J46" s="4"/>
      <c r="K46" s="4"/>
      <c r="L46" s="235"/>
      <c r="M46" s="243"/>
      <c r="Q46" s="232"/>
      <c r="X46" s="1791" t="s">
        <v>129</v>
      </c>
      <c r="Y46" s="1791"/>
      <c r="Z46" s="1791"/>
      <c r="AA46" s="1792"/>
      <c r="AB46" s="707"/>
      <c r="AC46" s="708"/>
      <c r="AD46" s="708"/>
      <c r="AE46" s="708"/>
      <c r="AF46" s="708"/>
      <c r="AG46" s="708"/>
      <c r="AH46" s="708"/>
      <c r="AI46" s="708"/>
      <c r="AJ46" s="708"/>
      <c r="AK46" s="708"/>
      <c r="AL46" s="701"/>
      <c r="AM46" s="701"/>
      <c r="AN46" s="701"/>
      <c r="AO46" s="701"/>
      <c r="AP46" s="701"/>
      <c r="AQ46" s="701"/>
      <c r="AR46" s="701"/>
      <c r="AS46" s="701"/>
      <c r="AT46" s="701"/>
      <c r="AU46" s="702"/>
    </row>
    <row r="47" spans="5:47" ht="48" x14ac:dyDescent="0.2">
      <c r="F47" s="233"/>
      <c r="G47" s="233"/>
      <c r="H47" s="233"/>
      <c r="I47" s="233"/>
      <c r="J47" s="4"/>
      <c r="K47" s="4"/>
      <c r="L47" s="235"/>
      <c r="M47" s="243"/>
      <c r="Q47" s="232"/>
      <c r="X47" s="674" t="s">
        <v>1216</v>
      </c>
      <c r="Y47" s="675" t="s">
        <v>1217</v>
      </c>
      <c r="Z47" s="676" t="s">
        <v>1236</v>
      </c>
      <c r="AA47" s="677"/>
      <c r="AB47" s="710"/>
      <c r="AC47" s="677" t="s">
        <v>1219</v>
      </c>
      <c r="AD47" s="677" t="s">
        <v>1237</v>
      </c>
      <c r="AE47" s="677" t="s">
        <v>1238</v>
      </c>
      <c r="AF47" s="677" t="s">
        <v>1239</v>
      </c>
      <c r="AG47" s="711"/>
      <c r="AH47" s="677" t="s">
        <v>1219</v>
      </c>
      <c r="AI47" s="677" t="s">
        <v>1237</v>
      </c>
      <c r="AJ47" s="677" t="s">
        <v>1238</v>
      </c>
      <c r="AK47" s="677" t="s">
        <v>1239</v>
      </c>
      <c r="AL47" s="701"/>
      <c r="AM47" s="701"/>
      <c r="AN47" s="701"/>
      <c r="AO47" s="701"/>
      <c r="AP47" s="701"/>
      <c r="AQ47" s="701"/>
      <c r="AR47" s="701"/>
      <c r="AS47" s="701"/>
      <c r="AT47" s="701"/>
      <c r="AU47" s="702"/>
    </row>
    <row r="48" spans="5:47" ht="15" x14ac:dyDescent="0.2">
      <c r="E48" t="s">
        <v>1175</v>
      </c>
      <c r="F48" s="233"/>
      <c r="G48" s="233"/>
      <c r="H48" s="233"/>
      <c r="I48" s="233"/>
      <c r="J48" s="4"/>
      <c r="K48" s="4"/>
      <c r="L48" s="235"/>
      <c r="M48" s="243"/>
      <c r="Q48" s="232"/>
      <c r="X48" s="678"/>
      <c r="Y48" s="679">
        <v>25</v>
      </c>
      <c r="Z48" s="679"/>
      <c r="AA48" s="680"/>
      <c r="AB48" s="712"/>
      <c r="AC48" s="1645">
        <v>40</v>
      </c>
      <c r="AD48" s="1667">
        <f>'Kennolaskuri 150_250_350_ENT'!P17*100</f>
        <v>85</v>
      </c>
      <c r="AE48" s="1668">
        <f>AD48</f>
        <v>85</v>
      </c>
      <c r="AF48" s="1668">
        <f>AE48</f>
        <v>85</v>
      </c>
      <c r="AG48" s="713"/>
      <c r="AH48" s="681">
        <v>18</v>
      </c>
      <c r="AI48" s="682">
        <v>79.5</v>
      </c>
      <c r="AJ48" s="680">
        <v>79.5</v>
      </c>
      <c r="AK48" s="680">
        <v>82</v>
      </c>
      <c r="AL48" s="701"/>
      <c r="AM48" s="701"/>
      <c r="AN48" s="701"/>
      <c r="AO48" s="701"/>
      <c r="AP48" s="701"/>
      <c r="AQ48" s="701"/>
      <c r="AR48" s="701"/>
      <c r="AS48" s="701"/>
      <c r="AT48" s="701"/>
      <c r="AU48" s="702"/>
    </row>
    <row r="49" spans="5:47" ht="15" x14ac:dyDescent="0.2">
      <c r="E49" t="s">
        <v>988</v>
      </c>
      <c r="F49" s="233" t="b">
        <f>Kirjasto_ENT!V5</f>
        <v>0</v>
      </c>
      <c r="G49" s="233"/>
      <c r="H49" s="233"/>
      <c r="I49" s="233"/>
      <c r="J49" s="4"/>
      <c r="K49" s="4"/>
      <c r="L49" s="235"/>
      <c r="M49" s="243"/>
      <c r="Q49" s="232"/>
      <c r="X49" s="685" t="s">
        <v>1240</v>
      </c>
      <c r="Y49" s="679">
        <v>68</v>
      </c>
      <c r="Z49" s="679">
        <v>79.3</v>
      </c>
      <c r="AA49" s="680"/>
      <c r="AB49" s="712"/>
      <c r="AC49" s="1645">
        <v>78</v>
      </c>
      <c r="AD49" s="1667">
        <f>'Kennolaskuri 150_250_350_ENT'!P18*100</f>
        <v>84.0330730125103</v>
      </c>
      <c r="AE49" s="1668">
        <f t="shared" ref="AE49:AF54" si="9">AD49</f>
        <v>84.0330730125103</v>
      </c>
      <c r="AF49" s="1668">
        <f t="shared" si="9"/>
        <v>84.0330730125103</v>
      </c>
      <c r="AG49" s="713"/>
      <c r="AH49" s="681">
        <v>29</v>
      </c>
      <c r="AI49" s="682">
        <v>79.5</v>
      </c>
      <c r="AJ49" s="680">
        <v>79.5</v>
      </c>
      <c r="AK49" s="680">
        <v>81.75</v>
      </c>
      <c r="AL49" s="701"/>
      <c r="AM49" s="701"/>
      <c r="AN49" s="701"/>
      <c r="AO49" s="701"/>
      <c r="AP49" s="701"/>
      <c r="AQ49" s="701"/>
      <c r="AR49" s="701"/>
      <c r="AS49" s="701"/>
      <c r="AT49" s="701"/>
      <c r="AU49" s="702"/>
    </row>
    <row r="50" spans="5:47" ht="15" x14ac:dyDescent="0.2">
      <c r="E50" t="s">
        <v>1177</v>
      </c>
      <c r="F50" s="233" t="b">
        <f>Kirjasto_ENT!V6</f>
        <v>1</v>
      </c>
      <c r="G50" s="233"/>
      <c r="H50" s="233"/>
      <c r="I50" s="233"/>
      <c r="J50" s="4"/>
      <c r="K50" s="4"/>
      <c r="L50" s="235"/>
      <c r="M50" s="243"/>
      <c r="Q50" s="232"/>
      <c r="X50" s="685" t="s">
        <v>1241</v>
      </c>
      <c r="Y50" s="679">
        <v>91</v>
      </c>
      <c r="Z50" s="679">
        <v>79.5</v>
      </c>
      <c r="AA50" s="680"/>
      <c r="AB50" s="712"/>
      <c r="AC50" s="1645">
        <v>110</v>
      </c>
      <c r="AD50" s="1667">
        <f>'Kennolaskuri 150_250_350_ENT'!P19*100</f>
        <v>81.246764299333762</v>
      </c>
      <c r="AE50" s="1668">
        <f t="shared" si="9"/>
        <v>81.246764299333762</v>
      </c>
      <c r="AF50" s="1668">
        <f t="shared" si="9"/>
        <v>81.246764299333762</v>
      </c>
      <c r="AG50" s="713"/>
      <c r="AH50" s="681">
        <v>36</v>
      </c>
      <c r="AI50" s="682">
        <v>79.5</v>
      </c>
      <c r="AJ50" s="680">
        <v>79.5</v>
      </c>
      <c r="AK50" s="680">
        <v>81.5</v>
      </c>
      <c r="AL50" s="701"/>
      <c r="AM50" s="701"/>
      <c r="AN50" s="701"/>
      <c r="AO50" s="701"/>
      <c r="AP50" s="701"/>
      <c r="AQ50" s="701"/>
      <c r="AR50" s="701"/>
      <c r="AS50" s="701"/>
      <c r="AT50" s="701"/>
      <c r="AU50" s="702"/>
    </row>
    <row r="51" spans="5:47" ht="15" x14ac:dyDescent="0.2">
      <c r="F51" s="233"/>
      <c r="G51" s="233"/>
      <c r="H51" s="233"/>
      <c r="I51" s="233"/>
      <c r="J51" s="4"/>
      <c r="K51" s="4"/>
      <c r="L51" s="235"/>
      <c r="M51" s="243"/>
      <c r="Q51" s="232"/>
      <c r="X51" s="685" t="s">
        <v>1242</v>
      </c>
      <c r="Y51" s="679">
        <v>127</v>
      </c>
      <c r="Z51" s="687">
        <v>76.599999999999994</v>
      </c>
      <c r="AA51" s="680"/>
      <c r="AB51" s="712"/>
      <c r="AC51" s="1645">
        <v>160</v>
      </c>
      <c r="AD51" s="1667">
        <f>'Kennolaskuri 150_250_350_ENT'!P20*100</f>
        <v>78.314949742262243</v>
      </c>
      <c r="AE51" s="1668">
        <f t="shared" si="9"/>
        <v>78.314949742262243</v>
      </c>
      <c r="AF51" s="1668">
        <f t="shared" si="9"/>
        <v>78.314949742262243</v>
      </c>
      <c r="AG51" s="713"/>
      <c r="AH51" s="681">
        <v>80</v>
      </c>
      <c r="AI51" s="682">
        <v>79.5</v>
      </c>
      <c r="AJ51" s="680">
        <v>79.5</v>
      </c>
      <c r="AK51" s="680">
        <v>80.5</v>
      </c>
      <c r="AL51" s="701"/>
      <c r="AM51" s="701"/>
      <c r="AN51" s="701"/>
      <c r="AO51" s="701"/>
      <c r="AP51" s="701"/>
      <c r="AQ51" s="701"/>
      <c r="AR51" s="701"/>
      <c r="AS51" s="701"/>
      <c r="AT51" s="701"/>
      <c r="AU51" s="702"/>
    </row>
    <row r="52" spans="5:47" ht="15" x14ac:dyDescent="0.2">
      <c r="E52" t="s">
        <v>1956</v>
      </c>
      <c r="F52" s="80">
        <f>'R-series ENT'!E37</f>
        <v>125</v>
      </c>
      <c r="G52" t="str">
        <f>'R-series ENT'!F37</f>
        <v>m³/h</v>
      </c>
      <c r="H52" s="233"/>
      <c r="I52" s="233"/>
      <c r="J52" s="4"/>
      <c r="K52" s="4"/>
      <c r="L52" s="235"/>
      <c r="M52" s="243"/>
      <c r="Q52" s="232"/>
      <c r="X52" s="686" t="s">
        <v>1243</v>
      </c>
      <c r="Y52" s="679">
        <v>167</v>
      </c>
      <c r="Z52" s="679">
        <v>79.900000000000006</v>
      </c>
      <c r="AA52" s="680"/>
      <c r="AB52" s="712"/>
      <c r="AC52" s="1645">
        <v>220</v>
      </c>
      <c r="AD52" s="1667">
        <f>'Kennolaskuri 150_250_350_ENT'!P21*100</f>
        <v>75.90650649929313</v>
      </c>
      <c r="AE52" s="1668">
        <f t="shared" si="9"/>
        <v>75.90650649929313</v>
      </c>
      <c r="AF52" s="1668">
        <f t="shared" si="9"/>
        <v>75.90650649929313</v>
      </c>
      <c r="AG52" s="713"/>
      <c r="AH52" s="681">
        <v>120</v>
      </c>
      <c r="AI52" s="682">
        <v>79.5</v>
      </c>
      <c r="AJ52" s="680">
        <v>79.5</v>
      </c>
      <c r="AK52" s="680">
        <v>80</v>
      </c>
      <c r="AL52" s="701"/>
      <c r="AM52" s="701"/>
      <c r="AN52" s="701"/>
      <c r="AO52" s="701"/>
      <c r="AP52" s="701"/>
      <c r="AQ52" s="701"/>
      <c r="AR52" s="701"/>
      <c r="AS52" s="701"/>
      <c r="AT52" s="701"/>
      <c r="AU52" s="702"/>
    </row>
    <row r="53" spans="5:47" ht="15" x14ac:dyDescent="0.2">
      <c r="E53" t="s">
        <v>1957</v>
      </c>
      <c r="F53" s="5">
        <f>IF(F49,'R-series ENT'!E37,'R-series ENT'!E38)</f>
        <v>34.722222222222221</v>
      </c>
      <c r="G53" s="233" t="s">
        <v>13</v>
      </c>
      <c r="H53" s="233"/>
      <c r="I53" s="233"/>
      <c r="J53" s="4"/>
      <c r="K53" s="4"/>
      <c r="L53" s="235"/>
      <c r="M53" s="243"/>
      <c r="Q53" s="232"/>
      <c r="X53" s="679"/>
      <c r="Y53" s="679">
        <v>200</v>
      </c>
      <c r="Z53" s="679"/>
      <c r="AA53" s="680"/>
      <c r="AB53" s="712"/>
      <c r="AC53" s="1645">
        <v>280</v>
      </c>
      <c r="AD53" s="1667">
        <f>'Kennolaskuri 150_250_350_ENT'!P22*100</f>
        <v>74.132022404676448</v>
      </c>
      <c r="AE53" s="1668">
        <f t="shared" si="9"/>
        <v>74.132022404676448</v>
      </c>
      <c r="AF53" s="1668">
        <f t="shared" si="9"/>
        <v>74.132022404676448</v>
      </c>
      <c r="AG53" s="713"/>
      <c r="AH53" s="681">
        <v>180</v>
      </c>
      <c r="AI53" s="682">
        <v>79.5</v>
      </c>
      <c r="AJ53" s="680">
        <v>79</v>
      </c>
      <c r="AK53" s="680">
        <v>79.5</v>
      </c>
      <c r="AL53" s="701"/>
      <c r="AM53" s="701"/>
      <c r="AN53" s="701"/>
      <c r="AO53" s="701"/>
      <c r="AP53" s="701"/>
      <c r="AQ53" s="701"/>
      <c r="AR53" s="701"/>
      <c r="AS53" s="701"/>
      <c r="AT53" s="701"/>
      <c r="AU53" s="702"/>
    </row>
    <row r="54" spans="5:47" ht="15" x14ac:dyDescent="0.2">
      <c r="F54" s="233"/>
      <c r="G54" s="233"/>
      <c r="H54" s="233"/>
      <c r="I54" s="233"/>
      <c r="J54" s="4"/>
      <c r="K54" s="4"/>
      <c r="L54" s="235"/>
      <c r="M54" s="243"/>
      <c r="Q54" s="232"/>
      <c r="X54" s="701"/>
      <c r="Y54" s="701"/>
      <c r="Z54" s="715" t="s">
        <v>1244</v>
      </c>
      <c r="AA54" s="701"/>
      <c r="AC54" s="1645">
        <v>340</v>
      </c>
      <c r="AD54" s="1667">
        <f>'Kennolaskuri 150_250_350_ENT'!P23*100</f>
        <v>72.733599731458426</v>
      </c>
      <c r="AE54" s="1668">
        <f t="shared" si="9"/>
        <v>72.733599731458426</v>
      </c>
      <c r="AF54" s="1668">
        <f t="shared" si="9"/>
        <v>72.733599731458426</v>
      </c>
      <c r="AG54" s="701"/>
      <c r="AH54" s="729">
        <f>AH53</f>
        <v>180</v>
      </c>
      <c r="AI54" s="729">
        <f t="shared" ref="AI54:AK54" si="10">AI53</f>
        <v>79.5</v>
      </c>
      <c r="AJ54" s="729">
        <f t="shared" si="10"/>
        <v>79</v>
      </c>
      <c r="AK54" s="729">
        <f t="shared" si="10"/>
        <v>79.5</v>
      </c>
      <c r="AL54" s="701"/>
      <c r="AM54" s="701"/>
      <c r="AN54" s="701"/>
      <c r="AO54" s="701"/>
      <c r="AP54" s="701"/>
      <c r="AQ54" s="701"/>
      <c r="AR54" s="701"/>
      <c r="AS54" s="701"/>
      <c r="AT54" s="701"/>
      <c r="AU54" s="702"/>
    </row>
    <row r="55" spans="5:47" x14ac:dyDescent="0.15">
      <c r="F55" s="233"/>
      <c r="G55" s="233"/>
      <c r="H55" s="233"/>
      <c r="I55" s="233"/>
      <c r="J55" s="4"/>
      <c r="K55" s="4"/>
      <c r="L55" s="235"/>
      <c r="M55" s="243"/>
      <c r="Q55" s="232"/>
      <c r="AU55" s="364"/>
    </row>
    <row r="56" spans="5:47" x14ac:dyDescent="0.15">
      <c r="F56" s="233"/>
      <c r="G56" s="233"/>
      <c r="H56" s="233"/>
      <c r="I56" s="233"/>
      <c r="J56" s="4"/>
      <c r="K56" s="4"/>
      <c r="L56" s="235"/>
      <c r="M56" s="243"/>
      <c r="Q56" s="232"/>
      <c r="X56" s="701"/>
      <c r="Y56" s="701"/>
      <c r="Z56" s="701"/>
      <c r="AA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  <c r="AN56" s="701"/>
      <c r="AO56" s="701"/>
      <c r="AP56" s="701"/>
      <c r="AQ56" s="701"/>
      <c r="AR56" s="701"/>
      <c r="AS56" s="701"/>
      <c r="AT56" s="701"/>
      <c r="AU56" s="702"/>
    </row>
    <row r="57" spans="5:47" ht="15" x14ac:dyDescent="0.2">
      <c r="F57" s="233"/>
      <c r="G57" s="233"/>
      <c r="H57" s="233"/>
      <c r="I57" s="233"/>
      <c r="J57" s="4"/>
      <c r="K57" s="4"/>
      <c r="L57" s="235"/>
      <c r="M57" s="243"/>
      <c r="Q57" s="232"/>
      <c r="X57" s="716"/>
      <c r="Y57" s="701"/>
      <c r="Z57" s="717"/>
      <c r="AA57" s="701"/>
      <c r="AC57" s="701"/>
      <c r="AD57" s="701"/>
      <c r="AE57" s="701"/>
      <c r="AF57" s="701"/>
      <c r="AG57" s="701"/>
      <c r="AH57" s="1665" t="s">
        <v>2904</v>
      </c>
      <c r="AI57" s="701"/>
      <c r="AJ57" s="701"/>
      <c r="AK57" s="701"/>
      <c r="AL57" s="701"/>
      <c r="AM57" s="701"/>
      <c r="AN57" s="701"/>
      <c r="AO57" s="701"/>
      <c r="AP57" s="701"/>
      <c r="AQ57" s="701"/>
      <c r="AR57" s="701"/>
      <c r="AS57" s="701"/>
      <c r="AT57" s="701"/>
      <c r="AU57" s="702"/>
    </row>
    <row r="58" spans="5:47" ht="15" x14ac:dyDescent="0.2">
      <c r="F58" s="233"/>
      <c r="G58" s="233"/>
      <c r="H58" s="233"/>
      <c r="I58" s="233"/>
      <c r="J58" s="4"/>
      <c r="K58" s="4"/>
      <c r="L58" s="235"/>
      <c r="M58" s="243"/>
      <c r="Q58" s="232"/>
      <c r="X58" s="1791" t="s">
        <v>1245</v>
      </c>
      <c r="Y58" s="1791"/>
      <c r="Z58" s="1791"/>
      <c r="AA58" s="1792"/>
      <c r="AB58" s="707"/>
      <c r="AC58" s="701"/>
      <c r="AD58" s="701"/>
      <c r="AE58" s="701"/>
      <c r="AF58" s="701"/>
      <c r="AG58" s="708"/>
      <c r="AH58" s="701"/>
      <c r="AI58" s="701"/>
      <c r="AJ58" s="701"/>
      <c r="AK58" s="701"/>
      <c r="AL58" s="701"/>
      <c r="AM58" s="701"/>
      <c r="AN58" s="701"/>
      <c r="AO58" s="701"/>
      <c r="AP58" s="701"/>
      <c r="AQ58" s="701"/>
      <c r="AR58" s="701"/>
      <c r="AS58" s="701"/>
      <c r="AT58" s="701"/>
      <c r="AU58" s="702"/>
    </row>
    <row r="59" spans="5:47" ht="48" x14ac:dyDescent="0.2">
      <c r="F59" s="233"/>
      <c r="G59" s="233"/>
      <c r="H59" s="233"/>
      <c r="I59" s="233"/>
      <c r="J59" s="4"/>
      <c r="K59" s="4"/>
      <c r="L59" s="235"/>
      <c r="M59" s="243"/>
      <c r="Q59" s="232"/>
      <c r="X59" s="676"/>
      <c r="Y59" s="675" t="s">
        <v>1219</v>
      </c>
      <c r="Z59" s="676"/>
      <c r="AA59" s="688"/>
      <c r="AB59" s="718"/>
      <c r="AC59" s="677" t="s">
        <v>1219</v>
      </c>
      <c r="AD59" s="677" t="s">
        <v>1246</v>
      </c>
      <c r="AE59" s="677" t="s">
        <v>1247</v>
      </c>
      <c r="AF59" s="677" t="s">
        <v>1248</v>
      </c>
      <c r="AG59" s="705"/>
      <c r="AH59" s="677" t="s">
        <v>1219</v>
      </c>
      <c r="AI59" s="677" t="s">
        <v>1246</v>
      </c>
      <c r="AJ59" s="677" t="s">
        <v>1247</v>
      </c>
      <c r="AK59" s="677" t="s">
        <v>1248</v>
      </c>
      <c r="AL59" s="701"/>
      <c r="AM59" s="701"/>
      <c r="AN59" s="701"/>
      <c r="AO59" s="701"/>
      <c r="AP59" s="701"/>
      <c r="AQ59" s="701"/>
      <c r="AR59" s="701"/>
      <c r="AS59" s="701"/>
      <c r="AT59" s="701"/>
      <c r="AU59" s="702"/>
    </row>
    <row r="60" spans="5:47" ht="15" x14ac:dyDescent="0.2">
      <c r="F60" s="233"/>
      <c r="G60" s="233"/>
      <c r="H60" s="233"/>
      <c r="I60" s="233"/>
      <c r="J60" s="4"/>
      <c r="K60" s="4"/>
      <c r="L60" s="235"/>
      <c r="M60" s="243"/>
      <c r="Q60" s="232"/>
      <c r="X60" s="679"/>
      <c r="Y60" s="689">
        <v>50</v>
      </c>
      <c r="Z60" s="690">
        <v>79.5</v>
      </c>
      <c r="AA60" s="690"/>
      <c r="AB60" s="32"/>
      <c r="AC60" s="1645">
        <v>40</v>
      </c>
      <c r="AD60" s="1667">
        <f>AD48</f>
        <v>85</v>
      </c>
      <c r="AE60" s="1668">
        <f>AD60</f>
        <v>85</v>
      </c>
      <c r="AF60" s="1668">
        <f>AE60</f>
        <v>85</v>
      </c>
      <c r="AG60" s="719"/>
      <c r="AH60" s="691">
        <v>50</v>
      </c>
      <c r="AI60" s="682">
        <v>79.5</v>
      </c>
      <c r="AJ60" s="680">
        <v>79.5</v>
      </c>
      <c r="AK60" s="680">
        <v>81</v>
      </c>
      <c r="AL60" s="701"/>
      <c r="AM60" s="701"/>
      <c r="AN60" s="701"/>
      <c r="AO60" s="701"/>
      <c r="AP60" s="701"/>
      <c r="AQ60" s="701"/>
      <c r="AR60" s="701"/>
      <c r="AS60" s="701"/>
      <c r="AT60" s="701"/>
      <c r="AU60" s="702"/>
    </row>
    <row r="61" spans="5:47" ht="15" x14ac:dyDescent="0.2">
      <c r="F61" s="233"/>
      <c r="G61" s="233"/>
      <c r="H61" s="233"/>
      <c r="I61" s="233"/>
      <c r="J61" s="4"/>
      <c r="K61" s="4"/>
      <c r="L61" s="235"/>
      <c r="M61" s="243"/>
      <c r="Q61" s="232"/>
      <c r="X61" s="692"/>
      <c r="Y61" s="689">
        <v>100</v>
      </c>
      <c r="Z61" s="690">
        <v>79.5</v>
      </c>
      <c r="AA61" s="690"/>
      <c r="AB61" s="32"/>
      <c r="AC61" s="1645">
        <v>78</v>
      </c>
      <c r="AD61" s="1667">
        <f t="shared" ref="AD61:AD66" si="11">AD49</f>
        <v>84.0330730125103</v>
      </c>
      <c r="AE61" s="1668">
        <f t="shared" ref="AE61:AF66" si="12">AD61</f>
        <v>84.0330730125103</v>
      </c>
      <c r="AF61" s="1668">
        <f t="shared" si="12"/>
        <v>84.0330730125103</v>
      </c>
      <c r="AG61" s="719"/>
      <c r="AH61" s="691">
        <v>100</v>
      </c>
      <c r="AI61" s="682">
        <v>79.5</v>
      </c>
      <c r="AJ61" s="680">
        <v>79.5</v>
      </c>
      <c r="AK61" s="680">
        <v>80.5</v>
      </c>
      <c r="AL61" s="701"/>
      <c r="AM61" s="701"/>
      <c r="AN61" s="701"/>
      <c r="AO61" s="701"/>
      <c r="AP61" s="701"/>
      <c r="AQ61" s="701"/>
      <c r="AR61" s="701"/>
      <c r="AS61" s="701"/>
      <c r="AT61" s="701"/>
      <c r="AU61" s="702"/>
    </row>
    <row r="62" spans="5:47" ht="15" x14ac:dyDescent="0.2">
      <c r="F62" s="233"/>
      <c r="G62" s="233"/>
      <c r="H62" s="233"/>
      <c r="I62" s="233"/>
      <c r="J62" s="4"/>
      <c r="K62" s="4"/>
      <c r="L62" s="235"/>
      <c r="M62" s="243"/>
      <c r="Q62" s="232"/>
      <c r="X62" s="692"/>
      <c r="Y62" s="689">
        <v>150</v>
      </c>
      <c r="Z62" s="690">
        <v>79.5</v>
      </c>
      <c r="AA62" s="690"/>
      <c r="AB62" s="32"/>
      <c r="AC62" s="1645">
        <v>110</v>
      </c>
      <c r="AD62" s="1667">
        <f t="shared" si="11"/>
        <v>81.246764299333762</v>
      </c>
      <c r="AE62" s="1668">
        <f t="shared" si="12"/>
        <v>81.246764299333762</v>
      </c>
      <c r="AF62" s="1668">
        <f t="shared" si="12"/>
        <v>81.246764299333762</v>
      </c>
      <c r="AG62" s="719"/>
      <c r="AH62" s="691">
        <v>150</v>
      </c>
      <c r="AI62" s="682">
        <v>79.5</v>
      </c>
      <c r="AJ62" s="680">
        <v>79.5</v>
      </c>
      <c r="AK62" s="680">
        <v>80</v>
      </c>
      <c r="AL62" s="701"/>
      <c r="AM62" s="701"/>
      <c r="AN62" s="701"/>
      <c r="AO62" s="701"/>
      <c r="AP62" s="701"/>
      <c r="AQ62" s="701"/>
      <c r="AR62" s="701"/>
      <c r="AS62" s="701"/>
      <c r="AT62" s="701"/>
      <c r="AU62" s="702"/>
    </row>
    <row r="63" spans="5:47" ht="15" x14ac:dyDescent="0.2">
      <c r="F63" s="233"/>
      <c r="G63" s="233"/>
      <c r="H63" s="233"/>
      <c r="I63" s="233"/>
      <c r="J63" s="4"/>
      <c r="K63" s="4"/>
      <c r="L63" s="235"/>
      <c r="M63" s="243"/>
      <c r="Q63" s="232"/>
      <c r="X63" s="692"/>
      <c r="Y63" s="689">
        <v>200</v>
      </c>
      <c r="Z63" s="690">
        <v>79.3</v>
      </c>
      <c r="AA63" s="690"/>
      <c r="AB63" s="32"/>
      <c r="AC63" s="1645">
        <v>160</v>
      </c>
      <c r="AD63" s="1667">
        <f t="shared" si="11"/>
        <v>78.314949742262243</v>
      </c>
      <c r="AE63" s="1668">
        <f t="shared" si="12"/>
        <v>78.314949742262243</v>
      </c>
      <c r="AF63" s="1668">
        <f t="shared" si="12"/>
        <v>78.314949742262243</v>
      </c>
      <c r="AG63" s="719"/>
      <c r="AH63" s="691">
        <v>200</v>
      </c>
      <c r="AI63" s="682">
        <v>79.3</v>
      </c>
      <c r="AJ63" s="680">
        <v>79</v>
      </c>
      <c r="AK63" s="680">
        <v>79.5</v>
      </c>
      <c r="AL63" s="701"/>
      <c r="AM63" s="701"/>
      <c r="AN63" s="701"/>
      <c r="AO63" s="701"/>
      <c r="AP63" s="701"/>
      <c r="AQ63" s="701"/>
      <c r="AR63" s="701"/>
      <c r="AS63" s="701"/>
      <c r="AT63" s="701"/>
      <c r="AU63" s="702"/>
    </row>
    <row r="64" spans="5:47" ht="15" x14ac:dyDescent="0.2">
      <c r="F64" s="233"/>
      <c r="G64" s="233"/>
      <c r="H64" s="233"/>
      <c r="I64" s="233"/>
      <c r="J64" s="4"/>
      <c r="K64" s="4"/>
      <c r="L64" s="235"/>
      <c r="M64" s="243"/>
      <c r="Q64" s="232"/>
      <c r="X64" s="693"/>
      <c r="Y64" s="689">
        <v>250</v>
      </c>
      <c r="Z64" s="690">
        <v>78.2</v>
      </c>
      <c r="AA64" s="690"/>
      <c r="AB64" s="32"/>
      <c r="AC64" s="1645">
        <v>220</v>
      </c>
      <c r="AD64" s="1667">
        <f t="shared" si="11"/>
        <v>75.90650649929313</v>
      </c>
      <c r="AE64" s="1668">
        <f t="shared" si="12"/>
        <v>75.90650649929313</v>
      </c>
      <c r="AF64" s="1668">
        <f t="shared" si="12"/>
        <v>75.90650649929313</v>
      </c>
      <c r="AG64" s="719"/>
      <c r="AH64" s="691">
        <v>250</v>
      </c>
      <c r="AI64" s="682">
        <v>78.2</v>
      </c>
      <c r="AJ64" s="680">
        <v>78.2</v>
      </c>
      <c r="AK64" s="680">
        <v>78.7</v>
      </c>
      <c r="AL64" s="701"/>
      <c r="AM64" s="701"/>
      <c r="AN64" s="701"/>
      <c r="AO64" s="701"/>
      <c r="AP64" s="701"/>
      <c r="AQ64" s="701"/>
      <c r="AR64" s="701"/>
      <c r="AS64" s="701"/>
      <c r="AT64" s="701"/>
      <c r="AU64" s="702"/>
    </row>
    <row r="65" spans="6:47" ht="15" x14ac:dyDescent="0.2">
      <c r="F65" s="233"/>
      <c r="G65" s="233"/>
      <c r="H65" s="233"/>
      <c r="I65" s="233"/>
      <c r="J65" s="4"/>
      <c r="K65" s="4"/>
      <c r="L65" s="235"/>
      <c r="M65" s="243"/>
      <c r="Q65" s="232"/>
      <c r="X65" s="679"/>
      <c r="Y65" s="689">
        <v>300</v>
      </c>
      <c r="Z65" s="690">
        <v>77.5</v>
      </c>
      <c r="AA65" s="690"/>
      <c r="AB65" s="32"/>
      <c r="AC65" s="1645">
        <v>280</v>
      </c>
      <c r="AD65" s="1667">
        <f t="shared" si="11"/>
        <v>74.132022404676448</v>
      </c>
      <c r="AE65" s="1668">
        <f t="shared" si="12"/>
        <v>74.132022404676448</v>
      </c>
      <c r="AF65" s="1668">
        <f t="shared" si="12"/>
        <v>74.132022404676448</v>
      </c>
      <c r="AG65" s="719"/>
      <c r="AH65" s="691">
        <v>300</v>
      </c>
      <c r="AI65" s="682">
        <v>77.5</v>
      </c>
      <c r="AJ65" s="680">
        <v>77.5</v>
      </c>
      <c r="AK65" s="680">
        <v>78</v>
      </c>
      <c r="AL65" s="701"/>
      <c r="AM65" s="701"/>
      <c r="AN65" s="701"/>
      <c r="AO65" s="701"/>
      <c r="AP65" s="701"/>
      <c r="AQ65" s="701"/>
      <c r="AR65" s="701"/>
      <c r="AS65" s="701"/>
      <c r="AT65" s="701"/>
      <c r="AU65" s="702"/>
    </row>
    <row r="66" spans="6:47" ht="16" thickBot="1" x14ac:dyDescent="0.25">
      <c r="F66" s="233"/>
      <c r="G66" s="233"/>
      <c r="H66" s="233"/>
      <c r="I66" s="233"/>
      <c r="J66" s="4"/>
      <c r="K66" s="4"/>
      <c r="L66" s="235"/>
      <c r="M66" s="243"/>
      <c r="Q66" s="236"/>
      <c r="R66" s="238"/>
      <c r="S66" s="238"/>
      <c r="T66" s="238"/>
      <c r="U66" s="238"/>
      <c r="V66" s="238"/>
      <c r="W66" s="238"/>
      <c r="X66" s="720"/>
      <c r="Y66" s="720">
        <v>350</v>
      </c>
      <c r="Z66" s="721">
        <v>77.3</v>
      </c>
      <c r="AA66" s="721"/>
      <c r="AB66" s="722"/>
      <c r="AC66" s="1645">
        <v>340</v>
      </c>
      <c r="AD66" s="1667">
        <f t="shared" si="11"/>
        <v>72.733599731458426</v>
      </c>
      <c r="AE66" s="1668">
        <f t="shared" si="12"/>
        <v>72.733599731458426</v>
      </c>
      <c r="AF66" s="1668">
        <f t="shared" si="12"/>
        <v>72.733599731458426</v>
      </c>
      <c r="AG66" s="726"/>
      <c r="AH66" s="723">
        <v>350</v>
      </c>
      <c r="AI66" s="724">
        <v>77.3</v>
      </c>
      <c r="AJ66" s="725">
        <v>76.8</v>
      </c>
      <c r="AK66" s="725">
        <v>77</v>
      </c>
      <c r="AL66" s="727"/>
      <c r="AM66" s="727"/>
      <c r="AN66" s="727"/>
      <c r="AO66" s="727"/>
      <c r="AP66" s="727"/>
      <c r="AQ66" s="727"/>
      <c r="AR66" s="727"/>
      <c r="AS66" s="727"/>
      <c r="AT66" s="727"/>
      <c r="AU66" s="728"/>
    </row>
    <row r="67" spans="6:47" ht="14" thickBot="1" x14ac:dyDescent="0.2">
      <c r="F67" s="233"/>
      <c r="G67" s="233"/>
      <c r="H67" s="233"/>
      <c r="I67" s="233"/>
      <c r="J67" s="4"/>
      <c r="K67" s="4"/>
      <c r="L67" s="235"/>
      <c r="M67" s="243"/>
    </row>
    <row r="68" spans="6:47" x14ac:dyDescent="0.15">
      <c r="F68" s="233"/>
      <c r="G68" s="233"/>
      <c r="H68" s="233"/>
      <c r="I68" s="233"/>
      <c r="J68" s="4"/>
      <c r="K68" s="4"/>
      <c r="L68" s="235"/>
      <c r="M68" s="243"/>
      <c r="X68" s="303" t="s">
        <v>2707</v>
      </c>
      <c r="Y68" s="230"/>
      <c r="Z68" s="230"/>
      <c r="AA68" s="230"/>
      <c r="AB68" s="230"/>
      <c r="AC68" s="701"/>
      <c r="AD68" s="1665" t="s">
        <v>2902</v>
      </c>
      <c r="AE68" s="701"/>
      <c r="AF68" s="701"/>
      <c r="AG68" s="701"/>
      <c r="AH68" s="701" t="s">
        <v>2904</v>
      </c>
      <c r="AI68" s="701"/>
      <c r="AJ68" s="701"/>
      <c r="AK68" s="701"/>
      <c r="AL68" t="s">
        <v>2708</v>
      </c>
    </row>
    <row r="69" spans="6:47" ht="15" x14ac:dyDescent="0.2">
      <c r="F69" s="233"/>
      <c r="G69" s="233"/>
      <c r="H69" s="233"/>
      <c r="I69" s="233"/>
      <c r="J69" s="4"/>
      <c r="K69" s="4"/>
      <c r="L69" s="235"/>
      <c r="M69" s="243"/>
      <c r="X69" s="1857" t="s">
        <v>2670</v>
      </c>
      <c r="Y69" s="1858"/>
      <c r="Z69" s="1858"/>
      <c r="AA69" s="1859"/>
      <c r="AB69" s="1413"/>
      <c r="AC69" s="701"/>
      <c r="AD69" s="1665" t="s">
        <v>2912</v>
      </c>
      <c r="AE69" s="701"/>
      <c r="AF69" s="701"/>
      <c r="AG69" s="701"/>
      <c r="AH69" s="1665"/>
      <c r="AI69" s="701"/>
      <c r="AJ69" s="701"/>
      <c r="AK69" s="701"/>
    </row>
    <row r="70" spans="6:47" ht="44" customHeight="1" x14ac:dyDescent="0.2">
      <c r="F70" s="233"/>
      <c r="G70" s="233"/>
      <c r="H70" s="233"/>
      <c r="I70" s="233"/>
      <c r="J70" s="4"/>
      <c r="K70" s="4"/>
      <c r="L70" s="235"/>
      <c r="M70" s="243"/>
      <c r="X70" s="1415"/>
      <c r="Y70" s="675" t="s">
        <v>1219</v>
      </c>
      <c r="Z70" s="1403"/>
      <c r="AA70" s="1404"/>
      <c r="AB70" s="1416"/>
      <c r="AC70" s="708" t="s">
        <v>1219</v>
      </c>
      <c r="AD70" s="1671" t="s">
        <v>2913</v>
      </c>
      <c r="AE70" s="705" t="s">
        <v>2914</v>
      </c>
      <c r="AF70" s="705" t="s">
        <v>2915</v>
      </c>
      <c r="AG70" s="708"/>
      <c r="AH70" s="708" t="s">
        <v>1219</v>
      </c>
      <c r="AI70" s="705" t="s">
        <v>1246</v>
      </c>
      <c r="AJ70" s="705" t="s">
        <v>1247</v>
      </c>
      <c r="AK70" s="705" t="s">
        <v>1248</v>
      </c>
    </row>
    <row r="71" spans="6:47" ht="15" x14ac:dyDescent="0.2">
      <c r="F71" s="233"/>
      <c r="G71" s="233"/>
      <c r="H71" s="233"/>
      <c r="I71" s="233"/>
      <c r="J71" s="4"/>
      <c r="K71" s="4"/>
      <c r="L71" s="235"/>
      <c r="M71" s="243"/>
      <c r="X71" s="1418"/>
      <c r="Y71" s="675"/>
      <c r="Z71" s="1405"/>
      <c r="AA71" s="1405"/>
      <c r="AB71" s="1419"/>
      <c r="AC71" s="1645">
        <f>'Kennolaskuri 53mini_ENT'!O17</f>
        <v>15</v>
      </c>
      <c r="AD71" s="1672">
        <f>'Kennolaskuri 53mini_ENT'!P17</f>
        <v>0.85</v>
      </c>
      <c r="AE71" s="1668">
        <f>AD71*100</f>
        <v>85</v>
      </c>
      <c r="AF71" s="1668">
        <f>AE71</f>
        <v>85</v>
      </c>
      <c r="AG71" s="711"/>
      <c r="AH71" s="677">
        <v>15</v>
      </c>
      <c r="AI71" s="677"/>
      <c r="AJ71" s="677">
        <v>80.5</v>
      </c>
      <c r="AK71" s="677">
        <v>81.8</v>
      </c>
    </row>
    <row r="72" spans="6:47" ht="15" x14ac:dyDescent="0.2">
      <c r="F72" s="233"/>
      <c r="G72" s="233"/>
      <c r="H72" s="233"/>
      <c r="I72" s="233"/>
      <c r="J72" s="4"/>
      <c r="K72" s="4"/>
      <c r="L72" s="235"/>
      <c r="M72" s="243"/>
      <c r="X72" s="1418"/>
      <c r="Y72" s="675"/>
      <c r="Z72" s="1405"/>
      <c r="AA72" s="1405"/>
      <c r="AB72" s="1419"/>
      <c r="AC72" s="1645">
        <f>'Kennolaskuri 53mini_ENT'!O18</f>
        <v>33.700000000000003</v>
      </c>
      <c r="AD72" s="1672">
        <f>'Kennolaskuri 53mini_ENT'!P18</f>
        <v>0.83947816751442694</v>
      </c>
      <c r="AE72" s="1668">
        <f t="shared" ref="AE72:AE77" si="13">AD72*100</f>
        <v>83.947816751442701</v>
      </c>
      <c r="AF72" s="1668">
        <f t="shared" ref="AF72:AF77" si="14">AE72</f>
        <v>83.947816751442701</v>
      </c>
      <c r="AG72" s="713"/>
      <c r="AH72" s="681">
        <v>28</v>
      </c>
      <c r="AI72" s="682"/>
      <c r="AJ72" s="680">
        <v>80.3</v>
      </c>
      <c r="AK72" s="680">
        <v>81.599999999999994</v>
      </c>
    </row>
    <row r="73" spans="6:47" ht="15" x14ac:dyDescent="0.2">
      <c r="F73" s="233"/>
      <c r="G73" s="233"/>
      <c r="H73" s="233"/>
      <c r="I73" s="233"/>
      <c r="J73" s="4"/>
      <c r="K73" s="4"/>
      <c r="L73" s="235"/>
      <c r="M73" s="243"/>
      <c r="X73" s="1420"/>
      <c r="Y73" s="675"/>
      <c r="Z73" s="1405"/>
      <c r="AA73" s="1405"/>
      <c r="AB73" s="1419"/>
      <c r="AC73" s="1645">
        <f>'Kennolaskuri 53mini_ENT'!O19</f>
        <v>45</v>
      </c>
      <c r="AD73" s="1672">
        <f>'Kennolaskuri 53mini_ENT'!P19</f>
        <v>0.81920550336297016</v>
      </c>
      <c r="AE73" s="1668">
        <f t="shared" si="13"/>
        <v>81.920550336297012</v>
      </c>
      <c r="AF73" s="1668">
        <f t="shared" si="14"/>
        <v>81.920550336297012</v>
      </c>
      <c r="AG73" s="713"/>
      <c r="AH73" s="681">
        <v>36</v>
      </c>
      <c r="AI73" s="682"/>
      <c r="AJ73" s="680">
        <v>80</v>
      </c>
      <c r="AK73" s="680">
        <v>81.2</v>
      </c>
    </row>
    <row r="74" spans="6:47" ht="15" x14ac:dyDescent="0.2">
      <c r="F74" s="233"/>
      <c r="G74" s="233"/>
      <c r="H74" s="233"/>
      <c r="I74" s="233"/>
      <c r="J74" s="4"/>
      <c r="K74" s="4"/>
      <c r="L74" s="235"/>
      <c r="M74" s="243"/>
      <c r="X74" s="1420"/>
      <c r="Y74" s="675"/>
      <c r="Z74" s="1405"/>
      <c r="AA74" s="1405"/>
      <c r="AB74" s="1419"/>
      <c r="AC74" s="1645">
        <f>'Kennolaskuri 53mini_ENT'!O20</f>
        <v>55</v>
      </c>
      <c r="AD74" s="1672">
        <f>'Kennolaskuri 53mini_ENT'!P20</f>
        <v>0.80542541715541782</v>
      </c>
      <c r="AE74" s="1668">
        <f t="shared" si="13"/>
        <v>80.542541715541788</v>
      </c>
      <c r="AF74" s="1668">
        <f t="shared" si="14"/>
        <v>80.542541715541788</v>
      </c>
      <c r="AG74" s="713"/>
      <c r="AH74" s="681">
        <v>61.5</v>
      </c>
      <c r="AI74" s="682"/>
      <c r="AJ74" s="680">
        <v>79.7</v>
      </c>
      <c r="AK74" s="680">
        <v>80.25</v>
      </c>
    </row>
    <row r="75" spans="6:47" ht="15" x14ac:dyDescent="0.2">
      <c r="F75" s="233"/>
      <c r="G75" s="233"/>
      <c r="H75" s="233"/>
      <c r="I75" s="233"/>
      <c r="J75" s="4"/>
      <c r="K75" s="4"/>
      <c r="L75" s="235"/>
      <c r="M75" s="243"/>
      <c r="X75" s="1420"/>
      <c r="Y75" s="675"/>
      <c r="Z75" s="1405"/>
      <c r="AA75" s="1405"/>
      <c r="AB75" s="1419"/>
      <c r="AC75" s="1645">
        <f>'Kennolaskuri 53mini_ENT'!O21</f>
        <v>68</v>
      </c>
      <c r="AD75" s="1672">
        <f>'Kennolaskuri 53mini_ENT'!P21</f>
        <v>0.79110739230397642</v>
      </c>
      <c r="AE75" s="1668">
        <f t="shared" si="13"/>
        <v>79.110739230397641</v>
      </c>
      <c r="AF75" s="1668">
        <f t="shared" si="14"/>
        <v>79.110739230397641</v>
      </c>
      <c r="AG75" s="713"/>
      <c r="AH75" s="681">
        <v>90</v>
      </c>
      <c r="AI75" s="682"/>
      <c r="AJ75" s="680">
        <v>79</v>
      </c>
      <c r="AK75" s="680">
        <v>79.3</v>
      </c>
    </row>
    <row r="76" spans="6:47" ht="15" x14ac:dyDescent="0.2">
      <c r="F76" s="233"/>
      <c r="G76" s="233"/>
      <c r="H76" s="233"/>
      <c r="I76" s="233"/>
      <c r="J76" s="4"/>
      <c r="K76" s="4"/>
      <c r="L76" s="235"/>
      <c r="M76" s="243"/>
      <c r="X76" s="1421"/>
      <c r="Y76" s="675"/>
      <c r="Z76" s="1405"/>
      <c r="AA76" s="1405"/>
      <c r="AB76" s="1419"/>
      <c r="AC76" s="1645">
        <f>'Kennolaskuri 53mini_ENT'!O22</f>
        <v>82</v>
      </c>
      <c r="AD76" s="1672">
        <f>'Kennolaskuri 53mini_ENT'!P22</f>
        <v>0.77868544796409211</v>
      </c>
      <c r="AE76" s="1668">
        <f t="shared" si="13"/>
        <v>77.868544796409211</v>
      </c>
      <c r="AF76" s="1668">
        <f t="shared" si="14"/>
        <v>77.868544796409211</v>
      </c>
      <c r="AG76" s="713"/>
      <c r="AH76" s="681">
        <v>130</v>
      </c>
      <c r="AI76" s="682"/>
      <c r="AJ76" s="680">
        <v>78</v>
      </c>
      <c r="AK76" s="680">
        <v>78</v>
      </c>
    </row>
    <row r="77" spans="6:47" ht="16" thickBot="1" x14ac:dyDescent="0.25">
      <c r="F77" s="233"/>
      <c r="G77" s="233"/>
      <c r="H77" s="233"/>
      <c r="I77" s="233"/>
      <c r="J77" s="4"/>
      <c r="K77" s="4"/>
      <c r="L77" s="235"/>
      <c r="M77" s="243"/>
      <c r="X77" s="1422"/>
      <c r="Y77" s="1412"/>
      <c r="Z77" s="1406"/>
      <c r="AA77" s="1406"/>
      <c r="AB77" s="1407"/>
      <c r="AC77" s="1645">
        <f>'Kennolaskuri 53mini_ENT'!O23</f>
        <v>100</v>
      </c>
      <c r="AD77" s="1672">
        <f>'Kennolaskuri 53mini_ENT'!P23</f>
        <v>0.76573064035004634</v>
      </c>
      <c r="AE77" s="1668">
        <f t="shared" si="13"/>
        <v>76.573064035004634</v>
      </c>
      <c r="AF77" s="1668">
        <f t="shared" si="14"/>
        <v>76.573064035004634</v>
      </c>
      <c r="AG77" s="713"/>
      <c r="AH77" s="681">
        <f>AH76</f>
        <v>130</v>
      </c>
      <c r="AI77" s="682"/>
      <c r="AJ77" s="680">
        <f t="shared" ref="AJ77:AK77" si="15">AJ76</f>
        <v>78</v>
      </c>
      <c r="AK77" s="680">
        <f t="shared" si="15"/>
        <v>78</v>
      </c>
    </row>
    <row r="78" spans="6:47" x14ac:dyDescent="0.15">
      <c r="F78" s="233"/>
      <c r="G78" s="233"/>
      <c r="H78" s="233"/>
      <c r="I78" s="233"/>
      <c r="J78" s="4"/>
      <c r="K78" s="4"/>
      <c r="L78" s="235"/>
      <c r="M78" s="243"/>
    </row>
    <row r="79" spans="6:47" x14ac:dyDescent="0.15">
      <c r="F79" s="233"/>
      <c r="G79" s="233"/>
      <c r="H79" s="233"/>
      <c r="I79" s="233"/>
      <c r="J79" s="4"/>
      <c r="K79" s="4"/>
      <c r="L79" s="235"/>
      <c r="M79" s="243"/>
    </row>
    <row r="80" spans="6:47" x14ac:dyDescent="0.15">
      <c r="F80" s="233"/>
      <c r="G80" s="233"/>
      <c r="H80" s="233"/>
      <c r="I80" s="233"/>
      <c r="J80" s="4"/>
      <c r="K80" s="4"/>
      <c r="L80" s="235"/>
      <c r="M80" s="243"/>
    </row>
    <row r="81" spans="5:40" x14ac:dyDescent="0.15">
      <c r="F81" s="233"/>
      <c r="G81" s="233"/>
      <c r="H81" s="233"/>
      <c r="I81" s="233"/>
      <c r="J81" s="4"/>
      <c r="K81" s="4"/>
      <c r="L81" s="235"/>
      <c r="M81" s="243"/>
    </row>
    <row r="82" spans="5:40" x14ac:dyDescent="0.15">
      <c r="F82" s="233"/>
      <c r="G82" s="233"/>
      <c r="H82" s="233"/>
      <c r="I82" s="233"/>
      <c r="J82" s="4"/>
      <c r="K82" s="4"/>
      <c r="L82" s="235"/>
      <c r="M82" s="243"/>
    </row>
    <row r="83" spans="5:40" x14ac:dyDescent="0.15">
      <c r="F83" s="233"/>
      <c r="G83" s="233"/>
      <c r="H83" s="233"/>
      <c r="I83" s="233"/>
      <c r="J83" s="4"/>
      <c r="K83" s="4"/>
      <c r="L83" s="235"/>
      <c r="M83" s="243"/>
    </row>
    <row r="84" spans="5:40" x14ac:dyDescent="0.15">
      <c r="F84" s="233"/>
      <c r="G84" s="233"/>
      <c r="H84" s="233"/>
      <c r="I84" s="233"/>
      <c r="J84" s="4"/>
      <c r="K84" s="4"/>
      <c r="L84" s="235"/>
      <c r="M84" s="243"/>
    </row>
    <row r="85" spans="5:40" x14ac:dyDescent="0.15">
      <c r="F85" s="233"/>
      <c r="G85" s="233"/>
      <c r="H85" s="233"/>
      <c r="I85" s="233"/>
      <c r="J85" s="4"/>
      <c r="K85" s="4"/>
      <c r="L85" s="235"/>
      <c r="M85" s="243"/>
    </row>
    <row r="86" spans="5:40" x14ac:dyDescent="0.15">
      <c r="F86" s="233"/>
      <c r="G86" s="233"/>
      <c r="H86" s="233"/>
      <c r="I86" s="233"/>
      <c r="J86" s="4"/>
      <c r="K86" s="4"/>
      <c r="L86" s="235"/>
      <c r="M86" s="243"/>
    </row>
    <row r="87" spans="5:40" x14ac:dyDescent="0.15">
      <c r="F87" s="233"/>
      <c r="G87" s="233"/>
      <c r="H87" s="233"/>
      <c r="I87" s="233"/>
      <c r="J87" s="4"/>
      <c r="K87" s="4"/>
      <c r="L87" s="235"/>
      <c r="M87" s="243"/>
    </row>
    <row r="88" spans="5:40" x14ac:dyDescent="0.15">
      <c r="F88" s="233"/>
      <c r="G88" s="233"/>
      <c r="H88" s="233"/>
      <c r="I88" s="233"/>
      <c r="J88" s="4"/>
      <c r="K88" s="4"/>
      <c r="L88" s="235"/>
      <c r="M88" s="243"/>
    </row>
    <row r="89" spans="5:40" x14ac:dyDescent="0.15">
      <c r="F89" s="233"/>
      <c r="G89" s="233"/>
      <c r="H89" s="233"/>
      <c r="I89" s="233"/>
      <c r="J89" s="4"/>
      <c r="K89" s="4"/>
      <c r="L89" s="235"/>
      <c r="M89" s="243"/>
    </row>
    <row r="90" spans="5:40" x14ac:dyDescent="0.15">
      <c r="F90" s="233"/>
      <c r="G90" s="233"/>
      <c r="H90" s="233"/>
      <c r="I90" s="233"/>
      <c r="J90" s="4"/>
      <c r="K90" s="4"/>
      <c r="L90" s="235"/>
      <c r="M90" s="243"/>
    </row>
    <row r="91" spans="5:40" x14ac:dyDescent="0.15">
      <c r="F91" s="233"/>
      <c r="G91" s="233"/>
      <c r="H91" s="233"/>
      <c r="I91" s="233"/>
      <c r="J91" s="4"/>
      <c r="K91" s="4"/>
      <c r="L91" s="235"/>
      <c r="M91" s="243"/>
    </row>
    <row r="92" spans="5:40" ht="14" thickBot="1" x14ac:dyDescent="0.2">
      <c r="F92" s="233"/>
      <c r="G92" s="233"/>
      <c r="H92" s="233"/>
      <c r="I92" s="233"/>
      <c r="J92" s="4"/>
      <c r="K92" s="4"/>
      <c r="L92" s="235"/>
      <c r="M92" s="243"/>
      <c r="V92" s="238"/>
      <c r="W92" s="238"/>
      <c r="X92" s="238"/>
      <c r="Y92" s="238"/>
      <c r="Z92" s="238"/>
      <c r="AA92" s="238"/>
      <c r="AB92" s="238"/>
      <c r="AC92" s="238"/>
      <c r="AD92" s="238"/>
      <c r="AE92" s="238"/>
      <c r="AF92" s="238"/>
      <c r="AG92" s="238"/>
      <c r="AH92" s="238"/>
      <c r="AI92" s="238"/>
      <c r="AJ92" s="238"/>
      <c r="AK92" s="238"/>
      <c r="AL92" s="238"/>
      <c r="AM92" s="238"/>
      <c r="AN92" s="238"/>
    </row>
    <row r="93" spans="5:40" s="238" customFormat="1" ht="14" thickBot="1" x14ac:dyDescent="0.2">
      <c r="F93" s="429"/>
      <c r="G93" s="429"/>
      <c r="H93" s="429"/>
      <c r="I93" s="429"/>
      <c r="J93" s="428"/>
      <c r="K93" s="428"/>
      <c r="L93" s="370"/>
      <c r="M93" s="671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</row>
    <row r="94" spans="5:40" x14ac:dyDescent="0.15">
      <c r="F94" s="233"/>
      <c r="G94" s="233"/>
      <c r="H94" s="233"/>
      <c r="I94" s="233"/>
      <c r="J94" s="4"/>
      <c r="K94" s="4"/>
      <c r="L94" s="235"/>
      <c r="M94" s="243"/>
    </row>
    <row r="95" spans="5:40" x14ac:dyDescent="0.15">
      <c r="E95" s="2" t="s">
        <v>1249</v>
      </c>
      <c r="F95" s="233"/>
      <c r="G95" s="233"/>
      <c r="H95" s="233"/>
      <c r="I95" s="233"/>
      <c r="J95" s="4"/>
      <c r="K95" s="4"/>
      <c r="L95" s="235"/>
      <c r="M95" s="243"/>
      <c r="V95" t="s">
        <v>482</v>
      </c>
    </row>
    <row r="96" spans="5:40" ht="14" thickBot="1" x14ac:dyDescent="0.2">
      <c r="E96" s="240"/>
      <c r="F96" s="233"/>
      <c r="G96" s="233"/>
      <c r="H96" s="233"/>
      <c r="I96" s="233"/>
      <c r="J96" s="4"/>
      <c r="K96" s="4"/>
      <c r="L96" s="235"/>
      <c r="M96" s="243"/>
    </row>
    <row r="97" spans="5:41" ht="14" thickBot="1" x14ac:dyDescent="0.2">
      <c r="E97" s="240" t="s">
        <v>281</v>
      </c>
      <c r="F97" s="233"/>
      <c r="G97" s="233"/>
      <c r="H97" s="233"/>
      <c r="I97" s="233"/>
      <c r="V97" s="324" t="s">
        <v>464</v>
      </c>
      <c r="W97" s="325"/>
      <c r="X97" s="325"/>
      <c r="Y97" s="325"/>
      <c r="Z97" s="325"/>
      <c r="AA97" s="325"/>
      <c r="AB97" s="325"/>
      <c r="AC97" s="325"/>
      <c r="AH97" s="325"/>
    </row>
    <row r="98" spans="5:41" x14ac:dyDescent="0.15">
      <c r="E98" s="241" t="s">
        <v>285</v>
      </c>
      <c r="F98" s="233"/>
      <c r="G98" s="233"/>
      <c r="H98" s="233"/>
      <c r="I98" s="233"/>
      <c r="V98" s="326" t="s">
        <v>465</v>
      </c>
      <c r="W98" s="327"/>
      <c r="X98" s="327"/>
      <c r="Y98" s="327"/>
      <c r="Z98" s="328" t="s">
        <v>466</v>
      </c>
      <c r="AA98" s="329"/>
      <c r="AB98" s="330" t="s">
        <v>467</v>
      </c>
      <c r="AC98" s="331"/>
      <c r="AH98" s="331"/>
    </row>
    <row r="99" spans="5:41" ht="32" x14ac:dyDescent="0.2">
      <c r="E99" s="233"/>
      <c r="F99" s="233"/>
      <c r="G99" s="233"/>
      <c r="H99" s="233"/>
      <c r="I99" s="233"/>
      <c r="V99" s="232"/>
      <c r="W99" s="1805" t="s">
        <v>468</v>
      </c>
      <c r="X99" s="1806"/>
      <c r="Y99" s="1806"/>
      <c r="Z99" s="332" t="s">
        <v>469</v>
      </c>
      <c r="AA99" s="333"/>
      <c r="AB99" s="334" t="s">
        <v>469</v>
      </c>
      <c r="AC99" s="334"/>
      <c r="AH99" s="334"/>
    </row>
    <row r="100" spans="5:41" ht="96" x14ac:dyDescent="0.2">
      <c r="E100" s="233"/>
      <c r="F100" s="233"/>
      <c r="G100" s="233"/>
      <c r="H100" s="233"/>
      <c r="I100" s="233"/>
      <c r="V100" s="335" t="s">
        <v>471</v>
      </c>
      <c r="W100" s="336" t="s">
        <v>472</v>
      </c>
      <c r="X100" s="337" t="s">
        <v>473</v>
      </c>
      <c r="Y100" s="338" t="s">
        <v>474</v>
      </c>
      <c r="Z100" s="339" t="s">
        <v>475</v>
      </c>
      <c r="AA100" s="340" t="s">
        <v>476</v>
      </c>
      <c r="AB100" s="341" t="s">
        <v>477</v>
      </c>
      <c r="AC100" s="341" t="s">
        <v>478</v>
      </c>
      <c r="AH100" s="341" t="s">
        <v>478</v>
      </c>
    </row>
    <row r="101" spans="5:41" ht="14" x14ac:dyDescent="0.2">
      <c r="E101" s="233" t="s">
        <v>286</v>
      </c>
      <c r="F101" s="233">
        <v>7</v>
      </c>
      <c r="G101" s="233" t="s">
        <v>287</v>
      </c>
      <c r="H101" s="233"/>
      <c r="I101" s="233"/>
      <c r="U101" t="s">
        <v>470</v>
      </c>
      <c r="V101" s="342">
        <v>0.05</v>
      </c>
      <c r="W101" s="343">
        <v>83.5</v>
      </c>
      <c r="X101" s="344">
        <v>84</v>
      </c>
      <c r="Y101" s="345">
        <v>19</v>
      </c>
      <c r="Z101" s="346">
        <v>79.5</v>
      </c>
      <c r="AA101" s="347">
        <v>76.099999999999994</v>
      </c>
      <c r="AB101" s="348">
        <v>79.5</v>
      </c>
      <c r="AC101" s="348">
        <v>76.099999999999994</v>
      </c>
      <c r="AH101" s="348">
        <v>76.099999999999994</v>
      </c>
    </row>
    <row r="102" spans="5:41" ht="14" x14ac:dyDescent="0.2">
      <c r="E102" s="233" t="s">
        <v>288</v>
      </c>
      <c r="F102" s="233">
        <v>20</v>
      </c>
      <c r="G102" s="233" t="s">
        <v>287</v>
      </c>
      <c r="H102" s="233"/>
      <c r="I102" s="233"/>
      <c r="U102">
        <f>V101*1000</f>
        <v>50</v>
      </c>
      <c r="V102" s="342">
        <v>7.4999999999999997E-2</v>
      </c>
      <c r="W102" s="343">
        <v>81.5</v>
      </c>
      <c r="X102" s="344">
        <v>82</v>
      </c>
      <c r="Y102" s="345">
        <v>33</v>
      </c>
      <c r="Z102" s="346">
        <f>Z101</f>
        <v>79.5</v>
      </c>
      <c r="AA102" s="347">
        <v>76.099999999999994</v>
      </c>
      <c r="AB102" s="348">
        <v>79.5</v>
      </c>
      <c r="AC102" s="348">
        <v>76.099999999999994</v>
      </c>
      <c r="AH102" s="348">
        <v>76.099999999999994</v>
      </c>
    </row>
    <row r="103" spans="5:41" ht="14" x14ac:dyDescent="0.2">
      <c r="E103" s="233"/>
      <c r="F103" s="233"/>
      <c r="G103" s="233"/>
      <c r="H103" s="233"/>
      <c r="I103" s="233"/>
      <c r="U103">
        <f t="shared" ref="U103:U109" si="16">V102*1000</f>
        <v>75</v>
      </c>
      <c r="V103" s="342">
        <v>0.1</v>
      </c>
      <c r="W103" s="343">
        <v>80.2</v>
      </c>
      <c r="X103" s="344">
        <v>80.7</v>
      </c>
      <c r="Y103" s="345">
        <v>48</v>
      </c>
      <c r="Z103" s="346">
        <f t="shared" ref="Z103:Z104" si="17">Z102</f>
        <v>79.5</v>
      </c>
      <c r="AA103" s="347">
        <v>76.099999999999994</v>
      </c>
      <c r="AB103" s="348">
        <v>79.5</v>
      </c>
      <c r="AC103" s="348">
        <v>76.099999999999994</v>
      </c>
      <c r="AH103" s="348">
        <v>76.099999999999994</v>
      </c>
    </row>
    <row r="104" spans="5:41" ht="14" x14ac:dyDescent="0.2">
      <c r="E104" s="233" t="s">
        <v>289</v>
      </c>
      <c r="F104" s="233" t="s">
        <v>279</v>
      </c>
      <c r="G104" s="233"/>
      <c r="H104" s="233"/>
      <c r="I104" s="233"/>
      <c r="U104">
        <f t="shared" si="16"/>
        <v>100</v>
      </c>
      <c r="V104" s="342">
        <v>0.15</v>
      </c>
      <c r="W104" s="343">
        <v>78.5</v>
      </c>
      <c r="X104" s="344">
        <v>78.900000000000006</v>
      </c>
      <c r="Y104" s="345">
        <v>85</v>
      </c>
      <c r="Z104" s="346">
        <f t="shared" si="17"/>
        <v>79.5</v>
      </c>
      <c r="AA104" s="347">
        <v>76.099999999999994</v>
      </c>
      <c r="AB104" s="348">
        <v>79.5</v>
      </c>
      <c r="AC104" s="348">
        <v>76.099999999999994</v>
      </c>
      <c r="AH104" s="348">
        <v>76.099999999999994</v>
      </c>
    </row>
    <row r="105" spans="5:41" ht="15" x14ac:dyDescent="0.2">
      <c r="E105" s="233">
        <v>100</v>
      </c>
      <c r="F105" s="242">
        <v>0.78100000000000003</v>
      </c>
      <c r="G105" s="242"/>
      <c r="H105" s="243"/>
      <c r="I105" s="233"/>
      <c r="U105">
        <f t="shared" si="16"/>
        <v>150</v>
      </c>
      <c r="V105" s="342">
        <v>0.2</v>
      </c>
      <c r="W105" s="343">
        <v>77.2</v>
      </c>
      <c r="X105" s="344">
        <v>77.599999999999994</v>
      </c>
      <c r="Y105" s="345">
        <v>126</v>
      </c>
      <c r="Z105" s="346" t="s">
        <v>479</v>
      </c>
      <c r="AA105" s="347" t="s">
        <v>479</v>
      </c>
      <c r="AB105" s="349">
        <v>77.2</v>
      </c>
      <c r="AC105" s="350">
        <v>74.5</v>
      </c>
      <c r="AH105" s="350">
        <v>74.5</v>
      </c>
    </row>
    <row r="106" spans="5:41" ht="15" x14ac:dyDescent="0.2">
      <c r="E106" s="233">
        <v>90</v>
      </c>
      <c r="F106" s="242">
        <v>0.78400000000000003</v>
      </c>
      <c r="G106" s="242"/>
      <c r="H106" s="243"/>
      <c r="I106" s="233"/>
      <c r="U106">
        <f t="shared" si="16"/>
        <v>200</v>
      </c>
      <c r="V106" s="351">
        <v>0.25</v>
      </c>
      <c r="W106" s="352">
        <v>76.2</v>
      </c>
      <c r="X106" s="41">
        <v>76.7</v>
      </c>
      <c r="Y106" s="16">
        <v>168</v>
      </c>
      <c r="Z106" s="346" t="s">
        <v>479</v>
      </c>
      <c r="AA106" s="347" t="s">
        <v>479</v>
      </c>
      <c r="AB106" s="349">
        <v>76.2</v>
      </c>
      <c r="AC106" s="349">
        <v>74.099999999999994</v>
      </c>
      <c r="AH106" s="349">
        <v>74.099999999999994</v>
      </c>
    </row>
    <row r="107" spans="5:41" ht="15" x14ac:dyDescent="0.2">
      <c r="E107" s="233">
        <v>80</v>
      </c>
      <c r="F107" s="242">
        <v>0.78700000000000003</v>
      </c>
      <c r="G107" s="242"/>
      <c r="H107" s="243"/>
      <c r="I107" s="233"/>
      <c r="U107">
        <f t="shared" si="16"/>
        <v>250</v>
      </c>
      <c r="V107" s="351">
        <v>0.3</v>
      </c>
      <c r="W107" s="352">
        <v>75.599999999999994</v>
      </c>
      <c r="X107" s="41">
        <v>76.099999999999994</v>
      </c>
      <c r="Y107" s="16">
        <v>231</v>
      </c>
      <c r="Z107" s="346" t="s">
        <v>479</v>
      </c>
      <c r="AA107" s="347" t="s">
        <v>479</v>
      </c>
      <c r="AB107" s="349">
        <v>75.599999999999994</v>
      </c>
      <c r="AC107" s="349">
        <v>73.599999999999994</v>
      </c>
      <c r="AH107" s="349">
        <v>73.599999999999994</v>
      </c>
    </row>
    <row r="108" spans="5:41" ht="16" thickBot="1" x14ac:dyDescent="0.25">
      <c r="E108" s="233">
        <v>70</v>
      </c>
      <c r="F108" s="242">
        <v>0.79100000000000004</v>
      </c>
      <c r="G108" s="242"/>
      <c r="H108" s="243"/>
      <c r="I108" s="233"/>
      <c r="U108">
        <f t="shared" si="16"/>
        <v>300</v>
      </c>
      <c r="V108" s="353">
        <v>0.35</v>
      </c>
      <c r="W108" s="354">
        <v>75.3</v>
      </c>
      <c r="X108" s="355">
        <v>75.8</v>
      </c>
      <c r="Y108" s="356">
        <v>306</v>
      </c>
      <c r="Z108" s="357" t="s">
        <v>479</v>
      </c>
      <c r="AA108" s="358" t="s">
        <v>479</v>
      </c>
      <c r="AB108" s="359">
        <v>75.3</v>
      </c>
      <c r="AC108" s="359">
        <v>73.599999999999994</v>
      </c>
      <c r="AH108" s="359">
        <v>73.599999999999994</v>
      </c>
    </row>
    <row r="109" spans="5:41" x14ac:dyDescent="0.15">
      <c r="E109" s="233">
        <v>60</v>
      </c>
      <c r="F109" s="242">
        <v>0.79500000000000004</v>
      </c>
      <c r="G109" s="242"/>
      <c r="H109" s="243"/>
      <c r="I109" s="233"/>
      <c r="U109">
        <f t="shared" si="16"/>
        <v>350</v>
      </c>
    </row>
    <row r="110" spans="5:41" ht="14" thickBot="1" x14ac:dyDescent="0.2">
      <c r="E110" s="233">
        <v>50</v>
      </c>
      <c r="F110" s="242">
        <v>0.80200000000000005</v>
      </c>
      <c r="G110" s="242"/>
      <c r="H110" s="243"/>
      <c r="I110" s="233"/>
      <c r="AG110" s="2" t="s">
        <v>1253</v>
      </c>
    </row>
    <row r="111" spans="5:41" ht="14" thickBot="1" x14ac:dyDescent="0.2">
      <c r="E111" s="233">
        <v>40</v>
      </c>
      <c r="F111" s="242">
        <v>0.81299999999999994</v>
      </c>
      <c r="G111" s="242"/>
      <c r="H111" s="243"/>
      <c r="I111" s="233"/>
      <c r="AG111" s="228"/>
      <c r="AL111" s="230"/>
      <c r="AM111" s="230"/>
      <c r="AN111" s="230"/>
    </row>
    <row r="112" spans="5:41" x14ac:dyDescent="0.15">
      <c r="E112" s="233">
        <v>30</v>
      </c>
      <c r="F112" s="242">
        <v>0.83399999999999996</v>
      </c>
      <c r="G112" s="242"/>
      <c r="H112" s="243"/>
      <c r="I112" s="233"/>
      <c r="AG112" s="232"/>
      <c r="AO112" s="231"/>
    </row>
    <row r="113" spans="5:41" x14ac:dyDescent="0.15">
      <c r="E113" s="233">
        <v>22</v>
      </c>
      <c r="F113" s="242">
        <v>0.86399999999999999</v>
      </c>
      <c r="G113" s="242"/>
      <c r="H113" s="243"/>
      <c r="I113" s="233"/>
      <c r="AC113" s="317" t="s">
        <v>22</v>
      </c>
      <c r="AD113" s="317">
        <v>83.5</v>
      </c>
      <c r="AE113" s="317"/>
      <c r="AG113" s="232"/>
      <c r="AH113" s="317" t="s">
        <v>22</v>
      </c>
      <c r="AI113" s="317">
        <v>83.5</v>
      </c>
      <c r="AJ113" s="317"/>
      <c r="AL113" t="s">
        <v>22</v>
      </c>
      <c r="AM113">
        <v>79.5</v>
      </c>
      <c r="AO113" s="364"/>
    </row>
    <row r="114" spans="5:41" x14ac:dyDescent="0.15">
      <c r="E114" s="233">
        <f t="array" ref="E114:I114">LINEST(F105:F113,E105:E113^{1,2,3,4})</f>
        <v>6.6313600685290738E-9</v>
      </c>
      <c r="F114" s="233">
        <v>-2.0169962249255277E-6</v>
      </c>
      <c r="G114" s="233">
        <v>2.2914024862545594E-4</v>
      </c>
      <c r="H114" s="233">
        <v>-1.1911786201169254E-2</v>
      </c>
      <c r="I114" s="233">
        <v>1.0348159813641171</v>
      </c>
      <c r="AC114" s="317" t="s">
        <v>450</v>
      </c>
      <c r="AD114" s="317">
        <v>75.3</v>
      </c>
      <c r="AE114" s="317"/>
      <c r="AG114" s="232"/>
      <c r="AH114" s="317" t="s">
        <v>450</v>
      </c>
      <c r="AI114" s="317">
        <v>75.3</v>
      </c>
      <c r="AJ114" s="317"/>
      <c r="AL114" t="s">
        <v>450</v>
      </c>
      <c r="AM114" s="245">
        <f>AF136</f>
        <v>0.7726223404255318</v>
      </c>
      <c r="AO114" s="364"/>
    </row>
    <row r="115" spans="5:41" x14ac:dyDescent="0.15">
      <c r="AC115" s="317"/>
      <c r="AD115" s="317"/>
      <c r="AE115" s="317"/>
      <c r="AG115" s="232"/>
      <c r="AH115" s="317"/>
      <c r="AI115" s="317"/>
      <c r="AJ115" s="317"/>
      <c r="AO115" s="364"/>
    </row>
    <row r="116" spans="5:41" x14ac:dyDescent="0.15">
      <c r="E116" s="233" t="s">
        <v>290</v>
      </c>
      <c r="F116" s="235"/>
      <c r="G116" s="233"/>
      <c r="H116" s="233"/>
      <c r="I116" s="233"/>
      <c r="AC116" s="420">
        <f t="array" ref="AC116:AD116">LINEST(LN(W101:W108),LN(U102:U109))</f>
        <v>-5.4190826919211794E-2</v>
      </c>
      <c r="AD116" s="317">
        <v>4.6349616569349115</v>
      </c>
      <c r="AE116" s="420">
        <f>EXP(AD116)</f>
        <v>103.02396766479804</v>
      </c>
      <c r="AG116" s="232"/>
      <c r="AH116" s="420" t="e">
        <f t="array" ref="AH116:AI116">LINEST(LN(AB101:AB108),LN(Z102:Z109))</f>
        <v>#VALUE!</v>
      </c>
      <c r="AI116" s="317" t="e">
        <v>#VALUE!</v>
      </c>
      <c r="AJ116" s="420" t="e">
        <f>EXP(AI116)</f>
        <v>#VALUE!</v>
      </c>
      <c r="AL116" s="2">
        <f t="array" ref="AL116:AN116">LINEST(AG133:AG136,V133:V136^{1,2})</f>
        <v>7.6809505717179074E-5</v>
      </c>
      <c r="AM116" s="2">
        <v>-5.5721980890464394E-2</v>
      </c>
      <c r="AN116" s="2">
        <v>87.350769060283667</v>
      </c>
      <c r="AO116" s="364"/>
    </row>
    <row r="117" spans="5:41" x14ac:dyDescent="0.15">
      <c r="E117" t="s">
        <v>291</v>
      </c>
      <c r="F117" s="235"/>
      <c r="G117" s="233"/>
      <c r="H117" s="233"/>
      <c r="I117" s="233"/>
      <c r="AG117" s="232"/>
      <c r="AO117" s="364"/>
    </row>
    <row r="118" spans="5:41" ht="14" thickBot="1" x14ac:dyDescent="0.2">
      <c r="E118" t="s">
        <v>292</v>
      </c>
      <c r="F118" s="235"/>
      <c r="G118" s="233"/>
      <c r="H118" s="233"/>
      <c r="I118" s="233"/>
      <c r="AC118" t="s">
        <v>480</v>
      </c>
      <c r="AG118" s="232"/>
      <c r="AH118" t="s">
        <v>480</v>
      </c>
      <c r="AL118" t="s">
        <v>480</v>
      </c>
      <c r="AO118" s="364"/>
    </row>
    <row r="119" spans="5:41" ht="14" thickBot="1" x14ac:dyDescent="0.2">
      <c r="E119" s="233" t="s">
        <v>293</v>
      </c>
      <c r="F119" s="244"/>
      <c r="AC119">
        <f>'R-series ENT'!E33</f>
        <v>34.722222222222221</v>
      </c>
      <c r="AD119" t="s">
        <v>470</v>
      </c>
      <c r="AG119" s="232"/>
      <c r="AH119">
        <f>'R-series ENT'!J33</f>
        <v>0</v>
      </c>
      <c r="AI119" t="s">
        <v>470</v>
      </c>
      <c r="AL119">
        <f>AC119</f>
        <v>34.722222222222221</v>
      </c>
      <c r="AM119" t="s">
        <v>470</v>
      </c>
      <c r="AO119" s="364"/>
    </row>
    <row r="120" spans="5:41" x14ac:dyDescent="0.15">
      <c r="F120" s="245"/>
      <c r="AG120" s="232"/>
      <c r="AO120" s="364"/>
    </row>
    <row r="121" spans="5:41" ht="14" thickBot="1" x14ac:dyDescent="0.2">
      <c r="F121" s="245"/>
      <c r="AC121" s="317">
        <f>AE116*AC119^AC116</f>
        <v>85.006371049035351</v>
      </c>
      <c r="AD121" s="317" t="s">
        <v>481</v>
      </c>
      <c r="AG121" s="232"/>
      <c r="AH121" s="317" t="e">
        <f>AJ116*AH119^AH116</f>
        <v>#VALUE!</v>
      </c>
      <c r="AI121" s="317" t="s">
        <v>481</v>
      </c>
      <c r="AL121" s="3">
        <f>AL116*AL119^2+AM116*AL119+AN116</f>
        <v>85.508582110138761</v>
      </c>
      <c r="AM121" t="s">
        <v>481</v>
      </c>
      <c r="AO121" s="364"/>
    </row>
    <row r="122" spans="5:41" ht="14" thickBot="1" x14ac:dyDescent="0.2">
      <c r="E122" s="240" t="s">
        <v>282</v>
      </c>
      <c r="F122" s="233"/>
      <c r="G122" s="233"/>
      <c r="AC122" s="421">
        <f>IF(AC121&gt;AD113,AD113,IF(AC121&lt;AD114,AD114,AC121))/100</f>
        <v>0.83499999999999996</v>
      </c>
      <c r="AD122" s="317"/>
      <c r="AG122" s="232"/>
      <c r="AH122" s="421" t="e">
        <f>IF(AH121&gt;AI113,AI113,IF(AH121&lt;AI114,AI114,AH121))/100</f>
        <v>#VALUE!</v>
      </c>
      <c r="AI122" s="317"/>
      <c r="AL122" s="423">
        <f>IF(AL121&gt;AM113,AM113,IF(AL121&lt;AM114,AM114,AL121))/100</f>
        <v>0.79500000000000004</v>
      </c>
      <c r="AO122" s="364"/>
    </row>
    <row r="123" spans="5:41" ht="14" thickBot="1" x14ac:dyDescent="0.2">
      <c r="E123" s="233"/>
      <c r="F123" s="233"/>
      <c r="G123" s="233"/>
      <c r="AG123" s="236"/>
      <c r="AL123" s="238"/>
      <c r="AM123" s="238"/>
      <c r="AN123" s="238"/>
      <c r="AO123" s="364"/>
    </row>
    <row r="124" spans="5:41" ht="13.5" customHeight="1" thickBot="1" x14ac:dyDescent="0.2">
      <c r="E124" s="241" t="s">
        <v>294</v>
      </c>
      <c r="F124" s="233"/>
      <c r="G124" s="233"/>
      <c r="AO124" s="239"/>
    </row>
    <row r="125" spans="5:41" x14ac:dyDescent="0.15">
      <c r="E125" s="233"/>
      <c r="F125" s="233"/>
      <c r="G125" s="233"/>
    </row>
    <row r="126" spans="5:41" x14ac:dyDescent="0.15">
      <c r="E126" s="233"/>
      <c r="F126" s="233"/>
      <c r="G126" s="233"/>
    </row>
    <row r="127" spans="5:41" ht="14" thickBot="1" x14ac:dyDescent="0.2">
      <c r="E127" s="233" t="s">
        <v>286</v>
      </c>
      <c r="F127" s="233">
        <v>7</v>
      </c>
      <c r="G127" s="233" t="s">
        <v>287</v>
      </c>
      <c r="V127" s="2" t="s">
        <v>549</v>
      </c>
    </row>
    <row r="128" spans="5:41" x14ac:dyDescent="0.15">
      <c r="E128" s="233" t="s">
        <v>288</v>
      </c>
      <c r="F128" s="233">
        <v>20</v>
      </c>
      <c r="G128" s="233" t="s">
        <v>287</v>
      </c>
      <c r="V128" s="1794" t="s">
        <v>539</v>
      </c>
      <c r="W128" s="1795"/>
      <c r="X128" s="1796"/>
      <c r="Y128" s="1797" t="s">
        <v>540</v>
      </c>
      <c r="Z128" s="1798"/>
      <c r="AA128" s="1798"/>
      <c r="AB128" s="1798"/>
      <c r="AC128" s="1799"/>
      <c r="AD128" s="1800" t="s">
        <v>541</v>
      </c>
      <c r="AE128" s="1795"/>
      <c r="AF128" s="1801"/>
      <c r="AI128" s="1800" t="s">
        <v>541</v>
      </c>
      <c r="AJ128" s="1795"/>
      <c r="AK128" s="1801"/>
    </row>
    <row r="129" spans="5:37" ht="71" thickBot="1" x14ac:dyDescent="0.2">
      <c r="E129" s="233"/>
      <c r="F129" s="233"/>
      <c r="G129" s="233"/>
      <c r="V129" s="422" t="s">
        <v>485</v>
      </c>
      <c r="W129" s="396" t="s">
        <v>542</v>
      </c>
      <c r="X129" s="397" t="s">
        <v>543</v>
      </c>
      <c r="Y129" s="398" t="s">
        <v>544</v>
      </c>
      <c r="Z129" s="399" t="s">
        <v>311</v>
      </c>
      <c r="AA129" s="399" t="s">
        <v>312</v>
      </c>
      <c r="AB129" s="399" t="s">
        <v>280</v>
      </c>
      <c r="AC129" s="400" t="s">
        <v>545</v>
      </c>
      <c r="AD129" s="399" t="s">
        <v>546</v>
      </c>
      <c r="AE129" s="399" t="s">
        <v>547</v>
      </c>
      <c r="AF129" s="410" t="s">
        <v>548</v>
      </c>
      <c r="AH129" s="400" t="s">
        <v>545</v>
      </c>
      <c r="AI129" s="399" t="s">
        <v>546</v>
      </c>
      <c r="AJ129" s="399" t="s">
        <v>547</v>
      </c>
      <c r="AK129" s="410" t="s">
        <v>548</v>
      </c>
    </row>
    <row r="130" spans="5:37" x14ac:dyDescent="0.15">
      <c r="E130" s="233" t="s">
        <v>289</v>
      </c>
      <c r="F130" s="233" t="s">
        <v>279</v>
      </c>
      <c r="G130" s="233"/>
      <c r="V130" s="411">
        <v>50</v>
      </c>
      <c r="W130" s="412">
        <v>89.875566893424036</v>
      </c>
      <c r="X130" s="401">
        <v>0.3</v>
      </c>
      <c r="Y130" s="402">
        <v>-26</v>
      </c>
      <c r="Z130" s="413">
        <v>11.365000000000002</v>
      </c>
      <c r="AA130" s="413">
        <v>21</v>
      </c>
      <c r="AB130" s="413">
        <v>-16.365000000000002</v>
      </c>
      <c r="AC130" s="403">
        <v>0.24965435248173343</v>
      </c>
      <c r="AD130" s="404">
        <v>0.83499999999999996</v>
      </c>
      <c r="AE130" s="405">
        <v>0.79500000000000004</v>
      </c>
      <c r="AF130" s="406">
        <v>0.79500000000000004</v>
      </c>
      <c r="AG130">
        <f>AF130*100</f>
        <v>79.5</v>
      </c>
      <c r="AH130" s="403">
        <v>0.24965435248173343</v>
      </c>
      <c r="AI130" s="404">
        <v>0.83499999999999996</v>
      </c>
      <c r="AJ130" s="405">
        <v>0.79500000000000004</v>
      </c>
      <c r="AK130" s="406">
        <v>0.79500000000000004</v>
      </c>
    </row>
    <row r="131" spans="5:37" x14ac:dyDescent="0.15">
      <c r="E131" s="233">
        <v>120</v>
      </c>
      <c r="F131" s="242">
        <v>0.79100000000000004</v>
      </c>
      <c r="G131" s="242"/>
      <c r="V131" s="411">
        <v>100</v>
      </c>
      <c r="W131" s="412">
        <v>159.50226757369614</v>
      </c>
      <c r="X131" s="401">
        <v>0.35</v>
      </c>
      <c r="Y131" s="402">
        <v>-26</v>
      </c>
      <c r="Z131" s="413">
        <v>11.365000000000002</v>
      </c>
      <c r="AA131" s="413">
        <v>21</v>
      </c>
      <c r="AB131" s="413">
        <v>-16.365000000000002</v>
      </c>
      <c r="AC131" s="403">
        <v>0.3797673037468956</v>
      </c>
      <c r="AD131" s="404">
        <v>0.81499999999999995</v>
      </c>
      <c r="AE131" s="405">
        <v>0.79500000000000004</v>
      </c>
      <c r="AF131" s="407">
        <v>0.79500000000000004</v>
      </c>
      <c r="AG131">
        <f>AF131*100</f>
        <v>79.5</v>
      </c>
      <c r="AH131" s="403">
        <v>0.3797673037468956</v>
      </c>
      <c r="AI131" s="404">
        <v>0.81499999999999995</v>
      </c>
      <c r="AJ131" s="405">
        <v>0.79500000000000004</v>
      </c>
      <c r="AK131" s="407">
        <v>0.79500000000000004</v>
      </c>
    </row>
    <row r="132" spans="5:37" x14ac:dyDescent="0.15">
      <c r="E132" s="233">
        <v>100</v>
      </c>
      <c r="F132" s="242">
        <v>0.79700000000000004</v>
      </c>
      <c r="G132" s="242"/>
      <c r="V132" s="411">
        <v>150</v>
      </c>
      <c r="W132" s="412">
        <v>246.38010204081638</v>
      </c>
      <c r="X132" s="401">
        <v>0.4</v>
      </c>
      <c r="Y132" s="402">
        <v>-26</v>
      </c>
      <c r="Z132" s="413">
        <v>11.365000000000002</v>
      </c>
      <c r="AA132" s="413">
        <v>21</v>
      </c>
      <c r="AB132" s="413">
        <v>-16.365000000000002</v>
      </c>
      <c r="AC132" s="403">
        <v>0.51329187925170083</v>
      </c>
      <c r="AD132" s="404">
        <v>0.80200000000000005</v>
      </c>
      <c r="AE132" s="405">
        <v>0.79500000000000004</v>
      </c>
      <c r="AF132" s="407">
        <v>0.79500000000000004</v>
      </c>
      <c r="AG132">
        <f t="shared" ref="AG132:AG136" si="18">AF132*100</f>
        <v>79.5</v>
      </c>
      <c r="AH132" s="403">
        <v>0.51329187925170083</v>
      </c>
      <c r="AI132" s="404">
        <v>0.80200000000000005</v>
      </c>
      <c r="AJ132" s="405">
        <v>0.79500000000000004</v>
      </c>
      <c r="AK132" s="407">
        <v>0.79500000000000004</v>
      </c>
    </row>
    <row r="133" spans="5:37" x14ac:dyDescent="0.15">
      <c r="E133" s="233">
        <v>90</v>
      </c>
      <c r="F133" s="242">
        <v>0.80100000000000005</v>
      </c>
      <c r="G133" s="242"/>
      <c r="V133" s="411">
        <v>200</v>
      </c>
      <c r="W133" s="412">
        <v>349.12018140589578</v>
      </c>
      <c r="X133" s="401">
        <v>0.4</v>
      </c>
      <c r="Y133" s="402">
        <v>-26</v>
      </c>
      <c r="Z133" s="413">
        <v>10.895000000000003</v>
      </c>
      <c r="AA133" s="413">
        <v>21</v>
      </c>
      <c r="AB133" s="413">
        <v>-16.365000000000002</v>
      </c>
      <c r="AC133" s="403">
        <v>0.72733371126228286</v>
      </c>
      <c r="AD133" s="404">
        <v>0.78500000000000003</v>
      </c>
      <c r="AE133" s="405">
        <v>0.78500000000000003</v>
      </c>
      <c r="AF133" s="407">
        <v>0.79273759267300314</v>
      </c>
      <c r="AG133">
        <f t="shared" si="18"/>
        <v>79.273759267300321</v>
      </c>
      <c r="AH133" s="403">
        <v>0.72733371126228286</v>
      </c>
      <c r="AI133" s="404">
        <v>0.78500000000000003</v>
      </c>
      <c r="AJ133" s="405">
        <v>0.78500000000000003</v>
      </c>
      <c r="AK133" s="407">
        <v>0.79273759267300314</v>
      </c>
    </row>
    <row r="134" spans="5:37" x14ac:dyDescent="0.15">
      <c r="E134" s="233">
        <v>70</v>
      </c>
      <c r="F134" s="242">
        <v>0.81299999999999994</v>
      </c>
      <c r="G134" s="242"/>
      <c r="V134" s="411">
        <v>250</v>
      </c>
      <c r="W134" s="412">
        <v>467.37528344671205</v>
      </c>
      <c r="X134" s="401">
        <v>0.4</v>
      </c>
      <c r="Y134" s="402">
        <v>-26</v>
      </c>
      <c r="Z134" s="413">
        <v>10.283999999999999</v>
      </c>
      <c r="AA134" s="413">
        <v>21</v>
      </c>
      <c r="AB134" s="413">
        <v>-16.365000000000002</v>
      </c>
      <c r="AC134" s="403">
        <v>0.9736985071806501</v>
      </c>
      <c r="AD134" s="404">
        <v>0.77200000000000002</v>
      </c>
      <c r="AE134" s="405">
        <v>0.77200000000000002</v>
      </c>
      <c r="AF134" s="407">
        <v>0.78235849475724106</v>
      </c>
      <c r="AG134">
        <f t="shared" si="18"/>
        <v>78.235849475724109</v>
      </c>
      <c r="AH134" s="403">
        <v>0.9736985071806501</v>
      </c>
      <c r="AI134" s="404">
        <v>0.77200000000000002</v>
      </c>
      <c r="AJ134" s="405">
        <v>0.77200000000000002</v>
      </c>
      <c r="AK134" s="407">
        <v>0.78235849475724106</v>
      </c>
    </row>
    <row r="135" spans="5:37" x14ac:dyDescent="0.15">
      <c r="E135" s="233">
        <v>60</v>
      </c>
      <c r="F135" s="242">
        <v>0.82099999999999995</v>
      </c>
      <c r="G135" s="242"/>
      <c r="V135" s="411">
        <v>300</v>
      </c>
      <c r="W135" s="412">
        <v>601.0204081632653</v>
      </c>
      <c r="X135" s="401">
        <v>0.4</v>
      </c>
      <c r="Y135" s="402">
        <v>-26</v>
      </c>
      <c r="Z135" s="413">
        <v>9.8140000000000001</v>
      </c>
      <c r="AA135" s="413">
        <v>21</v>
      </c>
      <c r="AB135" s="413">
        <v>-16.365000000000002</v>
      </c>
      <c r="AC135" s="403">
        <v>1.252125850340136</v>
      </c>
      <c r="AD135" s="404">
        <v>0.76200000000000001</v>
      </c>
      <c r="AE135" s="405">
        <v>0.76200000000000001</v>
      </c>
      <c r="AF135" s="407">
        <v>0.77532048776957596</v>
      </c>
      <c r="AG135">
        <f t="shared" si="18"/>
        <v>77.532048776957595</v>
      </c>
      <c r="AH135" s="403">
        <v>1.252125850340136</v>
      </c>
      <c r="AI135" s="404">
        <v>0.76200000000000001</v>
      </c>
      <c r="AJ135" s="405">
        <v>0.76200000000000001</v>
      </c>
      <c r="AK135" s="407">
        <v>0.77532048776957596</v>
      </c>
    </row>
    <row r="136" spans="5:37" ht="14" thickBot="1" x14ac:dyDescent="0.2">
      <c r="E136" s="233">
        <v>50</v>
      </c>
      <c r="F136" s="242">
        <v>0.83099999999999996</v>
      </c>
      <c r="G136" s="242"/>
      <c r="V136" s="409">
        <v>350</v>
      </c>
      <c r="W136" s="396">
        <v>750</v>
      </c>
      <c r="X136" s="414">
        <v>0.4</v>
      </c>
      <c r="Y136" s="415">
        <v>-26</v>
      </c>
      <c r="Z136" s="416">
        <v>9.5319999999999965</v>
      </c>
      <c r="AA136" s="416">
        <v>21</v>
      </c>
      <c r="AB136" s="416">
        <v>-16.365000000000002</v>
      </c>
      <c r="AC136" s="417">
        <v>1.5625</v>
      </c>
      <c r="AD136" s="418">
        <v>0.75599999999999989</v>
      </c>
      <c r="AE136" s="419">
        <v>0.75599999999999989</v>
      </c>
      <c r="AF136" s="408">
        <v>0.7726223404255318</v>
      </c>
      <c r="AG136">
        <f t="shared" si="18"/>
        <v>77.262234042553175</v>
      </c>
      <c r="AH136" s="417">
        <v>1.5625</v>
      </c>
      <c r="AI136" s="418">
        <v>0.75599999999999989</v>
      </c>
      <c r="AJ136" s="419">
        <v>0.75599999999999989</v>
      </c>
      <c r="AK136" s="408">
        <v>0.7726223404255318</v>
      </c>
    </row>
    <row r="137" spans="5:37" x14ac:dyDescent="0.15">
      <c r="E137" s="233">
        <v>40</v>
      </c>
      <c r="F137" s="242">
        <v>0.84299999999999997</v>
      </c>
      <c r="G137" s="242"/>
    </row>
    <row r="138" spans="5:37" x14ac:dyDescent="0.15">
      <c r="E138" s="233">
        <v>30</v>
      </c>
      <c r="F138" s="242">
        <v>0.85899999999999999</v>
      </c>
      <c r="G138" s="242"/>
    </row>
    <row r="139" spans="5:37" x14ac:dyDescent="0.15">
      <c r="E139" s="233">
        <v>25</v>
      </c>
      <c r="F139" s="242">
        <v>0.87</v>
      </c>
      <c r="G139" s="242"/>
    </row>
    <row r="140" spans="5:37" x14ac:dyDescent="0.15">
      <c r="E140" s="233">
        <f t="array" ref="E140:I140">LINEST(F131:F139,E131:E139^{1,2,3,4})</f>
        <v>1.0826812711618555E-9</v>
      </c>
      <c r="F140" s="233">
        <v>-3.8381799248930507E-7</v>
      </c>
      <c r="G140" s="233">
        <v>5.5261269010114076E-5</v>
      </c>
      <c r="H140" s="233">
        <v>-4.2806112909305688E-3</v>
      </c>
      <c r="I140" s="233">
        <v>0.94769368460499781</v>
      </c>
    </row>
    <row r="142" spans="5:37" x14ac:dyDescent="0.15">
      <c r="E142" s="233" t="s">
        <v>290</v>
      </c>
      <c r="F142" s="235">
        <f>F116</f>
        <v>0</v>
      </c>
      <c r="G142" s="233"/>
    </row>
    <row r="143" spans="5:37" x14ac:dyDescent="0.15">
      <c r="E143" t="s">
        <v>291</v>
      </c>
      <c r="F143" s="235">
        <f>F117</f>
        <v>0</v>
      </c>
      <c r="G143" s="233"/>
    </row>
    <row r="144" spans="5:37" ht="14" thickBot="1" x14ac:dyDescent="0.2">
      <c r="E144" t="s">
        <v>292</v>
      </c>
      <c r="F144" s="235">
        <f>F118</f>
        <v>0</v>
      </c>
      <c r="G144" s="233"/>
    </row>
    <row r="145" spans="5:7" ht="14" thickBot="1" x14ac:dyDescent="0.2">
      <c r="E145" s="233" t="s">
        <v>293</v>
      </c>
      <c r="F145" s="244">
        <f>MIN($E$140*F144^4+$F$140*F144^3+$G$140*F144^2+$H$140*F144+$I$140,0.85)</f>
        <v>0.85</v>
      </c>
    </row>
    <row r="148" spans="5:7" x14ac:dyDescent="0.15">
      <c r="E148" s="240" t="s">
        <v>283</v>
      </c>
      <c r="F148" s="233"/>
      <c r="G148" s="233"/>
    </row>
    <row r="149" spans="5:7" x14ac:dyDescent="0.15">
      <c r="E149" s="233"/>
      <c r="F149" s="233"/>
      <c r="G149" s="233"/>
    </row>
    <row r="150" spans="5:7" x14ac:dyDescent="0.15">
      <c r="E150" s="241" t="s">
        <v>285</v>
      </c>
      <c r="F150" s="233"/>
      <c r="G150" s="233"/>
    </row>
    <row r="151" spans="5:7" x14ac:dyDescent="0.15">
      <c r="E151" s="233"/>
      <c r="F151" s="233"/>
      <c r="G151" s="233"/>
    </row>
    <row r="152" spans="5:7" x14ac:dyDescent="0.15">
      <c r="E152" s="233"/>
      <c r="F152" s="233"/>
      <c r="G152" s="233"/>
    </row>
    <row r="153" spans="5:7" x14ac:dyDescent="0.15">
      <c r="E153" s="233" t="s">
        <v>286</v>
      </c>
      <c r="F153" s="233">
        <v>7</v>
      </c>
      <c r="G153" s="233" t="s">
        <v>287</v>
      </c>
    </row>
    <row r="154" spans="5:7" x14ac:dyDescent="0.15">
      <c r="E154" s="233" t="s">
        <v>288</v>
      </c>
      <c r="F154" s="233">
        <v>20</v>
      </c>
      <c r="G154" s="233" t="s">
        <v>287</v>
      </c>
    </row>
    <row r="155" spans="5:7" x14ac:dyDescent="0.15">
      <c r="E155" s="233"/>
      <c r="F155" s="233"/>
      <c r="G155" s="233"/>
    </row>
    <row r="156" spans="5:7" x14ac:dyDescent="0.15">
      <c r="E156" s="233" t="s">
        <v>289</v>
      </c>
      <c r="F156" s="233" t="s">
        <v>279</v>
      </c>
      <c r="G156" s="233"/>
    </row>
    <row r="157" spans="5:7" x14ac:dyDescent="0.15">
      <c r="E157" s="233">
        <v>100</v>
      </c>
      <c r="F157" s="242"/>
      <c r="G157" s="242"/>
    </row>
    <row r="158" spans="5:7" x14ac:dyDescent="0.15">
      <c r="E158" s="233">
        <v>90</v>
      </c>
      <c r="F158" s="242"/>
      <c r="G158" s="242"/>
    </row>
    <row r="159" spans="5:7" x14ac:dyDescent="0.15">
      <c r="E159" s="233">
        <v>80</v>
      </c>
      <c r="F159" s="242"/>
      <c r="G159" s="242"/>
    </row>
    <row r="160" spans="5:7" x14ac:dyDescent="0.15">
      <c r="E160" s="233">
        <v>70</v>
      </c>
      <c r="F160" s="242"/>
      <c r="G160" s="242"/>
    </row>
    <row r="161" spans="5:9" x14ac:dyDescent="0.15">
      <c r="E161" s="233">
        <v>60</v>
      </c>
      <c r="F161" s="242"/>
      <c r="G161" s="242"/>
    </row>
    <row r="162" spans="5:9" x14ac:dyDescent="0.15">
      <c r="E162" s="233">
        <v>50</v>
      </c>
      <c r="F162" s="242"/>
      <c r="G162" s="242"/>
    </row>
    <row r="163" spans="5:9" x14ac:dyDescent="0.15">
      <c r="E163" s="233">
        <v>40</v>
      </c>
      <c r="F163" s="242"/>
      <c r="G163" s="242"/>
    </row>
    <row r="164" spans="5:9" x14ac:dyDescent="0.15">
      <c r="E164" s="233">
        <v>30</v>
      </c>
      <c r="F164" s="242"/>
      <c r="G164" s="242"/>
    </row>
    <row r="165" spans="5:9" x14ac:dyDescent="0.15">
      <c r="E165" s="233">
        <v>22</v>
      </c>
      <c r="F165" s="242"/>
      <c r="G165" s="242"/>
    </row>
    <row r="166" spans="5:9" x14ac:dyDescent="0.15">
      <c r="E166" s="233" t="e">
        <f t="array" ref="E166:I166">LINEST(F157:F165,E157:E165^{1,2,3,4})</f>
        <v>#VALUE!</v>
      </c>
      <c r="F166" s="233" t="e">
        <v>#VALUE!</v>
      </c>
      <c r="G166" s="233" t="e">
        <v>#VALUE!</v>
      </c>
      <c r="H166" s="233" t="e">
        <v>#VALUE!</v>
      </c>
      <c r="I166" s="233" t="e">
        <v>#VALUE!</v>
      </c>
    </row>
    <row r="168" spans="5:9" x14ac:dyDescent="0.15">
      <c r="E168" s="233" t="s">
        <v>290</v>
      </c>
      <c r="F168" s="235">
        <f>F142</f>
        <v>0</v>
      </c>
      <c r="G168" s="233"/>
    </row>
    <row r="169" spans="5:9" x14ac:dyDescent="0.15">
      <c r="E169" t="s">
        <v>291</v>
      </c>
      <c r="F169" s="235">
        <f>F143</f>
        <v>0</v>
      </c>
      <c r="G169" s="233"/>
    </row>
    <row r="170" spans="5:9" ht="14" thickBot="1" x14ac:dyDescent="0.2">
      <c r="E170" t="s">
        <v>292</v>
      </c>
      <c r="F170" s="235">
        <f>F144</f>
        <v>0</v>
      </c>
      <c r="G170" s="233"/>
    </row>
    <row r="171" spans="5:9" ht="14" thickBot="1" x14ac:dyDescent="0.2">
      <c r="E171" s="233" t="s">
        <v>293</v>
      </c>
      <c r="F171" s="244" t="e">
        <f>MIN($E$166*F170^4+$F$166*F170^3+$G$166*F170^2+$H$166*F170+$I$166,0.82)</f>
        <v>#VALUE!</v>
      </c>
    </row>
  </sheetData>
  <mergeCells count="11">
    <mergeCell ref="W99:Y99"/>
    <mergeCell ref="V128:X128"/>
    <mergeCell ref="Y128:AC128"/>
    <mergeCell ref="AD128:AF128"/>
    <mergeCell ref="AI128:AK128"/>
    <mergeCell ref="X69:AA69"/>
    <mergeCell ref="X9:AA9"/>
    <mergeCell ref="X22:AA22"/>
    <mergeCell ref="X34:AA34"/>
    <mergeCell ref="X46:AA46"/>
    <mergeCell ref="X58:AA58"/>
  </mergeCell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0795E-A504-4C3F-9D61-6B920F26CA61}">
  <dimension ref="A1:L43"/>
  <sheetViews>
    <sheetView workbookViewId="0">
      <selection activeCell="R20" sqref="R20"/>
    </sheetView>
  </sheetViews>
  <sheetFormatPr baseColWidth="10" defaultColWidth="8.83203125" defaultRowHeight="13" x14ac:dyDescent="0.15"/>
  <cols>
    <col min="2" max="2" width="44.6640625" customWidth="1"/>
    <col min="8" max="8" width="10" customWidth="1"/>
  </cols>
  <sheetData>
    <row r="1" spans="1:12" x14ac:dyDescent="0.15">
      <c r="A1" s="39" t="s">
        <v>362</v>
      </c>
    </row>
    <row r="4" spans="1:12" x14ac:dyDescent="0.15">
      <c r="B4" s="2" t="s">
        <v>363</v>
      </c>
    </row>
    <row r="6" spans="1:12" ht="15" x14ac:dyDescent="0.15">
      <c r="B6" t="s">
        <v>289</v>
      </c>
      <c r="C6" s="4">
        <f>'R-series ENT'!G33</f>
        <v>34.722222222222221</v>
      </c>
      <c r="D6" s="4" t="s">
        <v>72</v>
      </c>
      <c r="E6" s="4"/>
      <c r="F6" s="4"/>
      <c r="G6" s="4"/>
      <c r="H6" s="4"/>
      <c r="I6" s="4"/>
      <c r="J6" s="4"/>
      <c r="K6" s="4"/>
    </row>
    <row r="7" spans="1:12" x14ac:dyDescent="0.15">
      <c r="B7" t="s">
        <v>364</v>
      </c>
      <c r="C7" s="4">
        <f>'R-series ENT'!G39</f>
        <v>90</v>
      </c>
      <c r="D7" s="4" t="s">
        <v>14</v>
      </c>
      <c r="E7" s="4"/>
      <c r="F7" s="4"/>
      <c r="G7" s="4"/>
      <c r="H7" s="4"/>
      <c r="I7" s="4"/>
      <c r="J7" s="4"/>
      <c r="K7" s="4"/>
    </row>
    <row r="8" spans="1:12" ht="17" x14ac:dyDescent="0.25">
      <c r="B8" t="s">
        <v>2714</v>
      </c>
      <c r="C8" s="32">
        <f>'R-series ENT'!G42</f>
        <v>4.6737857613449663</v>
      </c>
      <c r="D8" s="4" t="s">
        <v>25</v>
      </c>
      <c r="E8" s="4"/>
      <c r="F8" s="4"/>
      <c r="G8" s="4"/>
      <c r="H8" s="4"/>
      <c r="I8" s="4"/>
      <c r="J8" s="4"/>
      <c r="K8" s="4"/>
    </row>
    <row r="9" spans="1:12" x14ac:dyDescent="0.15">
      <c r="C9" s="4"/>
      <c r="D9" s="4"/>
      <c r="E9" s="4"/>
      <c r="F9" s="4"/>
      <c r="G9" s="4"/>
      <c r="H9" s="4"/>
      <c r="I9" s="4"/>
      <c r="J9" s="4"/>
      <c r="K9" s="4"/>
    </row>
    <row r="10" spans="1:12" x14ac:dyDescent="0.15">
      <c r="B10" s="2"/>
      <c r="C10" s="4"/>
      <c r="D10" s="4"/>
      <c r="E10" s="4"/>
      <c r="F10" s="4"/>
      <c r="G10" s="4"/>
      <c r="H10" s="4"/>
      <c r="I10" s="4"/>
      <c r="J10" s="4"/>
      <c r="K10" s="4"/>
    </row>
    <row r="11" spans="1:12" x14ac:dyDescent="0.15">
      <c r="B11" s="2" t="s">
        <v>2715</v>
      </c>
      <c r="C11" s="275">
        <v>63</v>
      </c>
      <c r="D11" s="275">
        <v>125</v>
      </c>
      <c r="E11" s="275">
        <v>250</v>
      </c>
      <c r="F11" s="275">
        <v>500</v>
      </c>
      <c r="G11" s="275">
        <v>1000</v>
      </c>
      <c r="H11" s="275">
        <v>2000</v>
      </c>
      <c r="I11" s="275">
        <v>4000</v>
      </c>
      <c r="J11" s="275">
        <v>8000</v>
      </c>
      <c r="K11" s="4" t="s">
        <v>391</v>
      </c>
      <c r="L11" s="4" t="s">
        <v>27</v>
      </c>
    </row>
    <row r="12" spans="1:12" x14ac:dyDescent="0.15">
      <c r="B12" t="s">
        <v>8</v>
      </c>
      <c r="C12" s="5">
        <f>Tulokset_ENT!AJ38</f>
        <v>74.652204430997017</v>
      </c>
      <c r="D12" s="5">
        <f>Tulokset_ENT!AK38</f>
        <v>55.65220443099701</v>
      </c>
      <c r="E12" s="5">
        <f>Tulokset_ENT!AL38</f>
        <v>50.65220443099701</v>
      </c>
      <c r="F12" s="5">
        <f>Tulokset_ENT!AM38</f>
        <v>47.65220443099701</v>
      </c>
      <c r="G12" s="5">
        <f>Tulokset_ENT!AN38</f>
        <v>41.65220443099701</v>
      </c>
      <c r="H12" s="5">
        <f>Tulokset_ENT!AO38</f>
        <v>34.65220443099701</v>
      </c>
      <c r="I12" s="5">
        <f>Tulokset_ENT!AP38</f>
        <v>25.65220443099701</v>
      </c>
      <c r="J12" s="5">
        <f>Tulokset_ENT!AQ38</f>
        <v>19.65220443099701</v>
      </c>
      <c r="K12" s="80" cm="1">
        <f t="array" ref="K12">10*LOG10(SUM(10^((C12:J12)/10)))</f>
        <v>74.734724125118092</v>
      </c>
      <c r="L12" s="80">
        <f t="array" ref="L12">10*LOG10(SUM(10^((C12:J12+$C$21:$J$21)/10)))</f>
        <v>51.521883358080686</v>
      </c>
    </row>
    <row r="13" spans="1:12" x14ac:dyDescent="0.15">
      <c r="B13" t="s">
        <v>57</v>
      </c>
      <c r="C13" s="80">
        <f>Tulokset_ENT!AT38</f>
        <v>81.797611511157953</v>
      </c>
      <c r="D13" s="80">
        <f>Tulokset_ENT!AU38</f>
        <v>65.797611511157953</v>
      </c>
      <c r="E13" s="80">
        <f>Tulokset_ENT!AV38</f>
        <v>63.797611511157953</v>
      </c>
      <c r="F13" s="80">
        <f>Tulokset_ENT!AW38</f>
        <v>56.797611511157953</v>
      </c>
      <c r="G13" s="80">
        <f>Tulokset_ENT!AX38</f>
        <v>53.797611511157953</v>
      </c>
      <c r="H13" s="80">
        <f>Tulokset_ENT!AY38</f>
        <v>51.797611511157953</v>
      </c>
      <c r="I13" s="80">
        <f>Tulokset_ENT!AZ38</f>
        <v>46.797611511157953</v>
      </c>
      <c r="J13" s="80">
        <f>Tulokset_ENT!BA38</f>
        <v>42.797611511157953</v>
      </c>
      <c r="L13" s="80">
        <f t="array" ref="L13">10*LOG10(SUM(10^((C13:J13+$C$21:$J$21)/10)))</f>
        <v>61.847584495628681</v>
      </c>
    </row>
    <row r="14" spans="1:12" x14ac:dyDescent="0.15">
      <c r="B14" s="2"/>
      <c r="C14" s="104"/>
      <c r="D14" s="104"/>
      <c r="E14" s="4"/>
      <c r="F14" s="4"/>
      <c r="G14" s="4"/>
      <c r="H14" s="4"/>
      <c r="I14" s="4"/>
      <c r="J14" s="4"/>
      <c r="L14" s="4"/>
    </row>
    <row r="15" spans="1:12" x14ac:dyDescent="0.15">
      <c r="C15" s="615">
        <v>0.55000000000000004</v>
      </c>
      <c r="D15" s="615">
        <v>0.6</v>
      </c>
      <c r="E15" s="1519">
        <v>0.7</v>
      </c>
      <c r="F15" s="615">
        <v>0.7</v>
      </c>
      <c r="G15" s="615">
        <v>0.7</v>
      </c>
      <c r="H15" s="615">
        <v>0.65</v>
      </c>
      <c r="I15" s="615">
        <v>0.6</v>
      </c>
      <c r="J15" s="615">
        <v>0.55000000000000004</v>
      </c>
      <c r="K15" s="4" t="s">
        <v>391</v>
      </c>
      <c r="L15" s="4" t="s">
        <v>27</v>
      </c>
    </row>
    <row r="16" spans="1:12" x14ac:dyDescent="0.15">
      <c r="B16" s="2" t="s">
        <v>92</v>
      </c>
      <c r="C16" s="108">
        <f>(C15*C13)+((1-C15)*C12)</f>
        <v>78.582178325085522</v>
      </c>
      <c r="D16" s="108">
        <f t="shared" ref="D16:J16" si="0">(D15*D13)+((1-D15)*D12)</f>
        <v>61.739448679093577</v>
      </c>
      <c r="E16" s="108">
        <f t="shared" si="0"/>
        <v>59.853989387109671</v>
      </c>
      <c r="F16" s="108">
        <f t="shared" si="0"/>
        <v>54.053989387109667</v>
      </c>
      <c r="G16" s="108">
        <f t="shared" si="0"/>
        <v>50.153989387109668</v>
      </c>
      <c r="H16" s="108">
        <f t="shared" si="0"/>
        <v>45.796719033101624</v>
      </c>
      <c r="I16" s="108">
        <f t="shared" si="0"/>
        <v>38.339448679093579</v>
      </c>
      <c r="J16" s="108">
        <f t="shared" si="0"/>
        <v>32.382178325085533</v>
      </c>
      <c r="K16" s="80" cm="1">
        <f t="array" ref="K16">10*LOG10(SUM(10^((C16:J16)/10)))</f>
        <v>78.751246850123081</v>
      </c>
      <c r="L16" s="108">
        <f t="array" ref="L16">10*LOG10(SUM(10^((C16:J16+$C$21:$J$21)/10)))</f>
        <v>57.983296718594993</v>
      </c>
    </row>
    <row r="17" spans="2:12" x14ac:dyDescent="0.15">
      <c r="B17" s="2"/>
      <c r="C17" s="104"/>
      <c r="D17" s="6"/>
      <c r="E17" s="104"/>
      <c r="F17" s="4"/>
    </row>
    <row r="18" spans="2:12" x14ac:dyDescent="0.15">
      <c r="K18" s="110"/>
      <c r="L18" s="80"/>
    </row>
    <row r="19" spans="2:12" x14ac:dyDescent="0.15">
      <c r="C19" s="4"/>
      <c r="D19" s="4"/>
    </row>
    <row r="21" spans="2:12" x14ac:dyDescent="0.15">
      <c r="B21" t="s">
        <v>185</v>
      </c>
      <c r="C21" s="4">
        <v>-26.2</v>
      </c>
      <c r="D21" s="4">
        <v>-16.100000000000001</v>
      </c>
      <c r="E21" s="4">
        <v>-8.6</v>
      </c>
      <c r="F21" s="4">
        <v>-3.2</v>
      </c>
      <c r="G21" s="4">
        <v>0</v>
      </c>
      <c r="H21" s="4">
        <v>1.2</v>
      </c>
      <c r="I21" s="4">
        <v>1</v>
      </c>
      <c r="J21" s="4">
        <v>-1.1000000000000001</v>
      </c>
    </row>
    <row r="22" spans="2:12" x14ac:dyDescent="0.15">
      <c r="C22" s="4"/>
      <c r="D22" s="4"/>
    </row>
    <row r="24" spans="2:12" x14ac:dyDescent="0.15">
      <c r="C24" s="4"/>
      <c r="D24" s="4"/>
    </row>
    <row r="25" spans="2:12" x14ac:dyDescent="0.15">
      <c r="C25" s="4"/>
      <c r="D25" s="4"/>
      <c r="E25" s="39"/>
      <c r="F25" s="274"/>
    </row>
    <row r="27" spans="2:12" x14ac:dyDescent="0.15">
      <c r="B27" s="2"/>
      <c r="C27" s="104"/>
      <c r="D27" s="6"/>
      <c r="E27" s="104"/>
    </row>
    <row r="39" spans="2:12" x14ac:dyDescent="0.15">
      <c r="B39" s="2"/>
      <c r="C39" s="275"/>
      <c r="D39" s="275"/>
      <c r="E39" s="275"/>
      <c r="F39" s="275"/>
      <c r="G39" s="275"/>
      <c r="H39" s="275"/>
      <c r="I39" s="275"/>
      <c r="J39" s="275"/>
    </row>
    <row r="40" spans="2:12" x14ac:dyDescent="0.15">
      <c r="C40" s="4"/>
      <c r="D40" s="4"/>
      <c r="E40" s="4"/>
      <c r="F40" s="4"/>
      <c r="G40" s="4"/>
      <c r="H40" s="4"/>
      <c r="I40" s="4"/>
      <c r="J40" s="4"/>
    </row>
    <row r="41" spans="2:12" x14ac:dyDescent="0.15">
      <c r="C41" s="108"/>
      <c r="D41" s="108"/>
      <c r="E41" s="108"/>
      <c r="F41" s="108"/>
      <c r="G41" s="108"/>
      <c r="H41" s="108"/>
      <c r="I41" s="108"/>
      <c r="J41" s="108"/>
      <c r="K41" s="5"/>
      <c r="L41" s="5"/>
    </row>
    <row r="43" spans="2:12" x14ac:dyDescent="0.15">
      <c r="K43" s="4"/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44D4-B201-4A56-A975-39CFBE74ECCF}">
  <dimension ref="A3:AK57"/>
  <sheetViews>
    <sheetView zoomScaleNormal="100" workbookViewId="0">
      <selection activeCell="R20" sqref="R20"/>
    </sheetView>
  </sheetViews>
  <sheetFormatPr baseColWidth="10" defaultColWidth="8.83203125" defaultRowHeight="13" x14ac:dyDescent="0.15"/>
  <cols>
    <col min="1" max="1" width="15.1640625" customWidth="1"/>
    <col min="2" max="2" width="22.6640625" customWidth="1"/>
    <col min="3" max="3" width="12.5" customWidth="1"/>
    <col min="5" max="5" width="8.83203125" customWidth="1"/>
    <col min="6" max="6" width="8.1640625" style="182" customWidth="1"/>
    <col min="7" max="7" width="16.5" style="182" customWidth="1"/>
    <col min="8" max="8" width="10.6640625" style="182" bestFit="1" customWidth="1"/>
    <col min="9" max="9" width="10.6640625" style="182" customWidth="1"/>
    <col min="10" max="11" width="8.1640625" style="182" customWidth="1"/>
    <col min="12" max="12" width="12.33203125" style="182" customWidth="1"/>
    <col min="13" max="13" width="8.1640625" style="182" customWidth="1"/>
    <col min="14" max="14" width="11.5" style="182" customWidth="1"/>
    <col min="15" max="15" width="15.6640625" style="182" customWidth="1"/>
    <col min="19" max="19" width="13.5" customWidth="1"/>
    <col min="20" max="20" width="12" customWidth="1"/>
  </cols>
  <sheetData>
    <row r="3" spans="1:37" x14ac:dyDescent="0.15">
      <c r="B3" s="2" t="s">
        <v>240</v>
      </c>
      <c r="F3" s="179">
        <f ca="1">C19</f>
        <v>-26</v>
      </c>
      <c r="G3" s="183"/>
      <c r="H3" s="179">
        <f>$C$12</f>
        <v>21</v>
      </c>
      <c r="I3" s="184">
        <f ca="1">MAX(J3:K3)</f>
        <v>-6.5</v>
      </c>
      <c r="J3" s="185">
        <f ca="1">IF(M3-$C$8*$C$10*(M3-F3)&lt;$C$11,$C$11,M3-$C$8*$C$10*(M3-F3))</f>
        <v>-6.5</v>
      </c>
      <c r="K3" s="185">
        <f ca="1">M3-P3*Q3*(M3-F3)</f>
        <v>-6.5</v>
      </c>
      <c r="L3" s="185">
        <f ca="1">M3-T3*(M3-F3)</f>
        <v>21</v>
      </c>
      <c r="M3" s="185">
        <f>$C$5</f>
        <v>21</v>
      </c>
      <c r="N3" s="185">
        <f ca="1">MIN(F3+R3/P3*(M3-F3),H3)</f>
        <v>1.5</v>
      </c>
      <c r="O3" s="186"/>
      <c r="P3" s="187">
        <f>$C$8</f>
        <v>1</v>
      </c>
      <c r="Q3" s="188">
        <f ca="1">MIN(R3/P3,(H3-F3)/(M3-F3))</f>
        <v>0.58510638297872342</v>
      </c>
      <c r="R3" s="189">
        <f ca="1">(M3-J3)/(M3-F3)</f>
        <v>0.58510638297872342</v>
      </c>
    </row>
    <row r="4" spans="1:37" ht="14" x14ac:dyDescent="0.15">
      <c r="B4" s="2" t="s">
        <v>241</v>
      </c>
      <c r="T4" s="190" t="s">
        <v>121</v>
      </c>
      <c r="U4" s="191">
        <f>SUM(U6:U50)</f>
        <v>4996.75</v>
      </c>
      <c r="V4" s="191">
        <f>SUM(V6:V50)</f>
        <v>4206.5757364201154</v>
      </c>
      <c r="W4" s="191">
        <f>SUM(W6:W50)</f>
        <v>4206.5757364201154</v>
      </c>
    </row>
    <row r="5" spans="1:37" ht="17" x14ac:dyDescent="0.15">
      <c r="B5" s="10" t="s">
        <v>228</v>
      </c>
      <c r="C5" s="248">
        <f>'R-series ENT'!T26</f>
        <v>21</v>
      </c>
      <c r="D5" s="21" t="s">
        <v>230</v>
      </c>
      <c r="F5" s="192" t="s">
        <v>242</v>
      </c>
      <c r="G5" s="151" t="s">
        <v>208</v>
      </c>
      <c r="H5" s="192" t="s">
        <v>243</v>
      </c>
      <c r="I5" s="150" t="s">
        <v>244</v>
      </c>
      <c r="J5" s="150" t="s">
        <v>232</v>
      </c>
      <c r="K5" s="150" t="s">
        <v>245</v>
      </c>
      <c r="L5" s="150" t="s">
        <v>246</v>
      </c>
      <c r="M5" s="150" t="s">
        <v>247</v>
      </c>
      <c r="N5" s="150" t="s">
        <v>248</v>
      </c>
      <c r="O5" s="152" t="s">
        <v>249</v>
      </c>
      <c r="P5" s="150" t="s">
        <v>219</v>
      </c>
      <c r="Q5" s="192" t="s">
        <v>250</v>
      </c>
      <c r="R5" s="150" t="s">
        <v>251</v>
      </c>
      <c r="S5" s="192" t="s">
        <v>252</v>
      </c>
      <c r="T5" s="152" t="s">
        <v>253</v>
      </c>
      <c r="U5" s="150" t="s">
        <v>211</v>
      </c>
      <c r="V5" s="150" t="s">
        <v>212</v>
      </c>
      <c r="W5" s="152" t="s">
        <v>213</v>
      </c>
    </row>
    <row r="6" spans="1:37" x14ac:dyDescent="0.15">
      <c r="B6" s="12" t="s">
        <v>254</v>
      </c>
      <c r="C6" s="249">
        <f>'R-series ENT'!T10</f>
        <v>34.722222222222221</v>
      </c>
      <c r="D6" s="24" t="s">
        <v>13</v>
      </c>
      <c r="F6" s="194">
        <v>-32</v>
      </c>
      <c r="G6" s="559">
        <f>Säädata_ENT!Z12</f>
        <v>0</v>
      </c>
      <c r="H6" s="194">
        <f t="shared" ref="H6:H17" si="0">$C$12</f>
        <v>21</v>
      </c>
      <c r="I6" s="195">
        <f t="shared" ref="I6:I17" si="1">MAX(J6:K6)</f>
        <v>-6.5</v>
      </c>
      <c r="J6" s="196">
        <f t="shared" ref="J6:J50" si="2">IF(M6-$C$8*$C$10*(M6-F6)&lt;$C$11,$C$11,M6-$C$8*$C$10*(M6-F6))</f>
        <v>-6.5</v>
      </c>
      <c r="K6" s="196">
        <f t="shared" ref="K6:K17" si="3">M6-P6*Q6*(M6-F6)</f>
        <v>-6.5</v>
      </c>
      <c r="L6" s="196">
        <f t="shared" ref="L6:L17" si="4">M6-T6*(M6-F6)</f>
        <v>-23.729417453823103</v>
      </c>
      <c r="M6" s="182">
        <f t="shared" ref="M6:M50" si="5">$C$5</f>
        <v>21</v>
      </c>
      <c r="N6" s="196">
        <f>MIN(F6+R6/P6*(M6-F6),H6)</f>
        <v>-4.5</v>
      </c>
      <c r="O6" s="197">
        <f t="shared" ref="O6:O28" si="6">F6+S6/P6*(M6-F6)</f>
        <v>12.729417453823103</v>
      </c>
      <c r="P6" s="32">
        <f t="shared" ref="P6:P50" si="7">$C$8</f>
        <v>1</v>
      </c>
      <c r="Q6" s="198">
        <f t="shared" ref="Q6:Q20" si="8">MIN(R6/P6,(H6-F6)/(M6-F6))</f>
        <v>0.51886792452830188</v>
      </c>
      <c r="R6" s="199">
        <f t="shared" ref="R6:R20" si="9">(M6-J6)/(M6-F6)</f>
        <v>0.51886792452830188</v>
      </c>
      <c r="S6" s="198">
        <f t="shared" ref="S6:S50" si="10">$C$10</f>
        <v>0.84395127271364345</v>
      </c>
      <c r="T6" s="200">
        <f>S6*$C$8</f>
        <v>0.84395127271364345</v>
      </c>
      <c r="U6" s="201">
        <f>G6*(M6-F6)*365</f>
        <v>0</v>
      </c>
      <c r="V6" s="201">
        <f>G6*(N6-F6)*365</f>
        <v>0</v>
      </c>
      <c r="W6" s="202">
        <f>G6*(M6-J6)*365</f>
        <v>0</v>
      </c>
      <c r="Y6" s="5" t="e">
        <f t="shared" ref="Y6:Y49" si="11">$C$7/1000*1.2*1006*(M6-F6)*8760*(G6-G5)/1000</f>
        <v>#VALUE!</v>
      </c>
      <c r="Z6" s="5" t="e">
        <f t="shared" ref="Z6:Z49" si="12">1.2*1006*$C$7/1000*(M6-I6)/1000*(G6-G5)*8760</f>
        <v>#VALUE!</v>
      </c>
      <c r="AB6" t="s">
        <v>236</v>
      </c>
      <c r="AG6" s="110">
        <f>Y51</f>
        <v>5026.7304999999988</v>
      </c>
      <c r="AH6" t="s">
        <v>237</v>
      </c>
    </row>
    <row r="7" spans="1:37" x14ac:dyDescent="0.15">
      <c r="B7" s="12" t="s">
        <v>255</v>
      </c>
      <c r="C7" s="249">
        <f>'R-series ENT'!T11</f>
        <v>34.722222222222221</v>
      </c>
      <c r="D7" s="24" t="s">
        <v>13</v>
      </c>
      <c r="F7" s="194">
        <v>-31</v>
      </c>
      <c r="G7" s="559">
        <f>Säädata_ENT!Z13</f>
        <v>0</v>
      </c>
      <c r="H7" s="194">
        <f t="shared" si="0"/>
        <v>21</v>
      </c>
      <c r="I7" s="195">
        <f t="shared" si="1"/>
        <v>-6.5</v>
      </c>
      <c r="J7" s="196">
        <f t="shared" si="2"/>
        <v>-6.5</v>
      </c>
      <c r="K7" s="196">
        <f t="shared" si="3"/>
        <v>-6.5</v>
      </c>
      <c r="L7" s="196">
        <f t="shared" si="4"/>
        <v>-22.885466181109457</v>
      </c>
      <c r="M7" s="182">
        <f t="shared" si="5"/>
        <v>21</v>
      </c>
      <c r="N7" s="196">
        <f t="shared" ref="N7:N50" si="13">MIN(F7+R7/P7*(M7-F7),H7)</f>
        <v>-3.5</v>
      </c>
      <c r="O7" s="197">
        <f t="shared" si="6"/>
        <v>12.885466181109457</v>
      </c>
      <c r="P7" s="32">
        <f t="shared" si="7"/>
        <v>1</v>
      </c>
      <c r="Q7" s="198">
        <f t="shared" si="8"/>
        <v>0.52884615384615385</v>
      </c>
      <c r="R7" s="199">
        <f t="shared" si="9"/>
        <v>0.52884615384615385</v>
      </c>
      <c r="S7" s="198">
        <f t="shared" si="10"/>
        <v>0.84395127271364345</v>
      </c>
      <c r="T7" s="200">
        <f t="shared" ref="T7:T50" si="14">S7*$C$8</f>
        <v>0.84395127271364345</v>
      </c>
      <c r="U7" s="108">
        <f>(G7-G6)*(M7-F7)*365</f>
        <v>0</v>
      </c>
      <c r="V7" s="108">
        <f>(G7-G6)*(N7-F7)*365</f>
        <v>0</v>
      </c>
      <c r="W7" s="203">
        <f>(G7-G6)*(M7-I7)*365</f>
        <v>0</v>
      </c>
      <c r="Y7" s="5">
        <f>$C$7/1000*1.2*1006*(M7-F7)*8760*(G7-G6)/1000</f>
        <v>0</v>
      </c>
      <c r="Z7" s="5">
        <f t="shared" si="12"/>
        <v>0</v>
      </c>
      <c r="AB7" t="s">
        <v>238</v>
      </c>
      <c r="AG7" s="110">
        <f>Z51</f>
        <v>4231.8151908386371</v>
      </c>
      <c r="AH7" t="s">
        <v>237</v>
      </c>
      <c r="AJ7" t="s">
        <v>1270</v>
      </c>
    </row>
    <row r="8" spans="1:37" ht="17" x14ac:dyDescent="0.25">
      <c r="B8" s="12" t="s">
        <v>256</v>
      </c>
      <c r="C8" s="204">
        <f>'R-series ENT'!T13</f>
        <v>1</v>
      </c>
      <c r="D8" s="24"/>
      <c r="F8" s="194">
        <v>-30</v>
      </c>
      <c r="G8" s="559">
        <f>Säädata_ENT!Z14</f>
        <v>0</v>
      </c>
      <c r="H8" s="194">
        <f t="shared" si="0"/>
        <v>21</v>
      </c>
      <c r="I8" s="195">
        <f t="shared" si="1"/>
        <v>-6.5</v>
      </c>
      <c r="J8" s="196">
        <f t="shared" si="2"/>
        <v>-6.5</v>
      </c>
      <c r="K8" s="196">
        <f t="shared" si="3"/>
        <v>-6.5</v>
      </c>
      <c r="L8" s="196">
        <f t="shared" si="4"/>
        <v>-22.041514908395818</v>
      </c>
      <c r="M8" s="182">
        <f t="shared" si="5"/>
        <v>21</v>
      </c>
      <c r="N8" s="196">
        <f t="shared" si="13"/>
        <v>-2.5</v>
      </c>
      <c r="O8" s="197">
        <f t="shared" si="6"/>
        <v>13.041514908395818</v>
      </c>
      <c r="P8" s="32">
        <f t="shared" si="7"/>
        <v>1</v>
      </c>
      <c r="Q8" s="198">
        <f t="shared" si="8"/>
        <v>0.53921568627450978</v>
      </c>
      <c r="R8" s="199">
        <f t="shared" si="9"/>
        <v>0.53921568627450978</v>
      </c>
      <c r="S8" s="198">
        <f t="shared" si="10"/>
        <v>0.84395127271364345</v>
      </c>
      <c r="T8" s="200">
        <f t="shared" si="14"/>
        <v>0.84395127271364345</v>
      </c>
      <c r="U8" s="108">
        <f t="shared" ref="U8:U20" si="15">(G8-G7)*(M8-F8)*365</f>
        <v>0</v>
      </c>
      <c r="V8" s="108">
        <f t="shared" ref="V8:V50" si="16">(G8-G7)*(N8-F8)*365</f>
        <v>0</v>
      </c>
      <c r="W8" s="203">
        <f t="shared" ref="W8:W50" si="17">(G8-G7)*(M8-I8)*365</f>
        <v>0</v>
      </c>
      <c r="Y8" s="5">
        <f t="shared" si="11"/>
        <v>0</v>
      </c>
      <c r="Z8" s="5">
        <f t="shared" si="12"/>
        <v>0</v>
      </c>
      <c r="AB8" t="s">
        <v>1269</v>
      </c>
      <c r="AG8" s="110">
        <f>IF(ISNUMBER(AJ8),AJ8*8760/1000,"-")</f>
        <v>361.74786950380206</v>
      </c>
      <c r="AH8" t="s">
        <v>237</v>
      </c>
      <c r="AJ8">
        <f>'R-series ENT'!D45</f>
        <v>41.295418893128087</v>
      </c>
      <c r="AK8" t="s">
        <v>49</v>
      </c>
    </row>
    <row r="9" spans="1:37" x14ac:dyDescent="0.15">
      <c r="B9" s="12" t="s">
        <v>257</v>
      </c>
      <c r="C9" s="250">
        <f>'R-series ENT'!T22</f>
        <v>0.84395127271364345</v>
      </c>
      <c r="D9" s="24"/>
      <c r="F9" s="194">
        <v>-29</v>
      </c>
      <c r="G9" s="559">
        <f>Säädata_ENT!Z15</f>
        <v>0</v>
      </c>
      <c r="H9" s="194">
        <f t="shared" si="0"/>
        <v>21</v>
      </c>
      <c r="I9" s="195">
        <f t="shared" si="1"/>
        <v>-6.5</v>
      </c>
      <c r="J9" s="196">
        <f t="shared" si="2"/>
        <v>-6.5</v>
      </c>
      <c r="K9" s="196">
        <f t="shared" si="3"/>
        <v>-6.5000000000000036</v>
      </c>
      <c r="L9" s="196">
        <f t="shared" si="4"/>
        <v>-21.197563635682172</v>
      </c>
      <c r="M9" s="182">
        <f t="shared" si="5"/>
        <v>21</v>
      </c>
      <c r="N9" s="196">
        <f t="shared" si="13"/>
        <v>-1.4999999999999964</v>
      </c>
      <c r="O9" s="197">
        <f t="shared" si="6"/>
        <v>13.197563635682172</v>
      </c>
      <c r="P9" s="32">
        <f t="shared" si="7"/>
        <v>1</v>
      </c>
      <c r="Q9" s="198">
        <f t="shared" si="8"/>
        <v>0.55000000000000004</v>
      </c>
      <c r="R9" s="199">
        <f t="shared" si="9"/>
        <v>0.55000000000000004</v>
      </c>
      <c r="S9" s="198">
        <f t="shared" si="10"/>
        <v>0.84395127271364345</v>
      </c>
      <c r="T9" s="200">
        <f t="shared" si="14"/>
        <v>0.84395127271364345</v>
      </c>
      <c r="U9" s="108">
        <f t="shared" si="15"/>
        <v>0</v>
      </c>
      <c r="V9" s="108">
        <f t="shared" si="16"/>
        <v>0</v>
      </c>
      <c r="W9" s="203">
        <f t="shared" si="17"/>
        <v>0</v>
      </c>
      <c r="Y9" s="5">
        <f t="shared" si="11"/>
        <v>0</v>
      </c>
      <c r="Z9" s="5">
        <f t="shared" si="12"/>
        <v>0</v>
      </c>
    </row>
    <row r="10" spans="1:37" x14ac:dyDescent="0.15">
      <c r="B10" s="12" t="s">
        <v>258</v>
      </c>
      <c r="C10" s="205">
        <f>'R-series ENT'!T23</f>
        <v>0.84395127271364345</v>
      </c>
      <c r="D10" s="24"/>
      <c r="F10" s="194">
        <v>-28</v>
      </c>
      <c r="G10" s="559">
        <f>Säädata_ENT!Z16</f>
        <v>0</v>
      </c>
      <c r="H10" s="194">
        <f t="shared" si="0"/>
        <v>21</v>
      </c>
      <c r="I10" s="195">
        <f t="shared" si="1"/>
        <v>-6.4999999999999964</v>
      </c>
      <c r="J10" s="196">
        <f t="shared" si="2"/>
        <v>-6.5</v>
      </c>
      <c r="K10" s="196">
        <f t="shared" si="3"/>
        <v>-6.4999999999999964</v>
      </c>
      <c r="L10" s="196">
        <f t="shared" si="4"/>
        <v>-20.353612362968526</v>
      </c>
      <c r="M10" s="182">
        <f t="shared" si="5"/>
        <v>21</v>
      </c>
      <c r="N10" s="196">
        <f t="shared" si="13"/>
        <v>-0.50000000000000355</v>
      </c>
      <c r="O10" s="197">
        <f t="shared" si="6"/>
        <v>13.353612362968526</v>
      </c>
      <c r="P10" s="32">
        <f t="shared" si="7"/>
        <v>1</v>
      </c>
      <c r="Q10" s="198">
        <f t="shared" si="8"/>
        <v>0.56122448979591832</v>
      </c>
      <c r="R10" s="199">
        <f t="shared" si="9"/>
        <v>0.56122448979591832</v>
      </c>
      <c r="S10" s="198">
        <f t="shared" si="10"/>
        <v>0.84395127271364345</v>
      </c>
      <c r="T10" s="200">
        <f t="shared" si="14"/>
        <v>0.84395127271364345</v>
      </c>
      <c r="U10" s="108">
        <f t="shared" si="15"/>
        <v>0</v>
      </c>
      <c r="V10" s="108">
        <f t="shared" si="16"/>
        <v>0</v>
      </c>
      <c r="W10" s="203">
        <f t="shared" si="17"/>
        <v>0</v>
      </c>
      <c r="Y10" s="5">
        <f t="shared" si="11"/>
        <v>0</v>
      </c>
      <c r="Z10" s="5">
        <f t="shared" si="12"/>
        <v>0</v>
      </c>
    </row>
    <row r="11" spans="1:37" x14ac:dyDescent="0.15">
      <c r="B11" s="12" t="s">
        <v>259</v>
      </c>
      <c r="C11" s="193">
        <f>'R-series ENT'!T27</f>
        <v>-6.5</v>
      </c>
      <c r="D11" s="24" t="s">
        <v>230</v>
      </c>
      <c r="F11" s="194">
        <v>-27</v>
      </c>
      <c r="G11" s="559">
        <f>Säädata_ENT!Z17</f>
        <v>0</v>
      </c>
      <c r="H11" s="194">
        <f t="shared" si="0"/>
        <v>21</v>
      </c>
      <c r="I11" s="195">
        <f t="shared" si="1"/>
        <v>-6.5</v>
      </c>
      <c r="J11" s="196">
        <f t="shared" si="2"/>
        <v>-6.5</v>
      </c>
      <c r="K11" s="196">
        <f t="shared" si="3"/>
        <v>-6.5</v>
      </c>
      <c r="L11" s="196">
        <f t="shared" si="4"/>
        <v>-19.509661090254887</v>
      </c>
      <c r="M11" s="182">
        <f t="shared" si="5"/>
        <v>21</v>
      </c>
      <c r="N11" s="196">
        <f t="shared" si="13"/>
        <v>0.5</v>
      </c>
      <c r="O11" s="197">
        <f t="shared" si="6"/>
        <v>13.509661090254887</v>
      </c>
      <c r="P11" s="32">
        <f t="shared" si="7"/>
        <v>1</v>
      </c>
      <c r="Q11" s="198">
        <f t="shared" si="8"/>
        <v>0.57291666666666663</v>
      </c>
      <c r="R11" s="199">
        <f t="shared" si="9"/>
        <v>0.57291666666666663</v>
      </c>
      <c r="S11" s="198">
        <f t="shared" si="10"/>
        <v>0.84395127271364345</v>
      </c>
      <c r="T11" s="200">
        <f t="shared" si="14"/>
        <v>0.84395127271364345</v>
      </c>
      <c r="U11" s="108">
        <f t="shared" si="15"/>
        <v>0</v>
      </c>
      <c r="V11" s="108">
        <f t="shared" si="16"/>
        <v>0</v>
      </c>
      <c r="W11" s="203">
        <f t="shared" si="17"/>
        <v>0</v>
      </c>
      <c r="Y11" s="5">
        <f t="shared" si="11"/>
        <v>0</v>
      </c>
      <c r="Z11" s="5">
        <f t="shared" si="12"/>
        <v>0</v>
      </c>
      <c r="AB11" t="s">
        <v>1277</v>
      </c>
      <c r="AG11">
        <f>'R-series ENT'!T37</f>
        <v>0</v>
      </c>
    </row>
    <row r="12" spans="1:37" x14ac:dyDescent="0.15">
      <c r="B12" s="12" t="s">
        <v>260</v>
      </c>
      <c r="C12" s="193">
        <f>C42</f>
        <v>21</v>
      </c>
      <c r="D12" s="24" t="s">
        <v>230</v>
      </c>
      <c r="F12" s="194">
        <v>-26</v>
      </c>
      <c r="G12" s="559">
        <f>Säädata_ENT!Z18</f>
        <v>0</v>
      </c>
      <c r="H12" s="194">
        <f t="shared" si="0"/>
        <v>21</v>
      </c>
      <c r="I12" s="195">
        <f t="shared" si="1"/>
        <v>-6.5</v>
      </c>
      <c r="J12" s="196">
        <f t="shared" si="2"/>
        <v>-6.5</v>
      </c>
      <c r="K12" s="196">
        <f t="shared" si="3"/>
        <v>-6.5</v>
      </c>
      <c r="L12" s="196">
        <f t="shared" si="4"/>
        <v>-18.665709817541241</v>
      </c>
      <c r="M12" s="182">
        <f t="shared" si="5"/>
        <v>21</v>
      </c>
      <c r="N12" s="196">
        <f t="shared" si="13"/>
        <v>1.5</v>
      </c>
      <c r="O12" s="197">
        <f t="shared" si="6"/>
        <v>13.665709817541241</v>
      </c>
      <c r="P12" s="32">
        <f t="shared" si="7"/>
        <v>1</v>
      </c>
      <c r="Q12" s="198">
        <f t="shared" si="8"/>
        <v>0.58510638297872342</v>
      </c>
      <c r="R12" s="199">
        <f t="shared" si="9"/>
        <v>0.58510638297872342</v>
      </c>
      <c r="S12" s="198">
        <f t="shared" si="10"/>
        <v>0.84395127271364345</v>
      </c>
      <c r="T12" s="200">
        <f t="shared" si="14"/>
        <v>0.84395127271364345</v>
      </c>
      <c r="U12" s="108">
        <f t="shared" si="15"/>
        <v>0</v>
      </c>
      <c r="V12" s="108">
        <f t="shared" si="16"/>
        <v>0</v>
      </c>
      <c r="W12" s="203">
        <f t="shared" si="17"/>
        <v>0</v>
      </c>
      <c r="Y12" s="5">
        <f t="shared" si="11"/>
        <v>0</v>
      </c>
      <c r="Z12" s="5">
        <f t="shared" si="12"/>
        <v>0</v>
      </c>
      <c r="AB12" t="s">
        <v>1286</v>
      </c>
      <c r="AG12" s="3">
        <f>N54</f>
        <v>17.722976726986509</v>
      </c>
    </row>
    <row r="13" spans="1:37" x14ac:dyDescent="0.15">
      <c r="A13" s="2" t="s">
        <v>1191</v>
      </c>
      <c r="B13" s="658" t="s">
        <v>986</v>
      </c>
      <c r="C13" s="659">
        <f>E13</f>
        <v>1</v>
      </c>
      <c r="D13" s="660"/>
      <c r="E13" s="661">
        <v>1</v>
      </c>
      <c r="F13" s="194">
        <v>-25</v>
      </c>
      <c r="G13" s="559">
        <f>Säädata_ENT!Z19</f>
        <v>0</v>
      </c>
      <c r="H13" s="194">
        <f t="shared" si="0"/>
        <v>21</v>
      </c>
      <c r="I13" s="195">
        <f t="shared" si="1"/>
        <v>-6.5</v>
      </c>
      <c r="J13" s="196">
        <f t="shared" si="2"/>
        <v>-6.5</v>
      </c>
      <c r="K13" s="196">
        <f t="shared" si="3"/>
        <v>-6.5</v>
      </c>
      <c r="L13" s="196">
        <f t="shared" si="4"/>
        <v>-17.821758544827595</v>
      </c>
      <c r="M13" s="182">
        <f t="shared" si="5"/>
        <v>21</v>
      </c>
      <c r="N13" s="196">
        <f t="shared" si="13"/>
        <v>2.5</v>
      </c>
      <c r="O13" s="197">
        <f t="shared" si="6"/>
        <v>13.821758544827595</v>
      </c>
      <c r="P13" s="32">
        <f t="shared" si="7"/>
        <v>1</v>
      </c>
      <c r="Q13" s="198">
        <f t="shared" si="8"/>
        <v>0.59782608695652173</v>
      </c>
      <c r="R13" s="199">
        <f t="shared" si="9"/>
        <v>0.59782608695652173</v>
      </c>
      <c r="S13" s="198">
        <f t="shared" si="10"/>
        <v>0.84395127271364345</v>
      </c>
      <c r="T13" s="200">
        <f t="shared" si="14"/>
        <v>0.84395127271364345</v>
      </c>
      <c r="U13" s="108">
        <f t="shared" si="15"/>
        <v>0</v>
      </c>
      <c r="V13" s="108">
        <f t="shared" si="16"/>
        <v>0</v>
      </c>
      <c r="W13" s="203">
        <f t="shared" si="17"/>
        <v>0</v>
      </c>
      <c r="Y13" s="5">
        <f t="shared" si="11"/>
        <v>0</v>
      </c>
      <c r="Z13" s="5">
        <f t="shared" si="12"/>
        <v>0</v>
      </c>
    </row>
    <row r="14" spans="1:37" x14ac:dyDescent="0.15">
      <c r="A14" s="2" t="s">
        <v>1190</v>
      </c>
      <c r="B14" s="658" t="s">
        <v>261</v>
      </c>
      <c r="C14" s="659">
        <f ca="1">IF(E14&lt;=COUNTA(Kuntalistaus_ENT),E14,COUNTA(Kuntalistaus_ENT))</f>
        <v>1</v>
      </c>
      <c r="D14" s="660"/>
      <c r="E14" s="662">
        <v>1</v>
      </c>
      <c r="F14" s="194">
        <v>-24</v>
      </c>
      <c r="G14" s="559">
        <f>Säädata_ENT!Z20</f>
        <v>0</v>
      </c>
      <c r="H14" s="194">
        <f t="shared" si="0"/>
        <v>21</v>
      </c>
      <c r="I14" s="195">
        <f t="shared" si="1"/>
        <v>-6.5</v>
      </c>
      <c r="J14" s="196">
        <f t="shared" si="2"/>
        <v>-6.5</v>
      </c>
      <c r="K14" s="196">
        <f t="shared" si="3"/>
        <v>-6.5000000000000036</v>
      </c>
      <c r="L14" s="196">
        <f t="shared" si="4"/>
        <v>-16.977807272113957</v>
      </c>
      <c r="M14" s="182">
        <f t="shared" si="5"/>
        <v>21</v>
      </c>
      <c r="N14" s="196">
        <f t="shared" si="13"/>
        <v>3.5000000000000036</v>
      </c>
      <c r="O14" s="197">
        <f t="shared" si="6"/>
        <v>13.977807272113957</v>
      </c>
      <c r="P14" s="32">
        <f t="shared" si="7"/>
        <v>1</v>
      </c>
      <c r="Q14" s="198">
        <f t="shared" si="8"/>
        <v>0.61111111111111116</v>
      </c>
      <c r="R14" s="199">
        <f t="shared" si="9"/>
        <v>0.61111111111111116</v>
      </c>
      <c r="S14" s="198">
        <f t="shared" si="10"/>
        <v>0.84395127271364345</v>
      </c>
      <c r="T14" s="200">
        <f t="shared" si="14"/>
        <v>0.84395127271364345</v>
      </c>
      <c r="U14" s="108">
        <f t="shared" si="15"/>
        <v>0</v>
      </c>
      <c r="V14" s="108">
        <f t="shared" si="16"/>
        <v>0</v>
      </c>
      <c r="W14" s="203">
        <f t="shared" si="17"/>
        <v>0</v>
      </c>
      <c r="Y14" s="5">
        <f t="shared" si="11"/>
        <v>0</v>
      </c>
      <c r="Z14" s="5">
        <f t="shared" si="12"/>
        <v>0</v>
      </c>
      <c r="AB14" t="s">
        <v>1272</v>
      </c>
      <c r="AG14" s="110">
        <f>1.2*C6*(AG11-AG12)</f>
        <v>-738.45736362443779</v>
      </c>
      <c r="AH14" t="s">
        <v>49</v>
      </c>
    </row>
    <row r="15" spans="1:37" x14ac:dyDescent="0.15">
      <c r="B15" s="12" t="s">
        <v>262</v>
      </c>
      <c r="C15" s="206">
        <f>'R-series ENT'!T16</f>
        <v>0</v>
      </c>
      <c r="D15" s="24" t="s">
        <v>13</v>
      </c>
      <c r="F15" s="194">
        <v>-23</v>
      </c>
      <c r="G15" s="559">
        <f>Säädata_ENT!Z21</f>
        <v>0</v>
      </c>
      <c r="H15" s="194">
        <f t="shared" si="0"/>
        <v>21</v>
      </c>
      <c r="I15" s="195">
        <f t="shared" si="1"/>
        <v>-6.5</v>
      </c>
      <c r="J15" s="196">
        <f t="shared" si="2"/>
        <v>-6.5</v>
      </c>
      <c r="K15" s="196">
        <f t="shared" si="3"/>
        <v>-6.5</v>
      </c>
      <c r="L15" s="196">
        <f t="shared" si="4"/>
        <v>-16.133855999400311</v>
      </c>
      <c r="M15" s="182">
        <f t="shared" si="5"/>
        <v>21</v>
      </c>
      <c r="N15" s="196">
        <f t="shared" si="13"/>
        <v>4.5</v>
      </c>
      <c r="O15" s="197">
        <f t="shared" si="6"/>
        <v>14.133855999400311</v>
      </c>
      <c r="P15" s="32">
        <f t="shared" si="7"/>
        <v>1</v>
      </c>
      <c r="Q15" s="198">
        <f t="shared" si="8"/>
        <v>0.625</v>
      </c>
      <c r="R15" s="199">
        <f t="shared" si="9"/>
        <v>0.625</v>
      </c>
      <c r="S15" s="198">
        <f t="shared" si="10"/>
        <v>0.84395127271364345</v>
      </c>
      <c r="T15" s="200">
        <f t="shared" si="14"/>
        <v>0.84395127271364345</v>
      </c>
      <c r="U15" s="108">
        <f t="shared" si="15"/>
        <v>0</v>
      </c>
      <c r="V15" s="108">
        <f t="shared" si="16"/>
        <v>0</v>
      </c>
      <c r="W15" s="203">
        <f t="shared" si="17"/>
        <v>0</v>
      </c>
      <c r="Y15" s="5">
        <f t="shared" si="11"/>
        <v>0</v>
      </c>
      <c r="Z15" s="5">
        <f t="shared" si="12"/>
        <v>0</v>
      </c>
      <c r="AF15" t="s">
        <v>1276</v>
      </c>
      <c r="AG15" s="110" t="str">
        <f>IF(AG14&lt;=0,"-",AG14)</f>
        <v>-</v>
      </c>
      <c r="AH15" t="s">
        <v>49</v>
      </c>
    </row>
    <row r="16" spans="1:37" x14ac:dyDescent="0.15">
      <c r="B16" s="12" t="s">
        <v>263</v>
      </c>
      <c r="C16" s="206">
        <f>'R-series ENT'!T17</f>
        <v>0</v>
      </c>
      <c r="D16" s="24" t="s">
        <v>264</v>
      </c>
      <c r="F16" s="194">
        <v>-22</v>
      </c>
      <c r="G16" s="559">
        <f>Säädata_ENT!Z22</f>
        <v>0</v>
      </c>
      <c r="H16" s="194">
        <f t="shared" si="0"/>
        <v>21</v>
      </c>
      <c r="I16" s="195">
        <f t="shared" si="1"/>
        <v>-6.5</v>
      </c>
      <c r="J16" s="196">
        <f t="shared" si="2"/>
        <v>-6.5</v>
      </c>
      <c r="K16" s="196">
        <f t="shared" si="3"/>
        <v>-6.5</v>
      </c>
      <c r="L16" s="196">
        <f t="shared" si="4"/>
        <v>-15.289904726686672</v>
      </c>
      <c r="M16" s="182">
        <f t="shared" si="5"/>
        <v>21</v>
      </c>
      <c r="N16" s="196">
        <f t="shared" si="13"/>
        <v>5.5</v>
      </c>
      <c r="O16" s="197">
        <f t="shared" si="6"/>
        <v>14.289904726686672</v>
      </c>
      <c r="P16" s="32">
        <f t="shared" si="7"/>
        <v>1</v>
      </c>
      <c r="Q16" s="198">
        <f t="shared" si="8"/>
        <v>0.63953488372093026</v>
      </c>
      <c r="R16" s="199">
        <f t="shared" si="9"/>
        <v>0.63953488372093026</v>
      </c>
      <c r="S16" s="198">
        <f t="shared" si="10"/>
        <v>0.84395127271364345</v>
      </c>
      <c r="T16" s="200">
        <f t="shared" si="14"/>
        <v>0.84395127271364345</v>
      </c>
      <c r="U16" s="108">
        <f t="shared" si="15"/>
        <v>0</v>
      </c>
      <c r="V16" s="108">
        <f t="shared" si="16"/>
        <v>0</v>
      </c>
      <c r="W16" s="203">
        <f t="shared" si="17"/>
        <v>0</v>
      </c>
      <c r="Y16" s="5">
        <f t="shared" si="11"/>
        <v>0</v>
      </c>
      <c r="Z16" s="5">
        <f t="shared" si="12"/>
        <v>0</v>
      </c>
    </row>
    <row r="17" spans="1:26" x14ac:dyDescent="0.15">
      <c r="B17" s="12" t="s">
        <v>265</v>
      </c>
      <c r="C17" s="4">
        <f>(24*C7+C16*C15)/24</f>
        <v>34.722222222222221</v>
      </c>
      <c r="D17" s="24" t="s">
        <v>13</v>
      </c>
      <c r="F17" s="194">
        <v>-21</v>
      </c>
      <c r="G17" s="559">
        <f>Säädata_ENT!Z23</f>
        <v>0</v>
      </c>
      <c r="H17" s="194">
        <f t="shared" si="0"/>
        <v>21</v>
      </c>
      <c r="I17" s="195">
        <f t="shared" si="1"/>
        <v>-6.5</v>
      </c>
      <c r="J17" s="196">
        <f t="shared" si="2"/>
        <v>-6.5</v>
      </c>
      <c r="K17" s="196">
        <f t="shared" si="3"/>
        <v>-6.5</v>
      </c>
      <c r="L17" s="196">
        <f t="shared" si="4"/>
        <v>-14.445953453973026</v>
      </c>
      <c r="M17" s="182">
        <f t="shared" si="5"/>
        <v>21</v>
      </c>
      <c r="N17" s="196">
        <f t="shared" si="13"/>
        <v>6.5</v>
      </c>
      <c r="O17" s="197">
        <f t="shared" si="6"/>
        <v>14.445953453973026</v>
      </c>
      <c r="P17" s="32">
        <f t="shared" si="7"/>
        <v>1</v>
      </c>
      <c r="Q17" s="198">
        <f t="shared" si="8"/>
        <v>0.65476190476190477</v>
      </c>
      <c r="R17" s="199">
        <f t="shared" si="9"/>
        <v>0.65476190476190477</v>
      </c>
      <c r="S17" s="198">
        <f t="shared" si="10"/>
        <v>0.84395127271364345</v>
      </c>
      <c r="T17" s="200">
        <f t="shared" si="14"/>
        <v>0.84395127271364345</v>
      </c>
      <c r="U17" s="108">
        <f t="shared" si="15"/>
        <v>0</v>
      </c>
      <c r="V17" s="108">
        <f t="shared" si="16"/>
        <v>0</v>
      </c>
      <c r="W17" s="203">
        <f t="shared" si="17"/>
        <v>0</v>
      </c>
      <c r="Y17" s="5">
        <f t="shared" si="11"/>
        <v>0</v>
      </c>
      <c r="Z17" s="5">
        <f t="shared" si="12"/>
        <v>0</v>
      </c>
    </row>
    <row r="18" spans="1:26" ht="17" x14ac:dyDescent="0.25">
      <c r="B18" s="14" t="s">
        <v>266</v>
      </c>
      <c r="C18" s="207">
        <f>'R-series ENT'!T19</f>
        <v>1</v>
      </c>
      <c r="D18" s="26"/>
      <c r="F18" s="194">
        <v>-20</v>
      </c>
      <c r="G18" s="559">
        <f>Säädata_ENT!Z24</f>
        <v>0</v>
      </c>
      <c r="H18" s="194">
        <f>$C$12</f>
        <v>21</v>
      </c>
      <c r="I18" s="195">
        <f>MAX(J18:K18)</f>
        <v>-6.5</v>
      </c>
      <c r="J18" s="196">
        <f t="shared" si="2"/>
        <v>-6.5</v>
      </c>
      <c r="K18" s="196">
        <f>M18-P18*Q18*(M18-F18)</f>
        <v>-6.5</v>
      </c>
      <c r="L18" s="196">
        <f>M18-T18*(M18-F18)</f>
        <v>-13.60200218125938</v>
      </c>
      <c r="M18" s="182">
        <f t="shared" si="5"/>
        <v>21</v>
      </c>
      <c r="N18" s="196">
        <f t="shared" si="13"/>
        <v>7.5</v>
      </c>
      <c r="O18" s="197">
        <f t="shared" si="6"/>
        <v>14.60200218125938</v>
      </c>
      <c r="P18" s="32">
        <f t="shared" si="7"/>
        <v>1</v>
      </c>
      <c r="Q18" s="198">
        <f t="shared" si="8"/>
        <v>0.67073170731707321</v>
      </c>
      <c r="R18" s="199">
        <f t="shared" si="9"/>
        <v>0.67073170731707321</v>
      </c>
      <c r="S18" s="198">
        <f t="shared" si="10"/>
        <v>0.84395127271364345</v>
      </c>
      <c r="T18" s="200">
        <f>S18*$C$8</f>
        <v>0.84395127271364345</v>
      </c>
      <c r="U18" s="108">
        <f t="shared" si="15"/>
        <v>0</v>
      </c>
      <c r="V18" s="108">
        <f>(G18-G17)*(N18-F18)*365</f>
        <v>0</v>
      </c>
      <c r="W18" s="203">
        <f>(G18-G17)*(M18-I18)*365</f>
        <v>0</v>
      </c>
      <c r="Y18" s="5">
        <f>$C$7/1000*1.2*1006*(M18-F18)*8760*(G18-G17)/1000</f>
        <v>0</v>
      </c>
      <c r="Z18" s="5">
        <f t="shared" si="12"/>
        <v>0</v>
      </c>
    </row>
    <row r="19" spans="1:26" x14ac:dyDescent="0.15">
      <c r="A19" s="560" t="s">
        <v>987</v>
      </c>
      <c r="B19" s="10" t="s">
        <v>267</v>
      </c>
      <c r="C19" s="208">
        <f ca="1">IF(C14=1,-26,IF(C14=2,-29,IF(C14=3,-32,-38)))</f>
        <v>-26</v>
      </c>
      <c r="D19" s="21" t="s">
        <v>230</v>
      </c>
      <c r="F19" s="194">
        <v>-19</v>
      </c>
      <c r="G19" s="559">
        <f>Säädata_ENT!Z25</f>
        <v>0</v>
      </c>
      <c r="H19" s="194">
        <f t="shared" ref="H19:H50" si="18">$H$17</f>
        <v>21</v>
      </c>
      <c r="I19" s="195">
        <f>MAX(J19:K19)</f>
        <v>-6.5</v>
      </c>
      <c r="J19" s="196">
        <f t="shared" si="2"/>
        <v>-6.5</v>
      </c>
      <c r="K19" s="196">
        <f t="shared" ref="K19:K50" si="19">M19-P19*Q19*(M19-F19)</f>
        <v>-6.5</v>
      </c>
      <c r="L19" s="196">
        <f t="shared" ref="L19:L50" si="20">M19-T19*(M19-F19)</f>
        <v>-12.758050908545741</v>
      </c>
      <c r="M19" s="182">
        <f t="shared" si="5"/>
        <v>21</v>
      </c>
      <c r="N19" s="196">
        <f t="shared" si="13"/>
        <v>8.5</v>
      </c>
      <c r="O19" s="197">
        <f t="shared" si="6"/>
        <v>14.758050908545741</v>
      </c>
      <c r="P19" s="32">
        <f t="shared" si="7"/>
        <v>1</v>
      </c>
      <c r="Q19" s="198">
        <f t="shared" si="8"/>
        <v>0.6875</v>
      </c>
      <c r="R19" s="199">
        <f t="shared" si="9"/>
        <v>0.6875</v>
      </c>
      <c r="S19" s="198">
        <f t="shared" si="10"/>
        <v>0.84395127271364345</v>
      </c>
      <c r="T19" s="200">
        <f t="shared" si="14"/>
        <v>0.84395127271364345</v>
      </c>
      <c r="U19" s="108">
        <f t="shared" si="15"/>
        <v>0</v>
      </c>
      <c r="V19" s="108">
        <f t="shared" si="16"/>
        <v>0</v>
      </c>
      <c r="W19" s="203">
        <f t="shared" si="17"/>
        <v>0</v>
      </c>
      <c r="Y19" s="5">
        <f t="shared" si="11"/>
        <v>0</v>
      </c>
      <c r="Z19" s="5">
        <f t="shared" si="12"/>
        <v>0</v>
      </c>
    </row>
    <row r="20" spans="1:26" x14ac:dyDescent="0.15">
      <c r="B20" s="14" t="s">
        <v>268</v>
      </c>
      <c r="C20" s="209">
        <f ca="1">N3</f>
        <v>1.5</v>
      </c>
      <c r="D20" s="26" t="s">
        <v>230</v>
      </c>
      <c r="F20" s="194">
        <v>-18</v>
      </c>
      <c r="G20" s="559">
        <f>Säädata_ENT!Z26</f>
        <v>0</v>
      </c>
      <c r="H20" s="194">
        <f t="shared" si="18"/>
        <v>21</v>
      </c>
      <c r="I20" s="195">
        <f t="shared" ref="I20:I50" si="21">MAX(J20:K20)</f>
        <v>-6.5</v>
      </c>
      <c r="J20" s="196">
        <f t="shared" si="2"/>
        <v>-6.5</v>
      </c>
      <c r="K20" s="196">
        <f t="shared" si="19"/>
        <v>-6.5000000000000036</v>
      </c>
      <c r="L20" s="196">
        <f t="shared" si="20"/>
        <v>-11.914099635832095</v>
      </c>
      <c r="M20" s="182">
        <f t="shared" si="5"/>
        <v>21</v>
      </c>
      <c r="N20" s="196">
        <f t="shared" si="13"/>
        <v>9.5000000000000036</v>
      </c>
      <c r="O20" s="197">
        <f t="shared" si="6"/>
        <v>14.914099635832095</v>
      </c>
      <c r="P20" s="32">
        <f t="shared" si="7"/>
        <v>1</v>
      </c>
      <c r="Q20" s="198">
        <f t="shared" si="8"/>
        <v>0.70512820512820518</v>
      </c>
      <c r="R20" s="199">
        <f t="shared" si="9"/>
        <v>0.70512820512820518</v>
      </c>
      <c r="S20" s="198">
        <f t="shared" si="10"/>
        <v>0.84395127271364345</v>
      </c>
      <c r="T20" s="200">
        <f t="shared" si="14"/>
        <v>0.84395127271364345</v>
      </c>
      <c r="U20" s="108">
        <f t="shared" si="15"/>
        <v>0</v>
      </c>
      <c r="V20" s="108">
        <f t="shared" si="16"/>
        <v>0</v>
      </c>
      <c r="W20" s="203">
        <f t="shared" si="17"/>
        <v>0</v>
      </c>
      <c r="Y20" s="5">
        <f t="shared" si="11"/>
        <v>0</v>
      </c>
      <c r="Z20" s="5">
        <f t="shared" si="12"/>
        <v>0</v>
      </c>
    </row>
    <row r="21" spans="1:26" x14ac:dyDescent="0.15">
      <c r="F21" s="194">
        <v>-17</v>
      </c>
      <c r="G21" s="559">
        <f>Säädata_ENT!Z27</f>
        <v>2.2831050228310502E-4</v>
      </c>
      <c r="H21" s="194">
        <f t="shared" si="18"/>
        <v>21</v>
      </c>
      <c r="I21" s="195">
        <f t="shared" si="21"/>
        <v>-6.5</v>
      </c>
      <c r="J21" s="196">
        <f t="shared" si="2"/>
        <v>-6.5</v>
      </c>
      <c r="K21" s="196">
        <f t="shared" si="19"/>
        <v>-6.5</v>
      </c>
      <c r="L21" s="196">
        <f t="shared" si="20"/>
        <v>-11.070148363118449</v>
      </c>
      <c r="M21" s="182">
        <f t="shared" si="5"/>
        <v>21</v>
      </c>
      <c r="N21" s="196">
        <f t="shared" si="13"/>
        <v>10.5</v>
      </c>
      <c r="O21" s="197">
        <f t="shared" si="6"/>
        <v>15.070148363118449</v>
      </c>
      <c r="P21" s="32">
        <f t="shared" si="7"/>
        <v>1</v>
      </c>
      <c r="Q21" s="198">
        <f>MIN(R21/P21,(H21-F21)/(M21-F21))</f>
        <v>0.72368421052631582</v>
      </c>
      <c r="R21" s="199">
        <f>(M21-J21)/(M21-F21)</f>
        <v>0.72368421052631582</v>
      </c>
      <c r="S21" s="198">
        <f t="shared" si="10"/>
        <v>0.84395127271364345</v>
      </c>
      <c r="T21" s="200">
        <f t="shared" si="14"/>
        <v>0.84395127271364345</v>
      </c>
      <c r="U21" s="108">
        <f>(G21-G20)*(M21-F21)*365</f>
        <v>3.166666666666667</v>
      </c>
      <c r="V21" s="108">
        <f t="shared" si="16"/>
        <v>2.2916666666666665</v>
      </c>
      <c r="W21" s="203">
        <f t="shared" si="17"/>
        <v>2.2916666666666665</v>
      </c>
      <c r="Y21" s="5">
        <f t="shared" si="11"/>
        <v>3.1856666666666666</v>
      </c>
      <c r="Z21" s="5">
        <f t="shared" si="12"/>
        <v>2.3054166666666664</v>
      </c>
    </row>
    <row r="22" spans="1:26" x14ac:dyDescent="0.15">
      <c r="F22" s="194">
        <v>-16</v>
      </c>
      <c r="G22" s="559">
        <f>Säädata_ENT!Z28</f>
        <v>1.2557077625570776E-3</v>
      </c>
      <c r="H22" s="194">
        <f t="shared" si="18"/>
        <v>21</v>
      </c>
      <c r="I22" s="195">
        <f t="shared" si="21"/>
        <v>-6.5</v>
      </c>
      <c r="J22" s="196">
        <f t="shared" si="2"/>
        <v>-6.5</v>
      </c>
      <c r="K22" s="196">
        <f t="shared" si="19"/>
        <v>-6.5</v>
      </c>
      <c r="L22" s="196">
        <f t="shared" si="20"/>
        <v>-10.226197090404806</v>
      </c>
      <c r="M22" s="182">
        <f t="shared" si="5"/>
        <v>21</v>
      </c>
      <c r="N22" s="196">
        <f t="shared" si="13"/>
        <v>11.5</v>
      </c>
      <c r="O22" s="197">
        <f t="shared" si="6"/>
        <v>15.226197090404806</v>
      </c>
      <c r="P22" s="4">
        <f t="shared" si="7"/>
        <v>1</v>
      </c>
      <c r="Q22" s="198">
        <f t="shared" ref="Q22:Q30" si="22">MIN(R22/P22,(H22-F22)/(M22-F22))</f>
        <v>0.7432432432432432</v>
      </c>
      <c r="R22" s="199">
        <f t="shared" ref="R22:R49" si="23">(M22-J22)/(M22-F22)</f>
        <v>0.7432432432432432</v>
      </c>
      <c r="S22" s="198">
        <f t="shared" si="10"/>
        <v>0.84395127271364345</v>
      </c>
      <c r="T22" s="200">
        <f t="shared" si="14"/>
        <v>0.84395127271364345</v>
      </c>
      <c r="U22" s="108">
        <f t="shared" ref="U22:U50" si="24">(G22-G21)*(M22-F22)*365</f>
        <v>13.874999999999998</v>
      </c>
      <c r="V22" s="108">
        <f>(G22-G21)*(N22-F22)*365</f>
        <v>10.3125</v>
      </c>
      <c r="W22" s="203">
        <f>(G22-G21)*(M22-I22)*365</f>
        <v>10.3125</v>
      </c>
      <c r="Y22" s="5">
        <f t="shared" si="11"/>
        <v>13.958249999999996</v>
      </c>
      <c r="Z22" s="5">
        <f t="shared" si="12"/>
        <v>10.374374999999999</v>
      </c>
    </row>
    <row r="23" spans="1:26" ht="14" thickBot="1" x14ac:dyDescent="0.2">
      <c r="F23" s="194">
        <v>-15</v>
      </c>
      <c r="G23" s="559">
        <f>Säädata_ENT!Z29</f>
        <v>4.7945205479452057E-3</v>
      </c>
      <c r="H23" s="194">
        <f t="shared" si="18"/>
        <v>21</v>
      </c>
      <c r="I23" s="195">
        <f t="shared" si="21"/>
        <v>-6.5</v>
      </c>
      <c r="J23" s="196">
        <f t="shared" si="2"/>
        <v>-6.5</v>
      </c>
      <c r="K23" s="196">
        <f t="shared" si="19"/>
        <v>-6.5</v>
      </c>
      <c r="L23" s="196">
        <f t="shared" si="20"/>
        <v>-9.3822458176911638</v>
      </c>
      <c r="M23" s="182">
        <f t="shared" si="5"/>
        <v>21</v>
      </c>
      <c r="N23" s="196">
        <f t="shared" si="13"/>
        <v>12.5</v>
      </c>
      <c r="O23" s="197">
        <f t="shared" si="6"/>
        <v>15.382245817691164</v>
      </c>
      <c r="P23" s="4">
        <f t="shared" si="7"/>
        <v>1</v>
      </c>
      <c r="Q23" s="198">
        <f t="shared" si="22"/>
        <v>0.76388888888888884</v>
      </c>
      <c r="R23" s="199">
        <f t="shared" si="23"/>
        <v>0.76388888888888884</v>
      </c>
      <c r="S23" s="198">
        <f t="shared" si="10"/>
        <v>0.84395127271364345</v>
      </c>
      <c r="T23" s="200">
        <f t="shared" si="14"/>
        <v>0.84395127271364345</v>
      </c>
      <c r="U23" s="108">
        <f t="shared" si="24"/>
        <v>46.500000000000014</v>
      </c>
      <c r="V23" s="108">
        <f t="shared" si="16"/>
        <v>35.520833333333343</v>
      </c>
      <c r="W23" s="203">
        <f t="shared" si="17"/>
        <v>35.520833333333343</v>
      </c>
      <c r="Y23" s="5">
        <f t="shared" si="11"/>
        <v>46.779000000000011</v>
      </c>
      <c r="Z23" s="5">
        <f t="shared" si="12"/>
        <v>35.733958333333334</v>
      </c>
    </row>
    <row r="24" spans="1:26" ht="14" thickBot="1" x14ac:dyDescent="0.2">
      <c r="B24" s="210" t="s">
        <v>269</v>
      </c>
      <c r="C24" s="211"/>
      <c r="D24" s="212">
        <f>MIN(V4*C18/U4,1)</f>
        <v>0.8418623578166039</v>
      </c>
      <c r="F24" s="194">
        <v>-14</v>
      </c>
      <c r="G24" s="559">
        <f>Säädata_ENT!Z30</f>
        <v>6.8493150684931503E-3</v>
      </c>
      <c r="H24" s="194">
        <f t="shared" si="18"/>
        <v>21</v>
      </c>
      <c r="I24" s="195">
        <f t="shared" si="21"/>
        <v>-6.5</v>
      </c>
      <c r="J24" s="196">
        <f t="shared" si="2"/>
        <v>-6.5</v>
      </c>
      <c r="K24" s="196">
        <f t="shared" si="19"/>
        <v>-6.5</v>
      </c>
      <c r="L24" s="196">
        <f t="shared" si="20"/>
        <v>-8.5382945449775214</v>
      </c>
      <c r="M24" s="182">
        <f t="shared" si="5"/>
        <v>21</v>
      </c>
      <c r="N24" s="196">
        <f t="shared" si="13"/>
        <v>13.5</v>
      </c>
      <c r="O24" s="197">
        <f t="shared" si="6"/>
        <v>15.538294544977521</v>
      </c>
      <c r="P24" s="4">
        <f t="shared" si="7"/>
        <v>1</v>
      </c>
      <c r="Q24" s="198">
        <f t="shared" si="22"/>
        <v>0.7857142857142857</v>
      </c>
      <c r="R24" s="199">
        <f t="shared" si="23"/>
        <v>0.7857142857142857</v>
      </c>
      <c r="S24" s="198">
        <f t="shared" si="10"/>
        <v>0.84395127271364345</v>
      </c>
      <c r="T24" s="200">
        <f t="shared" si="14"/>
        <v>0.84395127271364345</v>
      </c>
      <c r="U24" s="108">
        <f>(G24-G23)*(M24-F24)*365</f>
        <v>26.249999999999993</v>
      </c>
      <c r="V24" s="108">
        <f t="shared" si="16"/>
        <v>20.624999999999993</v>
      </c>
      <c r="W24" s="203">
        <f t="shared" si="17"/>
        <v>20.624999999999993</v>
      </c>
      <c r="Y24" s="5">
        <f t="shared" si="11"/>
        <v>26.407499999999992</v>
      </c>
      <c r="Z24" s="5">
        <f t="shared" si="12"/>
        <v>20.748749999999994</v>
      </c>
    </row>
    <row r="25" spans="1:26" x14ac:dyDescent="0.15">
      <c r="F25" s="194">
        <v>-13</v>
      </c>
      <c r="G25" s="559">
        <f>Säädata_ENT!Z31</f>
        <v>1.2557077625570776E-2</v>
      </c>
      <c r="H25" s="194">
        <f t="shared" si="18"/>
        <v>21</v>
      </c>
      <c r="I25" s="195">
        <f t="shared" si="21"/>
        <v>-6.5</v>
      </c>
      <c r="J25" s="196">
        <f t="shared" si="2"/>
        <v>-6.5</v>
      </c>
      <c r="K25" s="196">
        <f t="shared" si="19"/>
        <v>-6.5</v>
      </c>
      <c r="L25" s="196">
        <f t="shared" si="20"/>
        <v>-7.6943432722638789</v>
      </c>
      <c r="M25" s="182">
        <f t="shared" si="5"/>
        <v>21</v>
      </c>
      <c r="N25" s="196">
        <f t="shared" si="13"/>
        <v>14.5</v>
      </c>
      <c r="O25" s="197">
        <f t="shared" si="6"/>
        <v>15.694343272263879</v>
      </c>
      <c r="P25" s="4">
        <f t="shared" si="7"/>
        <v>1</v>
      </c>
      <c r="Q25" s="198">
        <f t="shared" si="22"/>
        <v>0.80882352941176472</v>
      </c>
      <c r="R25" s="199">
        <f t="shared" si="23"/>
        <v>0.80882352941176472</v>
      </c>
      <c r="S25" s="198">
        <f t="shared" si="10"/>
        <v>0.84395127271364345</v>
      </c>
      <c r="T25" s="200">
        <f t="shared" si="14"/>
        <v>0.84395127271364345</v>
      </c>
      <c r="U25" s="108">
        <f t="shared" si="24"/>
        <v>70.833333333333329</v>
      </c>
      <c r="V25" s="108">
        <f t="shared" si="16"/>
        <v>57.291666666666664</v>
      </c>
      <c r="W25" s="203">
        <f t="shared" si="17"/>
        <v>57.291666666666664</v>
      </c>
      <c r="Y25" s="5">
        <f t="shared" si="11"/>
        <v>71.258333333333312</v>
      </c>
      <c r="Z25" s="5">
        <f t="shared" si="12"/>
        <v>57.635416666666664</v>
      </c>
    </row>
    <row r="26" spans="1:26" x14ac:dyDescent="0.15">
      <c r="F26" s="194">
        <v>-12</v>
      </c>
      <c r="G26" s="559">
        <f>Säädata_ENT!Z32</f>
        <v>1.9748858447488585E-2</v>
      </c>
      <c r="H26" s="194">
        <f t="shared" si="18"/>
        <v>21</v>
      </c>
      <c r="I26" s="195">
        <f t="shared" si="21"/>
        <v>-6.5</v>
      </c>
      <c r="J26" s="196">
        <f t="shared" si="2"/>
        <v>-6.5</v>
      </c>
      <c r="K26" s="196">
        <f t="shared" si="19"/>
        <v>-6.5</v>
      </c>
      <c r="L26" s="196">
        <f t="shared" si="20"/>
        <v>-6.8503919995502329</v>
      </c>
      <c r="M26" s="182">
        <f t="shared" si="5"/>
        <v>21</v>
      </c>
      <c r="N26" s="196">
        <f t="shared" si="13"/>
        <v>15.5</v>
      </c>
      <c r="O26" s="197">
        <f t="shared" si="6"/>
        <v>15.850391999550233</v>
      </c>
      <c r="P26" s="4">
        <f t="shared" si="7"/>
        <v>1</v>
      </c>
      <c r="Q26" s="198">
        <f t="shared" si="22"/>
        <v>0.83333333333333337</v>
      </c>
      <c r="R26" s="199">
        <f t="shared" si="23"/>
        <v>0.83333333333333337</v>
      </c>
      <c r="S26" s="198">
        <f t="shared" si="10"/>
        <v>0.84395127271364345</v>
      </c>
      <c r="T26" s="200">
        <f t="shared" si="14"/>
        <v>0.84395127271364345</v>
      </c>
      <c r="U26" s="108">
        <f t="shared" si="24"/>
        <v>86.625000000000028</v>
      </c>
      <c r="V26" s="108">
        <f t="shared" si="16"/>
        <v>72.187500000000014</v>
      </c>
      <c r="W26" s="203">
        <f t="shared" si="17"/>
        <v>72.187500000000014</v>
      </c>
      <c r="Y26" s="5">
        <f t="shared" si="11"/>
        <v>87.144750000000016</v>
      </c>
      <c r="Z26" s="5">
        <f t="shared" si="12"/>
        <v>72.620625000000018</v>
      </c>
    </row>
    <row r="27" spans="1:26" x14ac:dyDescent="0.15">
      <c r="F27" s="194">
        <v>-11</v>
      </c>
      <c r="G27" s="559">
        <f>Säädata_ENT!Z33</f>
        <v>2.9223744292237442E-2</v>
      </c>
      <c r="H27" s="194">
        <f t="shared" si="18"/>
        <v>21</v>
      </c>
      <c r="I27" s="195">
        <f t="shared" si="21"/>
        <v>-6.0064407268365905</v>
      </c>
      <c r="J27" s="196">
        <f t="shared" si="2"/>
        <v>-6.0064407268365905</v>
      </c>
      <c r="K27" s="196">
        <f t="shared" si="19"/>
        <v>-6.0064407268365905</v>
      </c>
      <c r="L27" s="196">
        <f t="shared" si="20"/>
        <v>-6.0064407268365905</v>
      </c>
      <c r="M27" s="182">
        <f t="shared" si="5"/>
        <v>21</v>
      </c>
      <c r="N27" s="196">
        <f t="shared" si="13"/>
        <v>16.00644072683659</v>
      </c>
      <c r="O27" s="197">
        <f t="shared" si="6"/>
        <v>16.00644072683659</v>
      </c>
      <c r="P27" s="4">
        <f t="shared" si="7"/>
        <v>1</v>
      </c>
      <c r="Q27" s="198">
        <f t="shared" si="22"/>
        <v>0.84395127271364345</v>
      </c>
      <c r="R27" s="199">
        <f t="shared" si="23"/>
        <v>0.84395127271364345</v>
      </c>
      <c r="S27" s="198">
        <f t="shared" si="10"/>
        <v>0.84395127271364345</v>
      </c>
      <c r="T27" s="200">
        <f t="shared" si="14"/>
        <v>0.84395127271364345</v>
      </c>
      <c r="U27" s="108">
        <f t="shared" si="24"/>
        <v>110.66666666666664</v>
      </c>
      <c r="V27" s="108">
        <f t="shared" si="16"/>
        <v>93.397274180309864</v>
      </c>
      <c r="W27" s="203">
        <f t="shared" si="17"/>
        <v>93.397274180309864</v>
      </c>
      <c r="Y27" s="5">
        <f t="shared" si="11"/>
        <v>111.33066666666664</v>
      </c>
      <c r="Z27" s="5">
        <f t="shared" si="12"/>
        <v>93.957657825391721</v>
      </c>
    </row>
    <row r="28" spans="1:26" x14ac:dyDescent="0.15">
      <c r="F28" s="194">
        <v>-10</v>
      </c>
      <c r="G28" s="559">
        <f>Säädata_ENT!Z34</f>
        <v>4.029680365296804E-2</v>
      </c>
      <c r="H28" s="194">
        <f t="shared" si="18"/>
        <v>21</v>
      </c>
      <c r="I28" s="195">
        <f t="shared" si="21"/>
        <v>-5.162489454122948</v>
      </c>
      <c r="J28" s="196">
        <f t="shared" si="2"/>
        <v>-5.162489454122948</v>
      </c>
      <c r="K28" s="196">
        <f t="shared" si="19"/>
        <v>-5.162489454122948</v>
      </c>
      <c r="L28" s="196">
        <f t="shared" si="20"/>
        <v>-5.162489454122948</v>
      </c>
      <c r="M28" s="182">
        <f t="shared" si="5"/>
        <v>21</v>
      </c>
      <c r="N28" s="196">
        <f t="shared" si="13"/>
        <v>16.162489454122948</v>
      </c>
      <c r="O28" s="197">
        <f t="shared" si="6"/>
        <v>16.162489454122948</v>
      </c>
      <c r="P28" s="4">
        <f t="shared" si="7"/>
        <v>1</v>
      </c>
      <c r="Q28" s="198">
        <f t="shared" si="22"/>
        <v>0.84395127271364345</v>
      </c>
      <c r="R28" s="199">
        <f t="shared" si="23"/>
        <v>0.84395127271364345</v>
      </c>
      <c r="S28" s="198">
        <f t="shared" si="10"/>
        <v>0.84395127271364345</v>
      </c>
      <c r="T28" s="200">
        <f t="shared" si="14"/>
        <v>0.84395127271364345</v>
      </c>
      <c r="U28" s="108">
        <f t="shared" si="24"/>
        <v>125.29166666666671</v>
      </c>
      <c r="V28" s="108">
        <f t="shared" si="16"/>
        <v>105.74006154374696</v>
      </c>
      <c r="W28" s="203">
        <f t="shared" si="17"/>
        <v>105.74006154374696</v>
      </c>
      <c r="Y28" s="5">
        <f t="shared" si="11"/>
        <v>126.0434166666667</v>
      </c>
      <c r="Z28" s="5">
        <f t="shared" si="12"/>
        <v>106.37450191300944</v>
      </c>
    </row>
    <row r="29" spans="1:26" x14ac:dyDescent="0.15">
      <c r="F29" s="194">
        <v>-9</v>
      </c>
      <c r="G29" s="559">
        <f>Säädata_ENT!Z35</f>
        <v>4.8744292237442921E-2</v>
      </c>
      <c r="H29" s="194">
        <f t="shared" si="18"/>
        <v>21</v>
      </c>
      <c r="I29" s="195">
        <f t="shared" si="21"/>
        <v>-4.318538181409302</v>
      </c>
      <c r="J29" s="196">
        <f t="shared" si="2"/>
        <v>-4.318538181409302</v>
      </c>
      <c r="K29" s="196">
        <f t="shared" si="19"/>
        <v>-4.318538181409302</v>
      </c>
      <c r="L29" s="196">
        <f t="shared" si="20"/>
        <v>-4.318538181409302</v>
      </c>
      <c r="M29" s="182">
        <f t="shared" si="5"/>
        <v>21</v>
      </c>
      <c r="N29" s="196">
        <f>MIN(F29+R29/P29*(M29-F29),H29)</f>
        <v>16.318538181409302</v>
      </c>
      <c r="O29" s="197">
        <f>F29+S29/P29*(M29-F29)</f>
        <v>16.318538181409302</v>
      </c>
      <c r="P29" s="4">
        <f t="shared" si="7"/>
        <v>1</v>
      </c>
      <c r="Q29" s="198">
        <f t="shared" si="22"/>
        <v>0.84395127271364345</v>
      </c>
      <c r="R29" s="199">
        <f t="shared" si="23"/>
        <v>0.84395127271364345</v>
      </c>
      <c r="S29" s="198">
        <f t="shared" si="10"/>
        <v>0.84395127271364345</v>
      </c>
      <c r="T29" s="200">
        <f t="shared" si="14"/>
        <v>0.84395127271364345</v>
      </c>
      <c r="U29" s="108">
        <f t="shared" si="24"/>
        <v>92.499999999999943</v>
      </c>
      <c r="V29" s="108">
        <f t="shared" si="16"/>
        <v>78.065492726011982</v>
      </c>
      <c r="W29" s="203">
        <f t="shared" si="17"/>
        <v>78.065492726011982</v>
      </c>
      <c r="Y29" s="5">
        <f t="shared" si="11"/>
        <v>93.054999999999936</v>
      </c>
      <c r="Z29" s="5">
        <f t="shared" si="12"/>
        <v>78.533885682368066</v>
      </c>
    </row>
    <row r="30" spans="1:26" x14ac:dyDescent="0.15">
      <c r="F30" s="194">
        <v>-8</v>
      </c>
      <c r="G30" s="559">
        <f>Säädata_ENT!Z36</f>
        <v>6.2557077625570778E-2</v>
      </c>
      <c r="H30" s="194">
        <f t="shared" si="18"/>
        <v>21</v>
      </c>
      <c r="I30" s="195">
        <f t="shared" si="21"/>
        <v>-3.4745869086956596</v>
      </c>
      <c r="J30" s="196">
        <f t="shared" si="2"/>
        <v>-3.4745869086956596</v>
      </c>
      <c r="K30" s="196">
        <f t="shared" si="19"/>
        <v>-3.4745869086956596</v>
      </c>
      <c r="L30" s="196">
        <f t="shared" si="20"/>
        <v>-3.4745869086956596</v>
      </c>
      <c r="M30" s="182">
        <f t="shared" si="5"/>
        <v>21</v>
      </c>
      <c r="N30" s="196">
        <f t="shared" si="13"/>
        <v>16.47458690869566</v>
      </c>
      <c r="O30" s="197">
        <f t="shared" ref="O30:O50" si="25">F30+S30/P30*(M30-F30)</f>
        <v>16.47458690869566</v>
      </c>
      <c r="P30" s="4">
        <f t="shared" si="7"/>
        <v>1</v>
      </c>
      <c r="Q30" s="198">
        <f t="shared" si="22"/>
        <v>0.84395127271364345</v>
      </c>
      <c r="R30" s="199">
        <f t="shared" si="23"/>
        <v>0.84395127271364345</v>
      </c>
      <c r="S30" s="198">
        <f t="shared" si="10"/>
        <v>0.84395127271364345</v>
      </c>
      <c r="T30" s="200">
        <f t="shared" si="14"/>
        <v>0.84395127271364345</v>
      </c>
      <c r="U30" s="108">
        <f t="shared" si="24"/>
        <v>146.20833333333337</v>
      </c>
      <c r="V30" s="108">
        <f t="shared" si="16"/>
        <v>123.39270899800731</v>
      </c>
      <c r="W30" s="203">
        <f t="shared" si="17"/>
        <v>123.39270899800731</v>
      </c>
      <c r="Y30" s="5">
        <f t="shared" si="11"/>
        <v>147.08558333333337</v>
      </c>
      <c r="Z30" s="5">
        <f t="shared" si="12"/>
        <v>124.13306525199538</v>
      </c>
    </row>
    <row r="31" spans="1:26" x14ac:dyDescent="0.15">
      <c r="B31" s="23" t="s">
        <v>1291</v>
      </c>
      <c r="C31" s="22"/>
      <c r="D31" s="21"/>
      <c r="F31" s="194">
        <v>-7</v>
      </c>
      <c r="G31" s="559">
        <f>Säädata_ENT!Z37</f>
        <v>8.4474885844748854E-2</v>
      </c>
      <c r="H31" s="194">
        <f t="shared" si="18"/>
        <v>21</v>
      </c>
      <c r="I31" s="195">
        <f t="shared" si="21"/>
        <v>-2.6306356359820171</v>
      </c>
      <c r="J31" s="196">
        <f t="shared" si="2"/>
        <v>-2.6306356359820171</v>
      </c>
      <c r="K31" s="196">
        <f t="shared" si="19"/>
        <v>-2.6306356359820171</v>
      </c>
      <c r="L31" s="196">
        <f t="shared" si="20"/>
        <v>-2.6306356359820171</v>
      </c>
      <c r="M31" s="182">
        <f t="shared" si="5"/>
        <v>21</v>
      </c>
      <c r="N31" s="196">
        <f t="shared" si="13"/>
        <v>16.630635635982017</v>
      </c>
      <c r="O31" s="197">
        <f t="shared" si="25"/>
        <v>16.630635635982017</v>
      </c>
      <c r="P31" s="4">
        <f t="shared" si="7"/>
        <v>1</v>
      </c>
      <c r="Q31" s="198">
        <f>MIN(R31/P31,(H31-F31)/(M31-F31))</f>
        <v>0.84395127271364345</v>
      </c>
      <c r="R31" s="199">
        <f t="shared" si="23"/>
        <v>0.84395127271364345</v>
      </c>
      <c r="S31" s="198">
        <f t="shared" si="10"/>
        <v>0.84395127271364345</v>
      </c>
      <c r="T31" s="200">
        <f t="shared" si="14"/>
        <v>0.84395127271364345</v>
      </c>
      <c r="U31" s="108">
        <f t="shared" si="24"/>
        <v>223.99999999999994</v>
      </c>
      <c r="V31" s="108">
        <f t="shared" si="16"/>
        <v>189.04508508785611</v>
      </c>
      <c r="W31" s="203">
        <f t="shared" si="17"/>
        <v>189.04508508785611</v>
      </c>
      <c r="Y31" s="5">
        <f t="shared" si="11"/>
        <v>225.34399999999988</v>
      </c>
      <c r="Z31" s="5">
        <f t="shared" si="12"/>
        <v>190.17935559838321</v>
      </c>
    </row>
    <row r="32" spans="1:26" x14ac:dyDescent="0.15">
      <c r="B32" s="12" t="str" cm="1">
        <f t="array" ref="B32">INDEX(Kirjasto_ENT!D4:K200,148,Kirjasto_ENT!B4)</f>
        <v>No limitation</v>
      </c>
      <c r="D32" s="24"/>
      <c r="F32" s="194">
        <v>-6</v>
      </c>
      <c r="G32" s="559">
        <f>Säädata_ENT!Z38</f>
        <v>0.10616438356164383</v>
      </c>
      <c r="H32" s="194">
        <f t="shared" si="18"/>
        <v>21</v>
      </c>
      <c r="I32" s="195">
        <f t="shared" si="21"/>
        <v>-1.7866843632683747</v>
      </c>
      <c r="J32" s="196">
        <f t="shared" si="2"/>
        <v>-1.7866843632683747</v>
      </c>
      <c r="K32" s="196">
        <f t="shared" si="19"/>
        <v>-1.7866843632683747</v>
      </c>
      <c r="L32" s="196">
        <f t="shared" si="20"/>
        <v>-1.7866843632683747</v>
      </c>
      <c r="M32" s="182">
        <f t="shared" si="5"/>
        <v>21</v>
      </c>
      <c r="N32" s="196">
        <f t="shared" si="13"/>
        <v>16.786684363268375</v>
      </c>
      <c r="O32" s="197">
        <f t="shared" si="25"/>
        <v>16.786684363268375</v>
      </c>
      <c r="P32" s="4">
        <f t="shared" si="7"/>
        <v>1</v>
      </c>
      <c r="Q32" s="198">
        <f t="shared" ref="Q32:Q34" si="26">MIN(R32/P32,(H32-F32)/(M32-F32))</f>
        <v>0.84395127271364345</v>
      </c>
      <c r="R32" s="199">
        <f t="shared" si="23"/>
        <v>0.84395127271364345</v>
      </c>
      <c r="S32" s="198">
        <f t="shared" si="10"/>
        <v>0.84395127271364345</v>
      </c>
      <c r="T32" s="200">
        <f t="shared" si="14"/>
        <v>0.84395127271364345</v>
      </c>
      <c r="U32" s="108">
        <f t="shared" si="24"/>
        <v>213.75</v>
      </c>
      <c r="V32" s="108">
        <f t="shared" si="16"/>
        <v>180.39458454254128</v>
      </c>
      <c r="W32" s="203">
        <f t="shared" si="17"/>
        <v>180.39458454254128</v>
      </c>
      <c r="Y32" s="5">
        <f t="shared" si="11"/>
        <v>215.0325</v>
      </c>
      <c r="Z32" s="5">
        <f t="shared" si="12"/>
        <v>181.47695204979652</v>
      </c>
    </row>
    <row r="33" spans="2:26" x14ac:dyDescent="0.15">
      <c r="B33" s="12" t="str" cm="1">
        <f t="array" ref="B33">INDEX(Kirjasto_ENT!D4:K200,147,Kirjasto_ENT!B4)</f>
        <v>Limited</v>
      </c>
      <c r="D33" s="24"/>
      <c r="F33" s="194">
        <v>-5</v>
      </c>
      <c r="G33" s="559">
        <f>Säädata_ENT!Z39</f>
        <v>0.13070776255707764</v>
      </c>
      <c r="H33" s="194">
        <f t="shared" si="18"/>
        <v>21</v>
      </c>
      <c r="I33" s="195">
        <f t="shared" si="21"/>
        <v>-0.94273309055472865</v>
      </c>
      <c r="J33" s="196">
        <f t="shared" si="2"/>
        <v>-0.94273309055472865</v>
      </c>
      <c r="K33" s="196">
        <f t="shared" si="19"/>
        <v>-0.94273309055472865</v>
      </c>
      <c r="L33" s="196">
        <f t="shared" si="20"/>
        <v>-0.94273309055472865</v>
      </c>
      <c r="M33" s="182">
        <f t="shared" si="5"/>
        <v>21</v>
      </c>
      <c r="N33" s="196">
        <f t="shared" si="13"/>
        <v>16.942733090554729</v>
      </c>
      <c r="O33" s="197">
        <f t="shared" si="25"/>
        <v>16.942733090554729</v>
      </c>
      <c r="P33" s="4">
        <f t="shared" si="7"/>
        <v>1</v>
      </c>
      <c r="Q33" s="198">
        <f t="shared" si="26"/>
        <v>0.84395127271364345</v>
      </c>
      <c r="R33" s="199">
        <f t="shared" si="23"/>
        <v>0.84395127271364345</v>
      </c>
      <c r="S33" s="198">
        <f t="shared" si="10"/>
        <v>0.84395127271364345</v>
      </c>
      <c r="T33" s="200">
        <f t="shared" si="14"/>
        <v>0.84395127271364345</v>
      </c>
      <c r="U33" s="108">
        <f t="shared" si="24"/>
        <v>232.91666666666683</v>
      </c>
      <c r="V33" s="108">
        <f t="shared" si="16"/>
        <v>196.57031726955293</v>
      </c>
      <c r="W33" s="203">
        <f t="shared" si="17"/>
        <v>196.57031726955293</v>
      </c>
      <c r="Y33" s="5">
        <f t="shared" si="11"/>
        <v>234.31416666666686</v>
      </c>
      <c r="Z33" s="5">
        <f t="shared" si="12"/>
        <v>197.74973917317021</v>
      </c>
    </row>
    <row r="34" spans="2:26" x14ac:dyDescent="0.15">
      <c r="B34" s="12" t="s">
        <v>21</v>
      </c>
      <c r="C34" s="95">
        <v>1</v>
      </c>
      <c r="D34" s="24"/>
      <c r="F34" s="194">
        <v>-4</v>
      </c>
      <c r="G34" s="559">
        <f>Säädata_ENT!Z40</f>
        <v>0.14771689497716894</v>
      </c>
      <c r="H34" s="194">
        <f t="shared" si="18"/>
        <v>21</v>
      </c>
      <c r="I34" s="195">
        <f t="shared" si="21"/>
        <v>-9.8781817841086195E-2</v>
      </c>
      <c r="J34" s="196">
        <f t="shared" si="2"/>
        <v>-9.8781817841086195E-2</v>
      </c>
      <c r="K34" s="196">
        <f t="shared" si="19"/>
        <v>-9.8781817841086195E-2</v>
      </c>
      <c r="L34" s="196">
        <f t="shared" si="20"/>
        <v>-9.8781817841086195E-2</v>
      </c>
      <c r="M34" s="182">
        <f t="shared" si="5"/>
        <v>21</v>
      </c>
      <c r="N34" s="196">
        <f t="shared" si="13"/>
        <v>17.098781817841086</v>
      </c>
      <c r="O34" s="197">
        <f t="shared" si="25"/>
        <v>17.098781817841086</v>
      </c>
      <c r="P34" s="4">
        <f t="shared" si="7"/>
        <v>1</v>
      </c>
      <c r="Q34" s="198">
        <f t="shared" si="26"/>
        <v>0.84395127271364345</v>
      </c>
      <c r="R34" s="199">
        <f t="shared" si="23"/>
        <v>0.84395127271364345</v>
      </c>
      <c r="S34" s="198">
        <f t="shared" si="10"/>
        <v>0.84395127271364345</v>
      </c>
      <c r="T34" s="200">
        <f t="shared" si="14"/>
        <v>0.84395127271364345</v>
      </c>
      <c r="U34" s="108">
        <f t="shared" si="24"/>
        <v>155.20833333333314</v>
      </c>
      <c r="V34" s="108">
        <f t="shared" si="16"/>
        <v>130.98827045242993</v>
      </c>
      <c r="W34" s="203">
        <f t="shared" si="17"/>
        <v>130.98827045242993</v>
      </c>
      <c r="Y34" s="5">
        <f t="shared" si="11"/>
        <v>156.13958333333315</v>
      </c>
      <c r="Z34" s="5">
        <f t="shared" si="12"/>
        <v>131.77420007514451</v>
      </c>
    </row>
    <row r="35" spans="2:26" x14ac:dyDescent="0.15">
      <c r="B35" s="12"/>
      <c r="C35" s="628" t="str" cm="1">
        <f t="array" ref="C35">INDEX(B32:B33,C34)</f>
        <v>No limitation</v>
      </c>
      <c r="D35" s="24"/>
      <c r="F35" s="194">
        <v>-3</v>
      </c>
      <c r="G35" s="559">
        <f>Säädata_ENT!Z41</f>
        <v>0.17340182648401825</v>
      </c>
      <c r="H35" s="194">
        <f t="shared" si="18"/>
        <v>21</v>
      </c>
      <c r="I35" s="195">
        <f t="shared" si="21"/>
        <v>0.74516945487255626</v>
      </c>
      <c r="J35" s="196">
        <f t="shared" si="2"/>
        <v>0.74516945487255626</v>
      </c>
      <c r="K35" s="196">
        <f t="shared" si="19"/>
        <v>0.74516945487255626</v>
      </c>
      <c r="L35" s="196">
        <f t="shared" si="20"/>
        <v>0.74516945487255626</v>
      </c>
      <c r="M35" s="182">
        <f t="shared" si="5"/>
        <v>21</v>
      </c>
      <c r="N35" s="196">
        <f t="shared" si="13"/>
        <v>17.254830545127444</v>
      </c>
      <c r="O35" s="197">
        <f t="shared" si="25"/>
        <v>17.254830545127444</v>
      </c>
      <c r="P35" s="4">
        <f t="shared" si="7"/>
        <v>1</v>
      </c>
      <c r="Q35" s="198">
        <f>MIN(R35/P35,(H35-F35)/(M35-F35))</f>
        <v>0.84395127271364345</v>
      </c>
      <c r="R35" s="199">
        <f t="shared" si="23"/>
        <v>0.84395127271364345</v>
      </c>
      <c r="S35" s="198">
        <f t="shared" si="10"/>
        <v>0.84395127271364345</v>
      </c>
      <c r="T35" s="200">
        <f t="shared" si="14"/>
        <v>0.84395127271364345</v>
      </c>
      <c r="U35" s="108">
        <f t="shared" si="24"/>
        <v>224.99999999999991</v>
      </c>
      <c r="V35" s="108">
        <f t="shared" si="16"/>
        <v>189.88903636056972</v>
      </c>
      <c r="W35" s="203">
        <f t="shared" si="17"/>
        <v>189.88903636056972</v>
      </c>
      <c r="Y35" s="5">
        <f t="shared" si="11"/>
        <v>226.34999999999991</v>
      </c>
      <c r="Z35" s="5">
        <f t="shared" si="12"/>
        <v>191.02837057873313</v>
      </c>
    </row>
    <row r="36" spans="2:26" x14ac:dyDescent="0.15">
      <c r="B36" s="12"/>
      <c r="D36" s="24"/>
      <c r="F36" s="194">
        <v>-2</v>
      </c>
      <c r="G36" s="559">
        <f>Säädata_ENT!Z42</f>
        <v>0.20468036529680364</v>
      </c>
      <c r="H36" s="194">
        <f t="shared" si="18"/>
        <v>21</v>
      </c>
      <c r="I36" s="195">
        <f t="shared" si="21"/>
        <v>1.5891207275862023</v>
      </c>
      <c r="J36" s="196">
        <f t="shared" si="2"/>
        <v>1.5891207275862023</v>
      </c>
      <c r="K36" s="196">
        <f t="shared" si="19"/>
        <v>1.5891207275862023</v>
      </c>
      <c r="L36" s="196">
        <f t="shared" si="20"/>
        <v>1.5891207275862023</v>
      </c>
      <c r="M36" s="182">
        <f t="shared" si="5"/>
        <v>21</v>
      </c>
      <c r="N36" s="196">
        <f t="shared" si="13"/>
        <v>17.410879272413798</v>
      </c>
      <c r="O36" s="197">
        <f t="shared" si="25"/>
        <v>17.410879272413798</v>
      </c>
      <c r="P36" s="4">
        <f t="shared" si="7"/>
        <v>1</v>
      </c>
      <c r="Q36" s="198">
        <f t="shared" ref="Q36:Q50" si="27">MIN(R36/P36,(H36-F36)/(M36-F36))</f>
        <v>0.84395127271364334</v>
      </c>
      <c r="R36" s="199">
        <f t="shared" si="23"/>
        <v>0.84395127271364334</v>
      </c>
      <c r="S36" s="198">
        <f t="shared" si="10"/>
        <v>0.84395127271364345</v>
      </c>
      <c r="T36" s="200">
        <f t="shared" si="14"/>
        <v>0.84395127271364345</v>
      </c>
      <c r="U36" s="108">
        <f t="shared" si="24"/>
        <v>262.58333333333331</v>
      </c>
      <c r="V36" s="108">
        <f t="shared" si="16"/>
        <v>221.6075383600575</v>
      </c>
      <c r="W36" s="203">
        <f t="shared" si="17"/>
        <v>221.6075383600575</v>
      </c>
      <c r="Y36" s="5">
        <f t="shared" si="11"/>
        <v>264.15883333333329</v>
      </c>
      <c r="Z36" s="5">
        <f t="shared" si="12"/>
        <v>222.93718359021784</v>
      </c>
    </row>
    <row r="37" spans="2:26" x14ac:dyDescent="0.15">
      <c r="B37" s="12" t="s">
        <v>1284</v>
      </c>
      <c r="C37" t="b">
        <f>IF(C34=2,TRUE,FALSE)</f>
        <v>0</v>
      </c>
      <c r="D37" s="24"/>
      <c r="F37" s="194">
        <v>-1</v>
      </c>
      <c r="G37" s="559">
        <f>Säädata_ENT!Z43</f>
        <v>0.23184931506849316</v>
      </c>
      <c r="H37" s="194">
        <f t="shared" si="18"/>
        <v>21</v>
      </c>
      <c r="I37" s="195">
        <f t="shared" si="21"/>
        <v>2.4330720002998447</v>
      </c>
      <c r="J37" s="196">
        <f t="shared" si="2"/>
        <v>2.4330720002998447</v>
      </c>
      <c r="K37" s="196">
        <f t="shared" si="19"/>
        <v>2.4330720002998447</v>
      </c>
      <c r="L37" s="196">
        <f t="shared" si="20"/>
        <v>2.4330720002998447</v>
      </c>
      <c r="M37" s="182">
        <f t="shared" si="5"/>
        <v>21</v>
      </c>
      <c r="N37" s="196">
        <f t="shared" si="13"/>
        <v>17.566927999700155</v>
      </c>
      <c r="O37" s="197">
        <f t="shared" si="25"/>
        <v>17.566927999700155</v>
      </c>
      <c r="P37" s="4">
        <f t="shared" si="7"/>
        <v>1</v>
      </c>
      <c r="Q37" s="198">
        <f t="shared" si="27"/>
        <v>0.84395127271364345</v>
      </c>
      <c r="R37" s="199">
        <f t="shared" si="23"/>
        <v>0.84395127271364345</v>
      </c>
      <c r="S37" s="198">
        <f t="shared" si="10"/>
        <v>0.84395127271364345</v>
      </c>
      <c r="T37" s="200">
        <f t="shared" si="14"/>
        <v>0.84395127271364345</v>
      </c>
      <c r="U37" s="108">
        <f t="shared" si="24"/>
        <v>218.16666666666683</v>
      </c>
      <c r="V37" s="108">
        <f t="shared" si="16"/>
        <v>184.12203599702667</v>
      </c>
      <c r="W37" s="203">
        <f t="shared" si="17"/>
        <v>184.12203599702667</v>
      </c>
      <c r="Y37" s="5">
        <f t="shared" si="11"/>
        <v>219.4756666666668</v>
      </c>
      <c r="Z37" s="5">
        <f t="shared" si="12"/>
        <v>185.22676821300882</v>
      </c>
    </row>
    <row r="38" spans="2:26" x14ac:dyDescent="0.15">
      <c r="B38" s="12" t="s">
        <v>1292</v>
      </c>
      <c r="C38" t="b">
        <f>IF(C37,FALSE,TRUE)</f>
        <v>1</v>
      </c>
      <c r="D38" s="24"/>
      <c r="F38" s="194">
        <v>0</v>
      </c>
      <c r="G38" s="559">
        <f>Säädata_ENT!Z44</f>
        <v>0.27363013698630134</v>
      </c>
      <c r="H38" s="194">
        <f t="shared" si="18"/>
        <v>21</v>
      </c>
      <c r="I38" s="195">
        <f t="shared" si="21"/>
        <v>3.2770232730134872</v>
      </c>
      <c r="J38" s="196">
        <f t="shared" si="2"/>
        <v>3.2770232730134872</v>
      </c>
      <c r="K38" s="196">
        <f t="shared" si="19"/>
        <v>3.2770232730134872</v>
      </c>
      <c r="L38" s="196">
        <f t="shared" si="20"/>
        <v>3.2770232730134872</v>
      </c>
      <c r="M38" s="182">
        <f t="shared" si="5"/>
        <v>21</v>
      </c>
      <c r="N38" s="196">
        <f t="shared" si="13"/>
        <v>17.722976726986513</v>
      </c>
      <c r="O38" s="197">
        <f t="shared" si="25"/>
        <v>17.722976726986513</v>
      </c>
      <c r="P38" s="4">
        <f t="shared" si="7"/>
        <v>1</v>
      </c>
      <c r="Q38" s="198">
        <f t="shared" si="27"/>
        <v>0.84395127271364345</v>
      </c>
      <c r="R38" s="199">
        <f t="shared" si="23"/>
        <v>0.84395127271364345</v>
      </c>
      <c r="S38" s="198">
        <f t="shared" si="10"/>
        <v>0.84395127271364345</v>
      </c>
      <c r="T38" s="200">
        <f t="shared" si="14"/>
        <v>0.84395127271364345</v>
      </c>
      <c r="U38" s="108">
        <f t="shared" si="24"/>
        <v>320.24999999999977</v>
      </c>
      <c r="V38" s="108">
        <f t="shared" si="16"/>
        <v>270.27539508654411</v>
      </c>
      <c r="W38" s="203">
        <f t="shared" si="17"/>
        <v>270.27539508654411</v>
      </c>
      <c r="Y38" s="5">
        <f t="shared" si="11"/>
        <v>322.17149999999975</v>
      </c>
      <c r="Z38" s="5">
        <f t="shared" si="12"/>
        <v>271.89704745706337</v>
      </c>
    </row>
    <row r="39" spans="2:26" x14ac:dyDescent="0.15">
      <c r="B39" s="12"/>
      <c r="D39" s="24"/>
      <c r="F39" s="194">
        <v>1</v>
      </c>
      <c r="G39" s="559">
        <f>Säädata_ENT!Z45</f>
        <v>0.30490867579908676</v>
      </c>
      <c r="H39" s="194">
        <f t="shared" si="18"/>
        <v>21</v>
      </c>
      <c r="I39" s="195">
        <f t="shared" si="21"/>
        <v>4.1209745457271296</v>
      </c>
      <c r="J39" s="196">
        <f t="shared" si="2"/>
        <v>4.1209745457271296</v>
      </c>
      <c r="K39" s="196">
        <f t="shared" si="19"/>
        <v>4.1209745457271296</v>
      </c>
      <c r="L39" s="196">
        <f t="shared" si="20"/>
        <v>4.1209745457271296</v>
      </c>
      <c r="M39" s="182">
        <f t="shared" si="5"/>
        <v>21</v>
      </c>
      <c r="N39" s="196">
        <f t="shared" si="13"/>
        <v>17.87902545427287</v>
      </c>
      <c r="O39" s="197">
        <f t="shared" si="25"/>
        <v>17.87902545427287</v>
      </c>
      <c r="P39" s="4">
        <f t="shared" si="7"/>
        <v>1</v>
      </c>
      <c r="Q39" s="198">
        <f t="shared" si="27"/>
        <v>0.84395127271364356</v>
      </c>
      <c r="R39" s="199">
        <f t="shared" si="23"/>
        <v>0.84395127271364356</v>
      </c>
      <c r="S39" s="198">
        <f t="shared" si="10"/>
        <v>0.84395127271364345</v>
      </c>
      <c r="T39" s="200">
        <f t="shared" si="14"/>
        <v>0.84395127271364345</v>
      </c>
      <c r="U39" s="108">
        <f t="shared" si="24"/>
        <v>228.33333333333354</v>
      </c>
      <c r="V39" s="108">
        <f t="shared" si="16"/>
        <v>192.70220726961546</v>
      </c>
      <c r="W39" s="203">
        <f t="shared" si="17"/>
        <v>192.70220726961546</v>
      </c>
      <c r="Y39" s="5">
        <f t="shared" si="11"/>
        <v>229.70333333333352</v>
      </c>
      <c r="Z39" s="5">
        <f t="shared" si="12"/>
        <v>193.85842051323311</v>
      </c>
    </row>
    <row r="40" spans="2:26" x14ac:dyDescent="0.15">
      <c r="B40" s="12" t="s">
        <v>228</v>
      </c>
      <c r="C40" s="5">
        <f>'R-series ENT'!T26</f>
        <v>21</v>
      </c>
      <c r="D40" s="24"/>
      <c r="F40" s="194">
        <v>2</v>
      </c>
      <c r="G40" s="559">
        <f>Säädata_ENT!Z46</f>
        <v>0.36506849315068496</v>
      </c>
      <c r="H40" s="194">
        <f t="shared" si="18"/>
        <v>21</v>
      </c>
      <c r="I40" s="195">
        <f t="shared" si="21"/>
        <v>4.9649258184407756</v>
      </c>
      <c r="J40" s="196">
        <f t="shared" si="2"/>
        <v>4.9649258184407756</v>
      </c>
      <c r="K40" s="196">
        <f t="shared" si="19"/>
        <v>4.9649258184407756</v>
      </c>
      <c r="L40" s="196">
        <f t="shared" si="20"/>
        <v>4.9649258184407756</v>
      </c>
      <c r="M40" s="182">
        <f t="shared" si="5"/>
        <v>21</v>
      </c>
      <c r="N40" s="196">
        <f t="shared" si="13"/>
        <v>18.035074181559224</v>
      </c>
      <c r="O40" s="197">
        <f t="shared" si="25"/>
        <v>18.035074181559224</v>
      </c>
      <c r="P40" s="4">
        <f t="shared" si="7"/>
        <v>1</v>
      </c>
      <c r="Q40" s="198">
        <f>MIN(R40/P40,(H40-F40)/(M40-F40))</f>
        <v>0.84395127271364334</v>
      </c>
      <c r="R40" s="199">
        <f t="shared" si="23"/>
        <v>0.84395127271364334</v>
      </c>
      <c r="S40" s="198">
        <f t="shared" si="10"/>
        <v>0.84395127271364345</v>
      </c>
      <c r="T40" s="200">
        <f t="shared" si="14"/>
        <v>0.84395127271364345</v>
      </c>
      <c r="U40" s="108">
        <f t="shared" si="24"/>
        <v>417.20833333333348</v>
      </c>
      <c r="V40" s="108">
        <f t="shared" si="16"/>
        <v>352.10350390340477</v>
      </c>
      <c r="W40" s="203">
        <f t="shared" si="17"/>
        <v>352.10350390340477</v>
      </c>
      <c r="Y40" s="5">
        <f t="shared" si="11"/>
        <v>419.71158333333346</v>
      </c>
      <c r="Z40" s="5">
        <f t="shared" si="12"/>
        <v>354.21612492682522</v>
      </c>
    </row>
    <row r="41" spans="2:26" x14ac:dyDescent="0.15">
      <c r="B41" s="12" t="s">
        <v>1290</v>
      </c>
      <c r="C41" s="5">
        <f>'R-series ENT'!T29</f>
        <v>20</v>
      </c>
      <c r="D41" s="24"/>
      <c r="F41" s="194">
        <v>3</v>
      </c>
      <c r="G41" s="559">
        <f>Säädata_ENT!Z47</f>
        <v>0.40559360730593608</v>
      </c>
      <c r="H41" s="194">
        <f t="shared" si="18"/>
        <v>21</v>
      </c>
      <c r="I41" s="195">
        <f t="shared" si="21"/>
        <v>5.8088770911544181</v>
      </c>
      <c r="J41" s="196">
        <f t="shared" si="2"/>
        <v>5.8088770911544181</v>
      </c>
      <c r="K41" s="196">
        <f t="shared" si="19"/>
        <v>5.8088770911544181</v>
      </c>
      <c r="L41" s="196">
        <f t="shared" si="20"/>
        <v>5.8088770911544181</v>
      </c>
      <c r="M41" s="182">
        <f t="shared" si="5"/>
        <v>21</v>
      </c>
      <c r="N41" s="196">
        <f t="shared" si="13"/>
        <v>18.191122908845582</v>
      </c>
      <c r="O41" s="197">
        <f t="shared" si="25"/>
        <v>18.191122908845582</v>
      </c>
      <c r="P41" s="4">
        <f t="shared" si="7"/>
        <v>1</v>
      </c>
      <c r="Q41" s="198">
        <f t="shared" si="27"/>
        <v>0.84395127271364345</v>
      </c>
      <c r="R41" s="199">
        <f t="shared" si="23"/>
        <v>0.84395127271364345</v>
      </c>
      <c r="S41" s="198">
        <f t="shared" si="10"/>
        <v>0.84395127271364345</v>
      </c>
      <c r="T41" s="200">
        <f t="shared" si="14"/>
        <v>0.84395127271364345</v>
      </c>
      <c r="U41" s="108">
        <f t="shared" si="24"/>
        <v>266.24999999999983</v>
      </c>
      <c r="V41" s="108">
        <f t="shared" si="16"/>
        <v>224.70202636000747</v>
      </c>
      <c r="W41" s="203">
        <f t="shared" si="17"/>
        <v>224.70202636000747</v>
      </c>
      <c r="Y41" s="5">
        <f t="shared" si="11"/>
        <v>267.8474999999998</v>
      </c>
      <c r="Z41" s="5">
        <f t="shared" si="12"/>
        <v>226.05023851816748</v>
      </c>
    </row>
    <row r="42" spans="2:26" x14ac:dyDescent="0.15">
      <c r="B42" s="14" t="s">
        <v>1289</v>
      </c>
      <c r="C42" s="617">
        <f>IF(C37,C41,C40)</f>
        <v>21</v>
      </c>
      <c r="D42" s="26"/>
      <c r="F42" s="194">
        <v>4</v>
      </c>
      <c r="G42" s="559">
        <f>Säädata_ENT!Z48</f>
        <v>0.4534246575342466</v>
      </c>
      <c r="H42" s="194">
        <f t="shared" si="18"/>
        <v>21</v>
      </c>
      <c r="I42" s="195">
        <f t="shared" si="21"/>
        <v>6.6528283638680605</v>
      </c>
      <c r="J42" s="196">
        <f t="shared" si="2"/>
        <v>6.6528283638680605</v>
      </c>
      <c r="K42" s="196">
        <f t="shared" si="19"/>
        <v>6.6528283638680605</v>
      </c>
      <c r="L42" s="196">
        <f t="shared" si="20"/>
        <v>6.6528283638680605</v>
      </c>
      <c r="M42" s="182">
        <f t="shared" si="5"/>
        <v>21</v>
      </c>
      <c r="N42" s="196">
        <f t="shared" si="13"/>
        <v>18.347171636131939</v>
      </c>
      <c r="O42" s="197">
        <f t="shared" si="25"/>
        <v>18.347171636131939</v>
      </c>
      <c r="P42" s="4">
        <f t="shared" si="7"/>
        <v>1</v>
      </c>
      <c r="Q42" s="198">
        <f t="shared" si="27"/>
        <v>0.84395127271364345</v>
      </c>
      <c r="R42" s="199">
        <f t="shared" si="23"/>
        <v>0.84395127271364345</v>
      </c>
      <c r="S42" s="198">
        <f t="shared" si="10"/>
        <v>0.84395127271364345</v>
      </c>
      <c r="T42" s="200">
        <f t="shared" si="14"/>
        <v>0.84395127271364345</v>
      </c>
      <c r="U42" s="108">
        <f t="shared" si="24"/>
        <v>296.7916666666668</v>
      </c>
      <c r="V42" s="108">
        <f t="shared" si="16"/>
        <v>250.4777048141369</v>
      </c>
      <c r="W42" s="203">
        <f t="shared" si="17"/>
        <v>250.4777048141369</v>
      </c>
      <c r="Y42" s="5">
        <f t="shared" si="11"/>
        <v>298.57241666666675</v>
      </c>
      <c r="Z42" s="5">
        <f t="shared" si="12"/>
        <v>251.98057104302171</v>
      </c>
    </row>
    <row r="43" spans="2:26" x14ac:dyDescent="0.15">
      <c r="B43" s="12"/>
      <c r="D43" s="24"/>
      <c r="F43" s="194">
        <v>5</v>
      </c>
      <c r="G43" s="559">
        <f>Säädata_ENT!Z49</f>
        <v>0.49874429223744293</v>
      </c>
      <c r="H43" s="194">
        <f t="shared" si="18"/>
        <v>21</v>
      </c>
      <c r="I43" s="195">
        <f t="shared" si="21"/>
        <v>7.4967796365817048</v>
      </c>
      <c r="J43" s="196">
        <f t="shared" si="2"/>
        <v>7.4967796365817048</v>
      </c>
      <c r="K43" s="196">
        <f t="shared" si="19"/>
        <v>7.4967796365817048</v>
      </c>
      <c r="L43" s="196">
        <f t="shared" si="20"/>
        <v>7.4967796365817048</v>
      </c>
      <c r="M43" s="182">
        <f t="shared" si="5"/>
        <v>21</v>
      </c>
      <c r="N43" s="196">
        <f t="shared" si="13"/>
        <v>18.503220363418293</v>
      </c>
      <c r="O43" s="197">
        <f t="shared" si="25"/>
        <v>18.503220363418293</v>
      </c>
      <c r="P43" s="4">
        <f t="shared" si="7"/>
        <v>1</v>
      </c>
      <c r="Q43" s="198">
        <f t="shared" si="27"/>
        <v>0.84395127271364345</v>
      </c>
      <c r="R43" s="199">
        <f t="shared" si="23"/>
        <v>0.84395127271364345</v>
      </c>
      <c r="S43" s="198">
        <f t="shared" si="10"/>
        <v>0.84395127271364345</v>
      </c>
      <c r="T43" s="200">
        <f t="shared" si="14"/>
        <v>0.84395127271364345</v>
      </c>
      <c r="U43" s="108">
        <f t="shared" si="24"/>
        <v>264.66666666666657</v>
      </c>
      <c r="V43" s="108">
        <f t="shared" si="16"/>
        <v>223.36577017821088</v>
      </c>
      <c r="W43" s="203">
        <f t="shared" si="17"/>
        <v>223.36577017821091</v>
      </c>
      <c r="Y43" s="5">
        <f t="shared" si="11"/>
        <v>266.25466666666659</v>
      </c>
      <c r="Z43" s="5">
        <f t="shared" si="12"/>
        <v>224.70596479928014</v>
      </c>
    </row>
    <row r="44" spans="2:26" x14ac:dyDescent="0.15">
      <c r="B44" s="12" t="s">
        <v>1293</v>
      </c>
      <c r="D44" s="24"/>
      <c r="F44" s="194">
        <v>6</v>
      </c>
      <c r="G44" s="559">
        <f>Säädata_ENT!Z50</f>
        <v>0.51609589041095894</v>
      </c>
      <c r="H44" s="194">
        <f t="shared" si="18"/>
        <v>21</v>
      </c>
      <c r="I44" s="195">
        <f t="shared" si="21"/>
        <v>8.340730909295349</v>
      </c>
      <c r="J44" s="196">
        <f t="shared" si="2"/>
        <v>8.340730909295349</v>
      </c>
      <c r="K44" s="196">
        <f t="shared" si="19"/>
        <v>8.340730909295349</v>
      </c>
      <c r="L44" s="196">
        <f t="shared" si="20"/>
        <v>8.340730909295349</v>
      </c>
      <c r="M44" s="182">
        <f t="shared" si="5"/>
        <v>21</v>
      </c>
      <c r="N44" s="196">
        <f t="shared" si="13"/>
        <v>18.659269090704651</v>
      </c>
      <c r="O44" s="197">
        <f t="shared" si="25"/>
        <v>18.659269090704651</v>
      </c>
      <c r="P44" s="4">
        <f t="shared" si="7"/>
        <v>1</v>
      </c>
      <c r="Q44" s="198">
        <f t="shared" si="27"/>
        <v>0.84395127271364345</v>
      </c>
      <c r="R44" s="199">
        <f t="shared" si="23"/>
        <v>0.84395127271364345</v>
      </c>
      <c r="S44" s="198">
        <f t="shared" si="10"/>
        <v>0.84395127271364345</v>
      </c>
      <c r="T44" s="200">
        <f t="shared" si="14"/>
        <v>0.84395127271364345</v>
      </c>
      <c r="U44" s="108">
        <f t="shared" si="24"/>
        <v>95.000000000000114</v>
      </c>
      <c r="V44" s="108">
        <f t="shared" si="16"/>
        <v>80.175370907796221</v>
      </c>
      <c r="W44" s="203">
        <f t="shared" si="17"/>
        <v>80.175370907796221</v>
      </c>
      <c r="Y44" s="5">
        <f t="shared" si="11"/>
        <v>95.570000000000121</v>
      </c>
      <c r="Z44" s="5">
        <f t="shared" si="12"/>
        <v>80.65642313324301</v>
      </c>
    </row>
    <row r="45" spans="2:26" x14ac:dyDescent="0.15">
      <c r="B45" s="12" t="b">
        <f>IF(AND(Kirjasto_ENT!B4=1,C34=1),TRUE,FALSE)</f>
        <v>0</v>
      </c>
      <c r="D45" s="24"/>
      <c r="F45" s="194">
        <v>7</v>
      </c>
      <c r="G45" s="559">
        <f>Säädata_ENT!Z51</f>
        <v>0.5501141552511416</v>
      </c>
      <c r="H45" s="194">
        <f t="shared" si="18"/>
        <v>21</v>
      </c>
      <c r="I45" s="195">
        <f t="shared" si="21"/>
        <v>9.1846821820089914</v>
      </c>
      <c r="J45" s="196">
        <f t="shared" si="2"/>
        <v>9.1846821820089914</v>
      </c>
      <c r="K45" s="196">
        <f t="shared" si="19"/>
        <v>9.1846821820089914</v>
      </c>
      <c r="L45" s="196">
        <f t="shared" si="20"/>
        <v>9.1846821820089914</v>
      </c>
      <c r="M45" s="182">
        <f t="shared" si="5"/>
        <v>21</v>
      </c>
      <c r="N45" s="196">
        <f t="shared" si="13"/>
        <v>18.815317817991009</v>
      </c>
      <c r="O45" s="197">
        <f t="shared" si="25"/>
        <v>18.815317817991009</v>
      </c>
      <c r="P45" s="4">
        <f t="shared" si="7"/>
        <v>1</v>
      </c>
      <c r="Q45" s="198">
        <f t="shared" si="27"/>
        <v>0.84395127271364345</v>
      </c>
      <c r="R45" s="199">
        <f t="shared" si="23"/>
        <v>0.84395127271364345</v>
      </c>
      <c r="S45" s="198">
        <f t="shared" si="10"/>
        <v>0.84395127271364345</v>
      </c>
      <c r="T45" s="200">
        <f t="shared" si="14"/>
        <v>0.84395127271364345</v>
      </c>
      <c r="U45" s="108">
        <f t="shared" si="24"/>
        <v>173.83333333333343</v>
      </c>
      <c r="V45" s="108">
        <f t="shared" si="16"/>
        <v>146.70686290672177</v>
      </c>
      <c r="W45" s="203">
        <f t="shared" si="17"/>
        <v>146.70686290672177</v>
      </c>
      <c r="Y45" s="5">
        <f t="shared" si="11"/>
        <v>174.87633333333341</v>
      </c>
      <c r="Z45" s="5">
        <f t="shared" si="12"/>
        <v>147.58710408416209</v>
      </c>
    </row>
    <row r="46" spans="2:26" x14ac:dyDescent="0.15">
      <c r="B46" s="1818" t="s">
        <v>1294</v>
      </c>
      <c r="C46" s="1819"/>
      <c r="D46" s="1820"/>
      <c r="F46" s="194">
        <v>8</v>
      </c>
      <c r="G46" s="559">
        <f>Säädata_ENT!Z52</f>
        <v>0.58858447488584476</v>
      </c>
      <c r="H46" s="194">
        <f t="shared" si="18"/>
        <v>21</v>
      </c>
      <c r="I46" s="195">
        <f t="shared" si="21"/>
        <v>10.028633454722636</v>
      </c>
      <c r="J46" s="196">
        <f t="shared" si="2"/>
        <v>10.028633454722636</v>
      </c>
      <c r="K46" s="196">
        <f t="shared" si="19"/>
        <v>10.028633454722636</v>
      </c>
      <c r="L46" s="196">
        <f t="shared" si="20"/>
        <v>10.028633454722636</v>
      </c>
      <c r="M46" s="182">
        <f t="shared" si="5"/>
        <v>21</v>
      </c>
      <c r="N46" s="196">
        <f t="shared" si="13"/>
        <v>18.971366545277363</v>
      </c>
      <c r="O46" s="197">
        <f t="shared" si="25"/>
        <v>18.971366545277363</v>
      </c>
      <c r="P46" s="4">
        <f t="shared" si="7"/>
        <v>1</v>
      </c>
      <c r="Q46" s="198">
        <f t="shared" si="27"/>
        <v>0.84395127271364345</v>
      </c>
      <c r="R46" s="199">
        <f t="shared" si="23"/>
        <v>0.84395127271364345</v>
      </c>
      <c r="S46" s="198">
        <f t="shared" si="10"/>
        <v>0.84395127271364345</v>
      </c>
      <c r="T46" s="200">
        <f t="shared" si="14"/>
        <v>0.84395127271364345</v>
      </c>
      <c r="U46" s="108">
        <f t="shared" si="24"/>
        <v>182.54166666666646</v>
      </c>
      <c r="V46" s="108">
        <f t="shared" si="16"/>
        <v>154.05627190660277</v>
      </c>
      <c r="W46" s="203">
        <f t="shared" si="17"/>
        <v>154.05627190660283</v>
      </c>
      <c r="Y46" s="5">
        <f t="shared" si="11"/>
        <v>183.63691666666645</v>
      </c>
      <c r="Z46" s="5">
        <f t="shared" si="12"/>
        <v>154.98060953804242</v>
      </c>
    </row>
    <row r="47" spans="2:26" x14ac:dyDescent="0.15">
      <c r="B47" s="1821"/>
      <c r="C47" s="1719"/>
      <c r="D47" s="1822"/>
      <c r="F47" s="194">
        <v>9</v>
      </c>
      <c r="G47" s="559">
        <f>Säädata_ENT!Z53</f>
        <v>0.6205479452054794</v>
      </c>
      <c r="H47" s="194">
        <f t="shared" si="18"/>
        <v>21</v>
      </c>
      <c r="I47" s="195">
        <f t="shared" si="21"/>
        <v>10.872584727436278</v>
      </c>
      <c r="J47" s="196">
        <f t="shared" si="2"/>
        <v>10.872584727436278</v>
      </c>
      <c r="K47" s="196">
        <f t="shared" si="19"/>
        <v>10.872584727436278</v>
      </c>
      <c r="L47" s="196">
        <f t="shared" si="20"/>
        <v>10.872584727436278</v>
      </c>
      <c r="M47" s="182">
        <f t="shared" si="5"/>
        <v>21</v>
      </c>
      <c r="N47" s="196">
        <f t="shared" si="13"/>
        <v>19.127415272563724</v>
      </c>
      <c r="O47" s="197">
        <f t="shared" si="25"/>
        <v>19.127415272563724</v>
      </c>
      <c r="P47" s="4">
        <f t="shared" si="7"/>
        <v>1</v>
      </c>
      <c r="Q47" s="198">
        <f t="shared" si="27"/>
        <v>0.84395127271364345</v>
      </c>
      <c r="R47" s="199">
        <f t="shared" si="23"/>
        <v>0.84395127271364345</v>
      </c>
      <c r="S47" s="198">
        <f t="shared" si="10"/>
        <v>0.84395127271364345</v>
      </c>
      <c r="T47" s="200">
        <f t="shared" si="14"/>
        <v>0.84395127271364345</v>
      </c>
      <c r="U47" s="108">
        <f t="shared" si="24"/>
        <v>139.99999999999974</v>
      </c>
      <c r="V47" s="108">
        <f t="shared" si="16"/>
        <v>118.1531781799099</v>
      </c>
      <c r="W47" s="203">
        <f t="shared" si="17"/>
        <v>118.15317817990989</v>
      </c>
      <c r="Y47" s="5">
        <f t="shared" si="11"/>
        <v>140.83999999999975</v>
      </c>
      <c r="Z47" s="5">
        <f t="shared" si="12"/>
        <v>118.86209724898933</v>
      </c>
    </row>
    <row r="48" spans="2:26" x14ac:dyDescent="0.15">
      <c r="B48" s="1821"/>
      <c r="C48" s="1719"/>
      <c r="D48" s="1822"/>
      <c r="F48" s="194">
        <v>10</v>
      </c>
      <c r="G48" s="559">
        <f>Säädata_ENT!Z54</f>
        <v>0.65936073059360734</v>
      </c>
      <c r="H48" s="194">
        <f t="shared" si="18"/>
        <v>21</v>
      </c>
      <c r="I48" s="195">
        <f t="shared" si="21"/>
        <v>11.716536000149922</v>
      </c>
      <c r="J48" s="196">
        <f t="shared" si="2"/>
        <v>11.716536000149922</v>
      </c>
      <c r="K48" s="196">
        <f t="shared" si="19"/>
        <v>11.716536000149922</v>
      </c>
      <c r="L48" s="196">
        <f t="shared" si="20"/>
        <v>11.716536000149922</v>
      </c>
      <c r="M48" s="182">
        <f t="shared" si="5"/>
        <v>21</v>
      </c>
      <c r="N48" s="196">
        <f t="shared" si="13"/>
        <v>19.283463999850078</v>
      </c>
      <c r="O48" s="197">
        <f t="shared" si="25"/>
        <v>19.283463999850078</v>
      </c>
      <c r="P48" s="4">
        <f t="shared" si="7"/>
        <v>1</v>
      </c>
      <c r="Q48" s="198">
        <f t="shared" si="27"/>
        <v>0.84395127271364345</v>
      </c>
      <c r="R48" s="199">
        <f t="shared" si="23"/>
        <v>0.84395127271364345</v>
      </c>
      <c r="S48" s="198">
        <f t="shared" si="10"/>
        <v>0.84395127271364345</v>
      </c>
      <c r="T48" s="200">
        <f t="shared" si="14"/>
        <v>0.84395127271364345</v>
      </c>
      <c r="U48" s="108">
        <f t="shared" si="24"/>
        <v>155.83333333333366</v>
      </c>
      <c r="V48" s="108">
        <f t="shared" si="16"/>
        <v>131.51573999787638</v>
      </c>
      <c r="W48" s="203">
        <f t="shared" si="17"/>
        <v>131.51573999787638</v>
      </c>
      <c r="Y48" s="5">
        <f t="shared" si="11"/>
        <v>156.76833333333366</v>
      </c>
      <c r="Z48" s="5">
        <f t="shared" si="12"/>
        <v>132.30483443786363</v>
      </c>
    </row>
    <row r="49" spans="2:26" x14ac:dyDescent="0.15">
      <c r="B49" s="1821"/>
      <c r="C49" s="1719"/>
      <c r="D49" s="1822"/>
      <c r="F49" s="194">
        <v>11</v>
      </c>
      <c r="G49" s="559">
        <f>Säädata_ENT!Z55</f>
        <v>0.68093607305936077</v>
      </c>
      <c r="H49" s="194">
        <f t="shared" si="18"/>
        <v>21</v>
      </c>
      <c r="I49" s="195">
        <f t="shared" si="21"/>
        <v>12.560487272863565</v>
      </c>
      <c r="J49" s="196">
        <f t="shared" si="2"/>
        <v>12.560487272863565</v>
      </c>
      <c r="K49" s="196">
        <f t="shared" si="19"/>
        <v>12.560487272863565</v>
      </c>
      <c r="L49" s="196">
        <f t="shared" si="20"/>
        <v>12.560487272863565</v>
      </c>
      <c r="M49" s="182">
        <f t="shared" si="5"/>
        <v>21</v>
      </c>
      <c r="N49" s="196">
        <f t="shared" si="13"/>
        <v>19.439512727136435</v>
      </c>
      <c r="O49" s="197">
        <f t="shared" si="25"/>
        <v>19.439512727136435</v>
      </c>
      <c r="P49" s="4">
        <f t="shared" si="7"/>
        <v>1</v>
      </c>
      <c r="Q49" s="198">
        <f t="shared" si="27"/>
        <v>0.84395127271364356</v>
      </c>
      <c r="R49" s="199">
        <f t="shared" si="23"/>
        <v>0.84395127271364356</v>
      </c>
      <c r="S49" s="198">
        <f t="shared" si="10"/>
        <v>0.84395127271364345</v>
      </c>
      <c r="T49" s="200">
        <f t="shared" si="14"/>
        <v>0.84395127271364345</v>
      </c>
      <c r="U49" s="108">
        <f t="shared" si="24"/>
        <v>78.750000000000028</v>
      </c>
      <c r="V49" s="108">
        <f t="shared" si="16"/>
        <v>66.461162726199447</v>
      </c>
      <c r="W49" s="203">
        <f t="shared" si="17"/>
        <v>66.461162726199447</v>
      </c>
      <c r="Y49" s="5">
        <f t="shared" si="11"/>
        <v>79.222500000000011</v>
      </c>
      <c r="Z49" s="5">
        <f t="shared" si="12"/>
        <v>66.859929702556641</v>
      </c>
    </row>
    <row r="50" spans="2:26" x14ac:dyDescent="0.15">
      <c r="B50" s="1821"/>
      <c r="C50" s="1719"/>
      <c r="D50" s="1822"/>
      <c r="F50" s="214">
        <v>12</v>
      </c>
      <c r="G50" s="559">
        <f>Säädata_ENT!Z56</f>
        <v>0.71860730593607303</v>
      </c>
      <c r="H50" s="214">
        <f t="shared" si="18"/>
        <v>21</v>
      </c>
      <c r="I50" s="215">
        <f t="shared" si="21"/>
        <v>13.404438545577209</v>
      </c>
      <c r="J50" s="216">
        <f t="shared" si="2"/>
        <v>13.404438545577209</v>
      </c>
      <c r="K50" s="216">
        <f t="shared" si="19"/>
        <v>13.404438545577209</v>
      </c>
      <c r="L50" s="216">
        <f t="shared" si="20"/>
        <v>13.404438545577209</v>
      </c>
      <c r="M50" s="217">
        <f t="shared" si="5"/>
        <v>21</v>
      </c>
      <c r="N50" s="216">
        <f t="shared" si="13"/>
        <v>19.595561454422793</v>
      </c>
      <c r="O50" s="218">
        <f t="shared" si="25"/>
        <v>19.595561454422793</v>
      </c>
      <c r="P50" s="50">
        <f t="shared" si="7"/>
        <v>1</v>
      </c>
      <c r="Q50" s="219">
        <f t="shared" si="27"/>
        <v>0.84395127271364345</v>
      </c>
      <c r="R50" s="220">
        <f>(M50-J50)/(M50-F50)</f>
        <v>0.84395127271364345</v>
      </c>
      <c r="S50" s="219">
        <f t="shared" si="10"/>
        <v>0.84395127271364345</v>
      </c>
      <c r="T50" s="221">
        <f t="shared" si="14"/>
        <v>0.84395127271364345</v>
      </c>
      <c r="U50" s="222">
        <f t="shared" si="24"/>
        <v>123.74999999999976</v>
      </c>
      <c r="V50" s="222">
        <f t="shared" si="16"/>
        <v>104.43896999831321</v>
      </c>
      <c r="W50" s="223">
        <f t="shared" si="17"/>
        <v>104.43896999831318</v>
      </c>
      <c r="Y50" s="5">
        <f>$C$7/1000*1.2*1006*(M50-F50)*8760*(G50-G49)/1000</f>
        <v>124.49249999999977</v>
      </c>
      <c r="Z50" s="5">
        <f>1.2*1006*$C$7/1000*(M50-I50)/1000*(G50-G49)*8760</f>
        <v>105.06560381830306</v>
      </c>
    </row>
    <row r="51" spans="2:26" x14ac:dyDescent="0.15">
      <c r="B51" s="1823"/>
      <c r="C51" s="1824"/>
      <c r="D51" s="1825"/>
      <c r="Q51" s="224"/>
      <c r="R51" s="224"/>
      <c r="S51" s="224"/>
      <c r="Y51" s="646">
        <f>SUM(Y17:Y50)</f>
        <v>5026.7304999999988</v>
      </c>
      <c r="Z51" s="646">
        <f>SUM(Z17:Z50)</f>
        <v>4231.8151908386371</v>
      </c>
    </row>
    <row r="52" spans="2:26" x14ac:dyDescent="0.15">
      <c r="B52" t="str">
        <f>IF(B45,B46,"")</f>
        <v/>
      </c>
      <c r="F52" s="601" t="s">
        <v>1288</v>
      </c>
      <c r="Y52" s="104" t="s">
        <v>237</v>
      </c>
      <c r="Z52" s="104" t="s">
        <v>237</v>
      </c>
    </row>
    <row r="54" spans="2:26" x14ac:dyDescent="0.15">
      <c r="F54" s="196">
        <f>'R-series ENT'!T38</f>
        <v>0</v>
      </c>
      <c r="K54" s="225"/>
      <c r="M54" s="226"/>
      <c r="N54" s="195">
        <f>IF(F54&lt;12,_xlfn.FORECAST.LINEAR(F54,L56:L57,K56:K57),N50)</f>
        <v>17.722976726986509</v>
      </c>
      <c r="Y54" s="227"/>
      <c r="Z54" s="227">
        <f>Z51/Y51</f>
        <v>0.84186235781660423</v>
      </c>
    </row>
    <row r="56" spans="2:26" x14ac:dyDescent="0.15">
      <c r="J56" s="182">
        <f>MATCH(F54,F6:F50,1)</f>
        <v>33</v>
      </c>
      <c r="K56" s="196" cm="1">
        <f t="array" ref="K56">INDEX(F6:F50,J56)</f>
        <v>0</v>
      </c>
      <c r="L56" s="195" cm="1">
        <f t="array" ref="L56">INDEX(N6:N50,J56)</f>
        <v>17.722976726986513</v>
      </c>
    </row>
    <row r="57" spans="2:26" x14ac:dyDescent="0.15">
      <c r="J57" s="746">
        <f>MATCH(F54,F6:F50,1)+1</f>
        <v>34</v>
      </c>
      <c r="K57" s="196" cm="1">
        <f t="array" ref="K57">INDEX(F6:F50,J57)</f>
        <v>1</v>
      </c>
      <c r="L57" s="195" cm="1">
        <f t="array" ref="L57">INDEX(N6:N50,J57)</f>
        <v>17.87902545427287</v>
      </c>
    </row>
  </sheetData>
  <mergeCells count="1">
    <mergeCell ref="B46:D5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6113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14" r:id="rId5" name="Drop Down 3">
              <controlPr defaultSize="0" autoLine="0" autoPict="0">
                <anchor moveWithCells="1">
                  <from>
                    <xdr:col>2</xdr:col>
                    <xdr:colOff>660400</xdr:colOff>
                    <xdr:row>13</xdr:row>
                    <xdr:rowOff>0</xdr:rowOff>
                  </from>
                  <to>
                    <xdr:col>3</xdr:col>
                    <xdr:colOff>444500</xdr:colOff>
                    <xdr:row>14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4842E-A247-4DE3-A085-D7283B6936B6}">
  <dimension ref="B1:K28"/>
  <sheetViews>
    <sheetView showGridLines="0" zoomScaleNormal="100" workbookViewId="0">
      <selection activeCell="R20" sqref="R20"/>
    </sheetView>
  </sheetViews>
  <sheetFormatPr baseColWidth="10" defaultColWidth="9.1640625" defaultRowHeight="15" x14ac:dyDescent="0.2"/>
  <cols>
    <col min="1" max="3" width="9.1640625" style="1674"/>
    <col min="4" max="4" width="59.5" style="1675" customWidth="1"/>
    <col min="5" max="11" width="59.5" style="1674" customWidth="1"/>
    <col min="12" max="16384" width="9.1640625" style="1674"/>
  </cols>
  <sheetData>
    <row r="1" spans="2:11" x14ac:dyDescent="0.2">
      <c r="B1" s="1673" t="str" cm="1">
        <f t="array" aca="1" ref="B1" ca="1">MID(CELL("filename",$A$1),FIND("]",CELL("filename",$A$1))+1,255)</f>
        <v>Kirjasto (maat)_ENT</v>
      </c>
    </row>
    <row r="3" spans="2:11" ht="18" thickBot="1" x14ac:dyDescent="0.25">
      <c r="B3" s="1673" t="s">
        <v>705</v>
      </c>
      <c r="D3" s="1676" t="s">
        <v>706</v>
      </c>
      <c r="E3" s="1677" t="s">
        <v>708</v>
      </c>
      <c r="F3" s="1678" t="s">
        <v>709</v>
      </c>
      <c r="G3" s="1679" t="s">
        <v>710</v>
      </c>
      <c r="H3" s="1680" t="s">
        <v>1397</v>
      </c>
      <c r="I3" s="1681" t="s">
        <v>1398</v>
      </c>
      <c r="J3" s="1682" t="s">
        <v>1399</v>
      </c>
      <c r="K3" s="1683" t="s">
        <v>1400</v>
      </c>
    </row>
    <row r="4" spans="2:11" ht="16" x14ac:dyDescent="0.2">
      <c r="B4" s="502">
        <f>Kirjasto_ENT!$B$4</f>
        <v>2</v>
      </c>
      <c r="C4" s="1673">
        <v>1</v>
      </c>
      <c r="D4" s="1684" t="s">
        <v>988</v>
      </c>
      <c r="E4" s="1685" t="s">
        <v>989</v>
      </c>
      <c r="F4" s="576" t="s">
        <v>989</v>
      </c>
      <c r="G4" s="1686" t="s">
        <v>990</v>
      </c>
      <c r="H4" s="1687"/>
      <c r="I4" s="1688"/>
      <c r="J4" s="1689"/>
      <c r="K4" s="1690"/>
    </row>
    <row r="5" spans="2:11" ht="16" x14ac:dyDescent="0.2">
      <c r="C5" s="1673">
        <v>2</v>
      </c>
      <c r="D5" s="1691" t="s">
        <v>991</v>
      </c>
      <c r="E5" s="1692" t="s">
        <v>992</v>
      </c>
      <c r="F5" s="580" t="s">
        <v>993</v>
      </c>
      <c r="G5" s="1693" t="s">
        <v>993</v>
      </c>
      <c r="H5" s="1694"/>
      <c r="I5" s="1695"/>
      <c r="J5" s="1696"/>
      <c r="K5" s="1697"/>
    </row>
    <row r="6" spans="2:11" ht="16" x14ac:dyDescent="0.2">
      <c r="C6" s="1673">
        <v>3</v>
      </c>
      <c r="D6" s="1691" t="s">
        <v>994</v>
      </c>
      <c r="E6" s="1692" t="s">
        <v>995</v>
      </c>
      <c r="F6" s="580" t="s">
        <v>996</v>
      </c>
      <c r="G6" s="1693" t="s">
        <v>997</v>
      </c>
      <c r="H6" s="1694"/>
      <c r="I6" s="1695"/>
      <c r="J6" s="1696"/>
      <c r="K6" s="1697"/>
    </row>
    <row r="7" spans="2:11" ht="16" x14ac:dyDescent="0.2">
      <c r="C7" s="1673">
        <v>4</v>
      </c>
      <c r="D7" s="1691" t="s">
        <v>998</v>
      </c>
      <c r="E7" s="1692" t="s">
        <v>999</v>
      </c>
      <c r="F7" s="580" t="s">
        <v>1000</v>
      </c>
      <c r="G7" s="1693" t="s">
        <v>1001</v>
      </c>
      <c r="H7" s="1694"/>
      <c r="I7" s="1695"/>
      <c r="J7" s="1696"/>
      <c r="K7" s="1697"/>
    </row>
    <row r="8" spans="2:11" ht="16" x14ac:dyDescent="0.2">
      <c r="C8" s="1673">
        <v>5</v>
      </c>
      <c r="D8" s="1691" t="s">
        <v>1002</v>
      </c>
      <c r="E8" s="1692" t="s">
        <v>1003</v>
      </c>
      <c r="F8" s="580" t="s">
        <v>1004</v>
      </c>
      <c r="G8" s="1693" t="s">
        <v>1004</v>
      </c>
      <c r="H8" s="1694"/>
      <c r="I8" s="1695"/>
      <c r="J8" s="1696"/>
      <c r="K8" s="1697"/>
    </row>
    <row r="9" spans="2:11" ht="16" x14ac:dyDescent="0.2">
      <c r="C9" s="1673">
        <v>6</v>
      </c>
      <c r="D9" s="1691" t="s">
        <v>1005</v>
      </c>
      <c r="E9" s="1692" t="s">
        <v>1006</v>
      </c>
      <c r="F9" s="580" t="s">
        <v>1007</v>
      </c>
      <c r="G9" s="1693" t="s">
        <v>1008</v>
      </c>
      <c r="H9" s="1694"/>
      <c r="I9" s="1695"/>
      <c r="J9" s="1696"/>
      <c r="K9" s="1697"/>
    </row>
    <row r="10" spans="2:11" ht="16" x14ac:dyDescent="0.2">
      <c r="C10" s="1673">
        <v>7</v>
      </c>
      <c r="D10" s="1691" t="s">
        <v>1009</v>
      </c>
      <c r="E10" s="1692" t="s">
        <v>1010</v>
      </c>
      <c r="F10" s="580" t="s">
        <v>1011</v>
      </c>
      <c r="G10" s="1693" t="s">
        <v>1011</v>
      </c>
      <c r="H10" s="1694"/>
      <c r="I10" s="1695"/>
      <c r="J10" s="1696"/>
      <c r="K10" s="1697"/>
    </row>
    <row r="11" spans="2:11" ht="16" x14ac:dyDescent="0.2">
      <c r="C11" s="1673">
        <v>8</v>
      </c>
      <c r="D11" s="1691" t="s">
        <v>1204</v>
      </c>
      <c r="E11" s="1692" t="s">
        <v>1204</v>
      </c>
      <c r="F11" s="580" t="s">
        <v>1205</v>
      </c>
      <c r="G11" s="1693" t="s">
        <v>1205</v>
      </c>
      <c r="H11" s="1694"/>
      <c r="I11" s="1695"/>
      <c r="J11" s="1696"/>
      <c r="K11" s="1697"/>
    </row>
    <row r="12" spans="2:11" ht="16" x14ac:dyDescent="0.2">
      <c r="C12" s="1673">
        <v>9</v>
      </c>
      <c r="D12" s="1691" t="s">
        <v>1366</v>
      </c>
      <c r="E12" s="1692" t="s">
        <v>1366</v>
      </c>
      <c r="F12" s="580" t="s">
        <v>1367</v>
      </c>
      <c r="G12" s="1693" t="s">
        <v>1367</v>
      </c>
      <c r="H12" s="1694"/>
      <c r="I12" s="1695"/>
      <c r="J12" s="1696"/>
      <c r="K12" s="1697"/>
    </row>
    <row r="13" spans="2:11" ht="16" x14ac:dyDescent="0.2">
      <c r="C13" s="1673">
        <v>10</v>
      </c>
      <c r="D13" s="1691" t="s">
        <v>1368</v>
      </c>
      <c r="E13" s="1692" t="s">
        <v>1369</v>
      </c>
      <c r="F13" s="580" t="s">
        <v>1370</v>
      </c>
      <c r="G13" s="1693" t="s">
        <v>1370</v>
      </c>
      <c r="H13" s="1694"/>
      <c r="I13" s="1695"/>
      <c r="J13" s="1696"/>
      <c r="K13" s="1697"/>
    </row>
    <row r="14" spans="2:11" ht="16" x14ac:dyDescent="0.2">
      <c r="C14" s="1673">
        <v>11</v>
      </c>
      <c r="D14" s="1691" t="s">
        <v>1012</v>
      </c>
      <c r="E14" s="1692" t="s">
        <v>1013</v>
      </c>
      <c r="F14" s="580" t="s">
        <v>1014</v>
      </c>
      <c r="G14" s="1693" t="s">
        <v>1015</v>
      </c>
      <c r="H14" s="1694"/>
      <c r="I14" s="1695"/>
      <c r="J14" s="1696"/>
      <c r="K14" s="1697"/>
    </row>
    <row r="15" spans="2:11" x14ac:dyDescent="0.2">
      <c r="C15" s="1673">
        <v>12</v>
      </c>
      <c r="D15" s="1691"/>
      <c r="E15" s="1692"/>
      <c r="F15" s="580"/>
      <c r="G15" s="1693"/>
      <c r="H15" s="1694"/>
      <c r="I15" s="1695"/>
      <c r="J15" s="1696"/>
      <c r="K15" s="1697"/>
    </row>
    <row r="16" spans="2:11" x14ac:dyDescent="0.2">
      <c r="C16" s="1673">
        <v>13</v>
      </c>
      <c r="D16" s="1691"/>
      <c r="E16" s="1692"/>
      <c r="F16" s="580"/>
      <c r="G16" s="1693"/>
      <c r="H16" s="1694"/>
      <c r="I16" s="1695"/>
      <c r="J16" s="1696"/>
      <c r="K16" s="1697"/>
    </row>
    <row r="17" spans="3:11" x14ac:dyDescent="0.2">
      <c r="C17" s="1673">
        <v>14</v>
      </c>
      <c r="D17" s="1691"/>
      <c r="E17" s="1692"/>
      <c r="F17" s="580"/>
      <c r="G17" s="1693"/>
      <c r="H17" s="1694"/>
      <c r="I17" s="1695"/>
      <c r="J17" s="1696"/>
      <c r="K17" s="1697"/>
    </row>
    <row r="18" spans="3:11" x14ac:dyDescent="0.2">
      <c r="C18" s="1673">
        <v>15</v>
      </c>
      <c r="D18" s="1691"/>
      <c r="E18" s="1692"/>
      <c r="F18" s="580"/>
      <c r="G18" s="1693"/>
      <c r="H18" s="1694"/>
      <c r="I18" s="1695"/>
      <c r="J18" s="1696"/>
      <c r="K18" s="1697"/>
    </row>
    <row r="19" spans="3:11" x14ac:dyDescent="0.2">
      <c r="C19" s="1673">
        <v>16</v>
      </c>
      <c r="D19" s="1691"/>
      <c r="E19" s="1692"/>
      <c r="F19" s="580"/>
      <c r="G19" s="1693"/>
      <c r="H19" s="1694"/>
      <c r="I19" s="1695"/>
      <c r="J19" s="1696"/>
      <c r="K19" s="1697"/>
    </row>
    <row r="20" spans="3:11" x14ac:dyDescent="0.2">
      <c r="C20" s="1673">
        <v>17</v>
      </c>
      <c r="D20" s="1691"/>
      <c r="E20" s="1692"/>
      <c r="F20" s="580"/>
      <c r="G20" s="1693"/>
      <c r="H20" s="1694"/>
      <c r="I20" s="1695"/>
      <c r="J20" s="1696"/>
      <c r="K20" s="1697"/>
    </row>
    <row r="21" spans="3:11" x14ac:dyDescent="0.2">
      <c r="C21" s="1673">
        <v>18</v>
      </c>
      <c r="D21" s="1691"/>
      <c r="E21" s="1692"/>
      <c r="F21" s="580"/>
      <c r="G21" s="1693"/>
      <c r="H21" s="1694"/>
      <c r="I21" s="1695"/>
      <c r="J21" s="1696"/>
      <c r="K21" s="1697"/>
    </row>
    <row r="22" spans="3:11" x14ac:dyDescent="0.2">
      <c r="C22" s="1673">
        <v>19</v>
      </c>
      <c r="D22" s="1691"/>
      <c r="E22" s="1692"/>
      <c r="F22" s="580"/>
      <c r="G22" s="1693"/>
      <c r="H22" s="1694"/>
      <c r="I22" s="1695"/>
      <c r="J22" s="1696"/>
      <c r="K22" s="1697"/>
    </row>
    <row r="23" spans="3:11" x14ac:dyDescent="0.2">
      <c r="C23" s="1673">
        <v>20</v>
      </c>
      <c r="D23" s="1691"/>
      <c r="E23" s="1692"/>
      <c r="F23" s="580"/>
      <c r="G23" s="1693"/>
      <c r="H23" s="1694"/>
      <c r="I23" s="1695"/>
      <c r="J23" s="1696"/>
      <c r="K23" s="1697"/>
    </row>
    <row r="24" spans="3:11" x14ac:dyDescent="0.2">
      <c r="C24" s="1673">
        <v>21</v>
      </c>
      <c r="D24" s="1691"/>
      <c r="E24" s="1692"/>
      <c r="F24" s="580"/>
      <c r="G24" s="1693"/>
      <c r="H24" s="1694"/>
      <c r="I24" s="1695"/>
      <c r="J24" s="1696"/>
      <c r="K24" s="1697"/>
    </row>
    <row r="25" spans="3:11" x14ac:dyDescent="0.2">
      <c r="C25" s="1673">
        <v>22</v>
      </c>
      <c r="D25" s="1691"/>
      <c r="E25" s="1692"/>
      <c r="F25" s="580"/>
      <c r="G25" s="1693"/>
      <c r="H25" s="1694"/>
      <c r="I25" s="1695"/>
      <c r="J25" s="1696"/>
      <c r="K25" s="1697"/>
    </row>
    <row r="26" spans="3:11" x14ac:dyDescent="0.2">
      <c r="C26" s="1673">
        <v>23</v>
      </c>
      <c r="D26" s="1691"/>
      <c r="E26" s="1692"/>
      <c r="F26" s="580"/>
      <c r="G26" s="1693"/>
      <c r="H26" s="1694"/>
      <c r="I26" s="1695"/>
      <c r="J26" s="1696"/>
      <c r="K26" s="1697"/>
    </row>
    <row r="27" spans="3:11" x14ac:dyDescent="0.2">
      <c r="C27" s="1673">
        <v>24</v>
      </c>
      <c r="D27" s="1691"/>
      <c r="E27" s="1692"/>
      <c r="F27" s="580"/>
      <c r="G27" s="1693"/>
      <c r="H27" s="1694"/>
      <c r="I27" s="1695"/>
      <c r="J27" s="1696"/>
      <c r="K27" s="1697"/>
    </row>
    <row r="28" spans="3:11" ht="16" x14ac:dyDescent="0.2">
      <c r="C28" s="1673">
        <v>25</v>
      </c>
      <c r="D28" s="1691" t="s">
        <v>1012</v>
      </c>
      <c r="E28" s="1692" t="s">
        <v>1013</v>
      </c>
      <c r="F28" s="580" t="s">
        <v>1014</v>
      </c>
      <c r="G28" s="1693" t="s">
        <v>1015</v>
      </c>
      <c r="H28" s="1694"/>
      <c r="I28" s="1695"/>
      <c r="J28" s="1696"/>
      <c r="K28" s="1697"/>
    </row>
  </sheetData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C1883-F20B-453E-80EC-61F9960FBE39}">
  <dimension ref="B1:K861"/>
  <sheetViews>
    <sheetView showGridLines="0" zoomScaleNormal="100" workbookViewId="0">
      <selection activeCell="R20" sqref="R20"/>
    </sheetView>
  </sheetViews>
  <sheetFormatPr baseColWidth="10" defaultColWidth="9.1640625" defaultRowHeight="15" x14ac:dyDescent="0.2"/>
  <cols>
    <col min="1" max="3" width="9.1640625" style="1674"/>
    <col min="4" max="4" width="59.5" style="1675" customWidth="1"/>
    <col min="5" max="11" width="59.5" style="1674" customWidth="1"/>
    <col min="12" max="16384" width="9.1640625" style="1674"/>
  </cols>
  <sheetData>
    <row r="1" spans="2:11" x14ac:dyDescent="0.2">
      <c r="B1" s="1673" t="str" cm="1">
        <f t="array" aca="1" ref="B1" ca="1">MID(CELL("filename",$A$1),FIND("]",CELL("filename",$A$1))+1,255)</f>
        <v>Kirjasto (kaupungit)_ENT</v>
      </c>
    </row>
    <row r="3" spans="2:11" ht="18" thickBot="1" x14ac:dyDescent="0.25">
      <c r="B3" s="1673" t="s">
        <v>705</v>
      </c>
      <c r="D3" s="1676" t="s">
        <v>706</v>
      </c>
      <c r="E3" s="1677" t="s">
        <v>708</v>
      </c>
      <c r="F3" s="1678" t="s">
        <v>709</v>
      </c>
      <c r="G3" s="1679" t="s">
        <v>710</v>
      </c>
      <c r="H3" s="1680" t="s">
        <v>1397</v>
      </c>
      <c r="I3" s="1681" t="s">
        <v>1398</v>
      </c>
      <c r="J3" s="1682" t="s">
        <v>1399</v>
      </c>
      <c r="K3" s="1683" t="s">
        <v>1400</v>
      </c>
    </row>
    <row r="4" spans="2:11" ht="16" x14ac:dyDescent="0.2">
      <c r="B4" s="502">
        <f>Kirjasto_ENT!$B$4</f>
        <v>2</v>
      </c>
      <c r="C4" s="1673">
        <v>1</v>
      </c>
      <c r="D4" s="1684" t="s">
        <v>1016</v>
      </c>
      <c r="E4" s="1685" t="s">
        <v>1016</v>
      </c>
      <c r="F4" s="576" t="s">
        <v>1017</v>
      </c>
      <c r="G4" s="1686" t="s">
        <v>1016</v>
      </c>
      <c r="H4" s="1687" t="s">
        <v>1016</v>
      </c>
      <c r="I4" s="1688" t="s">
        <v>1016</v>
      </c>
      <c r="J4" s="1689" t="s">
        <v>1016</v>
      </c>
      <c r="K4" s="1690" t="s">
        <v>1016</v>
      </c>
    </row>
    <row r="5" spans="2:11" ht="16" x14ac:dyDescent="0.2">
      <c r="C5" s="1673">
        <v>2</v>
      </c>
      <c r="D5" s="1691" t="s">
        <v>270</v>
      </c>
      <c r="E5" s="1692" t="s">
        <v>270</v>
      </c>
      <c r="F5" s="580" t="s">
        <v>1018</v>
      </c>
      <c r="G5" s="1693" t="s">
        <v>270</v>
      </c>
      <c r="H5" s="1694" t="s">
        <v>270</v>
      </c>
      <c r="I5" s="1695" t="s">
        <v>270</v>
      </c>
      <c r="J5" s="1696" t="s">
        <v>270</v>
      </c>
      <c r="K5" s="1697" t="s">
        <v>270</v>
      </c>
    </row>
    <row r="6" spans="2:11" ht="16" x14ac:dyDescent="0.2">
      <c r="C6" s="1673">
        <v>3</v>
      </c>
      <c r="D6" s="1691" t="s">
        <v>271</v>
      </c>
      <c r="E6" s="1692" t="s">
        <v>271</v>
      </c>
      <c r="F6" s="580" t="s">
        <v>271</v>
      </c>
      <c r="G6" s="1693" t="s">
        <v>271</v>
      </c>
      <c r="H6" s="1694" t="s">
        <v>271</v>
      </c>
      <c r="I6" s="1695" t="s">
        <v>271</v>
      </c>
      <c r="J6" s="1696" t="s">
        <v>271</v>
      </c>
      <c r="K6" s="1697" t="s">
        <v>271</v>
      </c>
    </row>
    <row r="7" spans="2:11" ht="16" x14ac:dyDescent="0.2">
      <c r="C7" s="1673">
        <v>4</v>
      </c>
      <c r="D7" s="1691" t="s">
        <v>272</v>
      </c>
      <c r="E7" s="1692" t="s">
        <v>272</v>
      </c>
      <c r="F7" s="580" t="s">
        <v>272</v>
      </c>
      <c r="G7" s="1693" t="s">
        <v>272</v>
      </c>
      <c r="H7" s="1694" t="s">
        <v>272</v>
      </c>
      <c r="I7" s="1695" t="s">
        <v>272</v>
      </c>
      <c r="J7" s="1696" t="s">
        <v>272</v>
      </c>
      <c r="K7" s="1697" t="s">
        <v>272</v>
      </c>
    </row>
    <row r="8" spans="2:11" ht="16" x14ac:dyDescent="0.2">
      <c r="C8" s="1673">
        <v>5</v>
      </c>
      <c r="D8" s="1691" t="s">
        <v>1025</v>
      </c>
      <c r="E8" s="1692" t="s">
        <v>1391</v>
      </c>
      <c r="F8" s="580" t="s">
        <v>1391</v>
      </c>
      <c r="G8" s="1693" t="s">
        <v>1391</v>
      </c>
      <c r="H8" s="1694" t="s">
        <v>1404</v>
      </c>
      <c r="I8" s="1695" t="s">
        <v>1391</v>
      </c>
      <c r="J8" s="1696" t="s">
        <v>1406</v>
      </c>
      <c r="K8" s="1697" t="s">
        <v>1408</v>
      </c>
    </row>
    <row r="9" spans="2:11" ht="16" x14ac:dyDescent="0.2">
      <c r="C9" s="1673">
        <v>6</v>
      </c>
      <c r="D9" s="1691" t="s">
        <v>1028</v>
      </c>
      <c r="E9" s="1692" t="s">
        <v>1389</v>
      </c>
      <c r="F9" s="580" t="s">
        <v>1390</v>
      </c>
      <c r="G9" s="1693" t="s">
        <v>1390</v>
      </c>
      <c r="H9" s="1694" t="s">
        <v>1405</v>
      </c>
      <c r="I9" s="1695" t="s">
        <v>1390</v>
      </c>
      <c r="J9" s="1696" t="s">
        <v>1407</v>
      </c>
      <c r="K9" s="1697" t="s">
        <v>1409</v>
      </c>
    </row>
    <row r="10" spans="2:11" ht="16" x14ac:dyDescent="0.2">
      <c r="C10" s="1673">
        <v>7</v>
      </c>
      <c r="D10" s="1691" t="s">
        <v>1019</v>
      </c>
      <c r="E10" s="1692" t="s">
        <v>1361</v>
      </c>
      <c r="F10" s="580" t="s">
        <v>1361</v>
      </c>
      <c r="G10" s="1693" t="s">
        <v>1361</v>
      </c>
      <c r="H10" s="1694" t="s">
        <v>1401</v>
      </c>
      <c r="I10" s="1695" t="s">
        <v>1361</v>
      </c>
      <c r="J10" s="1696" t="s">
        <v>1402</v>
      </c>
      <c r="K10" s="1697" t="s">
        <v>1403</v>
      </c>
    </row>
    <row r="11" spans="2:11" ht="16" x14ac:dyDescent="0.2">
      <c r="C11" s="1673">
        <v>8</v>
      </c>
      <c r="D11" s="1691" t="s">
        <v>1377</v>
      </c>
      <c r="E11" s="1692" t="s">
        <v>1382</v>
      </c>
      <c r="F11" s="580" t="s">
        <v>1382</v>
      </c>
      <c r="G11" s="1693" t="s">
        <v>1382</v>
      </c>
      <c r="H11" s="1694" t="s">
        <v>1410</v>
      </c>
      <c r="I11" s="1695" t="s">
        <v>1411</v>
      </c>
      <c r="J11" s="1696" t="s">
        <v>1412</v>
      </c>
      <c r="K11" s="1697" t="s">
        <v>1410</v>
      </c>
    </row>
    <row r="12" spans="2:11" ht="16" x14ac:dyDescent="0.2">
      <c r="C12" s="1673">
        <v>9</v>
      </c>
      <c r="D12" s="1691" t="s">
        <v>1379</v>
      </c>
      <c r="E12" s="1692" t="s">
        <v>1383</v>
      </c>
      <c r="F12" s="580" t="s">
        <v>1383</v>
      </c>
      <c r="G12" s="1693" t="s">
        <v>1384</v>
      </c>
      <c r="H12" s="1694" t="s">
        <v>1413</v>
      </c>
      <c r="I12" s="1695" t="s">
        <v>1383</v>
      </c>
      <c r="J12" s="1696" t="s">
        <v>1414</v>
      </c>
      <c r="K12" s="1697" t="s">
        <v>1383</v>
      </c>
    </row>
    <row r="13" spans="2:11" ht="16" x14ac:dyDescent="0.2">
      <c r="C13" s="1673">
        <v>10</v>
      </c>
      <c r="D13" s="1691" t="s">
        <v>1022</v>
      </c>
      <c r="E13" s="1692" t="s">
        <v>1371</v>
      </c>
      <c r="F13" s="580" t="s">
        <v>1372</v>
      </c>
      <c r="G13" s="1693" t="s">
        <v>1373</v>
      </c>
      <c r="H13" s="1694" t="s">
        <v>1372</v>
      </c>
      <c r="I13" s="1695" t="s">
        <v>1415</v>
      </c>
      <c r="J13" s="1696" t="s">
        <v>1416</v>
      </c>
      <c r="K13" s="1697" t="s">
        <v>1417</v>
      </c>
    </row>
    <row r="14" spans="2:11" ht="16" x14ac:dyDescent="0.2">
      <c r="C14" s="1673">
        <v>11</v>
      </c>
      <c r="D14" s="1691" t="s">
        <v>1381</v>
      </c>
      <c r="E14" s="1692" t="s">
        <v>1387</v>
      </c>
      <c r="F14" s="580" t="s">
        <v>1387</v>
      </c>
      <c r="G14" s="1693" t="s">
        <v>1388</v>
      </c>
      <c r="H14" s="1694" t="s">
        <v>1418</v>
      </c>
      <c r="I14" s="1695" t="s">
        <v>1418</v>
      </c>
      <c r="J14" s="1696" t="s">
        <v>1419</v>
      </c>
      <c r="K14" s="1697" t="s">
        <v>1420</v>
      </c>
    </row>
    <row r="15" spans="2:11" ht="16" x14ac:dyDescent="0.2">
      <c r="C15" s="1673">
        <v>12</v>
      </c>
      <c r="D15" s="1691" t="s">
        <v>1380</v>
      </c>
      <c r="E15" s="1692" t="s">
        <v>1385</v>
      </c>
      <c r="F15" s="580" t="s">
        <v>1385</v>
      </c>
      <c r="G15" s="1693" t="s">
        <v>1386</v>
      </c>
      <c r="H15" s="1694" t="s">
        <v>1421</v>
      </c>
      <c r="I15" s="1695" t="s">
        <v>1421</v>
      </c>
      <c r="J15" s="1696" t="s">
        <v>1422</v>
      </c>
      <c r="K15" s="1697" t="s">
        <v>1423</v>
      </c>
    </row>
    <row r="16" spans="2:11" ht="16" x14ac:dyDescent="0.2">
      <c r="C16" s="1673">
        <v>13</v>
      </c>
      <c r="D16" s="1691" t="s">
        <v>1024</v>
      </c>
      <c r="E16" s="1692" t="s">
        <v>1375</v>
      </c>
      <c r="F16" s="580" t="s">
        <v>1375</v>
      </c>
      <c r="G16" s="1693" t="s">
        <v>1375</v>
      </c>
      <c r="H16" s="1694" t="s">
        <v>1424</v>
      </c>
      <c r="I16" s="1695" t="s">
        <v>1375</v>
      </c>
      <c r="J16" s="1696" t="s">
        <v>1425</v>
      </c>
      <c r="K16" s="1697" t="s">
        <v>1426</v>
      </c>
    </row>
    <row r="17" spans="3:11" ht="16" x14ac:dyDescent="0.2">
      <c r="C17" s="1673">
        <v>14</v>
      </c>
      <c r="D17" s="1691" t="s">
        <v>1206</v>
      </c>
      <c r="E17" s="1692" t="s">
        <v>1428</v>
      </c>
      <c r="F17" s="580" t="s">
        <v>1427</v>
      </c>
      <c r="G17" s="1693" t="s">
        <v>1427</v>
      </c>
      <c r="H17" s="1694" t="s">
        <v>1429</v>
      </c>
      <c r="I17" s="1695" t="s">
        <v>1427</v>
      </c>
      <c r="J17" s="1696" t="s">
        <v>1430</v>
      </c>
      <c r="K17" s="1697" t="s">
        <v>1431</v>
      </c>
    </row>
    <row r="18" spans="3:11" ht="16" x14ac:dyDescent="0.2">
      <c r="C18" s="1673">
        <v>15</v>
      </c>
      <c r="D18" s="1691" t="s">
        <v>1020</v>
      </c>
      <c r="E18" s="1692" t="s">
        <v>1365</v>
      </c>
      <c r="F18" s="580" t="s">
        <v>1365</v>
      </c>
      <c r="G18" s="1693" t="s">
        <v>1365</v>
      </c>
      <c r="H18" s="1694" t="s">
        <v>1365</v>
      </c>
      <c r="I18" s="1695" t="s">
        <v>1365</v>
      </c>
      <c r="J18" s="1696" t="s">
        <v>1365</v>
      </c>
      <c r="K18" s="1697" t="s">
        <v>1432</v>
      </c>
    </row>
    <row r="19" spans="3:11" ht="16" x14ac:dyDescent="0.2">
      <c r="C19" s="1673">
        <v>16</v>
      </c>
      <c r="D19" s="1691" t="s">
        <v>1021</v>
      </c>
      <c r="E19" s="1692" t="s">
        <v>1362</v>
      </c>
      <c r="F19" s="580" t="s">
        <v>1363</v>
      </c>
      <c r="G19" s="1693" t="s">
        <v>1364</v>
      </c>
      <c r="H19" s="1694" t="s">
        <v>1433</v>
      </c>
      <c r="I19" s="1695" t="s">
        <v>1434</v>
      </c>
      <c r="J19" s="1696" t="s">
        <v>1435</v>
      </c>
      <c r="K19" s="1697" t="s">
        <v>1433</v>
      </c>
    </row>
    <row r="20" spans="3:11" ht="16" x14ac:dyDescent="0.2">
      <c r="C20" s="1673">
        <v>17</v>
      </c>
      <c r="D20" s="1691" t="s">
        <v>1023</v>
      </c>
      <c r="E20" s="1692" t="s">
        <v>1374</v>
      </c>
      <c r="F20" s="580" t="s">
        <v>1374</v>
      </c>
      <c r="G20" s="1693" t="s">
        <v>1374</v>
      </c>
      <c r="H20" s="1694" t="s">
        <v>1374</v>
      </c>
      <c r="I20" s="1695" t="s">
        <v>1436</v>
      </c>
      <c r="J20" s="1696" t="s">
        <v>1438</v>
      </c>
      <c r="K20" s="1697" t="s">
        <v>1437</v>
      </c>
    </row>
    <row r="21" spans="3:11" x14ac:dyDescent="0.2">
      <c r="C21" s="1673">
        <v>18</v>
      </c>
      <c r="D21" s="1691"/>
      <c r="E21" s="1692"/>
      <c r="F21" s="580"/>
      <c r="G21" s="1693"/>
      <c r="H21" s="1694"/>
      <c r="I21" s="1695"/>
      <c r="J21" s="1696"/>
      <c r="K21" s="1697"/>
    </row>
    <row r="22" spans="3:11" x14ac:dyDescent="0.2">
      <c r="C22" s="1673">
        <v>19</v>
      </c>
      <c r="D22" s="1691"/>
      <c r="E22" s="1692"/>
      <c r="F22" s="580"/>
      <c r="G22" s="1693"/>
      <c r="H22" s="1694"/>
      <c r="I22" s="1695"/>
      <c r="J22" s="1696"/>
      <c r="K22" s="1697"/>
    </row>
    <row r="23" spans="3:11" x14ac:dyDescent="0.2">
      <c r="C23" s="1673">
        <v>20</v>
      </c>
      <c r="D23" s="1691"/>
      <c r="E23" s="1692"/>
      <c r="F23" s="580"/>
      <c r="G23" s="1693"/>
      <c r="H23" s="1694"/>
      <c r="I23" s="1695"/>
      <c r="J23" s="1696"/>
      <c r="K23" s="1697"/>
    </row>
    <row r="24" spans="3:11" x14ac:dyDescent="0.2">
      <c r="C24" s="1673">
        <v>21</v>
      </c>
      <c r="D24" s="1691"/>
      <c r="E24" s="1692"/>
      <c r="F24" s="580"/>
      <c r="G24" s="1693"/>
      <c r="H24" s="1694"/>
      <c r="I24" s="1695"/>
      <c r="J24" s="1696"/>
      <c r="K24" s="1697"/>
    </row>
    <row r="25" spans="3:11" x14ac:dyDescent="0.2">
      <c r="C25" s="1673">
        <v>22</v>
      </c>
      <c r="D25" s="1691"/>
      <c r="E25" s="1692"/>
      <c r="F25" s="580"/>
      <c r="G25" s="1693"/>
      <c r="H25" s="1694"/>
      <c r="I25" s="1695"/>
      <c r="J25" s="1696"/>
      <c r="K25" s="1697"/>
    </row>
    <row r="26" spans="3:11" x14ac:dyDescent="0.2">
      <c r="C26" s="1673">
        <v>23</v>
      </c>
      <c r="D26" s="1691"/>
      <c r="E26" s="1692"/>
      <c r="F26" s="580"/>
      <c r="G26" s="1693"/>
      <c r="H26" s="1694"/>
      <c r="I26" s="1695"/>
      <c r="J26" s="1696"/>
      <c r="K26" s="1697"/>
    </row>
    <row r="27" spans="3:11" x14ac:dyDescent="0.2">
      <c r="C27" s="1673">
        <v>24</v>
      </c>
      <c r="D27" s="1691"/>
      <c r="E27" s="1692"/>
      <c r="F27" s="580"/>
      <c r="G27" s="1693"/>
      <c r="H27" s="1694"/>
      <c r="I27" s="1695"/>
      <c r="J27" s="1696"/>
      <c r="K27" s="1697"/>
    </row>
    <row r="28" spans="3:11" x14ac:dyDescent="0.2">
      <c r="C28" s="1673">
        <v>25</v>
      </c>
      <c r="D28" s="1691"/>
      <c r="E28" s="1692"/>
      <c r="F28" s="580"/>
      <c r="G28" s="1693"/>
      <c r="H28" s="1694"/>
      <c r="I28" s="1695"/>
      <c r="J28" s="1696"/>
      <c r="K28" s="1697"/>
    </row>
    <row r="29" spans="3:11" x14ac:dyDescent="0.2">
      <c r="C29" s="1673">
        <v>26</v>
      </c>
      <c r="D29" s="1691"/>
      <c r="E29" s="1692"/>
      <c r="F29" s="580"/>
      <c r="G29" s="1693"/>
      <c r="H29" s="1694"/>
      <c r="I29" s="1695"/>
      <c r="J29" s="1696"/>
      <c r="K29" s="1697"/>
    </row>
    <row r="30" spans="3:11" x14ac:dyDescent="0.2">
      <c r="C30" s="1673">
        <v>27</v>
      </c>
      <c r="D30" s="1691"/>
      <c r="E30" s="1692"/>
      <c r="F30" s="580"/>
      <c r="G30" s="1693"/>
      <c r="H30" s="1694"/>
      <c r="I30" s="1695"/>
      <c r="J30" s="1696"/>
      <c r="K30" s="1697"/>
    </row>
    <row r="31" spans="3:11" x14ac:dyDescent="0.2">
      <c r="C31" s="1673">
        <v>28</v>
      </c>
      <c r="D31" s="1691"/>
      <c r="E31" s="1692"/>
      <c r="F31" s="580"/>
      <c r="G31" s="1693"/>
      <c r="H31" s="1694"/>
      <c r="I31" s="1695"/>
      <c r="J31" s="1696"/>
      <c r="K31" s="1697"/>
    </row>
    <row r="32" spans="3:11" x14ac:dyDescent="0.2">
      <c r="C32" s="1673">
        <v>29</v>
      </c>
      <c r="D32" s="1691"/>
      <c r="E32" s="1692"/>
      <c r="F32" s="580"/>
      <c r="G32" s="1693"/>
      <c r="H32" s="1694"/>
      <c r="I32" s="1695"/>
      <c r="J32" s="1696"/>
      <c r="K32" s="1697"/>
    </row>
    <row r="33" spans="3:11" x14ac:dyDescent="0.2">
      <c r="C33" s="1673">
        <v>30</v>
      </c>
      <c r="D33" s="1691"/>
      <c r="E33" s="1692"/>
      <c r="F33" s="580"/>
      <c r="G33" s="1693"/>
      <c r="H33" s="1694"/>
      <c r="I33" s="1695"/>
      <c r="J33" s="1696"/>
      <c r="K33" s="1697"/>
    </row>
    <row r="34" spans="3:11" x14ac:dyDescent="0.2">
      <c r="C34" s="1673">
        <v>31</v>
      </c>
      <c r="D34" s="1691"/>
      <c r="E34" s="1692"/>
      <c r="F34" s="580"/>
      <c r="G34" s="1693"/>
      <c r="H34" s="1694"/>
      <c r="I34" s="1695"/>
      <c r="J34" s="1696"/>
      <c r="K34" s="1697"/>
    </row>
    <row r="35" spans="3:11" x14ac:dyDescent="0.2">
      <c r="C35" s="1673">
        <v>32</v>
      </c>
      <c r="D35" s="1691"/>
      <c r="E35" s="1692"/>
      <c r="F35" s="580"/>
      <c r="G35" s="1693"/>
      <c r="H35" s="1694"/>
      <c r="I35" s="1695"/>
      <c r="J35" s="1696"/>
      <c r="K35" s="1697"/>
    </row>
    <row r="36" spans="3:11" x14ac:dyDescent="0.2">
      <c r="C36" s="1673">
        <v>33</v>
      </c>
      <c r="D36" s="1691"/>
      <c r="E36" s="1692"/>
      <c r="F36" s="580"/>
      <c r="G36" s="1693"/>
      <c r="H36" s="1694"/>
      <c r="I36" s="1695"/>
      <c r="J36" s="1696"/>
      <c r="K36" s="1697"/>
    </row>
    <row r="37" spans="3:11" x14ac:dyDescent="0.2">
      <c r="C37" s="1673">
        <v>34</v>
      </c>
      <c r="D37" s="1691"/>
      <c r="E37" s="1692"/>
      <c r="F37" s="580"/>
      <c r="G37" s="1693"/>
      <c r="H37" s="1694"/>
      <c r="I37" s="1695"/>
      <c r="J37" s="1696"/>
      <c r="K37" s="1697"/>
    </row>
    <row r="38" spans="3:11" x14ac:dyDescent="0.2">
      <c r="C38" s="1673">
        <v>35</v>
      </c>
      <c r="D38" s="1691"/>
      <c r="E38" s="1692"/>
      <c r="F38" s="580"/>
      <c r="G38" s="1693"/>
      <c r="H38" s="1694"/>
      <c r="I38" s="1695"/>
      <c r="J38" s="1696"/>
      <c r="K38" s="1697"/>
    </row>
    <row r="39" spans="3:11" x14ac:dyDescent="0.2">
      <c r="C39" s="1673">
        <v>36</v>
      </c>
      <c r="D39" s="1691"/>
      <c r="E39" s="1692"/>
      <c r="F39" s="580"/>
      <c r="G39" s="1693"/>
      <c r="H39" s="1694"/>
      <c r="I39" s="1695"/>
      <c r="J39" s="1696"/>
      <c r="K39" s="1697"/>
    </row>
    <row r="40" spans="3:11" x14ac:dyDescent="0.2">
      <c r="C40" s="1673">
        <v>37</v>
      </c>
      <c r="D40" s="1691"/>
      <c r="E40" s="1692"/>
      <c r="F40" s="580"/>
      <c r="G40" s="1693"/>
      <c r="H40" s="1694"/>
      <c r="I40" s="1695"/>
      <c r="J40" s="1696"/>
      <c r="K40" s="1697"/>
    </row>
    <row r="41" spans="3:11" x14ac:dyDescent="0.2">
      <c r="C41" s="1673">
        <v>38</v>
      </c>
      <c r="D41" s="1691"/>
      <c r="E41" s="1692"/>
      <c r="F41" s="580"/>
      <c r="G41" s="1693"/>
      <c r="H41" s="1694"/>
      <c r="I41" s="1695"/>
      <c r="J41" s="1696"/>
      <c r="K41" s="1697"/>
    </row>
    <row r="42" spans="3:11" x14ac:dyDescent="0.2">
      <c r="C42" s="1673">
        <v>39</v>
      </c>
      <c r="D42" s="1691"/>
      <c r="E42" s="1692"/>
      <c r="F42" s="580"/>
      <c r="G42" s="1693"/>
      <c r="H42" s="1694"/>
      <c r="I42" s="1695"/>
      <c r="J42" s="1696"/>
      <c r="K42" s="1697"/>
    </row>
    <row r="43" spans="3:11" x14ac:dyDescent="0.2">
      <c r="C43" s="1673">
        <v>40</v>
      </c>
      <c r="D43" s="1691"/>
      <c r="E43" s="1692"/>
      <c r="F43" s="580"/>
      <c r="G43" s="1693"/>
      <c r="H43" s="1694"/>
      <c r="I43" s="1695"/>
      <c r="J43" s="1696"/>
      <c r="K43" s="1697"/>
    </row>
    <row r="44" spans="3:11" x14ac:dyDescent="0.2">
      <c r="C44" s="1673">
        <v>41</v>
      </c>
      <c r="D44" s="1691"/>
      <c r="E44" s="1692"/>
      <c r="F44" s="580"/>
      <c r="G44" s="1693"/>
      <c r="H44" s="1694"/>
      <c r="I44" s="1695"/>
      <c r="J44" s="1696"/>
      <c r="K44" s="1697"/>
    </row>
    <row r="45" spans="3:11" x14ac:dyDescent="0.2">
      <c r="C45" s="1673">
        <v>42</v>
      </c>
      <c r="D45" s="1691"/>
      <c r="E45" s="1692"/>
      <c r="F45" s="580"/>
      <c r="G45" s="1693"/>
      <c r="H45" s="1694"/>
      <c r="I45" s="1695"/>
      <c r="J45" s="1696"/>
      <c r="K45" s="1697"/>
    </row>
    <row r="46" spans="3:11" x14ac:dyDescent="0.2">
      <c r="C46" s="1673">
        <v>43</v>
      </c>
      <c r="D46" s="1691"/>
      <c r="E46" s="1692"/>
      <c r="F46" s="580"/>
      <c r="G46" s="1693"/>
      <c r="H46" s="1694"/>
      <c r="I46" s="1695"/>
      <c r="J46" s="1696"/>
      <c r="K46" s="1697"/>
    </row>
    <row r="47" spans="3:11" x14ac:dyDescent="0.2">
      <c r="C47" s="1673">
        <v>44</v>
      </c>
      <c r="D47" s="1691"/>
      <c r="E47" s="1692"/>
      <c r="F47" s="580"/>
      <c r="G47" s="1693"/>
      <c r="H47" s="1694"/>
      <c r="I47" s="1695"/>
      <c r="J47" s="1696"/>
      <c r="K47" s="1697"/>
    </row>
    <row r="48" spans="3:11" x14ac:dyDescent="0.2">
      <c r="C48" s="1673">
        <v>45</v>
      </c>
      <c r="D48" s="1691"/>
      <c r="E48" s="1692"/>
      <c r="F48" s="580"/>
      <c r="G48" s="1693"/>
      <c r="H48" s="1694"/>
      <c r="I48" s="1695"/>
      <c r="J48" s="1696"/>
      <c r="K48" s="1697"/>
    </row>
    <row r="49" spans="3:11" x14ac:dyDescent="0.2">
      <c r="C49" s="1673">
        <v>46</v>
      </c>
      <c r="D49" s="1691"/>
      <c r="E49" s="1692"/>
      <c r="F49" s="580"/>
      <c r="G49" s="1693"/>
      <c r="H49" s="1694"/>
      <c r="I49" s="1695"/>
      <c r="J49" s="1696"/>
      <c r="K49" s="1697"/>
    </row>
    <row r="50" spans="3:11" x14ac:dyDescent="0.2">
      <c r="C50" s="1673">
        <v>47</v>
      </c>
      <c r="D50" s="1691"/>
      <c r="E50" s="1692"/>
      <c r="F50" s="580"/>
      <c r="G50" s="1693"/>
      <c r="H50" s="1694"/>
      <c r="I50" s="1695"/>
      <c r="J50" s="1696"/>
      <c r="K50" s="1697"/>
    </row>
    <row r="51" spans="3:11" x14ac:dyDescent="0.2">
      <c r="C51" s="1673">
        <v>48</v>
      </c>
      <c r="D51" s="1691"/>
      <c r="E51" s="1692"/>
      <c r="F51" s="580"/>
      <c r="G51" s="1693"/>
      <c r="H51" s="1694"/>
      <c r="I51" s="1695"/>
      <c r="J51" s="1696"/>
      <c r="K51" s="1697"/>
    </row>
    <row r="52" spans="3:11" x14ac:dyDescent="0.2">
      <c r="C52" s="1673">
        <v>49</v>
      </c>
      <c r="D52" s="1691"/>
      <c r="E52" s="1692"/>
      <c r="F52" s="580"/>
      <c r="G52" s="1693"/>
      <c r="H52" s="1694"/>
      <c r="I52" s="1695"/>
      <c r="J52" s="1696"/>
      <c r="K52" s="1697"/>
    </row>
    <row r="53" spans="3:11" x14ac:dyDescent="0.2">
      <c r="C53" s="1673">
        <v>50</v>
      </c>
      <c r="D53" s="1691"/>
      <c r="E53" s="1692"/>
      <c r="F53" s="580"/>
      <c r="G53" s="1693"/>
      <c r="H53" s="1694"/>
      <c r="I53" s="1695"/>
      <c r="J53" s="1696"/>
      <c r="K53" s="1697"/>
    </row>
    <row r="54" spans="3:11" x14ac:dyDescent="0.2">
      <c r="C54" s="1673">
        <v>51</v>
      </c>
      <c r="D54" s="1691"/>
      <c r="E54" s="1692"/>
      <c r="F54" s="580"/>
      <c r="G54" s="1693"/>
      <c r="H54" s="1694"/>
      <c r="I54" s="1695"/>
      <c r="J54" s="1696"/>
      <c r="K54" s="1697"/>
    </row>
    <row r="55" spans="3:11" x14ac:dyDescent="0.2">
      <c r="C55" s="1673">
        <v>52</v>
      </c>
      <c r="D55" s="1691"/>
      <c r="E55" s="1692"/>
      <c r="F55" s="580"/>
      <c r="G55" s="1693"/>
      <c r="H55" s="1694"/>
      <c r="I55" s="1695"/>
      <c r="J55" s="1696"/>
      <c r="K55" s="1697"/>
    </row>
    <row r="56" spans="3:11" x14ac:dyDescent="0.2">
      <c r="C56" s="1673">
        <v>53</v>
      </c>
      <c r="D56" s="1691"/>
      <c r="E56" s="1692"/>
      <c r="F56" s="580"/>
      <c r="G56" s="1693"/>
      <c r="H56" s="1694"/>
      <c r="I56" s="1695"/>
      <c r="J56" s="1696"/>
      <c r="K56" s="1697"/>
    </row>
    <row r="57" spans="3:11" x14ac:dyDescent="0.2">
      <c r="C57" s="1673">
        <v>54</v>
      </c>
      <c r="D57" s="1691"/>
      <c r="E57" s="1692"/>
      <c r="F57" s="580"/>
      <c r="G57" s="1693"/>
      <c r="H57" s="1694"/>
      <c r="I57" s="1695"/>
      <c r="J57" s="1696"/>
      <c r="K57" s="1697"/>
    </row>
    <row r="58" spans="3:11" x14ac:dyDescent="0.2">
      <c r="C58" s="1673">
        <v>55</v>
      </c>
      <c r="D58" s="1691"/>
      <c r="E58" s="1692"/>
      <c r="F58" s="580"/>
      <c r="G58" s="1693"/>
      <c r="H58" s="1694"/>
      <c r="I58" s="1695"/>
      <c r="J58" s="1696"/>
      <c r="K58" s="1697"/>
    </row>
    <row r="59" spans="3:11" x14ac:dyDescent="0.2">
      <c r="C59" s="1673">
        <v>56</v>
      </c>
      <c r="D59" s="1691"/>
      <c r="E59" s="1692"/>
      <c r="F59" s="580"/>
      <c r="G59" s="1693"/>
      <c r="H59" s="1694"/>
      <c r="I59" s="1695"/>
      <c r="J59" s="1696"/>
      <c r="K59" s="1697"/>
    </row>
    <row r="60" spans="3:11" x14ac:dyDescent="0.2">
      <c r="C60" s="1673">
        <v>57</v>
      </c>
      <c r="D60" s="1691"/>
      <c r="E60" s="1692"/>
      <c r="F60" s="580"/>
      <c r="G60" s="1693"/>
      <c r="H60" s="1694"/>
      <c r="I60" s="1695"/>
      <c r="J60" s="1696"/>
      <c r="K60" s="1697"/>
    </row>
    <row r="61" spans="3:11" x14ac:dyDescent="0.2">
      <c r="C61" s="1673">
        <v>58</v>
      </c>
      <c r="D61" s="1691"/>
      <c r="E61" s="1692"/>
      <c r="F61" s="580"/>
      <c r="G61" s="1693"/>
      <c r="H61" s="1694"/>
      <c r="I61" s="1695"/>
      <c r="J61" s="1696"/>
      <c r="K61" s="1697"/>
    </row>
    <row r="62" spans="3:11" x14ac:dyDescent="0.2">
      <c r="C62" s="1673">
        <v>59</v>
      </c>
      <c r="D62" s="1691"/>
      <c r="E62" s="1692"/>
      <c r="F62" s="580"/>
      <c r="G62" s="1693"/>
      <c r="H62" s="1694"/>
      <c r="I62" s="1695"/>
      <c r="J62" s="1696"/>
      <c r="K62" s="1697"/>
    </row>
    <row r="63" spans="3:11" x14ac:dyDescent="0.2">
      <c r="C63" s="1673">
        <v>60</v>
      </c>
      <c r="D63" s="1691"/>
      <c r="E63" s="1692"/>
      <c r="F63" s="580"/>
      <c r="G63" s="1693"/>
      <c r="H63" s="1694"/>
      <c r="I63" s="1695"/>
      <c r="J63" s="1696"/>
      <c r="K63" s="1697"/>
    </row>
    <row r="64" spans="3:11" x14ac:dyDescent="0.2">
      <c r="C64" s="1673">
        <v>61</v>
      </c>
      <c r="D64" s="1691"/>
      <c r="E64" s="1692"/>
      <c r="F64" s="580"/>
      <c r="G64" s="1693"/>
      <c r="H64" s="1694"/>
      <c r="I64" s="1695"/>
      <c r="J64" s="1696"/>
      <c r="K64" s="1697"/>
    </row>
    <row r="65" spans="3:11" x14ac:dyDescent="0.2">
      <c r="C65" s="1673">
        <v>62</v>
      </c>
      <c r="D65" s="1691"/>
      <c r="E65" s="1692"/>
      <c r="F65" s="580"/>
      <c r="G65" s="1693"/>
      <c r="H65" s="1694"/>
      <c r="I65" s="1695"/>
      <c r="J65" s="1696"/>
      <c r="K65" s="1697"/>
    </row>
    <row r="66" spans="3:11" x14ac:dyDescent="0.2">
      <c r="C66" s="1673">
        <v>63</v>
      </c>
      <c r="D66" s="1691"/>
      <c r="E66" s="1692"/>
      <c r="F66" s="580"/>
      <c r="G66" s="1693"/>
      <c r="H66" s="1694"/>
      <c r="I66" s="1695"/>
      <c r="J66" s="1696"/>
      <c r="K66" s="1697"/>
    </row>
    <row r="67" spans="3:11" x14ac:dyDescent="0.2">
      <c r="C67" s="1673">
        <v>64</v>
      </c>
      <c r="D67" s="1691"/>
      <c r="E67" s="1692"/>
      <c r="F67" s="580"/>
      <c r="G67" s="1693"/>
      <c r="H67" s="1694"/>
      <c r="I67" s="1695"/>
      <c r="J67" s="1696"/>
      <c r="K67" s="1697"/>
    </row>
    <row r="68" spans="3:11" x14ac:dyDescent="0.2">
      <c r="C68" s="1673">
        <v>65</v>
      </c>
      <c r="D68" s="1691"/>
      <c r="E68" s="1692"/>
      <c r="F68" s="580"/>
      <c r="G68" s="1693"/>
      <c r="H68" s="1694"/>
      <c r="I68" s="1695"/>
      <c r="J68" s="1696"/>
      <c r="K68" s="1697"/>
    </row>
    <row r="69" spans="3:11" x14ac:dyDescent="0.2">
      <c r="C69" s="1673">
        <v>66</v>
      </c>
      <c r="D69" s="1691"/>
      <c r="E69" s="1692"/>
      <c r="F69" s="580"/>
      <c r="G69" s="1693"/>
      <c r="H69" s="1694"/>
      <c r="I69" s="1695"/>
      <c r="J69" s="1696"/>
      <c r="K69" s="1697"/>
    </row>
    <row r="70" spans="3:11" x14ac:dyDescent="0.2">
      <c r="C70" s="1673">
        <v>67</v>
      </c>
      <c r="D70" s="1691"/>
      <c r="E70" s="1692"/>
      <c r="F70" s="580"/>
      <c r="G70" s="1693"/>
      <c r="H70" s="1694"/>
      <c r="I70" s="1695"/>
      <c r="J70" s="1696"/>
      <c r="K70" s="1697"/>
    </row>
    <row r="71" spans="3:11" x14ac:dyDescent="0.2">
      <c r="C71" s="1673">
        <v>68</v>
      </c>
      <c r="D71" s="1691"/>
      <c r="E71" s="1692"/>
      <c r="F71" s="580"/>
      <c r="G71" s="1693"/>
      <c r="H71" s="1694"/>
      <c r="I71" s="1695"/>
      <c r="J71" s="1696"/>
      <c r="K71" s="1697"/>
    </row>
    <row r="72" spans="3:11" x14ac:dyDescent="0.2">
      <c r="C72" s="1673">
        <v>69</v>
      </c>
      <c r="D72" s="1691"/>
      <c r="E72" s="1692"/>
      <c r="F72" s="580"/>
      <c r="G72" s="1693"/>
      <c r="H72" s="1694"/>
      <c r="I72" s="1695"/>
      <c r="J72" s="1696"/>
      <c r="K72" s="1697"/>
    </row>
    <row r="73" spans="3:11" x14ac:dyDescent="0.2">
      <c r="C73" s="1673">
        <v>70</v>
      </c>
      <c r="D73" s="1691"/>
      <c r="E73" s="1692"/>
      <c r="F73" s="580"/>
      <c r="G73" s="1693"/>
      <c r="H73" s="1694"/>
      <c r="I73" s="1695"/>
      <c r="J73" s="1696"/>
      <c r="K73" s="1697"/>
    </row>
    <row r="74" spans="3:11" x14ac:dyDescent="0.2">
      <c r="C74" s="1673">
        <v>71</v>
      </c>
      <c r="D74" s="1691"/>
      <c r="E74" s="1692"/>
      <c r="F74" s="580"/>
      <c r="G74" s="1693"/>
      <c r="H74" s="1694"/>
      <c r="I74" s="1695"/>
      <c r="J74" s="1696"/>
      <c r="K74" s="1697"/>
    </row>
    <row r="75" spans="3:11" x14ac:dyDescent="0.2">
      <c r="C75" s="1673">
        <v>72</v>
      </c>
      <c r="D75" s="1691"/>
      <c r="E75" s="1692"/>
      <c r="F75" s="580"/>
      <c r="G75" s="1693"/>
      <c r="H75" s="1694"/>
      <c r="I75" s="1695"/>
      <c r="J75" s="1696"/>
      <c r="K75" s="1697"/>
    </row>
    <row r="76" spans="3:11" x14ac:dyDescent="0.2">
      <c r="C76" s="1673">
        <v>73</v>
      </c>
      <c r="D76" s="1691"/>
      <c r="E76" s="1692"/>
      <c r="F76" s="580"/>
      <c r="G76" s="1693"/>
      <c r="H76" s="1694"/>
      <c r="I76" s="1695"/>
      <c r="J76" s="1696"/>
      <c r="K76" s="1697"/>
    </row>
    <row r="77" spans="3:11" x14ac:dyDescent="0.2">
      <c r="C77" s="1673">
        <v>74</v>
      </c>
      <c r="D77" s="1691"/>
      <c r="E77" s="1692"/>
      <c r="F77" s="580"/>
      <c r="G77" s="1693"/>
      <c r="H77" s="1694"/>
      <c r="I77" s="1695"/>
      <c r="J77" s="1696"/>
      <c r="K77" s="1697"/>
    </row>
    <row r="78" spans="3:11" x14ac:dyDescent="0.2">
      <c r="C78" s="1673">
        <v>75</v>
      </c>
      <c r="D78" s="1691"/>
      <c r="E78" s="1692"/>
      <c r="F78" s="580"/>
      <c r="G78" s="1693"/>
      <c r="H78" s="1694"/>
      <c r="I78" s="1695"/>
      <c r="J78" s="1696"/>
      <c r="K78" s="1697"/>
    </row>
    <row r="79" spans="3:11" x14ac:dyDescent="0.2">
      <c r="C79" s="1673">
        <v>76</v>
      </c>
      <c r="D79" s="1691"/>
      <c r="E79" s="1692"/>
      <c r="F79" s="580"/>
      <c r="G79" s="1693"/>
      <c r="H79" s="1694"/>
      <c r="I79" s="1695"/>
      <c r="J79" s="1696"/>
      <c r="K79" s="1697"/>
    </row>
    <row r="80" spans="3:11" x14ac:dyDescent="0.2">
      <c r="C80" s="1673">
        <v>77</v>
      </c>
      <c r="D80" s="1691"/>
      <c r="E80" s="1692"/>
      <c r="F80" s="580"/>
      <c r="G80" s="1693"/>
      <c r="H80" s="1694"/>
      <c r="I80" s="1695"/>
      <c r="J80" s="1696"/>
      <c r="K80" s="1697"/>
    </row>
    <row r="81" spans="3:11" x14ac:dyDescent="0.2">
      <c r="C81" s="1673">
        <v>78</v>
      </c>
      <c r="D81" s="1691"/>
      <c r="E81" s="1692"/>
      <c r="F81" s="580"/>
      <c r="G81" s="1693"/>
      <c r="H81" s="1694"/>
      <c r="I81" s="1695"/>
      <c r="J81" s="1696"/>
      <c r="K81" s="1697"/>
    </row>
    <row r="82" spans="3:11" x14ac:dyDescent="0.2">
      <c r="C82" s="1673">
        <v>79</v>
      </c>
      <c r="D82" s="1691"/>
      <c r="E82" s="1692"/>
      <c r="F82" s="580"/>
      <c r="G82" s="1693"/>
      <c r="H82" s="1694"/>
      <c r="I82" s="1695"/>
      <c r="J82" s="1696"/>
      <c r="K82" s="1697"/>
    </row>
    <row r="83" spans="3:11" x14ac:dyDescent="0.2">
      <c r="C83" s="1673">
        <v>80</v>
      </c>
      <c r="D83" s="1691"/>
      <c r="E83" s="1692"/>
      <c r="F83" s="580"/>
      <c r="G83" s="1693"/>
      <c r="H83" s="1694"/>
      <c r="I83" s="1695"/>
      <c r="J83" s="1696"/>
      <c r="K83" s="1697"/>
    </row>
    <row r="84" spans="3:11" x14ac:dyDescent="0.2">
      <c r="C84" s="1673">
        <v>81</v>
      </c>
      <c r="D84" s="1691"/>
      <c r="E84" s="1692"/>
      <c r="F84" s="580"/>
      <c r="G84" s="1693"/>
      <c r="H84" s="1694"/>
      <c r="I84" s="1695"/>
      <c r="J84" s="1696"/>
      <c r="K84" s="1697"/>
    </row>
    <row r="85" spans="3:11" x14ac:dyDescent="0.2">
      <c r="C85" s="1673">
        <v>82</v>
      </c>
      <c r="D85" s="1691"/>
      <c r="E85" s="1692"/>
      <c r="F85" s="580"/>
      <c r="G85" s="1693"/>
      <c r="H85" s="1694"/>
      <c r="I85" s="1695"/>
      <c r="J85" s="1696"/>
      <c r="K85" s="1697"/>
    </row>
    <row r="86" spans="3:11" x14ac:dyDescent="0.2">
      <c r="C86" s="1673">
        <v>83</v>
      </c>
      <c r="D86" s="1691"/>
      <c r="E86" s="1692"/>
      <c r="F86" s="580"/>
      <c r="G86" s="1693"/>
      <c r="H86" s="1694"/>
      <c r="I86" s="1695"/>
      <c r="J86" s="1696"/>
      <c r="K86" s="1697"/>
    </row>
    <row r="87" spans="3:11" x14ac:dyDescent="0.2">
      <c r="C87" s="1673">
        <v>84</v>
      </c>
      <c r="D87" s="1691"/>
      <c r="E87" s="1692"/>
      <c r="F87" s="580"/>
      <c r="G87" s="1693"/>
      <c r="H87" s="1694"/>
      <c r="I87" s="1695"/>
      <c r="J87" s="1696"/>
      <c r="K87" s="1697"/>
    </row>
    <row r="88" spans="3:11" x14ac:dyDescent="0.2">
      <c r="C88" s="1673">
        <v>85</v>
      </c>
      <c r="D88" s="1691"/>
      <c r="E88" s="1692"/>
      <c r="F88" s="580"/>
      <c r="G88" s="1693"/>
      <c r="H88" s="1694"/>
      <c r="I88" s="1695"/>
      <c r="J88" s="1696"/>
      <c r="K88" s="1697"/>
    </row>
    <row r="89" spans="3:11" x14ac:dyDescent="0.2">
      <c r="C89" s="1673">
        <v>86</v>
      </c>
      <c r="D89" s="1691"/>
      <c r="E89" s="1692"/>
      <c r="F89" s="580"/>
      <c r="G89" s="1693"/>
      <c r="H89" s="1694"/>
      <c r="I89" s="1695"/>
      <c r="J89" s="1696"/>
      <c r="K89" s="1697"/>
    </row>
    <row r="90" spans="3:11" x14ac:dyDescent="0.2">
      <c r="C90" s="1673">
        <v>87</v>
      </c>
      <c r="D90" s="1691"/>
      <c r="E90" s="1692"/>
      <c r="F90" s="580"/>
      <c r="G90" s="1693"/>
      <c r="H90" s="1694"/>
      <c r="I90" s="1695"/>
      <c r="J90" s="1696"/>
      <c r="K90" s="1697"/>
    </row>
    <row r="91" spans="3:11" x14ac:dyDescent="0.2">
      <c r="C91" s="1673">
        <v>88</v>
      </c>
      <c r="D91" s="1691"/>
      <c r="E91" s="1692"/>
      <c r="F91" s="580"/>
      <c r="G91" s="1693"/>
      <c r="H91" s="1694"/>
      <c r="I91" s="1695"/>
      <c r="J91" s="1696"/>
      <c r="K91" s="1697"/>
    </row>
    <row r="92" spans="3:11" x14ac:dyDescent="0.2">
      <c r="C92" s="1673">
        <v>89</v>
      </c>
      <c r="D92" s="1691"/>
      <c r="E92" s="1692"/>
      <c r="F92" s="580"/>
      <c r="G92" s="1693"/>
      <c r="H92" s="1694"/>
      <c r="I92" s="1695"/>
      <c r="J92" s="1696"/>
      <c r="K92" s="1697"/>
    </row>
    <row r="93" spans="3:11" x14ac:dyDescent="0.2">
      <c r="C93" s="1673">
        <v>90</v>
      </c>
      <c r="D93" s="1691"/>
      <c r="E93" s="1692"/>
      <c r="F93" s="580"/>
      <c r="G93" s="1693"/>
      <c r="H93" s="1694"/>
      <c r="I93" s="1695"/>
      <c r="J93" s="1696"/>
      <c r="K93" s="1697"/>
    </row>
    <row r="94" spans="3:11" x14ac:dyDescent="0.2">
      <c r="C94" s="1673">
        <v>91</v>
      </c>
      <c r="D94" s="1691"/>
      <c r="E94" s="1692"/>
      <c r="F94" s="580"/>
      <c r="G94" s="1693"/>
      <c r="H94" s="1694"/>
      <c r="I94" s="1695"/>
      <c r="J94" s="1696"/>
      <c r="K94" s="1697"/>
    </row>
    <row r="95" spans="3:11" x14ac:dyDescent="0.2">
      <c r="C95" s="1673">
        <v>92</v>
      </c>
      <c r="D95" s="1691"/>
      <c r="E95" s="1692"/>
      <c r="F95" s="580"/>
      <c r="G95" s="1693"/>
      <c r="H95" s="1694"/>
      <c r="I95" s="1695"/>
      <c r="J95" s="1696"/>
      <c r="K95" s="1697"/>
    </row>
    <row r="96" spans="3:11" x14ac:dyDescent="0.2">
      <c r="C96" s="1673">
        <v>93</v>
      </c>
      <c r="D96" s="1691"/>
      <c r="E96" s="1692"/>
      <c r="F96" s="580"/>
      <c r="G96" s="1693"/>
      <c r="H96" s="1694"/>
      <c r="I96" s="1695"/>
      <c r="J96" s="1696"/>
      <c r="K96" s="1697"/>
    </row>
    <row r="97" spans="3:11" x14ac:dyDescent="0.2">
      <c r="C97" s="1673">
        <v>94</v>
      </c>
      <c r="D97" s="1691"/>
      <c r="E97" s="1692"/>
      <c r="F97" s="580"/>
      <c r="G97" s="1693"/>
      <c r="H97" s="1694"/>
      <c r="I97" s="1695"/>
      <c r="J97" s="1696"/>
      <c r="K97" s="1697"/>
    </row>
    <row r="98" spans="3:11" x14ac:dyDescent="0.2">
      <c r="C98" s="1673">
        <v>95</v>
      </c>
      <c r="D98" s="1691"/>
      <c r="E98" s="1692"/>
      <c r="F98" s="580"/>
      <c r="G98" s="1693"/>
      <c r="H98" s="1694"/>
      <c r="I98" s="1695"/>
      <c r="J98" s="1696"/>
      <c r="K98" s="1697"/>
    </row>
    <row r="99" spans="3:11" x14ac:dyDescent="0.2">
      <c r="C99" s="1673">
        <v>96</v>
      </c>
      <c r="D99" s="1691"/>
      <c r="E99" s="1692"/>
      <c r="F99" s="580"/>
      <c r="G99" s="1693"/>
      <c r="H99" s="1694"/>
      <c r="I99" s="1695"/>
      <c r="J99" s="1696"/>
      <c r="K99" s="1697"/>
    </row>
    <row r="100" spans="3:11" x14ac:dyDescent="0.2">
      <c r="C100" s="1673">
        <v>97</v>
      </c>
      <c r="D100" s="1691"/>
      <c r="E100" s="1692"/>
      <c r="F100" s="580"/>
      <c r="G100" s="1693"/>
      <c r="H100" s="1694"/>
      <c r="I100" s="1695"/>
      <c r="J100" s="1696"/>
      <c r="K100" s="1697"/>
    </row>
    <row r="101" spans="3:11" x14ac:dyDescent="0.2">
      <c r="C101" s="1673">
        <v>98</v>
      </c>
      <c r="D101" s="1691"/>
      <c r="E101" s="1692"/>
      <c r="F101" s="580"/>
      <c r="G101" s="1693"/>
      <c r="H101" s="1694"/>
      <c r="I101" s="1695"/>
      <c r="J101" s="1696"/>
      <c r="K101" s="1697"/>
    </row>
    <row r="102" spans="3:11" x14ac:dyDescent="0.2">
      <c r="C102" s="1673">
        <v>99</v>
      </c>
      <c r="D102" s="1691"/>
      <c r="E102" s="1692"/>
      <c r="F102" s="580"/>
      <c r="G102" s="1693"/>
      <c r="H102" s="1694"/>
      <c r="I102" s="1695"/>
      <c r="J102" s="1696"/>
      <c r="K102" s="1697"/>
    </row>
    <row r="103" spans="3:11" x14ac:dyDescent="0.2">
      <c r="C103" s="1673">
        <v>100</v>
      </c>
      <c r="D103" s="1691"/>
      <c r="E103" s="1692"/>
      <c r="F103" s="580"/>
      <c r="G103" s="1693"/>
      <c r="H103" s="1694"/>
      <c r="I103" s="1695"/>
      <c r="J103" s="1696"/>
      <c r="K103" s="1697"/>
    </row>
    <row r="104" spans="3:11" x14ac:dyDescent="0.2">
      <c r="C104" s="1673">
        <v>101</v>
      </c>
      <c r="D104" s="1691"/>
      <c r="E104" s="1692"/>
      <c r="F104" s="580"/>
      <c r="G104" s="1693"/>
      <c r="H104" s="1694"/>
      <c r="I104" s="1695"/>
      <c r="J104" s="1696"/>
      <c r="K104" s="1697"/>
    </row>
    <row r="105" spans="3:11" x14ac:dyDescent="0.2">
      <c r="C105" s="1673">
        <v>102</v>
      </c>
      <c r="D105" s="1691"/>
      <c r="E105" s="1692"/>
      <c r="F105" s="580"/>
      <c r="G105" s="1693"/>
      <c r="H105" s="1694"/>
      <c r="I105" s="1695"/>
      <c r="J105" s="1696"/>
      <c r="K105" s="1697"/>
    </row>
    <row r="106" spans="3:11" x14ac:dyDescent="0.2">
      <c r="C106" s="1673">
        <v>103</v>
      </c>
      <c r="D106" s="1691"/>
      <c r="E106" s="1692"/>
      <c r="F106" s="580"/>
      <c r="G106" s="1693"/>
      <c r="H106" s="1694"/>
      <c r="I106" s="1695"/>
      <c r="J106" s="1696"/>
      <c r="K106" s="1697"/>
    </row>
    <row r="107" spans="3:11" x14ac:dyDescent="0.2">
      <c r="C107" s="1673">
        <v>104</v>
      </c>
      <c r="D107" s="1691"/>
      <c r="E107" s="1692"/>
      <c r="F107" s="580"/>
      <c r="G107" s="1693"/>
      <c r="H107" s="1694"/>
      <c r="I107" s="1695"/>
      <c r="J107" s="1696"/>
      <c r="K107" s="1697"/>
    </row>
    <row r="108" spans="3:11" x14ac:dyDescent="0.2">
      <c r="C108" s="1673">
        <v>105</v>
      </c>
      <c r="D108" s="1691"/>
      <c r="E108" s="1692"/>
      <c r="F108" s="580"/>
      <c r="G108" s="1693"/>
      <c r="H108" s="1694"/>
      <c r="I108" s="1695"/>
      <c r="J108" s="1696"/>
      <c r="K108" s="1697"/>
    </row>
    <row r="109" spans="3:11" x14ac:dyDescent="0.2">
      <c r="C109" s="1673">
        <v>106</v>
      </c>
      <c r="D109" s="1691"/>
      <c r="E109" s="1692"/>
      <c r="F109" s="580"/>
      <c r="G109" s="1693"/>
      <c r="H109" s="1694"/>
      <c r="I109" s="1695"/>
      <c r="J109" s="1696"/>
      <c r="K109" s="1697"/>
    </row>
    <row r="110" spans="3:11" x14ac:dyDescent="0.2">
      <c r="C110" s="1673">
        <v>107</v>
      </c>
      <c r="D110" s="1691"/>
      <c r="E110" s="1692"/>
      <c r="F110" s="580"/>
      <c r="G110" s="1693"/>
      <c r="H110" s="1694"/>
      <c r="I110" s="1695"/>
      <c r="J110" s="1696"/>
      <c r="K110" s="1697"/>
    </row>
    <row r="111" spans="3:11" x14ac:dyDescent="0.2">
      <c r="C111" s="1673">
        <v>108</v>
      </c>
      <c r="D111" s="1691"/>
      <c r="E111" s="1692"/>
      <c r="F111" s="580"/>
      <c r="G111" s="1693"/>
      <c r="H111" s="1694"/>
      <c r="I111" s="1695"/>
      <c r="J111" s="1696"/>
      <c r="K111" s="1697"/>
    </row>
    <row r="112" spans="3:11" x14ac:dyDescent="0.2">
      <c r="C112" s="1673">
        <v>109</v>
      </c>
      <c r="D112" s="1691"/>
      <c r="E112" s="1692"/>
      <c r="F112" s="580"/>
      <c r="G112" s="1693"/>
      <c r="H112" s="1694"/>
      <c r="I112" s="1695"/>
      <c r="J112" s="1696"/>
      <c r="K112" s="1697"/>
    </row>
    <row r="113" spans="3:11" x14ac:dyDescent="0.2">
      <c r="C113" s="1673">
        <v>110</v>
      </c>
      <c r="D113" s="1691"/>
      <c r="E113" s="1692"/>
      <c r="F113" s="580"/>
      <c r="G113" s="1693"/>
      <c r="H113" s="1694"/>
      <c r="I113" s="1695"/>
      <c r="J113" s="1696"/>
      <c r="K113" s="1697"/>
    </row>
    <row r="114" spans="3:11" x14ac:dyDescent="0.2">
      <c r="C114" s="1673">
        <v>111</v>
      </c>
      <c r="D114" s="1691"/>
      <c r="E114" s="1692"/>
      <c r="F114" s="580"/>
      <c r="G114" s="1693"/>
      <c r="H114" s="1694"/>
      <c r="I114" s="1695"/>
      <c r="J114" s="1696"/>
      <c r="K114" s="1697"/>
    </row>
    <row r="115" spans="3:11" x14ac:dyDescent="0.2">
      <c r="C115" s="1673">
        <v>112</v>
      </c>
      <c r="D115" s="1691"/>
      <c r="E115" s="1692"/>
      <c r="F115" s="580"/>
      <c r="G115" s="1693"/>
      <c r="H115" s="1694"/>
      <c r="I115" s="1695"/>
      <c r="J115" s="1696"/>
      <c r="K115" s="1697"/>
    </row>
    <row r="116" spans="3:11" x14ac:dyDescent="0.2">
      <c r="C116" s="1673">
        <v>113</v>
      </c>
      <c r="D116" s="1691"/>
      <c r="E116" s="1692"/>
      <c r="F116" s="580"/>
      <c r="G116" s="1693"/>
      <c r="H116" s="1694"/>
      <c r="I116" s="1695"/>
      <c r="J116" s="1696"/>
      <c r="K116" s="1697"/>
    </row>
    <row r="117" spans="3:11" x14ac:dyDescent="0.2">
      <c r="C117" s="1673">
        <v>114</v>
      </c>
      <c r="D117" s="1691"/>
      <c r="E117" s="1692"/>
      <c r="F117" s="580"/>
      <c r="G117" s="1693"/>
      <c r="H117" s="1694"/>
      <c r="I117" s="1695"/>
      <c r="J117" s="1696"/>
      <c r="K117" s="1697"/>
    </row>
    <row r="118" spans="3:11" x14ac:dyDescent="0.2">
      <c r="C118" s="1673">
        <v>115</v>
      </c>
      <c r="D118" s="1691"/>
      <c r="E118" s="1692"/>
      <c r="F118" s="580"/>
      <c r="G118" s="1693"/>
      <c r="H118" s="1694"/>
      <c r="I118" s="1695"/>
      <c r="J118" s="1696"/>
      <c r="K118" s="1697"/>
    </row>
    <row r="119" spans="3:11" x14ac:dyDescent="0.2">
      <c r="C119" s="1673">
        <v>116</v>
      </c>
      <c r="D119" s="1691"/>
      <c r="E119" s="1692"/>
      <c r="F119" s="580"/>
      <c r="G119" s="1693"/>
      <c r="H119" s="1694"/>
      <c r="I119" s="1695"/>
      <c r="J119" s="1696"/>
      <c r="K119" s="1697"/>
    </row>
    <row r="120" spans="3:11" x14ac:dyDescent="0.2">
      <c r="C120" s="1673">
        <v>117</v>
      </c>
      <c r="D120" s="1691"/>
      <c r="E120" s="1692"/>
      <c r="F120" s="580"/>
      <c r="G120" s="1693"/>
      <c r="H120" s="1694"/>
      <c r="I120" s="1695"/>
      <c r="J120" s="1696"/>
      <c r="K120" s="1697"/>
    </row>
    <row r="121" spans="3:11" x14ac:dyDescent="0.2">
      <c r="C121" s="1673">
        <v>118</v>
      </c>
      <c r="D121" s="1691"/>
      <c r="E121" s="1692"/>
      <c r="F121" s="580"/>
      <c r="G121" s="1693"/>
      <c r="H121" s="1694"/>
      <c r="I121" s="1695"/>
      <c r="J121" s="1696"/>
      <c r="K121" s="1697"/>
    </row>
    <row r="122" spans="3:11" x14ac:dyDescent="0.2">
      <c r="C122" s="1673">
        <v>119</v>
      </c>
      <c r="D122" s="1691"/>
      <c r="E122" s="1692"/>
      <c r="F122" s="580"/>
      <c r="G122" s="1693"/>
      <c r="H122" s="1694"/>
      <c r="I122" s="1695"/>
      <c r="J122" s="1696"/>
      <c r="K122" s="1697"/>
    </row>
    <row r="123" spans="3:11" x14ac:dyDescent="0.2">
      <c r="C123" s="1673">
        <v>120</v>
      </c>
      <c r="D123" s="1691"/>
      <c r="E123" s="1692"/>
      <c r="F123" s="580"/>
      <c r="G123" s="1693"/>
      <c r="H123" s="1694"/>
      <c r="I123" s="1695"/>
      <c r="J123" s="1696"/>
      <c r="K123" s="1697"/>
    </row>
    <row r="124" spans="3:11" x14ac:dyDescent="0.2">
      <c r="C124" s="1673">
        <v>121</v>
      </c>
      <c r="D124" s="1691"/>
      <c r="E124" s="1692"/>
      <c r="F124" s="580"/>
      <c r="G124" s="1693"/>
      <c r="H124" s="1694"/>
      <c r="I124" s="1695"/>
      <c r="J124" s="1696"/>
      <c r="K124" s="1697"/>
    </row>
    <row r="125" spans="3:11" x14ac:dyDescent="0.2">
      <c r="C125" s="1673">
        <v>122</v>
      </c>
      <c r="D125" s="1691"/>
      <c r="E125" s="1692"/>
      <c r="F125" s="580"/>
      <c r="G125" s="1693"/>
      <c r="H125" s="1694"/>
      <c r="I125" s="1695"/>
      <c r="J125" s="1696"/>
      <c r="K125" s="1697"/>
    </row>
    <row r="126" spans="3:11" x14ac:dyDescent="0.2">
      <c r="C126" s="1673">
        <v>123</v>
      </c>
      <c r="D126" s="1691"/>
      <c r="E126" s="1692"/>
      <c r="F126" s="580"/>
      <c r="G126" s="1693"/>
      <c r="H126" s="1694"/>
      <c r="I126" s="1695"/>
      <c r="J126" s="1696"/>
      <c r="K126" s="1697"/>
    </row>
    <row r="127" spans="3:11" x14ac:dyDescent="0.2">
      <c r="C127" s="1673">
        <v>124</v>
      </c>
      <c r="D127" s="1691"/>
      <c r="E127" s="1692"/>
      <c r="F127" s="580"/>
      <c r="G127" s="1693"/>
      <c r="H127" s="1694"/>
      <c r="I127" s="1695"/>
      <c r="J127" s="1696"/>
      <c r="K127" s="1697"/>
    </row>
    <row r="128" spans="3:11" x14ac:dyDescent="0.2">
      <c r="C128" s="1673">
        <v>125</v>
      </c>
      <c r="D128" s="1691"/>
      <c r="E128" s="1692"/>
      <c r="F128" s="580"/>
      <c r="G128" s="1693"/>
      <c r="H128" s="1694"/>
      <c r="I128" s="1695"/>
      <c r="J128" s="1696"/>
      <c r="K128" s="1697"/>
    </row>
    <row r="129" spans="3:11" x14ac:dyDescent="0.2">
      <c r="C129" s="1673">
        <v>126</v>
      </c>
      <c r="D129" s="1691"/>
      <c r="E129" s="1692"/>
      <c r="F129" s="580"/>
      <c r="G129" s="1693"/>
      <c r="H129" s="1694"/>
      <c r="I129" s="1695"/>
      <c r="J129" s="1696"/>
      <c r="K129" s="1697"/>
    </row>
    <row r="130" spans="3:11" x14ac:dyDescent="0.2">
      <c r="C130" s="1673">
        <v>127</v>
      </c>
      <c r="D130" s="1691"/>
      <c r="E130" s="1692"/>
      <c r="F130" s="580"/>
      <c r="G130" s="1693"/>
      <c r="H130" s="1694"/>
      <c r="I130" s="1695"/>
      <c r="J130" s="1696"/>
      <c r="K130" s="1697"/>
    </row>
    <row r="131" spans="3:11" x14ac:dyDescent="0.2">
      <c r="C131" s="1673">
        <v>128</v>
      </c>
      <c r="D131" s="1691"/>
      <c r="E131" s="1692"/>
      <c r="F131" s="580"/>
      <c r="G131" s="1693"/>
      <c r="H131" s="1694"/>
      <c r="I131" s="1695"/>
      <c r="J131" s="1696"/>
      <c r="K131" s="1697"/>
    </row>
    <row r="132" spans="3:11" x14ac:dyDescent="0.2">
      <c r="C132" s="1673">
        <v>129</v>
      </c>
      <c r="D132" s="1691"/>
      <c r="E132" s="1692"/>
      <c r="F132" s="580"/>
      <c r="G132" s="1693"/>
      <c r="H132" s="1694"/>
      <c r="I132" s="1695"/>
      <c r="J132" s="1696"/>
      <c r="K132" s="1697"/>
    </row>
    <row r="133" spans="3:11" x14ac:dyDescent="0.2">
      <c r="C133" s="1673">
        <v>130</v>
      </c>
      <c r="D133" s="1691"/>
      <c r="E133" s="1692"/>
      <c r="F133" s="580"/>
      <c r="G133" s="1693"/>
      <c r="H133" s="1694"/>
      <c r="I133" s="1695"/>
      <c r="J133" s="1696"/>
      <c r="K133" s="1697"/>
    </row>
    <row r="134" spans="3:11" x14ac:dyDescent="0.2">
      <c r="C134" s="1673">
        <v>131</v>
      </c>
      <c r="D134" s="1691"/>
      <c r="E134" s="1692"/>
      <c r="F134" s="580"/>
      <c r="G134" s="1693"/>
      <c r="H134" s="1694"/>
      <c r="I134" s="1695"/>
      <c r="J134" s="1696"/>
      <c r="K134" s="1697"/>
    </row>
    <row r="135" spans="3:11" x14ac:dyDescent="0.2">
      <c r="C135" s="1673">
        <v>132</v>
      </c>
      <c r="D135" s="1691"/>
      <c r="E135" s="1692"/>
      <c r="F135" s="580"/>
      <c r="G135" s="1693"/>
      <c r="H135" s="1694"/>
      <c r="I135" s="1695"/>
      <c r="J135" s="1696"/>
      <c r="K135" s="1697"/>
    </row>
    <row r="136" spans="3:11" x14ac:dyDescent="0.2">
      <c r="C136" s="1673">
        <v>133</v>
      </c>
      <c r="D136" s="1691"/>
      <c r="E136" s="1692"/>
      <c r="F136" s="580"/>
      <c r="G136" s="1693"/>
      <c r="H136" s="1694"/>
      <c r="I136" s="1695"/>
      <c r="J136" s="1696"/>
      <c r="K136" s="1697"/>
    </row>
    <row r="137" spans="3:11" x14ac:dyDescent="0.2">
      <c r="C137" s="1673">
        <v>134</v>
      </c>
      <c r="D137" s="1691"/>
      <c r="E137" s="1692"/>
      <c r="F137" s="580"/>
      <c r="G137" s="1693"/>
      <c r="H137" s="1694"/>
      <c r="I137" s="1695"/>
      <c r="J137" s="1696"/>
      <c r="K137" s="1697"/>
    </row>
    <row r="138" spans="3:11" x14ac:dyDescent="0.2">
      <c r="C138" s="1673">
        <v>135</v>
      </c>
      <c r="D138" s="1691"/>
      <c r="E138" s="1692"/>
      <c r="F138" s="580"/>
      <c r="G138" s="1693"/>
      <c r="H138" s="1694"/>
      <c r="I138" s="1695"/>
      <c r="J138" s="1696"/>
      <c r="K138" s="1697"/>
    </row>
    <row r="139" spans="3:11" x14ac:dyDescent="0.2">
      <c r="C139" s="1673">
        <v>136</v>
      </c>
      <c r="D139" s="1691"/>
      <c r="E139" s="1692"/>
      <c r="F139" s="580"/>
      <c r="G139" s="1693"/>
      <c r="H139" s="1694"/>
      <c r="I139" s="1695"/>
      <c r="J139" s="1696"/>
      <c r="K139" s="1697"/>
    </row>
    <row r="140" spans="3:11" x14ac:dyDescent="0.2">
      <c r="C140" s="1673">
        <v>137</v>
      </c>
      <c r="D140" s="1691"/>
      <c r="E140" s="1692"/>
      <c r="F140" s="580"/>
      <c r="G140" s="1693"/>
      <c r="H140" s="1694"/>
      <c r="I140" s="1695"/>
      <c r="J140" s="1696"/>
      <c r="K140" s="1697"/>
    </row>
    <row r="141" spans="3:11" x14ac:dyDescent="0.2">
      <c r="C141" s="1673">
        <v>138</v>
      </c>
      <c r="D141" s="1691"/>
      <c r="E141" s="1692"/>
      <c r="F141" s="580"/>
      <c r="G141" s="1693"/>
      <c r="H141" s="1694"/>
      <c r="I141" s="1695"/>
      <c r="J141" s="1696"/>
      <c r="K141" s="1697"/>
    </row>
    <row r="142" spans="3:11" x14ac:dyDescent="0.2">
      <c r="C142" s="1673">
        <v>139</v>
      </c>
      <c r="D142" s="1691"/>
      <c r="E142" s="1692"/>
      <c r="F142" s="580"/>
      <c r="G142" s="1693"/>
      <c r="H142" s="1694"/>
      <c r="I142" s="1695"/>
      <c r="J142" s="1696"/>
      <c r="K142" s="1697"/>
    </row>
    <row r="143" spans="3:11" x14ac:dyDescent="0.2">
      <c r="C143" s="1673">
        <v>140</v>
      </c>
      <c r="D143" s="1691"/>
      <c r="E143" s="1692"/>
      <c r="F143" s="580"/>
      <c r="G143" s="1693"/>
      <c r="H143" s="1694"/>
      <c r="I143" s="1695"/>
      <c r="J143" s="1696"/>
      <c r="K143" s="1697"/>
    </row>
    <row r="144" spans="3:11" x14ac:dyDescent="0.2">
      <c r="C144" s="1673">
        <v>141</v>
      </c>
      <c r="D144" s="1691"/>
      <c r="E144" s="1692"/>
      <c r="F144" s="580"/>
      <c r="G144" s="1693"/>
      <c r="H144" s="1694"/>
      <c r="I144" s="1695"/>
      <c r="J144" s="1696"/>
      <c r="K144" s="1697"/>
    </row>
    <row r="145" spans="3:11" x14ac:dyDescent="0.2">
      <c r="C145" s="1673">
        <v>142</v>
      </c>
      <c r="D145" s="1691"/>
      <c r="E145" s="1692"/>
      <c r="F145" s="580"/>
      <c r="G145" s="1693"/>
      <c r="H145" s="1694"/>
      <c r="I145" s="1695"/>
      <c r="J145" s="1696"/>
      <c r="K145" s="1697"/>
    </row>
    <row r="146" spans="3:11" x14ac:dyDescent="0.2">
      <c r="C146" s="1673">
        <v>143</v>
      </c>
      <c r="D146" s="1691"/>
      <c r="E146" s="1692"/>
      <c r="F146" s="580"/>
      <c r="G146" s="1693"/>
      <c r="H146" s="1694"/>
      <c r="I146" s="1695"/>
      <c r="J146" s="1696"/>
      <c r="K146" s="1697"/>
    </row>
    <row r="147" spans="3:11" x14ac:dyDescent="0.2">
      <c r="C147" s="1673">
        <v>144</v>
      </c>
      <c r="D147" s="1691"/>
      <c r="E147" s="1692"/>
      <c r="F147" s="580"/>
      <c r="G147" s="1693"/>
      <c r="H147" s="1694"/>
      <c r="I147" s="1695"/>
      <c r="J147" s="1696"/>
      <c r="K147" s="1697"/>
    </row>
    <row r="148" spans="3:11" x14ac:dyDescent="0.2">
      <c r="C148" s="1673">
        <v>145</v>
      </c>
      <c r="D148" s="1691"/>
      <c r="E148" s="1692"/>
      <c r="F148" s="580"/>
      <c r="G148" s="1693"/>
      <c r="H148" s="1694"/>
      <c r="I148" s="1695"/>
      <c r="J148" s="1696"/>
      <c r="K148" s="1697"/>
    </row>
    <row r="149" spans="3:11" x14ac:dyDescent="0.2">
      <c r="C149" s="1673">
        <v>146</v>
      </c>
      <c r="D149" s="1691"/>
      <c r="E149" s="1692"/>
      <c r="F149" s="580"/>
      <c r="G149" s="1693"/>
      <c r="H149" s="1694"/>
      <c r="I149" s="1695"/>
      <c r="J149" s="1696"/>
      <c r="K149" s="1697"/>
    </row>
    <row r="150" spans="3:11" x14ac:dyDescent="0.2">
      <c r="C150" s="1673">
        <v>147</v>
      </c>
      <c r="D150" s="1691"/>
      <c r="E150" s="1692"/>
      <c r="F150" s="580"/>
      <c r="G150" s="1693"/>
      <c r="H150" s="1694"/>
      <c r="I150" s="1695"/>
      <c r="J150" s="1696"/>
      <c r="K150" s="1697"/>
    </row>
    <row r="151" spans="3:11" x14ac:dyDescent="0.2">
      <c r="C151" s="1673">
        <v>148</v>
      </c>
      <c r="D151" s="1691"/>
      <c r="E151" s="1692"/>
      <c r="F151" s="580"/>
      <c r="G151" s="1693"/>
      <c r="H151" s="1694"/>
      <c r="I151" s="1695"/>
      <c r="J151" s="1696"/>
      <c r="K151" s="1697"/>
    </row>
    <row r="152" spans="3:11" x14ac:dyDescent="0.2">
      <c r="C152" s="1673">
        <v>149</v>
      </c>
      <c r="D152" s="1691"/>
      <c r="E152" s="1692"/>
      <c r="F152" s="580"/>
      <c r="G152" s="1693"/>
      <c r="H152" s="1694"/>
      <c r="I152" s="1695"/>
      <c r="J152" s="1696"/>
      <c r="K152" s="1697"/>
    </row>
    <row r="153" spans="3:11" x14ac:dyDescent="0.2">
      <c r="C153" s="1673">
        <v>150</v>
      </c>
      <c r="D153" s="1691"/>
      <c r="E153" s="1692"/>
      <c r="F153" s="580"/>
      <c r="G153" s="1693"/>
      <c r="H153" s="1694"/>
      <c r="I153" s="1695"/>
      <c r="J153" s="1696"/>
      <c r="K153" s="1697"/>
    </row>
    <row r="154" spans="3:11" x14ac:dyDescent="0.2">
      <c r="C154" s="1673">
        <v>151</v>
      </c>
      <c r="D154" s="1691"/>
      <c r="E154" s="1692"/>
      <c r="F154" s="580"/>
      <c r="G154" s="1693"/>
      <c r="H154" s="1694"/>
      <c r="I154" s="1695"/>
      <c r="J154" s="1696"/>
      <c r="K154" s="1697"/>
    </row>
    <row r="155" spans="3:11" x14ac:dyDescent="0.2">
      <c r="C155" s="1673">
        <v>152</v>
      </c>
      <c r="D155" s="1691"/>
      <c r="E155" s="1692"/>
      <c r="F155" s="580"/>
      <c r="G155" s="1693"/>
      <c r="H155" s="1694"/>
      <c r="I155" s="1695"/>
      <c r="J155" s="1696"/>
      <c r="K155" s="1697"/>
    </row>
    <row r="156" spans="3:11" x14ac:dyDescent="0.2">
      <c r="C156" s="1673">
        <v>153</v>
      </c>
      <c r="D156" s="1691"/>
      <c r="E156" s="1692"/>
      <c r="F156" s="580"/>
      <c r="G156" s="1693"/>
      <c r="H156" s="1694"/>
      <c r="I156" s="1695"/>
      <c r="J156" s="1696"/>
      <c r="K156" s="1697"/>
    </row>
    <row r="157" spans="3:11" x14ac:dyDescent="0.2">
      <c r="C157" s="1673">
        <v>154</v>
      </c>
      <c r="D157" s="1691"/>
      <c r="E157" s="1692"/>
      <c r="F157" s="580"/>
      <c r="G157" s="1693"/>
      <c r="H157" s="1694"/>
      <c r="I157" s="1695"/>
      <c r="J157" s="1696"/>
      <c r="K157" s="1697"/>
    </row>
    <row r="158" spans="3:11" x14ac:dyDescent="0.2">
      <c r="C158" s="1673">
        <v>155</v>
      </c>
      <c r="D158" s="1691"/>
      <c r="E158" s="1692"/>
      <c r="F158" s="580"/>
      <c r="G158" s="1693"/>
      <c r="H158" s="1694"/>
      <c r="I158" s="1695"/>
      <c r="J158" s="1696"/>
      <c r="K158" s="1697"/>
    </row>
    <row r="159" spans="3:11" x14ac:dyDescent="0.2">
      <c r="C159" s="1673">
        <v>156</v>
      </c>
      <c r="D159" s="1691"/>
      <c r="E159" s="1692"/>
      <c r="F159" s="580"/>
      <c r="G159" s="1693"/>
      <c r="H159" s="1694"/>
      <c r="I159" s="1695"/>
      <c r="J159" s="1696"/>
      <c r="K159" s="1697"/>
    </row>
    <row r="160" spans="3:11" x14ac:dyDescent="0.2">
      <c r="C160" s="1673">
        <v>157</v>
      </c>
      <c r="D160" s="1691"/>
      <c r="E160" s="1692"/>
      <c r="F160" s="580"/>
      <c r="G160" s="1693"/>
      <c r="H160" s="1694"/>
      <c r="I160" s="1695"/>
      <c r="J160" s="1696"/>
      <c r="K160" s="1697"/>
    </row>
    <row r="161" spans="3:11" x14ac:dyDescent="0.2">
      <c r="C161" s="1673">
        <v>158</v>
      </c>
      <c r="D161" s="1691"/>
      <c r="E161" s="1692"/>
      <c r="F161" s="580"/>
      <c r="G161" s="1693"/>
      <c r="H161" s="1694"/>
      <c r="I161" s="1695"/>
      <c r="J161" s="1696"/>
      <c r="K161" s="1697"/>
    </row>
    <row r="162" spans="3:11" x14ac:dyDescent="0.2">
      <c r="C162" s="1673">
        <v>159</v>
      </c>
      <c r="D162" s="1691"/>
      <c r="E162" s="1692"/>
      <c r="F162" s="580"/>
      <c r="G162" s="1693"/>
      <c r="H162" s="1694"/>
      <c r="I162" s="1695"/>
      <c r="J162" s="1696"/>
      <c r="K162" s="1697"/>
    </row>
    <row r="163" spans="3:11" x14ac:dyDescent="0.2">
      <c r="C163" s="1673">
        <v>160</v>
      </c>
      <c r="D163" s="1691"/>
      <c r="E163" s="1692"/>
      <c r="F163" s="580"/>
      <c r="G163" s="1693"/>
      <c r="H163" s="1694"/>
      <c r="I163" s="1695"/>
      <c r="J163" s="1696"/>
      <c r="K163" s="1697"/>
    </row>
    <row r="164" spans="3:11" x14ac:dyDescent="0.2">
      <c r="C164" s="1673">
        <v>161</v>
      </c>
      <c r="D164" s="1691"/>
      <c r="E164" s="1692"/>
      <c r="F164" s="580"/>
      <c r="G164" s="1693"/>
      <c r="H164" s="1694"/>
      <c r="I164" s="1695"/>
      <c r="J164" s="1696"/>
      <c r="K164" s="1697"/>
    </row>
    <row r="165" spans="3:11" x14ac:dyDescent="0.2">
      <c r="C165" s="1673">
        <v>162</v>
      </c>
      <c r="D165" s="1691"/>
      <c r="E165" s="1692"/>
      <c r="F165" s="580"/>
      <c r="G165" s="1693"/>
      <c r="H165" s="1694"/>
      <c r="I165" s="1695"/>
      <c r="J165" s="1696"/>
      <c r="K165" s="1697"/>
    </row>
    <row r="166" spans="3:11" x14ac:dyDescent="0.2">
      <c r="C166" s="1673">
        <v>163</v>
      </c>
      <c r="D166" s="1691"/>
      <c r="E166" s="1692"/>
      <c r="F166" s="580"/>
      <c r="G166" s="1693"/>
      <c r="H166" s="1694"/>
      <c r="I166" s="1695"/>
      <c r="J166" s="1696"/>
      <c r="K166" s="1697"/>
    </row>
    <row r="167" spans="3:11" x14ac:dyDescent="0.2">
      <c r="C167" s="1673">
        <v>164</v>
      </c>
      <c r="D167" s="1691"/>
      <c r="E167" s="1692"/>
      <c r="F167" s="580"/>
      <c r="G167" s="1693"/>
      <c r="H167" s="1694"/>
      <c r="I167" s="1695"/>
      <c r="J167" s="1696"/>
      <c r="K167" s="1697"/>
    </row>
    <row r="168" spans="3:11" x14ac:dyDescent="0.2">
      <c r="C168" s="1673">
        <v>165</v>
      </c>
      <c r="D168" s="1691"/>
      <c r="E168" s="1692"/>
      <c r="F168" s="580"/>
      <c r="G168" s="1693"/>
      <c r="H168" s="1694"/>
      <c r="I168" s="1695"/>
      <c r="J168" s="1696"/>
      <c r="K168" s="1697"/>
    </row>
    <row r="169" spans="3:11" x14ac:dyDescent="0.2">
      <c r="C169" s="1673">
        <v>166</v>
      </c>
      <c r="D169" s="1691"/>
      <c r="E169" s="1692"/>
      <c r="F169" s="580"/>
      <c r="G169" s="1693"/>
      <c r="H169" s="1694"/>
      <c r="I169" s="1695"/>
      <c r="J169" s="1696"/>
      <c r="K169" s="1697"/>
    </row>
    <row r="170" spans="3:11" x14ac:dyDescent="0.2">
      <c r="C170" s="1673">
        <v>167</v>
      </c>
      <c r="D170" s="1691"/>
      <c r="E170" s="1692"/>
      <c r="F170" s="580"/>
      <c r="G170" s="1693"/>
      <c r="H170" s="1694"/>
      <c r="I170" s="1695"/>
      <c r="J170" s="1696"/>
      <c r="K170" s="1697"/>
    </row>
    <row r="171" spans="3:11" x14ac:dyDescent="0.2">
      <c r="C171" s="1673">
        <v>168</v>
      </c>
      <c r="D171" s="1691"/>
      <c r="E171" s="1692"/>
      <c r="F171" s="580"/>
      <c r="G171" s="1693"/>
      <c r="H171" s="1694"/>
      <c r="I171" s="1695"/>
      <c r="J171" s="1696"/>
      <c r="K171" s="1697"/>
    </row>
    <row r="172" spans="3:11" x14ac:dyDescent="0.2">
      <c r="C172" s="1673">
        <v>169</v>
      </c>
      <c r="D172" s="1691"/>
      <c r="E172" s="1692"/>
      <c r="F172" s="580"/>
      <c r="G172" s="1693"/>
      <c r="H172" s="1694"/>
      <c r="I172" s="1695"/>
      <c r="J172" s="1696"/>
      <c r="K172" s="1697"/>
    </row>
    <row r="173" spans="3:11" x14ac:dyDescent="0.2">
      <c r="C173" s="1673">
        <v>170</v>
      </c>
      <c r="D173" s="1691"/>
      <c r="E173" s="1692"/>
      <c r="F173" s="580"/>
      <c r="G173" s="1693"/>
      <c r="H173" s="1694"/>
      <c r="I173" s="1695"/>
      <c r="J173" s="1696"/>
      <c r="K173" s="1697"/>
    </row>
    <row r="174" spans="3:11" x14ac:dyDescent="0.2">
      <c r="C174" s="1673">
        <v>171</v>
      </c>
      <c r="D174" s="1691"/>
      <c r="E174" s="1692"/>
      <c r="F174" s="580"/>
      <c r="G174" s="1693"/>
      <c r="H174" s="1694"/>
      <c r="I174" s="1695"/>
      <c r="J174" s="1696"/>
      <c r="K174" s="1697"/>
    </row>
    <row r="175" spans="3:11" x14ac:dyDescent="0.2">
      <c r="C175" s="1673">
        <v>172</v>
      </c>
      <c r="D175" s="1691"/>
      <c r="E175" s="1692"/>
      <c r="F175" s="580"/>
      <c r="G175" s="1693"/>
      <c r="H175" s="1694"/>
      <c r="I175" s="1695"/>
      <c r="J175" s="1696"/>
      <c r="K175" s="1697"/>
    </row>
    <row r="176" spans="3:11" x14ac:dyDescent="0.2">
      <c r="C176" s="1673">
        <v>173</v>
      </c>
      <c r="D176" s="1691"/>
      <c r="E176" s="1692"/>
      <c r="F176" s="580"/>
      <c r="G176" s="1693"/>
      <c r="H176" s="1694"/>
      <c r="I176" s="1695"/>
      <c r="J176" s="1696"/>
      <c r="K176" s="1697"/>
    </row>
    <row r="177" spans="3:11" x14ac:dyDescent="0.2">
      <c r="C177" s="1673">
        <v>174</v>
      </c>
      <c r="D177" s="1691"/>
      <c r="E177" s="1692"/>
      <c r="F177" s="580"/>
      <c r="G177" s="1693"/>
      <c r="H177" s="1694"/>
      <c r="I177" s="1695"/>
      <c r="J177" s="1696"/>
      <c r="K177" s="1697"/>
    </row>
    <row r="178" spans="3:11" x14ac:dyDescent="0.2">
      <c r="C178" s="1673">
        <v>175</v>
      </c>
      <c r="D178" s="1691"/>
      <c r="E178" s="1692"/>
      <c r="F178" s="580"/>
      <c r="G178" s="1693"/>
      <c r="H178" s="1694"/>
      <c r="I178" s="1695"/>
      <c r="J178" s="1696"/>
      <c r="K178" s="1697"/>
    </row>
    <row r="179" spans="3:11" x14ac:dyDescent="0.2">
      <c r="C179" s="1673">
        <v>176</v>
      </c>
      <c r="D179" s="1691"/>
      <c r="E179" s="1692"/>
      <c r="F179" s="580"/>
      <c r="G179" s="1693"/>
      <c r="H179" s="1694"/>
      <c r="I179" s="1695"/>
      <c r="J179" s="1696"/>
      <c r="K179" s="1697"/>
    </row>
    <row r="180" spans="3:11" x14ac:dyDescent="0.2">
      <c r="C180" s="1673">
        <v>177</v>
      </c>
      <c r="D180" s="1691"/>
      <c r="E180" s="1692"/>
      <c r="F180" s="580"/>
      <c r="G180" s="1693"/>
      <c r="H180" s="1694"/>
      <c r="I180" s="1695"/>
      <c r="J180" s="1696"/>
      <c r="K180" s="1697"/>
    </row>
    <row r="181" spans="3:11" x14ac:dyDescent="0.2">
      <c r="C181" s="1673">
        <v>178</v>
      </c>
      <c r="D181" s="1691"/>
      <c r="E181" s="1692"/>
      <c r="F181" s="580"/>
      <c r="G181" s="1693"/>
      <c r="H181" s="1694"/>
      <c r="I181" s="1695"/>
      <c r="J181" s="1696"/>
      <c r="K181" s="1697"/>
    </row>
    <row r="182" spans="3:11" x14ac:dyDescent="0.2">
      <c r="C182" s="1673">
        <v>179</v>
      </c>
      <c r="D182" s="1691"/>
      <c r="E182" s="1692"/>
      <c r="F182" s="580"/>
      <c r="G182" s="1693"/>
      <c r="H182" s="1694"/>
      <c r="I182" s="1695"/>
      <c r="J182" s="1696"/>
      <c r="K182" s="1697"/>
    </row>
    <row r="183" spans="3:11" x14ac:dyDescent="0.2">
      <c r="C183" s="1673">
        <v>180</v>
      </c>
      <c r="D183" s="1691"/>
      <c r="E183" s="1692"/>
      <c r="F183" s="580"/>
      <c r="G183" s="1693"/>
      <c r="H183" s="1694"/>
      <c r="I183" s="1695"/>
      <c r="J183" s="1696"/>
      <c r="K183" s="1697"/>
    </row>
    <row r="184" spans="3:11" x14ac:dyDescent="0.2">
      <c r="C184" s="1673">
        <v>181</v>
      </c>
      <c r="D184" s="1691"/>
      <c r="E184" s="1692"/>
      <c r="F184" s="580"/>
      <c r="G184" s="1693"/>
      <c r="H184" s="1694"/>
      <c r="I184" s="1695"/>
      <c r="J184" s="1696"/>
      <c r="K184" s="1697"/>
    </row>
    <row r="185" spans="3:11" x14ac:dyDescent="0.2">
      <c r="C185" s="1673">
        <v>182</v>
      </c>
      <c r="D185" s="1691"/>
      <c r="E185" s="1692"/>
      <c r="F185" s="580"/>
      <c r="G185" s="1693"/>
      <c r="H185" s="1694"/>
      <c r="I185" s="1695"/>
      <c r="J185" s="1696"/>
      <c r="K185" s="1697"/>
    </row>
    <row r="186" spans="3:11" x14ac:dyDescent="0.2">
      <c r="C186" s="1673">
        <v>183</v>
      </c>
      <c r="D186" s="1691"/>
      <c r="E186" s="1692"/>
      <c r="F186" s="580"/>
      <c r="G186" s="1693"/>
      <c r="H186" s="1694"/>
      <c r="I186" s="1695"/>
      <c r="J186" s="1696"/>
      <c r="K186" s="1697"/>
    </row>
    <row r="187" spans="3:11" x14ac:dyDescent="0.2">
      <c r="C187" s="1673">
        <v>184</v>
      </c>
      <c r="D187" s="1691"/>
      <c r="E187" s="1692"/>
      <c r="F187" s="580"/>
      <c r="G187" s="1693"/>
      <c r="H187" s="1694"/>
      <c r="I187" s="1695"/>
      <c r="J187" s="1696"/>
      <c r="K187" s="1697"/>
    </row>
    <row r="188" spans="3:11" x14ac:dyDescent="0.2">
      <c r="C188" s="1673">
        <v>185</v>
      </c>
      <c r="D188" s="1691"/>
      <c r="E188" s="1692"/>
      <c r="F188" s="580"/>
      <c r="G188" s="1693"/>
      <c r="H188" s="1694"/>
      <c r="I188" s="1695"/>
      <c r="J188" s="1696"/>
      <c r="K188" s="1697"/>
    </row>
    <row r="189" spans="3:11" x14ac:dyDescent="0.2">
      <c r="C189" s="1673">
        <v>186</v>
      </c>
      <c r="D189" s="1691"/>
      <c r="E189" s="1692"/>
      <c r="F189" s="580"/>
      <c r="G189" s="1693"/>
      <c r="H189" s="1694"/>
      <c r="I189" s="1695"/>
      <c r="J189" s="1696"/>
      <c r="K189" s="1697"/>
    </row>
    <row r="190" spans="3:11" x14ac:dyDescent="0.2">
      <c r="C190" s="1673">
        <v>187</v>
      </c>
      <c r="D190" s="1691"/>
      <c r="E190" s="1692"/>
      <c r="F190" s="580"/>
      <c r="G190" s="1693"/>
      <c r="H190" s="1694"/>
      <c r="I190" s="1695"/>
      <c r="J190" s="1696"/>
      <c r="K190" s="1697"/>
    </row>
    <row r="191" spans="3:11" x14ac:dyDescent="0.2">
      <c r="C191" s="1673">
        <v>188</v>
      </c>
      <c r="D191" s="1691"/>
      <c r="E191" s="1692"/>
      <c r="F191" s="580"/>
      <c r="G191" s="1693"/>
      <c r="H191" s="1694"/>
      <c r="I191" s="1695"/>
      <c r="J191" s="1696"/>
      <c r="K191" s="1697"/>
    </row>
    <row r="192" spans="3:11" x14ac:dyDescent="0.2">
      <c r="C192" s="1673">
        <v>189</v>
      </c>
      <c r="D192" s="1691"/>
      <c r="E192" s="1692"/>
      <c r="F192" s="580"/>
      <c r="G192" s="1693"/>
      <c r="H192" s="1694"/>
      <c r="I192" s="1695"/>
      <c r="J192" s="1696"/>
      <c r="K192" s="1697"/>
    </row>
    <row r="193" spans="3:11" x14ac:dyDescent="0.2">
      <c r="C193" s="1673">
        <v>190</v>
      </c>
      <c r="D193" s="1691"/>
      <c r="E193" s="1692"/>
      <c r="F193" s="580"/>
      <c r="G193" s="1693"/>
      <c r="H193" s="1694"/>
      <c r="I193" s="1695"/>
      <c r="J193" s="1696"/>
      <c r="K193" s="1697"/>
    </row>
    <row r="194" spans="3:11" x14ac:dyDescent="0.2">
      <c r="C194" s="1673">
        <v>191</v>
      </c>
      <c r="D194" s="1691"/>
      <c r="E194" s="1692"/>
      <c r="F194" s="580"/>
      <c r="G194" s="1693"/>
      <c r="H194" s="1694"/>
      <c r="I194" s="1695"/>
      <c r="J194" s="1696"/>
      <c r="K194" s="1697"/>
    </row>
    <row r="195" spans="3:11" x14ac:dyDescent="0.2">
      <c r="C195" s="1673">
        <v>192</v>
      </c>
      <c r="D195" s="1691"/>
      <c r="E195" s="1692"/>
      <c r="F195" s="580"/>
      <c r="G195" s="1693"/>
      <c r="H195" s="1694"/>
      <c r="I195" s="1695"/>
      <c r="J195" s="1696"/>
      <c r="K195" s="1697"/>
    </row>
    <row r="196" spans="3:11" x14ac:dyDescent="0.2">
      <c r="C196" s="1673">
        <v>193</v>
      </c>
      <c r="D196" s="1691"/>
      <c r="E196" s="1692"/>
      <c r="F196" s="580"/>
      <c r="G196" s="1693"/>
      <c r="H196" s="1694"/>
      <c r="I196" s="1695"/>
      <c r="J196" s="1696"/>
      <c r="K196" s="1697"/>
    </row>
    <row r="197" spans="3:11" x14ac:dyDescent="0.2">
      <c r="C197" s="1673">
        <v>194</v>
      </c>
      <c r="D197" s="1691"/>
      <c r="E197" s="1692"/>
      <c r="F197" s="580"/>
      <c r="G197" s="1693"/>
      <c r="H197" s="1694"/>
      <c r="I197" s="1695"/>
      <c r="J197" s="1696"/>
      <c r="K197" s="1697"/>
    </row>
    <row r="198" spans="3:11" x14ac:dyDescent="0.2">
      <c r="C198" s="1673">
        <v>195</v>
      </c>
      <c r="D198" s="1691"/>
      <c r="E198" s="1692"/>
      <c r="F198" s="580"/>
      <c r="G198" s="1693"/>
      <c r="H198" s="1694"/>
      <c r="I198" s="1695"/>
      <c r="J198" s="1696"/>
      <c r="K198" s="1697"/>
    </row>
    <row r="199" spans="3:11" x14ac:dyDescent="0.2">
      <c r="C199" s="1673">
        <v>196</v>
      </c>
      <c r="D199" s="1691"/>
      <c r="E199" s="1692"/>
      <c r="F199" s="580"/>
      <c r="G199" s="1693"/>
      <c r="H199" s="1694"/>
      <c r="I199" s="1695"/>
      <c r="J199" s="1696"/>
      <c r="K199" s="1697"/>
    </row>
    <row r="200" spans="3:11" x14ac:dyDescent="0.2">
      <c r="C200" s="1673">
        <v>197</v>
      </c>
      <c r="D200" s="1691"/>
      <c r="E200" s="1692"/>
      <c r="F200" s="580"/>
      <c r="G200" s="1693"/>
      <c r="H200" s="1694"/>
      <c r="I200" s="1695"/>
      <c r="J200" s="1696"/>
      <c r="K200" s="1697"/>
    </row>
    <row r="201" spans="3:11" x14ac:dyDescent="0.2">
      <c r="C201" s="1673">
        <v>198</v>
      </c>
      <c r="D201" s="1691"/>
      <c r="E201" s="1692"/>
      <c r="F201" s="580"/>
      <c r="G201" s="1693"/>
      <c r="H201" s="1694"/>
      <c r="I201" s="1695"/>
      <c r="J201" s="1696"/>
      <c r="K201" s="1697"/>
    </row>
    <row r="202" spans="3:11" x14ac:dyDescent="0.2">
      <c r="C202" s="1673">
        <v>199</v>
      </c>
      <c r="D202" s="1691"/>
      <c r="E202" s="1692"/>
      <c r="F202" s="580"/>
      <c r="G202" s="1693"/>
      <c r="H202" s="1694"/>
      <c r="I202" s="1695"/>
      <c r="J202" s="1696"/>
      <c r="K202" s="1697"/>
    </row>
    <row r="203" spans="3:11" x14ac:dyDescent="0.2">
      <c r="C203" s="1673">
        <v>200</v>
      </c>
      <c r="D203" s="1691"/>
      <c r="E203" s="1692"/>
      <c r="F203" s="580"/>
      <c r="G203" s="1693"/>
      <c r="H203" s="1694"/>
      <c r="I203" s="1695"/>
      <c r="J203" s="1696"/>
      <c r="K203" s="1697"/>
    </row>
    <row r="204" spans="3:11" x14ac:dyDescent="0.2">
      <c r="C204" s="1673">
        <v>201</v>
      </c>
      <c r="D204" s="1691"/>
      <c r="E204" s="1692"/>
      <c r="F204" s="580"/>
      <c r="G204" s="1693"/>
      <c r="H204" s="1694"/>
      <c r="I204" s="1695"/>
      <c r="J204" s="1696"/>
      <c r="K204" s="1697"/>
    </row>
    <row r="205" spans="3:11" x14ac:dyDescent="0.2">
      <c r="C205" s="1673">
        <v>202</v>
      </c>
      <c r="D205" s="1691"/>
      <c r="E205" s="1692"/>
      <c r="F205" s="580"/>
      <c r="G205" s="1693"/>
      <c r="H205" s="1694"/>
      <c r="I205" s="1695"/>
      <c r="J205" s="1696"/>
      <c r="K205" s="1697"/>
    </row>
    <row r="206" spans="3:11" x14ac:dyDescent="0.2">
      <c r="C206" s="1673">
        <v>203</v>
      </c>
      <c r="D206" s="1691"/>
      <c r="E206" s="1692"/>
      <c r="F206" s="580"/>
      <c r="G206" s="1693"/>
      <c r="H206" s="1694"/>
      <c r="I206" s="1695"/>
      <c r="J206" s="1696"/>
      <c r="K206" s="1697"/>
    </row>
    <row r="207" spans="3:11" x14ac:dyDescent="0.2">
      <c r="C207" s="1673">
        <v>204</v>
      </c>
      <c r="D207" s="1691"/>
      <c r="E207" s="1692"/>
      <c r="F207" s="580"/>
      <c r="G207" s="1693"/>
      <c r="H207" s="1694"/>
      <c r="I207" s="1695"/>
      <c r="J207" s="1696"/>
      <c r="K207" s="1697"/>
    </row>
    <row r="208" spans="3:11" x14ac:dyDescent="0.2">
      <c r="C208" s="1673">
        <v>205</v>
      </c>
      <c r="D208" s="1691"/>
      <c r="E208" s="1692"/>
      <c r="F208" s="580"/>
      <c r="G208" s="1693"/>
      <c r="H208" s="1694"/>
      <c r="I208" s="1695"/>
      <c r="J208" s="1696"/>
      <c r="K208" s="1697"/>
    </row>
    <row r="209" spans="3:11" x14ac:dyDescent="0.2">
      <c r="C209" s="1673">
        <v>206</v>
      </c>
      <c r="D209" s="1691"/>
      <c r="E209" s="1692"/>
      <c r="F209" s="580"/>
      <c r="G209" s="1693"/>
      <c r="H209" s="1694"/>
      <c r="I209" s="1695"/>
      <c r="J209" s="1696"/>
      <c r="K209" s="1697"/>
    </row>
    <row r="210" spans="3:11" x14ac:dyDescent="0.2">
      <c r="C210" s="1673">
        <v>207</v>
      </c>
      <c r="D210" s="1691"/>
      <c r="E210" s="1692"/>
      <c r="F210" s="580"/>
      <c r="G210" s="1693"/>
      <c r="H210" s="1694"/>
      <c r="I210" s="1695"/>
      <c r="J210" s="1696"/>
      <c r="K210" s="1697"/>
    </row>
    <row r="211" spans="3:11" x14ac:dyDescent="0.2">
      <c r="C211" s="1673">
        <v>208</v>
      </c>
      <c r="D211" s="1691"/>
      <c r="E211" s="1692"/>
      <c r="F211" s="580"/>
      <c r="G211" s="1693"/>
      <c r="H211" s="1694"/>
      <c r="I211" s="1695"/>
      <c r="J211" s="1696"/>
      <c r="K211" s="1697"/>
    </row>
    <row r="212" spans="3:11" x14ac:dyDescent="0.2">
      <c r="C212" s="1673">
        <v>209</v>
      </c>
      <c r="D212" s="1691"/>
      <c r="E212" s="1692"/>
      <c r="F212" s="580"/>
      <c r="G212" s="1693"/>
      <c r="H212" s="1694"/>
      <c r="I212" s="1695"/>
      <c r="J212" s="1696"/>
      <c r="K212" s="1697"/>
    </row>
    <row r="213" spans="3:11" x14ac:dyDescent="0.2">
      <c r="C213" s="1673">
        <v>210</v>
      </c>
      <c r="D213" s="1691"/>
      <c r="E213" s="1692"/>
      <c r="F213" s="580"/>
      <c r="G213" s="1693"/>
      <c r="H213" s="1694"/>
      <c r="I213" s="1695"/>
      <c r="J213" s="1696"/>
      <c r="K213" s="1697"/>
    </row>
    <row r="214" spans="3:11" x14ac:dyDescent="0.2">
      <c r="C214" s="1673">
        <v>211</v>
      </c>
      <c r="D214" s="1691"/>
      <c r="E214" s="1692"/>
      <c r="F214" s="580"/>
      <c r="G214" s="1693"/>
      <c r="H214" s="1694"/>
      <c r="I214" s="1695"/>
      <c r="J214" s="1696"/>
      <c r="K214" s="1697"/>
    </row>
    <row r="215" spans="3:11" x14ac:dyDescent="0.2">
      <c r="C215" s="1673">
        <v>212</v>
      </c>
      <c r="D215" s="1691"/>
      <c r="E215" s="1692"/>
      <c r="F215" s="580"/>
      <c r="G215" s="1693"/>
      <c r="H215" s="1694"/>
      <c r="I215" s="1695"/>
      <c r="J215" s="1696"/>
      <c r="K215" s="1697"/>
    </row>
    <row r="216" spans="3:11" x14ac:dyDescent="0.2">
      <c r="C216" s="1673">
        <v>213</v>
      </c>
      <c r="D216" s="1691"/>
      <c r="E216" s="1692"/>
      <c r="F216" s="580"/>
      <c r="G216" s="1693"/>
      <c r="H216" s="1694"/>
      <c r="I216" s="1695"/>
      <c r="J216" s="1696"/>
      <c r="K216" s="1697"/>
    </row>
    <row r="217" spans="3:11" x14ac:dyDescent="0.2">
      <c r="C217" s="1673">
        <v>214</v>
      </c>
      <c r="D217" s="1691"/>
      <c r="E217" s="1692"/>
      <c r="F217" s="580"/>
      <c r="G217" s="1693"/>
      <c r="H217" s="1694"/>
      <c r="I217" s="1695"/>
      <c r="J217" s="1696"/>
      <c r="K217" s="1697"/>
    </row>
    <row r="218" spans="3:11" x14ac:dyDescent="0.2">
      <c r="C218" s="1673">
        <v>215</v>
      </c>
      <c r="D218" s="1691"/>
      <c r="E218" s="1692"/>
      <c r="F218" s="580"/>
      <c r="G218" s="1693"/>
      <c r="H218" s="1694"/>
      <c r="I218" s="1695"/>
      <c r="J218" s="1696"/>
      <c r="K218" s="1697"/>
    </row>
    <row r="219" spans="3:11" x14ac:dyDescent="0.2">
      <c r="C219" s="1673">
        <v>216</v>
      </c>
      <c r="D219" s="1691"/>
      <c r="E219" s="1692"/>
      <c r="F219" s="580"/>
      <c r="G219" s="1693"/>
      <c r="H219" s="1694"/>
      <c r="I219" s="1695"/>
      <c r="J219" s="1696"/>
      <c r="K219" s="1697"/>
    </row>
    <row r="220" spans="3:11" x14ac:dyDescent="0.2">
      <c r="C220" s="1673">
        <v>217</v>
      </c>
      <c r="D220" s="1691"/>
      <c r="E220" s="1692"/>
      <c r="F220" s="580"/>
      <c r="G220" s="1693"/>
      <c r="H220" s="1694"/>
      <c r="I220" s="1695"/>
      <c r="J220" s="1696"/>
      <c r="K220" s="1697"/>
    </row>
    <row r="221" spans="3:11" x14ac:dyDescent="0.2">
      <c r="C221" s="1673">
        <v>218</v>
      </c>
      <c r="D221" s="1691"/>
      <c r="E221" s="1692"/>
      <c r="F221" s="580"/>
      <c r="G221" s="1693"/>
      <c r="H221" s="1694"/>
      <c r="I221" s="1695"/>
      <c r="J221" s="1696"/>
      <c r="K221" s="1697"/>
    </row>
    <row r="222" spans="3:11" x14ac:dyDescent="0.2">
      <c r="C222" s="1673">
        <v>219</v>
      </c>
      <c r="D222" s="1691"/>
      <c r="E222" s="1692"/>
      <c r="F222" s="580"/>
      <c r="G222" s="1693"/>
      <c r="H222" s="1694"/>
      <c r="I222" s="1695"/>
      <c r="J222" s="1696"/>
      <c r="K222" s="1697"/>
    </row>
    <row r="223" spans="3:11" x14ac:dyDescent="0.2">
      <c r="C223" s="1673">
        <v>220</v>
      </c>
      <c r="D223" s="1691"/>
      <c r="E223" s="1692"/>
      <c r="F223" s="580"/>
      <c r="G223" s="1693"/>
      <c r="H223" s="1694"/>
      <c r="I223" s="1695"/>
      <c r="J223" s="1696"/>
      <c r="K223" s="1697"/>
    </row>
    <row r="224" spans="3:11" x14ac:dyDescent="0.2">
      <c r="C224" s="1673">
        <v>221</v>
      </c>
      <c r="D224" s="1691"/>
      <c r="E224" s="1692"/>
      <c r="F224" s="580"/>
      <c r="G224" s="1693"/>
      <c r="H224" s="1694"/>
      <c r="I224" s="1695"/>
      <c r="J224" s="1696"/>
      <c r="K224" s="1697"/>
    </row>
    <row r="225" spans="3:11" x14ac:dyDescent="0.2">
      <c r="C225" s="1673">
        <v>222</v>
      </c>
      <c r="D225" s="1691"/>
      <c r="E225" s="1692"/>
      <c r="F225" s="580"/>
      <c r="G225" s="1693"/>
      <c r="H225" s="1694"/>
      <c r="I225" s="1695"/>
      <c r="J225" s="1696"/>
      <c r="K225" s="1697"/>
    </row>
    <row r="226" spans="3:11" x14ac:dyDescent="0.2">
      <c r="C226" s="1673">
        <v>223</v>
      </c>
      <c r="D226" s="1691"/>
      <c r="E226" s="1692"/>
      <c r="F226" s="580"/>
      <c r="G226" s="1693"/>
      <c r="H226" s="1694"/>
      <c r="I226" s="1695"/>
      <c r="J226" s="1696"/>
      <c r="K226" s="1697"/>
    </row>
    <row r="227" spans="3:11" x14ac:dyDescent="0.2">
      <c r="C227" s="1673">
        <v>224</v>
      </c>
      <c r="D227" s="1691"/>
      <c r="E227" s="1692"/>
      <c r="F227" s="580"/>
      <c r="G227" s="1693"/>
      <c r="H227" s="1694"/>
      <c r="I227" s="1695"/>
      <c r="J227" s="1696"/>
      <c r="K227" s="1697"/>
    </row>
    <row r="228" spans="3:11" x14ac:dyDescent="0.2">
      <c r="C228" s="1673">
        <v>225</v>
      </c>
      <c r="D228" s="1691"/>
      <c r="E228" s="1692"/>
      <c r="F228" s="580"/>
      <c r="G228" s="1693"/>
      <c r="H228" s="1694"/>
      <c r="I228" s="1695"/>
      <c r="J228" s="1696"/>
      <c r="K228" s="1697"/>
    </row>
    <row r="229" spans="3:11" x14ac:dyDescent="0.2">
      <c r="C229" s="1673">
        <v>226</v>
      </c>
      <c r="D229" s="1691"/>
      <c r="E229" s="1692"/>
      <c r="F229" s="580"/>
      <c r="G229" s="1693"/>
      <c r="H229" s="1694"/>
      <c r="I229" s="1695"/>
      <c r="J229" s="1696"/>
      <c r="K229" s="1697"/>
    </row>
    <row r="230" spans="3:11" x14ac:dyDescent="0.2">
      <c r="C230" s="1673">
        <v>227</v>
      </c>
      <c r="D230" s="1691"/>
      <c r="E230" s="1692"/>
      <c r="F230" s="580"/>
      <c r="G230" s="1693"/>
      <c r="H230" s="1694"/>
      <c r="I230" s="1695"/>
      <c r="J230" s="1696"/>
      <c r="K230" s="1697"/>
    </row>
    <row r="231" spans="3:11" x14ac:dyDescent="0.2">
      <c r="C231" s="1673">
        <v>228</v>
      </c>
      <c r="D231" s="1691"/>
      <c r="E231" s="1692"/>
      <c r="F231" s="580"/>
      <c r="G231" s="1693"/>
      <c r="H231" s="1694"/>
      <c r="I231" s="1695"/>
      <c r="J231" s="1696"/>
      <c r="K231" s="1697"/>
    </row>
    <row r="232" spans="3:11" x14ac:dyDescent="0.2">
      <c r="C232" s="1673">
        <v>229</v>
      </c>
      <c r="D232" s="1691"/>
      <c r="E232" s="1692"/>
      <c r="F232" s="580"/>
      <c r="G232" s="1693"/>
      <c r="H232" s="1694"/>
      <c r="I232" s="1695"/>
      <c r="J232" s="1696"/>
      <c r="K232" s="1697"/>
    </row>
    <row r="233" spans="3:11" x14ac:dyDescent="0.2">
      <c r="C233" s="1673">
        <v>230</v>
      </c>
      <c r="D233" s="1691"/>
      <c r="E233" s="1692"/>
      <c r="F233" s="580"/>
      <c r="G233" s="1693"/>
      <c r="H233" s="1694"/>
      <c r="I233" s="1695"/>
      <c r="J233" s="1696"/>
      <c r="K233" s="1697"/>
    </row>
    <row r="234" spans="3:11" x14ac:dyDescent="0.2">
      <c r="C234" s="1673">
        <v>231</v>
      </c>
      <c r="D234" s="1691"/>
      <c r="E234" s="1692"/>
      <c r="F234" s="580"/>
      <c r="G234" s="1693"/>
      <c r="H234" s="1694"/>
      <c r="I234" s="1695"/>
      <c r="J234" s="1696"/>
      <c r="K234" s="1697"/>
    </row>
    <row r="235" spans="3:11" x14ac:dyDescent="0.2">
      <c r="C235" s="1673">
        <v>232</v>
      </c>
      <c r="D235" s="1691"/>
      <c r="E235" s="1692"/>
      <c r="F235" s="580"/>
      <c r="G235" s="1693"/>
      <c r="H235" s="1694"/>
      <c r="I235" s="1695"/>
      <c r="J235" s="1696"/>
      <c r="K235" s="1697"/>
    </row>
    <row r="236" spans="3:11" x14ac:dyDescent="0.2">
      <c r="C236" s="1673">
        <v>233</v>
      </c>
      <c r="D236" s="1691"/>
      <c r="E236" s="1692"/>
      <c r="F236" s="580"/>
      <c r="G236" s="1693"/>
      <c r="H236" s="1694"/>
      <c r="I236" s="1695"/>
      <c r="J236" s="1696"/>
      <c r="K236" s="1697"/>
    </row>
    <row r="237" spans="3:11" x14ac:dyDescent="0.2">
      <c r="C237" s="1673">
        <v>234</v>
      </c>
      <c r="D237" s="1691"/>
      <c r="E237" s="1692"/>
      <c r="F237" s="580"/>
      <c r="G237" s="1693"/>
      <c r="H237" s="1694"/>
      <c r="I237" s="1695"/>
      <c r="J237" s="1696"/>
      <c r="K237" s="1697"/>
    </row>
    <row r="238" spans="3:11" x14ac:dyDescent="0.2">
      <c r="C238" s="1673">
        <v>235</v>
      </c>
      <c r="D238" s="1691"/>
      <c r="E238" s="1692"/>
      <c r="F238" s="580"/>
      <c r="G238" s="1693"/>
      <c r="H238" s="1694"/>
      <c r="I238" s="1695"/>
      <c r="J238" s="1696"/>
      <c r="K238" s="1697"/>
    </row>
    <row r="239" spans="3:11" x14ac:dyDescent="0.2">
      <c r="C239" s="1673">
        <v>236</v>
      </c>
      <c r="D239" s="1691"/>
      <c r="E239" s="1692"/>
      <c r="F239" s="580"/>
      <c r="G239" s="1693"/>
      <c r="H239" s="1694"/>
      <c r="I239" s="1695"/>
      <c r="J239" s="1696"/>
      <c r="K239" s="1697"/>
    </row>
    <row r="240" spans="3:11" x14ac:dyDescent="0.2">
      <c r="C240" s="1673">
        <v>237</v>
      </c>
      <c r="D240" s="1691"/>
      <c r="E240" s="1692"/>
      <c r="F240" s="580"/>
      <c r="G240" s="1693"/>
      <c r="H240" s="1694"/>
      <c r="I240" s="1695"/>
      <c r="J240" s="1696"/>
      <c r="K240" s="1697"/>
    </row>
    <row r="241" spans="3:11" x14ac:dyDescent="0.2">
      <c r="C241" s="1673">
        <v>238</v>
      </c>
      <c r="D241" s="1691"/>
      <c r="E241" s="1692"/>
      <c r="F241" s="580"/>
      <c r="G241" s="1693"/>
      <c r="H241" s="1694"/>
      <c r="I241" s="1695"/>
      <c r="J241" s="1696"/>
      <c r="K241" s="1697"/>
    </row>
    <row r="242" spans="3:11" x14ac:dyDescent="0.2">
      <c r="C242" s="1673">
        <v>239</v>
      </c>
      <c r="D242" s="1691"/>
      <c r="E242" s="1692"/>
      <c r="F242" s="580"/>
      <c r="G242" s="1693"/>
      <c r="H242" s="1694"/>
      <c r="I242" s="1695"/>
      <c r="J242" s="1696"/>
      <c r="K242" s="1697"/>
    </row>
    <row r="243" spans="3:11" x14ac:dyDescent="0.2">
      <c r="C243" s="1673">
        <v>240</v>
      </c>
      <c r="D243" s="1691"/>
      <c r="E243" s="1692"/>
      <c r="F243" s="580"/>
      <c r="G243" s="1693"/>
      <c r="H243" s="1694"/>
      <c r="I243" s="1695"/>
      <c r="J243" s="1696"/>
      <c r="K243" s="1697"/>
    </row>
    <row r="244" spans="3:11" x14ac:dyDescent="0.2">
      <c r="C244" s="1673">
        <v>241</v>
      </c>
      <c r="D244" s="1691"/>
      <c r="E244" s="1692"/>
      <c r="F244" s="580"/>
      <c r="G244" s="1693"/>
      <c r="H244" s="1694"/>
      <c r="I244" s="1695"/>
      <c r="J244" s="1696"/>
      <c r="K244" s="1697"/>
    </row>
    <row r="245" spans="3:11" x14ac:dyDescent="0.2">
      <c r="C245" s="1673">
        <v>242</v>
      </c>
      <c r="D245" s="1691"/>
      <c r="E245" s="1692"/>
      <c r="F245" s="580"/>
      <c r="G245" s="1693"/>
      <c r="H245" s="1694"/>
      <c r="I245" s="1695"/>
      <c r="J245" s="1696"/>
      <c r="K245" s="1697"/>
    </row>
    <row r="246" spans="3:11" x14ac:dyDescent="0.2">
      <c r="C246" s="1673">
        <v>243</v>
      </c>
      <c r="D246" s="1691"/>
      <c r="E246" s="1692"/>
      <c r="F246" s="580"/>
      <c r="G246" s="1693"/>
      <c r="H246" s="1694"/>
      <c r="I246" s="1695"/>
      <c r="J246" s="1696"/>
      <c r="K246" s="1697"/>
    </row>
    <row r="247" spans="3:11" x14ac:dyDescent="0.2">
      <c r="C247" s="1673">
        <v>244</v>
      </c>
      <c r="D247" s="1691"/>
      <c r="E247" s="1692"/>
      <c r="F247" s="580"/>
      <c r="G247" s="1693"/>
      <c r="H247" s="1694"/>
      <c r="I247" s="1695"/>
      <c r="J247" s="1696"/>
      <c r="K247" s="1697"/>
    </row>
    <row r="248" spans="3:11" x14ac:dyDescent="0.2">
      <c r="C248" s="1673">
        <v>245</v>
      </c>
      <c r="D248" s="1691"/>
      <c r="E248" s="1692"/>
      <c r="F248" s="580"/>
      <c r="G248" s="1693"/>
      <c r="H248" s="1694"/>
      <c r="I248" s="1695"/>
      <c r="J248" s="1696"/>
      <c r="K248" s="1697"/>
    </row>
    <row r="249" spans="3:11" x14ac:dyDescent="0.2">
      <c r="C249" s="1673">
        <v>246</v>
      </c>
      <c r="D249" s="1691"/>
      <c r="E249" s="1692"/>
      <c r="F249" s="580"/>
      <c r="G249" s="1693"/>
      <c r="H249" s="1694"/>
      <c r="I249" s="1695"/>
      <c r="J249" s="1696"/>
      <c r="K249" s="1697"/>
    </row>
    <row r="250" spans="3:11" x14ac:dyDescent="0.2">
      <c r="C250" s="1673">
        <v>247</v>
      </c>
      <c r="D250" s="1691"/>
      <c r="E250" s="1692"/>
      <c r="F250" s="580"/>
      <c r="G250" s="1693"/>
      <c r="H250" s="1694"/>
      <c r="I250" s="1695"/>
      <c r="J250" s="1696"/>
      <c r="K250" s="1697"/>
    </row>
    <row r="251" spans="3:11" x14ac:dyDescent="0.2">
      <c r="C251" s="1673">
        <v>248</v>
      </c>
      <c r="D251" s="1691"/>
      <c r="E251" s="1692"/>
      <c r="F251" s="580"/>
      <c r="G251" s="1693"/>
      <c r="H251" s="1694"/>
      <c r="I251" s="1695"/>
      <c r="J251" s="1696"/>
      <c r="K251" s="1697"/>
    </row>
    <row r="252" spans="3:11" x14ac:dyDescent="0.2">
      <c r="C252" s="1673">
        <v>249</v>
      </c>
      <c r="D252" s="1691"/>
      <c r="E252" s="1692"/>
      <c r="F252" s="580"/>
      <c r="G252" s="1693"/>
      <c r="H252" s="1694"/>
      <c r="I252" s="1695"/>
      <c r="J252" s="1696"/>
      <c r="K252" s="1697"/>
    </row>
    <row r="253" spans="3:11" x14ac:dyDescent="0.2">
      <c r="C253" s="1673">
        <v>250</v>
      </c>
      <c r="D253" s="1691"/>
      <c r="E253" s="1692"/>
      <c r="F253" s="580"/>
      <c r="G253" s="1693"/>
      <c r="H253" s="1694"/>
      <c r="I253" s="1695"/>
      <c r="J253" s="1696"/>
      <c r="K253" s="1697"/>
    </row>
    <row r="254" spans="3:11" x14ac:dyDescent="0.2">
      <c r="C254" s="1673">
        <v>251</v>
      </c>
      <c r="D254" s="1691"/>
      <c r="E254" s="1692"/>
      <c r="F254" s="580"/>
      <c r="G254" s="1693"/>
      <c r="H254" s="1694"/>
      <c r="I254" s="1695"/>
      <c r="J254" s="1696"/>
      <c r="K254" s="1697"/>
    </row>
    <row r="255" spans="3:11" x14ac:dyDescent="0.2">
      <c r="C255" s="1673">
        <v>252</v>
      </c>
      <c r="D255" s="1691"/>
      <c r="E255" s="1692"/>
      <c r="F255" s="580"/>
      <c r="G255" s="1693"/>
      <c r="H255" s="1694"/>
      <c r="I255" s="1695"/>
      <c r="J255" s="1696"/>
      <c r="K255" s="1697"/>
    </row>
    <row r="256" spans="3:11" x14ac:dyDescent="0.2">
      <c r="C256" s="1673">
        <v>253</v>
      </c>
      <c r="D256" s="1691"/>
      <c r="E256" s="1692"/>
      <c r="F256" s="580"/>
      <c r="G256" s="1693"/>
      <c r="H256" s="1694"/>
      <c r="I256" s="1695"/>
      <c r="J256" s="1696"/>
      <c r="K256" s="1697"/>
    </row>
    <row r="257" spans="3:11" x14ac:dyDescent="0.2">
      <c r="C257" s="1673">
        <v>254</v>
      </c>
      <c r="D257" s="1691"/>
      <c r="E257" s="1692"/>
      <c r="F257" s="580"/>
      <c r="G257" s="1693"/>
      <c r="H257" s="1694"/>
      <c r="I257" s="1695"/>
      <c r="J257" s="1696"/>
      <c r="K257" s="1697"/>
    </row>
    <row r="258" spans="3:11" x14ac:dyDescent="0.2">
      <c r="C258" s="1673">
        <v>255</v>
      </c>
      <c r="D258" s="1691"/>
      <c r="E258" s="1692"/>
      <c r="F258" s="580"/>
      <c r="G258" s="1693"/>
      <c r="H258" s="1694"/>
      <c r="I258" s="1695"/>
      <c r="J258" s="1696"/>
      <c r="K258" s="1697"/>
    </row>
    <row r="259" spans="3:11" x14ac:dyDescent="0.2">
      <c r="C259" s="1673">
        <v>256</v>
      </c>
      <c r="D259" s="1691"/>
      <c r="E259" s="1692"/>
      <c r="F259" s="580"/>
      <c r="G259" s="1693"/>
      <c r="H259" s="1694"/>
      <c r="I259" s="1695"/>
      <c r="J259" s="1696"/>
      <c r="K259" s="1697"/>
    </row>
    <row r="260" spans="3:11" x14ac:dyDescent="0.2">
      <c r="C260" s="1673">
        <v>257</v>
      </c>
      <c r="D260" s="1691"/>
      <c r="E260" s="1692"/>
      <c r="F260" s="580"/>
      <c r="G260" s="1693"/>
      <c r="H260" s="1694"/>
      <c r="I260" s="1695"/>
      <c r="J260" s="1696"/>
      <c r="K260" s="1697"/>
    </row>
    <row r="261" spans="3:11" x14ac:dyDescent="0.2">
      <c r="C261" s="1673">
        <v>258</v>
      </c>
      <c r="D261" s="1691"/>
      <c r="E261" s="1692"/>
      <c r="F261" s="580"/>
      <c r="G261" s="1693"/>
      <c r="H261" s="1694"/>
      <c r="I261" s="1695"/>
      <c r="J261" s="1696"/>
      <c r="K261" s="1697"/>
    </row>
    <row r="262" spans="3:11" x14ac:dyDescent="0.2">
      <c r="C262" s="1673">
        <v>259</v>
      </c>
      <c r="D262" s="1691"/>
      <c r="E262" s="1692"/>
      <c r="F262" s="580"/>
      <c r="G262" s="1693"/>
      <c r="H262" s="1694"/>
      <c r="I262" s="1695"/>
      <c r="J262" s="1696"/>
      <c r="K262" s="1697"/>
    </row>
    <row r="263" spans="3:11" x14ac:dyDescent="0.2">
      <c r="C263" s="1673">
        <v>260</v>
      </c>
      <c r="D263" s="1691"/>
      <c r="E263" s="1692"/>
      <c r="F263" s="580"/>
      <c r="G263" s="1693"/>
      <c r="H263" s="1694"/>
      <c r="I263" s="1695"/>
      <c r="J263" s="1696"/>
      <c r="K263" s="1697"/>
    </row>
    <row r="264" spans="3:11" x14ac:dyDescent="0.2">
      <c r="C264" s="1673">
        <v>261</v>
      </c>
      <c r="D264" s="1691"/>
      <c r="E264" s="1692"/>
      <c r="F264" s="580"/>
      <c r="G264" s="1693"/>
      <c r="H264" s="1694"/>
      <c r="I264" s="1695"/>
      <c r="J264" s="1696"/>
      <c r="K264" s="1697"/>
    </row>
    <row r="265" spans="3:11" x14ac:dyDescent="0.2">
      <c r="C265" s="1673">
        <v>262</v>
      </c>
      <c r="D265" s="1691"/>
      <c r="E265" s="1692"/>
      <c r="F265" s="580"/>
      <c r="G265" s="1693"/>
      <c r="H265" s="1694"/>
      <c r="I265" s="1695"/>
      <c r="J265" s="1696"/>
      <c r="K265" s="1697"/>
    </row>
    <row r="266" spans="3:11" x14ac:dyDescent="0.2">
      <c r="C266" s="1673">
        <v>263</v>
      </c>
      <c r="D266" s="1691"/>
      <c r="E266" s="1692"/>
      <c r="F266" s="580"/>
      <c r="G266" s="1693"/>
      <c r="H266" s="1694"/>
      <c r="I266" s="1695"/>
      <c r="J266" s="1696"/>
      <c r="K266" s="1697"/>
    </row>
    <row r="267" spans="3:11" x14ac:dyDescent="0.2">
      <c r="C267" s="1673">
        <v>264</v>
      </c>
      <c r="D267" s="1691"/>
      <c r="E267" s="1692"/>
      <c r="F267" s="580"/>
      <c r="G267" s="1693"/>
      <c r="H267" s="1694"/>
      <c r="I267" s="1695"/>
      <c r="J267" s="1696"/>
      <c r="K267" s="1697"/>
    </row>
    <row r="268" spans="3:11" x14ac:dyDescent="0.2">
      <c r="C268" s="1673">
        <v>265</v>
      </c>
      <c r="D268" s="1691"/>
      <c r="E268" s="1692"/>
      <c r="F268" s="580"/>
      <c r="G268" s="1693"/>
      <c r="H268" s="1694"/>
      <c r="I268" s="1695"/>
      <c r="J268" s="1696"/>
      <c r="K268" s="1697"/>
    </row>
    <row r="269" spans="3:11" x14ac:dyDescent="0.2">
      <c r="C269" s="1673">
        <v>266</v>
      </c>
      <c r="D269" s="1691"/>
      <c r="E269" s="1692"/>
      <c r="F269" s="580"/>
      <c r="G269" s="1693"/>
      <c r="H269" s="1694"/>
      <c r="I269" s="1695"/>
      <c r="J269" s="1696"/>
      <c r="K269" s="1697"/>
    </row>
    <row r="270" spans="3:11" x14ac:dyDescent="0.2">
      <c r="C270" s="1673">
        <v>267</v>
      </c>
      <c r="D270" s="1691"/>
      <c r="E270" s="1692"/>
      <c r="F270" s="580"/>
      <c r="G270" s="1693"/>
      <c r="H270" s="1694"/>
      <c r="I270" s="1695"/>
      <c r="J270" s="1696"/>
      <c r="K270" s="1697"/>
    </row>
    <row r="271" spans="3:11" x14ac:dyDescent="0.2">
      <c r="C271" s="1673">
        <v>268</v>
      </c>
      <c r="D271" s="1691"/>
      <c r="E271" s="1692"/>
      <c r="F271" s="580"/>
      <c r="G271" s="1693"/>
      <c r="H271" s="1694"/>
      <c r="I271" s="1695"/>
      <c r="J271" s="1696"/>
      <c r="K271" s="1697"/>
    </row>
    <row r="272" spans="3:11" x14ac:dyDescent="0.2">
      <c r="C272" s="1673">
        <v>269</v>
      </c>
      <c r="D272" s="1691"/>
      <c r="E272" s="1692"/>
      <c r="F272" s="580"/>
      <c r="G272" s="1693"/>
      <c r="H272" s="1694"/>
      <c r="I272" s="1695"/>
      <c r="J272" s="1696"/>
      <c r="K272" s="1697"/>
    </row>
    <row r="273" spans="3:11" x14ac:dyDescent="0.2">
      <c r="C273" s="1673">
        <v>270</v>
      </c>
      <c r="D273" s="1691"/>
      <c r="E273" s="1692"/>
      <c r="F273" s="580"/>
      <c r="G273" s="1693"/>
      <c r="H273" s="1694"/>
      <c r="I273" s="1695"/>
      <c r="J273" s="1696"/>
      <c r="K273" s="1697"/>
    </row>
    <row r="274" spans="3:11" x14ac:dyDescent="0.2">
      <c r="C274" s="1673">
        <v>271</v>
      </c>
      <c r="D274" s="1691"/>
      <c r="E274" s="1692"/>
      <c r="F274" s="580"/>
      <c r="G274" s="1693"/>
      <c r="H274" s="1694"/>
      <c r="I274" s="1695"/>
      <c r="J274" s="1696"/>
      <c r="K274" s="1697"/>
    </row>
    <row r="275" spans="3:11" x14ac:dyDescent="0.2">
      <c r="C275" s="1673">
        <v>272</v>
      </c>
      <c r="D275" s="1691"/>
      <c r="E275" s="1692"/>
      <c r="F275" s="580"/>
      <c r="G275" s="1693"/>
      <c r="H275" s="1694"/>
      <c r="I275" s="1695"/>
      <c r="J275" s="1696"/>
      <c r="K275" s="1697"/>
    </row>
    <row r="276" spans="3:11" x14ac:dyDescent="0.2">
      <c r="C276" s="1673">
        <v>273</v>
      </c>
      <c r="D276" s="1691"/>
      <c r="E276" s="1692"/>
      <c r="F276" s="580"/>
      <c r="G276" s="1693"/>
      <c r="H276" s="1694"/>
      <c r="I276" s="1695"/>
      <c r="J276" s="1696"/>
      <c r="K276" s="1697"/>
    </row>
    <row r="277" spans="3:11" x14ac:dyDescent="0.2">
      <c r="C277" s="1673">
        <v>274</v>
      </c>
      <c r="D277" s="1691"/>
      <c r="E277" s="1692"/>
      <c r="F277" s="580"/>
      <c r="G277" s="1693"/>
      <c r="H277" s="1694"/>
      <c r="I277" s="1695"/>
      <c r="J277" s="1696"/>
      <c r="K277" s="1697"/>
    </row>
    <row r="278" spans="3:11" x14ac:dyDescent="0.2">
      <c r="C278" s="1673">
        <v>275</v>
      </c>
      <c r="D278" s="1691"/>
      <c r="E278" s="1692"/>
      <c r="F278" s="580"/>
      <c r="G278" s="1693"/>
      <c r="H278" s="1694"/>
      <c r="I278" s="1695"/>
      <c r="J278" s="1696"/>
      <c r="K278" s="1697"/>
    </row>
    <row r="279" spans="3:11" x14ac:dyDescent="0.2">
      <c r="C279" s="1673">
        <v>276</v>
      </c>
      <c r="D279" s="1691"/>
      <c r="E279" s="1692"/>
      <c r="F279" s="580"/>
      <c r="G279" s="1693"/>
      <c r="H279" s="1694"/>
      <c r="I279" s="1695"/>
      <c r="J279" s="1696"/>
      <c r="K279" s="1697"/>
    </row>
    <row r="280" spans="3:11" x14ac:dyDescent="0.2">
      <c r="C280" s="1673">
        <v>277</v>
      </c>
      <c r="D280" s="1691"/>
      <c r="E280" s="1692"/>
      <c r="F280" s="580"/>
      <c r="G280" s="1693"/>
      <c r="H280" s="1694"/>
      <c r="I280" s="1695"/>
      <c r="J280" s="1696"/>
      <c r="K280" s="1697"/>
    </row>
    <row r="281" spans="3:11" x14ac:dyDescent="0.2">
      <c r="C281" s="1673">
        <v>278</v>
      </c>
      <c r="D281" s="1691"/>
      <c r="E281" s="1692"/>
      <c r="F281" s="580"/>
      <c r="G281" s="1693"/>
      <c r="H281" s="1694"/>
      <c r="I281" s="1695"/>
      <c r="J281" s="1696"/>
      <c r="K281" s="1697"/>
    </row>
    <row r="282" spans="3:11" x14ac:dyDescent="0.2">
      <c r="C282" s="1673">
        <v>279</v>
      </c>
      <c r="D282" s="1691"/>
      <c r="E282" s="1692"/>
      <c r="F282" s="580"/>
      <c r="G282" s="1693"/>
      <c r="H282" s="1694"/>
      <c r="I282" s="1695"/>
      <c r="J282" s="1696"/>
      <c r="K282" s="1697"/>
    </row>
    <row r="283" spans="3:11" x14ac:dyDescent="0.2">
      <c r="C283" s="1673">
        <v>280</v>
      </c>
      <c r="D283" s="1691"/>
      <c r="E283" s="1692"/>
      <c r="F283" s="580"/>
      <c r="G283" s="1693"/>
      <c r="H283" s="1694"/>
      <c r="I283" s="1695"/>
      <c r="J283" s="1696"/>
      <c r="K283" s="1697"/>
    </row>
    <row r="284" spans="3:11" x14ac:dyDescent="0.2">
      <c r="C284" s="1673">
        <v>281</v>
      </c>
      <c r="D284" s="1691"/>
      <c r="E284" s="1692"/>
      <c r="F284" s="580"/>
      <c r="G284" s="1693"/>
      <c r="H284" s="1694"/>
      <c r="I284" s="1695"/>
      <c r="J284" s="1696"/>
      <c r="K284" s="1697"/>
    </row>
    <row r="285" spans="3:11" x14ac:dyDescent="0.2">
      <c r="C285" s="1673">
        <v>282</v>
      </c>
      <c r="D285" s="1691"/>
      <c r="E285" s="1692"/>
      <c r="F285" s="580"/>
      <c r="G285" s="1693"/>
      <c r="H285" s="1694"/>
      <c r="I285" s="1695"/>
      <c r="J285" s="1696"/>
      <c r="K285" s="1697"/>
    </row>
    <row r="286" spans="3:11" x14ac:dyDescent="0.2">
      <c r="C286" s="1673">
        <v>283</v>
      </c>
      <c r="D286" s="1691"/>
      <c r="E286" s="1692"/>
      <c r="F286" s="580"/>
      <c r="G286" s="1693"/>
      <c r="H286" s="1694"/>
      <c r="I286" s="1695"/>
      <c r="J286" s="1696"/>
      <c r="K286" s="1697"/>
    </row>
    <row r="287" spans="3:11" x14ac:dyDescent="0.2">
      <c r="C287" s="1673">
        <v>284</v>
      </c>
      <c r="D287" s="1691"/>
      <c r="E287" s="1692"/>
      <c r="F287" s="580"/>
      <c r="G287" s="1693"/>
      <c r="H287" s="1694"/>
      <c r="I287" s="1695"/>
      <c r="J287" s="1696"/>
      <c r="K287" s="1697"/>
    </row>
    <row r="288" spans="3:11" x14ac:dyDescent="0.2">
      <c r="C288" s="1673">
        <v>285</v>
      </c>
      <c r="D288" s="1691"/>
      <c r="E288" s="1692"/>
      <c r="F288" s="580"/>
      <c r="G288" s="1693"/>
      <c r="H288" s="1694"/>
      <c r="I288" s="1695"/>
      <c r="J288" s="1696"/>
      <c r="K288" s="1697"/>
    </row>
    <row r="289" spans="3:11" x14ac:dyDescent="0.2">
      <c r="C289" s="1673">
        <v>286</v>
      </c>
      <c r="D289" s="1691"/>
      <c r="E289" s="1692"/>
      <c r="F289" s="580"/>
      <c r="G289" s="1693"/>
      <c r="H289" s="1694"/>
      <c r="I289" s="1695"/>
      <c r="J289" s="1696"/>
      <c r="K289" s="1697"/>
    </row>
    <row r="290" spans="3:11" x14ac:dyDescent="0.2">
      <c r="C290" s="1673">
        <v>287</v>
      </c>
      <c r="D290" s="1691"/>
      <c r="E290" s="1692"/>
      <c r="F290" s="580"/>
      <c r="G290" s="1693"/>
      <c r="H290" s="1694"/>
      <c r="I290" s="1695"/>
      <c r="J290" s="1696"/>
      <c r="K290" s="1697"/>
    </row>
    <row r="291" spans="3:11" x14ac:dyDescent="0.2">
      <c r="C291" s="1673">
        <v>288</v>
      </c>
      <c r="D291" s="1691"/>
      <c r="E291" s="1692"/>
      <c r="F291" s="580"/>
      <c r="G291" s="1693"/>
      <c r="H291" s="1694"/>
      <c r="I291" s="1695"/>
      <c r="J291" s="1696"/>
      <c r="K291" s="1697"/>
    </row>
    <row r="292" spans="3:11" x14ac:dyDescent="0.2">
      <c r="C292" s="1673">
        <v>289</v>
      </c>
      <c r="D292" s="1691"/>
      <c r="E292" s="1692"/>
      <c r="F292" s="580"/>
      <c r="G292" s="1693"/>
      <c r="H292" s="1694"/>
      <c r="I292" s="1695"/>
      <c r="J292" s="1696"/>
      <c r="K292" s="1697"/>
    </row>
    <row r="293" spans="3:11" x14ac:dyDescent="0.2">
      <c r="C293" s="1673">
        <v>290</v>
      </c>
      <c r="D293" s="1691"/>
      <c r="E293" s="1692"/>
      <c r="F293" s="580"/>
      <c r="G293" s="1693"/>
      <c r="H293" s="1694"/>
      <c r="I293" s="1695"/>
      <c r="J293" s="1696"/>
      <c r="K293" s="1697"/>
    </row>
    <row r="294" spans="3:11" x14ac:dyDescent="0.2">
      <c r="C294" s="1673">
        <v>291</v>
      </c>
      <c r="D294" s="1691"/>
      <c r="E294" s="1692"/>
      <c r="F294" s="580"/>
      <c r="G294" s="1693"/>
      <c r="H294" s="1694"/>
      <c r="I294" s="1695"/>
      <c r="J294" s="1696"/>
      <c r="K294" s="1697"/>
    </row>
    <row r="295" spans="3:11" x14ac:dyDescent="0.2">
      <c r="C295" s="1673">
        <v>292</v>
      </c>
      <c r="D295" s="1691"/>
      <c r="E295" s="1692"/>
      <c r="F295" s="580"/>
      <c r="G295" s="1693"/>
      <c r="H295" s="1694"/>
      <c r="I295" s="1695"/>
      <c r="J295" s="1696"/>
      <c r="K295" s="1697"/>
    </row>
    <row r="296" spans="3:11" x14ac:dyDescent="0.2">
      <c r="C296" s="1673">
        <v>293</v>
      </c>
      <c r="D296" s="1691"/>
      <c r="E296" s="1692"/>
      <c r="F296" s="580"/>
      <c r="G296" s="1693"/>
      <c r="H296" s="1694"/>
      <c r="I296" s="1695"/>
      <c r="J296" s="1696"/>
      <c r="K296" s="1697"/>
    </row>
    <row r="297" spans="3:11" x14ac:dyDescent="0.2">
      <c r="C297" s="1673">
        <v>294</v>
      </c>
      <c r="D297" s="1691"/>
      <c r="E297" s="1692"/>
      <c r="F297" s="580"/>
      <c r="G297" s="1693"/>
      <c r="H297" s="1694"/>
      <c r="I297" s="1695"/>
      <c r="J297" s="1696"/>
      <c r="K297" s="1697"/>
    </row>
    <row r="298" spans="3:11" x14ac:dyDescent="0.2">
      <c r="C298" s="1673">
        <v>295</v>
      </c>
      <c r="D298" s="1691"/>
      <c r="E298" s="1692"/>
      <c r="F298" s="580"/>
      <c r="G298" s="1693"/>
      <c r="H298" s="1694"/>
      <c r="I298" s="1695"/>
      <c r="J298" s="1696"/>
      <c r="K298" s="1697"/>
    </row>
    <row r="299" spans="3:11" x14ac:dyDescent="0.2">
      <c r="C299" s="1673">
        <v>296</v>
      </c>
      <c r="D299" s="1691"/>
      <c r="E299" s="1692"/>
      <c r="F299" s="580"/>
      <c r="G299" s="1693"/>
      <c r="H299" s="1694"/>
      <c r="I299" s="1695"/>
      <c r="J299" s="1696"/>
      <c r="K299" s="1697"/>
    </row>
    <row r="300" spans="3:11" x14ac:dyDescent="0.2">
      <c r="C300" s="1673">
        <v>297</v>
      </c>
      <c r="D300" s="1691"/>
      <c r="E300" s="1692"/>
      <c r="F300" s="580"/>
      <c r="G300" s="1693"/>
      <c r="H300" s="1694"/>
      <c r="I300" s="1695"/>
      <c r="J300" s="1696"/>
      <c r="K300" s="1697"/>
    </row>
    <row r="301" spans="3:11" x14ac:dyDescent="0.2">
      <c r="C301" s="1673">
        <v>298</v>
      </c>
      <c r="D301" s="1691"/>
      <c r="E301" s="1692"/>
      <c r="F301" s="580"/>
      <c r="G301" s="1693"/>
      <c r="H301" s="1694"/>
      <c r="I301" s="1695"/>
      <c r="J301" s="1696"/>
      <c r="K301" s="1697"/>
    </row>
    <row r="302" spans="3:11" x14ac:dyDescent="0.2">
      <c r="C302" s="1673">
        <v>299</v>
      </c>
      <c r="D302" s="1691"/>
      <c r="E302" s="1692"/>
      <c r="F302" s="580"/>
      <c r="G302" s="1693"/>
      <c r="H302" s="1694"/>
      <c r="I302" s="1695"/>
      <c r="J302" s="1696"/>
      <c r="K302" s="1697"/>
    </row>
    <row r="303" spans="3:11" x14ac:dyDescent="0.2">
      <c r="C303" s="1673">
        <v>300</v>
      </c>
      <c r="D303" s="1691"/>
      <c r="E303" s="1692"/>
      <c r="F303" s="580"/>
      <c r="G303" s="1693"/>
      <c r="H303" s="1694"/>
      <c r="I303" s="1695"/>
      <c r="J303" s="1696"/>
      <c r="K303" s="1697"/>
    </row>
    <row r="304" spans="3:11" x14ac:dyDescent="0.2">
      <c r="C304" s="1673">
        <v>301</v>
      </c>
      <c r="D304" s="1691"/>
      <c r="E304" s="1692"/>
      <c r="F304" s="580"/>
      <c r="G304" s="1693"/>
      <c r="H304" s="1694"/>
      <c r="I304" s="1695"/>
      <c r="J304" s="1696"/>
      <c r="K304" s="1697"/>
    </row>
    <row r="305" spans="3:11" x14ac:dyDescent="0.2">
      <c r="C305" s="1673">
        <v>302</v>
      </c>
      <c r="D305" s="1691"/>
      <c r="E305" s="1692"/>
      <c r="F305" s="580"/>
      <c r="G305" s="1693"/>
      <c r="H305" s="1694"/>
      <c r="I305" s="1695"/>
      <c r="J305" s="1696"/>
      <c r="K305" s="1697"/>
    </row>
    <row r="306" spans="3:11" x14ac:dyDescent="0.2">
      <c r="C306" s="1673">
        <v>303</v>
      </c>
      <c r="D306" s="1691"/>
      <c r="E306" s="1692"/>
      <c r="F306" s="580"/>
      <c r="G306" s="1693"/>
      <c r="H306" s="1694"/>
      <c r="I306" s="1695"/>
      <c r="J306" s="1696"/>
      <c r="K306" s="1697"/>
    </row>
    <row r="307" spans="3:11" x14ac:dyDescent="0.2">
      <c r="C307" s="1673">
        <v>304</v>
      </c>
      <c r="D307" s="1691"/>
      <c r="E307" s="1692"/>
      <c r="F307" s="580"/>
      <c r="G307" s="1693"/>
      <c r="H307" s="1694"/>
      <c r="I307" s="1695"/>
      <c r="J307" s="1696"/>
      <c r="K307" s="1697"/>
    </row>
    <row r="308" spans="3:11" x14ac:dyDescent="0.2">
      <c r="C308" s="1673">
        <v>305</v>
      </c>
      <c r="D308" s="1691"/>
      <c r="E308" s="1692"/>
      <c r="F308" s="580"/>
      <c r="G308" s="1693"/>
      <c r="H308" s="1694"/>
      <c r="I308" s="1695"/>
      <c r="J308" s="1696"/>
      <c r="K308" s="1697"/>
    </row>
    <row r="309" spans="3:11" x14ac:dyDescent="0.2">
      <c r="C309" s="1673">
        <v>306</v>
      </c>
      <c r="D309" s="1691"/>
      <c r="E309" s="1692"/>
      <c r="F309" s="580"/>
      <c r="G309" s="1693"/>
      <c r="H309" s="1694"/>
      <c r="I309" s="1695"/>
      <c r="J309" s="1696"/>
      <c r="K309" s="1697"/>
    </row>
    <row r="310" spans="3:11" x14ac:dyDescent="0.2">
      <c r="C310" s="1673">
        <v>307</v>
      </c>
      <c r="D310" s="1691"/>
      <c r="E310" s="1692"/>
      <c r="F310" s="580"/>
      <c r="G310" s="1693"/>
      <c r="H310" s="1694"/>
      <c r="I310" s="1695"/>
      <c r="J310" s="1696"/>
      <c r="K310" s="1697"/>
    </row>
    <row r="311" spans="3:11" x14ac:dyDescent="0.2">
      <c r="C311" s="1673">
        <v>308</v>
      </c>
      <c r="D311" s="1691"/>
      <c r="E311" s="1692"/>
      <c r="F311" s="580"/>
      <c r="G311" s="1693"/>
      <c r="H311" s="1694"/>
      <c r="I311" s="1695"/>
      <c r="J311" s="1696"/>
      <c r="K311" s="1697"/>
    </row>
    <row r="312" spans="3:11" x14ac:dyDescent="0.2">
      <c r="C312" s="1673">
        <v>309</v>
      </c>
      <c r="D312" s="1691"/>
      <c r="E312" s="1692"/>
      <c r="F312" s="580"/>
      <c r="G312" s="1693"/>
      <c r="H312" s="1694"/>
      <c r="I312" s="1695"/>
      <c r="J312" s="1696"/>
      <c r="K312" s="1697"/>
    </row>
    <row r="313" spans="3:11" x14ac:dyDescent="0.2">
      <c r="C313" s="1673">
        <v>310</v>
      </c>
      <c r="D313" s="1691"/>
      <c r="E313" s="1692"/>
      <c r="F313" s="580"/>
      <c r="G313" s="1693"/>
      <c r="H313" s="1694"/>
      <c r="I313" s="1695"/>
      <c r="J313" s="1696"/>
      <c r="K313" s="1697"/>
    </row>
    <row r="314" spans="3:11" x14ac:dyDescent="0.2">
      <c r="C314" s="1673">
        <v>311</v>
      </c>
      <c r="D314" s="1691"/>
      <c r="E314" s="1692"/>
      <c r="F314" s="580"/>
      <c r="G314" s="1693"/>
      <c r="H314" s="1694"/>
      <c r="I314" s="1695"/>
      <c r="J314" s="1696"/>
      <c r="K314" s="1697"/>
    </row>
    <row r="315" spans="3:11" x14ac:dyDescent="0.2">
      <c r="C315" s="1673">
        <v>312</v>
      </c>
      <c r="D315" s="1691"/>
      <c r="E315" s="1692"/>
      <c r="F315" s="580"/>
      <c r="G315" s="1693"/>
      <c r="H315" s="1694"/>
      <c r="I315" s="1695"/>
      <c r="J315" s="1696"/>
      <c r="K315" s="1697"/>
    </row>
    <row r="316" spans="3:11" x14ac:dyDescent="0.2">
      <c r="C316" s="1673">
        <v>313</v>
      </c>
      <c r="D316" s="1691"/>
      <c r="E316" s="1692"/>
      <c r="F316" s="580"/>
      <c r="G316" s="1693"/>
      <c r="H316" s="1694"/>
      <c r="I316" s="1695"/>
      <c r="J316" s="1696"/>
      <c r="K316" s="1697"/>
    </row>
    <row r="317" spans="3:11" x14ac:dyDescent="0.2">
      <c r="C317" s="1673">
        <v>314</v>
      </c>
      <c r="D317" s="1691"/>
      <c r="E317" s="1692"/>
      <c r="F317" s="580"/>
      <c r="G317" s="1693"/>
      <c r="H317" s="1694"/>
      <c r="I317" s="1695"/>
      <c r="J317" s="1696"/>
      <c r="K317" s="1697"/>
    </row>
    <row r="318" spans="3:11" x14ac:dyDescent="0.2">
      <c r="C318" s="1673">
        <v>315</v>
      </c>
      <c r="D318" s="1691"/>
      <c r="E318" s="1692"/>
      <c r="F318" s="580"/>
      <c r="G318" s="1693"/>
      <c r="H318" s="1694"/>
      <c r="I318" s="1695"/>
      <c r="J318" s="1696"/>
      <c r="K318" s="1697"/>
    </row>
    <row r="319" spans="3:11" x14ac:dyDescent="0.2">
      <c r="C319" s="1673">
        <v>316</v>
      </c>
      <c r="D319" s="1691"/>
      <c r="E319" s="1692"/>
      <c r="F319" s="580"/>
      <c r="G319" s="1693"/>
      <c r="H319" s="1694"/>
      <c r="I319" s="1695"/>
      <c r="J319" s="1696"/>
      <c r="K319" s="1697"/>
    </row>
    <row r="320" spans="3:11" x14ac:dyDescent="0.2">
      <c r="C320" s="1673">
        <v>317</v>
      </c>
      <c r="D320" s="1691"/>
      <c r="E320" s="1692"/>
      <c r="F320" s="580"/>
      <c r="G320" s="1693"/>
      <c r="H320" s="1694"/>
      <c r="I320" s="1695"/>
      <c r="J320" s="1696"/>
      <c r="K320" s="1697"/>
    </row>
    <row r="321" spans="3:11" x14ac:dyDescent="0.2">
      <c r="C321" s="1673">
        <v>318</v>
      </c>
      <c r="D321" s="1691"/>
      <c r="E321" s="1692"/>
      <c r="F321" s="580"/>
      <c r="G321" s="1693"/>
      <c r="H321" s="1694"/>
      <c r="I321" s="1695"/>
      <c r="J321" s="1696"/>
      <c r="K321" s="1697"/>
    </row>
    <row r="322" spans="3:11" x14ac:dyDescent="0.2">
      <c r="C322" s="1673">
        <v>319</v>
      </c>
      <c r="D322" s="1691"/>
      <c r="E322" s="1692"/>
      <c r="F322" s="580"/>
      <c r="G322" s="1693"/>
      <c r="H322" s="1694"/>
      <c r="I322" s="1695"/>
      <c r="J322" s="1696"/>
      <c r="K322" s="1697"/>
    </row>
    <row r="323" spans="3:11" x14ac:dyDescent="0.2">
      <c r="C323" s="1673">
        <v>320</v>
      </c>
      <c r="D323" s="1691"/>
      <c r="E323" s="1692"/>
      <c r="F323" s="580"/>
      <c r="G323" s="1693"/>
      <c r="H323" s="1694"/>
      <c r="I323" s="1695"/>
      <c r="J323" s="1696"/>
      <c r="K323" s="1697"/>
    </row>
    <row r="324" spans="3:11" x14ac:dyDescent="0.2">
      <c r="C324" s="1673">
        <v>321</v>
      </c>
      <c r="D324" s="1691"/>
      <c r="E324" s="1692"/>
      <c r="F324" s="580"/>
      <c r="G324" s="1693"/>
      <c r="H324" s="1694"/>
      <c r="I324" s="1695"/>
      <c r="J324" s="1696"/>
      <c r="K324" s="1697"/>
    </row>
    <row r="325" spans="3:11" x14ac:dyDescent="0.2">
      <c r="C325" s="1673">
        <v>322</v>
      </c>
      <c r="D325" s="1691"/>
      <c r="E325" s="1692"/>
      <c r="F325" s="580"/>
      <c r="G325" s="1693"/>
      <c r="H325" s="1694"/>
      <c r="I325" s="1695"/>
      <c r="J325" s="1696"/>
      <c r="K325" s="1697"/>
    </row>
    <row r="326" spans="3:11" x14ac:dyDescent="0.2">
      <c r="C326" s="1673">
        <v>323</v>
      </c>
      <c r="D326" s="1691"/>
      <c r="E326" s="1692"/>
      <c r="F326" s="580"/>
      <c r="G326" s="1693"/>
      <c r="H326" s="1694"/>
      <c r="I326" s="1695"/>
      <c r="J326" s="1696"/>
      <c r="K326" s="1697"/>
    </row>
    <row r="327" spans="3:11" x14ac:dyDescent="0.2">
      <c r="C327" s="1673">
        <v>324</v>
      </c>
      <c r="D327" s="1691"/>
      <c r="E327" s="1692"/>
      <c r="F327" s="580"/>
      <c r="G327" s="1693"/>
      <c r="H327" s="1694"/>
      <c r="I327" s="1695"/>
      <c r="J327" s="1696"/>
      <c r="K327" s="1697"/>
    </row>
    <row r="328" spans="3:11" x14ac:dyDescent="0.2">
      <c r="C328" s="1673">
        <v>325</v>
      </c>
      <c r="D328" s="1691"/>
      <c r="E328" s="1692"/>
      <c r="F328" s="580"/>
      <c r="G328" s="1693"/>
      <c r="H328" s="1694"/>
      <c r="I328" s="1695"/>
      <c r="J328" s="1696"/>
      <c r="K328" s="1697"/>
    </row>
    <row r="329" spans="3:11" x14ac:dyDescent="0.2">
      <c r="C329" s="1673">
        <v>326</v>
      </c>
      <c r="D329" s="1691"/>
      <c r="E329" s="1692"/>
      <c r="F329" s="580"/>
      <c r="G329" s="1693"/>
      <c r="H329" s="1694"/>
      <c r="I329" s="1695"/>
      <c r="J329" s="1696"/>
      <c r="K329" s="1697"/>
    </row>
    <row r="330" spans="3:11" x14ac:dyDescent="0.2">
      <c r="C330" s="1673">
        <v>327</v>
      </c>
      <c r="D330" s="1691"/>
      <c r="E330" s="1692"/>
      <c r="F330" s="580"/>
      <c r="G330" s="1693"/>
      <c r="H330" s="1694"/>
      <c r="I330" s="1695"/>
      <c r="J330" s="1696"/>
      <c r="K330" s="1697"/>
    </row>
    <row r="331" spans="3:11" x14ac:dyDescent="0.2">
      <c r="C331" s="1673">
        <v>328</v>
      </c>
      <c r="D331" s="1691"/>
      <c r="E331" s="1692"/>
      <c r="F331" s="580"/>
      <c r="G331" s="1693"/>
      <c r="H331" s="1694"/>
      <c r="I331" s="1695"/>
      <c r="J331" s="1696"/>
      <c r="K331" s="1697"/>
    </row>
    <row r="332" spans="3:11" x14ac:dyDescent="0.2">
      <c r="C332" s="1673">
        <v>329</v>
      </c>
      <c r="D332" s="1691"/>
      <c r="E332" s="1692"/>
      <c r="F332" s="580"/>
      <c r="G332" s="1693"/>
      <c r="H332" s="1694"/>
      <c r="I332" s="1695"/>
      <c r="J332" s="1696"/>
      <c r="K332" s="1697"/>
    </row>
    <row r="333" spans="3:11" x14ac:dyDescent="0.2">
      <c r="C333" s="1673">
        <v>330</v>
      </c>
      <c r="D333" s="1691"/>
      <c r="E333" s="1692"/>
      <c r="F333" s="580"/>
      <c r="G333" s="1693"/>
      <c r="H333" s="1694"/>
      <c r="I333" s="1695"/>
      <c r="J333" s="1696"/>
      <c r="K333" s="1697"/>
    </row>
    <row r="334" spans="3:11" x14ac:dyDescent="0.2">
      <c r="C334" s="1673">
        <v>331</v>
      </c>
      <c r="D334" s="1691"/>
      <c r="E334" s="1692"/>
      <c r="F334" s="580"/>
      <c r="G334" s="1693"/>
      <c r="H334" s="1694"/>
      <c r="I334" s="1695"/>
      <c r="J334" s="1696"/>
      <c r="K334" s="1697"/>
    </row>
    <row r="335" spans="3:11" x14ac:dyDescent="0.2">
      <c r="C335" s="1673">
        <v>332</v>
      </c>
      <c r="D335" s="1691"/>
      <c r="E335" s="1692"/>
      <c r="F335" s="580"/>
      <c r="G335" s="1693"/>
      <c r="H335" s="1694"/>
      <c r="I335" s="1695"/>
      <c r="J335" s="1696"/>
      <c r="K335" s="1697"/>
    </row>
    <row r="336" spans="3:11" x14ac:dyDescent="0.2">
      <c r="C336" s="1673">
        <v>333</v>
      </c>
      <c r="D336" s="1691"/>
      <c r="E336" s="1692"/>
      <c r="F336" s="580"/>
      <c r="G336" s="1693"/>
      <c r="H336" s="1694"/>
      <c r="I336" s="1695"/>
      <c r="J336" s="1696"/>
      <c r="K336" s="1697"/>
    </row>
    <row r="337" spans="3:11" x14ac:dyDescent="0.2">
      <c r="C337" s="1673">
        <v>334</v>
      </c>
      <c r="D337" s="1691"/>
      <c r="E337" s="1692"/>
      <c r="F337" s="580"/>
      <c r="G337" s="1693"/>
      <c r="H337" s="1694"/>
      <c r="I337" s="1695"/>
      <c r="J337" s="1696"/>
      <c r="K337" s="1697"/>
    </row>
    <row r="338" spans="3:11" x14ac:dyDescent="0.2">
      <c r="C338" s="1673">
        <v>335</v>
      </c>
      <c r="D338" s="1691"/>
      <c r="E338" s="1692"/>
      <c r="F338" s="580"/>
      <c r="G338" s="1693"/>
      <c r="H338" s="1694"/>
      <c r="I338" s="1695"/>
      <c r="J338" s="1696"/>
      <c r="K338" s="1697"/>
    </row>
    <row r="339" spans="3:11" x14ac:dyDescent="0.2">
      <c r="C339" s="1673">
        <v>336</v>
      </c>
      <c r="D339" s="1691"/>
      <c r="E339" s="1692"/>
      <c r="F339" s="580"/>
      <c r="G339" s="1693"/>
      <c r="H339" s="1694"/>
      <c r="I339" s="1695"/>
      <c r="J339" s="1696"/>
      <c r="K339" s="1697"/>
    </row>
    <row r="340" spans="3:11" x14ac:dyDescent="0.2">
      <c r="C340" s="1673">
        <v>337</v>
      </c>
      <c r="D340" s="1691"/>
      <c r="E340" s="1692"/>
      <c r="F340" s="580"/>
      <c r="G340" s="1693"/>
      <c r="H340" s="1694"/>
      <c r="I340" s="1695"/>
      <c r="J340" s="1696"/>
      <c r="K340" s="1697"/>
    </row>
    <row r="341" spans="3:11" x14ac:dyDescent="0.2">
      <c r="C341" s="1673">
        <v>338</v>
      </c>
      <c r="D341" s="1691"/>
      <c r="E341" s="1692"/>
      <c r="F341" s="580"/>
      <c r="G341" s="1693"/>
      <c r="H341" s="1694"/>
      <c r="I341" s="1695"/>
      <c r="J341" s="1696"/>
      <c r="K341" s="1697"/>
    </row>
    <row r="342" spans="3:11" x14ac:dyDescent="0.2">
      <c r="C342" s="1673">
        <v>339</v>
      </c>
      <c r="D342" s="1691"/>
      <c r="E342" s="1692"/>
      <c r="F342" s="580"/>
      <c r="G342" s="1693"/>
      <c r="H342" s="1694"/>
      <c r="I342" s="1695"/>
      <c r="J342" s="1696"/>
      <c r="K342" s="1697"/>
    </row>
    <row r="343" spans="3:11" x14ac:dyDescent="0.2">
      <c r="C343" s="1673">
        <v>340</v>
      </c>
      <c r="D343" s="1691"/>
      <c r="E343" s="1692"/>
      <c r="F343" s="580"/>
      <c r="G343" s="1693"/>
      <c r="H343" s="1694"/>
      <c r="I343" s="1695"/>
      <c r="J343" s="1696"/>
      <c r="K343" s="1697"/>
    </row>
    <row r="344" spans="3:11" x14ac:dyDescent="0.2">
      <c r="C344" s="1673">
        <v>341</v>
      </c>
      <c r="D344" s="1691"/>
      <c r="E344" s="1692"/>
      <c r="F344" s="580"/>
      <c r="G344" s="1693"/>
      <c r="H344" s="1694"/>
      <c r="I344" s="1695"/>
      <c r="J344" s="1696"/>
      <c r="K344" s="1697"/>
    </row>
    <row r="345" spans="3:11" x14ac:dyDescent="0.2">
      <c r="C345" s="1673">
        <v>342</v>
      </c>
      <c r="D345" s="1691"/>
      <c r="E345" s="1692"/>
      <c r="F345" s="580"/>
      <c r="G345" s="1693"/>
      <c r="H345" s="1694"/>
      <c r="I345" s="1695"/>
      <c r="J345" s="1696"/>
      <c r="K345" s="1697"/>
    </row>
    <row r="346" spans="3:11" x14ac:dyDescent="0.2">
      <c r="C346" s="1673">
        <v>343</v>
      </c>
      <c r="D346" s="1691"/>
      <c r="E346" s="1692"/>
      <c r="F346" s="580"/>
      <c r="G346" s="1693"/>
      <c r="H346" s="1694"/>
      <c r="I346" s="1695"/>
      <c r="J346" s="1696"/>
      <c r="K346" s="1697"/>
    </row>
    <row r="347" spans="3:11" x14ac:dyDescent="0.2">
      <c r="C347" s="1673">
        <v>344</v>
      </c>
      <c r="D347" s="1691"/>
      <c r="E347" s="1692"/>
      <c r="F347" s="580"/>
      <c r="G347" s="1693"/>
      <c r="H347" s="1694"/>
      <c r="I347" s="1695"/>
      <c r="J347" s="1696"/>
      <c r="K347" s="1697"/>
    </row>
    <row r="348" spans="3:11" x14ac:dyDescent="0.2">
      <c r="C348" s="1673">
        <v>345</v>
      </c>
      <c r="D348" s="1691"/>
      <c r="E348" s="1692"/>
      <c r="F348" s="580"/>
      <c r="G348" s="1693"/>
      <c r="H348" s="1694"/>
      <c r="I348" s="1695"/>
      <c r="J348" s="1696"/>
      <c r="K348" s="1697"/>
    </row>
    <row r="349" spans="3:11" x14ac:dyDescent="0.2">
      <c r="C349" s="1673">
        <v>346</v>
      </c>
      <c r="D349" s="1691"/>
      <c r="E349" s="1692"/>
      <c r="F349" s="580"/>
      <c r="G349" s="1693"/>
      <c r="H349" s="1694"/>
      <c r="I349" s="1695"/>
      <c r="J349" s="1696"/>
      <c r="K349" s="1697"/>
    </row>
    <row r="350" spans="3:11" x14ac:dyDescent="0.2">
      <c r="C350" s="1673">
        <v>347</v>
      </c>
      <c r="D350" s="1691"/>
      <c r="E350" s="1692"/>
      <c r="F350" s="580"/>
      <c r="G350" s="1693"/>
      <c r="H350" s="1694"/>
      <c r="I350" s="1695"/>
      <c r="J350" s="1696"/>
      <c r="K350" s="1697"/>
    </row>
    <row r="351" spans="3:11" x14ac:dyDescent="0.2">
      <c r="C351" s="1673">
        <v>348</v>
      </c>
      <c r="D351" s="1691"/>
      <c r="E351" s="1692"/>
      <c r="F351" s="580"/>
      <c r="G351" s="1693"/>
      <c r="H351" s="1694"/>
      <c r="I351" s="1695"/>
      <c r="J351" s="1696"/>
      <c r="K351" s="1697"/>
    </row>
    <row r="352" spans="3:11" x14ac:dyDescent="0.2">
      <c r="C352" s="1673">
        <v>349</v>
      </c>
      <c r="D352" s="1691"/>
      <c r="E352" s="1692"/>
      <c r="F352" s="580"/>
      <c r="G352" s="1693"/>
      <c r="H352" s="1694"/>
      <c r="I352" s="1695"/>
      <c r="J352" s="1696"/>
      <c r="K352" s="1697"/>
    </row>
    <row r="353" spans="3:11" x14ac:dyDescent="0.2">
      <c r="C353" s="1673">
        <v>350</v>
      </c>
      <c r="D353" s="1691"/>
      <c r="E353" s="1692"/>
      <c r="F353" s="580"/>
      <c r="G353" s="1693"/>
      <c r="H353" s="1694"/>
      <c r="I353" s="1695"/>
      <c r="J353" s="1696"/>
      <c r="K353" s="1697"/>
    </row>
    <row r="354" spans="3:11" x14ac:dyDescent="0.2">
      <c r="C354" s="1673">
        <v>351</v>
      </c>
      <c r="D354" s="1691"/>
      <c r="E354" s="1692"/>
      <c r="F354" s="580"/>
      <c r="G354" s="1693"/>
      <c r="H354" s="1694"/>
      <c r="I354" s="1695"/>
      <c r="J354" s="1696"/>
      <c r="K354" s="1697"/>
    </row>
    <row r="355" spans="3:11" x14ac:dyDescent="0.2">
      <c r="C355" s="1673">
        <v>352</v>
      </c>
      <c r="D355" s="1691"/>
      <c r="E355" s="1692"/>
      <c r="F355" s="580"/>
      <c r="G355" s="1693"/>
      <c r="H355" s="1694"/>
      <c r="I355" s="1695"/>
      <c r="J355" s="1696"/>
      <c r="K355" s="1697"/>
    </row>
    <row r="356" spans="3:11" x14ac:dyDescent="0.2">
      <c r="C356" s="1673">
        <v>353</v>
      </c>
      <c r="D356" s="1691"/>
      <c r="E356" s="1692"/>
      <c r="F356" s="580"/>
      <c r="G356" s="1693"/>
      <c r="H356" s="1694"/>
      <c r="I356" s="1695"/>
      <c r="J356" s="1696"/>
      <c r="K356" s="1697"/>
    </row>
    <row r="357" spans="3:11" x14ac:dyDescent="0.2">
      <c r="C357" s="1673">
        <v>354</v>
      </c>
      <c r="D357" s="1691"/>
      <c r="E357" s="1692"/>
      <c r="F357" s="580"/>
      <c r="G357" s="1693"/>
      <c r="H357" s="1694"/>
      <c r="I357" s="1695"/>
      <c r="J357" s="1696"/>
      <c r="K357" s="1697"/>
    </row>
    <row r="358" spans="3:11" x14ac:dyDescent="0.2">
      <c r="C358" s="1673">
        <v>355</v>
      </c>
      <c r="D358" s="1691"/>
      <c r="E358" s="1692"/>
      <c r="F358" s="580"/>
      <c r="G358" s="1693"/>
      <c r="H358" s="1694"/>
      <c r="I358" s="1695"/>
      <c r="J358" s="1696"/>
      <c r="K358" s="1697"/>
    </row>
    <row r="359" spans="3:11" x14ac:dyDescent="0.2">
      <c r="C359" s="1673">
        <v>356</v>
      </c>
      <c r="D359" s="1691"/>
      <c r="E359" s="1692"/>
      <c r="F359" s="580"/>
      <c r="G359" s="1693"/>
      <c r="H359" s="1694"/>
      <c r="I359" s="1695"/>
      <c r="J359" s="1696"/>
      <c r="K359" s="1697"/>
    </row>
    <row r="360" spans="3:11" x14ac:dyDescent="0.2">
      <c r="C360" s="1673">
        <v>357</v>
      </c>
      <c r="D360" s="1691"/>
      <c r="E360" s="1692"/>
      <c r="F360" s="580"/>
      <c r="G360" s="1693"/>
      <c r="H360" s="1694"/>
      <c r="I360" s="1695"/>
      <c r="J360" s="1696"/>
      <c r="K360" s="1697"/>
    </row>
    <row r="361" spans="3:11" x14ac:dyDescent="0.2">
      <c r="C361" s="1673">
        <v>358</v>
      </c>
      <c r="D361" s="1691"/>
      <c r="E361" s="1692"/>
      <c r="F361" s="580"/>
      <c r="G361" s="1693"/>
      <c r="H361" s="1694"/>
      <c r="I361" s="1695"/>
      <c r="J361" s="1696"/>
      <c r="K361" s="1697"/>
    </row>
    <row r="362" spans="3:11" x14ac:dyDescent="0.2">
      <c r="C362" s="1673">
        <v>359</v>
      </c>
      <c r="D362" s="1691"/>
      <c r="E362" s="1692"/>
      <c r="F362" s="580"/>
      <c r="G362" s="1693"/>
      <c r="H362" s="1694"/>
      <c r="I362" s="1695"/>
      <c r="J362" s="1696"/>
      <c r="K362" s="1697"/>
    </row>
    <row r="363" spans="3:11" x14ac:dyDescent="0.2">
      <c r="C363" s="1673">
        <v>360</v>
      </c>
      <c r="D363" s="1691"/>
      <c r="E363" s="1692"/>
      <c r="F363" s="580"/>
      <c r="G363" s="1693"/>
      <c r="H363" s="1694"/>
      <c r="I363" s="1695"/>
      <c r="J363" s="1696"/>
      <c r="K363" s="1697"/>
    </row>
    <row r="364" spans="3:11" x14ac:dyDescent="0.2">
      <c r="C364" s="1673">
        <v>361</v>
      </c>
      <c r="D364" s="1691"/>
      <c r="E364" s="1692"/>
      <c r="F364" s="580"/>
      <c r="G364" s="1693"/>
      <c r="H364" s="1694"/>
      <c r="I364" s="1695"/>
      <c r="J364" s="1696"/>
      <c r="K364" s="1697"/>
    </row>
    <row r="365" spans="3:11" x14ac:dyDescent="0.2">
      <c r="C365" s="1673">
        <v>362</v>
      </c>
      <c r="D365" s="1691"/>
      <c r="E365" s="1692"/>
      <c r="F365" s="580"/>
      <c r="G365" s="1693"/>
      <c r="H365" s="1694"/>
      <c r="I365" s="1695"/>
      <c r="J365" s="1696"/>
      <c r="K365" s="1697"/>
    </row>
    <row r="366" spans="3:11" x14ac:dyDescent="0.2">
      <c r="C366" s="1673">
        <v>363</v>
      </c>
      <c r="D366" s="1691"/>
      <c r="E366" s="1692"/>
      <c r="F366" s="580"/>
      <c r="G366" s="1693"/>
      <c r="H366" s="1694"/>
      <c r="I366" s="1695"/>
      <c r="J366" s="1696"/>
      <c r="K366" s="1697"/>
    </row>
    <row r="367" spans="3:11" x14ac:dyDescent="0.2">
      <c r="C367" s="1673">
        <v>364</v>
      </c>
      <c r="D367" s="1691"/>
      <c r="E367" s="1692"/>
      <c r="F367" s="580"/>
      <c r="G367" s="1693"/>
      <c r="H367" s="1694"/>
      <c r="I367" s="1695"/>
      <c r="J367" s="1696"/>
      <c r="K367" s="1697"/>
    </row>
    <row r="368" spans="3:11" x14ac:dyDescent="0.2">
      <c r="C368" s="1673">
        <v>365</v>
      </c>
      <c r="D368" s="1691"/>
      <c r="E368" s="1692"/>
      <c r="F368" s="580"/>
      <c r="G368" s="1693"/>
      <c r="H368" s="1694"/>
      <c r="I368" s="1695"/>
      <c r="J368" s="1696"/>
      <c r="K368" s="1697"/>
    </row>
    <row r="369" spans="3:11" x14ac:dyDescent="0.2">
      <c r="C369" s="1673">
        <v>366</v>
      </c>
      <c r="D369" s="1691"/>
      <c r="E369" s="1692"/>
      <c r="F369" s="580"/>
      <c r="G369" s="1693"/>
      <c r="H369" s="1694"/>
      <c r="I369" s="1695"/>
      <c r="J369" s="1696"/>
      <c r="K369" s="1697"/>
    </row>
    <row r="370" spans="3:11" x14ac:dyDescent="0.2">
      <c r="C370" s="1673">
        <v>367</v>
      </c>
      <c r="D370" s="1691"/>
      <c r="E370" s="1692"/>
      <c r="F370" s="580"/>
      <c r="G370" s="1693"/>
      <c r="H370" s="1694"/>
      <c r="I370" s="1695"/>
      <c r="J370" s="1696"/>
      <c r="K370" s="1697"/>
    </row>
    <row r="371" spans="3:11" x14ac:dyDescent="0.2">
      <c r="C371" s="1673">
        <v>368</v>
      </c>
      <c r="D371" s="1691"/>
      <c r="E371" s="1692"/>
      <c r="F371" s="580"/>
      <c r="G371" s="1693"/>
      <c r="H371" s="1694"/>
      <c r="I371" s="1695"/>
      <c r="J371" s="1696"/>
      <c r="K371" s="1697"/>
    </row>
    <row r="372" spans="3:11" x14ac:dyDescent="0.2">
      <c r="C372" s="1673">
        <v>369</v>
      </c>
      <c r="D372" s="1691"/>
      <c r="E372" s="1692"/>
      <c r="F372" s="580"/>
      <c r="G372" s="1693"/>
      <c r="H372" s="1694"/>
      <c r="I372" s="1695"/>
      <c r="J372" s="1696"/>
      <c r="K372" s="1697"/>
    </row>
    <row r="373" spans="3:11" x14ac:dyDescent="0.2">
      <c r="C373" s="1673">
        <v>370</v>
      </c>
      <c r="D373" s="1691"/>
      <c r="E373" s="1692"/>
      <c r="F373" s="580"/>
      <c r="G373" s="1693"/>
      <c r="H373" s="1694"/>
      <c r="I373" s="1695"/>
      <c r="J373" s="1696"/>
      <c r="K373" s="1697"/>
    </row>
    <row r="374" spans="3:11" x14ac:dyDescent="0.2">
      <c r="C374" s="1673">
        <v>371</v>
      </c>
      <c r="D374" s="1691"/>
      <c r="E374" s="1692"/>
      <c r="F374" s="580"/>
      <c r="G374" s="1693"/>
      <c r="H374" s="1694"/>
      <c r="I374" s="1695"/>
      <c r="J374" s="1696"/>
      <c r="K374" s="1697"/>
    </row>
    <row r="375" spans="3:11" x14ac:dyDescent="0.2">
      <c r="C375" s="1673">
        <v>372</v>
      </c>
      <c r="D375" s="1691"/>
      <c r="E375" s="1692"/>
      <c r="F375" s="580"/>
      <c r="G375" s="1693"/>
      <c r="H375" s="1694"/>
      <c r="I375" s="1695"/>
      <c r="J375" s="1696"/>
      <c r="K375" s="1697"/>
    </row>
    <row r="376" spans="3:11" x14ac:dyDescent="0.2">
      <c r="C376" s="1673">
        <v>373</v>
      </c>
      <c r="D376" s="1691"/>
      <c r="E376" s="1692"/>
      <c r="F376" s="580"/>
      <c r="G376" s="1693"/>
      <c r="H376" s="1694"/>
      <c r="I376" s="1695"/>
      <c r="J376" s="1696"/>
      <c r="K376" s="1697"/>
    </row>
    <row r="377" spans="3:11" x14ac:dyDescent="0.2">
      <c r="C377" s="1673">
        <v>374</v>
      </c>
      <c r="D377" s="1691"/>
      <c r="E377" s="1692"/>
      <c r="F377" s="580"/>
      <c r="G377" s="1693"/>
      <c r="H377" s="1694"/>
      <c r="I377" s="1695"/>
      <c r="J377" s="1696"/>
      <c r="K377" s="1697"/>
    </row>
    <row r="378" spans="3:11" x14ac:dyDescent="0.2">
      <c r="C378" s="1673">
        <v>375</v>
      </c>
      <c r="D378" s="1691"/>
      <c r="E378" s="1692"/>
      <c r="F378" s="580"/>
      <c r="G378" s="1693"/>
      <c r="H378" s="1694"/>
      <c r="I378" s="1695"/>
      <c r="J378" s="1696"/>
      <c r="K378" s="1697"/>
    </row>
    <row r="379" spans="3:11" x14ac:dyDescent="0.2">
      <c r="C379" s="1673">
        <v>376</v>
      </c>
      <c r="D379" s="1691"/>
      <c r="E379" s="1692"/>
      <c r="F379" s="580"/>
      <c r="G379" s="1693"/>
      <c r="H379" s="1694"/>
      <c r="I379" s="1695"/>
      <c r="J379" s="1696"/>
      <c r="K379" s="1697"/>
    </row>
    <row r="380" spans="3:11" x14ac:dyDescent="0.2">
      <c r="C380" s="1673">
        <v>377</v>
      </c>
      <c r="D380" s="1691"/>
      <c r="E380" s="1692"/>
      <c r="F380" s="580"/>
      <c r="G380" s="1693"/>
      <c r="H380" s="1694"/>
      <c r="I380" s="1695"/>
      <c r="J380" s="1696"/>
      <c r="K380" s="1697"/>
    </row>
    <row r="381" spans="3:11" x14ac:dyDescent="0.2">
      <c r="C381" s="1673">
        <v>378</v>
      </c>
      <c r="D381" s="1691"/>
      <c r="E381" s="1692"/>
      <c r="F381" s="580"/>
      <c r="G381" s="1693"/>
      <c r="H381" s="1694"/>
      <c r="I381" s="1695"/>
      <c r="J381" s="1696"/>
      <c r="K381" s="1697"/>
    </row>
    <row r="382" spans="3:11" x14ac:dyDescent="0.2">
      <c r="C382" s="1673">
        <v>379</v>
      </c>
      <c r="D382" s="1691"/>
      <c r="E382" s="1692"/>
      <c r="F382" s="580"/>
      <c r="G382" s="1693"/>
      <c r="H382" s="1694"/>
      <c r="I382" s="1695"/>
      <c r="J382" s="1696"/>
      <c r="K382" s="1697"/>
    </row>
    <row r="383" spans="3:11" x14ac:dyDescent="0.2">
      <c r="C383" s="1673">
        <v>380</v>
      </c>
      <c r="D383" s="1691"/>
      <c r="E383" s="1692"/>
      <c r="F383" s="580"/>
      <c r="G383" s="1693"/>
      <c r="H383" s="1694"/>
      <c r="I383" s="1695"/>
      <c r="J383" s="1696"/>
      <c r="K383" s="1697"/>
    </row>
    <row r="384" spans="3:11" x14ac:dyDescent="0.2">
      <c r="C384" s="1673">
        <v>381</v>
      </c>
      <c r="D384" s="1691"/>
      <c r="E384" s="1692"/>
      <c r="F384" s="580"/>
      <c r="G384" s="1693"/>
      <c r="H384" s="1694"/>
      <c r="I384" s="1695"/>
      <c r="J384" s="1696"/>
      <c r="K384" s="1697"/>
    </row>
    <row r="385" spans="3:11" x14ac:dyDescent="0.2">
      <c r="C385" s="1673">
        <v>382</v>
      </c>
      <c r="D385" s="1691"/>
      <c r="E385" s="1692"/>
      <c r="F385" s="580"/>
      <c r="G385" s="1693"/>
      <c r="H385" s="1694"/>
      <c r="I385" s="1695"/>
      <c r="J385" s="1696"/>
      <c r="K385" s="1697"/>
    </row>
    <row r="386" spans="3:11" x14ac:dyDescent="0.2">
      <c r="C386" s="1673">
        <v>383</v>
      </c>
      <c r="D386" s="1691"/>
      <c r="E386" s="1692"/>
      <c r="F386" s="580"/>
      <c r="G386" s="1693"/>
      <c r="H386" s="1694"/>
      <c r="I386" s="1695"/>
      <c r="J386" s="1696"/>
      <c r="K386" s="1697"/>
    </row>
    <row r="387" spans="3:11" x14ac:dyDescent="0.2">
      <c r="C387" s="1673">
        <v>384</v>
      </c>
      <c r="D387" s="1691"/>
      <c r="E387" s="1692"/>
      <c r="F387" s="580"/>
      <c r="G387" s="1693"/>
      <c r="H387" s="1694"/>
      <c r="I387" s="1695"/>
      <c r="J387" s="1696"/>
      <c r="K387" s="1697"/>
    </row>
    <row r="388" spans="3:11" x14ac:dyDescent="0.2">
      <c r="C388" s="1673">
        <v>385</v>
      </c>
      <c r="D388" s="1691"/>
      <c r="E388" s="1692"/>
      <c r="F388" s="580"/>
      <c r="G388" s="1693"/>
      <c r="H388" s="1694"/>
      <c r="I388" s="1695"/>
      <c r="J388" s="1696"/>
      <c r="K388" s="1697"/>
    </row>
    <row r="389" spans="3:11" x14ac:dyDescent="0.2">
      <c r="C389" s="1673">
        <v>386</v>
      </c>
      <c r="D389" s="1691"/>
      <c r="E389" s="1692"/>
      <c r="F389" s="580"/>
      <c r="G389" s="1693"/>
      <c r="H389" s="1694"/>
      <c r="I389" s="1695"/>
      <c r="J389" s="1696"/>
      <c r="K389" s="1697"/>
    </row>
    <row r="390" spans="3:11" x14ac:dyDescent="0.2">
      <c r="C390" s="1673">
        <v>387</v>
      </c>
      <c r="D390" s="1691"/>
      <c r="E390" s="1692"/>
      <c r="F390" s="580"/>
      <c r="G390" s="1693"/>
      <c r="H390" s="1694"/>
      <c r="I390" s="1695"/>
      <c r="J390" s="1696"/>
      <c r="K390" s="1697"/>
    </row>
    <row r="391" spans="3:11" x14ac:dyDescent="0.2">
      <c r="C391" s="1673">
        <v>388</v>
      </c>
      <c r="D391" s="1691"/>
      <c r="E391" s="1692"/>
      <c r="F391" s="580"/>
      <c r="G391" s="1693"/>
      <c r="H391" s="1694"/>
      <c r="I391" s="1695"/>
      <c r="J391" s="1696"/>
      <c r="K391" s="1697"/>
    </row>
    <row r="392" spans="3:11" x14ac:dyDescent="0.2">
      <c r="C392" s="1673">
        <v>389</v>
      </c>
      <c r="D392" s="1691"/>
      <c r="E392" s="1692"/>
      <c r="F392" s="580"/>
      <c r="G392" s="1693"/>
      <c r="H392" s="1694"/>
      <c r="I392" s="1695"/>
      <c r="J392" s="1696"/>
      <c r="K392" s="1697"/>
    </row>
    <row r="393" spans="3:11" x14ac:dyDescent="0.2">
      <c r="C393" s="1673">
        <v>390</v>
      </c>
      <c r="D393" s="1691"/>
      <c r="E393" s="1692"/>
      <c r="F393" s="580"/>
      <c r="G393" s="1693"/>
      <c r="H393" s="1694"/>
      <c r="I393" s="1695"/>
      <c r="J393" s="1696"/>
      <c r="K393" s="1697"/>
    </row>
    <row r="394" spans="3:11" x14ac:dyDescent="0.2">
      <c r="C394" s="1673">
        <v>391</v>
      </c>
      <c r="D394" s="1691"/>
      <c r="E394" s="1692"/>
      <c r="F394" s="580"/>
      <c r="G394" s="1693"/>
      <c r="H394" s="1694"/>
      <c r="I394" s="1695"/>
      <c r="J394" s="1696"/>
      <c r="K394" s="1697"/>
    </row>
    <row r="395" spans="3:11" x14ac:dyDescent="0.2">
      <c r="C395" s="1673">
        <v>392</v>
      </c>
      <c r="D395" s="1691"/>
      <c r="E395" s="1692"/>
      <c r="F395" s="580"/>
      <c r="G395" s="1693"/>
      <c r="H395" s="1694"/>
      <c r="I395" s="1695"/>
      <c r="J395" s="1696"/>
      <c r="K395" s="1697"/>
    </row>
    <row r="396" spans="3:11" x14ac:dyDescent="0.2">
      <c r="C396" s="1673">
        <v>393</v>
      </c>
      <c r="D396" s="1691"/>
      <c r="E396" s="1692"/>
      <c r="F396" s="580"/>
      <c r="G396" s="1693"/>
      <c r="H396" s="1694"/>
      <c r="I396" s="1695"/>
      <c r="J396" s="1696"/>
      <c r="K396" s="1697"/>
    </row>
    <row r="397" spans="3:11" x14ac:dyDescent="0.2">
      <c r="C397" s="1673">
        <v>394</v>
      </c>
      <c r="D397" s="1691"/>
      <c r="E397" s="1692"/>
      <c r="F397" s="580"/>
      <c r="G397" s="1693"/>
      <c r="H397" s="1694"/>
      <c r="I397" s="1695"/>
      <c r="J397" s="1696"/>
      <c r="K397" s="1697"/>
    </row>
    <row r="398" spans="3:11" x14ac:dyDescent="0.2">
      <c r="C398" s="1673">
        <v>395</v>
      </c>
      <c r="D398" s="1691"/>
      <c r="E398" s="1692"/>
      <c r="F398" s="580"/>
      <c r="G398" s="1693"/>
      <c r="H398" s="1694"/>
      <c r="I398" s="1695"/>
      <c r="J398" s="1696"/>
      <c r="K398" s="1697"/>
    </row>
    <row r="399" spans="3:11" x14ac:dyDescent="0.2">
      <c r="C399" s="1673">
        <v>396</v>
      </c>
      <c r="D399" s="1691"/>
      <c r="E399" s="1692"/>
      <c r="F399" s="580"/>
      <c r="G399" s="1693"/>
      <c r="H399" s="1694"/>
      <c r="I399" s="1695"/>
      <c r="J399" s="1696"/>
      <c r="K399" s="1697"/>
    </row>
    <row r="400" spans="3:11" x14ac:dyDescent="0.2">
      <c r="C400" s="1673">
        <v>397</v>
      </c>
      <c r="D400" s="1691"/>
      <c r="E400" s="1692"/>
      <c r="F400" s="580"/>
      <c r="G400" s="1693"/>
      <c r="H400" s="1694"/>
      <c r="I400" s="1695"/>
      <c r="J400" s="1696"/>
      <c r="K400" s="1697"/>
    </row>
    <row r="401" spans="3:11" x14ac:dyDescent="0.2">
      <c r="C401" s="1673">
        <v>398</v>
      </c>
      <c r="D401" s="1691"/>
      <c r="E401" s="1692"/>
      <c r="F401" s="580"/>
      <c r="G401" s="1693"/>
      <c r="H401" s="1694"/>
      <c r="I401" s="1695"/>
      <c r="J401" s="1696"/>
      <c r="K401" s="1697"/>
    </row>
    <row r="402" spans="3:11" x14ac:dyDescent="0.2">
      <c r="C402" s="1673">
        <v>399</v>
      </c>
      <c r="D402" s="1691"/>
      <c r="E402" s="1692"/>
      <c r="F402" s="580"/>
      <c r="G402" s="1693"/>
      <c r="H402" s="1694"/>
      <c r="I402" s="1695"/>
      <c r="J402" s="1696"/>
      <c r="K402" s="1697"/>
    </row>
    <row r="403" spans="3:11" x14ac:dyDescent="0.2">
      <c r="C403" s="1673">
        <v>400</v>
      </c>
      <c r="D403" s="1691"/>
      <c r="E403" s="1692"/>
      <c r="F403" s="580"/>
      <c r="G403" s="1693"/>
      <c r="H403" s="1694"/>
      <c r="I403" s="1695"/>
      <c r="J403" s="1696"/>
      <c r="K403" s="1697"/>
    </row>
    <row r="404" spans="3:11" x14ac:dyDescent="0.2">
      <c r="C404" s="1673">
        <v>401</v>
      </c>
      <c r="D404" s="1691"/>
      <c r="E404" s="1692"/>
      <c r="F404" s="580"/>
      <c r="G404" s="1693"/>
      <c r="H404" s="1694"/>
      <c r="I404" s="1695"/>
      <c r="J404" s="1696"/>
      <c r="K404" s="1697"/>
    </row>
    <row r="405" spans="3:11" x14ac:dyDescent="0.2">
      <c r="C405" s="1673">
        <v>402</v>
      </c>
      <c r="D405" s="1691"/>
      <c r="E405" s="1692"/>
      <c r="F405" s="580"/>
      <c r="G405" s="1693"/>
      <c r="H405" s="1694"/>
      <c r="I405" s="1695"/>
      <c r="J405" s="1696"/>
      <c r="K405" s="1697"/>
    </row>
    <row r="406" spans="3:11" x14ac:dyDescent="0.2">
      <c r="C406" s="1673">
        <v>403</v>
      </c>
      <c r="D406" s="1691"/>
      <c r="E406" s="1692"/>
      <c r="F406" s="580"/>
      <c r="G406" s="1693"/>
      <c r="H406" s="1694"/>
      <c r="I406" s="1695"/>
      <c r="J406" s="1696"/>
      <c r="K406" s="1697"/>
    </row>
    <row r="407" spans="3:11" x14ac:dyDescent="0.2">
      <c r="C407" s="1673">
        <v>404</v>
      </c>
      <c r="D407" s="1691"/>
      <c r="E407" s="1692"/>
      <c r="F407" s="580"/>
      <c r="G407" s="1693"/>
      <c r="H407" s="1694"/>
      <c r="I407" s="1695"/>
      <c r="J407" s="1696"/>
      <c r="K407" s="1697"/>
    </row>
    <row r="408" spans="3:11" x14ac:dyDescent="0.2">
      <c r="C408" s="1673">
        <v>405</v>
      </c>
      <c r="D408" s="1691"/>
      <c r="E408" s="1692"/>
      <c r="F408" s="580"/>
      <c r="G408" s="1693"/>
      <c r="H408" s="1694"/>
      <c r="I408" s="1695"/>
      <c r="J408" s="1696"/>
      <c r="K408" s="1697"/>
    </row>
    <row r="409" spans="3:11" x14ac:dyDescent="0.2">
      <c r="C409" s="1673">
        <v>406</v>
      </c>
      <c r="D409" s="1691"/>
      <c r="E409" s="1692"/>
      <c r="F409" s="580"/>
      <c r="G409" s="1693"/>
      <c r="H409" s="1694"/>
      <c r="I409" s="1695"/>
      <c r="J409" s="1696"/>
      <c r="K409" s="1697"/>
    </row>
    <row r="410" spans="3:11" x14ac:dyDescent="0.2">
      <c r="C410" s="1673">
        <v>407</v>
      </c>
      <c r="D410" s="1691"/>
      <c r="E410" s="1692"/>
      <c r="F410" s="580"/>
      <c r="G410" s="1693"/>
      <c r="H410" s="1694"/>
      <c r="I410" s="1695"/>
      <c r="J410" s="1696"/>
      <c r="K410" s="1697"/>
    </row>
    <row r="411" spans="3:11" x14ac:dyDescent="0.2">
      <c r="C411" s="1673">
        <v>408</v>
      </c>
      <c r="D411" s="1691"/>
      <c r="E411" s="1692"/>
      <c r="F411" s="580"/>
      <c r="G411" s="1693"/>
      <c r="H411" s="1694"/>
      <c r="I411" s="1695"/>
      <c r="J411" s="1696"/>
      <c r="K411" s="1697"/>
    </row>
    <row r="412" spans="3:11" x14ac:dyDescent="0.2">
      <c r="C412" s="1673">
        <v>409</v>
      </c>
      <c r="D412" s="1691"/>
      <c r="E412" s="1692"/>
      <c r="F412" s="580"/>
      <c r="G412" s="1693"/>
      <c r="H412" s="1694"/>
      <c r="I412" s="1695"/>
      <c r="J412" s="1696"/>
      <c r="K412" s="1697"/>
    </row>
    <row r="413" spans="3:11" x14ac:dyDescent="0.2">
      <c r="C413" s="1673">
        <v>410</v>
      </c>
      <c r="D413" s="1691"/>
      <c r="E413" s="1692"/>
      <c r="F413" s="580"/>
      <c r="G413" s="1693"/>
      <c r="H413" s="1694"/>
      <c r="I413" s="1695"/>
      <c r="J413" s="1696"/>
      <c r="K413" s="1697"/>
    </row>
    <row r="414" spans="3:11" x14ac:dyDescent="0.2">
      <c r="C414" s="1673">
        <v>411</v>
      </c>
      <c r="D414" s="1691"/>
      <c r="E414" s="1692"/>
      <c r="F414" s="580"/>
      <c r="G414" s="1693"/>
      <c r="H414" s="1694"/>
      <c r="I414" s="1695"/>
      <c r="J414" s="1696"/>
      <c r="K414" s="1697"/>
    </row>
    <row r="415" spans="3:11" x14ac:dyDescent="0.2">
      <c r="C415" s="1673">
        <v>412</v>
      </c>
      <c r="D415" s="1691"/>
      <c r="E415" s="1692"/>
      <c r="F415" s="580"/>
      <c r="G415" s="1693"/>
      <c r="H415" s="1694"/>
      <c r="I415" s="1695"/>
      <c r="J415" s="1696"/>
      <c r="K415" s="1697"/>
    </row>
    <row r="416" spans="3:11" x14ac:dyDescent="0.2">
      <c r="C416" s="1673">
        <v>413</v>
      </c>
      <c r="D416" s="1691"/>
      <c r="E416" s="1692"/>
      <c r="F416" s="580"/>
      <c r="G416" s="1693"/>
      <c r="H416" s="1694"/>
      <c r="I416" s="1695"/>
      <c r="J416" s="1696"/>
      <c r="K416" s="1697"/>
    </row>
    <row r="417" spans="3:11" x14ac:dyDescent="0.2">
      <c r="C417" s="1673">
        <v>414</v>
      </c>
      <c r="D417" s="1691"/>
      <c r="E417" s="1692"/>
      <c r="F417" s="580"/>
      <c r="G417" s="1693"/>
      <c r="H417" s="1694"/>
      <c r="I417" s="1695"/>
      <c r="J417" s="1696"/>
      <c r="K417" s="1697"/>
    </row>
    <row r="418" spans="3:11" x14ac:dyDescent="0.2">
      <c r="C418" s="1673">
        <v>415</v>
      </c>
      <c r="D418" s="1691"/>
      <c r="E418" s="1692"/>
      <c r="F418" s="580"/>
      <c r="G418" s="1693"/>
      <c r="H418" s="1694"/>
      <c r="I418" s="1695"/>
      <c r="J418" s="1696"/>
      <c r="K418" s="1697"/>
    </row>
    <row r="419" spans="3:11" x14ac:dyDescent="0.2">
      <c r="C419" s="1673">
        <v>416</v>
      </c>
      <c r="D419" s="1691"/>
      <c r="E419" s="1692"/>
      <c r="F419" s="580"/>
      <c r="G419" s="1693"/>
      <c r="H419" s="1694"/>
      <c r="I419" s="1695"/>
      <c r="J419" s="1696"/>
      <c r="K419" s="1697"/>
    </row>
    <row r="420" spans="3:11" x14ac:dyDescent="0.2">
      <c r="C420" s="1673">
        <v>417</v>
      </c>
      <c r="D420" s="1691"/>
      <c r="E420" s="1692"/>
      <c r="F420" s="580"/>
      <c r="G420" s="1693"/>
      <c r="H420" s="1694"/>
      <c r="I420" s="1695"/>
      <c r="J420" s="1696"/>
      <c r="K420" s="1697"/>
    </row>
    <row r="421" spans="3:11" x14ac:dyDescent="0.2">
      <c r="C421" s="1673">
        <v>418</v>
      </c>
      <c r="D421" s="1691"/>
      <c r="E421" s="1692"/>
      <c r="F421" s="580"/>
      <c r="G421" s="1693"/>
      <c r="H421" s="1694"/>
      <c r="I421" s="1695"/>
      <c r="J421" s="1696"/>
      <c r="K421" s="1697"/>
    </row>
    <row r="422" spans="3:11" x14ac:dyDescent="0.2">
      <c r="C422" s="1673">
        <v>419</v>
      </c>
      <c r="D422" s="1691"/>
      <c r="E422" s="1692"/>
      <c r="F422" s="580"/>
      <c r="G422" s="1693"/>
      <c r="H422" s="1694"/>
      <c r="I422" s="1695"/>
      <c r="J422" s="1696"/>
      <c r="K422" s="1697"/>
    </row>
    <row r="423" spans="3:11" x14ac:dyDescent="0.2">
      <c r="C423" s="1673">
        <v>420</v>
      </c>
      <c r="D423" s="1691"/>
      <c r="E423" s="1692"/>
      <c r="F423" s="580"/>
      <c r="G423" s="1693"/>
      <c r="H423" s="1694"/>
      <c r="I423" s="1695"/>
      <c r="J423" s="1696"/>
      <c r="K423" s="1697"/>
    </row>
    <row r="424" spans="3:11" x14ac:dyDescent="0.2">
      <c r="C424" s="1673">
        <v>421</v>
      </c>
      <c r="D424" s="1691"/>
      <c r="E424" s="1692"/>
      <c r="F424" s="580"/>
      <c r="G424" s="1693"/>
      <c r="H424" s="1694"/>
      <c r="I424" s="1695"/>
      <c r="J424" s="1696"/>
      <c r="K424" s="1697"/>
    </row>
    <row r="425" spans="3:11" x14ac:dyDescent="0.2">
      <c r="C425" s="1673">
        <v>422</v>
      </c>
      <c r="D425" s="1691"/>
      <c r="E425" s="1692"/>
      <c r="F425" s="580"/>
      <c r="G425" s="1693"/>
      <c r="H425" s="1694"/>
      <c r="I425" s="1695"/>
      <c r="J425" s="1696"/>
      <c r="K425" s="1697"/>
    </row>
    <row r="426" spans="3:11" x14ac:dyDescent="0.2">
      <c r="C426" s="1673">
        <v>423</v>
      </c>
      <c r="D426" s="1691"/>
      <c r="E426" s="1692"/>
      <c r="F426" s="580"/>
      <c r="G426" s="1693"/>
      <c r="H426" s="1694"/>
      <c r="I426" s="1695"/>
      <c r="J426" s="1696"/>
      <c r="K426" s="1697"/>
    </row>
    <row r="427" spans="3:11" x14ac:dyDescent="0.2">
      <c r="C427" s="1673">
        <v>424</v>
      </c>
      <c r="D427" s="1691"/>
      <c r="E427" s="1692"/>
      <c r="F427" s="580"/>
      <c r="G427" s="1693"/>
      <c r="H427" s="1694"/>
      <c r="I427" s="1695"/>
      <c r="J427" s="1696"/>
      <c r="K427" s="1697"/>
    </row>
    <row r="428" spans="3:11" x14ac:dyDescent="0.2">
      <c r="C428" s="1673">
        <v>425</v>
      </c>
      <c r="D428" s="1691"/>
      <c r="E428" s="1692"/>
      <c r="F428" s="580"/>
      <c r="G428" s="1693"/>
      <c r="H428" s="1694"/>
      <c r="I428" s="1695"/>
      <c r="J428" s="1696"/>
      <c r="K428" s="1697"/>
    </row>
    <row r="429" spans="3:11" x14ac:dyDescent="0.2">
      <c r="C429" s="1673">
        <v>426</v>
      </c>
      <c r="D429" s="1691"/>
      <c r="E429" s="1692"/>
      <c r="F429" s="580"/>
      <c r="G429" s="1693"/>
      <c r="H429" s="1694"/>
      <c r="I429" s="1695"/>
      <c r="J429" s="1696"/>
      <c r="K429" s="1697"/>
    </row>
    <row r="430" spans="3:11" x14ac:dyDescent="0.2">
      <c r="C430" s="1673">
        <v>427</v>
      </c>
      <c r="D430" s="1691"/>
      <c r="E430" s="1692"/>
      <c r="F430" s="580"/>
      <c r="G430" s="1693"/>
      <c r="H430" s="1694"/>
      <c r="I430" s="1695"/>
      <c r="J430" s="1696"/>
      <c r="K430" s="1697"/>
    </row>
    <row r="431" spans="3:11" x14ac:dyDescent="0.2">
      <c r="C431" s="1673">
        <v>428</v>
      </c>
      <c r="D431" s="1691"/>
      <c r="E431" s="1692"/>
      <c r="F431" s="580"/>
      <c r="G431" s="1693"/>
      <c r="H431" s="1694"/>
      <c r="I431" s="1695"/>
      <c r="J431" s="1696"/>
      <c r="K431" s="1697"/>
    </row>
    <row r="432" spans="3:11" x14ac:dyDescent="0.2">
      <c r="C432" s="1673">
        <v>429</v>
      </c>
      <c r="D432" s="1691"/>
      <c r="E432" s="1692"/>
      <c r="F432" s="580"/>
      <c r="G432" s="1693"/>
      <c r="H432" s="1694"/>
      <c r="I432" s="1695"/>
      <c r="J432" s="1696"/>
      <c r="K432" s="1697"/>
    </row>
    <row r="433" spans="3:11" x14ac:dyDescent="0.2">
      <c r="C433" s="1673">
        <v>430</v>
      </c>
      <c r="D433" s="1691"/>
      <c r="E433" s="1692"/>
      <c r="F433" s="580"/>
      <c r="G433" s="1693"/>
      <c r="H433" s="1694"/>
      <c r="I433" s="1695"/>
      <c r="J433" s="1696"/>
      <c r="K433" s="1697"/>
    </row>
    <row r="434" spans="3:11" x14ac:dyDescent="0.2">
      <c r="C434" s="1673">
        <v>431</v>
      </c>
      <c r="D434" s="1691"/>
      <c r="E434" s="1692"/>
      <c r="F434" s="580"/>
      <c r="G434" s="1693"/>
      <c r="H434" s="1694"/>
      <c r="I434" s="1695"/>
      <c r="J434" s="1696"/>
      <c r="K434" s="1697"/>
    </row>
    <row r="435" spans="3:11" x14ac:dyDescent="0.2">
      <c r="C435" s="1673">
        <v>432</v>
      </c>
      <c r="D435" s="1691"/>
      <c r="E435" s="1692"/>
      <c r="F435" s="580"/>
      <c r="G435" s="1693"/>
      <c r="H435" s="1694"/>
      <c r="I435" s="1695"/>
      <c r="J435" s="1696"/>
      <c r="K435" s="1697"/>
    </row>
    <row r="436" spans="3:11" x14ac:dyDescent="0.2">
      <c r="C436" s="1673">
        <v>433</v>
      </c>
      <c r="D436" s="1691"/>
      <c r="E436" s="1692"/>
      <c r="F436" s="580"/>
      <c r="G436" s="1693"/>
      <c r="H436" s="1694"/>
      <c r="I436" s="1695"/>
      <c r="J436" s="1696"/>
      <c r="K436" s="1697"/>
    </row>
    <row r="437" spans="3:11" x14ac:dyDescent="0.2">
      <c r="C437" s="1673">
        <v>434</v>
      </c>
      <c r="D437" s="1691"/>
      <c r="E437" s="1692"/>
      <c r="F437" s="580"/>
      <c r="G437" s="1693"/>
      <c r="H437" s="1694"/>
      <c r="I437" s="1695"/>
      <c r="J437" s="1696"/>
      <c r="K437" s="1697"/>
    </row>
    <row r="438" spans="3:11" x14ac:dyDescent="0.2">
      <c r="C438" s="1673">
        <v>435</v>
      </c>
      <c r="D438" s="1691"/>
      <c r="E438" s="1692"/>
      <c r="F438" s="580"/>
      <c r="G438" s="1693"/>
      <c r="H438" s="1694"/>
      <c r="I438" s="1695"/>
      <c r="J438" s="1696"/>
      <c r="K438" s="1697"/>
    </row>
    <row r="439" spans="3:11" x14ac:dyDescent="0.2">
      <c r="C439" s="1673">
        <v>436</v>
      </c>
      <c r="D439" s="1691"/>
      <c r="E439" s="1692"/>
      <c r="F439" s="580"/>
      <c r="G439" s="1693"/>
      <c r="H439" s="1694"/>
      <c r="I439" s="1695"/>
      <c r="J439" s="1696"/>
      <c r="K439" s="1697"/>
    </row>
    <row r="440" spans="3:11" x14ac:dyDescent="0.2">
      <c r="C440" s="1673">
        <v>437</v>
      </c>
      <c r="D440" s="1691"/>
      <c r="E440" s="1692"/>
      <c r="F440" s="580"/>
      <c r="G440" s="1693"/>
      <c r="H440" s="1694"/>
      <c r="I440" s="1695"/>
      <c r="J440" s="1696"/>
      <c r="K440" s="1697"/>
    </row>
    <row r="441" spans="3:11" x14ac:dyDescent="0.2">
      <c r="C441" s="1673">
        <v>438</v>
      </c>
      <c r="D441" s="1691"/>
      <c r="E441" s="1692"/>
      <c r="F441" s="580"/>
      <c r="G441" s="1693"/>
      <c r="H441" s="1694"/>
      <c r="I441" s="1695"/>
      <c r="J441" s="1696"/>
      <c r="K441" s="1697"/>
    </row>
    <row r="442" spans="3:11" x14ac:dyDescent="0.2">
      <c r="C442" s="1673">
        <v>439</v>
      </c>
      <c r="D442" s="1691"/>
      <c r="E442" s="1692"/>
      <c r="F442" s="580"/>
      <c r="G442" s="1693"/>
      <c r="H442" s="1694"/>
      <c r="I442" s="1695"/>
      <c r="J442" s="1696"/>
      <c r="K442" s="1697"/>
    </row>
    <row r="443" spans="3:11" x14ac:dyDescent="0.2">
      <c r="C443" s="1673">
        <v>440</v>
      </c>
      <c r="D443" s="1691"/>
      <c r="E443" s="1692"/>
      <c r="F443" s="580"/>
      <c r="G443" s="1693"/>
      <c r="H443" s="1694"/>
      <c r="I443" s="1695"/>
      <c r="J443" s="1696"/>
      <c r="K443" s="1697"/>
    </row>
    <row r="444" spans="3:11" x14ac:dyDescent="0.2">
      <c r="C444" s="1673">
        <v>441</v>
      </c>
      <c r="D444" s="1691"/>
      <c r="E444" s="1692"/>
      <c r="F444" s="580"/>
      <c r="G444" s="1693"/>
      <c r="H444" s="1694"/>
      <c r="I444" s="1695"/>
      <c r="J444" s="1696"/>
      <c r="K444" s="1697"/>
    </row>
    <row r="445" spans="3:11" x14ac:dyDescent="0.2">
      <c r="C445" s="1673">
        <v>442</v>
      </c>
      <c r="D445" s="1691"/>
      <c r="E445" s="1692"/>
      <c r="F445" s="580"/>
      <c r="G445" s="1693"/>
      <c r="H445" s="1694"/>
      <c r="I445" s="1695"/>
      <c r="J445" s="1696"/>
      <c r="K445" s="1697"/>
    </row>
    <row r="446" spans="3:11" x14ac:dyDescent="0.2">
      <c r="C446" s="1673">
        <v>443</v>
      </c>
      <c r="D446" s="1691"/>
      <c r="E446" s="1692"/>
      <c r="F446" s="580"/>
      <c r="G446" s="1693"/>
      <c r="H446" s="1694"/>
      <c r="I446" s="1695"/>
      <c r="J446" s="1696"/>
      <c r="K446" s="1697"/>
    </row>
    <row r="447" spans="3:11" x14ac:dyDescent="0.2">
      <c r="C447" s="1673">
        <v>444</v>
      </c>
      <c r="D447" s="1691"/>
      <c r="E447" s="1692"/>
      <c r="F447" s="580"/>
      <c r="G447" s="1693"/>
      <c r="H447" s="1694"/>
      <c r="I447" s="1695"/>
      <c r="J447" s="1696"/>
      <c r="K447" s="1697"/>
    </row>
    <row r="448" spans="3:11" x14ac:dyDescent="0.2">
      <c r="C448" s="1673">
        <v>445</v>
      </c>
      <c r="D448" s="1691"/>
      <c r="E448" s="1692"/>
      <c r="F448" s="580"/>
      <c r="G448" s="1693"/>
      <c r="H448" s="1694"/>
      <c r="I448" s="1695"/>
      <c r="J448" s="1696"/>
      <c r="K448" s="1697"/>
    </row>
    <row r="449" spans="3:11" x14ac:dyDescent="0.2">
      <c r="C449" s="1673">
        <v>446</v>
      </c>
      <c r="D449" s="1691"/>
      <c r="E449" s="1692"/>
      <c r="F449" s="580"/>
      <c r="G449" s="1693"/>
      <c r="H449" s="1694"/>
      <c r="I449" s="1695"/>
      <c r="J449" s="1696"/>
      <c r="K449" s="1697"/>
    </row>
    <row r="450" spans="3:11" x14ac:dyDescent="0.2">
      <c r="C450" s="1673">
        <v>447</v>
      </c>
      <c r="D450" s="1691"/>
      <c r="E450" s="1692"/>
      <c r="F450" s="580"/>
      <c r="G450" s="1693"/>
      <c r="H450" s="1694"/>
      <c r="I450" s="1695"/>
      <c r="J450" s="1696"/>
      <c r="K450" s="1697"/>
    </row>
    <row r="451" spans="3:11" x14ac:dyDescent="0.2">
      <c r="C451" s="1673">
        <v>448</v>
      </c>
      <c r="D451" s="1691"/>
      <c r="E451" s="1692"/>
      <c r="F451" s="580"/>
      <c r="G451" s="1693"/>
      <c r="H451" s="1694"/>
      <c r="I451" s="1695"/>
      <c r="J451" s="1696"/>
      <c r="K451" s="1697"/>
    </row>
    <row r="452" spans="3:11" x14ac:dyDescent="0.2">
      <c r="C452" s="1673">
        <v>449</v>
      </c>
      <c r="D452" s="1691"/>
      <c r="E452" s="1692"/>
      <c r="F452" s="580"/>
      <c r="G452" s="1693"/>
      <c r="H452" s="1694"/>
      <c r="I452" s="1695"/>
      <c r="J452" s="1696"/>
      <c r="K452" s="1697"/>
    </row>
    <row r="453" spans="3:11" x14ac:dyDescent="0.2">
      <c r="C453" s="1673">
        <v>450</v>
      </c>
      <c r="D453" s="1691"/>
      <c r="E453" s="1692"/>
      <c r="F453" s="580"/>
      <c r="G453" s="1693"/>
      <c r="H453" s="1694"/>
      <c r="I453" s="1695"/>
      <c r="J453" s="1696"/>
      <c r="K453" s="1697"/>
    </row>
    <row r="454" spans="3:11" x14ac:dyDescent="0.2">
      <c r="C454" s="1673">
        <v>451</v>
      </c>
      <c r="D454" s="1691"/>
      <c r="E454" s="1692"/>
      <c r="F454" s="580"/>
      <c r="G454" s="1693"/>
      <c r="H454" s="1694"/>
      <c r="I454" s="1695"/>
      <c r="J454" s="1696"/>
      <c r="K454" s="1697"/>
    </row>
    <row r="455" spans="3:11" x14ac:dyDescent="0.2">
      <c r="C455" s="1673">
        <v>452</v>
      </c>
      <c r="D455" s="1691"/>
      <c r="E455" s="1692"/>
      <c r="F455" s="580"/>
      <c r="G455" s="1693"/>
      <c r="H455" s="1694"/>
      <c r="I455" s="1695"/>
      <c r="J455" s="1696"/>
      <c r="K455" s="1697"/>
    </row>
    <row r="456" spans="3:11" x14ac:dyDescent="0.2">
      <c r="C456" s="1673">
        <v>453</v>
      </c>
      <c r="D456" s="1691"/>
      <c r="E456" s="1692"/>
      <c r="F456" s="580"/>
      <c r="G456" s="1693"/>
      <c r="H456" s="1694"/>
      <c r="I456" s="1695"/>
      <c r="J456" s="1696"/>
      <c r="K456" s="1697"/>
    </row>
    <row r="457" spans="3:11" x14ac:dyDescent="0.2">
      <c r="C457" s="1673">
        <v>454</v>
      </c>
      <c r="D457" s="1691"/>
      <c r="E457" s="1692"/>
      <c r="F457" s="580"/>
      <c r="G457" s="1693"/>
      <c r="H457" s="1694"/>
      <c r="I457" s="1695"/>
      <c r="J457" s="1696"/>
      <c r="K457" s="1697"/>
    </row>
    <row r="458" spans="3:11" x14ac:dyDescent="0.2">
      <c r="C458" s="1673">
        <v>455</v>
      </c>
      <c r="D458" s="1691"/>
      <c r="E458" s="1692"/>
      <c r="F458" s="580"/>
      <c r="G458" s="1693"/>
      <c r="H458" s="1694"/>
      <c r="I458" s="1695"/>
      <c r="J458" s="1696"/>
      <c r="K458" s="1697"/>
    </row>
    <row r="459" spans="3:11" x14ac:dyDescent="0.2">
      <c r="C459" s="1673">
        <v>456</v>
      </c>
      <c r="D459" s="1691"/>
      <c r="E459" s="1692"/>
      <c r="F459" s="580"/>
      <c r="G459" s="1693"/>
      <c r="H459" s="1694"/>
      <c r="I459" s="1695"/>
      <c r="J459" s="1696"/>
      <c r="K459" s="1697"/>
    </row>
    <row r="460" spans="3:11" x14ac:dyDescent="0.2">
      <c r="C460" s="1673">
        <v>457</v>
      </c>
      <c r="D460" s="1691"/>
      <c r="E460" s="1692"/>
      <c r="F460" s="580"/>
      <c r="G460" s="1693"/>
      <c r="H460" s="1694"/>
      <c r="I460" s="1695"/>
      <c r="J460" s="1696"/>
      <c r="K460" s="1697"/>
    </row>
    <row r="461" spans="3:11" x14ac:dyDescent="0.2">
      <c r="C461" s="1673">
        <v>458</v>
      </c>
      <c r="D461" s="1691"/>
      <c r="E461" s="1692"/>
      <c r="F461" s="580"/>
      <c r="G461" s="1693"/>
      <c r="H461" s="1694"/>
      <c r="I461" s="1695"/>
      <c r="J461" s="1696"/>
      <c r="K461" s="1697"/>
    </row>
    <row r="462" spans="3:11" x14ac:dyDescent="0.2">
      <c r="C462" s="1673">
        <v>459</v>
      </c>
      <c r="D462" s="1691"/>
      <c r="E462" s="1692"/>
      <c r="F462" s="580"/>
      <c r="G462" s="1693"/>
      <c r="H462" s="1694"/>
      <c r="I462" s="1695"/>
      <c r="J462" s="1696"/>
      <c r="K462" s="1697"/>
    </row>
    <row r="463" spans="3:11" x14ac:dyDescent="0.2">
      <c r="C463" s="1673">
        <v>460</v>
      </c>
      <c r="D463" s="1691"/>
      <c r="E463" s="1692"/>
      <c r="F463" s="580"/>
      <c r="G463" s="1693"/>
      <c r="H463" s="1694"/>
      <c r="I463" s="1695"/>
      <c r="J463" s="1696"/>
      <c r="K463" s="1697"/>
    </row>
    <row r="464" spans="3:11" x14ac:dyDescent="0.2">
      <c r="C464" s="1673">
        <v>461</v>
      </c>
      <c r="D464" s="1691"/>
      <c r="E464" s="1692"/>
      <c r="F464" s="580"/>
      <c r="G464" s="1693"/>
      <c r="H464" s="1694"/>
      <c r="I464" s="1695"/>
      <c r="J464" s="1696"/>
      <c r="K464" s="1697"/>
    </row>
    <row r="465" spans="3:11" x14ac:dyDescent="0.2">
      <c r="C465" s="1673">
        <v>462</v>
      </c>
      <c r="D465" s="1691"/>
      <c r="E465" s="1692"/>
      <c r="F465" s="580"/>
      <c r="G465" s="1693"/>
      <c r="H465" s="1694"/>
      <c r="I465" s="1695"/>
      <c r="J465" s="1696"/>
      <c r="K465" s="1697"/>
    </row>
    <row r="466" spans="3:11" x14ac:dyDescent="0.2">
      <c r="C466" s="1673">
        <v>463</v>
      </c>
      <c r="D466" s="1691"/>
      <c r="E466" s="1692"/>
      <c r="F466" s="580"/>
      <c r="G466" s="1693"/>
      <c r="H466" s="1694"/>
      <c r="I466" s="1695"/>
      <c r="J466" s="1696"/>
      <c r="K466" s="1697"/>
    </row>
    <row r="467" spans="3:11" x14ac:dyDescent="0.2">
      <c r="C467" s="1673">
        <v>464</v>
      </c>
      <c r="D467" s="1691"/>
      <c r="E467" s="1692"/>
      <c r="F467" s="580"/>
      <c r="G467" s="1693"/>
      <c r="H467" s="1694"/>
      <c r="I467" s="1695"/>
      <c r="J467" s="1696"/>
      <c r="K467" s="1697"/>
    </row>
    <row r="468" spans="3:11" x14ac:dyDescent="0.2">
      <c r="C468" s="1673">
        <v>465</v>
      </c>
      <c r="D468" s="1691"/>
      <c r="E468" s="1692"/>
      <c r="F468" s="580"/>
      <c r="G468" s="1693"/>
      <c r="H468" s="1694"/>
      <c r="I468" s="1695"/>
      <c r="J468" s="1696"/>
      <c r="K468" s="1697"/>
    </row>
    <row r="469" spans="3:11" x14ac:dyDescent="0.2">
      <c r="C469" s="1673">
        <v>466</v>
      </c>
      <c r="D469" s="1691"/>
      <c r="E469" s="1692"/>
      <c r="F469" s="580"/>
      <c r="G469" s="1693"/>
      <c r="H469" s="1694"/>
      <c r="I469" s="1695"/>
      <c r="J469" s="1696"/>
      <c r="K469" s="1697"/>
    </row>
    <row r="470" spans="3:11" x14ac:dyDescent="0.2">
      <c r="C470" s="1673">
        <v>467</v>
      </c>
      <c r="D470" s="1691"/>
      <c r="E470" s="1692"/>
      <c r="F470" s="580"/>
      <c r="G470" s="1693"/>
      <c r="H470" s="1694"/>
      <c r="I470" s="1695"/>
      <c r="J470" s="1696"/>
      <c r="K470" s="1697"/>
    </row>
    <row r="471" spans="3:11" x14ac:dyDescent="0.2">
      <c r="C471" s="1673">
        <v>468</v>
      </c>
      <c r="D471" s="1691"/>
      <c r="E471" s="1692"/>
      <c r="F471" s="580"/>
      <c r="G471" s="1693"/>
      <c r="H471" s="1694"/>
      <c r="I471" s="1695"/>
      <c r="J471" s="1696"/>
      <c r="K471" s="1697"/>
    </row>
    <row r="472" spans="3:11" x14ac:dyDescent="0.2">
      <c r="C472" s="1673">
        <v>469</v>
      </c>
      <c r="D472" s="1691"/>
      <c r="E472" s="1692"/>
      <c r="F472" s="580"/>
      <c r="G472" s="1693"/>
      <c r="H472" s="1694"/>
      <c r="I472" s="1695"/>
      <c r="J472" s="1696"/>
      <c r="K472" s="1697"/>
    </row>
    <row r="473" spans="3:11" x14ac:dyDescent="0.2">
      <c r="C473" s="1673">
        <v>470</v>
      </c>
      <c r="D473" s="1691"/>
      <c r="E473" s="1692"/>
      <c r="F473" s="580"/>
      <c r="G473" s="1693"/>
      <c r="H473" s="1694"/>
      <c r="I473" s="1695"/>
      <c r="J473" s="1696"/>
      <c r="K473" s="1697"/>
    </row>
    <row r="474" spans="3:11" x14ac:dyDescent="0.2">
      <c r="C474" s="1673">
        <v>471</v>
      </c>
      <c r="D474" s="1691"/>
      <c r="E474" s="1692"/>
      <c r="F474" s="580"/>
      <c r="G474" s="1693"/>
      <c r="H474" s="1694"/>
      <c r="I474" s="1695"/>
      <c r="J474" s="1696"/>
      <c r="K474" s="1697"/>
    </row>
    <row r="475" spans="3:11" x14ac:dyDescent="0.2">
      <c r="C475" s="1673">
        <v>472</v>
      </c>
      <c r="D475" s="1691"/>
      <c r="E475" s="1692"/>
      <c r="F475" s="580"/>
      <c r="G475" s="1693"/>
      <c r="H475" s="1694"/>
      <c r="I475" s="1695"/>
      <c r="J475" s="1696"/>
      <c r="K475" s="1697"/>
    </row>
    <row r="476" spans="3:11" x14ac:dyDescent="0.2">
      <c r="C476" s="1673">
        <v>473</v>
      </c>
      <c r="D476" s="1691"/>
      <c r="E476" s="1692"/>
      <c r="F476" s="580"/>
      <c r="G476" s="1693"/>
      <c r="H476" s="1694"/>
      <c r="I476" s="1695"/>
      <c r="J476" s="1696"/>
      <c r="K476" s="1697"/>
    </row>
    <row r="477" spans="3:11" x14ac:dyDescent="0.2">
      <c r="C477" s="1673">
        <v>474</v>
      </c>
      <c r="D477" s="1691"/>
      <c r="E477" s="1692"/>
      <c r="F477" s="580"/>
      <c r="G477" s="1693"/>
      <c r="H477" s="1694"/>
      <c r="I477" s="1695"/>
      <c r="J477" s="1696"/>
      <c r="K477" s="1697"/>
    </row>
    <row r="478" spans="3:11" x14ac:dyDescent="0.2">
      <c r="C478" s="1673">
        <v>475</v>
      </c>
      <c r="D478" s="1691"/>
      <c r="E478" s="1692"/>
      <c r="F478" s="580"/>
      <c r="G478" s="1693"/>
      <c r="H478" s="1694"/>
      <c r="I478" s="1695"/>
      <c r="J478" s="1696"/>
      <c r="K478" s="1697"/>
    </row>
    <row r="479" spans="3:11" x14ac:dyDescent="0.2">
      <c r="C479" s="1673">
        <v>476</v>
      </c>
      <c r="D479" s="1691"/>
      <c r="E479" s="1692"/>
      <c r="F479" s="580"/>
      <c r="G479" s="1693"/>
      <c r="H479" s="1694"/>
      <c r="I479" s="1695"/>
      <c r="J479" s="1696"/>
      <c r="K479" s="1697"/>
    </row>
    <row r="480" spans="3:11" x14ac:dyDescent="0.2">
      <c r="C480" s="1673">
        <v>477</v>
      </c>
      <c r="D480" s="1691"/>
      <c r="E480" s="1692"/>
      <c r="F480" s="580"/>
      <c r="G480" s="1693"/>
      <c r="H480" s="1694"/>
      <c r="I480" s="1695"/>
      <c r="J480" s="1696"/>
      <c r="K480" s="1697"/>
    </row>
    <row r="481" spans="3:11" x14ac:dyDescent="0.2">
      <c r="C481" s="1673">
        <v>478</v>
      </c>
      <c r="D481" s="1691"/>
      <c r="E481" s="1692"/>
      <c r="F481" s="580"/>
      <c r="G481" s="1693"/>
      <c r="H481" s="1694"/>
      <c r="I481" s="1695"/>
      <c r="J481" s="1696"/>
      <c r="K481" s="1697"/>
    </row>
    <row r="482" spans="3:11" x14ac:dyDescent="0.2">
      <c r="C482" s="1673">
        <v>479</v>
      </c>
      <c r="D482" s="1691"/>
      <c r="E482" s="1692"/>
      <c r="F482" s="580"/>
      <c r="G482" s="1693"/>
      <c r="H482" s="1694"/>
      <c r="I482" s="1695"/>
      <c r="J482" s="1696"/>
      <c r="K482" s="1697"/>
    </row>
    <row r="483" spans="3:11" x14ac:dyDescent="0.2">
      <c r="C483" s="1673">
        <v>480</v>
      </c>
      <c r="D483" s="1691"/>
      <c r="E483" s="1692"/>
      <c r="F483" s="580"/>
      <c r="G483" s="1693"/>
      <c r="H483" s="1694"/>
      <c r="I483" s="1695"/>
      <c r="J483" s="1696"/>
      <c r="K483" s="1697"/>
    </row>
    <row r="484" spans="3:11" x14ac:dyDescent="0.2">
      <c r="C484" s="1673">
        <v>481</v>
      </c>
      <c r="D484" s="1691"/>
      <c r="E484" s="1692"/>
      <c r="F484" s="580"/>
      <c r="G484" s="1693"/>
      <c r="H484" s="1694"/>
      <c r="I484" s="1695"/>
      <c r="J484" s="1696"/>
      <c r="K484" s="1697"/>
    </row>
    <row r="485" spans="3:11" x14ac:dyDescent="0.2">
      <c r="C485" s="1673">
        <v>482</v>
      </c>
      <c r="D485" s="1691"/>
      <c r="E485" s="1692"/>
      <c r="F485" s="580"/>
      <c r="G485" s="1693"/>
      <c r="H485" s="1694"/>
      <c r="I485" s="1695"/>
      <c r="J485" s="1696"/>
      <c r="K485" s="1697"/>
    </row>
    <row r="486" spans="3:11" x14ac:dyDescent="0.2">
      <c r="C486" s="1673">
        <v>483</v>
      </c>
      <c r="D486" s="1691"/>
      <c r="E486" s="1692"/>
      <c r="F486" s="580"/>
      <c r="G486" s="1693"/>
      <c r="H486" s="1694"/>
      <c r="I486" s="1695"/>
      <c r="J486" s="1696"/>
      <c r="K486" s="1697"/>
    </row>
    <row r="487" spans="3:11" x14ac:dyDescent="0.2">
      <c r="C487" s="1673">
        <v>484</v>
      </c>
      <c r="D487" s="1691"/>
      <c r="E487" s="1692"/>
      <c r="F487" s="580"/>
      <c r="G487" s="1693"/>
      <c r="H487" s="1694"/>
      <c r="I487" s="1695"/>
      <c r="J487" s="1696"/>
      <c r="K487" s="1697"/>
    </row>
    <row r="488" spans="3:11" x14ac:dyDescent="0.2">
      <c r="C488" s="1673">
        <v>485</v>
      </c>
      <c r="D488" s="1691"/>
      <c r="E488" s="1692"/>
      <c r="F488" s="580"/>
      <c r="G488" s="1693"/>
      <c r="H488" s="1694"/>
      <c r="I488" s="1695"/>
      <c r="J488" s="1696"/>
      <c r="K488" s="1697"/>
    </row>
    <row r="489" spans="3:11" x14ac:dyDescent="0.2">
      <c r="C489" s="1673">
        <v>486</v>
      </c>
      <c r="D489" s="1691"/>
      <c r="E489" s="1692"/>
      <c r="F489" s="580"/>
      <c r="G489" s="1693"/>
      <c r="H489" s="1694"/>
      <c r="I489" s="1695"/>
      <c r="J489" s="1696"/>
      <c r="K489" s="1697"/>
    </row>
    <row r="490" spans="3:11" x14ac:dyDescent="0.2">
      <c r="C490" s="1673">
        <v>487</v>
      </c>
      <c r="D490" s="1691"/>
      <c r="E490" s="1692"/>
      <c r="F490" s="580"/>
      <c r="G490" s="1693"/>
      <c r="H490" s="1694"/>
      <c r="I490" s="1695"/>
      <c r="J490" s="1696"/>
      <c r="K490" s="1697"/>
    </row>
    <row r="491" spans="3:11" x14ac:dyDescent="0.2">
      <c r="C491" s="1673">
        <v>488</v>
      </c>
      <c r="D491" s="1691"/>
      <c r="E491" s="1692"/>
      <c r="F491" s="580"/>
      <c r="G491" s="1693"/>
      <c r="H491" s="1694"/>
      <c r="I491" s="1695"/>
      <c r="J491" s="1696"/>
      <c r="K491" s="1697"/>
    </row>
    <row r="492" spans="3:11" x14ac:dyDescent="0.2">
      <c r="C492" s="1673">
        <v>489</v>
      </c>
      <c r="D492" s="1691"/>
      <c r="E492" s="1692"/>
      <c r="F492" s="580"/>
      <c r="G492" s="1693"/>
      <c r="H492" s="1694"/>
      <c r="I492" s="1695"/>
      <c r="J492" s="1696"/>
      <c r="K492" s="1697"/>
    </row>
    <row r="493" spans="3:11" x14ac:dyDescent="0.2">
      <c r="C493" s="1673">
        <v>490</v>
      </c>
      <c r="D493" s="1691"/>
      <c r="E493" s="1692"/>
      <c r="F493" s="580"/>
      <c r="G493" s="1693"/>
      <c r="H493" s="1694"/>
      <c r="I493" s="1695"/>
      <c r="J493" s="1696"/>
      <c r="K493" s="1697"/>
    </row>
    <row r="494" spans="3:11" x14ac:dyDescent="0.2">
      <c r="C494" s="1673">
        <v>491</v>
      </c>
      <c r="D494" s="1691"/>
      <c r="E494" s="1692"/>
      <c r="F494" s="580"/>
      <c r="G494" s="1693"/>
      <c r="H494" s="1694"/>
      <c r="I494" s="1695"/>
      <c r="J494" s="1696"/>
      <c r="K494" s="1697"/>
    </row>
    <row r="495" spans="3:11" x14ac:dyDescent="0.2">
      <c r="C495" s="1673">
        <v>492</v>
      </c>
      <c r="D495" s="1691"/>
      <c r="E495" s="1692"/>
      <c r="F495" s="580"/>
      <c r="G495" s="1693"/>
      <c r="H495" s="1694"/>
      <c r="I495" s="1695"/>
      <c r="J495" s="1696"/>
      <c r="K495" s="1697"/>
    </row>
    <row r="496" spans="3:11" x14ac:dyDescent="0.2">
      <c r="C496" s="1673">
        <v>493</v>
      </c>
      <c r="D496" s="1691"/>
      <c r="E496" s="1692"/>
      <c r="F496" s="580"/>
      <c r="G496" s="1693"/>
      <c r="H496" s="1694"/>
      <c r="I496" s="1695"/>
      <c r="J496" s="1696"/>
      <c r="K496" s="1697"/>
    </row>
    <row r="497" spans="3:11" x14ac:dyDescent="0.2">
      <c r="C497" s="1673">
        <v>494</v>
      </c>
      <c r="D497" s="1691"/>
      <c r="E497" s="1692"/>
      <c r="F497" s="580"/>
      <c r="G497" s="1693"/>
      <c r="H497" s="1694"/>
      <c r="I497" s="1695"/>
      <c r="J497" s="1696"/>
      <c r="K497" s="1697"/>
    </row>
    <row r="498" spans="3:11" x14ac:dyDescent="0.2">
      <c r="C498" s="1673">
        <v>495</v>
      </c>
      <c r="D498" s="1691"/>
      <c r="E498" s="1692"/>
      <c r="F498" s="580"/>
      <c r="G498" s="1693"/>
      <c r="H498" s="1694"/>
      <c r="I498" s="1695"/>
      <c r="J498" s="1696"/>
      <c r="K498" s="1697"/>
    </row>
    <row r="499" spans="3:11" x14ac:dyDescent="0.2">
      <c r="C499" s="1673">
        <v>496</v>
      </c>
      <c r="D499" s="1691"/>
      <c r="E499" s="1692"/>
      <c r="F499" s="580"/>
      <c r="G499" s="1693"/>
      <c r="H499" s="1694"/>
      <c r="I499" s="1695"/>
      <c r="J499" s="1696"/>
      <c r="K499" s="1697"/>
    </row>
    <row r="500" spans="3:11" x14ac:dyDescent="0.2">
      <c r="C500" s="1673">
        <v>497</v>
      </c>
      <c r="D500" s="1691"/>
      <c r="E500" s="1692"/>
      <c r="F500" s="580"/>
      <c r="G500" s="1693"/>
      <c r="H500" s="1694"/>
      <c r="I500" s="1695"/>
      <c r="J500" s="1696"/>
      <c r="K500" s="1697"/>
    </row>
    <row r="501" spans="3:11" x14ac:dyDescent="0.2">
      <c r="C501" s="1673">
        <v>498</v>
      </c>
      <c r="D501" s="1691"/>
      <c r="E501" s="1692"/>
      <c r="F501" s="580"/>
      <c r="G501" s="1693"/>
      <c r="H501" s="1694"/>
      <c r="I501" s="1695"/>
      <c r="J501" s="1696"/>
      <c r="K501" s="1697"/>
    </row>
    <row r="502" spans="3:11" x14ac:dyDescent="0.2">
      <c r="C502" s="1673">
        <v>499</v>
      </c>
      <c r="D502" s="1691"/>
      <c r="E502" s="1692"/>
      <c r="F502" s="580"/>
      <c r="G502" s="1693"/>
      <c r="H502" s="1694"/>
      <c r="I502" s="1695"/>
      <c r="J502" s="1696"/>
      <c r="K502" s="1697"/>
    </row>
    <row r="503" spans="3:11" x14ac:dyDescent="0.2">
      <c r="C503" s="1673">
        <v>500</v>
      </c>
      <c r="D503" s="1691"/>
      <c r="E503" s="1692"/>
      <c r="F503" s="580"/>
      <c r="G503" s="1693"/>
      <c r="H503" s="1694"/>
      <c r="I503" s="1695"/>
      <c r="J503" s="1696"/>
      <c r="K503" s="1697"/>
    </row>
    <row r="504" spans="3:11" x14ac:dyDescent="0.2">
      <c r="C504" s="1673">
        <v>501</v>
      </c>
      <c r="D504" s="1691"/>
      <c r="E504" s="1692"/>
      <c r="F504" s="580"/>
      <c r="G504" s="1693"/>
      <c r="H504" s="1694"/>
      <c r="I504" s="1695"/>
      <c r="J504" s="1696"/>
      <c r="K504" s="1697"/>
    </row>
    <row r="505" spans="3:11" x14ac:dyDescent="0.2">
      <c r="C505" s="1673">
        <v>502</v>
      </c>
      <c r="D505" s="1691"/>
      <c r="E505" s="1692"/>
      <c r="F505" s="580"/>
      <c r="G505" s="1693"/>
      <c r="H505" s="1694"/>
      <c r="I505" s="1695"/>
      <c r="J505" s="1696"/>
      <c r="K505" s="1697"/>
    </row>
    <row r="506" spans="3:11" x14ac:dyDescent="0.2">
      <c r="C506" s="1673">
        <v>503</v>
      </c>
      <c r="D506" s="1691"/>
      <c r="E506" s="1692"/>
      <c r="F506" s="580"/>
      <c r="G506" s="1693"/>
      <c r="H506" s="1694"/>
      <c r="I506" s="1695"/>
      <c r="J506" s="1696"/>
      <c r="K506" s="1697"/>
    </row>
    <row r="507" spans="3:11" x14ac:dyDescent="0.2">
      <c r="C507" s="1673">
        <v>504</v>
      </c>
      <c r="D507" s="1691"/>
      <c r="E507" s="1692"/>
      <c r="F507" s="580"/>
      <c r="G507" s="1693"/>
      <c r="H507" s="1694"/>
      <c r="I507" s="1695"/>
      <c r="J507" s="1696"/>
      <c r="K507" s="1697"/>
    </row>
    <row r="508" spans="3:11" x14ac:dyDescent="0.2">
      <c r="C508" s="1673">
        <v>505</v>
      </c>
      <c r="D508" s="1691"/>
      <c r="E508" s="1692"/>
      <c r="F508" s="580"/>
      <c r="G508" s="1693"/>
      <c r="H508" s="1694"/>
      <c r="I508" s="1695"/>
      <c r="J508" s="1696"/>
      <c r="K508" s="1697"/>
    </row>
    <row r="509" spans="3:11" x14ac:dyDescent="0.2">
      <c r="C509" s="1673">
        <v>506</v>
      </c>
      <c r="D509" s="1691"/>
      <c r="E509" s="1692"/>
      <c r="F509" s="580"/>
      <c r="G509" s="1693"/>
      <c r="H509" s="1694"/>
      <c r="I509" s="1695"/>
      <c r="J509" s="1696"/>
      <c r="K509" s="1697"/>
    </row>
    <row r="510" spans="3:11" x14ac:dyDescent="0.2">
      <c r="C510" s="1673">
        <v>507</v>
      </c>
      <c r="D510" s="1691"/>
      <c r="E510" s="1692"/>
      <c r="F510" s="580"/>
      <c r="G510" s="1693"/>
      <c r="H510" s="1694"/>
      <c r="I510" s="1695"/>
      <c r="J510" s="1696"/>
      <c r="K510" s="1697"/>
    </row>
    <row r="511" spans="3:11" x14ac:dyDescent="0.2">
      <c r="C511" s="1673">
        <v>508</v>
      </c>
      <c r="D511" s="1691"/>
      <c r="E511" s="1692"/>
      <c r="F511" s="580"/>
      <c r="G511" s="1693"/>
      <c r="H511" s="1694"/>
      <c r="I511" s="1695"/>
      <c r="J511" s="1696"/>
      <c r="K511" s="1697"/>
    </row>
    <row r="512" spans="3:11" x14ac:dyDescent="0.2">
      <c r="C512" s="1673">
        <v>509</v>
      </c>
      <c r="D512" s="1691"/>
      <c r="E512" s="1692"/>
      <c r="F512" s="580"/>
      <c r="G512" s="1693"/>
      <c r="H512" s="1694"/>
      <c r="I512" s="1695"/>
      <c r="J512" s="1696"/>
      <c r="K512" s="1697"/>
    </row>
    <row r="513" spans="3:11" x14ac:dyDescent="0.2">
      <c r="C513" s="1673">
        <v>510</v>
      </c>
      <c r="D513" s="1691"/>
      <c r="E513" s="1692"/>
      <c r="F513" s="580"/>
      <c r="G513" s="1693"/>
      <c r="H513" s="1694"/>
      <c r="I513" s="1695"/>
      <c r="J513" s="1696"/>
      <c r="K513" s="1697"/>
    </row>
    <row r="514" spans="3:11" x14ac:dyDescent="0.2">
      <c r="C514" s="1673">
        <v>511</v>
      </c>
      <c r="D514" s="1691"/>
      <c r="E514" s="1692"/>
      <c r="F514" s="580"/>
      <c r="G514" s="1693"/>
      <c r="H514" s="1694"/>
      <c r="I514" s="1695"/>
      <c r="J514" s="1696"/>
      <c r="K514" s="1697"/>
    </row>
    <row r="515" spans="3:11" x14ac:dyDescent="0.2">
      <c r="C515" s="1673">
        <v>512</v>
      </c>
      <c r="D515" s="1691"/>
      <c r="E515" s="1692"/>
      <c r="F515" s="580"/>
      <c r="G515" s="1693"/>
      <c r="H515" s="1694"/>
      <c r="I515" s="1695"/>
      <c r="J515" s="1696"/>
      <c r="K515" s="1697"/>
    </row>
    <row r="516" spans="3:11" x14ac:dyDescent="0.2">
      <c r="C516" s="1673">
        <v>513</v>
      </c>
      <c r="D516" s="1691"/>
      <c r="E516" s="1692"/>
      <c r="F516" s="580"/>
      <c r="G516" s="1693"/>
      <c r="H516" s="1694"/>
      <c r="I516" s="1695"/>
      <c r="J516" s="1696"/>
      <c r="K516" s="1697"/>
    </row>
    <row r="517" spans="3:11" x14ac:dyDescent="0.2">
      <c r="C517" s="1673">
        <v>514</v>
      </c>
      <c r="D517" s="1691"/>
      <c r="E517" s="1692"/>
      <c r="F517" s="580"/>
      <c r="G517" s="1693"/>
      <c r="H517" s="1694"/>
      <c r="I517" s="1695"/>
      <c r="J517" s="1696"/>
      <c r="K517" s="1697"/>
    </row>
    <row r="518" spans="3:11" x14ac:dyDescent="0.2">
      <c r="C518" s="1673">
        <v>515</v>
      </c>
      <c r="D518" s="1691"/>
      <c r="E518" s="1692"/>
      <c r="F518" s="580"/>
      <c r="G518" s="1693"/>
      <c r="H518" s="1694"/>
      <c r="I518" s="1695"/>
      <c r="J518" s="1696"/>
      <c r="K518" s="1697"/>
    </row>
    <row r="519" spans="3:11" x14ac:dyDescent="0.2">
      <c r="C519" s="1673">
        <v>516</v>
      </c>
      <c r="D519" s="1691"/>
      <c r="E519" s="1692"/>
      <c r="F519" s="580"/>
      <c r="G519" s="1693"/>
      <c r="H519" s="1694"/>
      <c r="I519" s="1695"/>
      <c r="J519" s="1696"/>
      <c r="K519" s="1697"/>
    </row>
    <row r="520" spans="3:11" x14ac:dyDescent="0.2">
      <c r="C520" s="1673">
        <v>517</v>
      </c>
      <c r="D520" s="1691"/>
      <c r="E520" s="1692"/>
      <c r="F520" s="580"/>
      <c r="G520" s="1693"/>
      <c r="H520" s="1694"/>
      <c r="I520" s="1695"/>
      <c r="J520" s="1696"/>
      <c r="K520" s="1697"/>
    </row>
    <row r="521" spans="3:11" x14ac:dyDescent="0.2">
      <c r="C521" s="1673">
        <v>518</v>
      </c>
      <c r="D521" s="1691"/>
      <c r="E521" s="1692"/>
      <c r="F521" s="580"/>
      <c r="G521" s="1693"/>
      <c r="H521" s="1694"/>
      <c r="I521" s="1695"/>
      <c r="J521" s="1696"/>
      <c r="K521" s="1697"/>
    </row>
    <row r="522" spans="3:11" x14ac:dyDescent="0.2">
      <c r="C522" s="1673">
        <v>519</v>
      </c>
      <c r="D522" s="1691"/>
      <c r="E522" s="1692"/>
      <c r="F522" s="580"/>
      <c r="G522" s="1693"/>
      <c r="H522" s="1694"/>
      <c r="I522" s="1695"/>
      <c r="J522" s="1696"/>
      <c r="K522" s="1697"/>
    </row>
    <row r="523" spans="3:11" x14ac:dyDescent="0.2">
      <c r="C523" s="1673">
        <v>520</v>
      </c>
      <c r="D523" s="1691"/>
      <c r="E523" s="1692"/>
      <c r="F523" s="580"/>
      <c r="G523" s="1693"/>
      <c r="H523" s="1694"/>
      <c r="I523" s="1695"/>
      <c r="J523" s="1696"/>
      <c r="K523" s="1697"/>
    </row>
    <row r="524" spans="3:11" x14ac:dyDescent="0.2">
      <c r="C524" s="1673">
        <v>521</v>
      </c>
      <c r="D524" s="1691"/>
      <c r="E524" s="1692"/>
      <c r="F524" s="580"/>
      <c r="G524" s="1693"/>
      <c r="H524" s="1694"/>
      <c r="I524" s="1695"/>
      <c r="J524" s="1696"/>
      <c r="K524" s="1697"/>
    </row>
    <row r="525" spans="3:11" x14ac:dyDescent="0.2">
      <c r="C525" s="1673">
        <v>522</v>
      </c>
      <c r="D525" s="1691"/>
      <c r="E525" s="1692"/>
      <c r="F525" s="580"/>
      <c r="G525" s="1693"/>
      <c r="H525" s="1694"/>
      <c r="I525" s="1695"/>
      <c r="J525" s="1696"/>
      <c r="K525" s="1697"/>
    </row>
    <row r="526" spans="3:11" x14ac:dyDescent="0.2">
      <c r="C526" s="1673">
        <v>523</v>
      </c>
      <c r="D526" s="1691"/>
      <c r="E526" s="1692"/>
      <c r="F526" s="580"/>
      <c r="G526" s="1693"/>
      <c r="H526" s="1694"/>
      <c r="I526" s="1695"/>
      <c r="J526" s="1696"/>
      <c r="K526" s="1697"/>
    </row>
    <row r="527" spans="3:11" x14ac:dyDescent="0.2">
      <c r="C527" s="1673">
        <v>524</v>
      </c>
      <c r="D527" s="1691"/>
      <c r="E527" s="1692"/>
      <c r="F527" s="580"/>
      <c r="G527" s="1693"/>
      <c r="H527" s="1694"/>
      <c r="I527" s="1695"/>
      <c r="J527" s="1696"/>
      <c r="K527" s="1697"/>
    </row>
    <row r="528" spans="3:11" x14ac:dyDescent="0.2">
      <c r="C528" s="1673">
        <v>525</v>
      </c>
      <c r="D528" s="1691"/>
      <c r="E528" s="1692"/>
      <c r="F528" s="580"/>
      <c r="G528" s="1693"/>
      <c r="H528" s="1694"/>
      <c r="I528" s="1695"/>
      <c r="J528" s="1696"/>
      <c r="K528" s="1697"/>
    </row>
    <row r="529" spans="3:11" x14ac:dyDescent="0.2">
      <c r="C529" s="1673">
        <v>526</v>
      </c>
      <c r="D529" s="1691"/>
      <c r="E529" s="1692"/>
      <c r="F529" s="580"/>
      <c r="G529" s="1693"/>
      <c r="H529" s="1694"/>
      <c r="I529" s="1695"/>
      <c r="J529" s="1696"/>
      <c r="K529" s="1697"/>
    </row>
    <row r="530" spans="3:11" x14ac:dyDescent="0.2">
      <c r="C530" s="1673">
        <v>527</v>
      </c>
      <c r="D530" s="1691"/>
      <c r="E530" s="1692"/>
      <c r="F530" s="580"/>
      <c r="G530" s="1693"/>
      <c r="H530" s="1694"/>
      <c r="I530" s="1695"/>
      <c r="J530" s="1696"/>
      <c r="K530" s="1697"/>
    </row>
    <row r="531" spans="3:11" x14ac:dyDescent="0.2">
      <c r="C531" s="1673">
        <v>528</v>
      </c>
      <c r="D531" s="1691"/>
      <c r="E531" s="1692"/>
      <c r="F531" s="580"/>
      <c r="G531" s="1693"/>
      <c r="H531" s="1694"/>
      <c r="I531" s="1695"/>
      <c r="J531" s="1696"/>
      <c r="K531" s="1697"/>
    </row>
    <row r="532" spans="3:11" x14ac:dyDescent="0.2">
      <c r="C532" s="1673">
        <v>529</v>
      </c>
      <c r="D532" s="1691"/>
      <c r="E532" s="1692"/>
      <c r="F532" s="580"/>
      <c r="G532" s="1693"/>
      <c r="H532" s="1694"/>
      <c r="I532" s="1695"/>
      <c r="J532" s="1696"/>
      <c r="K532" s="1697"/>
    </row>
    <row r="533" spans="3:11" x14ac:dyDescent="0.2">
      <c r="C533" s="1673">
        <v>530</v>
      </c>
      <c r="D533" s="1691"/>
      <c r="E533" s="1692"/>
      <c r="F533" s="580"/>
      <c r="G533" s="1693"/>
      <c r="H533" s="1694"/>
      <c r="I533" s="1695"/>
      <c r="J533" s="1696"/>
      <c r="K533" s="1697"/>
    </row>
    <row r="534" spans="3:11" x14ac:dyDescent="0.2">
      <c r="C534" s="1673">
        <v>531</v>
      </c>
      <c r="D534" s="1691"/>
      <c r="E534" s="1692"/>
      <c r="F534" s="580"/>
      <c r="G534" s="1693"/>
      <c r="H534" s="1694"/>
      <c r="I534" s="1695"/>
      <c r="J534" s="1696"/>
      <c r="K534" s="1697"/>
    </row>
    <row r="535" spans="3:11" x14ac:dyDescent="0.2">
      <c r="C535" s="1673">
        <v>532</v>
      </c>
      <c r="D535" s="1691"/>
      <c r="E535" s="1692"/>
      <c r="F535" s="580"/>
      <c r="G535" s="1693"/>
      <c r="H535" s="1694"/>
      <c r="I535" s="1695"/>
      <c r="J535" s="1696"/>
      <c r="K535" s="1697"/>
    </row>
    <row r="536" spans="3:11" x14ac:dyDescent="0.2">
      <c r="C536" s="1673">
        <v>533</v>
      </c>
      <c r="D536" s="1691"/>
      <c r="E536" s="1692"/>
      <c r="F536" s="580"/>
      <c r="G536" s="1693"/>
      <c r="H536" s="1694"/>
      <c r="I536" s="1695"/>
      <c r="J536" s="1696"/>
      <c r="K536" s="1697"/>
    </row>
    <row r="537" spans="3:11" x14ac:dyDescent="0.2">
      <c r="C537" s="1673">
        <v>534</v>
      </c>
      <c r="D537" s="1691"/>
      <c r="E537" s="1692"/>
      <c r="F537" s="580"/>
      <c r="G537" s="1693"/>
      <c r="H537" s="1694"/>
      <c r="I537" s="1695"/>
      <c r="J537" s="1696"/>
      <c r="K537" s="1697"/>
    </row>
    <row r="538" spans="3:11" x14ac:dyDescent="0.2">
      <c r="C538" s="1673">
        <v>535</v>
      </c>
      <c r="D538" s="1691"/>
      <c r="E538" s="1692"/>
      <c r="F538" s="580"/>
      <c r="G538" s="1693"/>
      <c r="H538" s="1694"/>
      <c r="I538" s="1695"/>
      <c r="J538" s="1696"/>
      <c r="K538" s="1697"/>
    </row>
    <row r="539" spans="3:11" x14ac:dyDescent="0.2">
      <c r="C539" s="1673">
        <v>536</v>
      </c>
      <c r="D539" s="1691"/>
      <c r="E539" s="1692"/>
      <c r="F539" s="580"/>
      <c r="G539" s="1693"/>
      <c r="H539" s="1694"/>
      <c r="I539" s="1695"/>
      <c r="J539" s="1696"/>
      <c r="K539" s="1697"/>
    </row>
    <row r="540" spans="3:11" x14ac:dyDescent="0.2">
      <c r="C540" s="1673">
        <v>537</v>
      </c>
      <c r="D540" s="1691"/>
      <c r="E540" s="1692"/>
      <c r="F540" s="580"/>
      <c r="G540" s="1693"/>
      <c r="H540" s="1694"/>
      <c r="I540" s="1695"/>
      <c r="J540" s="1696"/>
      <c r="K540" s="1697"/>
    </row>
    <row r="541" spans="3:11" x14ac:dyDescent="0.2">
      <c r="C541" s="1673">
        <v>538</v>
      </c>
      <c r="D541" s="1691"/>
      <c r="E541" s="1692"/>
      <c r="F541" s="580"/>
      <c r="G541" s="1693"/>
      <c r="H541" s="1694"/>
      <c r="I541" s="1695"/>
      <c r="J541" s="1696"/>
      <c r="K541" s="1697"/>
    </row>
    <row r="542" spans="3:11" x14ac:dyDescent="0.2">
      <c r="C542" s="1673">
        <v>539</v>
      </c>
      <c r="D542" s="1691"/>
      <c r="E542" s="1692"/>
      <c r="F542" s="580"/>
      <c r="G542" s="1693"/>
      <c r="H542" s="1694"/>
      <c r="I542" s="1695"/>
      <c r="J542" s="1696"/>
      <c r="K542" s="1697"/>
    </row>
    <row r="543" spans="3:11" x14ac:dyDescent="0.2">
      <c r="C543" s="1673">
        <v>540</v>
      </c>
      <c r="D543" s="1691"/>
      <c r="E543" s="1692"/>
      <c r="F543" s="580"/>
      <c r="G543" s="1693"/>
      <c r="H543" s="1694"/>
      <c r="I543" s="1695"/>
      <c r="J543" s="1696"/>
      <c r="K543" s="1697"/>
    </row>
    <row r="544" spans="3:11" x14ac:dyDescent="0.2">
      <c r="C544" s="1673">
        <v>541</v>
      </c>
      <c r="D544" s="1691"/>
      <c r="E544" s="1692"/>
      <c r="F544" s="580"/>
      <c r="G544" s="1693"/>
      <c r="H544" s="1694"/>
      <c r="I544" s="1695"/>
      <c r="J544" s="1696"/>
      <c r="K544" s="1697"/>
    </row>
    <row r="545" spans="3:11" x14ac:dyDescent="0.2">
      <c r="C545" s="1673">
        <v>542</v>
      </c>
      <c r="D545" s="1691"/>
      <c r="E545" s="1692"/>
      <c r="F545" s="580"/>
      <c r="G545" s="1693"/>
      <c r="H545" s="1694"/>
      <c r="I545" s="1695"/>
      <c r="J545" s="1696"/>
      <c r="K545" s="1697"/>
    </row>
    <row r="546" spans="3:11" x14ac:dyDescent="0.2">
      <c r="C546" s="1673">
        <v>543</v>
      </c>
      <c r="D546" s="1691"/>
      <c r="E546" s="1692"/>
      <c r="F546" s="580"/>
      <c r="G546" s="1693"/>
      <c r="H546" s="1694"/>
      <c r="I546" s="1695"/>
      <c r="J546" s="1696"/>
      <c r="K546" s="1697"/>
    </row>
    <row r="547" spans="3:11" x14ac:dyDescent="0.2">
      <c r="C547" s="1673">
        <v>544</v>
      </c>
      <c r="D547" s="1691"/>
      <c r="E547" s="1692"/>
      <c r="F547" s="580"/>
      <c r="G547" s="1693"/>
      <c r="H547" s="1694"/>
      <c r="I547" s="1695"/>
      <c r="J547" s="1696"/>
      <c r="K547" s="1697"/>
    </row>
    <row r="548" spans="3:11" x14ac:dyDescent="0.2">
      <c r="C548" s="1673">
        <v>545</v>
      </c>
      <c r="D548" s="1691"/>
      <c r="E548" s="1692"/>
      <c r="F548" s="580"/>
      <c r="G548" s="1693"/>
      <c r="H548" s="1694"/>
      <c r="I548" s="1695"/>
      <c r="J548" s="1696"/>
      <c r="K548" s="1697"/>
    </row>
    <row r="549" spans="3:11" x14ac:dyDescent="0.2">
      <c r="C549" s="1673">
        <v>546</v>
      </c>
      <c r="D549" s="1691"/>
      <c r="E549" s="1692"/>
      <c r="F549" s="580"/>
      <c r="G549" s="1693"/>
      <c r="H549" s="1694"/>
      <c r="I549" s="1695"/>
      <c r="J549" s="1696"/>
      <c r="K549" s="1697"/>
    </row>
    <row r="550" spans="3:11" x14ac:dyDescent="0.2">
      <c r="C550" s="1673">
        <v>547</v>
      </c>
      <c r="D550" s="1691"/>
      <c r="E550" s="1692"/>
      <c r="F550" s="580"/>
      <c r="G550" s="1693"/>
      <c r="H550" s="1694"/>
      <c r="I550" s="1695"/>
      <c r="J550" s="1696"/>
      <c r="K550" s="1697"/>
    </row>
    <row r="551" spans="3:11" x14ac:dyDescent="0.2">
      <c r="C551" s="1673">
        <v>548</v>
      </c>
      <c r="D551" s="1691"/>
      <c r="E551" s="1692"/>
      <c r="F551" s="580"/>
      <c r="G551" s="1693"/>
      <c r="H551" s="1694"/>
      <c r="I551" s="1695"/>
      <c r="J551" s="1696"/>
      <c r="K551" s="1697"/>
    </row>
    <row r="552" spans="3:11" x14ac:dyDescent="0.2">
      <c r="C552" s="1673">
        <v>549</v>
      </c>
      <c r="D552" s="1691"/>
      <c r="E552" s="1692"/>
      <c r="F552" s="580"/>
      <c r="G552" s="1693"/>
      <c r="H552" s="1694"/>
      <c r="I552" s="1695"/>
      <c r="J552" s="1696"/>
      <c r="K552" s="1697"/>
    </row>
    <row r="553" spans="3:11" x14ac:dyDescent="0.2">
      <c r="C553" s="1673">
        <v>550</v>
      </c>
      <c r="D553" s="1691"/>
      <c r="E553" s="1692"/>
      <c r="F553" s="580"/>
      <c r="G553" s="1693"/>
      <c r="H553" s="1694"/>
      <c r="I553" s="1695"/>
      <c r="J553" s="1696"/>
      <c r="K553" s="1697"/>
    </row>
    <row r="554" spans="3:11" x14ac:dyDescent="0.2">
      <c r="C554" s="1673">
        <v>551</v>
      </c>
      <c r="D554" s="1691"/>
      <c r="E554" s="1692"/>
      <c r="F554" s="580"/>
      <c r="G554" s="1693"/>
      <c r="H554" s="1694"/>
      <c r="I554" s="1695"/>
      <c r="J554" s="1696"/>
      <c r="K554" s="1697"/>
    </row>
    <row r="555" spans="3:11" x14ac:dyDescent="0.2">
      <c r="C555" s="1673">
        <v>552</v>
      </c>
      <c r="D555" s="1691"/>
      <c r="E555" s="1692"/>
      <c r="F555" s="580"/>
      <c r="G555" s="1693"/>
      <c r="H555" s="1694"/>
      <c r="I555" s="1695"/>
      <c r="J555" s="1696"/>
      <c r="K555" s="1697"/>
    </row>
    <row r="556" spans="3:11" x14ac:dyDescent="0.2">
      <c r="C556" s="1673">
        <v>553</v>
      </c>
      <c r="D556" s="1691"/>
      <c r="E556" s="1692"/>
      <c r="F556" s="580"/>
      <c r="G556" s="1693"/>
      <c r="H556" s="1694"/>
      <c r="I556" s="1695"/>
      <c r="J556" s="1696"/>
      <c r="K556" s="1697"/>
    </row>
    <row r="557" spans="3:11" x14ac:dyDescent="0.2">
      <c r="C557" s="1673">
        <v>554</v>
      </c>
      <c r="D557" s="1691"/>
      <c r="E557" s="1692"/>
      <c r="F557" s="580"/>
      <c r="G557" s="1693"/>
      <c r="H557" s="1694"/>
      <c r="I557" s="1695"/>
      <c r="J557" s="1696"/>
      <c r="K557" s="1697"/>
    </row>
    <row r="558" spans="3:11" x14ac:dyDescent="0.2">
      <c r="C558" s="1673">
        <v>555</v>
      </c>
      <c r="D558" s="1691"/>
      <c r="E558" s="1692"/>
      <c r="F558" s="580"/>
      <c r="G558" s="1693"/>
      <c r="H558" s="1694"/>
      <c r="I558" s="1695"/>
      <c r="J558" s="1696"/>
      <c r="K558" s="1697"/>
    </row>
    <row r="559" spans="3:11" x14ac:dyDescent="0.2">
      <c r="C559" s="1673">
        <v>556</v>
      </c>
      <c r="D559" s="1691"/>
      <c r="E559" s="1692"/>
      <c r="F559" s="580"/>
      <c r="G559" s="1693"/>
      <c r="H559" s="1694"/>
      <c r="I559" s="1695"/>
      <c r="J559" s="1696"/>
      <c r="K559" s="1697"/>
    </row>
    <row r="560" spans="3:11" x14ac:dyDescent="0.2">
      <c r="C560" s="1673">
        <v>557</v>
      </c>
      <c r="D560" s="1691"/>
      <c r="E560" s="1692"/>
      <c r="F560" s="580"/>
      <c r="G560" s="1693"/>
      <c r="H560" s="1694"/>
      <c r="I560" s="1695"/>
      <c r="J560" s="1696"/>
      <c r="K560" s="1697"/>
    </row>
    <row r="561" spans="3:11" x14ac:dyDescent="0.2">
      <c r="C561" s="1673">
        <v>558</v>
      </c>
      <c r="D561" s="1691"/>
      <c r="E561" s="1692"/>
      <c r="F561" s="580"/>
      <c r="G561" s="1693"/>
      <c r="H561" s="1694"/>
      <c r="I561" s="1695"/>
      <c r="J561" s="1696"/>
      <c r="K561" s="1697"/>
    </row>
    <row r="562" spans="3:11" x14ac:dyDescent="0.2">
      <c r="C562" s="1673">
        <v>559</v>
      </c>
      <c r="D562" s="1691"/>
      <c r="E562" s="1692"/>
      <c r="F562" s="580"/>
      <c r="G562" s="1693"/>
      <c r="H562" s="1694"/>
      <c r="I562" s="1695"/>
      <c r="J562" s="1696"/>
      <c r="K562" s="1697"/>
    </row>
    <row r="563" spans="3:11" x14ac:dyDescent="0.2">
      <c r="C563" s="1673">
        <v>560</v>
      </c>
      <c r="D563" s="1691"/>
      <c r="E563" s="1692"/>
      <c r="F563" s="580"/>
      <c r="G563" s="1693"/>
      <c r="H563" s="1694"/>
      <c r="I563" s="1695"/>
      <c r="J563" s="1696"/>
      <c r="K563" s="1697"/>
    </row>
    <row r="564" spans="3:11" x14ac:dyDescent="0.2">
      <c r="C564" s="1673">
        <v>561</v>
      </c>
      <c r="D564" s="1691"/>
      <c r="E564" s="1692"/>
      <c r="F564" s="580"/>
      <c r="G564" s="1693"/>
      <c r="H564" s="1694"/>
      <c r="I564" s="1695"/>
      <c r="J564" s="1696"/>
      <c r="K564" s="1697"/>
    </row>
    <row r="565" spans="3:11" x14ac:dyDescent="0.2">
      <c r="C565" s="1673">
        <v>562</v>
      </c>
      <c r="D565" s="1691"/>
      <c r="E565" s="1692"/>
      <c r="F565" s="580"/>
      <c r="G565" s="1693"/>
      <c r="H565" s="1694"/>
      <c r="I565" s="1695"/>
      <c r="J565" s="1696"/>
      <c r="K565" s="1697"/>
    </row>
    <row r="566" spans="3:11" x14ac:dyDescent="0.2">
      <c r="C566" s="1673">
        <v>563</v>
      </c>
      <c r="D566" s="1691"/>
      <c r="E566" s="1692"/>
      <c r="F566" s="580"/>
      <c r="G566" s="1693"/>
      <c r="H566" s="1694"/>
      <c r="I566" s="1695"/>
      <c r="J566" s="1696"/>
      <c r="K566" s="1697"/>
    </row>
    <row r="567" spans="3:11" x14ac:dyDescent="0.2">
      <c r="C567" s="1673">
        <v>564</v>
      </c>
      <c r="D567" s="1691"/>
      <c r="E567" s="1692"/>
      <c r="F567" s="580"/>
      <c r="G567" s="1693"/>
      <c r="H567" s="1694"/>
      <c r="I567" s="1695"/>
      <c r="J567" s="1696"/>
      <c r="K567" s="1697"/>
    </row>
    <row r="568" spans="3:11" x14ac:dyDescent="0.2">
      <c r="C568" s="1673">
        <v>565</v>
      </c>
      <c r="D568" s="1691"/>
      <c r="E568" s="1692"/>
      <c r="F568" s="580"/>
      <c r="G568" s="1693"/>
      <c r="H568" s="1694"/>
      <c r="I568" s="1695"/>
      <c r="J568" s="1696"/>
      <c r="K568" s="1697"/>
    </row>
    <row r="569" spans="3:11" x14ac:dyDescent="0.2">
      <c r="C569" s="1673">
        <v>566</v>
      </c>
      <c r="D569" s="1691"/>
      <c r="E569" s="1692"/>
      <c r="F569" s="580"/>
      <c r="G569" s="1693"/>
      <c r="H569" s="1694"/>
      <c r="I569" s="1695"/>
      <c r="J569" s="1696"/>
      <c r="K569" s="1697"/>
    </row>
    <row r="570" spans="3:11" x14ac:dyDescent="0.2">
      <c r="C570" s="1673">
        <v>567</v>
      </c>
      <c r="D570" s="1691"/>
      <c r="E570" s="1692"/>
      <c r="F570" s="580"/>
      <c r="G570" s="1693"/>
      <c r="H570" s="1694"/>
      <c r="I570" s="1695"/>
      <c r="J570" s="1696"/>
      <c r="K570" s="1697"/>
    </row>
    <row r="571" spans="3:11" x14ac:dyDescent="0.2">
      <c r="C571" s="1673">
        <v>568</v>
      </c>
      <c r="D571" s="1691"/>
      <c r="E571" s="1692"/>
      <c r="F571" s="580"/>
      <c r="G571" s="1693"/>
      <c r="H571" s="1694"/>
      <c r="I571" s="1695"/>
      <c r="J571" s="1696"/>
      <c r="K571" s="1697"/>
    </row>
    <row r="572" spans="3:11" x14ac:dyDescent="0.2">
      <c r="C572" s="1673">
        <v>569</v>
      </c>
      <c r="D572" s="1691"/>
      <c r="E572" s="1692"/>
      <c r="F572" s="580"/>
      <c r="G572" s="1693"/>
      <c r="H572" s="1694"/>
      <c r="I572" s="1695"/>
      <c r="J572" s="1696"/>
      <c r="K572" s="1697"/>
    </row>
    <row r="573" spans="3:11" x14ac:dyDescent="0.2">
      <c r="C573" s="1673">
        <v>570</v>
      </c>
      <c r="D573" s="1691"/>
      <c r="E573" s="1692"/>
      <c r="F573" s="580"/>
      <c r="G573" s="1693"/>
      <c r="H573" s="1694"/>
      <c r="I573" s="1695"/>
      <c r="J573" s="1696"/>
      <c r="K573" s="1697"/>
    </row>
    <row r="574" spans="3:11" x14ac:dyDescent="0.2">
      <c r="C574" s="1673">
        <v>571</v>
      </c>
      <c r="D574" s="1691"/>
      <c r="E574" s="1692"/>
      <c r="F574" s="580"/>
      <c r="G574" s="1693"/>
      <c r="H574" s="1694"/>
      <c r="I574" s="1695"/>
      <c r="J574" s="1696"/>
      <c r="K574" s="1697"/>
    </row>
    <row r="575" spans="3:11" x14ac:dyDescent="0.2">
      <c r="C575" s="1673">
        <v>572</v>
      </c>
      <c r="D575" s="1691"/>
      <c r="E575" s="1692"/>
      <c r="F575" s="580"/>
      <c r="G575" s="1693"/>
      <c r="H575" s="1694"/>
      <c r="I575" s="1695"/>
      <c r="J575" s="1696"/>
      <c r="K575" s="1697"/>
    </row>
    <row r="576" spans="3:11" x14ac:dyDescent="0.2">
      <c r="C576" s="1673">
        <v>573</v>
      </c>
      <c r="D576" s="1691"/>
      <c r="E576" s="1692"/>
      <c r="F576" s="580"/>
      <c r="G576" s="1693"/>
      <c r="H576" s="1694"/>
      <c r="I576" s="1695"/>
      <c r="J576" s="1696"/>
      <c r="K576" s="1697"/>
    </row>
    <row r="577" spans="3:11" x14ac:dyDescent="0.2">
      <c r="C577" s="1673">
        <v>574</v>
      </c>
      <c r="D577" s="1691"/>
      <c r="E577" s="1692"/>
      <c r="F577" s="580"/>
      <c r="G577" s="1693"/>
      <c r="H577" s="1694"/>
      <c r="I577" s="1695"/>
      <c r="J577" s="1696"/>
      <c r="K577" s="1697"/>
    </row>
    <row r="578" spans="3:11" x14ac:dyDescent="0.2">
      <c r="C578" s="1673">
        <v>575</v>
      </c>
      <c r="D578" s="1691"/>
      <c r="E578" s="1692"/>
      <c r="F578" s="580"/>
      <c r="G578" s="1693"/>
      <c r="H578" s="1694"/>
      <c r="I578" s="1695"/>
      <c r="J578" s="1696"/>
      <c r="K578" s="1697"/>
    </row>
    <row r="579" spans="3:11" x14ac:dyDescent="0.2">
      <c r="C579" s="1673">
        <v>576</v>
      </c>
      <c r="D579" s="1691"/>
      <c r="E579" s="1692"/>
      <c r="F579" s="580"/>
      <c r="G579" s="1693"/>
      <c r="H579" s="1694"/>
      <c r="I579" s="1695"/>
      <c r="J579" s="1696"/>
      <c r="K579" s="1697"/>
    </row>
    <row r="580" spans="3:11" x14ac:dyDescent="0.2">
      <c r="C580" s="1673">
        <v>577</v>
      </c>
      <c r="D580" s="1691"/>
      <c r="E580" s="1692"/>
      <c r="F580" s="580"/>
      <c r="G580" s="1693"/>
      <c r="H580" s="1694"/>
      <c r="I580" s="1695"/>
      <c r="J580" s="1696"/>
      <c r="K580" s="1697"/>
    </row>
    <row r="581" spans="3:11" x14ac:dyDescent="0.2">
      <c r="C581" s="1673">
        <v>578</v>
      </c>
      <c r="D581" s="1691"/>
      <c r="E581" s="1692"/>
      <c r="F581" s="580"/>
      <c r="G581" s="1693"/>
      <c r="H581" s="1694"/>
      <c r="I581" s="1695"/>
      <c r="J581" s="1696"/>
      <c r="K581" s="1697"/>
    </row>
    <row r="582" spans="3:11" x14ac:dyDescent="0.2">
      <c r="C582" s="1673">
        <v>579</v>
      </c>
      <c r="D582" s="1691"/>
      <c r="E582" s="1692"/>
      <c r="F582" s="580"/>
      <c r="G582" s="1693"/>
      <c r="H582" s="1694"/>
      <c r="I582" s="1695"/>
      <c r="J582" s="1696"/>
      <c r="K582" s="1697"/>
    </row>
    <row r="583" spans="3:11" x14ac:dyDescent="0.2">
      <c r="C583" s="1673">
        <v>580</v>
      </c>
      <c r="D583" s="1691"/>
      <c r="E583" s="1692"/>
      <c r="F583" s="580"/>
      <c r="G583" s="1693"/>
      <c r="H583" s="1694"/>
      <c r="I583" s="1695"/>
      <c r="J583" s="1696"/>
      <c r="K583" s="1697"/>
    </row>
    <row r="584" spans="3:11" x14ac:dyDescent="0.2">
      <c r="C584" s="1673">
        <v>581</v>
      </c>
      <c r="D584" s="1691"/>
      <c r="E584" s="1692"/>
      <c r="F584" s="580"/>
      <c r="G584" s="1693"/>
      <c r="H584" s="1694"/>
      <c r="I584" s="1695"/>
      <c r="J584" s="1696"/>
      <c r="K584" s="1697"/>
    </row>
    <row r="585" spans="3:11" x14ac:dyDescent="0.2">
      <c r="C585" s="1673">
        <v>582</v>
      </c>
      <c r="D585" s="1691"/>
      <c r="E585" s="1692"/>
      <c r="F585" s="580"/>
      <c r="G585" s="1693"/>
      <c r="H585" s="1694"/>
      <c r="I585" s="1695"/>
      <c r="J585" s="1696"/>
      <c r="K585" s="1697"/>
    </row>
    <row r="586" spans="3:11" x14ac:dyDescent="0.2">
      <c r="C586" s="1673">
        <v>583</v>
      </c>
      <c r="D586" s="1691"/>
      <c r="E586" s="1692"/>
      <c r="F586" s="580"/>
      <c r="G586" s="1693"/>
      <c r="H586" s="1694"/>
      <c r="I586" s="1695"/>
      <c r="J586" s="1696"/>
      <c r="K586" s="1697"/>
    </row>
    <row r="587" spans="3:11" x14ac:dyDescent="0.2">
      <c r="C587" s="1673">
        <v>584</v>
      </c>
      <c r="D587" s="1691"/>
      <c r="E587" s="1692"/>
      <c r="F587" s="580"/>
      <c r="G587" s="1693"/>
      <c r="H587" s="1694"/>
      <c r="I587" s="1695"/>
      <c r="J587" s="1696"/>
      <c r="K587" s="1697"/>
    </row>
    <row r="588" spans="3:11" x14ac:dyDescent="0.2">
      <c r="C588" s="1673">
        <v>585</v>
      </c>
      <c r="D588" s="1691"/>
      <c r="E588" s="1692"/>
      <c r="F588" s="580"/>
      <c r="G588" s="1693"/>
      <c r="H588" s="1694"/>
      <c r="I588" s="1695"/>
      <c r="J588" s="1696"/>
      <c r="K588" s="1697"/>
    </row>
    <row r="589" spans="3:11" x14ac:dyDescent="0.2">
      <c r="C589" s="1673">
        <v>586</v>
      </c>
      <c r="D589" s="1691"/>
      <c r="E589" s="1692"/>
      <c r="F589" s="580"/>
      <c r="G589" s="1693"/>
      <c r="H589" s="1694"/>
      <c r="I589" s="1695"/>
      <c r="J589" s="1696"/>
      <c r="K589" s="1697"/>
    </row>
    <row r="590" spans="3:11" x14ac:dyDescent="0.2">
      <c r="C590" s="1673">
        <v>587</v>
      </c>
      <c r="D590" s="1691"/>
      <c r="E590" s="1692"/>
      <c r="F590" s="580"/>
      <c r="G590" s="1693"/>
      <c r="H590" s="1694"/>
      <c r="I590" s="1695"/>
      <c r="J590" s="1696"/>
      <c r="K590" s="1697"/>
    </row>
    <row r="591" spans="3:11" x14ac:dyDescent="0.2">
      <c r="C591" s="1673">
        <v>588</v>
      </c>
      <c r="D591" s="1691"/>
      <c r="E591" s="1692"/>
      <c r="F591" s="580"/>
      <c r="G591" s="1693"/>
      <c r="H591" s="1694"/>
      <c r="I591" s="1695"/>
      <c r="J591" s="1696"/>
      <c r="K591" s="1697"/>
    </row>
    <row r="592" spans="3:11" x14ac:dyDescent="0.2">
      <c r="C592" s="1673">
        <v>589</v>
      </c>
      <c r="D592" s="1691"/>
      <c r="E592" s="1692"/>
      <c r="F592" s="580"/>
      <c r="G592" s="1693"/>
      <c r="H592" s="1694"/>
      <c r="I592" s="1695"/>
      <c r="J592" s="1696"/>
      <c r="K592" s="1697"/>
    </row>
    <row r="593" spans="3:11" x14ac:dyDescent="0.2">
      <c r="C593" s="1673">
        <v>590</v>
      </c>
      <c r="D593" s="1691"/>
      <c r="E593" s="1692"/>
      <c r="F593" s="580"/>
      <c r="G593" s="1693"/>
      <c r="H593" s="1694"/>
      <c r="I593" s="1695"/>
      <c r="J593" s="1696"/>
      <c r="K593" s="1697"/>
    </row>
    <row r="594" spans="3:11" x14ac:dyDescent="0.2">
      <c r="C594" s="1673">
        <v>591</v>
      </c>
      <c r="D594" s="1691"/>
      <c r="E594" s="1692"/>
      <c r="F594" s="580"/>
      <c r="G594" s="1693"/>
      <c r="H594" s="1694"/>
      <c r="I594" s="1695"/>
      <c r="J594" s="1696"/>
      <c r="K594" s="1697"/>
    </row>
    <row r="595" spans="3:11" x14ac:dyDescent="0.2">
      <c r="C595" s="1673">
        <v>592</v>
      </c>
      <c r="D595" s="1691"/>
      <c r="E595" s="1692"/>
      <c r="F595" s="580"/>
      <c r="G595" s="1693"/>
      <c r="H595" s="1694"/>
      <c r="I595" s="1695"/>
      <c r="J595" s="1696"/>
      <c r="K595" s="1697"/>
    </row>
    <row r="596" spans="3:11" x14ac:dyDescent="0.2">
      <c r="C596" s="1673">
        <v>593</v>
      </c>
      <c r="D596" s="1691"/>
      <c r="E596" s="1692"/>
      <c r="F596" s="580"/>
      <c r="G596" s="1693"/>
      <c r="H596" s="1694"/>
      <c r="I596" s="1695"/>
      <c r="J596" s="1696"/>
      <c r="K596" s="1697"/>
    </row>
    <row r="597" spans="3:11" x14ac:dyDescent="0.2">
      <c r="C597" s="1673">
        <v>594</v>
      </c>
      <c r="D597" s="1691"/>
      <c r="E597" s="1692"/>
      <c r="F597" s="580"/>
      <c r="G597" s="1693"/>
      <c r="H597" s="1694"/>
      <c r="I597" s="1695"/>
      <c r="J597" s="1696"/>
      <c r="K597" s="1697"/>
    </row>
    <row r="598" spans="3:11" x14ac:dyDescent="0.2">
      <c r="C598" s="1673">
        <v>595</v>
      </c>
      <c r="D598" s="1691"/>
      <c r="E598" s="1692"/>
      <c r="F598" s="580"/>
      <c r="G598" s="1693"/>
      <c r="H598" s="1694"/>
      <c r="I598" s="1695"/>
      <c r="J598" s="1696"/>
      <c r="K598" s="1697"/>
    </row>
    <row r="599" spans="3:11" x14ac:dyDescent="0.2">
      <c r="C599" s="1673">
        <v>596</v>
      </c>
      <c r="D599" s="1691"/>
      <c r="E599" s="1692"/>
      <c r="F599" s="580"/>
      <c r="G599" s="1693"/>
      <c r="H599" s="1694"/>
      <c r="I599" s="1695"/>
      <c r="J599" s="1696"/>
      <c r="K599" s="1697"/>
    </row>
    <row r="600" spans="3:11" x14ac:dyDescent="0.2">
      <c r="C600" s="1673">
        <v>597</v>
      </c>
      <c r="D600" s="1691"/>
      <c r="E600" s="1692"/>
      <c r="F600" s="580"/>
      <c r="G600" s="1693"/>
      <c r="H600" s="1694"/>
      <c r="I600" s="1695"/>
      <c r="J600" s="1696"/>
      <c r="K600" s="1697"/>
    </row>
    <row r="601" spans="3:11" x14ac:dyDescent="0.2">
      <c r="C601" s="1673">
        <v>598</v>
      </c>
      <c r="D601" s="1691"/>
      <c r="E601" s="1692"/>
      <c r="F601" s="580"/>
      <c r="G601" s="1693"/>
      <c r="H601" s="1694"/>
      <c r="I601" s="1695"/>
      <c r="J601" s="1696"/>
      <c r="K601" s="1697"/>
    </row>
    <row r="602" spans="3:11" x14ac:dyDescent="0.2">
      <c r="C602" s="1673">
        <v>599</v>
      </c>
      <c r="D602" s="1691"/>
      <c r="E602" s="1692"/>
      <c r="F602" s="580"/>
      <c r="G602" s="1693"/>
      <c r="H602" s="1694"/>
      <c r="I602" s="1695"/>
      <c r="J602" s="1696"/>
      <c r="K602" s="1697"/>
    </row>
    <row r="603" spans="3:11" x14ac:dyDescent="0.2">
      <c r="C603" s="1673">
        <v>600</v>
      </c>
      <c r="D603" s="1691"/>
      <c r="E603" s="1692"/>
      <c r="F603" s="580"/>
      <c r="G603" s="1693"/>
      <c r="H603" s="1694"/>
      <c r="I603" s="1695"/>
      <c r="J603" s="1696"/>
      <c r="K603" s="1697"/>
    </row>
    <row r="604" spans="3:11" x14ac:dyDescent="0.2">
      <c r="C604" s="1673">
        <v>601</v>
      </c>
      <c r="D604" s="1691"/>
      <c r="E604" s="1692"/>
      <c r="F604" s="580"/>
      <c r="G604" s="1693"/>
      <c r="H604" s="1694"/>
      <c r="I604" s="1695"/>
      <c r="J604" s="1696"/>
      <c r="K604" s="1697"/>
    </row>
    <row r="605" spans="3:11" x14ac:dyDescent="0.2">
      <c r="C605" s="1673">
        <v>602</v>
      </c>
      <c r="D605" s="1691"/>
      <c r="E605" s="1692"/>
      <c r="F605" s="580"/>
      <c r="G605" s="1693"/>
      <c r="H605" s="1694"/>
      <c r="I605" s="1695"/>
      <c r="J605" s="1696"/>
      <c r="K605" s="1697"/>
    </row>
    <row r="606" spans="3:11" x14ac:dyDescent="0.2">
      <c r="C606" s="1673">
        <v>603</v>
      </c>
      <c r="D606" s="1691"/>
      <c r="E606" s="1692"/>
      <c r="F606" s="580"/>
      <c r="G606" s="1693"/>
      <c r="H606" s="1694"/>
      <c r="I606" s="1695"/>
      <c r="J606" s="1696"/>
      <c r="K606" s="1697"/>
    </row>
    <row r="607" spans="3:11" x14ac:dyDescent="0.2">
      <c r="C607" s="1673">
        <v>604</v>
      </c>
      <c r="D607" s="1691"/>
      <c r="E607" s="1692"/>
      <c r="F607" s="580"/>
      <c r="G607" s="1693"/>
      <c r="H607" s="1694"/>
      <c r="I607" s="1695"/>
      <c r="J607" s="1696"/>
      <c r="K607" s="1697"/>
    </row>
    <row r="608" spans="3:11" x14ac:dyDescent="0.2">
      <c r="C608" s="1673">
        <v>605</v>
      </c>
      <c r="D608" s="1691"/>
      <c r="E608" s="1692"/>
      <c r="F608" s="580"/>
      <c r="G608" s="1693"/>
      <c r="H608" s="1694"/>
      <c r="I608" s="1695"/>
      <c r="J608" s="1696"/>
      <c r="K608" s="1697"/>
    </row>
    <row r="609" spans="3:11" x14ac:dyDescent="0.2">
      <c r="C609" s="1673">
        <v>606</v>
      </c>
      <c r="D609" s="1691"/>
      <c r="E609" s="1692"/>
      <c r="F609" s="580"/>
      <c r="G609" s="1693"/>
      <c r="H609" s="1694"/>
      <c r="I609" s="1695"/>
      <c r="J609" s="1696"/>
      <c r="K609" s="1697"/>
    </row>
    <row r="610" spans="3:11" x14ac:dyDescent="0.2">
      <c r="C610" s="1673">
        <v>607</v>
      </c>
      <c r="D610" s="1691"/>
      <c r="E610" s="1692"/>
      <c r="F610" s="580"/>
      <c r="G610" s="1693"/>
      <c r="H610" s="1694"/>
      <c r="I610" s="1695"/>
      <c r="J610" s="1696"/>
      <c r="K610" s="1697"/>
    </row>
    <row r="611" spans="3:11" x14ac:dyDescent="0.2">
      <c r="C611" s="1673">
        <v>608</v>
      </c>
      <c r="D611" s="1691"/>
      <c r="E611" s="1692"/>
      <c r="F611" s="580"/>
      <c r="G611" s="1693"/>
      <c r="H611" s="1694"/>
      <c r="I611" s="1695"/>
      <c r="J611" s="1696"/>
      <c r="K611" s="1697"/>
    </row>
    <row r="612" spans="3:11" x14ac:dyDescent="0.2">
      <c r="C612" s="1673">
        <v>609</v>
      </c>
      <c r="D612" s="1691"/>
      <c r="E612" s="1692"/>
      <c r="F612" s="580"/>
      <c r="G612" s="1693"/>
      <c r="H612" s="1694"/>
      <c r="I612" s="1695"/>
      <c r="J612" s="1696"/>
      <c r="K612" s="1697"/>
    </row>
    <row r="613" spans="3:11" x14ac:dyDescent="0.2">
      <c r="C613" s="1673">
        <v>610</v>
      </c>
      <c r="D613" s="1691"/>
      <c r="E613" s="1692"/>
      <c r="F613" s="580"/>
      <c r="G613" s="1693"/>
      <c r="H613" s="1694"/>
      <c r="I613" s="1695"/>
      <c r="J613" s="1696"/>
      <c r="K613" s="1697"/>
    </row>
    <row r="614" spans="3:11" x14ac:dyDescent="0.2">
      <c r="C614" s="1673">
        <v>611</v>
      </c>
      <c r="D614" s="1691"/>
      <c r="E614" s="1692"/>
      <c r="F614" s="580"/>
      <c r="G614" s="1693"/>
      <c r="H614" s="1694"/>
      <c r="I614" s="1695"/>
      <c r="J614" s="1696"/>
      <c r="K614" s="1697"/>
    </row>
    <row r="615" spans="3:11" x14ac:dyDescent="0.2">
      <c r="C615" s="1673">
        <v>612</v>
      </c>
      <c r="D615" s="1691"/>
      <c r="E615" s="1692"/>
      <c r="F615" s="580"/>
      <c r="G615" s="1693"/>
      <c r="H615" s="1694"/>
      <c r="I615" s="1695"/>
      <c r="J615" s="1696"/>
      <c r="K615" s="1697"/>
    </row>
    <row r="616" spans="3:11" x14ac:dyDescent="0.2">
      <c r="C616" s="1673">
        <v>613</v>
      </c>
      <c r="D616" s="1691"/>
      <c r="E616" s="1692"/>
      <c r="F616" s="580"/>
      <c r="G616" s="1693"/>
      <c r="H616" s="1694"/>
      <c r="I616" s="1695"/>
      <c r="J616" s="1696"/>
      <c r="K616" s="1697"/>
    </row>
    <row r="617" spans="3:11" x14ac:dyDescent="0.2">
      <c r="C617" s="1673">
        <v>614</v>
      </c>
      <c r="D617" s="1691"/>
      <c r="E617" s="1692"/>
      <c r="F617" s="580"/>
      <c r="G617" s="1693"/>
      <c r="H617" s="1694"/>
      <c r="I617" s="1695"/>
      <c r="J617" s="1696"/>
      <c r="K617" s="1697"/>
    </row>
    <row r="618" spans="3:11" x14ac:dyDescent="0.2">
      <c r="C618" s="1673">
        <v>615</v>
      </c>
      <c r="D618" s="1691"/>
      <c r="E618" s="1692"/>
      <c r="F618" s="580"/>
      <c r="G618" s="1693"/>
      <c r="H618" s="1694"/>
      <c r="I618" s="1695"/>
      <c r="J618" s="1696"/>
      <c r="K618" s="1697"/>
    </row>
    <row r="619" spans="3:11" x14ac:dyDescent="0.2">
      <c r="C619" s="1673">
        <v>616</v>
      </c>
      <c r="D619" s="1691"/>
      <c r="E619" s="1692"/>
      <c r="F619" s="580"/>
      <c r="G619" s="1693"/>
      <c r="H619" s="1694"/>
      <c r="I619" s="1695"/>
      <c r="J619" s="1696"/>
      <c r="K619" s="1697"/>
    </row>
    <row r="620" spans="3:11" x14ac:dyDescent="0.2">
      <c r="C620" s="1673">
        <v>617</v>
      </c>
      <c r="D620" s="1691"/>
      <c r="E620" s="1692"/>
      <c r="F620" s="580"/>
      <c r="G620" s="1693"/>
      <c r="H620" s="1694"/>
      <c r="I620" s="1695"/>
      <c r="J620" s="1696"/>
      <c r="K620" s="1697"/>
    </row>
    <row r="621" spans="3:11" x14ac:dyDescent="0.2">
      <c r="C621" s="1673">
        <v>618</v>
      </c>
      <c r="D621" s="1691"/>
      <c r="E621" s="1692"/>
      <c r="F621" s="580"/>
      <c r="G621" s="1693"/>
      <c r="H621" s="1694"/>
      <c r="I621" s="1695"/>
      <c r="J621" s="1696"/>
      <c r="K621" s="1697"/>
    </row>
    <row r="622" spans="3:11" x14ac:dyDescent="0.2">
      <c r="C622" s="1673">
        <v>619</v>
      </c>
      <c r="D622" s="1691"/>
      <c r="E622" s="1692"/>
      <c r="F622" s="580"/>
      <c r="G622" s="1693"/>
      <c r="H622" s="1694"/>
      <c r="I622" s="1695"/>
      <c r="J622" s="1696"/>
      <c r="K622" s="1697"/>
    </row>
    <row r="623" spans="3:11" x14ac:dyDescent="0.2">
      <c r="C623" s="1673">
        <v>620</v>
      </c>
      <c r="D623" s="1691"/>
      <c r="E623" s="1692"/>
      <c r="F623" s="580"/>
      <c r="G623" s="1693"/>
      <c r="H623" s="1694"/>
      <c r="I623" s="1695"/>
      <c r="J623" s="1696"/>
      <c r="K623" s="1697"/>
    </row>
    <row r="624" spans="3:11" x14ac:dyDescent="0.2">
      <c r="C624" s="1673">
        <v>621</v>
      </c>
      <c r="D624" s="1691"/>
      <c r="E624" s="1692"/>
      <c r="F624" s="580"/>
      <c r="G624" s="1693"/>
      <c r="H624" s="1694"/>
      <c r="I624" s="1695"/>
      <c r="J624" s="1696"/>
      <c r="K624" s="1697"/>
    </row>
    <row r="625" spans="3:11" x14ac:dyDescent="0.2">
      <c r="C625" s="1673">
        <v>622</v>
      </c>
      <c r="D625" s="1691"/>
      <c r="E625" s="1692"/>
      <c r="F625" s="580"/>
      <c r="G625" s="1693"/>
      <c r="H625" s="1694"/>
      <c r="I625" s="1695"/>
      <c r="J625" s="1696"/>
      <c r="K625" s="1697"/>
    </row>
    <row r="626" spans="3:11" x14ac:dyDescent="0.2">
      <c r="C626" s="1673">
        <v>623</v>
      </c>
      <c r="D626" s="1691"/>
      <c r="E626" s="1692"/>
      <c r="F626" s="580"/>
      <c r="G626" s="1693"/>
      <c r="H626" s="1694"/>
      <c r="I626" s="1695"/>
      <c r="J626" s="1696"/>
      <c r="K626" s="1697"/>
    </row>
    <row r="627" spans="3:11" x14ac:dyDescent="0.2">
      <c r="C627" s="1673">
        <v>624</v>
      </c>
      <c r="D627" s="1691"/>
      <c r="E627" s="1692"/>
      <c r="F627" s="580"/>
      <c r="G627" s="1693"/>
      <c r="H627" s="1694"/>
      <c r="I627" s="1695"/>
      <c r="J627" s="1696"/>
      <c r="K627" s="1697"/>
    </row>
    <row r="628" spans="3:11" x14ac:dyDescent="0.2">
      <c r="C628" s="1673">
        <v>625</v>
      </c>
      <c r="D628" s="1691"/>
      <c r="E628" s="1692"/>
      <c r="F628" s="580"/>
      <c r="G628" s="1693"/>
      <c r="H628" s="1694"/>
      <c r="I628" s="1695"/>
      <c r="J628" s="1696"/>
      <c r="K628" s="1697"/>
    </row>
    <row r="629" spans="3:11" x14ac:dyDescent="0.2">
      <c r="C629" s="1673">
        <v>626</v>
      </c>
      <c r="D629" s="1691"/>
      <c r="E629" s="1692"/>
      <c r="F629" s="580"/>
      <c r="G629" s="1693"/>
      <c r="H629" s="1694"/>
      <c r="I629" s="1695"/>
      <c r="J629" s="1696"/>
      <c r="K629" s="1697"/>
    </row>
    <row r="630" spans="3:11" x14ac:dyDescent="0.2">
      <c r="C630" s="1673">
        <v>627</v>
      </c>
      <c r="D630" s="1691"/>
      <c r="E630" s="1692"/>
      <c r="F630" s="580"/>
      <c r="G630" s="1693"/>
      <c r="H630" s="1694"/>
      <c r="I630" s="1695"/>
      <c r="J630" s="1696"/>
      <c r="K630" s="1697"/>
    </row>
    <row r="631" spans="3:11" x14ac:dyDescent="0.2">
      <c r="C631" s="1673">
        <v>628</v>
      </c>
      <c r="D631" s="1691"/>
      <c r="E631" s="1692"/>
      <c r="F631" s="580"/>
      <c r="G631" s="1693"/>
      <c r="H631" s="1694"/>
      <c r="I631" s="1695"/>
      <c r="J631" s="1696"/>
      <c r="K631" s="1697"/>
    </row>
    <row r="632" spans="3:11" x14ac:dyDescent="0.2">
      <c r="C632" s="1673">
        <v>629</v>
      </c>
      <c r="D632" s="1691"/>
      <c r="E632" s="1692"/>
      <c r="F632" s="580"/>
      <c r="G632" s="1693"/>
      <c r="H632" s="1694"/>
      <c r="I632" s="1695"/>
      <c r="J632" s="1696"/>
      <c r="K632" s="1697"/>
    </row>
    <row r="633" spans="3:11" x14ac:dyDescent="0.2">
      <c r="C633" s="1673">
        <v>630</v>
      </c>
      <c r="D633" s="1691"/>
      <c r="E633" s="1692"/>
      <c r="F633" s="580"/>
      <c r="G633" s="1693"/>
      <c r="H633" s="1694"/>
      <c r="I633" s="1695"/>
      <c r="J633" s="1696"/>
      <c r="K633" s="1697"/>
    </row>
    <row r="634" spans="3:11" x14ac:dyDescent="0.2">
      <c r="C634" s="1673">
        <v>631</v>
      </c>
      <c r="D634" s="1691"/>
      <c r="E634" s="1692"/>
      <c r="F634" s="580"/>
      <c r="G634" s="1693"/>
      <c r="H634" s="1694"/>
      <c r="I634" s="1695"/>
      <c r="J634" s="1696"/>
      <c r="K634" s="1697"/>
    </row>
    <row r="635" spans="3:11" x14ac:dyDescent="0.2">
      <c r="C635" s="1673">
        <v>632</v>
      </c>
      <c r="D635" s="1691"/>
      <c r="E635" s="1692"/>
      <c r="F635" s="580"/>
      <c r="G635" s="1693"/>
      <c r="H635" s="1694"/>
      <c r="I635" s="1695"/>
      <c r="J635" s="1696"/>
      <c r="K635" s="1697"/>
    </row>
    <row r="636" spans="3:11" x14ac:dyDescent="0.2">
      <c r="C636" s="1673">
        <v>633</v>
      </c>
      <c r="D636" s="1691"/>
      <c r="E636" s="1692"/>
      <c r="F636" s="580"/>
      <c r="G636" s="1693"/>
      <c r="H636" s="1694"/>
      <c r="I636" s="1695"/>
      <c r="J636" s="1696"/>
      <c r="K636" s="1697"/>
    </row>
    <row r="637" spans="3:11" x14ac:dyDescent="0.2">
      <c r="C637" s="1673">
        <v>634</v>
      </c>
      <c r="D637" s="1691"/>
      <c r="E637" s="1692"/>
      <c r="F637" s="580"/>
      <c r="G637" s="1693"/>
      <c r="H637" s="1694"/>
      <c r="I637" s="1695"/>
      <c r="J637" s="1696"/>
      <c r="K637" s="1697"/>
    </row>
    <row r="638" spans="3:11" x14ac:dyDescent="0.2">
      <c r="C638" s="1673">
        <v>635</v>
      </c>
      <c r="D638" s="1691"/>
      <c r="E638" s="1692"/>
      <c r="F638" s="580"/>
      <c r="G638" s="1693"/>
      <c r="H638" s="1694"/>
      <c r="I638" s="1695"/>
      <c r="J638" s="1696"/>
      <c r="K638" s="1697"/>
    </row>
    <row r="639" spans="3:11" x14ac:dyDescent="0.2">
      <c r="C639" s="1673">
        <v>636</v>
      </c>
      <c r="D639" s="1691"/>
      <c r="E639" s="1692"/>
      <c r="F639" s="580"/>
      <c r="G639" s="1693"/>
      <c r="H639" s="1694"/>
      <c r="I639" s="1695"/>
      <c r="J639" s="1696"/>
      <c r="K639" s="1697"/>
    </row>
    <row r="640" spans="3:11" x14ac:dyDescent="0.2">
      <c r="C640" s="1673">
        <v>637</v>
      </c>
      <c r="D640" s="1691"/>
      <c r="E640" s="1692"/>
      <c r="F640" s="580"/>
      <c r="G640" s="1693"/>
      <c r="H640" s="1694"/>
      <c r="I640" s="1695"/>
      <c r="J640" s="1696"/>
      <c r="K640" s="1697"/>
    </row>
    <row r="641" spans="3:11" x14ac:dyDescent="0.2">
      <c r="C641" s="1673">
        <v>638</v>
      </c>
      <c r="D641" s="1691"/>
      <c r="E641" s="1692"/>
      <c r="F641" s="580"/>
      <c r="G641" s="1693"/>
      <c r="H641" s="1694"/>
      <c r="I641" s="1695"/>
      <c r="J641" s="1696"/>
      <c r="K641" s="1697"/>
    </row>
    <row r="642" spans="3:11" x14ac:dyDescent="0.2">
      <c r="C642" s="1673">
        <v>639</v>
      </c>
      <c r="D642" s="1691"/>
      <c r="E642" s="1692"/>
      <c r="F642" s="580"/>
      <c r="G642" s="1693"/>
      <c r="H642" s="1694"/>
      <c r="I642" s="1695"/>
      <c r="J642" s="1696"/>
      <c r="K642" s="1697"/>
    </row>
    <row r="643" spans="3:11" x14ac:dyDescent="0.2">
      <c r="C643" s="1673">
        <v>640</v>
      </c>
      <c r="D643" s="1691"/>
      <c r="E643" s="1692"/>
      <c r="F643" s="580"/>
      <c r="G643" s="1693"/>
      <c r="H643" s="1694"/>
      <c r="I643" s="1695"/>
      <c r="J643" s="1696"/>
      <c r="K643" s="1697"/>
    </row>
    <row r="644" spans="3:11" x14ac:dyDescent="0.2">
      <c r="C644" s="1673">
        <v>641</v>
      </c>
      <c r="D644" s="1691"/>
      <c r="E644" s="1692"/>
      <c r="F644" s="580"/>
      <c r="G644" s="1693"/>
      <c r="H644" s="1694"/>
      <c r="I644" s="1695"/>
      <c r="J644" s="1696"/>
      <c r="K644" s="1697"/>
    </row>
    <row r="645" spans="3:11" x14ac:dyDescent="0.2">
      <c r="C645" s="1673">
        <v>642</v>
      </c>
      <c r="D645" s="1691"/>
      <c r="E645" s="1692"/>
      <c r="F645" s="580"/>
      <c r="G645" s="1693"/>
      <c r="H645" s="1694"/>
      <c r="I645" s="1695"/>
      <c r="J645" s="1696"/>
      <c r="K645" s="1697"/>
    </row>
    <row r="646" spans="3:11" x14ac:dyDescent="0.2">
      <c r="C646" s="1673">
        <v>643</v>
      </c>
      <c r="D646" s="1691"/>
      <c r="E646" s="1692"/>
      <c r="F646" s="580"/>
      <c r="G646" s="1693"/>
      <c r="H646" s="1694"/>
      <c r="I646" s="1695"/>
      <c r="J646" s="1696"/>
      <c r="K646" s="1697"/>
    </row>
    <row r="647" spans="3:11" x14ac:dyDescent="0.2">
      <c r="C647" s="1673">
        <v>644</v>
      </c>
      <c r="D647" s="1691"/>
      <c r="E647" s="1692"/>
      <c r="F647" s="580"/>
      <c r="G647" s="1693"/>
      <c r="H647" s="1694"/>
      <c r="I647" s="1695"/>
      <c r="J647" s="1696"/>
      <c r="K647" s="1697"/>
    </row>
    <row r="648" spans="3:11" x14ac:dyDescent="0.2">
      <c r="C648" s="1673">
        <v>645</v>
      </c>
      <c r="D648" s="1691"/>
      <c r="E648" s="1692"/>
      <c r="F648" s="580"/>
      <c r="G648" s="1693"/>
      <c r="H648" s="1694"/>
      <c r="I648" s="1695"/>
      <c r="J648" s="1696"/>
      <c r="K648" s="1697"/>
    </row>
    <row r="649" spans="3:11" x14ac:dyDescent="0.2">
      <c r="C649" s="1673">
        <v>646</v>
      </c>
      <c r="D649" s="1691"/>
      <c r="E649" s="1692"/>
      <c r="F649" s="580"/>
      <c r="G649" s="1693"/>
      <c r="H649" s="1694"/>
      <c r="I649" s="1695"/>
      <c r="J649" s="1696"/>
      <c r="K649" s="1697"/>
    </row>
    <row r="650" spans="3:11" x14ac:dyDescent="0.2">
      <c r="C650" s="1673">
        <v>647</v>
      </c>
      <c r="D650" s="1691"/>
      <c r="E650" s="1692"/>
      <c r="F650" s="580"/>
      <c r="G650" s="1693"/>
      <c r="H650" s="1694"/>
      <c r="I650" s="1695"/>
      <c r="J650" s="1696"/>
      <c r="K650" s="1697"/>
    </row>
    <row r="651" spans="3:11" x14ac:dyDescent="0.2">
      <c r="C651" s="1673">
        <v>648</v>
      </c>
      <c r="D651" s="1691"/>
      <c r="E651" s="1692"/>
      <c r="F651" s="580"/>
      <c r="G651" s="1693"/>
      <c r="H651" s="1694"/>
      <c r="I651" s="1695"/>
      <c r="J651" s="1696"/>
      <c r="K651" s="1697"/>
    </row>
    <row r="652" spans="3:11" x14ac:dyDescent="0.2">
      <c r="C652" s="1673">
        <v>649</v>
      </c>
      <c r="D652" s="1691"/>
      <c r="E652" s="1692"/>
      <c r="F652" s="580"/>
      <c r="G652" s="1693"/>
      <c r="H652" s="1694"/>
      <c r="I652" s="1695"/>
      <c r="J652" s="1696"/>
      <c r="K652" s="1697"/>
    </row>
    <row r="653" spans="3:11" x14ac:dyDescent="0.2">
      <c r="C653" s="1673">
        <v>650</v>
      </c>
      <c r="D653" s="1691"/>
      <c r="E653" s="1692"/>
      <c r="F653" s="580"/>
      <c r="G653" s="1693"/>
      <c r="H653" s="1694"/>
      <c r="I653" s="1695"/>
      <c r="J653" s="1696"/>
      <c r="K653" s="1697"/>
    </row>
    <row r="654" spans="3:11" x14ac:dyDescent="0.2">
      <c r="C654" s="1673">
        <v>651</v>
      </c>
      <c r="D654" s="1691"/>
      <c r="E654" s="1692"/>
      <c r="F654" s="580"/>
      <c r="G654" s="1693"/>
      <c r="H654" s="1694"/>
      <c r="I654" s="1695"/>
      <c r="J654" s="1696"/>
      <c r="K654" s="1697"/>
    </row>
    <row r="655" spans="3:11" x14ac:dyDescent="0.2">
      <c r="C655" s="1673">
        <v>652</v>
      </c>
      <c r="D655" s="1691"/>
      <c r="E655" s="1692"/>
      <c r="F655" s="580"/>
      <c r="G655" s="1693"/>
      <c r="H655" s="1694"/>
      <c r="I655" s="1695"/>
      <c r="J655" s="1696"/>
      <c r="K655" s="1697"/>
    </row>
    <row r="656" spans="3:11" x14ac:dyDescent="0.2">
      <c r="C656" s="1673">
        <v>653</v>
      </c>
      <c r="D656" s="1691"/>
      <c r="E656" s="1692"/>
      <c r="F656" s="580"/>
      <c r="G656" s="1693"/>
      <c r="H656" s="1694"/>
      <c r="I656" s="1695"/>
      <c r="J656" s="1696"/>
      <c r="K656" s="1697"/>
    </row>
    <row r="657" spans="3:11" x14ac:dyDescent="0.2">
      <c r="C657" s="1673">
        <v>654</v>
      </c>
      <c r="D657" s="1691"/>
      <c r="E657" s="1692"/>
      <c r="F657" s="580"/>
      <c r="G657" s="1693"/>
      <c r="H657" s="1694"/>
      <c r="I657" s="1695"/>
      <c r="J657" s="1696"/>
      <c r="K657" s="1697"/>
    </row>
    <row r="658" spans="3:11" x14ac:dyDescent="0.2">
      <c r="C658" s="1673">
        <v>655</v>
      </c>
      <c r="D658" s="1691"/>
      <c r="E658" s="1692"/>
      <c r="F658" s="580"/>
      <c r="G658" s="1693"/>
      <c r="H658" s="1694"/>
      <c r="I658" s="1695"/>
      <c r="J658" s="1696"/>
      <c r="K658" s="1697"/>
    </row>
    <row r="659" spans="3:11" x14ac:dyDescent="0.2">
      <c r="C659" s="1673">
        <v>656</v>
      </c>
      <c r="D659" s="1691"/>
      <c r="E659" s="1692"/>
      <c r="F659" s="580"/>
      <c r="G659" s="1693"/>
      <c r="H659" s="1694"/>
      <c r="I659" s="1695"/>
      <c r="J659" s="1696"/>
      <c r="K659" s="1697"/>
    </row>
    <row r="660" spans="3:11" x14ac:dyDescent="0.2">
      <c r="C660" s="1673">
        <v>657</v>
      </c>
      <c r="D660" s="1691"/>
      <c r="E660" s="1692"/>
      <c r="F660" s="580"/>
      <c r="G660" s="1693"/>
      <c r="H660" s="1694"/>
      <c r="I660" s="1695"/>
      <c r="J660" s="1696"/>
      <c r="K660" s="1697"/>
    </row>
    <row r="661" spans="3:11" x14ac:dyDescent="0.2">
      <c r="C661" s="1673">
        <v>658</v>
      </c>
      <c r="D661" s="1691"/>
      <c r="E661" s="1692"/>
      <c r="F661" s="580"/>
      <c r="G661" s="1693"/>
      <c r="H661" s="1694"/>
      <c r="I661" s="1695"/>
      <c r="J661" s="1696"/>
      <c r="K661" s="1697"/>
    </row>
    <row r="662" spans="3:11" x14ac:dyDescent="0.2">
      <c r="C662" s="1673">
        <v>659</v>
      </c>
      <c r="D662" s="1691"/>
      <c r="E662" s="1692"/>
      <c r="F662" s="580"/>
      <c r="G662" s="1693"/>
      <c r="H662" s="1694"/>
      <c r="I662" s="1695"/>
      <c r="J662" s="1696"/>
      <c r="K662" s="1697"/>
    </row>
    <row r="663" spans="3:11" x14ac:dyDescent="0.2">
      <c r="C663" s="1673">
        <v>660</v>
      </c>
      <c r="D663" s="1691"/>
      <c r="E663" s="1692"/>
      <c r="F663" s="580"/>
      <c r="G663" s="1693"/>
      <c r="H663" s="1694"/>
      <c r="I663" s="1695"/>
      <c r="J663" s="1696"/>
      <c r="K663" s="1697"/>
    </row>
    <row r="664" spans="3:11" x14ac:dyDescent="0.2">
      <c r="C664" s="1673">
        <v>661</v>
      </c>
      <c r="D664" s="1691"/>
      <c r="E664" s="1692"/>
      <c r="F664" s="580"/>
      <c r="G664" s="1693"/>
      <c r="H664" s="1694"/>
      <c r="I664" s="1695"/>
      <c r="J664" s="1696"/>
      <c r="K664" s="1697"/>
    </row>
    <row r="665" spans="3:11" x14ac:dyDescent="0.2">
      <c r="C665" s="1673">
        <v>662</v>
      </c>
      <c r="D665" s="1691"/>
      <c r="E665" s="1692"/>
      <c r="F665" s="580"/>
      <c r="G665" s="1693"/>
      <c r="H665" s="1694"/>
      <c r="I665" s="1695"/>
      <c r="J665" s="1696"/>
      <c r="K665" s="1697"/>
    </row>
    <row r="666" spans="3:11" x14ac:dyDescent="0.2">
      <c r="C666" s="1673">
        <v>663</v>
      </c>
      <c r="D666" s="1691"/>
      <c r="E666" s="1692"/>
      <c r="F666" s="580"/>
      <c r="G666" s="1693"/>
      <c r="H666" s="1694"/>
      <c r="I666" s="1695"/>
      <c r="J666" s="1696"/>
      <c r="K666" s="1697"/>
    </row>
    <row r="667" spans="3:11" x14ac:dyDescent="0.2">
      <c r="C667" s="1673">
        <v>664</v>
      </c>
      <c r="D667" s="1691"/>
      <c r="E667" s="1692"/>
      <c r="F667" s="580"/>
      <c r="G667" s="1693"/>
      <c r="H667" s="1694"/>
      <c r="I667" s="1695"/>
      <c r="J667" s="1696"/>
      <c r="K667" s="1697"/>
    </row>
    <row r="668" spans="3:11" x14ac:dyDescent="0.2">
      <c r="C668" s="1673">
        <v>665</v>
      </c>
      <c r="D668" s="1691"/>
      <c r="E668" s="1692"/>
      <c r="F668" s="580"/>
      <c r="G668" s="1693"/>
      <c r="H668" s="1694"/>
      <c r="I668" s="1695"/>
      <c r="J668" s="1696"/>
      <c r="K668" s="1697"/>
    </row>
    <row r="669" spans="3:11" x14ac:dyDescent="0.2">
      <c r="C669" s="1673">
        <v>666</v>
      </c>
      <c r="D669" s="1691"/>
      <c r="E669" s="1692"/>
      <c r="F669" s="580"/>
      <c r="G669" s="1693"/>
      <c r="H669" s="1694"/>
      <c r="I669" s="1695"/>
      <c r="J669" s="1696"/>
      <c r="K669" s="1697"/>
    </row>
    <row r="670" spans="3:11" x14ac:dyDescent="0.2">
      <c r="C670" s="1673">
        <v>667</v>
      </c>
      <c r="D670" s="1691"/>
      <c r="E670" s="1692"/>
      <c r="F670" s="580"/>
      <c r="G670" s="1693"/>
      <c r="H670" s="1694"/>
      <c r="I670" s="1695"/>
      <c r="J670" s="1696"/>
      <c r="K670" s="1697"/>
    </row>
    <row r="671" spans="3:11" x14ac:dyDescent="0.2">
      <c r="C671" s="1673">
        <v>668</v>
      </c>
      <c r="D671" s="1691"/>
      <c r="E671" s="1692"/>
      <c r="F671" s="580"/>
      <c r="G671" s="1693"/>
      <c r="H671" s="1694"/>
      <c r="I671" s="1695"/>
      <c r="J671" s="1696"/>
      <c r="K671" s="1697"/>
    </row>
    <row r="672" spans="3:11" x14ac:dyDescent="0.2">
      <c r="C672" s="1673">
        <v>669</v>
      </c>
      <c r="D672" s="1691"/>
      <c r="E672" s="1692"/>
      <c r="F672" s="580"/>
      <c r="G672" s="1693"/>
      <c r="H672" s="1694"/>
      <c r="I672" s="1695"/>
      <c r="J672" s="1696"/>
      <c r="K672" s="1697"/>
    </row>
    <row r="673" spans="3:11" x14ac:dyDescent="0.2">
      <c r="C673" s="1673">
        <v>670</v>
      </c>
      <c r="D673" s="1691"/>
      <c r="E673" s="1692"/>
      <c r="F673" s="580"/>
      <c r="G673" s="1693"/>
      <c r="H673" s="1694"/>
      <c r="I673" s="1695"/>
      <c r="J673" s="1696"/>
      <c r="K673" s="1697"/>
    </row>
    <row r="674" spans="3:11" x14ac:dyDescent="0.2">
      <c r="C674" s="1673">
        <v>671</v>
      </c>
      <c r="D674" s="1691"/>
      <c r="E674" s="1692"/>
      <c r="F674" s="580"/>
      <c r="G674" s="1693"/>
      <c r="H674" s="1694"/>
      <c r="I674" s="1695"/>
      <c r="J674" s="1696"/>
      <c r="K674" s="1697"/>
    </row>
    <row r="675" spans="3:11" x14ac:dyDescent="0.2">
      <c r="C675" s="1673">
        <v>672</v>
      </c>
      <c r="D675" s="1691"/>
      <c r="E675" s="1692"/>
      <c r="F675" s="580"/>
      <c r="G675" s="1693"/>
      <c r="H675" s="1694"/>
      <c r="I675" s="1695"/>
      <c r="J675" s="1696"/>
      <c r="K675" s="1697"/>
    </row>
    <row r="676" spans="3:11" x14ac:dyDescent="0.2">
      <c r="C676" s="1673">
        <v>673</v>
      </c>
      <c r="D676" s="1691"/>
      <c r="E676" s="1692"/>
      <c r="F676" s="580"/>
      <c r="G676" s="1693"/>
      <c r="H676" s="1694"/>
      <c r="I676" s="1695"/>
      <c r="J676" s="1696"/>
      <c r="K676" s="1697"/>
    </row>
    <row r="677" spans="3:11" x14ac:dyDescent="0.2">
      <c r="C677" s="1673">
        <v>674</v>
      </c>
      <c r="D677" s="1691"/>
      <c r="E677" s="1692"/>
      <c r="F677" s="580"/>
      <c r="G677" s="1693"/>
      <c r="H677" s="1694"/>
      <c r="I677" s="1695"/>
      <c r="J677" s="1696"/>
      <c r="K677" s="1697"/>
    </row>
    <row r="678" spans="3:11" x14ac:dyDescent="0.2">
      <c r="C678" s="1673">
        <v>675</v>
      </c>
      <c r="D678" s="1691"/>
      <c r="E678" s="1692"/>
      <c r="F678" s="580"/>
      <c r="G678" s="1693"/>
      <c r="H678" s="1694"/>
      <c r="I678" s="1695"/>
      <c r="J678" s="1696"/>
      <c r="K678" s="1697"/>
    </row>
    <row r="679" spans="3:11" x14ac:dyDescent="0.2">
      <c r="C679" s="1673">
        <v>676</v>
      </c>
      <c r="D679" s="1691"/>
      <c r="E679" s="1692"/>
      <c r="F679" s="580"/>
      <c r="G679" s="1693"/>
      <c r="H679" s="1694"/>
      <c r="I679" s="1695"/>
      <c r="J679" s="1696"/>
      <c r="K679" s="1697"/>
    </row>
    <row r="680" spans="3:11" x14ac:dyDescent="0.2">
      <c r="C680" s="1673">
        <v>677</v>
      </c>
      <c r="D680" s="1691"/>
      <c r="E680" s="1692"/>
      <c r="F680" s="580"/>
      <c r="G680" s="1693"/>
      <c r="H680" s="1694"/>
      <c r="I680" s="1695"/>
      <c r="J680" s="1696"/>
      <c r="K680" s="1697"/>
    </row>
    <row r="681" spans="3:11" x14ac:dyDescent="0.2">
      <c r="C681" s="1673">
        <v>678</v>
      </c>
      <c r="D681" s="1691"/>
      <c r="E681" s="1692"/>
      <c r="F681" s="580"/>
      <c r="G681" s="1693"/>
      <c r="H681" s="1694"/>
      <c r="I681" s="1695"/>
      <c r="J681" s="1696"/>
      <c r="K681" s="1697"/>
    </row>
    <row r="682" spans="3:11" x14ac:dyDescent="0.2">
      <c r="C682" s="1673">
        <v>679</v>
      </c>
      <c r="D682" s="1691"/>
      <c r="E682" s="1692"/>
      <c r="F682" s="580"/>
      <c r="G682" s="1693"/>
      <c r="H682" s="1694"/>
      <c r="I682" s="1695"/>
      <c r="J682" s="1696"/>
      <c r="K682" s="1697"/>
    </row>
    <row r="683" spans="3:11" x14ac:dyDescent="0.2">
      <c r="C683" s="1673">
        <v>680</v>
      </c>
      <c r="D683" s="1691"/>
      <c r="E683" s="1692"/>
      <c r="F683" s="580"/>
      <c r="G683" s="1693"/>
      <c r="H683" s="1694"/>
      <c r="I683" s="1695"/>
      <c r="J683" s="1696"/>
      <c r="K683" s="1697"/>
    </row>
    <row r="684" spans="3:11" x14ac:dyDescent="0.2">
      <c r="C684" s="1673">
        <v>681</v>
      </c>
      <c r="D684" s="1691"/>
      <c r="E684" s="1692"/>
      <c r="F684" s="580"/>
      <c r="G684" s="1693"/>
      <c r="H684" s="1694"/>
      <c r="I684" s="1695"/>
      <c r="J684" s="1696"/>
      <c r="K684" s="1697"/>
    </row>
    <row r="685" spans="3:11" x14ac:dyDescent="0.2">
      <c r="C685" s="1673">
        <v>682</v>
      </c>
      <c r="D685" s="1691"/>
      <c r="E685" s="1692"/>
      <c r="F685" s="580"/>
      <c r="G685" s="1693"/>
      <c r="H685" s="1694"/>
      <c r="I685" s="1695"/>
      <c r="J685" s="1696"/>
      <c r="K685" s="1697"/>
    </row>
    <row r="686" spans="3:11" x14ac:dyDescent="0.2">
      <c r="C686" s="1673">
        <v>683</v>
      </c>
      <c r="D686" s="1691"/>
      <c r="E686" s="1692"/>
      <c r="F686" s="580"/>
      <c r="G686" s="1693"/>
      <c r="H686" s="1694"/>
      <c r="I686" s="1695"/>
      <c r="J686" s="1696"/>
      <c r="K686" s="1697"/>
    </row>
    <row r="687" spans="3:11" x14ac:dyDescent="0.2">
      <c r="C687" s="1673">
        <v>684</v>
      </c>
      <c r="D687" s="1691"/>
      <c r="E687" s="1692"/>
      <c r="F687" s="580"/>
      <c r="G687" s="1693"/>
      <c r="H687" s="1694"/>
      <c r="I687" s="1695"/>
      <c r="J687" s="1696"/>
      <c r="K687" s="1697"/>
    </row>
    <row r="688" spans="3:11" x14ac:dyDescent="0.2">
      <c r="C688" s="1673">
        <v>685</v>
      </c>
      <c r="D688" s="1691"/>
      <c r="E688" s="1692"/>
      <c r="F688" s="580"/>
      <c r="G688" s="1693"/>
      <c r="H688" s="1694"/>
      <c r="I688" s="1695"/>
      <c r="J688" s="1696"/>
      <c r="K688" s="1697"/>
    </row>
    <row r="689" spans="3:11" x14ac:dyDescent="0.2">
      <c r="C689" s="1673">
        <v>686</v>
      </c>
      <c r="D689" s="1691"/>
      <c r="E689" s="1692"/>
      <c r="F689" s="580"/>
      <c r="G689" s="1693"/>
      <c r="H689" s="1694"/>
      <c r="I689" s="1695"/>
      <c r="J689" s="1696"/>
      <c r="K689" s="1697"/>
    </row>
    <row r="690" spans="3:11" x14ac:dyDescent="0.2">
      <c r="C690" s="1673">
        <v>687</v>
      </c>
      <c r="D690" s="1691"/>
      <c r="E690" s="1692"/>
      <c r="F690" s="580"/>
      <c r="G690" s="1693"/>
      <c r="H690" s="1694"/>
      <c r="I690" s="1695"/>
      <c r="J690" s="1696"/>
      <c r="K690" s="1697"/>
    </row>
    <row r="691" spans="3:11" x14ac:dyDescent="0.2">
      <c r="C691" s="1673">
        <v>688</v>
      </c>
      <c r="D691" s="1691"/>
      <c r="E691" s="1692"/>
      <c r="F691" s="580"/>
      <c r="G691" s="1693"/>
      <c r="H691" s="1694"/>
      <c r="I691" s="1695"/>
      <c r="J691" s="1696"/>
      <c r="K691" s="1697"/>
    </row>
    <row r="692" spans="3:11" x14ac:dyDescent="0.2">
      <c r="C692" s="1673">
        <v>689</v>
      </c>
      <c r="D692" s="1691"/>
      <c r="E692" s="1692"/>
      <c r="F692" s="580"/>
      <c r="G692" s="1693"/>
      <c r="H692" s="1694"/>
      <c r="I692" s="1695"/>
      <c r="J692" s="1696"/>
      <c r="K692" s="1697"/>
    </row>
    <row r="693" spans="3:11" x14ac:dyDescent="0.2">
      <c r="C693" s="1673">
        <v>690</v>
      </c>
      <c r="D693" s="1691"/>
      <c r="E693" s="1692"/>
      <c r="F693" s="580"/>
      <c r="G693" s="1693"/>
      <c r="H693" s="1694"/>
      <c r="I693" s="1695"/>
      <c r="J693" s="1696"/>
      <c r="K693" s="1697"/>
    </row>
    <row r="694" spans="3:11" x14ac:dyDescent="0.2">
      <c r="C694" s="1673">
        <v>691</v>
      </c>
      <c r="D694" s="1691"/>
      <c r="E694" s="1692"/>
      <c r="F694" s="580"/>
      <c r="G694" s="1693"/>
      <c r="H694" s="1694"/>
      <c r="I694" s="1695"/>
      <c r="J694" s="1696"/>
      <c r="K694" s="1697"/>
    </row>
    <row r="695" spans="3:11" x14ac:dyDescent="0.2">
      <c r="C695" s="1673">
        <v>692</v>
      </c>
      <c r="D695" s="1691"/>
      <c r="E695" s="1692"/>
      <c r="F695" s="580"/>
      <c r="G695" s="1693"/>
      <c r="H695" s="1694"/>
      <c r="I695" s="1695"/>
      <c r="J695" s="1696"/>
      <c r="K695" s="1697"/>
    </row>
    <row r="696" spans="3:11" x14ac:dyDescent="0.2">
      <c r="C696" s="1673">
        <v>693</v>
      </c>
      <c r="D696" s="1691"/>
      <c r="E696" s="1692"/>
      <c r="F696" s="580"/>
      <c r="G696" s="1693"/>
      <c r="H696" s="1694"/>
      <c r="I696" s="1695"/>
      <c r="J696" s="1696"/>
      <c r="K696" s="1697"/>
    </row>
    <row r="697" spans="3:11" x14ac:dyDescent="0.2">
      <c r="C697" s="1673">
        <v>694</v>
      </c>
      <c r="D697" s="1691"/>
      <c r="E697" s="1692"/>
      <c r="F697" s="580"/>
      <c r="G697" s="1693"/>
      <c r="H697" s="1694"/>
      <c r="I697" s="1695"/>
      <c r="J697" s="1696"/>
      <c r="K697" s="1697"/>
    </row>
    <row r="698" spans="3:11" x14ac:dyDescent="0.2">
      <c r="C698" s="1673">
        <v>695</v>
      </c>
      <c r="D698" s="1691"/>
      <c r="E698" s="1692"/>
      <c r="F698" s="580"/>
      <c r="G698" s="1693"/>
      <c r="H698" s="1694"/>
      <c r="I698" s="1695"/>
      <c r="J698" s="1696"/>
      <c r="K698" s="1697"/>
    </row>
    <row r="699" spans="3:11" x14ac:dyDescent="0.2">
      <c r="C699" s="1673">
        <v>696</v>
      </c>
      <c r="D699" s="1691"/>
      <c r="E699" s="1692"/>
      <c r="F699" s="580"/>
      <c r="G699" s="1693"/>
      <c r="H699" s="1694"/>
      <c r="I699" s="1695"/>
      <c r="J699" s="1696"/>
      <c r="K699" s="1697"/>
    </row>
    <row r="700" spans="3:11" x14ac:dyDescent="0.2">
      <c r="C700" s="1673">
        <v>697</v>
      </c>
      <c r="D700" s="1691"/>
      <c r="E700" s="1692"/>
      <c r="F700" s="580"/>
      <c r="G700" s="1693"/>
      <c r="H700" s="1694"/>
      <c r="I700" s="1695"/>
      <c r="J700" s="1696"/>
      <c r="K700" s="1697"/>
    </row>
    <row r="701" spans="3:11" x14ac:dyDescent="0.2">
      <c r="C701" s="1673">
        <v>698</v>
      </c>
      <c r="D701" s="1691"/>
      <c r="E701" s="1692"/>
      <c r="F701" s="580"/>
      <c r="G701" s="1693"/>
      <c r="H701" s="1694"/>
      <c r="I701" s="1695"/>
      <c r="J701" s="1696"/>
      <c r="K701" s="1697"/>
    </row>
    <row r="702" spans="3:11" x14ac:dyDescent="0.2">
      <c r="C702" s="1673">
        <v>699</v>
      </c>
      <c r="D702" s="1691"/>
      <c r="E702" s="1692"/>
      <c r="F702" s="580"/>
      <c r="G702" s="1693"/>
      <c r="H702" s="1694"/>
      <c r="I702" s="1695"/>
      <c r="J702" s="1696"/>
      <c r="K702" s="1697"/>
    </row>
    <row r="703" spans="3:11" x14ac:dyDescent="0.2">
      <c r="C703" s="1673">
        <v>700</v>
      </c>
      <c r="D703" s="1691"/>
      <c r="E703" s="1692"/>
      <c r="F703" s="580"/>
      <c r="G703" s="1693"/>
      <c r="H703" s="1694"/>
      <c r="I703" s="1695"/>
      <c r="J703" s="1696"/>
      <c r="K703" s="1697"/>
    </row>
    <row r="704" spans="3:11" x14ac:dyDescent="0.2">
      <c r="C704" s="1673">
        <v>701</v>
      </c>
      <c r="D704" s="1691"/>
      <c r="E704" s="1692"/>
      <c r="F704" s="580"/>
      <c r="G704" s="1693"/>
      <c r="H704" s="1694"/>
      <c r="I704" s="1695"/>
      <c r="J704" s="1696"/>
      <c r="K704" s="1697"/>
    </row>
    <row r="705" spans="3:11" x14ac:dyDescent="0.2">
      <c r="C705" s="1673">
        <v>702</v>
      </c>
      <c r="D705" s="1691"/>
      <c r="E705" s="1692"/>
      <c r="F705" s="580"/>
      <c r="G705" s="1693"/>
      <c r="H705" s="1694"/>
      <c r="I705" s="1695"/>
      <c r="J705" s="1696"/>
      <c r="K705" s="1697"/>
    </row>
    <row r="706" spans="3:11" x14ac:dyDescent="0.2">
      <c r="C706" s="1673">
        <v>703</v>
      </c>
      <c r="D706" s="1691"/>
      <c r="E706" s="1692"/>
      <c r="F706" s="580"/>
      <c r="G706" s="1693"/>
      <c r="H706" s="1694"/>
      <c r="I706" s="1695"/>
      <c r="J706" s="1696"/>
      <c r="K706" s="1697"/>
    </row>
    <row r="707" spans="3:11" x14ac:dyDescent="0.2">
      <c r="C707" s="1673">
        <v>704</v>
      </c>
      <c r="D707" s="1691"/>
      <c r="E707" s="1692"/>
      <c r="F707" s="580"/>
      <c r="G707" s="1693"/>
      <c r="H707" s="1694"/>
      <c r="I707" s="1695"/>
      <c r="J707" s="1696"/>
      <c r="K707" s="1697"/>
    </row>
    <row r="708" spans="3:11" x14ac:dyDescent="0.2">
      <c r="C708" s="1673">
        <v>705</v>
      </c>
      <c r="D708" s="1691"/>
      <c r="E708" s="1692"/>
      <c r="F708" s="580"/>
      <c r="G708" s="1693"/>
      <c r="H708" s="1694"/>
      <c r="I708" s="1695"/>
      <c r="J708" s="1696"/>
      <c r="K708" s="1697"/>
    </row>
    <row r="709" spans="3:11" x14ac:dyDescent="0.2">
      <c r="C709" s="1673">
        <v>706</v>
      </c>
      <c r="D709" s="1691"/>
      <c r="E709" s="1692"/>
      <c r="F709" s="580"/>
      <c r="G709" s="1693"/>
      <c r="H709" s="1694"/>
      <c r="I709" s="1695"/>
      <c r="J709" s="1696"/>
      <c r="K709" s="1697"/>
    </row>
    <row r="710" spans="3:11" x14ac:dyDescent="0.2">
      <c r="C710" s="1673">
        <v>707</v>
      </c>
      <c r="D710" s="1691"/>
      <c r="E710" s="1692"/>
      <c r="F710" s="580"/>
      <c r="G710" s="1693"/>
      <c r="H710" s="1694"/>
      <c r="I710" s="1695"/>
      <c r="J710" s="1696"/>
      <c r="K710" s="1697"/>
    </row>
    <row r="711" spans="3:11" x14ac:dyDescent="0.2">
      <c r="C711" s="1673">
        <v>708</v>
      </c>
      <c r="D711" s="1691"/>
      <c r="E711" s="1692"/>
      <c r="F711" s="580"/>
      <c r="G711" s="1693"/>
      <c r="H711" s="1694"/>
      <c r="I711" s="1695"/>
      <c r="J711" s="1696"/>
      <c r="K711" s="1697"/>
    </row>
    <row r="712" spans="3:11" x14ac:dyDescent="0.2">
      <c r="C712" s="1673">
        <v>709</v>
      </c>
      <c r="D712" s="1691"/>
      <c r="E712" s="1692"/>
      <c r="F712" s="580"/>
      <c r="G712" s="1693"/>
      <c r="H712" s="1694"/>
      <c r="I712" s="1695"/>
      <c r="J712" s="1696"/>
      <c r="K712" s="1697"/>
    </row>
    <row r="713" spans="3:11" x14ac:dyDescent="0.2">
      <c r="C713" s="1673">
        <v>710</v>
      </c>
      <c r="D713" s="1691"/>
      <c r="E713" s="1692"/>
      <c r="F713" s="580"/>
      <c r="G713" s="1693"/>
      <c r="H713" s="1694"/>
      <c r="I713" s="1695"/>
      <c r="J713" s="1696"/>
      <c r="K713" s="1697"/>
    </row>
    <row r="714" spans="3:11" x14ac:dyDescent="0.2">
      <c r="C714" s="1673">
        <v>711</v>
      </c>
      <c r="D714" s="1691"/>
      <c r="E714" s="1692"/>
      <c r="F714" s="580"/>
      <c r="G714" s="1693"/>
      <c r="H714" s="1694"/>
      <c r="I714" s="1695"/>
      <c r="J714" s="1696"/>
      <c r="K714" s="1697"/>
    </row>
    <row r="715" spans="3:11" x14ac:dyDescent="0.2">
      <c r="C715" s="1673">
        <v>712</v>
      </c>
      <c r="D715" s="1691"/>
      <c r="E715" s="1692"/>
      <c r="F715" s="580"/>
      <c r="G715" s="1693"/>
      <c r="H715" s="1694"/>
      <c r="I715" s="1695"/>
      <c r="J715" s="1696"/>
      <c r="K715" s="1697"/>
    </row>
    <row r="716" spans="3:11" x14ac:dyDescent="0.2">
      <c r="C716" s="1673">
        <v>713</v>
      </c>
      <c r="D716" s="1691"/>
      <c r="E716" s="1692"/>
      <c r="F716" s="580"/>
      <c r="G716" s="1693"/>
      <c r="H716" s="1694"/>
      <c r="I716" s="1695"/>
      <c r="J716" s="1696"/>
      <c r="K716" s="1697"/>
    </row>
    <row r="717" spans="3:11" x14ac:dyDescent="0.2">
      <c r="C717" s="1673">
        <v>714</v>
      </c>
      <c r="D717" s="1691"/>
      <c r="E717" s="1692"/>
      <c r="F717" s="580"/>
      <c r="G717" s="1693"/>
      <c r="H717" s="1694"/>
      <c r="I717" s="1695"/>
      <c r="J717" s="1696"/>
      <c r="K717" s="1697"/>
    </row>
    <row r="718" spans="3:11" x14ac:dyDescent="0.2">
      <c r="C718" s="1673">
        <v>715</v>
      </c>
      <c r="D718" s="1691"/>
      <c r="E718" s="1692"/>
      <c r="F718" s="580"/>
      <c r="G718" s="1693"/>
      <c r="H718" s="1694"/>
      <c r="I718" s="1695"/>
      <c r="J718" s="1696"/>
      <c r="K718" s="1697"/>
    </row>
    <row r="719" spans="3:11" x14ac:dyDescent="0.2">
      <c r="C719" s="1673">
        <v>716</v>
      </c>
      <c r="D719" s="1691"/>
      <c r="E719" s="1692"/>
      <c r="F719" s="580"/>
      <c r="G719" s="1693"/>
      <c r="H719" s="1694"/>
      <c r="I719" s="1695"/>
      <c r="J719" s="1696"/>
      <c r="K719" s="1697"/>
    </row>
    <row r="720" spans="3:11" x14ac:dyDescent="0.2">
      <c r="C720" s="1673">
        <v>717</v>
      </c>
      <c r="D720" s="1691"/>
      <c r="E720" s="1692"/>
      <c r="F720" s="580"/>
      <c r="G720" s="1693"/>
      <c r="H720" s="1694"/>
      <c r="I720" s="1695"/>
      <c r="J720" s="1696"/>
      <c r="K720" s="1697"/>
    </row>
    <row r="721" spans="3:11" x14ac:dyDescent="0.2">
      <c r="C721" s="1673">
        <v>718</v>
      </c>
      <c r="D721" s="1691"/>
      <c r="E721" s="1692"/>
      <c r="F721" s="580"/>
      <c r="G721" s="1693"/>
      <c r="H721" s="1694"/>
      <c r="I721" s="1695"/>
      <c r="J721" s="1696"/>
      <c r="K721" s="1697"/>
    </row>
    <row r="722" spans="3:11" x14ac:dyDescent="0.2">
      <c r="C722" s="1673">
        <v>719</v>
      </c>
      <c r="D722" s="1691"/>
      <c r="E722" s="1692"/>
      <c r="F722" s="580"/>
      <c r="G722" s="1693"/>
      <c r="H722" s="1694"/>
      <c r="I722" s="1695"/>
      <c r="J722" s="1696"/>
      <c r="K722" s="1697"/>
    </row>
    <row r="723" spans="3:11" x14ac:dyDescent="0.2">
      <c r="C723" s="1673">
        <v>720</v>
      </c>
      <c r="D723" s="1691"/>
      <c r="E723" s="1692"/>
      <c r="F723" s="580"/>
      <c r="G723" s="1693"/>
      <c r="H723" s="1694"/>
      <c r="I723" s="1695"/>
      <c r="J723" s="1696"/>
      <c r="K723" s="1697"/>
    </row>
    <row r="724" spans="3:11" x14ac:dyDescent="0.2">
      <c r="C724" s="1673">
        <v>721</v>
      </c>
      <c r="D724" s="1691"/>
      <c r="E724" s="1692"/>
      <c r="F724" s="580"/>
      <c r="G724" s="1693"/>
      <c r="H724" s="1694"/>
      <c r="I724" s="1695"/>
      <c r="J724" s="1696"/>
      <c r="K724" s="1697"/>
    </row>
    <row r="725" spans="3:11" x14ac:dyDescent="0.2">
      <c r="C725" s="1673">
        <v>722</v>
      </c>
      <c r="D725" s="1691"/>
      <c r="E725" s="1692"/>
      <c r="F725" s="580"/>
      <c r="G725" s="1693"/>
      <c r="H725" s="1694"/>
      <c r="I725" s="1695"/>
      <c r="J725" s="1696"/>
      <c r="K725" s="1697"/>
    </row>
    <row r="726" spans="3:11" x14ac:dyDescent="0.2">
      <c r="C726" s="1673">
        <v>723</v>
      </c>
      <c r="D726" s="1691"/>
      <c r="E726" s="1692"/>
      <c r="F726" s="580"/>
      <c r="G726" s="1693"/>
      <c r="H726" s="1694"/>
      <c r="I726" s="1695"/>
      <c r="J726" s="1696"/>
      <c r="K726" s="1697"/>
    </row>
    <row r="727" spans="3:11" x14ac:dyDescent="0.2">
      <c r="C727" s="1673">
        <v>724</v>
      </c>
      <c r="D727" s="1691"/>
      <c r="E727" s="1692"/>
      <c r="F727" s="580"/>
      <c r="G727" s="1693"/>
      <c r="H727" s="1694"/>
      <c r="I727" s="1695"/>
      <c r="J727" s="1696"/>
      <c r="K727" s="1697"/>
    </row>
    <row r="728" spans="3:11" x14ac:dyDescent="0.2">
      <c r="C728" s="1673">
        <v>725</v>
      </c>
      <c r="D728" s="1691"/>
      <c r="E728" s="1692"/>
      <c r="F728" s="580"/>
      <c r="G728" s="1693"/>
      <c r="H728" s="1694"/>
      <c r="I728" s="1695"/>
      <c r="J728" s="1696"/>
      <c r="K728" s="1697"/>
    </row>
    <row r="729" spans="3:11" x14ac:dyDescent="0.2">
      <c r="C729" s="1673">
        <v>726</v>
      </c>
      <c r="D729" s="1691"/>
      <c r="E729" s="1692"/>
      <c r="F729" s="580"/>
      <c r="G729" s="1693"/>
      <c r="H729" s="1694"/>
      <c r="I729" s="1695"/>
      <c r="J729" s="1696"/>
      <c r="K729" s="1697"/>
    </row>
    <row r="730" spans="3:11" x14ac:dyDescent="0.2">
      <c r="C730" s="1673">
        <v>727</v>
      </c>
      <c r="D730" s="1691"/>
      <c r="E730" s="1692"/>
      <c r="F730" s="580"/>
      <c r="G730" s="1693"/>
      <c r="H730" s="1694"/>
      <c r="I730" s="1695"/>
      <c r="J730" s="1696"/>
      <c r="K730" s="1697"/>
    </row>
    <row r="731" spans="3:11" x14ac:dyDescent="0.2">
      <c r="C731" s="1673">
        <v>728</v>
      </c>
      <c r="D731" s="1691"/>
      <c r="E731" s="1692"/>
      <c r="F731" s="580"/>
      <c r="G731" s="1693"/>
      <c r="H731" s="1694"/>
      <c r="I731" s="1695"/>
      <c r="J731" s="1696"/>
      <c r="K731" s="1697"/>
    </row>
    <row r="732" spans="3:11" x14ac:dyDescent="0.2">
      <c r="C732" s="1673">
        <v>729</v>
      </c>
      <c r="D732" s="1691"/>
      <c r="E732" s="1692"/>
      <c r="F732" s="580"/>
      <c r="G732" s="1693"/>
      <c r="H732" s="1694"/>
      <c r="I732" s="1695"/>
      <c r="J732" s="1696"/>
      <c r="K732" s="1697"/>
    </row>
    <row r="733" spans="3:11" x14ac:dyDescent="0.2">
      <c r="C733" s="1673">
        <v>730</v>
      </c>
      <c r="D733" s="1691"/>
      <c r="E733" s="1692"/>
      <c r="F733" s="580"/>
      <c r="G733" s="1693"/>
      <c r="H733" s="1694"/>
      <c r="I733" s="1695"/>
      <c r="J733" s="1696"/>
      <c r="K733" s="1697"/>
    </row>
    <row r="734" spans="3:11" x14ac:dyDescent="0.2">
      <c r="C734" s="1673">
        <v>731</v>
      </c>
      <c r="D734" s="1691"/>
      <c r="E734" s="1692"/>
      <c r="F734" s="580"/>
      <c r="G734" s="1693"/>
      <c r="H734" s="1694"/>
      <c r="I734" s="1695"/>
      <c r="J734" s="1696"/>
      <c r="K734" s="1697"/>
    </row>
    <row r="735" spans="3:11" x14ac:dyDescent="0.2">
      <c r="C735" s="1673">
        <v>732</v>
      </c>
      <c r="D735" s="1691"/>
      <c r="E735" s="1692"/>
      <c r="F735" s="580"/>
      <c r="G735" s="1693"/>
      <c r="H735" s="1694"/>
      <c r="I735" s="1695"/>
      <c r="J735" s="1696"/>
      <c r="K735" s="1697"/>
    </row>
    <row r="736" spans="3:11" x14ac:dyDescent="0.2">
      <c r="C736" s="1673">
        <v>733</v>
      </c>
      <c r="D736" s="1691"/>
      <c r="E736" s="1692"/>
      <c r="F736" s="580"/>
      <c r="G736" s="1693"/>
      <c r="H736" s="1694"/>
      <c r="I736" s="1695"/>
      <c r="J736" s="1696"/>
      <c r="K736" s="1697"/>
    </row>
    <row r="737" spans="3:11" x14ac:dyDescent="0.2">
      <c r="C737" s="1673">
        <v>734</v>
      </c>
      <c r="D737" s="1691"/>
      <c r="E737" s="1692"/>
      <c r="F737" s="580"/>
      <c r="G737" s="1693"/>
      <c r="H737" s="1694"/>
      <c r="I737" s="1695"/>
      <c r="J737" s="1696"/>
      <c r="K737" s="1697"/>
    </row>
    <row r="738" spans="3:11" x14ac:dyDescent="0.2">
      <c r="C738" s="1673">
        <v>735</v>
      </c>
      <c r="D738" s="1691"/>
      <c r="E738" s="1692"/>
      <c r="F738" s="580"/>
      <c r="G738" s="1693"/>
      <c r="H738" s="1694"/>
      <c r="I738" s="1695"/>
      <c r="J738" s="1696"/>
      <c r="K738" s="1697"/>
    </row>
    <row r="739" spans="3:11" x14ac:dyDescent="0.2">
      <c r="C739" s="1673">
        <v>736</v>
      </c>
      <c r="D739" s="1691"/>
      <c r="E739" s="1692"/>
      <c r="F739" s="580"/>
      <c r="G739" s="1693"/>
      <c r="H739" s="1694"/>
      <c r="I739" s="1695"/>
      <c r="J739" s="1696"/>
      <c r="K739" s="1697"/>
    </row>
    <row r="740" spans="3:11" x14ac:dyDescent="0.2">
      <c r="C740" s="1673">
        <v>737</v>
      </c>
      <c r="D740" s="1691"/>
      <c r="E740" s="1692"/>
      <c r="F740" s="580"/>
      <c r="G740" s="1693"/>
      <c r="H740" s="1694"/>
      <c r="I740" s="1695"/>
      <c r="J740" s="1696"/>
      <c r="K740" s="1697"/>
    </row>
    <row r="741" spans="3:11" x14ac:dyDescent="0.2">
      <c r="C741" s="1673">
        <v>738</v>
      </c>
      <c r="D741" s="1691"/>
      <c r="E741" s="1692"/>
      <c r="F741" s="580"/>
      <c r="G741" s="1693"/>
      <c r="H741" s="1694"/>
      <c r="I741" s="1695"/>
      <c r="J741" s="1696"/>
      <c r="K741" s="1697"/>
    </row>
    <row r="742" spans="3:11" x14ac:dyDescent="0.2">
      <c r="C742" s="1673">
        <v>739</v>
      </c>
      <c r="D742" s="1691"/>
      <c r="E742" s="1692"/>
      <c r="F742" s="580"/>
      <c r="G742" s="1693"/>
      <c r="H742" s="1694"/>
      <c r="I742" s="1695"/>
      <c r="J742" s="1696"/>
      <c r="K742" s="1697"/>
    </row>
    <row r="743" spans="3:11" x14ac:dyDescent="0.2">
      <c r="C743" s="1673">
        <v>740</v>
      </c>
      <c r="D743" s="1691"/>
      <c r="E743" s="1692"/>
      <c r="F743" s="580"/>
      <c r="G743" s="1693"/>
      <c r="H743" s="1694"/>
      <c r="I743" s="1695"/>
      <c r="J743" s="1696"/>
      <c r="K743" s="1697"/>
    </row>
    <row r="744" spans="3:11" x14ac:dyDescent="0.2">
      <c r="C744" s="1673">
        <v>741</v>
      </c>
      <c r="D744" s="1691"/>
      <c r="E744" s="1692"/>
      <c r="F744" s="580"/>
      <c r="G744" s="1693"/>
      <c r="H744" s="1694"/>
      <c r="I744" s="1695"/>
      <c r="J744" s="1696"/>
      <c r="K744" s="1697"/>
    </row>
    <row r="745" spans="3:11" x14ac:dyDescent="0.2">
      <c r="C745" s="1673">
        <v>742</v>
      </c>
      <c r="D745" s="1691"/>
      <c r="E745" s="1692"/>
      <c r="F745" s="580"/>
      <c r="G745" s="1693"/>
      <c r="H745" s="1694"/>
      <c r="I745" s="1695"/>
      <c r="J745" s="1696"/>
      <c r="K745" s="1697"/>
    </row>
    <row r="746" spans="3:11" x14ac:dyDescent="0.2">
      <c r="C746" s="1673">
        <v>743</v>
      </c>
      <c r="D746" s="1691"/>
      <c r="E746" s="1692"/>
      <c r="F746" s="580"/>
      <c r="G746" s="1693"/>
      <c r="H746" s="1694"/>
      <c r="I746" s="1695"/>
      <c r="J746" s="1696"/>
      <c r="K746" s="1697"/>
    </row>
    <row r="747" spans="3:11" x14ac:dyDescent="0.2">
      <c r="C747" s="1673">
        <v>744</v>
      </c>
      <c r="D747" s="1691"/>
      <c r="E747" s="1692"/>
      <c r="F747" s="580"/>
      <c r="G747" s="1693"/>
      <c r="H747" s="1694"/>
      <c r="I747" s="1695"/>
      <c r="J747" s="1696"/>
      <c r="K747" s="1697"/>
    </row>
    <row r="748" spans="3:11" x14ac:dyDescent="0.2">
      <c r="C748" s="1673">
        <v>745</v>
      </c>
      <c r="D748" s="1691"/>
      <c r="E748" s="1692"/>
      <c r="F748" s="580"/>
      <c r="G748" s="1693"/>
      <c r="H748" s="1694"/>
      <c r="I748" s="1695"/>
      <c r="J748" s="1696"/>
      <c r="K748" s="1697"/>
    </row>
    <row r="749" spans="3:11" x14ac:dyDescent="0.2">
      <c r="C749" s="1673">
        <v>746</v>
      </c>
      <c r="D749" s="1691"/>
      <c r="E749" s="1692"/>
      <c r="F749" s="580"/>
      <c r="G749" s="1693"/>
      <c r="H749" s="1694"/>
      <c r="I749" s="1695"/>
      <c r="J749" s="1696"/>
      <c r="K749" s="1697"/>
    </row>
    <row r="750" spans="3:11" x14ac:dyDescent="0.2">
      <c r="C750" s="1673">
        <v>747</v>
      </c>
      <c r="D750" s="1691"/>
      <c r="E750" s="1692"/>
      <c r="F750" s="580"/>
      <c r="G750" s="1693"/>
      <c r="H750" s="1694"/>
      <c r="I750" s="1695"/>
      <c r="J750" s="1696"/>
      <c r="K750" s="1697"/>
    </row>
    <row r="751" spans="3:11" x14ac:dyDescent="0.2">
      <c r="C751" s="1673">
        <v>748</v>
      </c>
      <c r="D751" s="1691"/>
      <c r="E751" s="1692"/>
      <c r="F751" s="580"/>
      <c r="G751" s="1693"/>
      <c r="H751" s="1694"/>
      <c r="I751" s="1695"/>
      <c r="J751" s="1696"/>
      <c r="K751" s="1697"/>
    </row>
    <row r="752" spans="3:11" x14ac:dyDescent="0.2">
      <c r="C752" s="1673">
        <v>749</v>
      </c>
      <c r="D752" s="1691"/>
      <c r="E752" s="1692"/>
      <c r="F752" s="580"/>
      <c r="G752" s="1693"/>
      <c r="H752" s="1694"/>
      <c r="I752" s="1695"/>
      <c r="J752" s="1696"/>
      <c r="K752" s="1697"/>
    </row>
    <row r="753" spans="3:11" x14ac:dyDescent="0.2">
      <c r="C753" s="1673">
        <v>750</v>
      </c>
      <c r="D753" s="1691"/>
      <c r="E753" s="1692"/>
      <c r="F753" s="580"/>
      <c r="G753" s="1693"/>
      <c r="H753" s="1694"/>
      <c r="I753" s="1695"/>
      <c r="J753" s="1696"/>
      <c r="K753" s="1697"/>
    </row>
    <row r="754" spans="3:11" x14ac:dyDescent="0.2">
      <c r="C754" s="1673">
        <v>751</v>
      </c>
      <c r="D754" s="1691"/>
      <c r="E754" s="1692"/>
      <c r="F754" s="580"/>
      <c r="G754" s="1693"/>
      <c r="H754" s="1694"/>
      <c r="I754" s="1695"/>
      <c r="J754" s="1696"/>
      <c r="K754" s="1697"/>
    </row>
    <row r="755" spans="3:11" x14ac:dyDescent="0.2">
      <c r="C755" s="1673">
        <v>752</v>
      </c>
      <c r="D755" s="1691"/>
      <c r="E755" s="1692"/>
      <c r="F755" s="580"/>
      <c r="G755" s="1693"/>
      <c r="H755" s="1694"/>
      <c r="I755" s="1695"/>
      <c r="J755" s="1696"/>
      <c r="K755" s="1697"/>
    </row>
    <row r="756" spans="3:11" x14ac:dyDescent="0.2">
      <c r="C756" s="1673">
        <v>753</v>
      </c>
      <c r="D756" s="1691"/>
      <c r="E756" s="1692"/>
      <c r="F756" s="580"/>
      <c r="G756" s="1693"/>
      <c r="H756" s="1694"/>
      <c r="I756" s="1695"/>
      <c r="J756" s="1696"/>
      <c r="K756" s="1697"/>
    </row>
    <row r="757" spans="3:11" x14ac:dyDescent="0.2">
      <c r="C757" s="1673">
        <v>754</v>
      </c>
      <c r="D757" s="1691"/>
      <c r="E757" s="1692"/>
      <c r="F757" s="580"/>
      <c r="G757" s="1693"/>
      <c r="H757" s="1694"/>
      <c r="I757" s="1695"/>
      <c r="J757" s="1696"/>
      <c r="K757" s="1697"/>
    </row>
    <row r="758" spans="3:11" x14ac:dyDescent="0.2">
      <c r="C758" s="1673">
        <v>755</v>
      </c>
      <c r="D758" s="1691"/>
      <c r="E758" s="1692"/>
      <c r="F758" s="580"/>
      <c r="G758" s="1693"/>
      <c r="H758" s="1694"/>
      <c r="I758" s="1695"/>
      <c r="J758" s="1696"/>
      <c r="K758" s="1697"/>
    </row>
    <row r="759" spans="3:11" x14ac:dyDescent="0.2">
      <c r="C759" s="1673">
        <v>756</v>
      </c>
      <c r="D759" s="1691"/>
      <c r="E759" s="1692"/>
      <c r="F759" s="580"/>
      <c r="G759" s="1693"/>
      <c r="H759" s="1694"/>
      <c r="I759" s="1695"/>
      <c r="J759" s="1696"/>
      <c r="K759" s="1697"/>
    </row>
    <row r="760" spans="3:11" x14ac:dyDescent="0.2">
      <c r="C760" s="1673">
        <v>757</v>
      </c>
      <c r="D760" s="1691"/>
      <c r="E760" s="1692"/>
      <c r="F760" s="580"/>
      <c r="G760" s="1693"/>
      <c r="H760" s="1694"/>
      <c r="I760" s="1695"/>
      <c r="J760" s="1696"/>
      <c r="K760" s="1697"/>
    </row>
    <row r="761" spans="3:11" x14ac:dyDescent="0.2">
      <c r="C761" s="1673">
        <v>758</v>
      </c>
      <c r="D761" s="1691"/>
      <c r="E761" s="1692"/>
      <c r="F761" s="580"/>
      <c r="G761" s="1693"/>
      <c r="H761" s="1694"/>
      <c r="I761" s="1695"/>
      <c r="J761" s="1696"/>
      <c r="K761" s="1697"/>
    </row>
    <row r="762" spans="3:11" x14ac:dyDescent="0.2">
      <c r="C762" s="1673">
        <v>759</v>
      </c>
      <c r="D762" s="1691"/>
      <c r="E762" s="1692"/>
      <c r="F762" s="580"/>
      <c r="G762" s="1693"/>
      <c r="H762" s="1694"/>
      <c r="I762" s="1695"/>
      <c r="J762" s="1696"/>
      <c r="K762" s="1697"/>
    </row>
    <row r="763" spans="3:11" x14ac:dyDescent="0.2">
      <c r="C763" s="1673">
        <v>760</v>
      </c>
      <c r="D763" s="1691"/>
      <c r="E763" s="1692"/>
      <c r="F763" s="580"/>
      <c r="G763" s="1693"/>
      <c r="H763" s="1694"/>
      <c r="I763" s="1695"/>
      <c r="J763" s="1696"/>
      <c r="K763" s="1697"/>
    </row>
    <row r="764" spans="3:11" x14ac:dyDescent="0.2">
      <c r="C764" s="1673">
        <v>761</v>
      </c>
      <c r="D764" s="1691"/>
      <c r="E764" s="1692"/>
      <c r="F764" s="580"/>
      <c r="G764" s="1693"/>
      <c r="H764" s="1694"/>
      <c r="I764" s="1695"/>
      <c r="J764" s="1696"/>
      <c r="K764" s="1697"/>
    </row>
    <row r="765" spans="3:11" x14ac:dyDescent="0.2">
      <c r="C765" s="1673">
        <v>762</v>
      </c>
      <c r="D765" s="1691"/>
      <c r="E765" s="1692"/>
      <c r="F765" s="580"/>
      <c r="G765" s="1693"/>
      <c r="H765" s="1694"/>
      <c r="I765" s="1695"/>
      <c r="J765" s="1696"/>
      <c r="K765" s="1697"/>
    </row>
    <row r="766" spans="3:11" x14ac:dyDescent="0.2">
      <c r="C766" s="1673">
        <v>763</v>
      </c>
      <c r="D766" s="1691"/>
      <c r="E766" s="1692"/>
      <c r="F766" s="580"/>
      <c r="G766" s="1693"/>
      <c r="H766" s="1694"/>
      <c r="I766" s="1695"/>
      <c r="J766" s="1696"/>
      <c r="K766" s="1697"/>
    </row>
    <row r="767" spans="3:11" x14ac:dyDescent="0.2">
      <c r="C767" s="1673">
        <v>764</v>
      </c>
      <c r="D767" s="1691"/>
      <c r="E767" s="1692"/>
      <c r="F767" s="580"/>
      <c r="G767" s="1693"/>
      <c r="H767" s="1694"/>
      <c r="I767" s="1695"/>
      <c r="J767" s="1696"/>
      <c r="K767" s="1697"/>
    </row>
    <row r="768" spans="3:11" x14ac:dyDescent="0.2">
      <c r="C768" s="1673">
        <v>765</v>
      </c>
      <c r="D768" s="1691"/>
      <c r="E768" s="1692"/>
      <c r="F768" s="580"/>
      <c r="G768" s="1693"/>
      <c r="H768" s="1694"/>
      <c r="I768" s="1695"/>
      <c r="J768" s="1696"/>
      <c r="K768" s="1697"/>
    </row>
    <row r="769" spans="3:11" x14ac:dyDescent="0.2">
      <c r="C769" s="1673">
        <v>766</v>
      </c>
      <c r="D769" s="1691"/>
      <c r="E769" s="1692"/>
      <c r="F769" s="580"/>
      <c r="G769" s="1693"/>
      <c r="H769" s="1694"/>
      <c r="I769" s="1695"/>
      <c r="J769" s="1696"/>
      <c r="K769" s="1697"/>
    </row>
    <row r="770" spans="3:11" x14ac:dyDescent="0.2">
      <c r="C770" s="1673">
        <v>767</v>
      </c>
      <c r="D770" s="1691"/>
      <c r="E770" s="1692"/>
      <c r="F770" s="580"/>
      <c r="G770" s="1693"/>
      <c r="H770" s="1694"/>
      <c r="I770" s="1695"/>
      <c r="J770" s="1696"/>
      <c r="K770" s="1697"/>
    </row>
    <row r="771" spans="3:11" x14ac:dyDescent="0.2">
      <c r="C771" s="1673">
        <v>768</v>
      </c>
      <c r="D771" s="1691"/>
      <c r="E771" s="1692"/>
      <c r="F771" s="580"/>
      <c r="G771" s="1693"/>
      <c r="H771" s="1694"/>
      <c r="I771" s="1695"/>
      <c r="J771" s="1696"/>
      <c r="K771" s="1697"/>
    </row>
    <row r="772" spans="3:11" x14ac:dyDescent="0.2">
      <c r="C772" s="1673">
        <v>769</v>
      </c>
      <c r="D772" s="1691"/>
      <c r="E772" s="1692"/>
      <c r="F772" s="580"/>
      <c r="G772" s="1693"/>
      <c r="H772" s="1694"/>
      <c r="I772" s="1695"/>
      <c r="J772" s="1696"/>
      <c r="K772" s="1697"/>
    </row>
    <row r="773" spans="3:11" x14ac:dyDescent="0.2">
      <c r="C773" s="1673">
        <v>770</v>
      </c>
      <c r="D773" s="1691"/>
      <c r="E773" s="1692"/>
      <c r="F773" s="580"/>
      <c r="G773" s="1693"/>
      <c r="H773" s="1694"/>
      <c r="I773" s="1695"/>
      <c r="J773" s="1696"/>
      <c r="K773" s="1697"/>
    </row>
    <row r="774" spans="3:11" x14ac:dyDescent="0.2">
      <c r="C774" s="1673">
        <v>771</v>
      </c>
      <c r="D774" s="1691"/>
      <c r="E774" s="1692"/>
      <c r="F774" s="580"/>
      <c r="G774" s="1693"/>
      <c r="H774" s="1694"/>
      <c r="I774" s="1695"/>
      <c r="J774" s="1696"/>
      <c r="K774" s="1697"/>
    </row>
    <row r="775" spans="3:11" x14ac:dyDescent="0.2">
      <c r="C775" s="1673">
        <v>772</v>
      </c>
      <c r="D775" s="1691"/>
      <c r="E775" s="1692"/>
      <c r="F775" s="580"/>
      <c r="G775" s="1693"/>
      <c r="H775" s="1694"/>
      <c r="I775" s="1695"/>
      <c r="J775" s="1696"/>
      <c r="K775" s="1697"/>
    </row>
    <row r="776" spans="3:11" x14ac:dyDescent="0.2">
      <c r="C776" s="1673">
        <v>773</v>
      </c>
      <c r="D776" s="1691"/>
      <c r="E776" s="1692"/>
      <c r="F776" s="580"/>
      <c r="G776" s="1693"/>
      <c r="H776" s="1694"/>
      <c r="I776" s="1695"/>
      <c r="J776" s="1696"/>
      <c r="K776" s="1697"/>
    </row>
    <row r="777" spans="3:11" x14ac:dyDescent="0.2">
      <c r="C777" s="1673">
        <v>774</v>
      </c>
      <c r="D777" s="1691"/>
      <c r="E777" s="1692"/>
      <c r="F777" s="580"/>
      <c r="G777" s="1693"/>
      <c r="H777" s="1694"/>
      <c r="I777" s="1695"/>
      <c r="J777" s="1696"/>
      <c r="K777" s="1697"/>
    </row>
    <row r="778" spans="3:11" x14ac:dyDescent="0.2">
      <c r="C778" s="1673">
        <v>775</v>
      </c>
      <c r="D778" s="1691"/>
      <c r="E778" s="1692"/>
      <c r="F778" s="580"/>
      <c r="G778" s="1693"/>
      <c r="H778" s="1694"/>
      <c r="I778" s="1695"/>
      <c r="J778" s="1696"/>
      <c r="K778" s="1697"/>
    </row>
    <row r="779" spans="3:11" x14ac:dyDescent="0.2">
      <c r="C779" s="1673">
        <v>776</v>
      </c>
      <c r="D779" s="1691"/>
      <c r="E779" s="1692"/>
      <c r="F779" s="580"/>
      <c r="G779" s="1693"/>
      <c r="H779" s="1694"/>
      <c r="I779" s="1695"/>
      <c r="J779" s="1696"/>
      <c r="K779" s="1697"/>
    </row>
    <row r="780" spans="3:11" x14ac:dyDescent="0.2">
      <c r="C780" s="1673">
        <v>777</v>
      </c>
      <c r="D780" s="1691"/>
      <c r="E780" s="1692"/>
      <c r="F780" s="580"/>
      <c r="G780" s="1693"/>
      <c r="H780" s="1694"/>
      <c r="I780" s="1695"/>
      <c r="J780" s="1696"/>
      <c r="K780" s="1697"/>
    </row>
    <row r="781" spans="3:11" x14ac:dyDescent="0.2">
      <c r="C781" s="1673">
        <v>778</v>
      </c>
      <c r="D781" s="1691"/>
      <c r="E781" s="1692"/>
      <c r="F781" s="580"/>
      <c r="G781" s="1693"/>
      <c r="H781" s="1694"/>
      <c r="I781" s="1695"/>
      <c r="J781" s="1696"/>
      <c r="K781" s="1697"/>
    </row>
    <row r="782" spans="3:11" x14ac:dyDescent="0.2">
      <c r="C782" s="1673">
        <v>779</v>
      </c>
      <c r="D782" s="1691"/>
      <c r="E782" s="1692"/>
      <c r="F782" s="580"/>
      <c r="G782" s="1693"/>
      <c r="H782" s="1694"/>
      <c r="I782" s="1695"/>
      <c r="J782" s="1696"/>
      <c r="K782" s="1697"/>
    </row>
    <row r="783" spans="3:11" x14ac:dyDescent="0.2">
      <c r="C783" s="1673">
        <v>780</v>
      </c>
      <c r="D783" s="1691"/>
      <c r="E783" s="1692"/>
      <c r="F783" s="580"/>
      <c r="G783" s="1693"/>
      <c r="H783" s="1694"/>
      <c r="I783" s="1695"/>
      <c r="J783" s="1696"/>
      <c r="K783" s="1697"/>
    </row>
    <row r="784" spans="3:11" x14ac:dyDescent="0.2">
      <c r="C784" s="1673">
        <v>781</v>
      </c>
      <c r="D784" s="1691"/>
      <c r="E784" s="1692"/>
      <c r="F784" s="580"/>
      <c r="G784" s="1693"/>
      <c r="H784" s="1694"/>
      <c r="I784" s="1695"/>
      <c r="J784" s="1696"/>
      <c r="K784" s="1697"/>
    </row>
    <row r="785" spans="3:11" x14ac:dyDescent="0.2">
      <c r="C785" s="1673">
        <v>782</v>
      </c>
      <c r="D785" s="1691"/>
      <c r="E785" s="1692"/>
      <c r="F785" s="580"/>
      <c r="G785" s="1693"/>
      <c r="H785" s="1694"/>
      <c r="I785" s="1695"/>
      <c r="J785" s="1696"/>
      <c r="K785" s="1697"/>
    </row>
    <row r="786" spans="3:11" x14ac:dyDescent="0.2">
      <c r="C786" s="1673">
        <v>783</v>
      </c>
      <c r="D786" s="1691"/>
      <c r="E786" s="1692"/>
      <c r="F786" s="580"/>
      <c r="G786" s="1693"/>
      <c r="H786" s="1694"/>
      <c r="I786" s="1695"/>
      <c r="J786" s="1696"/>
      <c r="K786" s="1697"/>
    </row>
    <row r="787" spans="3:11" x14ac:dyDescent="0.2">
      <c r="C787" s="1673">
        <v>784</v>
      </c>
      <c r="D787" s="1691"/>
      <c r="E787" s="1692"/>
      <c r="F787" s="580"/>
      <c r="G787" s="1693"/>
      <c r="H787" s="1694"/>
      <c r="I787" s="1695"/>
      <c r="J787" s="1696"/>
      <c r="K787" s="1697"/>
    </row>
    <row r="788" spans="3:11" x14ac:dyDescent="0.2">
      <c r="C788" s="1673">
        <v>785</v>
      </c>
      <c r="D788" s="1691"/>
      <c r="E788" s="1692"/>
      <c r="F788" s="580"/>
      <c r="G788" s="1693"/>
      <c r="H788" s="1694"/>
      <c r="I788" s="1695"/>
      <c r="J788" s="1696"/>
      <c r="K788" s="1697"/>
    </row>
    <row r="789" spans="3:11" x14ac:dyDescent="0.2">
      <c r="C789" s="1673">
        <v>786</v>
      </c>
      <c r="D789" s="1691"/>
      <c r="E789" s="1692"/>
      <c r="F789" s="580"/>
      <c r="G789" s="1693"/>
      <c r="H789" s="1694"/>
      <c r="I789" s="1695"/>
      <c r="J789" s="1696"/>
      <c r="K789" s="1697"/>
    </row>
    <row r="790" spans="3:11" x14ac:dyDescent="0.2">
      <c r="C790" s="1673">
        <v>787</v>
      </c>
      <c r="D790" s="1691"/>
      <c r="E790" s="1692"/>
      <c r="F790" s="580"/>
      <c r="G790" s="1693"/>
      <c r="H790" s="1694"/>
      <c r="I790" s="1695"/>
      <c r="J790" s="1696"/>
      <c r="K790" s="1697"/>
    </row>
    <row r="791" spans="3:11" x14ac:dyDescent="0.2">
      <c r="C791" s="1673">
        <v>788</v>
      </c>
      <c r="D791" s="1691"/>
      <c r="E791" s="1692"/>
      <c r="F791" s="580"/>
      <c r="G791" s="1693"/>
      <c r="H791" s="1694"/>
      <c r="I791" s="1695"/>
      <c r="J791" s="1696"/>
      <c r="K791" s="1697"/>
    </row>
    <row r="792" spans="3:11" x14ac:dyDescent="0.2">
      <c r="C792" s="1673">
        <v>789</v>
      </c>
      <c r="D792" s="1691"/>
      <c r="E792" s="1692"/>
      <c r="F792" s="580"/>
      <c r="G792" s="1693"/>
      <c r="H792" s="1694"/>
      <c r="I792" s="1695"/>
      <c r="J792" s="1696"/>
      <c r="K792" s="1697"/>
    </row>
    <row r="793" spans="3:11" x14ac:dyDescent="0.2">
      <c r="C793" s="1673">
        <v>790</v>
      </c>
      <c r="D793" s="1691"/>
      <c r="E793" s="1692"/>
      <c r="F793" s="580"/>
      <c r="G793" s="1693"/>
      <c r="H793" s="1694"/>
      <c r="I793" s="1695"/>
      <c r="J793" s="1696"/>
      <c r="K793" s="1697"/>
    </row>
    <row r="794" spans="3:11" x14ac:dyDescent="0.2">
      <c r="C794" s="1673">
        <v>791</v>
      </c>
      <c r="D794" s="1691"/>
      <c r="E794" s="1692"/>
      <c r="F794" s="580"/>
      <c r="G794" s="1693"/>
      <c r="H794" s="1694"/>
      <c r="I794" s="1695"/>
      <c r="J794" s="1696"/>
      <c r="K794" s="1697"/>
    </row>
    <row r="795" spans="3:11" x14ac:dyDescent="0.2">
      <c r="C795" s="1673">
        <v>792</v>
      </c>
      <c r="D795" s="1691"/>
      <c r="E795" s="1692"/>
      <c r="F795" s="580"/>
      <c r="G795" s="1693"/>
      <c r="H795" s="1694"/>
      <c r="I795" s="1695"/>
      <c r="J795" s="1696"/>
      <c r="K795" s="1697"/>
    </row>
    <row r="796" spans="3:11" x14ac:dyDescent="0.2">
      <c r="C796" s="1673">
        <v>793</v>
      </c>
      <c r="D796" s="1691"/>
      <c r="E796" s="1692"/>
      <c r="F796" s="580"/>
      <c r="G796" s="1693"/>
      <c r="H796" s="1694"/>
      <c r="I796" s="1695"/>
      <c r="J796" s="1696"/>
      <c r="K796" s="1697"/>
    </row>
    <row r="797" spans="3:11" x14ac:dyDescent="0.2">
      <c r="C797" s="1673">
        <v>794</v>
      </c>
      <c r="D797" s="1691"/>
      <c r="E797" s="1692"/>
      <c r="F797" s="580"/>
      <c r="G797" s="1693"/>
      <c r="H797" s="1694"/>
      <c r="I797" s="1695"/>
      <c r="J797" s="1696"/>
      <c r="K797" s="1697"/>
    </row>
    <row r="798" spans="3:11" x14ac:dyDescent="0.2">
      <c r="C798" s="1673">
        <v>795</v>
      </c>
      <c r="D798" s="1691"/>
      <c r="E798" s="1692"/>
      <c r="F798" s="580"/>
      <c r="G798" s="1693"/>
      <c r="H798" s="1694"/>
      <c r="I798" s="1695"/>
      <c r="J798" s="1696"/>
      <c r="K798" s="1697"/>
    </row>
    <row r="799" spans="3:11" x14ac:dyDescent="0.2">
      <c r="C799" s="1673">
        <v>796</v>
      </c>
      <c r="D799" s="1691"/>
      <c r="E799" s="1692"/>
      <c r="F799" s="580"/>
      <c r="G799" s="1693"/>
      <c r="H799" s="1694"/>
      <c r="I799" s="1695"/>
      <c r="J799" s="1696"/>
      <c r="K799" s="1697"/>
    </row>
    <row r="800" spans="3:11" x14ac:dyDescent="0.2">
      <c r="C800" s="1673">
        <v>797</v>
      </c>
      <c r="D800" s="1691"/>
      <c r="E800" s="1692"/>
      <c r="F800" s="580"/>
      <c r="G800" s="1693"/>
      <c r="H800" s="1694"/>
      <c r="I800" s="1695"/>
      <c r="J800" s="1696"/>
      <c r="K800" s="1697"/>
    </row>
    <row r="801" spans="3:11" x14ac:dyDescent="0.2">
      <c r="C801" s="1673">
        <v>798</v>
      </c>
      <c r="D801" s="1691"/>
      <c r="E801" s="1692"/>
      <c r="F801" s="580"/>
      <c r="G801" s="1693"/>
      <c r="H801" s="1694"/>
      <c r="I801" s="1695"/>
      <c r="J801" s="1696"/>
      <c r="K801" s="1697"/>
    </row>
    <row r="802" spans="3:11" x14ac:dyDescent="0.2">
      <c r="C802" s="1673">
        <v>799</v>
      </c>
      <c r="D802" s="1691"/>
      <c r="E802" s="1692"/>
      <c r="F802" s="580"/>
      <c r="G802" s="1693"/>
      <c r="H802" s="1694"/>
      <c r="I802" s="1695"/>
      <c r="J802" s="1696"/>
      <c r="K802" s="1697"/>
    </row>
    <row r="803" spans="3:11" x14ac:dyDescent="0.2">
      <c r="C803" s="1673">
        <v>800</v>
      </c>
      <c r="D803" s="1691"/>
      <c r="E803" s="1692"/>
      <c r="F803" s="580"/>
      <c r="G803" s="1693"/>
      <c r="H803" s="1694"/>
      <c r="I803" s="1695"/>
      <c r="J803" s="1696"/>
      <c r="K803" s="1697"/>
    </row>
    <row r="804" spans="3:11" x14ac:dyDescent="0.2">
      <c r="C804" s="1673">
        <v>801</v>
      </c>
      <c r="D804" s="1691"/>
      <c r="E804" s="1692"/>
      <c r="F804" s="580"/>
      <c r="G804" s="1693"/>
      <c r="H804" s="1694"/>
      <c r="I804" s="1695"/>
      <c r="J804" s="1696"/>
      <c r="K804" s="1697"/>
    </row>
    <row r="805" spans="3:11" x14ac:dyDescent="0.2">
      <c r="C805" s="1673">
        <v>802</v>
      </c>
      <c r="D805" s="1691"/>
      <c r="E805" s="1692"/>
      <c r="F805" s="580"/>
      <c r="G805" s="1693"/>
      <c r="H805" s="1694"/>
      <c r="I805" s="1695"/>
      <c r="J805" s="1696"/>
      <c r="K805" s="1697"/>
    </row>
    <row r="806" spans="3:11" x14ac:dyDescent="0.2">
      <c r="C806" s="1673">
        <v>803</v>
      </c>
      <c r="D806" s="1691"/>
      <c r="E806" s="1692"/>
      <c r="F806" s="580"/>
      <c r="G806" s="1693"/>
      <c r="H806" s="1694"/>
      <c r="I806" s="1695"/>
      <c r="J806" s="1696"/>
      <c r="K806" s="1697"/>
    </row>
    <row r="807" spans="3:11" x14ac:dyDescent="0.2">
      <c r="C807" s="1673">
        <v>804</v>
      </c>
      <c r="D807" s="1691"/>
      <c r="E807" s="1692"/>
      <c r="F807" s="580"/>
      <c r="G807" s="1693"/>
      <c r="H807" s="1694"/>
      <c r="I807" s="1695"/>
      <c r="J807" s="1696"/>
      <c r="K807" s="1697"/>
    </row>
    <row r="808" spans="3:11" x14ac:dyDescent="0.2">
      <c r="C808" s="1673">
        <v>805</v>
      </c>
      <c r="D808" s="1691"/>
      <c r="E808" s="1692"/>
      <c r="F808" s="580"/>
      <c r="G808" s="1693"/>
      <c r="H808" s="1694"/>
      <c r="I808" s="1695"/>
      <c r="J808" s="1696"/>
      <c r="K808" s="1697"/>
    </row>
    <row r="809" spans="3:11" x14ac:dyDescent="0.2">
      <c r="C809" s="1673">
        <v>806</v>
      </c>
      <c r="D809" s="1691"/>
      <c r="E809" s="1692"/>
      <c r="F809" s="580"/>
      <c r="G809" s="1693"/>
      <c r="H809" s="1694"/>
      <c r="I809" s="1695"/>
      <c r="J809" s="1696"/>
      <c r="K809" s="1697"/>
    </row>
    <row r="810" spans="3:11" x14ac:dyDescent="0.2">
      <c r="C810" s="1673">
        <v>807</v>
      </c>
      <c r="D810" s="1691"/>
      <c r="E810" s="1692"/>
      <c r="F810" s="580"/>
      <c r="G810" s="1693"/>
      <c r="H810" s="1694"/>
      <c r="I810" s="1695"/>
      <c r="J810" s="1696"/>
      <c r="K810" s="1697"/>
    </row>
    <row r="811" spans="3:11" x14ac:dyDescent="0.2">
      <c r="C811" s="1673">
        <v>808</v>
      </c>
      <c r="D811" s="1691"/>
      <c r="E811" s="1692"/>
      <c r="F811" s="580"/>
      <c r="G811" s="1693"/>
      <c r="H811" s="1694"/>
      <c r="I811" s="1695"/>
      <c r="J811" s="1696"/>
      <c r="K811" s="1697"/>
    </row>
    <row r="812" spans="3:11" x14ac:dyDescent="0.2">
      <c r="C812" s="1673">
        <v>809</v>
      </c>
      <c r="D812" s="1691"/>
      <c r="E812" s="1692"/>
      <c r="F812" s="580"/>
      <c r="G812" s="1693"/>
      <c r="H812" s="1694"/>
      <c r="I812" s="1695"/>
      <c r="J812" s="1696"/>
      <c r="K812" s="1697"/>
    </row>
    <row r="813" spans="3:11" x14ac:dyDescent="0.2">
      <c r="C813" s="1673">
        <v>810</v>
      </c>
      <c r="D813" s="1691"/>
      <c r="E813" s="1692"/>
      <c r="F813" s="580"/>
      <c r="G813" s="1693"/>
      <c r="H813" s="1694"/>
      <c r="I813" s="1695"/>
      <c r="J813" s="1696"/>
      <c r="K813" s="1697"/>
    </row>
    <row r="814" spans="3:11" x14ac:dyDescent="0.2">
      <c r="C814" s="1673">
        <v>811</v>
      </c>
      <c r="D814" s="1691"/>
      <c r="E814" s="1692"/>
      <c r="F814" s="580"/>
      <c r="G814" s="1693"/>
      <c r="H814" s="1694"/>
      <c r="I814" s="1695"/>
      <c r="J814" s="1696"/>
      <c r="K814" s="1697"/>
    </row>
    <row r="815" spans="3:11" x14ac:dyDescent="0.2">
      <c r="C815" s="1673">
        <v>812</v>
      </c>
      <c r="D815" s="1691"/>
      <c r="E815" s="1692"/>
      <c r="F815" s="580"/>
      <c r="G815" s="1693"/>
      <c r="H815" s="1694"/>
      <c r="I815" s="1695"/>
      <c r="J815" s="1696"/>
      <c r="K815" s="1697"/>
    </row>
    <row r="816" spans="3:11" x14ac:dyDescent="0.2">
      <c r="C816" s="1673">
        <v>813</v>
      </c>
      <c r="D816" s="1691"/>
      <c r="E816" s="1692"/>
      <c r="F816" s="580"/>
      <c r="G816" s="1693"/>
      <c r="H816" s="1694"/>
      <c r="I816" s="1695"/>
      <c r="J816" s="1696"/>
      <c r="K816" s="1697"/>
    </row>
    <row r="817" spans="3:11" x14ac:dyDescent="0.2">
      <c r="C817" s="1673">
        <v>814</v>
      </c>
      <c r="D817" s="1691"/>
      <c r="E817" s="1692"/>
      <c r="F817" s="580"/>
      <c r="G817" s="1693"/>
      <c r="H817" s="1694"/>
      <c r="I817" s="1695"/>
      <c r="J817" s="1696"/>
      <c r="K817" s="1697"/>
    </row>
    <row r="818" spans="3:11" x14ac:dyDescent="0.2">
      <c r="C818" s="1673">
        <v>815</v>
      </c>
      <c r="D818" s="1691"/>
      <c r="E818" s="1692"/>
      <c r="F818" s="580"/>
      <c r="G818" s="1693"/>
      <c r="H818" s="1694"/>
      <c r="I818" s="1695"/>
      <c r="J818" s="1696"/>
      <c r="K818" s="1697"/>
    </row>
    <row r="819" spans="3:11" x14ac:dyDescent="0.2">
      <c r="C819" s="1673">
        <v>816</v>
      </c>
      <c r="D819" s="1691"/>
      <c r="E819" s="1692"/>
      <c r="F819" s="580"/>
      <c r="G819" s="1693"/>
      <c r="H819" s="1694"/>
      <c r="I819" s="1695"/>
      <c r="J819" s="1696"/>
      <c r="K819" s="1697"/>
    </row>
    <row r="820" spans="3:11" x14ac:dyDescent="0.2">
      <c r="C820" s="1673">
        <v>817</v>
      </c>
      <c r="D820" s="1691"/>
      <c r="E820" s="1692"/>
      <c r="F820" s="580"/>
      <c r="G820" s="1693"/>
      <c r="H820" s="1694"/>
      <c r="I820" s="1695"/>
      <c r="J820" s="1696"/>
      <c r="K820" s="1697"/>
    </row>
    <row r="821" spans="3:11" x14ac:dyDescent="0.2">
      <c r="C821" s="1673">
        <v>818</v>
      </c>
      <c r="D821" s="1691"/>
      <c r="E821" s="1692"/>
      <c r="F821" s="580"/>
      <c r="G821" s="1693"/>
      <c r="H821" s="1694"/>
      <c r="I821" s="1695"/>
      <c r="J821" s="1696"/>
      <c r="K821" s="1697"/>
    </row>
    <row r="822" spans="3:11" x14ac:dyDescent="0.2">
      <c r="C822" s="1673">
        <v>819</v>
      </c>
      <c r="D822" s="1691"/>
      <c r="E822" s="1692"/>
      <c r="F822" s="580"/>
      <c r="G822" s="1693"/>
      <c r="H822" s="1694"/>
      <c r="I822" s="1695"/>
      <c r="J822" s="1696"/>
      <c r="K822" s="1697"/>
    </row>
    <row r="823" spans="3:11" x14ac:dyDescent="0.2">
      <c r="C823" s="1673">
        <v>820</v>
      </c>
      <c r="D823" s="1691"/>
      <c r="E823" s="1692"/>
      <c r="F823" s="580"/>
      <c r="G823" s="1693"/>
      <c r="H823" s="1694"/>
      <c r="I823" s="1695"/>
      <c r="J823" s="1696"/>
      <c r="K823" s="1697"/>
    </row>
    <row r="824" spans="3:11" x14ac:dyDescent="0.2">
      <c r="C824" s="1673">
        <v>821</v>
      </c>
      <c r="D824" s="1691"/>
      <c r="E824" s="1692"/>
      <c r="F824" s="580"/>
      <c r="G824" s="1693"/>
      <c r="H824" s="1694"/>
      <c r="I824" s="1695"/>
      <c r="J824" s="1696"/>
      <c r="K824" s="1697"/>
    </row>
    <row r="825" spans="3:11" x14ac:dyDescent="0.2">
      <c r="C825" s="1673">
        <v>822</v>
      </c>
      <c r="D825" s="1691"/>
      <c r="E825" s="1692"/>
      <c r="F825" s="580"/>
      <c r="G825" s="1693"/>
      <c r="H825" s="1694"/>
      <c r="I825" s="1695"/>
      <c r="J825" s="1696"/>
      <c r="K825" s="1697"/>
    </row>
    <row r="826" spans="3:11" x14ac:dyDescent="0.2">
      <c r="C826" s="1673">
        <v>823</v>
      </c>
      <c r="D826" s="1691"/>
      <c r="E826" s="1692"/>
      <c r="F826" s="580"/>
      <c r="G826" s="1693"/>
      <c r="H826" s="1694"/>
      <c r="I826" s="1695"/>
      <c r="J826" s="1696"/>
      <c r="K826" s="1697"/>
    </row>
    <row r="827" spans="3:11" x14ac:dyDescent="0.2">
      <c r="C827" s="1673">
        <v>824</v>
      </c>
      <c r="D827" s="1691"/>
      <c r="E827" s="1692"/>
      <c r="F827" s="580"/>
      <c r="G827" s="1693"/>
      <c r="H827" s="1694"/>
      <c r="I827" s="1695"/>
      <c r="J827" s="1696"/>
      <c r="K827" s="1697"/>
    </row>
    <row r="828" spans="3:11" x14ac:dyDescent="0.2">
      <c r="C828" s="1673">
        <v>825</v>
      </c>
      <c r="D828" s="1691"/>
      <c r="E828" s="1692"/>
      <c r="F828" s="580"/>
      <c r="G828" s="1693"/>
      <c r="H828" s="1694"/>
      <c r="I828" s="1695"/>
      <c r="J828" s="1696"/>
      <c r="K828" s="1697"/>
    </row>
    <row r="829" spans="3:11" x14ac:dyDescent="0.2">
      <c r="C829" s="1673">
        <v>826</v>
      </c>
      <c r="D829" s="1691"/>
      <c r="E829" s="1692"/>
      <c r="F829" s="580"/>
      <c r="G829" s="1693"/>
      <c r="H829" s="1694"/>
      <c r="I829" s="1695"/>
      <c r="J829" s="1696"/>
      <c r="K829" s="1697"/>
    </row>
    <row r="830" spans="3:11" x14ac:dyDescent="0.2">
      <c r="C830" s="1673">
        <v>827</v>
      </c>
      <c r="D830" s="1691"/>
      <c r="E830" s="1692"/>
      <c r="F830" s="580"/>
      <c r="G830" s="1693"/>
      <c r="H830" s="1694"/>
      <c r="I830" s="1695"/>
      <c r="J830" s="1696"/>
      <c r="K830" s="1697"/>
    </row>
    <row r="831" spans="3:11" x14ac:dyDescent="0.2">
      <c r="C831" s="1673">
        <v>828</v>
      </c>
      <c r="D831" s="1691"/>
      <c r="E831" s="1692"/>
      <c r="F831" s="580"/>
      <c r="G831" s="1693"/>
      <c r="H831" s="1694"/>
      <c r="I831" s="1695"/>
      <c r="J831" s="1696"/>
      <c r="K831" s="1697"/>
    </row>
    <row r="832" spans="3:11" x14ac:dyDescent="0.2">
      <c r="C832" s="1673">
        <v>829</v>
      </c>
      <c r="D832" s="1691"/>
      <c r="E832" s="1692"/>
      <c r="F832" s="580"/>
      <c r="G832" s="1693"/>
      <c r="H832" s="1694"/>
      <c r="I832" s="1695"/>
      <c r="J832" s="1696"/>
      <c r="K832" s="1697"/>
    </row>
    <row r="833" spans="3:11" x14ac:dyDescent="0.2">
      <c r="C833" s="1673">
        <v>830</v>
      </c>
      <c r="D833" s="1691"/>
      <c r="E833" s="1692"/>
      <c r="F833" s="580"/>
      <c r="G833" s="1693"/>
      <c r="H833" s="1694"/>
      <c r="I833" s="1695"/>
      <c r="J833" s="1696"/>
      <c r="K833" s="1697"/>
    </row>
    <row r="834" spans="3:11" x14ac:dyDescent="0.2">
      <c r="C834" s="1673">
        <v>831</v>
      </c>
      <c r="D834" s="1691"/>
      <c r="E834" s="1692"/>
      <c r="F834" s="580"/>
      <c r="G834" s="1693"/>
      <c r="H834" s="1694"/>
      <c r="I834" s="1695"/>
      <c r="J834" s="1696"/>
      <c r="K834" s="1697"/>
    </row>
    <row r="835" spans="3:11" x14ac:dyDescent="0.2">
      <c r="C835" s="1673">
        <v>832</v>
      </c>
      <c r="D835" s="1691"/>
      <c r="E835" s="1692"/>
      <c r="F835" s="580"/>
      <c r="G835" s="1693"/>
      <c r="H835" s="1694"/>
      <c r="I835" s="1695"/>
      <c r="J835" s="1696"/>
      <c r="K835" s="1697"/>
    </row>
    <row r="836" spans="3:11" x14ac:dyDescent="0.2">
      <c r="C836" s="1673">
        <v>833</v>
      </c>
      <c r="D836" s="1691"/>
      <c r="E836" s="1692"/>
      <c r="F836" s="580"/>
      <c r="G836" s="1693"/>
      <c r="H836" s="1694"/>
      <c r="I836" s="1695"/>
      <c r="J836" s="1696"/>
      <c r="K836" s="1697"/>
    </row>
    <row r="837" spans="3:11" x14ac:dyDescent="0.2">
      <c r="C837" s="1673">
        <v>834</v>
      </c>
      <c r="D837" s="1691"/>
      <c r="E837" s="1692"/>
      <c r="F837" s="580"/>
      <c r="G837" s="1693"/>
      <c r="H837" s="1694"/>
      <c r="I837" s="1695"/>
      <c r="J837" s="1696"/>
      <c r="K837" s="1697"/>
    </row>
    <row r="838" spans="3:11" x14ac:dyDescent="0.2">
      <c r="C838" s="1673">
        <v>835</v>
      </c>
      <c r="D838" s="1691"/>
      <c r="E838" s="1692"/>
      <c r="F838" s="580"/>
      <c r="G838" s="1693"/>
      <c r="H838" s="1694"/>
      <c r="I838" s="1695"/>
      <c r="J838" s="1696"/>
      <c r="K838" s="1697"/>
    </row>
    <row r="839" spans="3:11" x14ac:dyDescent="0.2">
      <c r="C839" s="1673">
        <v>836</v>
      </c>
      <c r="D839" s="1691"/>
      <c r="E839" s="1692"/>
      <c r="F839" s="580"/>
      <c r="G839" s="1693"/>
      <c r="H839" s="1694"/>
      <c r="I839" s="1695"/>
      <c r="J839" s="1696"/>
      <c r="K839" s="1697"/>
    </row>
    <row r="840" spans="3:11" x14ac:dyDescent="0.2">
      <c r="C840" s="1673">
        <v>837</v>
      </c>
      <c r="D840" s="1691"/>
      <c r="E840" s="1692"/>
      <c r="F840" s="580"/>
      <c r="G840" s="1693"/>
      <c r="H840" s="1694"/>
      <c r="I840" s="1695"/>
      <c r="J840" s="1696"/>
      <c r="K840" s="1697"/>
    </row>
    <row r="841" spans="3:11" x14ac:dyDescent="0.2">
      <c r="C841" s="1673">
        <v>838</v>
      </c>
      <c r="D841" s="1691"/>
      <c r="E841" s="1692"/>
      <c r="F841" s="580"/>
      <c r="G841" s="1693"/>
      <c r="H841" s="1694"/>
      <c r="I841" s="1695"/>
      <c r="J841" s="1696"/>
      <c r="K841" s="1697"/>
    </row>
    <row r="842" spans="3:11" x14ac:dyDescent="0.2">
      <c r="C842" s="1673">
        <v>839</v>
      </c>
      <c r="D842" s="1691"/>
      <c r="E842" s="1692"/>
      <c r="F842" s="580"/>
      <c r="G842" s="1693"/>
      <c r="H842" s="1694"/>
      <c r="I842" s="1695"/>
      <c r="J842" s="1696"/>
      <c r="K842" s="1697"/>
    </row>
    <row r="843" spans="3:11" x14ac:dyDescent="0.2">
      <c r="C843" s="1673">
        <v>840</v>
      </c>
      <c r="D843" s="1691"/>
      <c r="E843" s="1692"/>
      <c r="F843" s="580"/>
      <c r="G843" s="1693"/>
      <c r="H843" s="1694"/>
      <c r="I843" s="1695"/>
      <c r="J843" s="1696"/>
      <c r="K843" s="1697"/>
    </row>
    <row r="844" spans="3:11" x14ac:dyDescent="0.2">
      <c r="C844" s="1673">
        <v>841</v>
      </c>
      <c r="D844" s="1691"/>
      <c r="E844" s="1692"/>
      <c r="F844" s="580"/>
      <c r="G844" s="1693"/>
      <c r="H844" s="1694"/>
      <c r="I844" s="1695"/>
      <c r="J844" s="1696"/>
      <c r="K844" s="1697"/>
    </row>
    <row r="845" spans="3:11" x14ac:dyDescent="0.2">
      <c r="C845" s="1673">
        <v>842</v>
      </c>
      <c r="D845" s="1691"/>
      <c r="E845" s="1692"/>
      <c r="F845" s="580"/>
      <c r="G845" s="1693"/>
      <c r="H845" s="1694"/>
      <c r="I845" s="1695"/>
      <c r="J845" s="1696"/>
      <c r="K845" s="1697"/>
    </row>
    <row r="846" spans="3:11" x14ac:dyDescent="0.2">
      <c r="C846" s="1673">
        <v>843</v>
      </c>
      <c r="D846" s="1691"/>
      <c r="E846" s="1692"/>
      <c r="F846" s="580"/>
      <c r="G846" s="1693"/>
      <c r="H846" s="1694"/>
      <c r="I846" s="1695"/>
      <c r="J846" s="1696"/>
      <c r="K846" s="1697"/>
    </row>
    <row r="847" spans="3:11" x14ac:dyDescent="0.2">
      <c r="C847" s="1673">
        <v>844</v>
      </c>
      <c r="D847" s="1691"/>
      <c r="E847" s="1692"/>
      <c r="F847" s="580"/>
      <c r="G847" s="1693"/>
      <c r="H847" s="1694"/>
      <c r="I847" s="1695"/>
      <c r="J847" s="1696"/>
      <c r="K847" s="1697"/>
    </row>
    <row r="848" spans="3:11" x14ac:dyDescent="0.2">
      <c r="C848" s="1673">
        <v>845</v>
      </c>
      <c r="D848" s="1691"/>
      <c r="E848" s="1692"/>
      <c r="F848" s="580"/>
      <c r="G848" s="1693"/>
      <c r="H848" s="1694"/>
      <c r="I848" s="1695"/>
      <c r="J848" s="1696"/>
      <c r="K848" s="1697"/>
    </row>
    <row r="849" spans="3:11" x14ac:dyDescent="0.2">
      <c r="C849" s="1673">
        <v>846</v>
      </c>
      <c r="D849" s="1691"/>
      <c r="E849" s="1692"/>
      <c r="F849" s="580"/>
      <c r="G849" s="1693"/>
      <c r="H849" s="1694"/>
      <c r="I849" s="1695"/>
      <c r="J849" s="1696"/>
      <c r="K849" s="1697"/>
    </row>
    <row r="850" spans="3:11" x14ac:dyDescent="0.2">
      <c r="C850" s="1673">
        <v>847</v>
      </c>
      <c r="D850" s="1691"/>
      <c r="E850" s="1692"/>
      <c r="F850" s="580"/>
      <c r="G850" s="1693"/>
      <c r="H850" s="1694"/>
      <c r="I850" s="1695"/>
      <c r="J850" s="1696"/>
      <c r="K850" s="1697"/>
    </row>
    <row r="851" spans="3:11" x14ac:dyDescent="0.2">
      <c r="C851" s="1673">
        <v>848</v>
      </c>
      <c r="D851" s="1691"/>
      <c r="E851" s="1692"/>
      <c r="F851" s="580"/>
      <c r="G851" s="1693"/>
      <c r="H851" s="1694"/>
      <c r="I851" s="1695"/>
      <c r="J851" s="1696"/>
      <c r="K851" s="1697"/>
    </row>
    <row r="852" spans="3:11" x14ac:dyDescent="0.2">
      <c r="C852" s="1673">
        <v>849</v>
      </c>
      <c r="D852" s="1691"/>
      <c r="E852" s="1692"/>
      <c r="F852" s="580"/>
      <c r="G852" s="1693"/>
      <c r="H852" s="1694"/>
      <c r="I852" s="1695"/>
      <c r="J852" s="1696"/>
      <c r="K852" s="1697"/>
    </row>
    <row r="853" spans="3:11" x14ac:dyDescent="0.2">
      <c r="C853" s="1673">
        <v>850</v>
      </c>
      <c r="D853" s="1691"/>
      <c r="E853" s="1692"/>
      <c r="F853" s="580"/>
      <c r="G853" s="1693"/>
      <c r="H853" s="1694"/>
      <c r="I853" s="1695"/>
      <c r="J853" s="1696"/>
      <c r="K853" s="1697"/>
    </row>
    <row r="854" spans="3:11" x14ac:dyDescent="0.2">
      <c r="C854" s="1673">
        <v>851</v>
      </c>
      <c r="D854" s="1691"/>
      <c r="E854" s="1692"/>
      <c r="F854" s="580"/>
      <c r="G854" s="1693"/>
      <c r="H854" s="1694"/>
      <c r="I854" s="1695"/>
      <c r="J854" s="1696"/>
      <c r="K854" s="1697"/>
    </row>
    <row r="855" spans="3:11" x14ac:dyDescent="0.2">
      <c r="C855" s="1673">
        <v>852</v>
      </c>
      <c r="D855" s="1691"/>
      <c r="E855" s="1692"/>
      <c r="F855" s="580"/>
      <c r="G855" s="1693"/>
      <c r="H855" s="1694"/>
      <c r="I855" s="1695"/>
      <c r="J855" s="1696"/>
      <c r="K855" s="1697"/>
    </row>
    <row r="856" spans="3:11" x14ac:dyDescent="0.2">
      <c r="C856" s="1673">
        <v>853</v>
      </c>
      <c r="D856" s="1691"/>
      <c r="E856" s="1692"/>
      <c r="F856" s="580"/>
      <c r="G856" s="1693"/>
      <c r="H856" s="1694"/>
      <c r="I856" s="1695"/>
      <c r="J856" s="1696"/>
      <c r="K856" s="1697"/>
    </row>
    <row r="857" spans="3:11" x14ac:dyDescent="0.2">
      <c r="C857" s="1673">
        <v>854</v>
      </c>
      <c r="D857" s="1691"/>
      <c r="E857" s="1692"/>
      <c r="F857" s="580"/>
      <c r="G857" s="1693"/>
      <c r="H857" s="1694"/>
      <c r="I857" s="1695"/>
      <c r="J857" s="1696"/>
      <c r="K857" s="1697"/>
    </row>
    <row r="858" spans="3:11" x14ac:dyDescent="0.2">
      <c r="C858" s="1673">
        <v>855</v>
      </c>
      <c r="D858" s="1691"/>
      <c r="E858" s="1692"/>
      <c r="F858" s="580"/>
      <c r="G858" s="1693"/>
      <c r="H858" s="1694"/>
      <c r="I858" s="1695"/>
      <c r="J858" s="1696"/>
      <c r="K858" s="1697"/>
    </row>
    <row r="859" spans="3:11" ht="16" x14ac:dyDescent="0.2">
      <c r="C859" s="1673">
        <v>856</v>
      </c>
      <c r="D859" s="1691" t="s">
        <v>1025</v>
      </c>
      <c r="E859" s="1692" t="s">
        <v>1026</v>
      </c>
      <c r="F859" s="580" t="s">
        <v>1026</v>
      </c>
      <c r="G859" s="1693" t="s">
        <v>1026</v>
      </c>
      <c r="H859" s="1694" t="s">
        <v>1026</v>
      </c>
      <c r="I859" s="1695" t="s">
        <v>1026</v>
      </c>
      <c r="J859" s="1696" t="s">
        <v>1026</v>
      </c>
      <c r="K859" s="1697" t="s">
        <v>1026</v>
      </c>
    </row>
    <row r="860" spans="3:11" ht="16" x14ac:dyDescent="0.2">
      <c r="C860" s="1673">
        <v>857</v>
      </c>
      <c r="D860" s="1691" t="s">
        <v>1027</v>
      </c>
      <c r="E860" s="1692" t="s">
        <v>1027</v>
      </c>
      <c r="F860" s="580" t="s">
        <v>1027</v>
      </c>
      <c r="G860" s="1693" t="s">
        <v>1027</v>
      </c>
      <c r="H860" s="1693" t="s">
        <v>1027</v>
      </c>
      <c r="I860" s="1693" t="s">
        <v>1027</v>
      </c>
      <c r="J860" s="1693" t="s">
        <v>1027</v>
      </c>
      <c r="K860" s="1693" t="s">
        <v>1027</v>
      </c>
    </row>
    <row r="861" spans="3:11" ht="16" x14ac:dyDescent="0.2">
      <c r="C861" s="1673">
        <v>858</v>
      </c>
      <c r="D861" s="1691" t="s">
        <v>1028</v>
      </c>
      <c r="E861" s="1692" t="s">
        <v>1029</v>
      </c>
      <c r="F861" s="580" t="s">
        <v>1028</v>
      </c>
      <c r="G861" s="1693" t="s">
        <v>1028</v>
      </c>
      <c r="H861" s="1693" t="s">
        <v>1028</v>
      </c>
      <c r="I861" s="1693" t="s">
        <v>1028</v>
      </c>
      <c r="J861" s="1693" t="s">
        <v>1028</v>
      </c>
      <c r="K861" s="1693" t="s">
        <v>1028</v>
      </c>
    </row>
  </sheetData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4978E-1598-4405-BFDD-E86784B4B059}">
  <dimension ref="A1:X31"/>
  <sheetViews>
    <sheetView zoomScale="85" zoomScaleNormal="85" workbookViewId="0">
      <selection activeCell="R20" sqref="R20"/>
    </sheetView>
  </sheetViews>
  <sheetFormatPr baseColWidth="10" defaultColWidth="8.83203125" defaultRowHeight="13" x14ac:dyDescent="0.15"/>
  <sheetData>
    <row r="1" spans="1:24" s="561" customFormat="1" ht="70" x14ac:dyDescent="0.15">
      <c r="A1" s="582" t="str" cm="1">
        <f t="array" aca="1" ref="A1" ca="1">MID(CELL("filename",$A$1),FIND("]",CELL("filename",$A$1))+1,255)</f>
        <v>Syötä maat KIRJASTOLINKIT!_ENT</v>
      </c>
    </row>
    <row r="2" spans="1:24" x14ac:dyDescent="0.15">
      <c r="A2" s="583" t="s">
        <v>1030</v>
      </c>
      <c r="B2" s="584" t="str">
        <f>INDEX('Kirjasto (maat)_ENT'!$D$4:$K$28,ROW('Kirjasto (maat)_ENT'!$D4)-3,'Kirjasto (maat)_ENT'!$B$4)</f>
        <v>Finland</v>
      </c>
    </row>
    <row r="3" spans="1:24" x14ac:dyDescent="0.15">
      <c r="A3" s="583" t="s">
        <v>1031</v>
      </c>
      <c r="B3" s="584"/>
    </row>
    <row r="4" spans="1:24" ht="14" thickBot="1" x14ac:dyDescent="0.2">
      <c r="A4" s="583" t="s">
        <v>1032</v>
      </c>
      <c r="B4" s="584"/>
    </row>
    <row r="5" spans="1:24" x14ac:dyDescent="0.15">
      <c r="A5" s="583" t="s">
        <v>1033</v>
      </c>
      <c r="B5" s="584"/>
      <c r="R5" s="228" t="s">
        <v>1101</v>
      </c>
      <c r="S5" s="230"/>
      <c r="T5" s="230"/>
      <c r="U5" s="230"/>
      <c r="V5" s="230"/>
      <c r="W5" s="230"/>
      <c r="X5" s="231"/>
    </row>
    <row r="6" spans="1:24" x14ac:dyDescent="0.15">
      <c r="A6" s="583" t="s">
        <v>1034</v>
      </c>
      <c r="B6" s="584"/>
      <c r="R6" s="232"/>
      <c r="X6" s="364"/>
    </row>
    <row r="7" spans="1:24" x14ac:dyDescent="0.15">
      <c r="A7" s="583" t="s">
        <v>1035</v>
      </c>
      <c r="B7" s="584"/>
      <c r="R7" s="232"/>
      <c r="X7" s="364"/>
    </row>
    <row r="8" spans="1:24" x14ac:dyDescent="0.15">
      <c r="A8" s="583" t="s">
        <v>1036</v>
      </c>
      <c r="B8" s="584"/>
      <c r="R8" s="232"/>
      <c r="X8" s="364"/>
    </row>
    <row r="9" spans="1:24" x14ac:dyDescent="0.15">
      <c r="A9" s="583" t="s">
        <v>1037</v>
      </c>
      <c r="B9" s="584"/>
      <c r="R9" s="232"/>
      <c r="X9" s="364"/>
    </row>
    <row r="10" spans="1:24" x14ac:dyDescent="0.15">
      <c r="A10" s="583" t="s">
        <v>1038</v>
      </c>
      <c r="B10" s="584"/>
      <c r="R10" s="232"/>
      <c r="X10" s="364"/>
    </row>
    <row r="11" spans="1:24" x14ac:dyDescent="0.15">
      <c r="A11" s="583" t="s">
        <v>1039</v>
      </c>
      <c r="B11" s="584"/>
      <c r="R11" s="232"/>
      <c r="X11" s="364"/>
    </row>
    <row r="12" spans="1:24" x14ac:dyDescent="0.15">
      <c r="A12" s="583" t="s">
        <v>1040</v>
      </c>
      <c r="B12" s="584"/>
      <c r="R12" s="232"/>
      <c r="X12" s="364"/>
    </row>
    <row r="13" spans="1:24" x14ac:dyDescent="0.15">
      <c r="A13" s="583" t="s">
        <v>1041</v>
      </c>
      <c r="B13" s="584"/>
      <c r="R13" s="232"/>
      <c r="X13" s="364"/>
    </row>
    <row r="14" spans="1:24" x14ac:dyDescent="0.15">
      <c r="A14" s="583" t="s">
        <v>1042</v>
      </c>
      <c r="B14" s="584"/>
      <c r="R14" s="232"/>
      <c r="X14" s="364"/>
    </row>
    <row r="15" spans="1:24" x14ac:dyDescent="0.15">
      <c r="A15" s="583" t="s">
        <v>1043</v>
      </c>
      <c r="B15" s="584"/>
      <c r="R15" s="232"/>
      <c r="X15" s="364"/>
    </row>
    <row r="16" spans="1:24" x14ac:dyDescent="0.15">
      <c r="A16" s="583" t="s">
        <v>1044</v>
      </c>
      <c r="B16" s="584"/>
      <c r="R16" s="232"/>
      <c r="X16" s="364"/>
    </row>
    <row r="17" spans="1:24" x14ac:dyDescent="0.15">
      <c r="A17" s="583" t="s">
        <v>1045</v>
      </c>
      <c r="B17" s="584"/>
      <c r="R17" s="232"/>
      <c r="X17" s="364"/>
    </row>
    <row r="18" spans="1:24" x14ac:dyDescent="0.15">
      <c r="A18" s="583" t="s">
        <v>1046</v>
      </c>
      <c r="B18" s="584"/>
      <c r="R18" s="232"/>
      <c r="X18" s="364"/>
    </row>
    <row r="19" spans="1:24" x14ac:dyDescent="0.15">
      <c r="A19" s="583" t="s">
        <v>1047</v>
      </c>
      <c r="B19" s="584"/>
      <c r="R19" s="232"/>
      <c r="X19" s="364"/>
    </row>
    <row r="20" spans="1:24" x14ac:dyDescent="0.15">
      <c r="A20" s="583" t="s">
        <v>1048</v>
      </c>
      <c r="B20" s="584"/>
      <c r="R20" s="232"/>
      <c r="X20" s="364"/>
    </row>
    <row r="21" spans="1:24" x14ac:dyDescent="0.15">
      <c r="A21" s="583" t="s">
        <v>1049</v>
      </c>
      <c r="B21" s="584"/>
      <c r="R21" s="232"/>
      <c r="X21" s="364"/>
    </row>
    <row r="22" spans="1:24" x14ac:dyDescent="0.15">
      <c r="A22" s="583" t="s">
        <v>1050</v>
      </c>
      <c r="B22" s="584"/>
      <c r="R22" s="232"/>
      <c r="X22" s="364"/>
    </row>
    <row r="23" spans="1:24" x14ac:dyDescent="0.15">
      <c r="A23" s="583" t="s">
        <v>1051</v>
      </c>
      <c r="B23" s="584"/>
      <c r="R23" s="232"/>
      <c r="X23" s="364"/>
    </row>
    <row r="24" spans="1:24" x14ac:dyDescent="0.15">
      <c r="A24" s="583" t="s">
        <v>1052</v>
      </c>
      <c r="B24" s="584"/>
      <c r="R24" s="232"/>
      <c r="X24" s="364"/>
    </row>
    <row r="25" spans="1:24" x14ac:dyDescent="0.15">
      <c r="A25" s="583" t="s">
        <v>1053</v>
      </c>
      <c r="B25" s="584"/>
      <c r="R25" s="232"/>
      <c r="X25" s="364"/>
    </row>
    <row r="26" spans="1:24" ht="14" thickBot="1" x14ac:dyDescent="0.2">
      <c r="A26" s="583" t="s">
        <v>1054</v>
      </c>
      <c r="B26" s="584"/>
      <c r="R26" s="236"/>
      <c r="S26" s="238"/>
      <c r="T26" s="238"/>
      <c r="U26" s="238"/>
      <c r="V26" s="238"/>
      <c r="W26" s="238"/>
      <c r="X26" s="239"/>
    </row>
    <row r="29" spans="1:24" x14ac:dyDescent="0.15">
      <c r="A29" s="2" t="s">
        <v>1055</v>
      </c>
    </row>
    <row r="31" spans="1:24" ht="18" x14ac:dyDescent="0.2">
      <c r="A31" s="585" t="str">
        <f ca="1">_xlfn.CONCAT("Käytettävä kaavaa, joka hakee arvot taulukosta: ",'Kirjasto (maat)_ENT'!B1)</f>
        <v>Käytettävä kaavaa, joka hakee arvot taulukosta: Kirjasto (maat)_ENT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F62EF-190C-4D6C-BA10-2EAC970B6A90}">
  <dimension ref="A1:Z44"/>
  <sheetViews>
    <sheetView workbookViewId="0">
      <selection activeCell="R20" sqref="R20"/>
    </sheetView>
  </sheetViews>
  <sheetFormatPr baseColWidth="10" defaultColWidth="8.83203125" defaultRowHeight="13" x14ac:dyDescent="0.15"/>
  <cols>
    <col min="1" max="1" width="10.83203125" style="2" customWidth="1"/>
    <col min="2" max="26" width="9.6640625" customWidth="1"/>
  </cols>
  <sheetData>
    <row r="1" spans="1:26" s="582" customFormat="1" ht="56" x14ac:dyDescent="0.15">
      <c r="A1" s="582" t="str" cm="1">
        <f t="array" aca="1" ref="A1" ca="1">MID(CELL("filename",$A$1),FIND("]",CELL("filename",$A$1))+1,255)</f>
        <v>Syötä kaupungit KIRJASTOLIN_ENT</v>
      </c>
      <c r="B1" s="582" t="str">
        <f>IF(ISBLANK('Syötä maat KIRJASTOLINKIT!_ENT'!$B$2),'Syötä maat KIRJASTOLINKIT!_ENT'!$A$2,'Syötä maat KIRJASTOLINKIT!_ENT'!$B$2)</f>
        <v>Finland</v>
      </c>
      <c r="C1" s="582" t="str">
        <f>IF(ISBLANK('Syötä maat KIRJASTOLINKIT!_ENT'!$B$3),'Syötä maat KIRJASTOLINKIT!_ENT'!$A$3,'Syötä maat KIRJASTOLINKIT!_ENT'!$B$3)</f>
        <v>MAA 2</v>
      </c>
      <c r="D1" s="582" t="str">
        <f>IF(ISBLANK('Syötä maat KIRJASTOLINKIT!_ENT'!$B$4),'Syötä maat KIRJASTOLINKIT!_ENT'!$A$4,'Syötä maat KIRJASTOLINKIT!_ENT'!$B$4)</f>
        <v>MAA 3</v>
      </c>
      <c r="E1" s="582" t="str">
        <f>IF(ISBLANK('Syötä maat KIRJASTOLINKIT!_ENT'!$B$5),'Syötä maat KIRJASTOLINKIT!_ENT'!$A$5,'Syötä maat KIRJASTOLINKIT!_ENT'!$B$5)</f>
        <v>MAA 4</v>
      </c>
      <c r="F1" s="582" t="str">
        <f>IF(ISBLANK('Syötä maat KIRJASTOLINKIT!_ENT'!$B$6),'Syötä maat KIRJASTOLINKIT!_ENT'!$A$6,'Syötä maat KIRJASTOLINKIT!_ENT'!$B$6)</f>
        <v>MAA 5</v>
      </c>
      <c r="G1" s="582" t="str">
        <f>IF(ISBLANK('Syötä maat KIRJASTOLINKIT!_ENT'!$B$7),'Syötä maat KIRJASTOLINKIT!_ENT'!$A$7,'Syötä maat KIRJASTOLINKIT!_ENT'!$B$7)</f>
        <v>MAA 6</v>
      </c>
      <c r="H1" s="582" t="str">
        <f>IF(ISBLANK('Syötä maat KIRJASTOLINKIT!_ENT'!$B$8),'Syötä maat KIRJASTOLINKIT!_ENT'!$A$8,'Syötä maat KIRJASTOLINKIT!_ENT'!$B$8)</f>
        <v>MAA 7</v>
      </c>
      <c r="I1" s="582" t="str">
        <f>IF(ISBLANK('Syötä maat KIRJASTOLINKIT!_ENT'!$B$9),'Syötä maat KIRJASTOLINKIT!_ENT'!$A$9,'Syötä maat KIRJASTOLINKIT!_ENT'!$B$9)</f>
        <v>MAA 8</v>
      </c>
      <c r="J1" s="582" t="str">
        <f>IF(ISBLANK('Syötä maat KIRJASTOLINKIT!_ENT'!$B$10),'Syötä maat KIRJASTOLINKIT!_ENT'!$A$10,'Syötä maat KIRJASTOLINKIT!_ENT'!$B$10)</f>
        <v>MAA 9</v>
      </c>
      <c r="K1" s="582" t="str">
        <f>IF(ISBLANK('Syötä maat KIRJASTOLINKIT!_ENT'!$B$11),'Syötä maat KIRJASTOLINKIT!_ENT'!$A$11,'Syötä maat KIRJASTOLINKIT!_ENT'!$B$11)</f>
        <v>MAA 10</v>
      </c>
      <c r="L1" s="582" t="str">
        <f>IF(ISBLANK('Syötä maat KIRJASTOLINKIT!_ENT'!$B$12),'Syötä maat KIRJASTOLINKIT!_ENT'!$A$12,'Syötä maat KIRJASTOLINKIT!_ENT'!$B$12)</f>
        <v>MAA 11</v>
      </c>
      <c r="M1" s="582" t="str">
        <f>IF(ISBLANK('Syötä maat KIRJASTOLINKIT!_ENT'!$B$13),'Syötä maat KIRJASTOLINKIT!_ENT'!$A$13,'Syötä maat KIRJASTOLINKIT!_ENT'!$B$13)</f>
        <v>MAA 12</v>
      </c>
      <c r="N1" s="582" t="str">
        <f>IF(ISBLANK('Syötä maat KIRJASTOLINKIT!_ENT'!$B$14),'Syötä maat KIRJASTOLINKIT!_ENT'!$A$14,'Syötä maat KIRJASTOLINKIT!_ENT'!$B$14)</f>
        <v>MAA 13</v>
      </c>
      <c r="O1" s="582" t="str">
        <f>IF(ISBLANK('Syötä maat KIRJASTOLINKIT!_ENT'!$B$15),'Syötä maat KIRJASTOLINKIT!_ENT'!$A$15,'Syötä maat KIRJASTOLINKIT!_ENT'!$B$15)</f>
        <v>MAA 14</v>
      </c>
      <c r="P1" s="582" t="str">
        <f>IF(ISBLANK('Syötä maat KIRJASTOLINKIT!_ENT'!$B$16),'Syötä maat KIRJASTOLINKIT!_ENT'!$A$16,'Syötä maat KIRJASTOLINKIT!_ENT'!$B$16)</f>
        <v>MAA 15</v>
      </c>
      <c r="Q1" s="582" t="str">
        <f>IF(ISBLANK('Syötä maat KIRJASTOLINKIT!_ENT'!$B$17),'Syötä maat KIRJASTOLINKIT!_ENT'!$A$17,'Syötä maat KIRJASTOLINKIT!_ENT'!$B$17)</f>
        <v>MAA 16</v>
      </c>
      <c r="R1" s="582" t="str">
        <f>IF(ISBLANK('Syötä maat KIRJASTOLINKIT!_ENT'!$B$18),'Syötä maat KIRJASTOLINKIT!_ENT'!$A$18,'Syötä maat KIRJASTOLINKIT!_ENT'!$B$18)</f>
        <v>MAA 17</v>
      </c>
      <c r="S1" s="582" t="str">
        <f>IF(ISBLANK('Syötä maat KIRJASTOLINKIT!_ENT'!$B$19),'Syötä maat KIRJASTOLINKIT!_ENT'!$A$19,'Syötä maat KIRJASTOLINKIT!_ENT'!$B$19)</f>
        <v>MAA 18</v>
      </c>
      <c r="T1" s="582" t="str">
        <f>IF(ISBLANK('Syötä maat KIRJASTOLINKIT!_ENT'!$B$20),'Syötä maat KIRJASTOLINKIT!_ENT'!$A$20,'Syötä maat KIRJASTOLINKIT!_ENT'!$B$20)</f>
        <v>MAA 19</v>
      </c>
      <c r="U1" s="582" t="str">
        <f>IF(ISBLANK('Syötä maat KIRJASTOLINKIT!_ENT'!$B$21),'Syötä maat KIRJASTOLINKIT!_ENT'!$A$21,'Syötä maat KIRJASTOLINKIT!_ENT'!$B$21)</f>
        <v>MAA 20</v>
      </c>
      <c r="V1" s="582" t="str">
        <f>IF(ISBLANK('Syötä maat KIRJASTOLINKIT!_ENT'!$B$22),'Syötä maat KIRJASTOLINKIT!_ENT'!$A$22,'Syötä maat KIRJASTOLINKIT!_ENT'!$B$22)</f>
        <v>MAA 21</v>
      </c>
      <c r="W1" s="582" t="str">
        <f>IF(ISBLANK('Syötä maat KIRJASTOLINKIT!_ENT'!$B$23),'Syötä maat KIRJASTOLINKIT!_ENT'!$A$23,'Syötä maat KIRJASTOLINKIT!_ENT'!$B$23)</f>
        <v>MAA 22</v>
      </c>
      <c r="X1" s="582" t="str">
        <f>IF(ISBLANK('Syötä maat KIRJASTOLINKIT!_ENT'!$B$24),'Syötä maat KIRJASTOLINKIT!_ENT'!$A$24,'Syötä maat KIRJASTOLINKIT!_ENT'!$B$24)</f>
        <v>MAA 23</v>
      </c>
      <c r="Y1" s="582" t="str">
        <f>IF(ISBLANK('Syötä maat KIRJASTOLINKIT!_ENT'!$B$25),'Syötä maat KIRJASTOLINKIT!_ENT'!$A$25,'Syötä maat KIRJASTOLINKIT!_ENT'!$B$25)</f>
        <v>MAA 24</v>
      </c>
      <c r="Z1" s="582" t="str">
        <f>IF(ISBLANK('Syötä maat KIRJASTOLINKIT!_ENT'!$B23),'Syötä maat KIRJASTOLINKIT!_ENT'!$A23,'Syötä maat KIRJASTOLINKIT!_ENT'!$B23)</f>
        <v>MAA 22</v>
      </c>
    </row>
    <row r="2" spans="1:26" x14ac:dyDescent="0.15">
      <c r="A2" s="2" t="s">
        <v>1056</v>
      </c>
      <c r="B2" s="584" t="str">
        <f>INDEX('Kirjasto (kaupungit)_ENT'!$D$4:$K$861,ROW('Kirjasto (kaupungit)_ENT'!$D4)-3,'Kirjasto (kaupungit)_ENT'!$B$4)</f>
        <v>I (Vantaa)</v>
      </c>
      <c r="C2" s="584" t="str">
        <f>INDEX('Kirjasto (kaupungit)_ENT'!$D$4:$K$861,ROW('Kirjasto (kaupungit)_ENT'!$D8)-3,'Kirjasto (kaupungit)_ENT'!$B$4)</f>
        <v>SWE - Stockholm</v>
      </c>
      <c r="D2" s="584" t="str">
        <f>INDEX('Kirjasto (kaupungit)_ENT'!$D$4:$K$861,ROW('Kirjasto (kaupungit)_ENT'!$D9)-3,'Kirjasto (kaupungit)_ENT'!$B$4)</f>
        <v>SWE - Gothenburg</v>
      </c>
      <c r="E2" s="584" t="str">
        <f>INDEX('Kirjasto (kaupungit)_ENT'!$D$4:$K$861,ROW('Kirjasto (kaupungit)_ENT'!$D10)-3,'Kirjasto (kaupungit)_ENT'!$B$4)</f>
        <v>EST - Tallinn</v>
      </c>
      <c r="F2" s="584" t="str">
        <f>INDEX('Kirjasto (kaupungit)_ENT'!$D$4:$K$861,ROW('Kirjasto (kaupungit)_ENT'!$D11)-3,'Kirjasto (kaupungit)_ENT'!$B$4)</f>
        <v>LAT - Riga</v>
      </c>
      <c r="G2" s="584" t="str">
        <f>INDEX('Kirjasto (kaupungit)_ENT'!$D$4:$K$861,ROW('Kirjasto (kaupungit)_ENT'!$D12)-3,'Kirjasto (kaupungit)_ENT'!$B$4)</f>
        <v>LTU - Vilnius</v>
      </c>
      <c r="H2" s="584" t="str">
        <f>INDEX('Kirjasto (kaupungit)_ENT'!$D$4:$K$861,ROW('Kirjasto (kaupungit)_ENT'!$D13)-3,'Kirjasto (kaupungit)_ENT'!$B$4)</f>
        <v>POL - Warsaw</v>
      </c>
      <c r="I2" s="584" t="s">
        <v>1378</v>
      </c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</row>
    <row r="3" spans="1:26" x14ac:dyDescent="0.15">
      <c r="A3" s="2" t="s">
        <v>1057</v>
      </c>
      <c r="B3" s="584" t="str">
        <f>INDEX('Kirjasto (kaupungit)_ENT'!$D$4:$K$861,ROW('Kirjasto (kaupungit)_ENT'!$D5)-3,'Kirjasto (kaupungit)_ENT'!$B$4)</f>
        <v>II (Jokioinen)</v>
      </c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  <c r="Z3" s="584"/>
    </row>
    <row r="4" spans="1:26" x14ac:dyDescent="0.15">
      <c r="A4" s="2" t="s">
        <v>1058</v>
      </c>
      <c r="B4" s="584" t="str">
        <f>INDEX('Kirjasto (kaupungit)_ENT'!$D$4:$K$861,ROW('Kirjasto (kaupungit)_ENT'!$D6)-3,'Kirjasto (kaupungit)_ENT'!$B$4)</f>
        <v>III (Jyväskylä)</v>
      </c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</row>
    <row r="5" spans="1:26" x14ac:dyDescent="0.15">
      <c r="A5" s="2" t="s">
        <v>1059</v>
      </c>
      <c r="B5" s="584" t="str">
        <f>INDEX('Kirjasto (kaupungit)_ENT'!$D$4:$K$861,ROW('Kirjasto (kaupungit)_ENT'!$D7)-3,'Kirjasto (kaupungit)_ENT'!$B$4)</f>
        <v>IV (Sodankylä)</v>
      </c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584"/>
      <c r="U5" s="584"/>
      <c r="V5" s="584"/>
      <c r="W5" s="584"/>
      <c r="X5" s="584"/>
      <c r="Y5" s="584"/>
      <c r="Z5" s="584"/>
    </row>
    <row r="6" spans="1:26" x14ac:dyDescent="0.15">
      <c r="A6" s="2" t="s">
        <v>1060</v>
      </c>
      <c r="B6" s="584"/>
      <c r="C6" s="584"/>
      <c r="D6" s="584"/>
      <c r="E6" s="584"/>
      <c r="F6" s="584"/>
      <c r="G6" s="584"/>
      <c r="H6" s="584"/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84"/>
      <c r="T6" s="584"/>
      <c r="U6" s="584"/>
      <c r="V6" s="584"/>
      <c r="W6" s="584"/>
      <c r="X6" s="584"/>
      <c r="Y6" s="584"/>
      <c r="Z6" s="584"/>
    </row>
    <row r="7" spans="1:26" x14ac:dyDescent="0.15">
      <c r="A7" s="2" t="s">
        <v>1061</v>
      </c>
      <c r="B7" s="584"/>
      <c r="C7" s="584"/>
      <c r="D7" s="584"/>
      <c r="E7" s="584"/>
      <c r="F7" s="584"/>
      <c r="G7" s="584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584"/>
      <c r="S7" s="584"/>
      <c r="T7" s="584"/>
      <c r="U7" s="584"/>
      <c r="V7" s="584"/>
      <c r="W7" s="584"/>
      <c r="X7" s="584"/>
      <c r="Y7" s="584"/>
      <c r="Z7" s="584"/>
    </row>
    <row r="8" spans="1:26" x14ac:dyDescent="0.15">
      <c r="A8" s="2" t="s">
        <v>1062</v>
      </c>
      <c r="B8" s="584"/>
      <c r="C8" s="584"/>
      <c r="D8" s="584"/>
      <c r="E8" s="584"/>
      <c r="F8" s="584"/>
      <c r="G8" s="584"/>
      <c r="H8" s="584"/>
      <c r="I8" s="584"/>
      <c r="J8" s="584"/>
      <c r="K8" s="584"/>
      <c r="L8" s="584"/>
      <c r="M8" s="584"/>
      <c r="N8" s="584"/>
      <c r="O8" s="584"/>
      <c r="P8" s="584"/>
      <c r="Q8" s="584"/>
      <c r="R8" s="584"/>
      <c r="S8" s="584"/>
      <c r="T8" s="584"/>
      <c r="U8" s="584"/>
      <c r="V8" s="584"/>
      <c r="W8" s="584"/>
      <c r="X8" s="584"/>
      <c r="Y8" s="584"/>
      <c r="Z8" s="584"/>
    </row>
    <row r="9" spans="1:26" x14ac:dyDescent="0.15">
      <c r="A9" s="2" t="s">
        <v>1063</v>
      </c>
      <c r="B9" s="584"/>
      <c r="C9" s="584"/>
      <c r="D9" s="584"/>
      <c r="E9" s="584"/>
      <c r="F9" s="584"/>
      <c r="G9" s="584"/>
      <c r="H9" s="584"/>
      <c r="I9" s="584"/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  <c r="Z9" s="584"/>
    </row>
    <row r="10" spans="1:26" x14ac:dyDescent="0.15">
      <c r="A10" s="2" t="s">
        <v>1064</v>
      </c>
      <c r="B10" s="584"/>
      <c r="C10" s="584"/>
      <c r="D10" s="584"/>
      <c r="E10" s="584"/>
      <c r="F10" s="584"/>
      <c r="G10" s="584"/>
      <c r="H10" s="584"/>
      <c r="I10" s="584"/>
      <c r="J10" s="584"/>
      <c r="K10" s="584"/>
      <c r="L10" s="584"/>
      <c r="M10" s="584"/>
      <c r="N10" s="584"/>
      <c r="O10" s="584"/>
      <c r="P10" s="584"/>
      <c r="Q10" s="584"/>
      <c r="R10" s="584"/>
      <c r="S10" s="584"/>
      <c r="T10" s="584"/>
      <c r="U10" s="584"/>
      <c r="V10" s="584"/>
      <c r="W10" s="584"/>
      <c r="X10" s="584"/>
      <c r="Y10" s="584"/>
      <c r="Z10" s="584"/>
    </row>
    <row r="11" spans="1:26" x14ac:dyDescent="0.15">
      <c r="A11" s="2" t="s">
        <v>1065</v>
      </c>
      <c r="B11" s="584"/>
      <c r="C11" s="584"/>
      <c r="D11" s="584"/>
      <c r="E11" s="584"/>
      <c r="F11" s="584"/>
      <c r="G11" s="584"/>
      <c r="H11" s="584"/>
      <c r="I11" s="584"/>
      <c r="J11" s="584"/>
      <c r="K11" s="584"/>
      <c r="L11" s="584"/>
      <c r="M11" s="584"/>
      <c r="N11" s="584"/>
      <c r="O11" s="584"/>
      <c r="P11" s="584"/>
      <c r="Q11" s="584"/>
      <c r="R11" s="584"/>
      <c r="S11" s="584"/>
      <c r="T11" s="584"/>
      <c r="U11" s="584"/>
      <c r="V11" s="584"/>
      <c r="W11" s="584"/>
      <c r="X11" s="584"/>
      <c r="Y11" s="584"/>
      <c r="Z11" s="584"/>
    </row>
    <row r="12" spans="1:26" x14ac:dyDescent="0.15">
      <c r="A12" s="2" t="s">
        <v>1066</v>
      </c>
      <c r="B12" s="584"/>
      <c r="C12" s="584"/>
      <c r="D12" s="584"/>
      <c r="E12" s="584"/>
      <c r="F12" s="584"/>
      <c r="G12" s="584"/>
      <c r="H12" s="584"/>
      <c r="I12" s="584"/>
      <c r="J12" s="584"/>
      <c r="K12" s="584"/>
      <c r="L12" s="584"/>
      <c r="M12" s="584"/>
      <c r="N12" s="584"/>
      <c r="O12" s="584"/>
      <c r="P12" s="584"/>
      <c r="Q12" s="584"/>
      <c r="R12" s="584"/>
      <c r="S12" s="584"/>
      <c r="T12" s="584"/>
      <c r="U12" s="584"/>
      <c r="V12" s="584"/>
      <c r="W12" s="584"/>
      <c r="X12" s="584"/>
      <c r="Y12" s="584"/>
      <c r="Z12" s="584"/>
    </row>
    <row r="13" spans="1:26" x14ac:dyDescent="0.15">
      <c r="A13" s="2" t="s">
        <v>1067</v>
      </c>
      <c r="B13" s="584"/>
      <c r="C13" s="584"/>
      <c r="D13" s="584"/>
      <c r="E13" s="584"/>
      <c r="F13" s="584"/>
      <c r="G13" s="584"/>
      <c r="H13" s="584"/>
      <c r="I13" s="584"/>
      <c r="J13" s="584"/>
      <c r="K13" s="584"/>
      <c r="L13" s="584"/>
      <c r="M13" s="584"/>
      <c r="N13" s="584"/>
      <c r="O13" s="584"/>
      <c r="P13" s="584"/>
      <c r="Q13" s="584"/>
      <c r="R13" s="584"/>
      <c r="S13" s="584"/>
      <c r="T13" s="584"/>
      <c r="U13" s="584"/>
      <c r="V13" s="584"/>
      <c r="W13" s="584"/>
      <c r="X13" s="584"/>
      <c r="Y13" s="584"/>
      <c r="Z13" s="584"/>
    </row>
    <row r="14" spans="1:26" x14ac:dyDescent="0.15">
      <c r="A14" s="2" t="s">
        <v>1068</v>
      </c>
      <c r="B14" s="584"/>
      <c r="C14" s="584"/>
      <c r="D14" s="584"/>
      <c r="E14" s="584"/>
      <c r="F14" s="584"/>
      <c r="G14" s="584"/>
      <c r="H14" s="584"/>
      <c r="I14" s="584"/>
      <c r="J14" s="584"/>
      <c r="K14" s="584"/>
      <c r="L14" s="584"/>
      <c r="M14" s="584"/>
      <c r="N14" s="584"/>
      <c r="O14" s="584"/>
      <c r="P14" s="584"/>
      <c r="Q14" s="584"/>
      <c r="R14" s="584"/>
      <c r="S14" s="584"/>
      <c r="T14" s="584"/>
      <c r="U14" s="584"/>
      <c r="V14" s="584"/>
      <c r="W14" s="584"/>
      <c r="X14" s="584"/>
      <c r="Y14" s="584"/>
      <c r="Z14" s="584"/>
    </row>
    <row r="15" spans="1:26" x14ac:dyDescent="0.15">
      <c r="A15" s="2" t="s">
        <v>1069</v>
      </c>
      <c r="B15" s="584"/>
      <c r="C15" s="584"/>
      <c r="D15" s="584"/>
      <c r="E15" s="584"/>
      <c r="F15" s="584"/>
      <c r="G15" s="584"/>
      <c r="H15" s="584"/>
      <c r="I15" s="584"/>
      <c r="J15" s="584"/>
      <c r="K15" s="584"/>
      <c r="L15" s="584"/>
      <c r="M15" s="584"/>
      <c r="N15" s="584"/>
      <c r="O15" s="584"/>
      <c r="P15" s="584"/>
      <c r="Q15" s="584"/>
      <c r="R15" s="584"/>
      <c r="S15" s="584"/>
      <c r="T15" s="584"/>
      <c r="U15" s="584"/>
      <c r="V15" s="584"/>
      <c r="W15" s="584"/>
      <c r="X15" s="584"/>
      <c r="Y15" s="584"/>
      <c r="Z15" s="584"/>
    </row>
    <row r="16" spans="1:26" x14ac:dyDescent="0.15">
      <c r="A16" s="2" t="s">
        <v>1070</v>
      </c>
      <c r="B16" s="584"/>
      <c r="C16" s="584"/>
      <c r="D16" s="584"/>
      <c r="E16" s="584"/>
      <c r="F16" s="584"/>
      <c r="G16" s="584"/>
      <c r="H16" s="584"/>
      <c r="I16" s="584"/>
      <c r="J16" s="584"/>
      <c r="K16" s="584"/>
      <c r="L16" s="584"/>
      <c r="M16" s="584"/>
      <c r="N16" s="584"/>
      <c r="O16" s="584"/>
      <c r="P16" s="584"/>
      <c r="Q16" s="584"/>
      <c r="R16" s="584"/>
      <c r="S16" s="584"/>
      <c r="T16" s="584"/>
      <c r="U16" s="584"/>
      <c r="V16" s="584"/>
      <c r="W16" s="584"/>
      <c r="X16" s="584"/>
      <c r="Y16" s="584"/>
      <c r="Z16" s="584"/>
    </row>
    <row r="17" spans="1:26" x14ac:dyDescent="0.15">
      <c r="A17" s="2" t="s">
        <v>1071</v>
      </c>
      <c r="B17" s="584"/>
      <c r="C17" s="584"/>
      <c r="D17" s="584"/>
      <c r="E17" s="584"/>
      <c r="F17" s="584"/>
      <c r="G17" s="584"/>
      <c r="H17" s="584"/>
      <c r="I17" s="584"/>
      <c r="J17" s="584"/>
      <c r="K17" s="584"/>
      <c r="L17" s="584"/>
      <c r="M17" s="584"/>
      <c r="N17" s="584"/>
      <c r="O17" s="584"/>
      <c r="P17" s="584"/>
      <c r="Q17" s="584"/>
      <c r="R17" s="584"/>
      <c r="S17" s="584"/>
      <c r="T17" s="584"/>
      <c r="U17" s="584"/>
      <c r="V17" s="584"/>
      <c r="W17" s="584"/>
      <c r="X17" s="584"/>
      <c r="Y17" s="584"/>
      <c r="Z17" s="584"/>
    </row>
    <row r="18" spans="1:26" x14ac:dyDescent="0.15">
      <c r="A18" s="2" t="s">
        <v>1072</v>
      </c>
      <c r="B18" s="584"/>
      <c r="C18" s="584"/>
      <c r="D18" s="584"/>
      <c r="E18" s="584"/>
      <c r="F18" s="584"/>
      <c r="G18" s="584"/>
      <c r="H18" s="584"/>
      <c r="I18" s="584"/>
      <c r="J18" s="584"/>
      <c r="K18" s="584"/>
      <c r="L18" s="584"/>
      <c r="M18" s="584"/>
      <c r="N18" s="584"/>
      <c r="O18" s="584"/>
      <c r="P18" s="584"/>
      <c r="Q18" s="584"/>
      <c r="R18" s="584"/>
      <c r="S18" s="584"/>
      <c r="T18" s="584"/>
      <c r="U18" s="584"/>
      <c r="V18" s="584"/>
      <c r="W18" s="584"/>
      <c r="X18" s="584"/>
      <c r="Y18" s="584"/>
      <c r="Z18" s="584"/>
    </row>
    <row r="19" spans="1:26" x14ac:dyDescent="0.15">
      <c r="A19" s="2" t="s">
        <v>1073</v>
      </c>
      <c r="B19" s="584"/>
      <c r="C19" s="584"/>
      <c r="D19" s="584"/>
      <c r="E19" s="584"/>
      <c r="F19" s="584"/>
      <c r="G19" s="584"/>
      <c r="H19" s="584"/>
      <c r="I19" s="584"/>
      <c r="J19" s="584"/>
      <c r="K19" s="584"/>
      <c r="L19" s="584"/>
      <c r="M19" s="584"/>
      <c r="N19" s="584"/>
      <c r="O19" s="584"/>
      <c r="P19" s="584"/>
      <c r="Q19" s="584"/>
      <c r="R19" s="584"/>
      <c r="S19" s="584"/>
      <c r="T19" s="584"/>
      <c r="U19" s="584"/>
      <c r="V19" s="584"/>
      <c r="W19" s="584"/>
      <c r="X19" s="584"/>
      <c r="Y19" s="584"/>
      <c r="Z19" s="584"/>
    </row>
    <row r="20" spans="1:26" x14ac:dyDescent="0.15">
      <c r="A20" s="2" t="s">
        <v>1074</v>
      </c>
      <c r="B20" s="584"/>
      <c r="C20" s="584"/>
      <c r="D20" s="584"/>
      <c r="E20" s="584"/>
      <c r="F20" s="584"/>
      <c r="G20" s="584"/>
      <c r="H20" s="584"/>
      <c r="I20" s="584"/>
      <c r="J20" s="584"/>
      <c r="K20" s="584"/>
      <c r="L20" s="584"/>
      <c r="M20" s="584"/>
      <c r="N20" s="584"/>
      <c r="O20" s="584"/>
      <c r="P20" s="584"/>
      <c r="Q20" s="584"/>
      <c r="R20" s="584"/>
      <c r="S20" s="584"/>
      <c r="T20" s="584"/>
      <c r="U20" s="584"/>
      <c r="V20" s="584"/>
      <c r="W20" s="584"/>
      <c r="X20" s="584"/>
      <c r="Y20" s="584"/>
      <c r="Z20" s="584"/>
    </row>
    <row r="21" spans="1:26" x14ac:dyDescent="0.15">
      <c r="A21" s="2" t="s">
        <v>1075</v>
      </c>
      <c r="B21" s="584"/>
      <c r="C21" s="584"/>
      <c r="D21" s="584"/>
      <c r="E21" s="584"/>
      <c r="F21" s="584"/>
      <c r="G21" s="584"/>
      <c r="H21" s="584"/>
      <c r="I21" s="584"/>
      <c r="J21" s="584"/>
      <c r="K21" s="584"/>
      <c r="L21" s="584"/>
      <c r="M21" s="584"/>
      <c r="N21" s="584"/>
      <c r="O21" s="584"/>
      <c r="P21" s="584"/>
      <c r="Q21" s="584"/>
      <c r="R21" s="584"/>
      <c r="S21" s="584"/>
      <c r="T21" s="584"/>
      <c r="U21" s="584"/>
      <c r="V21" s="584"/>
      <c r="W21" s="584"/>
      <c r="X21" s="584"/>
      <c r="Y21" s="584"/>
      <c r="Z21" s="584"/>
    </row>
    <row r="22" spans="1:26" x14ac:dyDescent="0.15">
      <c r="A22" s="2" t="s">
        <v>1076</v>
      </c>
      <c r="B22" s="584"/>
      <c r="C22" s="584"/>
      <c r="D22" s="584"/>
      <c r="E22" s="584"/>
      <c r="F22" s="584"/>
      <c r="G22" s="584"/>
      <c r="H22" s="584"/>
      <c r="I22" s="584"/>
      <c r="J22" s="584"/>
      <c r="K22" s="584"/>
      <c r="L22" s="584"/>
      <c r="M22" s="584"/>
      <c r="N22" s="584"/>
      <c r="O22" s="584"/>
      <c r="P22" s="584"/>
      <c r="Q22" s="584"/>
      <c r="R22" s="584"/>
      <c r="S22" s="584"/>
      <c r="T22" s="584"/>
      <c r="U22" s="584"/>
      <c r="V22" s="584"/>
      <c r="W22" s="584"/>
      <c r="X22" s="584"/>
      <c r="Y22" s="584"/>
      <c r="Z22" s="584"/>
    </row>
    <row r="23" spans="1:26" x14ac:dyDescent="0.15">
      <c r="A23" s="2" t="s">
        <v>1077</v>
      </c>
      <c r="B23" s="584"/>
      <c r="C23" s="584"/>
      <c r="D23" s="584"/>
      <c r="E23" s="584"/>
      <c r="F23" s="584"/>
      <c r="G23" s="584"/>
      <c r="H23" s="584"/>
      <c r="I23" s="584"/>
      <c r="J23" s="584"/>
      <c r="K23" s="584"/>
      <c r="L23" s="584"/>
      <c r="M23" s="584"/>
      <c r="N23" s="584"/>
      <c r="O23" s="584"/>
      <c r="P23" s="584"/>
      <c r="Q23" s="584"/>
      <c r="R23" s="584"/>
      <c r="S23" s="584"/>
      <c r="T23" s="584"/>
      <c r="U23" s="584"/>
      <c r="V23" s="584"/>
      <c r="W23" s="584"/>
      <c r="X23" s="584"/>
      <c r="Y23" s="584"/>
      <c r="Z23" s="584"/>
    </row>
    <row r="24" spans="1:26" x14ac:dyDescent="0.15">
      <c r="A24" s="2" t="s">
        <v>1078</v>
      </c>
      <c r="B24" s="584"/>
      <c r="C24" s="584"/>
      <c r="D24" s="584"/>
      <c r="E24" s="584"/>
      <c r="F24" s="584"/>
      <c r="G24" s="584"/>
      <c r="H24" s="584"/>
      <c r="I24" s="584"/>
      <c r="J24" s="584"/>
      <c r="K24" s="584"/>
      <c r="L24" s="584"/>
      <c r="M24" s="584"/>
      <c r="N24" s="584"/>
      <c r="O24" s="584"/>
      <c r="P24" s="584"/>
      <c r="Q24" s="584"/>
      <c r="R24" s="584"/>
      <c r="S24" s="584"/>
      <c r="T24" s="584"/>
      <c r="U24" s="584"/>
      <c r="V24" s="584"/>
      <c r="W24" s="584"/>
      <c r="X24" s="584"/>
      <c r="Y24" s="584"/>
      <c r="Z24" s="584"/>
    </row>
    <row r="25" spans="1:26" x14ac:dyDescent="0.15">
      <c r="A25" s="2" t="s">
        <v>1079</v>
      </c>
      <c r="B25" s="584"/>
      <c r="C25" s="584"/>
      <c r="D25" s="584"/>
      <c r="E25" s="584"/>
      <c r="F25" s="584"/>
      <c r="G25" s="584"/>
      <c r="H25" s="584"/>
      <c r="I25" s="584"/>
      <c r="J25" s="584"/>
      <c r="K25" s="584"/>
      <c r="L25" s="584"/>
      <c r="M25" s="584"/>
      <c r="N25" s="584"/>
      <c r="O25" s="584"/>
      <c r="P25" s="584"/>
      <c r="Q25" s="584"/>
      <c r="R25" s="584"/>
      <c r="S25" s="584"/>
      <c r="T25" s="584"/>
      <c r="U25" s="584"/>
      <c r="V25" s="584"/>
      <c r="W25" s="584"/>
      <c r="X25" s="584"/>
      <c r="Y25" s="584"/>
      <c r="Z25" s="584"/>
    </row>
    <row r="26" spans="1:26" x14ac:dyDescent="0.15">
      <c r="A26" s="2" t="s">
        <v>1080</v>
      </c>
      <c r="B26" s="584"/>
      <c r="C26" s="584"/>
      <c r="D26" s="584"/>
      <c r="E26" s="584"/>
      <c r="F26" s="584"/>
      <c r="G26" s="584"/>
      <c r="H26" s="584"/>
      <c r="I26" s="584"/>
      <c r="J26" s="584"/>
      <c r="K26" s="584"/>
      <c r="L26" s="584"/>
      <c r="M26" s="584"/>
      <c r="N26" s="584"/>
      <c r="O26" s="584"/>
      <c r="P26" s="584"/>
      <c r="Q26" s="584"/>
      <c r="R26" s="584"/>
      <c r="S26" s="584"/>
      <c r="T26" s="584"/>
      <c r="U26" s="584"/>
      <c r="V26" s="584"/>
      <c r="W26" s="584"/>
      <c r="X26" s="584"/>
      <c r="Y26" s="584"/>
      <c r="Z26" s="584"/>
    </row>
    <row r="27" spans="1:26" x14ac:dyDescent="0.15">
      <c r="A27" s="2" t="s">
        <v>1081</v>
      </c>
      <c r="B27" s="584"/>
      <c r="C27" s="584"/>
      <c r="D27" s="584"/>
      <c r="E27" s="584"/>
      <c r="F27" s="584"/>
      <c r="G27" s="584"/>
      <c r="H27" s="584"/>
      <c r="I27" s="584"/>
      <c r="J27" s="584"/>
      <c r="K27" s="584"/>
      <c r="L27" s="584"/>
      <c r="M27" s="584"/>
      <c r="N27" s="584"/>
      <c r="O27" s="584"/>
      <c r="P27" s="584"/>
      <c r="Q27" s="584"/>
      <c r="R27" s="584"/>
      <c r="S27" s="584"/>
      <c r="T27" s="584"/>
      <c r="U27" s="584"/>
      <c r="V27" s="584"/>
      <c r="W27" s="584"/>
      <c r="X27" s="584"/>
      <c r="Y27" s="584"/>
      <c r="Z27" s="584"/>
    </row>
    <row r="28" spans="1:26" x14ac:dyDescent="0.15">
      <c r="A28" s="2" t="s">
        <v>1082</v>
      </c>
      <c r="B28" s="584"/>
      <c r="C28" s="584"/>
      <c r="D28" s="584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584"/>
      <c r="P28" s="584"/>
      <c r="Q28" s="584"/>
      <c r="R28" s="584"/>
      <c r="S28" s="584"/>
      <c r="T28" s="584"/>
      <c r="U28" s="584"/>
      <c r="V28" s="584"/>
      <c r="W28" s="584"/>
      <c r="X28" s="584"/>
      <c r="Y28" s="584"/>
      <c r="Z28" s="584"/>
    </row>
    <row r="29" spans="1:26" x14ac:dyDescent="0.15">
      <c r="A29" s="2" t="s">
        <v>1083</v>
      </c>
      <c r="B29" s="584"/>
      <c r="C29" s="584"/>
      <c r="D29" s="584"/>
      <c r="E29" s="584"/>
      <c r="F29" s="584"/>
      <c r="G29" s="584"/>
      <c r="H29" s="584"/>
      <c r="I29" s="584"/>
      <c r="J29" s="584"/>
      <c r="K29" s="584"/>
      <c r="L29" s="584"/>
      <c r="M29" s="584"/>
      <c r="N29" s="584"/>
      <c r="O29" s="584"/>
      <c r="P29" s="584"/>
      <c r="Q29" s="584"/>
      <c r="R29" s="584"/>
      <c r="S29" s="584"/>
      <c r="T29" s="584"/>
      <c r="U29" s="584"/>
      <c r="V29" s="584"/>
      <c r="W29" s="584"/>
      <c r="X29" s="584"/>
      <c r="Y29" s="584"/>
      <c r="Z29" s="584"/>
    </row>
    <row r="30" spans="1:26" x14ac:dyDescent="0.15">
      <c r="A30" s="2" t="s">
        <v>1084</v>
      </c>
      <c r="B30" s="584"/>
      <c r="C30" s="584"/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  <c r="V30" s="584"/>
      <c r="W30" s="584"/>
      <c r="X30" s="584"/>
      <c r="Y30" s="584"/>
      <c r="Z30" s="584"/>
    </row>
    <row r="31" spans="1:26" x14ac:dyDescent="0.15">
      <c r="A31" s="2" t="s">
        <v>1085</v>
      </c>
      <c r="B31" s="584"/>
      <c r="C31" s="584"/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584"/>
      <c r="T31" s="584"/>
      <c r="U31" s="584"/>
      <c r="V31" s="584"/>
      <c r="W31" s="584"/>
      <c r="X31" s="584"/>
      <c r="Y31" s="584"/>
      <c r="Z31" s="584"/>
    </row>
    <row r="32" spans="1:26" x14ac:dyDescent="0.15">
      <c r="A32" s="2" t="s">
        <v>1086</v>
      </c>
      <c r="B32" s="584"/>
      <c r="C32" s="584"/>
      <c r="D32" s="584"/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584"/>
      <c r="T32" s="584"/>
      <c r="U32" s="584"/>
      <c r="V32" s="584"/>
      <c r="W32" s="584"/>
      <c r="X32" s="584"/>
      <c r="Y32" s="584"/>
      <c r="Z32" s="584"/>
    </row>
    <row r="33" spans="1:26" x14ac:dyDescent="0.15">
      <c r="A33" s="2" t="s">
        <v>1087</v>
      </c>
      <c r="B33" s="584"/>
      <c r="C33" s="584"/>
      <c r="D33" s="584"/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584"/>
      <c r="U33" s="584"/>
      <c r="V33" s="584"/>
      <c r="W33" s="584"/>
      <c r="X33" s="584"/>
      <c r="Y33" s="584"/>
      <c r="Z33" s="584"/>
    </row>
    <row r="34" spans="1:26" x14ac:dyDescent="0.15">
      <c r="A34" s="2" t="s">
        <v>1088</v>
      </c>
      <c r="B34" s="584"/>
      <c r="C34" s="584"/>
      <c r="D34" s="584"/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584"/>
      <c r="T34" s="584"/>
      <c r="U34" s="584"/>
      <c r="V34" s="584"/>
      <c r="W34" s="584"/>
      <c r="X34" s="584"/>
      <c r="Y34" s="584"/>
      <c r="Z34" s="584"/>
    </row>
    <row r="35" spans="1:26" x14ac:dyDescent="0.15">
      <c r="A35" s="2" t="s">
        <v>1089</v>
      </c>
      <c r="B35" s="584"/>
      <c r="C35" s="584"/>
      <c r="D35" s="584"/>
      <c r="E35" s="584"/>
      <c r="F35" s="584"/>
      <c r="G35" s="584"/>
      <c r="H35" s="584"/>
      <c r="I35" s="584"/>
      <c r="J35" s="584"/>
      <c r="K35" s="584"/>
      <c r="L35" s="584"/>
      <c r="M35" s="584"/>
      <c r="N35" s="584"/>
      <c r="O35" s="584"/>
      <c r="P35" s="584"/>
      <c r="Q35" s="584"/>
      <c r="R35" s="584"/>
      <c r="S35" s="584"/>
      <c r="T35" s="584"/>
      <c r="U35" s="584"/>
      <c r="V35" s="584"/>
      <c r="W35" s="584"/>
      <c r="X35" s="584"/>
      <c r="Y35" s="584"/>
      <c r="Z35" s="584"/>
    </row>
    <row r="36" spans="1:26" x14ac:dyDescent="0.15">
      <c r="A36" s="2" t="s">
        <v>1090</v>
      </c>
      <c r="B36" s="584"/>
      <c r="C36" s="584"/>
      <c r="D36" s="584"/>
      <c r="E36" s="584"/>
      <c r="F36" s="584"/>
      <c r="G36" s="584"/>
      <c r="H36" s="584"/>
      <c r="I36" s="584"/>
      <c r="J36" s="584"/>
      <c r="K36" s="584"/>
      <c r="L36" s="584"/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4"/>
      <c r="X36" s="584"/>
      <c r="Y36" s="584"/>
      <c r="Z36" s="584"/>
    </row>
    <row r="37" spans="1:26" x14ac:dyDescent="0.15">
      <c r="A37" s="2" t="s">
        <v>1091</v>
      </c>
      <c r="B37" s="584"/>
      <c r="C37" s="584"/>
      <c r="D37" s="584"/>
      <c r="E37" s="584"/>
      <c r="F37" s="584"/>
      <c r="G37" s="584"/>
      <c r="H37" s="584"/>
      <c r="I37" s="584"/>
      <c r="J37" s="584"/>
      <c r="K37" s="584"/>
      <c r="L37" s="584"/>
      <c r="M37" s="584"/>
      <c r="N37" s="584"/>
      <c r="O37" s="584"/>
      <c r="P37" s="584"/>
      <c r="Q37" s="584"/>
      <c r="R37" s="584"/>
      <c r="S37" s="584"/>
      <c r="T37" s="584"/>
      <c r="U37" s="584"/>
      <c r="V37" s="584"/>
      <c r="W37" s="584"/>
      <c r="X37" s="584"/>
      <c r="Y37" s="584"/>
      <c r="Z37" s="584"/>
    </row>
    <row r="38" spans="1:26" x14ac:dyDescent="0.15">
      <c r="A38" s="2" t="s">
        <v>1092</v>
      </c>
      <c r="B38" s="584"/>
      <c r="C38" s="584"/>
      <c r="D38" s="584"/>
      <c r="E38" s="584"/>
      <c r="F38" s="584"/>
      <c r="G38" s="584"/>
      <c r="H38" s="584"/>
      <c r="I38" s="584"/>
      <c r="J38" s="584"/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4"/>
      <c r="X38" s="584"/>
      <c r="Y38" s="584"/>
      <c r="Z38" s="584"/>
    </row>
    <row r="39" spans="1:26" x14ac:dyDescent="0.15">
      <c r="A39" s="2" t="s">
        <v>1093</v>
      </c>
      <c r="B39" s="584"/>
      <c r="C39" s="584"/>
      <c r="D39" s="584"/>
      <c r="E39" s="584"/>
      <c r="F39" s="584"/>
      <c r="G39" s="584"/>
      <c r="H39" s="584"/>
      <c r="I39" s="584"/>
      <c r="J39" s="584"/>
      <c r="K39" s="584"/>
      <c r="L39" s="584"/>
      <c r="M39" s="584"/>
      <c r="N39" s="584"/>
      <c r="O39" s="584"/>
      <c r="P39" s="584"/>
      <c r="Q39" s="584"/>
      <c r="R39" s="584"/>
      <c r="S39" s="584"/>
      <c r="T39" s="584"/>
      <c r="U39" s="584"/>
      <c r="V39" s="584"/>
      <c r="W39" s="584"/>
      <c r="X39" s="584"/>
      <c r="Y39" s="584"/>
      <c r="Z39" s="584"/>
    </row>
    <row r="40" spans="1:26" x14ac:dyDescent="0.15">
      <c r="A40" s="2" t="s">
        <v>1094</v>
      </c>
      <c r="B40" s="584"/>
      <c r="C40" s="584"/>
      <c r="D40" s="584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4"/>
      <c r="X40" s="584"/>
      <c r="Y40" s="584"/>
      <c r="Z40" s="584"/>
    </row>
    <row r="42" spans="1:26" x14ac:dyDescent="0.15">
      <c r="A42" s="2" t="s">
        <v>1095</v>
      </c>
    </row>
    <row r="43" spans="1:26" x14ac:dyDescent="0.15">
      <c r="A43"/>
    </row>
    <row r="44" spans="1:26" ht="18" x14ac:dyDescent="0.2">
      <c r="A44" s="585" t="str">
        <f ca="1">_xlfn.CONCAT("Käytettävä kaavaa, joka hakee arvot taulukosta: ",'Kirjasto (kaupungit)_ENT'!B1)</f>
        <v>Käytettävä kaavaa, joka hakee arvot taulukosta: Kirjasto (kaupungit)_ENT</v>
      </c>
    </row>
  </sheetData>
  <sheetProtection algorithmName="SHA-512" hashValue="B1fOQHP2Y+fknw4R2t3q/fSv1SInHpR58p861CJcqtTj71hNhmaEpVkqMxb3CQKe7aLpFrrcImGafuq8zvc8EA==" saltValue="61dckCyYjXfBuHcHQc06xQ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5446A-EC39-4D58-9F5A-3A632E2D7998}">
  <sheetPr>
    <pageSetUpPr fitToPage="1"/>
  </sheetPr>
  <dimension ref="B2:AG127"/>
  <sheetViews>
    <sheetView showGridLines="0" zoomScaleNormal="100" zoomScaleSheetLayoutView="25" workbookViewId="0">
      <selection activeCell="G43" sqref="G43"/>
    </sheetView>
  </sheetViews>
  <sheetFormatPr baseColWidth="10" defaultColWidth="9.1640625" defaultRowHeight="13" x14ac:dyDescent="0.15"/>
  <cols>
    <col min="1" max="1" width="9.1640625" style="88"/>
    <col min="2" max="2" width="2.33203125" style="88" customWidth="1"/>
    <col min="3" max="3" width="29.6640625" style="88" customWidth="1"/>
    <col min="4" max="4" width="11.6640625" style="88" customWidth="1"/>
    <col min="5" max="5" width="11.5" style="88" customWidth="1"/>
    <col min="6" max="6" width="11.33203125" style="88" customWidth="1"/>
    <col min="7" max="7" width="12.1640625" style="88" customWidth="1"/>
    <col min="8" max="8" width="11.5" style="88" customWidth="1"/>
    <col min="9" max="9" width="1.1640625" style="88" customWidth="1"/>
    <col min="10" max="11" width="13.6640625" style="88" customWidth="1"/>
    <col min="12" max="13" width="13.83203125" style="88" customWidth="1"/>
    <col min="14" max="14" width="12.5" style="88" customWidth="1"/>
    <col min="15" max="15" width="2.5" style="88" customWidth="1"/>
    <col min="16" max="16" width="6.6640625" style="88" customWidth="1"/>
    <col min="17" max="17" width="2.33203125" style="88" customWidth="1"/>
    <col min="18" max="18" width="63.5" style="88" customWidth="1"/>
    <col min="19" max="19" width="8.33203125" style="88" customWidth="1"/>
    <col min="20" max="20" width="10.1640625" style="88" customWidth="1"/>
    <col min="21" max="21" width="8.5" style="88" customWidth="1"/>
    <col min="22" max="22" width="2.1640625" style="88" customWidth="1"/>
    <col min="23" max="23" width="11.5" style="88" customWidth="1"/>
    <col min="24" max="26" width="10.5" style="88" customWidth="1"/>
    <col min="27" max="29" width="8.5" style="88" customWidth="1"/>
    <col min="30" max="30" width="1.6640625" style="88" customWidth="1"/>
    <col min="31" max="32" width="9.1640625" style="88"/>
    <col min="33" max="33" width="171" style="88" customWidth="1"/>
    <col min="34" max="16384" width="9.1640625" style="88"/>
  </cols>
  <sheetData>
    <row r="2" spans="2:33" x14ac:dyDescent="0.15">
      <c r="B2" s="10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62" t="str" cm="1">
        <f t="array" ref="O2">INDEX(KirjastoC!D4:K125,1,KirjastoC!B4)</f>
        <v>Versio 8.0</v>
      </c>
      <c r="Q2" s="10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63"/>
      <c r="AD2" s="262" t="str">
        <f>O2</f>
        <v>Versio 8.0</v>
      </c>
      <c r="AF2" s="88" t="str">
        <f>'C-selection'!AK2</f>
        <v>VALITTU MALLI JA KOODIAVAIN:</v>
      </c>
    </row>
    <row r="3" spans="2:33" ht="27" customHeight="1" x14ac:dyDescent="0.15">
      <c r="B3" s="12"/>
      <c r="C3" s="836" t="str" cm="1">
        <f t="array" ref="C3">INDEX(KirjastoC!D4:K125,2,KirjastoC!B4)</f>
        <v>Airfi: C-sarjan ilmanvaihtokoneen valintaohjelma</v>
      </c>
      <c r="D3"/>
      <c r="E3"/>
      <c r="F3"/>
      <c r="G3"/>
      <c r="H3"/>
      <c r="I3"/>
      <c r="J3"/>
      <c r="K3"/>
      <c r="L3"/>
      <c r="M3"/>
      <c r="N3" s="90"/>
      <c r="O3" s="24"/>
      <c r="Q3" s="12"/>
      <c r="R3" s="1729" t="str" cm="1">
        <f t="array" ref="R3">INDEX(KirjastoC!D4:K125,72,KirjastoC!B4)</f>
        <v>Ilmanvaihdon poistoilman lämmöntalteenoton vuosihyötysuhteen laskenta</v>
      </c>
      <c r="S3" s="1729"/>
      <c r="T3" s="1729"/>
      <c r="U3" s="1729"/>
      <c r="V3" s="1729"/>
      <c r="W3" s="1729"/>
      <c r="X3" s="1729"/>
      <c r="Y3" s="1729"/>
      <c r="Z3" s="1729"/>
      <c r="AA3" s="1729"/>
      <c r="AB3" s="1729"/>
      <c r="AC3" s="143"/>
      <c r="AD3" s="24"/>
      <c r="AF3" s="1703" t="str">
        <f>'C-selection'!AK3</f>
        <v>Airfi Model C5 Electric</v>
      </c>
      <c r="AG3" s="1704"/>
    </row>
    <row r="4" spans="2:33" ht="18" customHeight="1" x14ac:dyDescent="0.15">
      <c r="B4" s="12"/>
      <c r="C4" s="2" t="str" cm="1">
        <f t="array" ref="C4">CONCATENATE(INDEX(KirjastoC!D4:K125,3,KirjastoC!B4)," ",'C-selection'!G6)</f>
        <v xml:space="preserve">Kohde: </v>
      </c>
      <c r="D4" s="1730"/>
      <c r="E4" s="1730"/>
      <c r="F4" s="1730"/>
      <c r="G4" s="1730"/>
      <c r="H4" s="1730"/>
      <c r="I4" s="1730"/>
      <c r="J4"/>
      <c r="K4"/>
      <c r="L4"/>
      <c r="M4"/>
      <c r="N4"/>
      <c r="O4" s="24"/>
      <c r="Q4" s="12"/>
      <c r="R4" s="267" t="str" cm="1">
        <f t="array" ref="R4">INDEX(KirjastoC!D4:K200,140,KirjastoC!B4)</f>
        <v>Laskenta YM:n Monisteen 122 mukaisesti</v>
      </c>
      <c r="S4" s="266"/>
      <c r="T4" s="266"/>
      <c r="U4" s="266"/>
      <c r="V4" s="266"/>
      <c r="W4" s="266"/>
      <c r="X4" s="143"/>
      <c r="Y4" s="143"/>
      <c r="Z4" s="143"/>
      <c r="AA4" s="143"/>
      <c r="AB4" s="143"/>
      <c r="AC4" s="143"/>
      <c r="AD4" s="24"/>
      <c r="AF4" s="1056" t="str">
        <f>'C-selection'!AK4</f>
        <v>Koodi:</v>
      </c>
      <c r="AG4" s="1057" t="str">
        <f>'C-selection'!AL4</f>
        <v>20051165121000000008009</v>
      </c>
    </row>
    <row r="5" spans="2:33" ht="18.75" customHeight="1" x14ac:dyDescent="0.15">
      <c r="B5" s="12"/>
      <c r="C5" s="2" t="str" cm="1">
        <f t="array" ref="C5">CONCATENATE(INDEX(KirjastoC!D4:K125,4,KirjastoC!B4)," ",'C-selection'!G7)</f>
        <v xml:space="preserve">Suunnittelija: </v>
      </c>
      <c r="D5" s="1730"/>
      <c r="E5" s="1730"/>
      <c r="F5" s="1730"/>
      <c r="G5" s="1730"/>
      <c r="H5" s="1730"/>
      <c r="I5" s="1730"/>
      <c r="J5"/>
      <c r="K5"/>
      <c r="L5"/>
      <c r="M5" s="264">
        <v>1</v>
      </c>
      <c r="N5"/>
      <c r="O5" s="24"/>
      <c r="Q5" s="12"/>
      <c r="R5" s="258"/>
      <c r="S5" s="258"/>
      <c r="T5" s="258"/>
      <c r="U5" s="258"/>
      <c r="V5" s="143"/>
      <c r="W5" s="143"/>
      <c r="X5" s="143"/>
      <c r="Y5" s="143"/>
      <c r="Z5" s="143"/>
      <c r="AA5" s="143"/>
      <c r="AB5" s="143"/>
      <c r="AC5" s="143"/>
      <c r="AD5" s="24"/>
      <c r="AF5" s="1058" t="str">
        <f>'C-selection'!AK5</f>
        <v>Sisältökuvaus:</v>
      </c>
      <c r="AG5" s="1059"/>
    </row>
    <row r="6" spans="2:33" ht="18.75" customHeight="1" x14ac:dyDescent="0.15">
      <c r="B6" s="12"/>
      <c r="C6"/>
      <c r="D6"/>
      <c r="E6"/>
      <c r="F6" s="393" t="str" cm="1">
        <f t="array" ref="F6">IF(TuloksetC!BD2,IF(TuloksetC!BD3=FALSE,INDEX(KirjastoC!D4:K136,128,KirjastoC!B4),""),"")</f>
        <v/>
      </c>
      <c r="G6"/>
      <c r="H6"/>
      <c r="I6"/>
      <c r="J6"/>
      <c r="K6"/>
      <c r="L6"/>
      <c r="M6"/>
      <c r="N6"/>
      <c r="O6" s="24"/>
      <c r="Q6" s="12"/>
      <c r="R6" s="1731" t="str">
        <f>C4</f>
        <v xml:space="preserve">Kohde: </v>
      </c>
      <c r="S6" s="1731"/>
      <c r="T6" s="1731"/>
      <c r="U6" s="1731"/>
      <c r="V6" s="143"/>
      <c r="W6" s="143"/>
      <c r="X6" s="143"/>
      <c r="Y6" s="143"/>
      <c r="Z6" s="143"/>
      <c r="AA6" s="143"/>
      <c r="AB6" s="143"/>
      <c r="AC6" s="143"/>
      <c r="AD6" s="24"/>
      <c r="AF6" s="1091" t="s">
        <v>4</v>
      </c>
      <c r="AG6" s="1090" t="str">
        <f>'C-selection'!AL6</f>
        <v>2 = C = Commercial AHU, LTO-Vastavirtasiirrin</v>
      </c>
    </row>
    <row r="7" spans="2:33" ht="18" customHeight="1" x14ac:dyDescent="0.2">
      <c r="B7" s="12"/>
      <c r="C7" s="980" t="str" cm="1">
        <f t="array" ref="C7">INDEX(KirjastoC!D4:K125,5,KirjastoC!B4)</f>
        <v>Valitse malli erillisellä välilehdellä</v>
      </c>
      <c r="D7"/>
      <c r="E7"/>
      <c r="F7"/>
      <c r="G7"/>
      <c r="H7"/>
      <c r="I7"/>
      <c r="J7"/>
      <c r="K7"/>
      <c r="L7"/>
      <c r="M7"/>
      <c r="N7"/>
      <c r="O7" s="24"/>
      <c r="Q7" s="12"/>
      <c r="R7" s="1731" t="str">
        <f>C5</f>
        <v xml:space="preserve">Suunnittelija: </v>
      </c>
      <c r="S7" s="1731"/>
      <c r="T7" s="1731"/>
      <c r="U7" s="1731"/>
      <c r="V7" s="143"/>
      <c r="W7" s="268"/>
      <c r="X7" s="145" t="str" cm="1">
        <f t="array" ref="X7">INDEX(KirjastoC!D4:K125,74,KirjastoC!B4)</f>
        <v>= syötettävä solu</v>
      </c>
      <c r="Y7" s="143"/>
      <c r="Z7" s="143"/>
      <c r="AA7" s="143"/>
      <c r="AB7" s="143"/>
      <c r="AC7" s="143"/>
      <c r="AD7" s="24"/>
      <c r="AF7" s="1091" t="s">
        <v>2158</v>
      </c>
      <c r="AG7" s="1090" t="str">
        <f>'C-selection'!AL7</f>
        <v>005, 500dm³/s…1800m³/h   (Kone: Airfi Model C5 Electric, 230VAC 50Hz 16A, max ottoteho 2 kW  /  Airfi Model C5 Water, 230VAC 50Hz 16A, max ottoteho 2 kW )</v>
      </c>
    </row>
    <row r="8" spans="2:33" ht="18" customHeight="1" x14ac:dyDescent="0.2">
      <c r="B8" s="12"/>
      <c r="C8" s="1380" t="str">
        <f>'C koodit'!C125</f>
        <v>Airfi Model C5 Electric</v>
      </c>
      <c r="D8"/>
      <c r="E8" s="1389" t="str">
        <f>AF4</f>
        <v>Koodi:</v>
      </c>
      <c r="F8" s="83" t="str">
        <f>AG4</f>
        <v>20051165121000000008009</v>
      </c>
      <c r="G8"/>
      <c r="H8"/>
      <c r="I8"/>
      <c r="J8" s="394"/>
      <c r="K8"/>
      <c r="L8"/>
      <c r="M8"/>
      <c r="N8"/>
      <c r="O8" s="24"/>
      <c r="Q8" s="12"/>
      <c r="R8" s="1089"/>
      <c r="S8" s="1089"/>
      <c r="T8" s="1089"/>
      <c r="U8" s="1089"/>
      <c r="V8" s="1089"/>
      <c r="W8" s="1089"/>
      <c r="X8" s="1089"/>
      <c r="Y8" s="1089"/>
      <c r="Z8" s="143"/>
      <c r="AA8" s="143"/>
      <c r="AB8" s="143"/>
      <c r="AC8" s="143"/>
      <c r="AD8" s="24"/>
      <c r="AF8" s="1091" t="s">
        <v>6</v>
      </c>
      <c r="AG8" s="1090" t="str">
        <f>'C-selection'!AL8</f>
        <v>1 = R = oikea (jäteilma oikeassa reunassa huoltosuunnasta katsoen), Vakiotoimitus, jos ei muuta pyydetty</v>
      </c>
    </row>
    <row r="9" spans="2:33" ht="19.5" customHeight="1" x14ac:dyDescent="0.15">
      <c r="B9" s="12"/>
      <c r="C9" s="1080"/>
      <c r="D9"/>
      <c r="E9"/>
      <c r="F9"/>
      <c r="G9"/>
      <c r="H9"/>
      <c r="I9"/>
      <c r="J9"/>
      <c r="K9"/>
      <c r="L9"/>
      <c r="M9"/>
      <c r="N9"/>
      <c r="O9" s="24"/>
      <c r="Q9" s="12"/>
      <c r="R9" s="1732" t="str" cm="1">
        <f t="array" ref="R9">INDEX(KirjastoC!D4:K125,75,KirjastoC!B4)</f>
        <v>Laskennan lähtöarvot:</v>
      </c>
      <c r="S9" s="148"/>
      <c r="T9" s="148"/>
      <c r="U9" s="149"/>
      <c r="V9" s="143"/>
      <c r="W9" s="1734" t="str" cm="1">
        <f t="array" ref="W9">INDEX(KirjastoC!D4:K125,96,KirjastoC!B4)</f>
        <v>Ulkoilman lämpötila [°C]</v>
      </c>
      <c r="X9" s="1734" t="str" cm="1">
        <f t="array" ref="X9">INDEX(KirjastoC!D4:K125,97,KirjastoC!B4)</f>
        <v>Aika vuodessa</v>
      </c>
      <c r="Y9" s="1734" t="str" cm="1">
        <f t="array" ref="Y9">INDEX(KirjastoC!D4:K125,98,KirjastoC!B4)</f>
        <v>Jäteilman lämpötila</v>
      </c>
      <c r="Z9" s="1734" t="str" cm="1">
        <f t="array" ref="Z9">INDEX(KirjastoC!D4:K125,99,KirjastoC!B4)</f>
        <v>Tuloilman lämpötila</v>
      </c>
      <c r="AA9" s="1727" t="s">
        <v>975</v>
      </c>
      <c r="AB9" s="1727" t="s">
        <v>976</v>
      </c>
      <c r="AC9" s="1727" t="s">
        <v>977</v>
      </c>
      <c r="AD9" s="24"/>
      <c r="AF9" s="1091" t="s">
        <v>178</v>
      </c>
      <c r="AG9" s="1090" t="str">
        <f>'C-selection'!AL9</f>
        <v>1 = Airfi automatiikka, valmiina mm. ModBus RTU/TCP . Monipuoliset kytkentä mahdollisuudet jne… Vakiotoimitus jos ei muuta pyydetty.</v>
      </c>
    </row>
    <row r="10" spans="2:33" ht="17.25" customHeight="1" x14ac:dyDescent="0.15">
      <c r="B10" s="12"/>
      <c r="C10"/>
      <c r="D10"/>
      <c r="E10"/>
      <c r="F10"/>
      <c r="G10"/>
      <c r="H10"/>
      <c r="I10"/>
      <c r="J10"/>
      <c r="K10"/>
      <c r="L10"/>
      <c r="M10"/>
      <c r="N10"/>
      <c r="O10" s="24"/>
      <c r="Q10" s="12"/>
      <c r="R10" s="1733"/>
      <c r="S10" s="1092" t="str" cm="1">
        <f t="array" ref="S10">IF(OR(T11&gt;'Kojeet ja kennon hyötysuhde_C'!F6,T11&lt;'Kojeet ja kennon hyötysuhde_C'!F5,T12&gt;'Kojeet ja kennon hyötysuhde_C'!F6,T12&lt;'Kojeet ja kennon hyötysuhde_C'!F5),INDEX(KirjastoC!D4:K125,23,KirjastoC!B4),"")</f>
        <v/>
      </c>
      <c r="T10" s="143"/>
      <c r="U10" s="154"/>
      <c r="V10" s="143"/>
      <c r="W10" s="1734"/>
      <c r="X10" s="1734"/>
      <c r="Y10" s="1734"/>
      <c r="Z10" s="1734"/>
      <c r="AA10" s="1727"/>
      <c r="AB10" s="1727"/>
      <c r="AC10" s="1727"/>
      <c r="AD10" s="153"/>
      <c r="AF10" s="1091" t="s">
        <v>179</v>
      </c>
      <c r="AG10" s="1090" t="str">
        <f>'C-selection'!AL10</f>
        <v>6 = ISO ePM1 65%,  (Vakiotoimitus C-koneissa, jos ei valittu muuta) (aiempi luokitus F7 taso)</v>
      </c>
    </row>
    <row r="11" spans="2:33" ht="15.75" customHeight="1" x14ac:dyDescent="0.15">
      <c r="B11" s="12"/>
      <c r="C11"/>
      <c r="D11"/>
      <c r="E11"/>
      <c r="F11"/>
      <c r="G11"/>
      <c r="H11"/>
      <c r="I11"/>
      <c r="J11"/>
      <c r="K11"/>
      <c r="L11"/>
      <c r="M11"/>
      <c r="N11"/>
      <c r="O11" s="24"/>
      <c r="Q11" s="12"/>
      <c r="R11" s="546" t="str" cm="1">
        <f t="array" ref="R11">INDEX(KirjastoC!D4:K125,76,KirjastoC!B4)</f>
        <v>Tuloilmavirta, LTO:n läpi virtaava</v>
      </c>
      <c r="S11" s="252" t="s">
        <v>215</v>
      </c>
      <c r="T11" s="256">
        <f>E33</f>
        <v>450</v>
      </c>
      <c r="U11" s="154" t="s">
        <v>72</v>
      </c>
      <c r="V11" s="155"/>
      <c r="W11" s="156">
        <f>Laskenta_vuosihyötysuhde_C!F6</f>
        <v>-32</v>
      </c>
      <c r="X11" s="157">
        <f>Laskenta_vuosihyötysuhde_C!G6</f>
        <v>0</v>
      </c>
      <c r="Y11" s="158">
        <f>Laskenta_vuosihyötysuhde_C!I6</f>
        <v>-6.5</v>
      </c>
      <c r="Z11" s="159">
        <f>Laskenta_vuosihyötysuhde_C!N6</f>
        <v>-4.5</v>
      </c>
      <c r="AA11" s="160">
        <f>Laskenta_vuosihyötysuhde_C!U6</f>
        <v>0</v>
      </c>
      <c r="AB11" s="161">
        <f>Laskenta_vuosihyötysuhde_C!V6</f>
        <v>0</v>
      </c>
      <c r="AC11" s="162">
        <f>Laskenta_vuosihyötysuhde_C!W6</f>
        <v>0</v>
      </c>
      <c r="AD11" s="24"/>
      <c r="AF11" s="1091" t="s">
        <v>180</v>
      </c>
      <c r="AG11" s="1090" t="str">
        <f>'C-selection'!AL11</f>
        <v>5 = ISO ePM10 50%,  (Vakiotoimitus C-koneissa, jos ei valittu muuta) (aiempi luokitus M5-taso)</v>
      </c>
    </row>
    <row r="12" spans="2:33" ht="16.25" customHeight="1" x14ac:dyDescent="0.15">
      <c r="B12" s="12"/>
      <c r="C12"/>
      <c r="D12"/>
      <c r="E12"/>
      <c r="F12"/>
      <c r="G12"/>
      <c r="H12"/>
      <c r="I12"/>
      <c r="J12"/>
      <c r="K12"/>
      <c r="L12"/>
      <c r="M12"/>
      <c r="N12"/>
      <c r="O12" s="24"/>
      <c r="Q12" s="12"/>
      <c r="R12" s="547" t="str" cm="1">
        <f t="array" ref="R12">INDEX(KirjastoC!D4:K125,77,KirjastoC!B4)</f>
        <v>Poistoilmavirta, LTO:n läpi virtaava</v>
      </c>
      <c r="S12" s="255" t="s">
        <v>217</v>
      </c>
      <c r="T12" s="256">
        <f>G33</f>
        <v>450</v>
      </c>
      <c r="U12" s="154" t="s">
        <v>72</v>
      </c>
      <c r="V12" s="155"/>
      <c r="W12" s="163">
        <f>Laskenta_vuosihyötysuhde_C!F7</f>
        <v>-31</v>
      </c>
      <c r="X12" s="164">
        <f>Laskenta_vuosihyötysuhde_C!G7</f>
        <v>0</v>
      </c>
      <c r="Y12" s="165">
        <f>Laskenta_vuosihyötysuhde_C!I7</f>
        <v>-6.5</v>
      </c>
      <c r="Z12" s="166">
        <f>Laskenta_vuosihyötysuhde_C!N7</f>
        <v>-3.5</v>
      </c>
      <c r="AA12" s="167">
        <f>Laskenta_vuosihyötysuhde_C!U7</f>
        <v>0</v>
      </c>
      <c r="AB12" s="168">
        <f>Laskenta_vuosihyötysuhde_C!V7</f>
        <v>0</v>
      </c>
      <c r="AC12" s="169">
        <f>Laskenta_vuosihyötysuhde_C!W7</f>
        <v>0</v>
      </c>
      <c r="AD12" s="24"/>
      <c r="AF12" s="1091" t="s">
        <v>2159</v>
      </c>
      <c r="AG12" s="1090" t="str">
        <f>'C-selection'!AL12</f>
        <v>12 = Electric, Jälkilämmityspaketti 2: Sulakekoko 400VAC 3x25A, max ottoteho 14,4 kW - Oma jälkilämmityksen syöttö (malleihin C5, Cxx),  Vakiotoimitus konekoossa C5 Electric jos ei muuta pyydetty</v>
      </c>
    </row>
    <row r="13" spans="2:33" ht="16.25" customHeight="1" x14ac:dyDescent="0.15">
      <c r="B13" s="12"/>
      <c r="C13"/>
      <c r="D13"/>
      <c r="E13"/>
      <c r="F13"/>
      <c r="G13"/>
      <c r="H13"/>
      <c r="I13"/>
      <c r="J13"/>
      <c r="K13"/>
      <c r="L13"/>
      <c r="M13"/>
      <c r="N13"/>
      <c r="O13" s="24"/>
      <c r="Q13" s="12"/>
      <c r="R13" s="1720" t="str" cm="1">
        <f t="array" ref="R13">INDEX(KirjastoC!D4:K125,78,KirjastoC!B4)</f>
        <v>LTO:n läpi virtaavan tulo- ja poistoilmavirran suhde</v>
      </c>
      <c r="S13" s="143"/>
      <c r="T13" s="182"/>
      <c r="U13" s="154"/>
      <c r="V13" s="155"/>
      <c r="W13" s="163">
        <f>Laskenta_vuosihyötysuhde_C!F8</f>
        <v>-30</v>
      </c>
      <c r="X13" s="164">
        <f>Laskenta_vuosihyötysuhde_C!G8</f>
        <v>0</v>
      </c>
      <c r="Y13" s="165">
        <f>Laskenta_vuosihyötysuhde_C!I8</f>
        <v>-6.5</v>
      </c>
      <c r="Z13" s="166">
        <f>Laskenta_vuosihyötysuhde_C!N8</f>
        <v>-2.5</v>
      </c>
      <c r="AA13" s="167">
        <f>Laskenta_vuosihyötysuhde_C!U8</f>
        <v>0</v>
      </c>
      <c r="AB13" s="168">
        <f>Laskenta_vuosihyötysuhde_C!V8</f>
        <v>0</v>
      </c>
      <c r="AC13" s="169">
        <f>Laskenta_vuosihyötysuhde_C!W8</f>
        <v>0</v>
      </c>
      <c r="AD13" s="24"/>
      <c r="AF13" s="1091" t="s">
        <v>2128</v>
      </c>
      <c r="AG13" s="1090" t="str">
        <f>'C-selection'!AL13</f>
        <v>1 = Electric, Vakiona valitun teholuokan mukaiset varusteet (Huom! Electric malleissa jälkilämmityksen oma sähkönsyöttö)</v>
      </c>
    </row>
    <row r="14" spans="2:33" ht="16.25" customHeight="1" x14ac:dyDescent="0.15">
      <c r="B14" s="12"/>
      <c r="C14"/>
      <c r="D14"/>
      <c r="E14"/>
      <c r="F14"/>
      <c r="G14"/>
      <c r="H14"/>
      <c r="I14"/>
      <c r="J14"/>
      <c r="K14"/>
      <c r="L14"/>
      <c r="M14"/>
      <c r="N14"/>
      <c r="O14" s="24"/>
      <c r="Q14" s="12"/>
      <c r="R14" s="1721"/>
      <c r="S14" s="252" t="s">
        <v>256</v>
      </c>
      <c r="T14" s="265">
        <f>T11/T12</f>
        <v>1</v>
      </c>
      <c r="U14" s="170"/>
      <c r="V14" s="155"/>
      <c r="W14" s="163">
        <f>Laskenta_vuosihyötysuhde_C!F9</f>
        <v>-29</v>
      </c>
      <c r="X14" s="164">
        <f>Laskenta_vuosihyötysuhde_C!G9</f>
        <v>0</v>
      </c>
      <c r="Y14" s="165">
        <f>Laskenta_vuosihyötysuhde_C!I9</f>
        <v>-6.5</v>
      </c>
      <c r="Z14" s="166">
        <f>Laskenta_vuosihyötysuhde_C!N9</f>
        <v>-1.4999999999999964</v>
      </c>
      <c r="AA14" s="167">
        <f>Laskenta_vuosihyötysuhde_C!U9</f>
        <v>0</v>
      </c>
      <c r="AB14" s="168">
        <f>Laskenta_vuosihyötysuhde_C!V9</f>
        <v>0</v>
      </c>
      <c r="AC14" s="169">
        <f>Laskenta_vuosihyötysuhde_C!W9</f>
        <v>0</v>
      </c>
      <c r="AD14" s="24"/>
      <c r="AF14" s="1091" t="s">
        <v>2129</v>
      </c>
      <c r="AG14" s="1090" t="str">
        <f>'C-selection'!AL14</f>
        <v xml:space="preserve">0 = ei sisäistä jäähdytystä. Vakiotoimitus jos ei muuta pyydetty. </v>
      </c>
    </row>
    <row r="15" spans="2:33" ht="16.25" customHeight="1" x14ac:dyDescent="0.15">
      <c r="B15" s="12"/>
      <c r="C15"/>
      <c r="D15"/>
      <c r="E15"/>
      <c r="F15"/>
      <c r="G15"/>
      <c r="H15"/>
      <c r="I15"/>
      <c r="J15"/>
      <c r="K15"/>
      <c r="L15"/>
      <c r="M15"/>
      <c r="N15"/>
      <c r="O15" s="24"/>
      <c r="Q15" s="12"/>
      <c r="R15" s="512"/>
      <c r="S15" s="143"/>
      <c r="T15" s="182"/>
      <c r="U15" s="154"/>
      <c r="V15" s="143"/>
      <c r="W15" s="163">
        <f>Laskenta_vuosihyötysuhde_C!F10</f>
        <v>-28</v>
      </c>
      <c r="X15" s="164">
        <f>Laskenta_vuosihyötysuhde_C!G10</f>
        <v>0</v>
      </c>
      <c r="Y15" s="165">
        <f>Laskenta_vuosihyötysuhde_C!I10</f>
        <v>-6.4999999999999964</v>
      </c>
      <c r="Z15" s="166">
        <f>Laskenta_vuosihyötysuhde_C!N10</f>
        <v>-0.50000000000000355</v>
      </c>
      <c r="AA15" s="167">
        <f>Laskenta_vuosihyötysuhde_C!U10</f>
        <v>0</v>
      </c>
      <c r="AB15" s="168">
        <f>Laskenta_vuosihyötysuhde_C!V10</f>
        <v>0</v>
      </c>
      <c r="AC15" s="169">
        <f>Laskenta_vuosihyötysuhde_C!W10</f>
        <v>0</v>
      </c>
      <c r="AD15" s="24"/>
      <c r="AF15" s="1091" t="s">
        <v>2130</v>
      </c>
      <c r="AG15" s="1090" t="str">
        <f>'C-selection'!AL15</f>
        <v>0 = Ei jäähdytyksen toimilaitteita tai venttiileitä. Vakiotoimitus jos ei muuta pyydetty.</v>
      </c>
    </row>
    <row r="16" spans="2:33" ht="16.25" customHeight="1" x14ac:dyDescent="0.15">
      <c r="B16" s="12"/>
      <c r="C16"/>
      <c r="D16"/>
      <c r="E16"/>
      <c r="F16"/>
      <c r="G16"/>
      <c r="H16"/>
      <c r="I16"/>
      <c r="J16"/>
      <c r="K16"/>
      <c r="L16"/>
      <c r="M16"/>
      <c r="N16"/>
      <c r="O16" s="24"/>
      <c r="Q16" s="12"/>
      <c r="R16" s="1720" t="str" cm="1">
        <f t="array" ref="R16">INDEX(KirjastoC!D4:K125,79,KirjastoC!B4)</f>
        <v>LTO-vaatimuksen piiriin kuuluva erillispoistoilmavirta</v>
      </c>
      <c r="S16" s="143"/>
      <c r="T16" s="182"/>
      <c r="U16" s="154"/>
      <c r="V16" s="143"/>
      <c r="W16" s="163">
        <f>Laskenta_vuosihyötysuhde_C!F11</f>
        <v>-27</v>
      </c>
      <c r="X16" s="164">
        <f>Laskenta_vuosihyötysuhde_C!G11</f>
        <v>0</v>
      </c>
      <c r="Y16" s="165">
        <f>Laskenta_vuosihyötysuhde_C!I11</f>
        <v>-6.5</v>
      </c>
      <c r="Z16" s="166">
        <f>Laskenta_vuosihyötysuhde_C!N11</f>
        <v>0.5</v>
      </c>
      <c r="AA16" s="167">
        <f>Laskenta_vuosihyötysuhde_C!U11</f>
        <v>0</v>
      </c>
      <c r="AB16" s="168">
        <f>Laskenta_vuosihyötysuhde_C!V11</f>
        <v>0</v>
      </c>
      <c r="AC16" s="169">
        <f>Laskenta_vuosihyötysuhde_C!W11</f>
        <v>0</v>
      </c>
      <c r="AD16" s="24"/>
      <c r="AF16" s="1091" t="s">
        <v>496</v>
      </c>
      <c r="AG16" s="1090" t="str">
        <f>'C-selection'!AL16</f>
        <v>0 = Ei suodatinvahteja.  Vakiotoimitus jos ei muuta pyydetty.</v>
      </c>
    </row>
    <row r="17" spans="2:33" ht="16.25" customHeight="1" x14ac:dyDescent="0.15">
      <c r="B17" s="12"/>
      <c r="C17"/>
      <c r="D17"/>
      <c r="E17"/>
      <c r="F17"/>
      <c r="G17"/>
      <c r="H17"/>
      <c r="I17"/>
      <c r="J17"/>
      <c r="K17"/>
      <c r="L17"/>
      <c r="M17"/>
      <c r="N17"/>
      <c r="O17" s="24"/>
      <c r="Q17" s="12"/>
      <c r="R17" s="1721"/>
      <c r="S17" s="252" t="s">
        <v>221</v>
      </c>
      <c r="T17" s="648">
        <v>0</v>
      </c>
      <c r="U17" s="154" t="s">
        <v>72</v>
      </c>
      <c r="V17" s="155"/>
      <c r="W17" s="163">
        <f>Laskenta_vuosihyötysuhde_C!F12</f>
        <v>-26</v>
      </c>
      <c r="X17" s="164">
        <f>Laskenta_vuosihyötysuhde_C!G12</f>
        <v>0</v>
      </c>
      <c r="Y17" s="165">
        <f>Laskenta_vuosihyötysuhde_C!I12</f>
        <v>-6.5</v>
      </c>
      <c r="Z17" s="166">
        <f>Laskenta_vuosihyötysuhde_C!N12</f>
        <v>1.5</v>
      </c>
      <c r="AA17" s="167">
        <f>Laskenta_vuosihyötysuhde_C!U12</f>
        <v>0</v>
      </c>
      <c r="AB17" s="168">
        <f>Laskenta_vuosihyötysuhde_C!V12</f>
        <v>0</v>
      </c>
      <c r="AC17" s="169">
        <f>Laskenta_vuosihyötysuhde_C!W12</f>
        <v>0</v>
      </c>
      <c r="AD17" s="24"/>
      <c r="AF17" s="1091" t="s">
        <v>2069</v>
      </c>
      <c r="AG17" s="1090" t="str">
        <f>'C-selection'!AL17</f>
        <v>0 = Ei vakiopainesäätöä. Vakiotoimitus jos ei muuta pyydetty.</v>
      </c>
    </row>
    <row r="18" spans="2:33" ht="16.25" customHeight="1" x14ac:dyDescent="0.15">
      <c r="B18" s="12"/>
      <c r="C18"/>
      <c r="D18"/>
      <c r="E18"/>
      <c r="F18"/>
      <c r="G18"/>
      <c r="H18"/>
      <c r="I18"/>
      <c r="J18"/>
      <c r="K18"/>
      <c r="L18"/>
      <c r="M18"/>
      <c r="N18"/>
      <c r="O18" s="24"/>
      <c r="Q18" s="12"/>
      <c r="R18" s="546" t="str" cm="1">
        <f t="array" ref="R18">INDEX(KirjastoC!D4:K125,80,KirjastoC!B4)</f>
        <v>Em. erillispoistoilman käyttöaika</v>
      </c>
      <c r="S18" s="252" t="s">
        <v>223</v>
      </c>
      <c r="T18" s="648">
        <v>0</v>
      </c>
      <c r="U18" s="154" t="str" cm="1">
        <f t="array" ref="U18">INDEX(KirjastoC!D4:K500,212,KirjastoC!B4)</f>
        <v>h / vrk</v>
      </c>
      <c r="V18" s="155"/>
      <c r="W18" s="163">
        <f>Laskenta_vuosihyötysuhde_C!F13</f>
        <v>-25</v>
      </c>
      <c r="X18" s="164">
        <f>Laskenta_vuosihyötysuhde_C!G13</f>
        <v>0</v>
      </c>
      <c r="Y18" s="165">
        <f>Laskenta_vuosihyötysuhde_C!I13</f>
        <v>-6.5</v>
      </c>
      <c r="Z18" s="166">
        <f>Laskenta_vuosihyötysuhde_C!N13</f>
        <v>2.5</v>
      </c>
      <c r="AA18" s="167">
        <f>Laskenta_vuosihyötysuhde_C!U13</f>
        <v>0</v>
      </c>
      <c r="AB18" s="168">
        <f>Laskenta_vuosihyötysuhde_C!V13</f>
        <v>0</v>
      </c>
      <c r="AC18" s="169">
        <f>Laskenta_vuosihyötysuhde_C!W13</f>
        <v>0</v>
      </c>
      <c r="AD18" s="24"/>
      <c r="AF18" s="1091" t="s">
        <v>2131</v>
      </c>
      <c r="AG18" s="1090" t="str">
        <f>'C-selection'!AL18</f>
        <v xml:space="preserve">0 = Ei ilmamäärämittausta. Vakiotoimitus jos ei muuta pyydetty. </v>
      </c>
    </row>
    <row r="19" spans="2:33" ht="16.25" customHeight="1" x14ac:dyDescent="0.15">
      <c r="B19" s="12"/>
      <c r="C19"/>
      <c r="D19"/>
      <c r="E19"/>
      <c r="F19"/>
      <c r="G19"/>
      <c r="H19"/>
      <c r="I19"/>
      <c r="J19"/>
      <c r="K19"/>
      <c r="L19"/>
      <c r="M19"/>
      <c r="N19"/>
      <c r="O19" s="24"/>
      <c r="Q19" s="12"/>
      <c r="R19" s="1720" t="str" cm="1">
        <f t="array" ref="R19">INDEX(KirjastoC!D4:K125,81,KirjastoC!B4)</f>
        <v>Koko IV:n tulo- ja poistoilmavirtojen suhde</v>
      </c>
      <c r="S19"/>
      <c r="T19" s="742" t="str">
        <f>IF(OR(T18&lt;0,T18&gt;24),"Virheellinen lukema","")</f>
        <v/>
      </c>
      <c r="U19" s="154"/>
      <c r="V19" s="155"/>
      <c r="W19" s="163">
        <f>Laskenta_vuosihyötysuhde_C!F14</f>
        <v>-24</v>
      </c>
      <c r="X19" s="164">
        <f>Laskenta_vuosihyötysuhde_C!G14</f>
        <v>1.1415525114155251E-4</v>
      </c>
      <c r="Y19" s="165">
        <f>Laskenta_vuosihyötysuhde_C!I14</f>
        <v>-6.5</v>
      </c>
      <c r="Z19" s="166">
        <f>Laskenta_vuosihyötysuhde_C!N14</f>
        <v>3.5000000000000036</v>
      </c>
      <c r="AA19" s="167">
        <f>Laskenta_vuosihyötysuhde_C!U14</f>
        <v>1.875</v>
      </c>
      <c r="AB19" s="168">
        <f>Laskenta_vuosihyötysuhde_C!V14</f>
        <v>1.1458333333333335</v>
      </c>
      <c r="AC19" s="169">
        <f>Laskenta_vuosihyötysuhde_C!W14</f>
        <v>1.1458333333333333</v>
      </c>
      <c r="AD19" s="24"/>
      <c r="AF19" s="1091" t="s">
        <v>2132</v>
      </c>
      <c r="AG19" s="1090" t="str">
        <f>'C-selection'!AL19</f>
        <v>0 = Ei  sulkupeltejä eikä toimilaitteita jäte- ja ulkoilmalle. Vakiotoimitus jos ei muuta pyydetty.</v>
      </c>
    </row>
    <row r="20" spans="2:33" ht="16.25" customHeight="1" x14ac:dyDescent="0.25">
      <c r="B20" s="12"/>
      <c r="C20"/>
      <c r="D20"/>
      <c r="E20"/>
      <c r="F20"/>
      <c r="G20"/>
      <c r="H20"/>
      <c r="I20"/>
      <c r="J20"/>
      <c r="K20"/>
      <c r="L20"/>
      <c r="M20"/>
      <c r="N20"/>
      <c r="O20" s="24"/>
      <c r="Q20" s="12"/>
      <c r="R20" s="1721"/>
      <c r="S20" s="76" t="s">
        <v>297</v>
      </c>
      <c r="T20" s="265">
        <f>T11/(T12+(T18/24*T17))</f>
        <v>1</v>
      </c>
      <c r="U20" s="170"/>
      <c r="V20" s="155"/>
      <c r="W20" s="163">
        <f>Laskenta_vuosihyötysuhde_C!F15</f>
        <v>-23</v>
      </c>
      <c r="X20" s="164">
        <f>Laskenta_vuosihyötysuhde_C!G15</f>
        <v>3.4246575342465754E-4</v>
      </c>
      <c r="Y20" s="165">
        <f>Laskenta_vuosihyötysuhde_C!I15</f>
        <v>-6.5</v>
      </c>
      <c r="Z20" s="166">
        <f>Laskenta_vuosihyötysuhde_C!N15</f>
        <v>4.5</v>
      </c>
      <c r="AA20" s="167">
        <f>Laskenta_vuosihyötysuhde_C!U15</f>
        <v>3.6666666666666674</v>
      </c>
      <c r="AB20" s="168">
        <f>Laskenta_vuosihyötysuhde_C!V15</f>
        <v>2.291666666666667</v>
      </c>
      <c r="AC20" s="169">
        <f>Laskenta_vuosihyötysuhde_C!W15</f>
        <v>2.291666666666667</v>
      </c>
      <c r="AD20" s="24"/>
      <c r="AF20" s="1091" t="s">
        <v>2133</v>
      </c>
      <c r="AG20" s="1090" t="str">
        <f>'C-selection'!AL20</f>
        <v xml:space="preserve">0 = Ei sensoreita. Vakiotoimitus jos ei muuta pyydetty. </v>
      </c>
    </row>
    <row r="21" spans="2:33" ht="16.25" customHeight="1" x14ac:dyDescent="0.15">
      <c r="B21" s="12"/>
      <c r="C21"/>
      <c r="D21"/>
      <c r="E21"/>
      <c r="F21"/>
      <c r="G21"/>
      <c r="H21"/>
      <c r="I21"/>
      <c r="J21"/>
      <c r="K21"/>
      <c r="L21"/>
      <c r="M21"/>
      <c r="N21"/>
      <c r="O21" s="24"/>
      <c r="Q21" s="12"/>
      <c r="R21" s="512"/>
      <c r="S21" s="143"/>
      <c r="T21" s="182"/>
      <c r="U21" s="154"/>
      <c r="V21" s="143"/>
      <c r="W21" s="163">
        <f>Laskenta_vuosihyötysuhde_C!F16</f>
        <v>-22</v>
      </c>
      <c r="X21" s="164">
        <f>Laskenta_vuosihyötysuhde_C!G16</f>
        <v>5.7077625570776253E-4</v>
      </c>
      <c r="Y21" s="165">
        <f>Laskenta_vuosihyötysuhde_C!I16</f>
        <v>-6.5</v>
      </c>
      <c r="Z21" s="166">
        <f>Laskenta_vuosihyötysuhde_C!N16</f>
        <v>5.5</v>
      </c>
      <c r="AA21" s="167">
        <f>Laskenta_vuosihyötysuhde_C!U16</f>
        <v>3.5833333333333326</v>
      </c>
      <c r="AB21" s="168">
        <f>Laskenta_vuosihyötysuhde_C!V16</f>
        <v>2.2916666666666661</v>
      </c>
      <c r="AC21" s="169">
        <f>Laskenta_vuosihyötysuhde_C!W16</f>
        <v>2.2916666666666661</v>
      </c>
      <c r="AD21" s="24"/>
      <c r="AF21" s="1091" t="s">
        <v>47</v>
      </c>
      <c r="AG21" s="1090" t="str">
        <f>'C-selection'!AL21</f>
        <v>0 = Ei energiamittareita. Vakiotoimitus jos ei muuta pyydetty.</v>
      </c>
    </row>
    <row r="22" spans="2:33" ht="16.25" customHeight="1" x14ac:dyDescent="0.15">
      <c r="B22" s="12"/>
      <c r="C22"/>
      <c r="D22"/>
      <c r="E22"/>
      <c r="F22"/>
      <c r="G22"/>
      <c r="H22"/>
      <c r="I22"/>
      <c r="J22"/>
      <c r="K22"/>
      <c r="L22"/>
      <c r="M22"/>
      <c r="N22"/>
      <c r="O22" s="24"/>
      <c r="Q22" s="12"/>
      <c r="R22" s="548" t="str" cm="1">
        <f t="array" ref="R22">INDEX(KirjastoC!D4:K200,144,KirjastoC!B4)</f>
        <v>Lämmöntalteenottokennon hyötysuhde (EN 308)</v>
      </c>
      <c r="S22" s="252" t="s">
        <v>1268</v>
      </c>
      <c r="T22" s="745">
        <f>TuloksetC!DL37</f>
        <v>0.81600000000000006</v>
      </c>
      <c r="U22" s="154"/>
      <c r="V22" s="143"/>
      <c r="W22" s="163">
        <f>Laskenta_vuosihyötysuhde_C!F17</f>
        <v>-21</v>
      </c>
      <c r="X22" s="164">
        <f>Laskenta_vuosihyötysuhde_C!G17</f>
        <v>1.1415525114155251E-3</v>
      </c>
      <c r="Y22" s="165">
        <f>Laskenta_vuosihyötysuhde_C!I17</f>
        <v>-6.5</v>
      </c>
      <c r="Z22" s="166">
        <f>Laskenta_vuosihyötysuhde_C!N17</f>
        <v>6.5</v>
      </c>
      <c r="AA22" s="167">
        <f>Laskenta_vuosihyötysuhde_C!U17</f>
        <v>8.75</v>
      </c>
      <c r="AB22" s="168">
        <f>Laskenta_vuosihyötysuhde_C!V17</f>
        <v>5.7291666666666661</v>
      </c>
      <c r="AC22" s="169">
        <f>Laskenta_vuosihyötysuhde_C!W17</f>
        <v>5.7291666666666661</v>
      </c>
      <c r="AD22" s="24"/>
      <c r="AF22" s="1091" t="s">
        <v>2134</v>
      </c>
      <c r="AG22" s="1090" t="str">
        <f>'C-selection'!AL22</f>
        <v>8 = Mille Wire (vakiona toimituksessa C-sarjan koneissa 1 kpl)</v>
      </c>
    </row>
    <row r="23" spans="2:33" ht="16.25" customHeight="1" x14ac:dyDescent="0.15">
      <c r="B23" s="12"/>
      <c r="C23"/>
      <c r="D23"/>
      <c r="E23"/>
      <c r="F23"/>
      <c r="G23"/>
      <c r="H23"/>
      <c r="I23"/>
      <c r="J23"/>
      <c r="K23"/>
      <c r="L23"/>
      <c r="M23"/>
      <c r="N23"/>
      <c r="O23" s="24"/>
      <c r="Q23" s="12"/>
      <c r="R23" s="548" t="str" cm="1">
        <f t="array" ref="R23">INDEX(KirjastoC!D4:K125,82,KirjastoC!B4)</f>
        <v>Tuloilman lämpötilahyötysuhde yhtä suurilla ilmavirroilla (EN 13141-7)</v>
      </c>
      <c r="S23" s="252" t="s">
        <v>298</v>
      </c>
      <c r="T23" s="745">
        <f>TuloksetC!DK37</f>
        <v>0.85299999999999998</v>
      </c>
      <c r="U23" s="154"/>
      <c r="V23" s="143"/>
      <c r="W23" s="163">
        <f>Laskenta_vuosihyötysuhde_C!F18</f>
        <v>-20</v>
      </c>
      <c r="X23" s="164">
        <f>Laskenta_vuosihyötysuhde_C!G18</f>
        <v>2.8538812785388126E-3</v>
      </c>
      <c r="Y23" s="165">
        <f>Laskenta_vuosihyötysuhde_C!I18</f>
        <v>-6.5</v>
      </c>
      <c r="Z23" s="166">
        <f>Laskenta_vuosihyötysuhde_C!N18</f>
        <v>7.5</v>
      </c>
      <c r="AA23" s="167">
        <f>Laskenta_vuosihyötysuhde_C!U18</f>
        <v>25.625</v>
      </c>
      <c r="AB23" s="168">
        <f>Laskenta_vuosihyötysuhde_C!V18</f>
        <v>17.187499999999996</v>
      </c>
      <c r="AC23" s="169">
        <f>Laskenta_vuosihyötysuhde_C!W18</f>
        <v>17.187499999999996</v>
      </c>
      <c r="AD23" s="24"/>
      <c r="AF23" s="1091" t="s">
        <v>2160</v>
      </c>
      <c r="AG23" s="1090" t="str">
        <f>'C-selection'!AL23</f>
        <v>00 = Oletus (ei valittu),  Vakiotoimitus jos ei muuta pyydetty)</v>
      </c>
    </row>
    <row r="24" spans="2:33" ht="16.25" customHeight="1" x14ac:dyDescent="0.15">
      <c r="B24" s="12"/>
      <c r="C24"/>
      <c r="D24"/>
      <c r="E24"/>
      <c r="F24"/>
      <c r="G24"/>
      <c r="H24"/>
      <c r="I24"/>
      <c r="J24"/>
      <c r="K24"/>
      <c r="L24"/>
      <c r="M24"/>
      <c r="N24"/>
      <c r="O24" s="24"/>
      <c r="Q24" s="12"/>
      <c r="R24" s="548" t="str" cm="1">
        <f t="array" ref="R24">INDEX(KirjastoC!D4:K125,83,KirjastoC!B4)</f>
        <v>Tuloilman lämpötilahyötysuhde</v>
      </c>
      <c r="S24" s="252" t="s">
        <v>299</v>
      </c>
      <c r="T24" s="745">
        <f>IFERROR(MIN(2/(1+T14)*T23,0.9),"-")</f>
        <v>0.85299999999999998</v>
      </c>
      <c r="U24" s="154"/>
      <c r="V24" s="143"/>
      <c r="W24" s="163">
        <f>Laskenta_vuosihyötysuhde_C!F19</f>
        <v>-19</v>
      </c>
      <c r="X24" s="164">
        <f>Laskenta_vuosihyötysuhde_C!G19</f>
        <v>5.3652968036529683E-3</v>
      </c>
      <c r="Y24" s="165">
        <f>Laskenta_vuosihyötysuhde_C!I19</f>
        <v>-6.5</v>
      </c>
      <c r="Z24" s="166">
        <f>Laskenta_vuosihyötysuhde_C!N19</f>
        <v>8.5</v>
      </c>
      <c r="AA24" s="167">
        <f>Laskenta_vuosihyötysuhde_C!U19</f>
        <v>36.666666666666671</v>
      </c>
      <c r="AB24" s="168">
        <f>Laskenta_vuosihyötysuhde_C!V19</f>
        <v>25.208333333333339</v>
      </c>
      <c r="AC24" s="169">
        <f>Laskenta_vuosihyötysuhde_C!W19</f>
        <v>25.208333333333339</v>
      </c>
      <c r="AD24" s="24"/>
      <c r="AF24" s="1091" t="s">
        <v>2135</v>
      </c>
      <c r="AG24" s="1090" t="str">
        <f>'C-selection'!AL24</f>
        <v>9 = Toimitus listauksen mukaisesti</v>
      </c>
    </row>
    <row r="25" spans="2:33" ht="16.25" customHeight="1" x14ac:dyDescent="0.15">
      <c r="B25" s="12"/>
      <c r="C25"/>
      <c r="D25"/>
      <c r="E25"/>
      <c r="F25"/>
      <c r="G25"/>
      <c r="H25"/>
      <c r="I25"/>
      <c r="J25"/>
      <c r="K25"/>
      <c r="L25"/>
      <c r="M25"/>
      <c r="N25"/>
      <c r="O25" s="24"/>
      <c r="Q25" s="12"/>
      <c r="R25" s="512"/>
      <c r="S25" s="143"/>
      <c r="T25" s="182"/>
      <c r="U25" s="154"/>
      <c r="V25" s="143"/>
      <c r="W25" s="163">
        <f>Laskenta_vuosihyötysuhde_C!F20</f>
        <v>-18</v>
      </c>
      <c r="X25" s="164">
        <f>Laskenta_vuosihyötysuhde_C!G20</f>
        <v>7.0776255707762558E-3</v>
      </c>
      <c r="Y25" s="165">
        <f>Laskenta_vuosihyötysuhde_C!I20</f>
        <v>-6.5</v>
      </c>
      <c r="Z25" s="166">
        <f>Laskenta_vuosihyötysuhde_C!N20</f>
        <v>9.5000000000000036</v>
      </c>
      <c r="AA25" s="167">
        <f>Laskenta_vuosihyötysuhde_C!U20</f>
        <v>24.374999999999996</v>
      </c>
      <c r="AB25" s="168">
        <f>Laskenta_vuosihyötysuhde_C!V20</f>
        <v>17.1875</v>
      </c>
      <c r="AC25" s="169">
        <f>Laskenta_vuosihyötysuhde_C!W20</f>
        <v>17.187499999999996</v>
      </c>
      <c r="AD25" s="24"/>
    </row>
    <row r="26" spans="2:33" ht="16.25" customHeight="1" x14ac:dyDescent="0.15">
      <c r="B26" s="12"/>
      <c r="C26"/>
      <c r="D26"/>
      <c r="E26"/>
      <c r="F26"/>
      <c r="G26"/>
      <c r="H26"/>
      <c r="I26"/>
      <c r="J26"/>
      <c r="K26"/>
      <c r="L26"/>
      <c r="M26"/>
      <c r="N26"/>
      <c r="O26" s="24"/>
      <c r="Q26" s="12"/>
      <c r="R26" s="546" t="str" cm="1">
        <f t="array" ref="R26">INDEX(KirjastoC!D4:K200,142,KirjastoC!B4)</f>
        <v>Valitse säävyöhyke (kaupunki)</v>
      </c>
      <c r="S26" s="252"/>
      <c r="T26" s="254"/>
      <c r="U26" s="154"/>
      <c r="V26" s="143"/>
      <c r="W26" s="163">
        <f>Laskenta_vuosihyötysuhde_C!F21</f>
        <v>-17</v>
      </c>
      <c r="X26" s="164">
        <f>Laskenta_vuosihyötysuhde_C!G21</f>
        <v>9.2465753424657536E-3</v>
      </c>
      <c r="Y26" s="165">
        <f>Laskenta_vuosihyötysuhde_C!I21</f>
        <v>-6.5</v>
      </c>
      <c r="Z26" s="166">
        <f>Laskenta_vuosihyötysuhde_C!N21</f>
        <v>10.5</v>
      </c>
      <c r="AA26" s="167">
        <f>Laskenta_vuosihyötysuhde_C!U21</f>
        <v>30.083333333333336</v>
      </c>
      <c r="AB26" s="168">
        <f>Laskenta_vuosihyötysuhde_C!V21</f>
        <v>21.770833333333332</v>
      </c>
      <c r="AC26" s="169">
        <f>Laskenta_vuosihyötysuhde_C!W21</f>
        <v>21.770833333333332</v>
      </c>
      <c r="AD26" s="24"/>
    </row>
    <row r="27" spans="2:33" ht="17" x14ac:dyDescent="0.15">
      <c r="B27" s="12"/>
      <c r="C27"/>
      <c r="D27"/>
      <c r="E27"/>
      <c r="F27"/>
      <c r="G27"/>
      <c r="H27"/>
      <c r="I27"/>
      <c r="J27"/>
      <c r="K27"/>
      <c r="L27"/>
      <c r="M27"/>
      <c r="N27"/>
      <c r="O27" s="24"/>
      <c r="Q27" s="12"/>
      <c r="R27" s="546" t="str" cm="1">
        <f t="array" ref="R27">INDEX(KirjastoC!D4:K125,85,KirjastoC!B4)</f>
        <v>Sisälämpötila</v>
      </c>
      <c r="S27" s="252" t="s">
        <v>229</v>
      </c>
      <c r="T27" s="743">
        <v>21</v>
      </c>
      <c r="U27" s="154" t="s">
        <v>230</v>
      </c>
      <c r="V27" s="143"/>
      <c r="W27" s="163">
        <f>Laskenta_vuosihyötysuhde_C!F22</f>
        <v>-16</v>
      </c>
      <c r="X27" s="164">
        <f>Laskenta_vuosihyötysuhde_C!G22</f>
        <v>1.1872146118721462E-2</v>
      </c>
      <c r="Y27" s="165">
        <f>Laskenta_vuosihyötysuhde_C!I22</f>
        <v>-6.5</v>
      </c>
      <c r="Z27" s="166">
        <f>Laskenta_vuosihyötysuhde_C!N22</f>
        <v>11.5</v>
      </c>
      <c r="AA27" s="167">
        <f>Laskenta_vuosihyötysuhde_C!U22</f>
        <v>35.458333333333336</v>
      </c>
      <c r="AB27" s="168">
        <f>Laskenta_vuosihyötysuhde_C!V22</f>
        <v>26.354166666666668</v>
      </c>
      <c r="AC27" s="169">
        <f>Laskenta_vuosihyötysuhde_C!W22</f>
        <v>26.354166666666668</v>
      </c>
      <c r="AD27" s="24"/>
    </row>
    <row r="28" spans="2:33" ht="17" x14ac:dyDescent="0.15">
      <c r="B28" s="12"/>
      <c r="C28"/>
      <c r="D28"/>
      <c r="E28"/>
      <c r="F28"/>
      <c r="G28"/>
      <c r="H28"/>
      <c r="I28"/>
      <c r="J28"/>
      <c r="K28"/>
      <c r="L28"/>
      <c r="M28"/>
      <c r="N28"/>
      <c r="O28" s="24"/>
      <c r="Q28" s="12"/>
      <c r="R28" s="546" t="str" cm="1">
        <f t="array" ref="R28">INDEX(KirjastoC!D4:K125,86,KirjastoC!B4)</f>
        <v>Minimi jäteilman lämpötila</v>
      </c>
      <c r="S28" s="252" t="s">
        <v>300</v>
      </c>
      <c r="T28" s="251">
        <v>-6.5</v>
      </c>
      <c r="U28" s="154" t="s">
        <v>230</v>
      </c>
      <c r="V28" s="155"/>
      <c r="W28" s="163">
        <f>Laskenta_vuosihyötysuhde_C!F23</f>
        <v>-15</v>
      </c>
      <c r="X28" s="164">
        <f>Laskenta_vuosihyötysuhde_C!G23</f>
        <v>1.632420091324201E-2</v>
      </c>
      <c r="Y28" s="165">
        <f>Laskenta_vuosihyötysuhde_C!I23</f>
        <v>-6.5</v>
      </c>
      <c r="Z28" s="166">
        <f>Laskenta_vuosihyötysuhde_C!N23</f>
        <v>12.5</v>
      </c>
      <c r="AA28" s="167">
        <f>Laskenta_vuosihyötysuhde_C!U23</f>
        <v>58.500000000000014</v>
      </c>
      <c r="AB28" s="168">
        <f>Laskenta_vuosihyötysuhde_C!V23</f>
        <v>44.687500000000007</v>
      </c>
      <c r="AC28" s="169">
        <f>Laskenta_vuosihyötysuhde_C!W23</f>
        <v>44.687500000000007</v>
      </c>
      <c r="AD28" s="24"/>
    </row>
    <row r="29" spans="2:33" ht="15" customHeight="1" x14ac:dyDescent="0.15">
      <c r="B29" s="12"/>
      <c r="C29"/>
      <c r="D29"/>
      <c r="E29"/>
      <c r="F29"/>
      <c r="G29"/>
      <c r="H29"/>
      <c r="I29"/>
      <c r="J29"/>
      <c r="K29"/>
      <c r="L29"/>
      <c r="M29"/>
      <c r="N29"/>
      <c r="O29" s="24"/>
      <c r="Q29" s="12"/>
      <c r="R29" s="546" t="str" cm="1">
        <f t="array" ref="R29">INDEX(KirjastoC!D4:K200,146,KirjastoC!B4)</f>
        <v>Tuloilman lämpötilan rajoitus</v>
      </c>
      <c r="S29" s="252"/>
      <c r="T29" s="255"/>
      <c r="U29" s="154"/>
      <c r="V29" s="155"/>
      <c r="W29" s="163">
        <f>Laskenta_vuosihyötysuhde_C!F24</f>
        <v>-14</v>
      </c>
      <c r="X29" s="164">
        <f>Laskenta_vuosihyötysuhde_C!G24</f>
        <v>2.1917808219178082E-2</v>
      </c>
      <c r="Y29" s="165">
        <f>Laskenta_vuosihyötysuhde_C!I24</f>
        <v>-6.5</v>
      </c>
      <c r="Z29" s="166">
        <f>Laskenta_vuosihyötysuhde_C!N24</f>
        <v>13.5</v>
      </c>
      <c r="AA29" s="167">
        <f>Laskenta_vuosihyötysuhde_C!U24</f>
        <v>71.458333333333329</v>
      </c>
      <c r="AB29" s="168">
        <f>Laskenta_vuosihyötysuhde_C!V24</f>
        <v>56.145833333333321</v>
      </c>
      <c r="AC29" s="169">
        <f>Laskenta_vuosihyötysuhde_C!W24</f>
        <v>56.145833333333321</v>
      </c>
      <c r="AD29" s="24"/>
    </row>
    <row r="30" spans="2:33" ht="17" x14ac:dyDescent="0.15">
      <c r="B30" s="12"/>
      <c r="C30"/>
      <c r="D30"/>
      <c r="E30"/>
      <c r="F30"/>
      <c r="G30"/>
      <c r="H30"/>
      <c r="I30"/>
      <c r="J30"/>
      <c r="K30"/>
      <c r="L30"/>
      <c r="M30"/>
      <c r="N30"/>
      <c r="O30" s="24"/>
      <c r="Q30" s="12"/>
      <c r="R30" s="549" t="str" cm="1">
        <f t="array" ref="R30">INDEX(KirjastoC!D4:K125,87,KirjastoC!B4)</f>
        <v>Maksimi tuloilman lämpötila rajoitetussa tilanteessa</v>
      </c>
      <c r="S30" s="144" t="s">
        <v>233</v>
      </c>
      <c r="T30" s="1093">
        <v>20</v>
      </c>
      <c r="U30" s="171" t="s">
        <v>230</v>
      </c>
      <c r="V30" s="143"/>
      <c r="W30" s="163">
        <f>Laskenta_vuosihyötysuhde_C!F25</f>
        <v>-13</v>
      </c>
      <c r="X30" s="164">
        <f>Laskenta_vuosihyötysuhde_C!G25</f>
        <v>2.8652968036529679E-2</v>
      </c>
      <c r="Y30" s="165">
        <f>Laskenta_vuosihyötysuhde_C!I25</f>
        <v>-6.5</v>
      </c>
      <c r="Z30" s="166">
        <f>Laskenta_vuosihyötysuhde_C!N25</f>
        <v>14.5</v>
      </c>
      <c r="AA30" s="167">
        <f>Laskenta_vuosihyötysuhde_C!U25</f>
        <v>83.583333333333314</v>
      </c>
      <c r="AB30" s="168">
        <f>Laskenta_vuosihyötysuhde_C!V25</f>
        <v>67.604166666666657</v>
      </c>
      <c r="AC30" s="169">
        <f>Laskenta_vuosihyötysuhde_C!W25</f>
        <v>67.604166666666657</v>
      </c>
      <c r="AD30" s="24"/>
    </row>
    <row r="31" spans="2:33" ht="18" customHeight="1" x14ac:dyDescent="0.15">
      <c r="B31" s="12"/>
      <c r="C31"/>
      <c r="D31"/>
      <c r="E31"/>
      <c r="F31"/>
      <c r="G31"/>
      <c r="H31"/>
      <c r="I31"/>
      <c r="J31"/>
      <c r="K31"/>
      <c r="L31"/>
      <c r="M31"/>
      <c r="N31"/>
      <c r="O31" s="24"/>
      <c r="Q31" s="12"/>
      <c r="R31"/>
      <c r="S31" s="143"/>
      <c r="T31" s="143"/>
      <c r="U31" s="143"/>
      <c r="V31" s="143"/>
      <c r="W31" s="163">
        <f>Laskenta_vuosihyötysuhde_C!F26</f>
        <v>-12</v>
      </c>
      <c r="X31" s="164">
        <f>Laskenta_vuosihyötysuhde_C!G26</f>
        <v>3.4589041095890408E-2</v>
      </c>
      <c r="Y31" s="165">
        <f>Laskenta_vuosihyötysuhde_C!I26</f>
        <v>-6.5</v>
      </c>
      <c r="Z31" s="166">
        <f>Laskenta_vuosihyötysuhde_C!N26</f>
        <v>15.5</v>
      </c>
      <c r="AA31" s="167">
        <f>Laskenta_vuosihyötysuhde_C!U26</f>
        <v>71.499999999999972</v>
      </c>
      <c r="AB31" s="168">
        <f>Laskenta_vuosihyötysuhde_C!V26</f>
        <v>59.583333333333307</v>
      </c>
      <c r="AC31" s="169">
        <f>Laskenta_vuosihyötysuhde_C!W26</f>
        <v>59.583333333333307</v>
      </c>
      <c r="AD31" s="24"/>
    </row>
    <row r="32" spans="2:33" ht="15" customHeight="1" x14ac:dyDescent="0.15">
      <c r="B32" s="12"/>
      <c r="C32"/>
      <c r="D32"/>
      <c r="E32"/>
      <c r="F32"/>
      <c r="G32"/>
      <c r="H32"/>
      <c r="I32"/>
      <c r="J32"/>
      <c r="K32"/>
      <c r="L32"/>
      <c r="M32"/>
      <c r="N32"/>
      <c r="O32" s="24"/>
      <c r="Q32" s="12"/>
      <c r="R32" s="260" t="str" cm="1">
        <f t="array" ref="R32">INDEX(KirjastoC!D4:K125,88,KirjastoC!B4)</f>
        <v>Vuosihyötysuhde</v>
      </c>
      <c r="S32" s="261" t="s">
        <v>235</v>
      </c>
      <c r="T32" s="736">
        <f>Laskenta_vuosihyötysuhde_C!D24</f>
        <v>0.84473101983240717</v>
      </c>
      <c r="U32" s="149"/>
      <c r="V32" s="143"/>
      <c r="W32" s="163">
        <f>Laskenta_vuosihyötysuhde_C!F27</f>
        <v>-11</v>
      </c>
      <c r="X32" s="164">
        <f>Laskenta_vuosihyötysuhde_C!G27</f>
        <v>4.0639269406392696E-2</v>
      </c>
      <c r="Y32" s="165">
        <f>Laskenta_vuosihyötysuhde_C!I27</f>
        <v>-6.2959999999999994</v>
      </c>
      <c r="Z32" s="166">
        <f>Laskenta_vuosihyötysuhde_C!N27</f>
        <v>16.295999999999999</v>
      </c>
      <c r="AA32" s="167">
        <f>Laskenta_vuosihyötysuhde_C!U27</f>
        <v>70.666666666666728</v>
      </c>
      <c r="AB32" s="168">
        <f>Laskenta_vuosihyötysuhde_C!V27</f>
        <v>60.278666666666723</v>
      </c>
      <c r="AC32" s="169">
        <f>Laskenta_vuosihyötysuhde_C!W27</f>
        <v>60.278666666666723</v>
      </c>
      <c r="AD32" s="24"/>
    </row>
    <row r="33" spans="2:30" ht="15" customHeight="1" x14ac:dyDescent="0.2">
      <c r="B33" s="12"/>
      <c r="C33"/>
      <c r="D33"/>
      <c r="E33" s="1077">
        <f>IF(TuloksetC!$AC$7,'C-series'!E42,'C-series'!E43)</f>
        <v>450</v>
      </c>
      <c r="F33" s="601"/>
      <c r="G33" s="1077">
        <f>IF(TuloksetC!$AC$7,'C-series'!G42,'C-series'!G43)</f>
        <v>450</v>
      </c>
      <c r="H33"/>
      <c r="I33"/>
      <c r="J33"/>
      <c r="K33"/>
      <c r="L33"/>
      <c r="M33"/>
      <c r="N33"/>
      <c r="O33" s="24"/>
      <c r="Q33" s="12"/>
      <c r="R33" s="270"/>
      <c r="S33" s="737"/>
      <c r="T33" s="738"/>
      <c r="U33" s="154"/>
      <c r="V33" s="143"/>
      <c r="W33" s="163">
        <f>Laskenta_vuosihyötysuhde_C!F28</f>
        <v>-10</v>
      </c>
      <c r="X33" s="164">
        <f>Laskenta_vuosihyötysuhde_C!G28</f>
        <v>4.6575342465753428E-2</v>
      </c>
      <c r="Y33" s="165">
        <f>Laskenta_vuosihyötysuhde_C!I28</f>
        <v>-5.4429999999999978</v>
      </c>
      <c r="Z33" s="166">
        <f>Laskenta_vuosihyötysuhde_C!N28</f>
        <v>16.442999999999998</v>
      </c>
      <c r="AA33" s="167">
        <f>Laskenta_vuosihyötysuhde_C!U28</f>
        <v>67.166666666666686</v>
      </c>
      <c r="AB33" s="168">
        <f>Laskenta_vuosihyötysuhde_C!V28</f>
        <v>57.293166666666679</v>
      </c>
      <c r="AC33" s="169">
        <f>Laskenta_vuosihyötysuhde_C!W28</f>
        <v>57.293166666666679</v>
      </c>
      <c r="AD33" s="24"/>
    </row>
    <row r="34" spans="2:30" ht="15" customHeight="1" x14ac:dyDescent="0.15">
      <c r="B34" s="12"/>
      <c r="C34" s="126"/>
      <c r="D34" s="126"/>
      <c r="E34" s="1078"/>
      <c r="F34" s="1079"/>
      <c r="G34" s="1078"/>
      <c r="H34" s="126"/>
      <c r="I34"/>
      <c r="J34"/>
      <c r="K34"/>
      <c r="L34"/>
      <c r="M34"/>
      <c r="N34"/>
      <c r="O34" s="24"/>
      <c r="Q34" s="12"/>
      <c r="R34" s="253" t="str" cm="1">
        <f t="array" ref="R34">INDEX(KirjastoC!D4:K125,89,KirjastoC!B4)</f>
        <v>Ilmanvaihdon kokonaisenergiantarve</v>
      </c>
      <c r="S34" s="252"/>
      <c r="T34" s="256">
        <f>Laskenta_vuosihyötysuhde_C!Y51</f>
        <v>64698.797520000015</v>
      </c>
      <c r="U34" s="154" t="s">
        <v>1285</v>
      </c>
      <c r="V34" s="143"/>
      <c r="W34" s="163">
        <f>Laskenta_vuosihyötysuhde_C!F29</f>
        <v>-9</v>
      </c>
      <c r="X34" s="164">
        <f>Laskenta_vuosihyötysuhde_C!G29</f>
        <v>5.4680365296803653E-2</v>
      </c>
      <c r="Y34" s="165">
        <f>Laskenta_vuosihyötysuhde_C!I29</f>
        <v>-4.59</v>
      </c>
      <c r="Z34" s="166">
        <f>Laskenta_vuosihyötysuhde_C!N29</f>
        <v>16.59</v>
      </c>
      <c r="AA34" s="167">
        <f>Laskenta_vuosihyötysuhde_C!U29</f>
        <v>88.749999999999972</v>
      </c>
      <c r="AB34" s="168">
        <f>Laskenta_vuosihyötysuhde_C!V29</f>
        <v>75.703749999999971</v>
      </c>
      <c r="AC34" s="169">
        <f>Laskenta_vuosihyötysuhde_C!W29</f>
        <v>75.703749999999971</v>
      </c>
      <c r="AD34" s="24"/>
    </row>
    <row r="35" spans="2:30" x14ac:dyDescent="0.15">
      <c r="B35" s="12"/>
      <c r="C35" s="126"/>
      <c r="D35" s="126"/>
      <c r="E35" s="1078"/>
      <c r="F35" s="1079"/>
      <c r="G35" s="1078"/>
      <c r="H35" s="126"/>
      <c r="I35"/>
      <c r="J35"/>
      <c r="K35"/>
      <c r="L35"/>
      <c r="M35"/>
      <c r="N35"/>
      <c r="O35" s="24"/>
      <c r="Q35" s="12"/>
      <c r="R35" s="253" t="str" cm="1">
        <f t="array" ref="R35">INDEX(KirjastoC!D4:K125,90,KirjastoC!B4)</f>
        <v>Talteenotettu lämmitysenergia</v>
      </c>
      <c r="S35" s="252"/>
      <c r="T35" s="256">
        <f>Laskenta_vuosihyötysuhde_C!Z51</f>
        <v>54653.081211000004</v>
      </c>
      <c r="U35" s="154" t="s">
        <v>1285</v>
      </c>
      <c r="V35" s="143"/>
      <c r="W35" s="163">
        <f>Laskenta_vuosihyötysuhde_C!F30</f>
        <v>-8</v>
      </c>
      <c r="X35" s="164">
        <f>Laskenta_vuosihyötysuhde_C!G30</f>
        <v>6.3356164383561647E-2</v>
      </c>
      <c r="Y35" s="165">
        <f>Laskenta_vuosihyötysuhde_C!I30</f>
        <v>-3.7369999999999983</v>
      </c>
      <c r="Z35" s="166">
        <f>Laskenta_vuosihyötysuhde_C!N30</f>
        <v>16.736999999999998</v>
      </c>
      <c r="AA35" s="167">
        <f>Laskenta_vuosihyötysuhde_C!U30</f>
        <v>91.833333333333371</v>
      </c>
      <c r="AB35" s="168">
        <f>Laskenta_vuosihyötysuhde_C!V30</f>
        <v>78.333833333333359</v>
      </c>
      <c r="AC35" s="169">
        <f>Laskenta_vuosihyötysuhde_C!W30</f>
        <v>78.333833333333359</v>
      </c>
      <c r="AD35" s="24"/>
    </row>
    <row r="36" spans="2:30" ht="15.75" customHeight="1" x14ac:dyDescent="0.15">
      <c r="B36" s="12"/>
      <c r="C36" s="126"/>
      <c r="D36" s="126"/>
      <c r="E36" s="1078"/>
      <c r="F36" s="1079"/>
      <c r="G36" s="1078"/>
      <c r="H36" s="126"/>
      <c r="I36"/>
      <c r="J36"/>
      <c r="K36"/>
      <c r="L36"/>
      <c r="M36"/>
      <c r="N36"/>
      <c r="O36" s="24"/>
      <c r="Q36" s="12"/>
      <c r="R36" s="14" t="str" cm="1">
        <f t="array" ref="R36">INDEX(KirjastoC!D4:K200,145,KirjastoC!B4)</f>
        <v>Puhaltimien ja elektroniikan sähkönkulutus</v>
      </c>
      <c r="S36" s="144"/>
      <c r="T36" s="739">
        <f>Laskenta_vuosihyötysuhde_C!AG8</f>
        <v>5299.8276575530017</v>
      </c>
      <c r="U36" s="171" t="s">
        <v>1285</v>
      </c>
      <c r="V36" s="143"/>
      <c r="W36" s="163">
        <f>Laskenta_vuosihyötysuhde_C!F31</f>
        <v>-7</v>
      </c>
      <c r="X36" s="164">
        <f>Laskenta_vuosihyötysuhde_C!G31</f>
        <v>7.4999999999999997E-2</v>
      </c>
      <c r="Y36" s="165">
        <f>Laskenta_vuosihyötysuhde_C!I31</f>
        <v>-2.8840000000000003</v>
      </c>
      <c r="Z36" s="166">
        <f>Laskenta_vuosihyötysuhde_C!N31</f>
        <v>16.884</v>
      </c>
      <c r="AA36" s="167">
        <f>Laskenta_vuosihyötysuhde_C!U31</f>
        <v>118.99999999999994</v>
      </c>
      <c r="AB36" s="168">
        <f>Laskenta_vuosihyötysuhde_C!V31</f>
        <v>101.50699999999993</v>
      </c>
      <c r="AC36" s="169">
        <f>Laskenta_vuosihyötysuhde_C!W31</f>
        <v>101.50699999999993</v>
      </c>
      <c r="AD36" s="24"/>
    </row>
    <row r="37" spans="2:30" ht="14.25" customHeight="1" x14ac:dyDescent="0.15">
      <c r="B37" s="12"/>
      <c r="C37" s="126"/>
      <c r="D37" s="126"/>
      <c r="E37" s="1078"/>
      <c r="F37" s="1079"/>
      <c r="G37" s="1078"/>
      <c r="H37" s="126"/>
      <c r="I37"/>
      <c r="J37"/>
      <c r="K37"/>
      <c r="L37"/>
      <c r="M37"/>
      <c r="N37"/>
      <c r="O37" s="24"/>
      <c r="Q37" s="12"/>
      <c r="R37"/>
      <c r="S37" s="143"/>
      <c r="T37" s="143"/>
      <c r="U37" s="143"/>
      <c r="V37" s="143"/>
      <c r="W37" s="163">
        <f>Laskenta_vuosihyötysuhde_C!F32</f>
        <v>-6</v>
      </c>
      <c r="X37" s="164">
        <f>Laskenta_vuosihyötysuhde_C!G32</f>
        <v>8.8470319634703198E-2</v>
      </c>
      <c r="Y37" s="165">
        <f>Laskenta_vuosihyötysuhde_C!I32</f>
        <v>-2.0309999999999988</v>
      </c>
      <c r="Z37" s="166">
        <f>Laskenta_vuosihyötysuhde_C!N32</f>
        <v>17.030999999999999</v>
      </c>
      <c r="AA37" s="167">
        <f>Laskenta_vuosihyötysuhde_C!U32</f>
        <v>132.75000000000006</v>
      </c>
      <c r="AB37" s="168">
        <f>Laskenta_vuosihyötysuhde_C!V32</f>
        <v>113.23575000000002</v>
      </c>
      <c r="AC37" s="169">
        <f>Laskenta_vuosihyötysuhde_C!W32</f>
        <v>113.23575000000002</v>
      </c>
      <c r="AD37" s="24"/>
    </row>
    <row r="38" spans="2:30" x14ac:dyDescent="0.15">
      <c r="B38" s="12"/>
      <c r="C38" s="126"/>
      <c r="D38" s="126"/>
      <c r="E38" s="1078"/>
      <c r="F38" s="1079"/>
      <c r="G38" s="1078"/>
      <c r="H38" s="126"/>
      <c r="I38"/>
      <c r="J38"/>
      <c r="K38"/>
      <c r="L38"/>
      <c r="M38"/>
      <c r="N38"/>
      <c r="O38" s="24"/>
      <c r="Q38" s="12"/>
      <c r="R38"/>
      <c r="S38" s="143"/>
      <c r="T38" s="143"/>
      <c r="U38" s="143"/>
      <c r="V38" s="143"/>
      <c r="W38" s="163">
        <f>Laskenta_vuosihyötysuhde_C!F33</f>
        <v>-5</v>
      </c>
      <c r="X38" s="164">
        <f>Laskenta_vuosihyötysuhde_C!G33</f>
        <v>0.10547945205479452</v>
      </c>
      <c r="Y38" s="165">
        <f>Laskenta_vuosihyötysuhde_C!I33</f>
        <v>-1.1780000000000008</v>
      </c>
      <c r="Z38" s="166">
        <f>Laskenta_vuosihyötysuhde_C!N33</f>
        <v>17.178000000000001</v>
      </c>
      <c r="AA38" s="167">
        <f>Laskenta_vuosihyötysuhde_C!U33</f>
        <v>161.41666666666663</v>
      </c>
      <c r="AB38" s="168">
        <f>Laskenta_vuosihyötysuhde_C!V33</f>
        <v>137.68841666666663</v>
      </c>
      <c r="AC38" s="169">
        <f>Laskenta_vuosihyötysuhde_C!W33</f>
        <v>137.68841666666663</v>
      </c>
      <c r="AD38" s="24"/>
    </row>
    <row r="39" spans="2:30" x14ac:dyDescent="0.15">
      <c r="B39" s="12"/>
      <c r="C39"/>
      <c r="D39"/>
      <c r="E39"/>
      <c r="F39"/>
      <c r="G39"/>
      <c r="H39"/>
      <c r="I39"/>
      <c r="J39"/>
      <c r="K39"/>
      <c r="L39"/>
      <c r="M39"/>
      <c r="N39"/>
      <c r="O39" s="24"/>
      <c r="Q39" s="12"/>
      <c r="R39"/>
      <c r="S39" s="143"/>
      <c r="T39" s="143"/>
      <c r="U39" s="143"/>
      <c r="V39" s="143"/>
      <c r="W39" s="163">
        <f>Laskenta_vuosihyötysuhde_C!F34</f>
        <v>-4</v>
      </c>
      <c r="X39" s="164">
        <f>Laskenta_vuosihyötysuhde_C!G34</f>
        <v>0.12888127853881279</v>
      </c>
      <c r="Y39" s="165">
        <f>Laskenta_vuosihyötysuhde_C!I34</f>
        <v>-0.32499999999999929</v>
      </c>
      <c r="Z39" s="166">
        <f>Laskenta_vuosihyötysuhde_C!N34</f>
        <v>17.324999999999999</v>
      </c>
      <c r="AA39" s="167">
        <f>Laskenta_vuosihyötysuhde_C!U34</f>
        <v>213.54166666666671</v>
      </c>
      <c r="AB39" s="168">
        <f>Laskenta_vuosihyötysuhde_C!V34</f>
        <v>182.15104166666669</v>
      </c>
      <c r="AC39" s="169">
        <f>Laskenta_vuosihyötysuhde_C!W34</f>
        <v>182.15104166666669</v>
      </c>
      <c r="AD39" s="24"/>
    </row>
    <row r="40" spans="2:30" x14ac:dyDescent="0.15">
      <c r="B40" s="12"/>
      <c r="C40" s="2" t="str" cm="1">
        <f t="array" ref="C40">INDEX(KirjastoC!D4:K150,133,KirjastoC!B4)</f>
        <v>Mitoituspiste (syötä tilavuusvirta ja paine-ero)</v>
      </c>
      <c r="D40"/>
      <c r="E40"/>
      <c r="F40"/>
      <c r="G40"/>
      <c r="H40"/>
      <c r="I40"/>
      <c r="J40" s="2" t="str" cm="1">
        <f t="array" ref="J40">INDEX(KirjastoC!D4:K150,134,KirjastoC!B4)</f>
        <v>Tehostustilanteen laskenta:</v>
      </c>
      <c r="K40"/>
      <c r="L40"/>
      <c r="M40"/>
      <c r="N40"/>
      <c r="O40" s="24"/>
      <c r="P40" s="89"/>
      <c r="Q40" s="12"/>
      <c r="R40"/>
      <c r="S40" s="143"/>
      <c r="T40" s="143"/>
      <c r="U40" s="143"/>
      <c r="V40" s="143"/>
      <c r="W40" s="163">
        <f>Laskenta_vuosihyötysuhde_C!F35</f>
        <v>-3</v>
      </c>
      <c r="X40" s="164">
        <f>Laskenta_vuosihyötysuhde_C!G35</f>
        <v>0.15570776255707763</v>
      </c>
      <c r="Y40" s="165">
        <f>Laskenta_vuosihyötysuhde_C!I35</f>
        <v>0.52799999999999869</v>
      </c>
      <c r="Z40" s="166">
        <f>Laskenta_vuosihyötysuhde_C!N35</f>
        <v>17.472000000000001</v>
      </c>
      <c r="AA40" s="167">
        <f>Laskenta_vuosihyötysuhde_C!U35</f>
        <v>235.00000000000006</v>
      </c>
      <c r="AB40" s="168">
        <f>Laskenta_vuosihyötysuhde_C!V35</f>
        <v>200.45500000000007</v>
      </c>
      <c r="AC40" s="169">
        <f>Laskenta_vuosihyötysuhde_C!W35</f>
        <v>200.45500000000007</v>
      </c>
      <c r="AD40" s="24"/>
    </row>
    <row r="41" spans="2:30" ht="15.75" customHeight="1" x14ac:dyDescent="0.15">
      <c r="B41" s="12"/>
      <c r="C41" s="23"/>
      <c r="D41" s="22"/>
      <c r="E41" s="614" t="str">
        <f>KirjastoC!M17</f>
        <v>Tuloilma</v>
      </c>
      <c r="F41" s="22"/>
      <c r="G41" s="614" t="str">
        <f>KirjastoC!M18</f>
        <v>Poistoilma</v>
      </c>
      <c r="H41" s="21"/>
      <c r="I41"/>
      <c r="J41" s="1722" t="str" cm="1">
        <f t="array" ref="J41">INDEX(KirjastoC!D4:K150,135,KirjastoC!B4)</f>
        <v>Maksimi tehostusvara:</v>
      </c>
      <c r="K41" s="1723"/>
      <c r="L41" s="614" t="str">
        <f>KirjastoC!M17</f>
        <v>Tuloilma</v>
      </c>
      <c r="M41" s="614" t="str">
        <f>KirjastoC!M18</f>
        <v>Poistoilma</v>
      </c>
      <c r="N41" s="21"/>
      <c r="O41" s="24"/>
      <c r="Q41" s="12"/>
      <c r="R41"/>
      <c r="S41" s="143"/>
      <c r="T41" s="143"/>
      <c r="U41" s="143"/>
      <c r="V41" s="143"/>
      <c r="W41" s="163">
        <f>Laskenta_vuosihyötysuhde_C!F36</f>
        <v>-2</v>
      </c>
      <c r="X41" s="164">
        <f>Laskenta_vuosihyötysuhde_C!G36</f>
        <v>0.18424657534246575</v>
      </c>
      <c r="Y41" s="165">
        <f>Laskenta_vuosihyötysuhde_C!I36</f>
        <v>1.3810000000000002</v>
      </c>
      <c r="Z41" s="166">
        <f>Laskenta_vuosihyötysuhde_C!N36</f>
        <v>17.619</v>
      </c>
      <c r="AA41" s="167">
        <f>Laskenta_vuosihyötysuhde_C!U36</f>
        <v>239.58333333333323</v>
      </c>
      <c r="AB41" s="168">
        <f>Laskenta_vuosihyötysuhde_C!V36</f>
        <v>204.36458333333323</v>
      </c>
      <c r="AC41" s="169">
        <f>Laskenta_vuosihyötysuhde_C!W36</f>
        <v>204.36458333333323</v>
      </c>
      <c r="AD41" s="24"/>
    </row>
    <row r="42" spans="2:30" x14ac:dyDescent="0.15">
      <c r="B42" s="12"/>
      <c r="C42" s="600" t="str" cm="1">
        <f t="array" ref="C42">INDEX(KirjastoC!D4:K150,21,KirjastoC!B4)</f>
        <v>Ilman tilavuusvirta:</v>
      </c>
      <c r="D42" s="76"/>
      <c r="E42" s="648">
        <v>450</v>
      </c>
      <c r="F42" s="601" t="str">
        <f>TuloksetC!$AC$10</f>
        <v>dm³/s</v>
      </c>
      <c r="G42" s="648">
        <v>450</v>
      </c>
      <c r="H42" s="602" t="str">
        <f>TuloksetC!$AC$10</f>
        <v>dm³/s</v>
      </c>
      <c r="I42" s="601"/>
      <c r="J42" s="1721"/>
      <c r="K42" s="1724"/>
      <c r="L42" s="647">
        <f>TuloksetC!CV37</f>
        <v>0.35002795896513539</v>
      </c>
      <c r="M42" s="647">
        <f>TuloksetC!CW37</f>
        <v>0.4018934063240962</v>
      </c>
      <c r="N42" s="24"/>
      <c r="O42" s="24"/>
      <c r="Q42" s="12"/>
      <c r="R42"/>
      <c r="S42" s="143"/>
      <c r="T42" s="143"/>
      <c r="U42" s="143"/>
      <c r="V42" s="143"/>
      <c r="W42" s="163">
        <f>Laskenta_vuosihyötysuhde_C!F37</f>
        <v>-1</v>
      </c>
      <c r="X42" s="164">
        <f>Laskenta_vuosihyötysuhde_C!G37</f>
        <v>0.20924657534246574</v>
      </c>
      <c r="Y42" s="165">
        <f>Laskenta_vuosihyötysuhde_C!I37</f>
        <v>2.2340000000000018</v>
      </c>
      <c r="Z42" s="166">
        <f>Laskenta_vuosihyötysuhde_C!N37</f>
        <v>17.765999999999998</v>
      </c>
      <c r="AA42" s="167">
        <f>Laskenta_vuosihyötysuhde_C!U37</f>
        <v>200.74999999999994</v>
      </c>
      <c r="AB42" s="168">
        <f>Laskenta_vuosihyötysuhde_C!V37</f>
        <v>171.23974999999993</v>
      </c>
      <c r="AC42" s="169">
        <f>Laskenta_vuosihyötysuhde_C!W37</f>
        <v>171.23974999999993</v>
      </c>
      <c r="AD42" s="24"/>
    </row>
    <row r="43" spans="2:30" ht="14" thickBot="1" x14ac:dyDescent="0.2">
      <c r="B43" s="12"/>
      <c r="C43" s="603"/>
      <c r="D43" s="590"/>
      <c r="E43" s="629">
        <f>TuloksetC!AC15</f>
        <v>1620</v>
      </c>
      <c r="F43" s="601" t="str">
        <f>TuloksetC!$AC$11</f>
        <v>m³/h</v>
      </c>
      <c r="G43" s="629">
        <f>TuloksetC!AD15</f>
        <v>1620</v>
      </c>
      <c r="H43" s="602" t="str">
        <f>TuloksetC!$AC$11</f>
        <v>m³/h</v>
      </c>
      <c r="I43" s="601"/>
      <c r="J43" s="598"/>
      <c r="K43"/>
      <c r="L43"/>
      <c r="M43"/>
      <c r="N43" s="24"/>
      <c r="O43" s="24"/>
      <c r="Q43" s="12"/>
      <c r="R43"/>
      <c r="S43" s="143"/>
      <c r="T43" s="143"/>
      <c r="U43" s="143"/>
      <c r="V43" s="143"/>
      <c r="W43" s="163">
        <f>Laskenta_vuosihyötysuhde_C!F38</f>
        <v>0</v>
      </c>
      <c r="X43" s="164">
        <f>Laskenta_vuosihyötysuhde_C!G38</f>
        <v>0.24920091324200913</v>
      </c>
      <c r="Y43" s="165">
        <f>Laskenta_vuosihyötysuhde_C!I38</f>
        <v>3.0869999999999997</v>
      </c>
      <c r="Z43" s="166">
        <f>Laskenta_vuosihyötysuhde_C!N38</f>
        <v>17.913</v>
      </c>
      <c r="AA43" s="167">
        <f>Laskenta_vuosihyötysuhde_C!U38</f>
        <v>306.25000000000011</v>
      </c>
      <c r="AB43" s="168">
        <f>Laskenta_vuosihyötysuhde_C!V38</f>
        <v>261.2312500000001</v>
      </c>
      <c r="AC43" s="169">
        <f>Laskenta_vuosihyötysuhde_C!W38</f>
        <v>261.2312500000001</v>
      </c>
      <c r="AD43" s="24"/>
    </row>
    <row r="44" spans="2:30" ht="15" customHeight="1" thickTop="1" x14ac:dyDescent="0.15">
      <c r="B44" s="12"/>
      <c r="C44" s="600" t="str" cm="1">
        <f t="array" ref="C44">INDEX(KirjastoC!D4:K150,22,KirjastoC!B4)</f>
        <v>Paine-ero:</v>
      </c>
      <c r="D44" s="76"/>
      <c r="E44" s="632">
        <v>90</v>
      </c>
      <c r="F44" s="601" t="s">
        <v>14</v>
      </c>
      <c r="G44" s="632">
        <v>100</v>
      </c>
      <c r="H44" s="602" t="s">
        <v>14</v>
      </c>
      <c r="I44" s="601"/>
      <c r="J44" s="625" t="str" cm="1">
        <f t="array" ref="J44">INDEX(KirjastoC!D4:K150,136,KirjastoC!B4)</f>
        <v>Syötä haluttu tehostusarvo:</v>
      </c>
      <c r="K44"/>
      <c r="L44"/>
      <c r="M44"/>
      <c r="N44" s="24"/>
      <c r="O44" s="24"/>
      <c r="Q44" s="12"/>
      <c r="R44"/>
      <c r="S44" s="143"/>
      <c r="T44" s="143"/>
      <c r="U44" s="143"/>
      <c r="V44" s="143"/>
      <c r="W44" s="163">
        <f>Laskenta_vuosihyötysuhde_C!F39</f>
        <v>1</v>
      </c>
      <c r="X44" s="164">
        <f>Laskenta_vuosihyötysuhde_C!G39</f>
        <v>0.30993150684931509</v>
      </c>
      <c r="Y44" s="165">
        <f>Laskenta_vuosihyötysuhde_C!I39</f>
        <v>3.9400000000000013</v>
      </c>
      <c r="Z44" s="166">
        <f>Laskenta_vuosihyötysuhde_C!N39</f>
        <v>18.059999999999999</v>
      </c>
      <c r="AA44" s="167">
        <f>Laskenta_vuosihyötysuhde_C!U39</f>
        <v>443.33333333333343</v>
      </c>
      <c r="AB44" s="168">
        <f>Laskenta_vuosihyötysuhde_C!V39</f>
        <v>378.16333333333341</v>
      </c>
      <c r="AC44" s="169">
        <f>Laskenta_vuosihyötysuhde_C!W39</f>
        <v>378.16333333333341</v>
      </c>
      <c r="AD44" s="24"/>
    </row>
    <row r="45" spans="2:30" ht="14.25" customHeight="1" x14ac:dyDescent="0.15">
      <c r="B45" s="12"/>
      <c r="C45" s="12"/>
      <c r="D45"/>
      <c r="E45" s="649" t="str">
        <f>TuloksetC!D37</f>
        <v/>
      </c>
      <c r="F45" s="650"/>
      <c r="G45" s="649" t="str">
        <f>TuloksetC!G37</f>
        <v/>
      </c>
      <c r="H45" s="24"/>
      <c r="I45"/>
      <c r="J45" s="831" t="str" cm="1">
        <f t="array" ref="J45">INDEX(KirjastoC!D4:K150,137,KirjastoC!B4)</f>
        <v>Tehostusarvo [%]:</v>
      </c>
      <c r="K45" s="76"/>
      <c r="L45" s="76"/>
      <c r="M45" s="833">
        <v>0.15</v>
      </c>
      <c r="N45" s="24"/>
      <c r="O45" s="24"/>
      <c r="Q45" s="12"/>
      <c r="R45"/>
      <c r="S45" s="143"/>
      <c r="T45" s="143"/>
      <c r="U45" s="143"/>
      <c r="V45" s="143"/>
      <c r="W45" s="163">
        <f>Laskenta_vuosihyötysuhde_C!F40</f>
        <v>2</v>
      </c>
      <c r="X45" s="164">
        <f>Laskenta_vuosihyötysuhde_C!G40</f>
        <v>0.36917808219178083</v>
      </c>
      <c r="Y45" s="165">
        <f>Laskenta_vuosihyötysuhde_C!I40</f>
        <v>4.7929999999999993</v>
      </c>
      <c r="Z45" s="166">
        <f>Laskenta_vuosihyötysuhde_C!N40</f>
        <v>18.207000000000001</v>
      </c>
      <c r="AA45" s="167">
        <f>Laskenta_vuosihyötysuhde_C!U40</f>
        <v>410.87499999999994</v>
      </c>
      <c r="AB45" s="168">
        <f>Laskenta_vuosihyötysuhde_C!V40</f>
        <v>350.47637499999996</v>
      </c>
      <c r="AC45" s="169">
        <f>Laskenta_vuosihyötysuhde_C!W40</f>
        <v>350.47637499999996</v>
      </c>
      <c r="AD45" s="24"/>
    </row>
    <row r="46" spans="2:30" ht="15" customHeight="1" x14ac:dyDescent="0.15">
      <c r="B46" s="12"/>
      <c r="C46" s="599"/>
      <c r="D46"/>
      <c r="E46" s="1371" t="str" cm="1">
        <f t="array" ref="E46">INDEX(KirjastoC!D4:K125,25,KirjastoC!B4)</f>
        <v>Tulopuhallin:</v>
      </c>
      <c r="F46"/>
      <c r="G46" s="1371" t="str" cm="1">
        <f t="array" ref="G46">INDEX(KirjastoC!D4:K125,28,KirjastoC!B4)</f>
        <v>Poistopuhallin:</v>
      </c>
      <c r="H46" s="24"/>
      <c r="I46"/>
      <c r="J46" s="598"/>
      <c r="K46"/>
      <c r="L46" s="644" t="str">
        <f>TuloksetC!CX37</f>
        <v/>
      </c>
      <c r="M46"/>
      <c r="N46" s="24"/>
      <c r="O46" s="24"/>
      <c r="Q46" s="12"/>
      <c r="R46"/>
      <c r="S46" s="143"/>
      <c r="T46" s="143"/>
      <c r="U46" s="143"/>
      <c r="V46" s="143"/>
      <c r="W46" s="163">
        <f>Laskenta_vuosihyötysuhde_C!F41</f>
        <v>3</v>
      </c>
      <c r="X46" s="164">
        <f>Laskenta_vuosihyötysuhde_C!G41</f>
        <v>0.41598173515981735</v>
      </c>
      <c r="Y46" s="165">
        <f>Laskenta_vuosihyötysuhde_C!I41</f>
        <v>5.6460000000000008</v>
      </c>
      <c r="Z46" s="166">
        <f>Laskenta_vuosihyötysuhde_C!N41</f>
        <v>18.353999999999999</v>
      </c>
      <c r="AA46" s="167">
        <f>Laskenta_vuosihyötysuhde_C!U41</f>
        <v>307.49999999999989</v>
      </c>
      <c r="AB46" s="168">
        <f>Laskenta_vuosihyötysuhde_C!V41</f>
        <v>262.2974999999999</v>
      </c>
      <c r="AC46" s="169">
        <f>Laskenta_vuosihyötysuhde_C!W41</f>
        <v>262.2974999999999</v>
      </c>
      <c r="AD46" s="24"/>
    </row>
    <row r="47" spans="2:30" ht="15" customHeight="1" x14ac:dyDescent="0.15">
      <c r="B47" s="12"/>
      <c r="C47" s="600" t="str" cm="1">
        <f t="array" ref="C47">INDEX(KirjastoC!D4:K125,26,KirjastoC!B4)</f>
        <v>Ohjausjännite:</v>
      </c>
      <c r="D47" s="76"/>
      <c r="E47" s="630">
        <f>TuloksetC!E37</f>
        <v>6.8428828118574261</v>
      </c>
      <c r="F47" t="s">
        <v>25</v>
      </c>
      <c r="G47" s="630">
        <f>TuloksetC!H37</f>
        <v>6.4730648967108504</v>
      </c>
      <c r="H47" s="24" t="s">
        <v>25</v>
      </c>
      <c r="I47"/>
      <c r="J47" s="625" t="str" cm="1">
        <f t="array" ref="J47">INDEX(KirjastoC!D4:K150,138,KirjastoC!B4)</f>
        <v>Toimintapiste tehostustilanteessa:</v>
      </c>
      <c r="K47"/>
      <c r="L47"/>
      <c r="M47"/>
      <c r="N47" s="24"/>
      <c r="O47" s="24"/>
      <c r="Q47" s="12"/>
      <c r="R47"/>
      <c r="S47" s="143"/>
      <c r="T47" s="143"/>
      <c r="U47" s="143"/>
      <c r="V47" s="143"/>
      <c r="W47" s="163">
        <f>Laskenta_vuosihyötysuhde_C!F42</f>
        <v>4</v>
      </c>
      <c r="X47" s="164">
        <f>Laskenta_vuosihyötysuhde_C!G42</f>
        <v>0.45079908675799085</v>
      </c>
      <c r="Y47" s="165">
        <f>Laskenta_vuosihyötysuhde_C!I42</f>
        <v>6.4990000000000006</v>
      </c>
      <c r="Z47" s="166">
        <f>Laskenta_vuosihyötysuhde_C!N42</f>
        <v>18.500999999999998</v>
      </c>
      <c r="AA47" s="167">
        <f>Laskenta_vuosihyötysuhde_C!U42</f>
        <v>216.04166666666663</v>
      </c>
      <c r="AB47" s="168">
        <f>Laskenta_vuosihyötysuhde_C!V42</f>
        <v>184.28354166666659</v>
      </c>
      <c r="AC47" s="169">
        <f>Laskenta_vuosihyötysuhde_C!W42</f>
        <v>184.28354166666662</v>
      </c>
      <c r="AD47" s="24"/>
    </row>
    <row r="48" spans="2:30" ht="15.75" customHeight="1" x14ac:dyDescent="0.15">
      <c r="B48" s="12"/>
      <c r="C48" s="600" t="str" cm="1">
        <f t="array" ref="C48">INDEX(KirjastoC!D4:K125,27,KirjastoC!B4)</f>
        <v>Puhaltimen ottoteho:</v>
      </c>
      <c r="D48" s="76"/>
      <c r="E48" s="631">
        <f>TuloksetC!F37</f>
        <v>315.55597452041849</v>
      </c>
      <c r="F48" t="s">
        <v>49</v>
      </c>
      <c r="G48" s="631">
        <f>TuloksetC!I37</f>
        <v>285.04718273449032</v>
      </c>
      <c r="H48" s="24" t="s">
        <v>49</v>
      </c>
      <c r="I48"/>
      <c r="J48" s="12"/>
      <c r="K48"/>
      <c r="L48" s="1370" t="str">
        <f>KirjastoC!M17</f>
        <v>Tuloilma</v>
      </c>
      <c r="M48" s="1370" t="str">
        <f>KirjastoC!M18</f>
        <v>Poistoilma</v>
      </c>
      <c r="N48" s="24"/>
      <c r="O48" s="24"/>
      <c r="Q48" s="12"/>
      <c r="R48"/>
      <c r="S48" s="143"/>
      <c r="T48" s="143"/>
      <c r="U48" s="143"/>
      <c r="V48" s="143"/>
      <c r="W48" s="163">
        <f>Laskenta_vuosihyötysuhde_C!F43</f>
        <v>5</v>
      </c>
      <c r="X48" s="164">
        <f>Laskenta_vuosihyötysuhde_C!G43</f>
        <v>0.48413242009132418</v>
      </c>
      <c r="Y48" s="165">
        <f>Laskenta_vuosihyötysuhde_C!I43</f>
        <v>7.3520000000000003</v>
      </c>
      <c r="Z48" s="166">
        <f>Laskenta_vuosihyötysuhde_C!N43</f>
        <v>18.648</v>
      </c>
      <c r="AA48" s="167">
        <f>Laskenta_vuosihyötysuhde_C!U43</f>
        <v>194.66666666666663</v>
      </c>
      <c r="AB48" s="168">
        <f>Laskenta_vuosihyötysuhde_C!V43</f>
        <v>166.05066666666664</v>
      </c>
      <c r="AC48" s="169">
        <f>Laskenta_vuosihyötysuhde_C!W43</f>
        <v>166.05066666666664</v>
      </c>
      <c r="AD48" s="24"/>
    </row>
    <row r="49" spans="2:30" ht="14.5" customHeight="1" x14ac:dyDescent="0.15">
      <c r="B49" s="12"/>
      <c r="C49" s="12"/>
      <c r="D49"/>
      <c r="E49"/>
      <c r="F49"/>
      <c r="G49"/>
      <c r="H49" s="24"/>
      <c r="I49"/>
      <c r="J49" s="831" t="str" cm="1">
        <f t="array" ref="J49">INDEX(KirjastoC!D4:K150,21,KirjastoC!B4)</f>
        <v>Ilman tilavuusvirta:</v>
      </c>
      <c r="K49" s="76"/>
      <c r="L49" s="631">
        <f>TuloksetC!CR37</f>
        <v>517.5</v>
      </c>
      <c r="M49" s="631">
        <f>TuloksetC!CS37</f>
        <v>517.5</v>
      </c>
      <c r="N49" s="24" t="str">
        <f>TuloksetC!$AC$10</f>
        <v>dm³/s</v>
      </c>
      <c r="O49" s="24"/>
      <c r="Q49" s="12"/>
      <c r="R49"/>
      <c r="S49" s="143"/>
      <c r="T49" s="143"/>
      <c r="U49" s="143"/>
      <c r="V49" s="143"/>
      <c r="W49" s="163">
        <f>Laskenta_vuosihyötysuhde_C!F44</f>
        <v>6</v>
      </c>
      <c r="X49" s="164">
        <f>Laskenta_vuosihyötysuhde_C!G44</f>
        <v>0.51586757990867582</v>
      </c>
      <c r="Y49" s="165">
        <f>Laskenta_vuosihyötysuhde_C!I44</f>
        <v>8.2050000000000001</v>
      </c>
      <c r="Z49" s="166">
        <f>Laskenta_vuosihyötysuhde_C!N44</f>
        <v>18.795000000000002</v>
      </c>
      <c r="AA49" s="167">
        <f>Laskenta_vuosihyötysuhde_C!U44</f>
        <v>173.75000000000026</v>
      </c>
      <c r="AB49" s="168">
        <f>Laskenta_vuosihyötysuhde_C!V44</f>
        <v>148.20875000000024</v>
      </c>
      <c r="AC49" s="169">
        <f>Laskenta_vuosihyötysuhde_C!W44</f>
        <v>148.20875000000021</v>
      </c>
      <c r="AD49" s="24"/>
    </row>
    <row r="50" spans="2:30" ht="14.25" customHeight="1" x14ac:dyDescent="0.15">
      <c r="B50" s="12"/>
      <c r="C50" s="604" t="str" cm="1">
        <f t="array" ref="C50">INDEX(KirjastoC!D4:K200,29,KirjastoC!B4)</f>
        <v>Kokonaisteho:</v>
      </c>
      <c r="D50" s="975">
        <f>TuloksetC!K37</f>
        <v>605.00315725490884</v>
      </c>
      <c r="E50" s="2" t="s">
        <v>49</v>
      </c>
      <c r="F50" s="3"/>
      <c r="G50" s="3"/>
      <c r="H50" s="24"/>
      <c r="I50"/>
      <c r="J50" s="841"/>
      <c r="K50"/>
      <c r="L50" s="631">
        <f>TuloksetC!CR38</f>
        <v>1863</v>
      </c>
      <c r="M50" s="631">
        <f>TuloksetC!CS38</f>
        <v>1863</v>
      </c>
      <c r="N50" s="24" t="str">
        <f>TuloksetC!$AC$11</f>
        <v>m³/h</v>
      </c>
      <c r="O50" s="24"/>
      <c r="Q50" s="12"/>
      <c r="R50"/>
      <c r="S50" s="143"/>
      <c r="T50" s="143"/>
      <c r="U50" s="143"/>
      <c r="V50" s="143"/>
      <c r="W50" s="163">
        <f>Laskenta_vuosihyötysuhde_C!F45</f>
        <v>7</v>
      </c>
      <c r="X50" s="164">
        <f>Laskenta_vuosihyötysuhde_C!G45</f>
        <v>0.55331050228310508</v>
      </c>
      <c r="Y50" s="165">
        <f>Laskenta_vuosihyötysuhde_C!I45</f>
        <v>9.0579999999999998</v>
      </c>
      <c r="Z50" s="166">
        <f>Laskenta_vuosihyötysuhde_C!N45</f>
        <v>18.942</v>
      </c>
      <c r="AA50" s="167">
        <f>Laskenta_vuosihyötysuhde_C!U45</f>
        <v>191.33333333333348</v>
      </c>
      <c r="AB50" s="168">
        <f>Laskenta_vuosihyötysuhde_C!V45</f>
        <v>163.20733333333348</v>
      </c>
      <c r="AC50" s="169">
        <f>Laskenta_vuosihyötysuhde_C!W45</f>
        <v>163.20733333333348</v>
      </c>
      <c r="AD50" s="24"/>
    </row>
    <row r="51" spans="2:30" ht="14.25" customHeight="1" x14ac:dyDescent="0.25">
      <c r="B51" s="12"/>
      <c r="C51" s="604" t="str" cm="1">
        <f t="array" ref="C51">INDEX(KirjastoC!D4:K200,30,KirjastoC!B4)</f>
        <v>SFP:</v>
      </c>
      <c r="D51" s="477">
        <f>TuloksetC!L37</f>
        <v>1.3444514605664641</v>
      </c>
      <c r="E51" s="2" t="s">
        <v>1106</v>
      </c>
      <c r="F51" s="424" t="s">
        <v>550</v>
      </c>
      <c r="G51" s="444">
        <f>TuloksetC!CI37</f>
        <v>1027.1845116083973</v>
      </c>
      <c r="H51" s="608" t="s">
        <v>1105</v>
      </c>
      <c r="I51"/>
      <c r="J51" s="831" t="str" cm="1">
        <f t="array" ref="J51">INDEX(KirjastoC!D4:K150,22,KirjastoC!B4)</f>
        <v>Paine-ero:</v>
      </c>
      <c r="K51" s="76"/>
      <c r="L51" s="631">
        <f>TuloksetC!CT37</f>
        <v>119.02500000000001</v>
      </c>
      <c r="M51" s="631">
        <f>TuloksetC!CU37</f>
        <v>132.25</v>
      </c>
      <c r="N51" s="24" t="s">
        <v>14</v>
      </c>
      <c r="O51" s="24"/>
      <c r="Q51" s="12"/>
      <c r="R51"/>
      <c r="S51" s="143"/>
      <c r="T51" s="143"/>
      <c r="U51" s="143"/>
      <c r="V51" s="143"/>
      <c r="W51" s="163">
        <f>Laskenta_vuosihyötysuhde_C!F46</f>
        <v>8</v>
      </c>
      <c r="X51" s="164">
        <f>Laskenta_vuosihyötysuhde_C!G46</f>
        <v>0.58984018264840188</v>
      </c>
      <c r="Y51" s="165">
        <f>Laskenta_vuosihyötysuhde_C!I46</f>
        <v>9.9109999999999996</v>
      </c>
      <c r="Z51" s="166">
        <f>Laskenta_vuosihyötysuhde_C!N46</f>
        <v>19.088999999999999</v>
      </c>
      <c r="AA51" s="167">
        <f>Laskenta_vuosihyötysuhde_C!U46</f>
        <v>173.33333333333331</v>
      </c>
      <c r="AB51" s="168">
        <f>Laskenta_vuosihyötysuhde_C!V46</f>
        <v>147.85333333333332</v>
      </c>
      <c r="AC51" s="169">
        <f>Laskenta_vuosihyötysuhde_C!W46</f>
        <v>147.85333333333332</v>
      </c>
      <c r="AD51" s="24"/>
    </row>
    <row r="52" spans="2:30" ht="14.25" customHeight="1" x14ac:dyDescent="0.25">
      <c r="B52" s="12"/>
      <c r="C52" s="604" t="s">
        <v>1103</v>
      </c>
      <c r="D52" s="477">
        <f>TuloksetC!R41</f>
        <v>0.37345873904624005</v>
      </c>
      <c r="E52" s="2" t="s">
        <v>1104</v>
      </c>
      <c r="F52" s="424" t="s">
        <v>575</v>
      </c>
      <c r="G52" s="444">
        <f>TuloksetC!CJ37</f>
        <v>1241</v>
      </c>
      <c r="H52" s="608" t="s">
        <v>1105</v>
      </c>
      <c r="I52"/>
      <c r="J52" s="831" t="str" cm="1">
        <f t="array" ref="J52">INDEX(KirjastoC!D4:K150,26,KirjastoC!B4)</f>
        <v>Ohjausjännite:</v>
      </c>
      <c r="K52" s="76"/>
      <c r="L52" s="630">
        <f>TuloksetC!CZ37</f>
        <v>7.7637920605587816</v>
      </c>
      <c r="M52" s="630">
        <f>TuloksetC!DA37</f>
        <v>7.3469420172517221</v>
      </c>
      <c r="N52" s="24" t="s">
        <v>25</v>
      </c>
      <c r="O52" s="24"/>
      <c r="Q52" s="12"/>
      <c r="R52"/>
      <c r="S52" s="143"/>
      <c r="T52" s="143"/>
      <c r="U52" s="143"/>
      <c r="V52" s="143"/>
      <c r="W52" s="163">
        <f>Laskenta_vuosihyötysuhde_C!F47</f>
        <v>9</v>
      </c>
      <c r="X52" s="164">
        <f>Laskenta_vuosihyötysuhde_C!G47</f>
        <v>0.61746575342465748</v>
      </c>
      <c r="Y52" s="165">
        <f>Laskenta_vuosihyötysuhde_C!I47</f>
        <v>10.763999999999999</v>
      </c>
      <c r="Z52" s="166">
        <f>Laskenta_vuosihyötysuhde_C!N47</f>
        <v>19.236000000000001</v>
      </c>
      <c r="AA52" s="167">
        <f>Laskenta_vuosihyötysuhde_C!U47</f>
        <v>120.99999999999955</v>
      </c>
      <c r="AB52" s="168">
        <f>Laskenta_vuosihyötysuhde_C!V47</f>
        <v>103.21299999999961</v>
      </c>
      <c r="AC52" s="169">
        <f>Laskenta_vuosihyötysuhde_C!W47</f>
        <v>103.21299999999961</v>
      </c>
      <c r="AD52" s="24"/>
    </row>
    <row r="53" spans="2:30" s="282" customFormat="1" ht="15" customHeight="1" x14ac:dyDescent="0.15">
      <c r="B53" s="12"/>
      <c r="C53" s="664" t="str" cm="1">
        <f t="array" ref="C53">INDEX(KirjastoC!D4:K200,143,KirjastoC!B4)</f>
        <v>Huom. yllä olevat arvot sisältävät myös laitteen elektroniikan.</v>
      </c>
      <c r="D53" s="25"/>
      <c r="E53" s="25"/>
      <c r="F53" s="25"/>
      <c r="G53" s="25"/>
      <c r="H53" s="26"/>
      <c r="I53"/>
      <c r="J53" s="610"/>
      <c r="K53" s="611"/>
      <c r="L53" s="611"/>
      <c r="M53" s="612"/>
      <c r="N53" s="613"/>
      <c r="O53" s="24"/>
      <c r="Q53" s="12"/>
      <c r="R53"/>
      <c r="S53" s="143"/>
      <c r="T53" s="143"/>
      <c r="U53" s="143"/>
      <c r="V53" s="143"/>
      <c r="W53" s="163">
        <f>Laskenta_vuosihyötysuhde_C!F48</f>
        <v>10</v>
      </c>
      <c r="X53" s="164">
        <f>Laskenta_vuosihyötysuhde_C!G48</f>
        <v>0.64394977168949774</v>
      </c>
      <c r="Y53" s="165">
        <f>Laskenta_vuosihyötysuhde_C!I48</f>
        <v>11.617000000000001</v>
      </c>
      <c r="Z53" s="166">
        <f>Laskenta_vuosihyötysuhde_C!N48</f>
        <v>19.382999999999999</v>
      </c>
      <c r="AA53" s="167">
        <f>Laskenta_vuosihyötysuhde_C!U48</f>
        <v>106.33333333333364</v>
      </c>
      <c r="AB53" s="168">
        <f>Laskenta_vuosihyötysuhde_C!V48</f>
        <v>90.702333333333584</v>
      </c>
      <c r="AC53" s="169">
        <f>Laskenta_vuosihyötysuhde_C!W48</f>
        <v>90.702333333333584</v>
      </c>
      <c r="AD53" s="24"/>
    </row>
    <row r="54" spans="2:30" s="282" customFormat="1" ht="15" customHeight="1" x14ac:dyDescent="0.15">
      <c r="B54" s="12"/>
      <c r="C54" s="650"/>
      <c r="D54"/>
      <c r="E54"/>
      <c r="F54"/>
      <c r="G54"/>
      <c r="H54"/>
      <c r="I54"/>
      <c r="J54" s="425"/>
      <c r="K54" s="596"/>
      <c r="L54" s="596"/>
      <c r="M54" s="597"/>
      <c r="N54" s="425"/>
      <c r="O54" s="24"/>
      <c r="Q54" s="795"/>
      <c r="R54" s="143"/>
      <c r="S54" s="143"/>
      <c r="T54" s="143"/>
      <c r="U54" s="143"/>
      <c r="V54" s="143"/>
      <c r="W54" s="163">
        <f>Laskenta_vuosihyötysuhde_C!F49</f>
        <v>11</v>
      </c>
      <c r="X54" s="164">
        <f>Laskenta_vuosihyötysuhde_C!G49</f>
        <v>0.67625570776255706</v>
      </c>
      <c r="Y54" s="165">
        <f>Laskenta_vuosihyötysuhde_C!I49</f>
        <v>12.47</v>
      </c>
      <c r="Z54" s="166">
        <f>Laskenta_vuosihyötysuhde_C!N49</f>
        <v>19.53</v>
      </c>
      <c r="AA54" s="167">
        <f>Laskenta_vuosihyötysuhde_C!U49</f>
        <v>117.9166666666665</v>
      </c>
      <c r="AB54" s="168">
        <f>Laskenta_vuosihyötysuhde_C!V49</f>
        <v>100.58291666666655</v>
      </c>
      <c r="AC54" s="169">
        <f>Laskenta_vuosihyötysuhde_C!W49</f>
        <v>100.58291666666652</v>
      </c>
      <c r="AD54" s="154"/>
    </row>
    <row r="55" spans="2:30" s="282" customFormat="1" ht="15" customHeight="1" x14ac:dyDescent="0.15">
      <c r="B55" s="12"/>
      <c r="C55" s="2" t="str" cm="1">
        <f t="array" ref="C55">INDEX(KirjastoC!D4:K125,31,KirjastoC!B4)</f>
        <v>Äänitehotasot liitäntäkanavissa</v>
      </c>
      <c r="D55"/>
      <c r="E55"/>
      <c r="F55"/>
      <c r="G55"/>
      <c r="H55"/>
      <c r="I55"/>
      <c r="J55"/>
      <c r="K55"/>
      <c r="L55"/>
      <c r="M55"/>
      <c r="N55"/>
      <c r="O55" s="24"/>
      <c r="Q55" s="795"/>
      <c r="R55" s="143"/>
      <c r="S55" s="143"/>
      <c r="T55" s="143"/>
      <c r="U55" s="143"/>
      <c r="V55" s="143"/>
      <c r="W55" s="172">
        <f>Laskenta_vuosihyötysuhde_C!F50</f>
        <v>12</v>
      </c>
      <c r="X55" s="173">
        <f>Laskenta_vuosihyötysuhde_C!G50</f>
        <v>0.71415525114155254</v>
      </c>
      <c r="Y55" s="174">
        <f>Laskenta_vuosihyötysuhde_C!I50</f>
        <v>13.323</v>
      </c>
      <c r="Z55" s="175">
        <f>Laskenta_vuosihyötysuhde_C!N50</f>
        <v>19.677</v>
      </c>
      <c r="AA55" s="176">
        <f>Laskenta_vuosihyötysuhde_C!U50</f>
        <v>124.50000000000016</v>
      </c>
      <c r="AB55" s="177">
        <f>Laskenta_vuosihyötysuhde_C!V50</f>
        <v>106.19850000000012</v>
      </c>
      <c r="AC55" s="178">
        <f>Laskenta_vuosihyötysuhde_C!W50</f>
        <v>106.19850000000012</v>
      </c>
      <c r="AD55" s="154"/>
    </row>
    <row r="56" spans="2:30" s="282" customFormat="1" ht="15" customHeight="1" x14ac:dyDescent="0.15">
      <c r="B56" s="12"/>
      <c r="C56" s="1735" t="str" cm="1">
        <f t="array" ref="C56">INDEX(KirjastoC!D4:K125,32,KirjastoC!B4)</f>
        <v>Liitäntäkanava</v>
      </c>
      <c r="D56" s="1713" t="str" cm="1">
        <f t="array" ref="D56">INDEX(KirjastoC!D4:K125,38,KirjastoC!B4)</f>
        <v>Äänitehotasot oktaavikaistoittain LW,okt [dB]</v>
      </c>
      <c r="E56" s="1713"/>
      <c r="F56" s="1713"/>
      <c r="G56" s="1713"/>
      <c r="H56" s="1713"/>
      <c r="I56" s="1713"/>
      <c r="J56" s="1713"/>
      <c r="K56" s="1713"/>
      <c r="L56" s="1713"/>
      <c r="M56" s="1712" t="s">
        <v>60</v>
      </c>
      <c r="N56" s="1714" t="s">
        <v>69</v>
      </c>
      <c r="O56" s="24"/>
      <c r="Q56" s="795"/>
      <c r="R56" s="143"/>
      <c r="S56" s="143"/>
      <c r="T56" s="143"/>
      <c r="U56" s="143"/>
      <c r="V56" s="143"/>
      <c r="W56" s="179"/>
      <c r="X56" s="180"/>
      <c r="Y56" s="180"/>
      <c r="Z56" s="247" t="str" cm="1">
        <f t="array" ref="Z56">INDEX(KirjastoC!D4:K125,100,KirjastoC!B4)</f>
        <v>Yhteensä</v>
      </c>
      <c r="AA56" s="181">
        <f>SUM(AA11:AA55)</f>
        <v>4962.4166666666661</v>
      </c>
      <c r="AB56" s="246">
        <f>SUM(AB11:AB55)</f>
        <v>4191.9072916666673</v>
      </c>
      <c r="AC56" s="246">
        <f>SUM(AC11:AC55)</f>
        <v>4191.9072916666673</v>
      </c>
      <c r="AD56" s="154"/>
    </row>
    <row r="57" spans="2:30" s="282" customFormat="1" ht="15" customHeight="1" x14ac:dyDescent="0.15">
      <c r="B57" s="12"/>
      <c r="C57" s="1735"/>
      <c r="D57" s="92" t="s">
        <v>61</v>
      </c>
      <c r="E57" s="93" t="s">
        <v>62</v>
      </c>
      <c r="F57" s="93" t="s">
        <v>63</v>
      </c>
      <c r="G57" s="93" t="s">
        <v>64</v>
      </c>
      <c r="H57" s="93" t="s">
        <v>65</v>
      </c>
      <c r="I57" s="1716" t="s">
        <v>66</v>
      </c>
      <c r="J57" s="1717"/>
      <c r="K57" s="93" t="s">
        <v>67</v>
      </c>
      <c r="L57" s="94" t="s">
        <v>68</v>
      </c>
      <c r="M57" s="1713"/>
      <c r="N57" s="1715"/>
      <c r="O57" s="24"/>
      <c r="Q57" s="795"/>
      <c r="R57" s="143"/>
      <c r="S57" s="143"/>
      <c r="T57" s="143"/>
      <c r="U57" s="143"/>
      <c r="V57" s="143"/>
      <c r="W57" s="182"/>
      <c r="X57" s="182"/>
      <c r="Y57" s="182"/>
      <c r="Z57" s="143"/>
      <c r="AA57" s="143"/>
      <c r="AB57" s="143"/>
      <c r="AC57" s="143"/>
      <c r="AD57" s="154"/>
    </row>
    <row r="58" spans="2:30" ht="14.5" customHeight="1" x14ac:dyDescent="0.15">
      <c r="B58" s="795"/>
      <c r="C58" s="796" t="str" cm="1">
        <f t="array" ref="C58">INDEX(KirjastoC!D4:K125,33,KirjastoC!B4)</f>
        <v>Tuloilma</v>
      </c>
      <c r="D58" s="797">
        <f>TuloksetC!P37</f>
        <v>71.091859588864153</v>
      </c>
      <c r="E58" s="798">
        <f>TuloksetC!Q37</f>
        <v>71.091859588864153</v>
      </c>
      <c r="F58" s="798">
        <f>TuloksetC!R37</f>
        <v>73.091859588864153</v>
      </c>
      <c r="G58" s="798">
        <f>TuloksetC!S37</f>
        <v>63.091859588864153</v>
      </c>
      <c r="H58" s="798">
        <f>TuloksetC!T37</f>
        <v>63.091859588864153</v>
      </c>
      <c r="I58" s="1725">
        <f>TuloksetC!U37</f>
        <v>61.091859588864153</v>
      </c>
      <c r="J58" s="1726"/>
      <c r="K58" s="798">
        <f>TuloksetC!V37</f>
        <v>54.091859588864153</v>
      </c>
      <c r="L58" s="799">
        <f>TuloksetC!W37</f>
        <v>55.091859588864153</v>
      </c>
      <c r="M58" s="800">
        <f>TuloksetC!X37</f>
        <v>77.163130805820046</v>
      </c>
      <c r="N58" s="801">
        <f>TuloksetC!Y37</f>
        <v>69.091859588864153</v>
      </c>
      <c r="O58" s="154"/>
      <c r="Q58" s="795"/>
      <c r="R58" s="143"/>
      <c r="S58" s="143"/>
      <c r="T58" s="143"/>
      <c r="U58" s="143"/>
      <c r="V58" s="143"/>
      <c r="W58" s="1719" t="str" cm="1">
        <f t="array" ref="W58">INDEX(KirjastoC!D4:K125,101,KirjastoC!B4)</f>
        <v>SS,Kd = sisä- ja ulkoilman lämpötilan välinen lämmöntarveluku, Kd</v>
      </c>
      <c r="X58" s="1719"/>
      <c r="Y58" s="1719"/>
      <c r="Z58" s="1719"/>
      <c r="AA58" s="1719"/>
      <c r="AB58" s="1719"/>
      <c r="AC58" s="1719"/>
      <c r="AD58" s="154"/>
    </row>
    <row r="59" spans="2:30" ht="15.75" customHeight="1" x14ac:dyDescent="0.15">
      <c r="B59" s="795"/>
      <c r="C59" s="802" t="str" cm="1">
        <f t="array" ref="C59">INDEX(KirjastoC!D4:K125,34,KirjastoC!B4)</f>
        <v>Ulkoilma</v>
      </c>
      <c r="D59" s="803">
        <f>TuloksetC!Z37</f>
        <v>61.650294986973819</v>
      </c>
      <c r="E59" s="804">
        <f>TuloksetC!AA37</f>
        <v>59.650294986973819</v>
      </c>
      <c r="F59" s="804">
        <f>TuloksetC!AB37</f>
        <v>53.650294986973819</v>
      </c>
      <c r="G59" s="804">
        <f>TuloksetC!AC37</f>
        <v>49.650294986973819</v>
      </c>
      <c r="H59" s="804">
        <f>TuloksetC!AD37</f>
        <v>41.650294986973819</v>
      </c>
      <c r="I59" s="1736">
        <f>TuloksetC!AE37</f>
        <v>36.650294986973819</v>
      </c>
      <c r="J59" s="1737"/>
      <c r="K59" s="804">
        <f>TuloksetC!AF37</f>
        <v>30.650294986973819</v>
      </c>
      <c r="L59" s="805">
        <f>TuloksetC!AG37</f>
        <v>27.650294986973819</v>
      </c>
      <c r="M59" s="806">
        <f>TuloksetC!AH37</f>
        <v>64.361498823925174</v>
      </c>
      <c r="N59" s="807">
        <f>TuloksetC!AI37</f>
        <v>50.650294986973819</v>
      </c>
      <c r="O59" s="154"/>
      <c r="Q59" s="12"/>
      <c r="R59"/>
      <c r="S59" s="143"/>
      <c r="T59" s="143"/>
      <c r="U59" s="143"/>
      <c r="V59" s="143"/>
      <c r="W59" s="1719"/>
      <c r="X59" s="1719"/>
      <c r="Y59" s="1719"/>
      <c r="Z59" s="1719"/>
      <c r="AA59" s="1719"/>
      <c r="AB59" s="1719"/>
      <c r="AC59" s="1719"/>
      <c r="AD59" s="24"/>
    </row>
    <row r="60" spans="2:30" ht="15.75" customHeight="1" x14ac:dyDescent="0.15">
      <c r="B60" s="795"/>
      <c r="C60" s="808" t="str" cm="1">
        <f t="array" ref="C60">INDEX(KirjastoC!D4:K125,35,KirjastoC!B4)</f>
        <v>Poistoilma</v>
      </c>
      <c r="D60" s="809">
        <f>TuloksetC!AJ37</f>
        <v>58.481771481749483</v>
      </c>
      <c r="E60" s="810">
        <f>TuloksetC!AK37</f>
        <v>58.481771481749483</v>
      </c>
      <c r="F60" s="810">
        <f>TuloksetC!AL37</f>
        <v>56.481771481749483</v>
      </c>
      <c r="G60" s="810">
        <f>TuloksetC!AM37</f>
        <v>50.481771481749483</v>
      </c>
      <c r="H60" s="810">
        <f>TuloksetC!AN37</f>
        <v>45.481771481749483</v>
      </c>
      <c r="I60" s="1725">
        <f>TuloksetC!AO37</f>
        <v>40.481771481749483</v>
      </c>
      <c r="J60" s="1726"/>
      <c r="K60" s="810">
        <f>TuloksetC!AP37</f>
        <v>34.481771481749483</v>
      </c>
      <c r="L60" s="811">
        <f>TuloksetC!AQ37</f>
        <v>27.481771481749483</v>
      </c>
      <c r="M60" s="812">
        <f>TuloksetC!AR37</f>
        <v>63.045719894026291</v>
      </c>
      <c r="N60" s="813">
        <f>TuloksetC!AS37</f>
        <v>52.739398520919458</v>
      </c>
      <c r="O60" s="154"/>
      <c r="Q60" s="12"/>
      <c r="R60"/>
      <c r="S60" s="143"/>
      <c r="T60" s="143"/>
      <c r="U60" s="143"/>
      <c r="V60" s="143"/>
      <c r="W60" s="1719" t="str" cm="1">
        <f t="array" ref="W60">INDEX(KirjastoC!D4:K125,102,KirjastoC!B4)</f>
        <v>ST,Kd = tulo- ja ulkoilman lämpötilan välinen lämmöntarveluku, Kd</v>
      </c>
      <c r="X60" s="1719"/>
      <c r="Y60" s="1719"/>
      <c r="Z60" s="1719"/>
      <c r="AA60" s="1719"/>
      <c r="AB60" s="1719"/>
      <c r="AC60" s="1719"/>
      <c r="AD60" s="24"/>
    </row>
    <row r="61" spans="2:30" ht="13.5" customHeight="1" x14ac:dyDescent="0.15">
      <c r="B61" s="795"/>
      <c r="C61" s="802" t="str" cm="1">
        <f t="array" ref="C61">INDEX(KirjastoC!D4:K125,36,KirjastoC!B4)</f>
        <v>Jäteilma</v>
      </c>
      <c r="D61" s="803">
        <f>TuloksetC!AT37</f>
        <v>70.61187195005057</v>
      </c>
      <c r="E61" s="804">
        <f>TuloksetC!AU37</f>
        <v>71.61187195005057</v>
      </c>
      <c r="F61" s="804">
        <f>TuloksetC!AV37</f>
        <v>74.61187195005057</v>
      </c>
      <c r="G61" s="804">
        <f>TuloksetC!AW37</f>
        <v>65.61187195005057</v>
      </c>
      <c r="H61" s="804">
        <f>TuloksetC!AX37</f>
        <v>64.61187195005057</v>
      </c>
      <c r="I61" s="1736">
        <f>TuloksetC!AY37</f>
        <v>62.61187195005057</v>
      </c>
      <c r="J61" s="1737"/>
      <c r="K61" s="804">
        <f>TuloksetC!AZ37</f>
        <v>54.61187195005057</v>
      </c>
      <c r="L61" s="805">
        <f>TuloksetC!BA37</f>
        <v>55.61187195005057</v>
      </c>
      <c r="M61" s="806">
        <f>TuloksetC!BB37</f>
        <v>78.057507815457683</v>
      </c>
      <c r="N61" s="807">
        <f>TuloksetC!BC37</f>
        <v>70.814170441247683</v>
      </c>
      <c r="O61" s="154"/>
      <c r="Q61" s="12"/>
      <c r="R61"/>
      <c r="S61" s="143"/>
      <c r="T61" s="143"/>
      <c r="U61" s="143"/>
      <c r="V61" s="143"/>
      <c r="W61" s="1719"/>
      <c r="X61" s="1719"/>
      <c r="Y61" s="1719"/>
      <c r="Z61" s="1719"/>
      <c r="AA61" s="1719"/>
      <c r="AB61" s="1719"/>
      <c r="AC61" s="1719"/>
      <c r="AD61" s="24"/>
    </row>
    <row r="62" spans="2:30" s="282" customFormat="1" ht="17" customHeight="1" x14ac:dyDescent="0.15">
      <c r="B62" s="795"/>
      <c r="C62" s="977"/>
      <c r="D62" s="978"/>
      <c r="E62" s="978"/>
      <c r="F62" s="978"/>
      <c r="G62" s="978"/>
      <c r="H62" s="978"/>
      <c r="I62" s="1718"/>
      <c r="J62" s="1718"/>
      <c r="K62" s="978"/>
      <c r="L62" s="978"/>
      <c r="M62" s="978"/>
      <c r="N62" s="979"/>
      <c r="O62" s="154"/>
      <c r="Q62" s="12"/>
      <c r="R62"/>
      <c r="S62" s="143"/>
      <c r="T62" s="143"/>
      <c r="U62" s="143"/>
      <c r="V62" s="143"/>
      <c r="W62" s="1719" t="str" cm="1">
        <f t="array" ref="W62">INDEX(KirjastoC!D4:K125,103,KirjastoC!B4)</f>
        <v>SJ,Kd = jäte- ja ulkoilman lämpötilan välinen lämmöntarveluku, Kd</v>
      </c>
      <c r="X62" s="1719"/>
      <c r="Y62" s="1719"/>
      <c r="Z62" s="1719"/>
      <c r="AA62" s="1719"/>
      <c r="AB62" s="1719"/>
      <c r="AC62" s="1719"/>
      <c r="AD62" s="24"/>
    </row>
    <row r="63" spans="2:30" s="282" customFormat="1" ht="16.25" customHeight="1" x14ac:dyDescent="0.15">
      <c r="B63" s="12"/>
      <c r="C63" s="2" t="str" cm="1">
        <f t="array" ref="C63">IF(TuloksetC!BD2,CONCATENATE(INDEX(KirjastoC!D4:K125,41,KirjastoC!B4),":"),INDEX(KirjastoC!D4:K125,41,KirjastoC!B4))</f>
        <v>Äänitehotasot ympäristöön</v>
      </c>
      <c r="D63"/>
      <c r="E63"/>
      <c r="F63" s="140" t="str" cm="1">
        <f t="array" ref="F63">IF(TuloksetC!BD4,INDEX(KirjastoC!D4:K129,125,KirjastoC!B4),"")</f>
        <v/>
      </c>
      <c r="G63"/>
      <c r="H63"/>
      <c r="I63"/>
      <c r="J63"/>
      <c r="K63"/>
      <c r="L63"/>
      <c r="M63"/>
      <c r="N63"/>
      <c r="O63" s="24"/>
      <c r="Q63" s="795"/>
      <c r="R63" s="143"/>
      <c r="S63" s="143"/>
      <c r="T63" s="143"/>
      <c r="U63" s="143"/>
      <c r="V63" s="143"/>
      <c r="W63" s="1719"/>
      <c r="X63" s="1719"/>
      <c r="Y63" s="1719"/>
      <c r="Z63" s="1719"/>
      <c r="AA63" s="1719"/>
      <c r="AB63" s="1719"/>
      <c r="AC63" s="1719"/>
      <c r="AD63" s="154"/>
    </row>
    <row r="64" spans="2:30" s="282" customFormat="1" ht="16.25" customHeight="1" x14ac:dyDescent="0.15">
      <c r="B64" s="12"/>
      <c r="C64" s="1735"/>
      <c r="D64" s="1713" t="str" cm="1">
        <f t="array" ref="D64">INDEX(KirjastoC!D4:K125,38,KirjastoC!B4)</f>
        <v>Äänitehotasot oktaavikaistoittain LW,okt [dB]</v>
      </c>
      <c r="E64" s="1713"/>
      <c r="F64" s="1713"/>
      <c r="G64" s="1713"/>
      <c r="H64" s="1713"/>
      <c r="I64" s="1713"/>
      <c r="J64" s="1713"/>
      <c r="K64" s="1713"/>
      <c r="L64" s="1713"/>
      <c r="M64" s="1712" t="s">
        <v>60</v>
      </c>
      <c r="N64" s="1712" t="s">
        <v>69</v>
      </c>
      <c r="O64" s="24"/>
      <c r="Q64" s="795"/>
      <c r="R64" s="143"/>
      <c r="S64" s="143"/>
      <c r="T64" s="143"/>
      <c r="U64" s="143"/>
      <c r="V64" s="143"/>
      <c r="W64" s="1739" t="str">
        <f>Laskenta_vuosihyötysuhde_C!B52</f>
        <v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v>
      </c>
      <c r="X64" s="1739"/>
      <c r="Y64" s="1739"/>
      <c r="Z64" s="1739"/>
      <c r="AA64" s="1739"/>
      <c r="AB64" s="1739"/>
      <c r="AC64" s="1739"/>
      <c r="AD64" s="154"/>
    </row>
    <row r="65" spans="2:30" ht="14.25" customHeight="1" x14ac:dyDescent="0.15">
      <c r="B65" s="12"/>
      <c r="C65" s="1735"/>
      <c r="D65" s="92" t="s">
        <v>61</v>
      </c>
      <c r="E65" s="93" t="s">
        <v>62</v>
      </c>
      <c r="F65" s="93" t="s">
        <v>63</v>
      </c>
      <c r="G65" s="93" t="s">
        <v>64</v>
      </c>
      <c r="H65" s="93" t="s">
        <v>65</v>
      </c>
      <c r="I65" s="1716" t="s">
        <v>66</v>
      </c>
      <c r="J65" s="1717"/>
      <c r="K65" s="93" t="s">
        <v>67</v>
      </c>
      <c r="L65" s="94" t="s">
        <v>68</v>
      </c>
      <c r="M65" s="1713"/>
      <c r="N65" s="1713"/>
      <c r="O65" s="24"/>
      <c r="Q65" s="795"/>
      <c r="R65" s="143"/>
      <c r="S65" s="143"/>
      <c r="T65" s="143"/>
      <c r="U65" s="143"/>
      <c r="V65" s="143"/>
      <c r="W65" s="1739"/>
      <c r="X65" s="1739"/>
      <c r="Y65" s="1739"/>
      <c r="Z65" s="1739"/>
      <c r="AA65" s="1739"/>
      <c r="AB65" s="1739"/>
      <c r="AC65" s="1739"/>
      <c r="AD65" s="154"/>
    </row>
    <row r="66" spans="2:30" ht="15.75" customHeight="1" thickBot="1" x14ac:dyDescent="0.2">
      <c r="B66" s="795"/>
      <c r="C66" s="820" t="str" cm="1">
        <f t="array" ref="C66">INDEX(KirjastoC!D4:K125,42,KirjastoC!B4)</f>
        <v>Vaipan läpi</v>
      </c>
      <c r="D66" s="821">
        <f>TuloksetC!BD37</f>
        <v>56.10544869741544</v>
      </c>
      <c r="E66" s="822">
        <f>TuloksetC!BE37</f>
        <v>55.10544869741544</v>
      </c>
      <c r="F66" s="822">
        <f>TuloksetC!BF37</f>
        <v>50.10544869741544</v>
      </c>
      <c r="G66" s="822">
        <f>TuloksetC!BG37</f>
        <v>37.10544869741544</v>
      </c>
      <c r="H66" s="822">
        <f>TuloksetC!BH37</f>
        <v>34.10544869741544</v>
      </c>
      <c r="I66" s="1740">
        <f>TuloksetC!BI37</f>
        <v>33.10544869741544</v>
      </c>
      <c r="J66" s="1741"/>
      <c r="K66" s="822">
        <f>TuloksetC!BJ37</f>
        <v>24.10544869741544</v>
      </c>
      <c r="L66" s="823">
        <f>TuloksetC!BK37</f>
        <v>23.10544869741544</v>
      </c>
      <c r="M66" s="824">
        <f>TuloksetC!BL37</f>
        <v>59.266326313676807</v>
      </c>
      <c r="N66" s="825">
        <f>TuloksetC!BM37</f>
        <v>44.953200819997718</v>
      </c>
      <c r="O66" s="154"/>
      <c r="Q66" s="12"/>
      <c r="R66"/>
      <c r="S66" s="143"/>
      <c r="T66" s="143"/>
      <c r="U66" s="143"/>
      <c r="V66" s="143"/>
      <c r="W66" s="1739"/>
      <c r="X66" s="1739"/>
      <c r="Y66" s="1739"/>
      <c r="Z66" s="1739"/>
      <c r="AA66" s="1739"/>
      <c r="AB66" s="1739"/>
      <c r="AC66" s="1739"/>
      <c r="AD66" s="24"/>
    </row>
    <row r="67" spans="2:30" ht="15.75" customHeight="1" thickTop="1" x14ac:dyDescent="0.15">
      <c r="B67" s="795"/>
      <c r="C67" s="981" t="str" cm="1">
        <f t="array" ref="C67">INDEX(KirjastoC!D4:K125,43,KirjastoC!B4)</f>
        <v>Äänipainetaso huonetilassa, jonka ääniabsorptioala 10m²:</v>
      </c>
      <c r="D67" s="982"/>
      <c r="E67" s="982"/>
      <c r="F67" s="982"/>
      <c r="G67" s="982"/>
      <c r="H67" s="982"/>
      <c r="I67" s="982"/>
      <c r="J67" s="982"/>
      <c r="K67" s="982"/>
      <c r="L67" s="982"/>
      <c r="M67" s="983" t="s">
        <v>99</v>
      </c>
      <c r="N67" s="984">
        <f>TuloksetC!BN37</f>
        <v>40.973800733277344</v>
      </c>
      <c r="O67" s="154"/>
      <c r="Q67" s="12"/>
      <c r="R67"/>
      <c r="S67" s="143"/>
      <c r="T67" s="143"/>
      <c r="U67" s="143"/>
      <c r="V67" s="143"/>
      <c r="W67" s="1739"/>
      <c r="X67" s="1739"/>
      <c r="Y67" s="1739"/>
      <c r="Z67" s="1739"/>
      <c r="AA67" s="1739"/>
      <c r="AB67" s="1739"/>
      <c r="AC67" s="1739"/>
      <c r="AD67" s="24"/>
    </row>
    <row r="68" spans="2:30" ht="15.75" customHeight="1" x14ac:dyDescent="0.15">
      <c r="B68" s="1072"/>
      <c r="C68" s="1073"/>
      <c r="D68" s="1074"/>
      <c r="E68" s="1074"/>
      <c r="F68" s="1074"/>
      <c r="G68" s="1074"/>
      <c r="H68" s="1074"/>
      <c r="I68" s="1074"/>
      <c r="J68" s="1074"/>
      <c r="K68" s="1074"/>
      <c r="L68" s="1074"/>
      <c r="M68" s="1075"/>
      <c r="N68" s="1074"/>
      <c r="O68" s="1076"/>
      <c r="Q68" s="12"/>
      <c r="R68"/>
      <c r="S68" s="143"/>
      <c r="T68" s="143"/>
      <c r="U68" s="143"/>
      <c r="V68" s="143"/>
      <c r="W68" s="1739"/>
      <c r="X68" s="1739"/>
      <c r="Y68" s="1739"/>
      <c r="Z68" s="1739"/>
      <c r="AA68" s="1739"/>
      <c r="AB68" s="1739"/>
      <c r="AC68" s="1739"/>
      <c r="AD68" s="24"/>
    </row>
    <row r="69" spans="2:30" ht="16.5" customHeight="1" x14ac:dyDescent="0.15">
      <c r="B69" s="1072"/>
      <c r="C69" s="1386"/>
      <c r="D69" s="1387"/>
      <c r="E69" s="1387"/>
      <c r="F69" s="1387"/>
      <c r="G69" s="1387"/>
      <c r="H69" s="1387"/>
      <c r="I69" s="1387"/>
      <c r="J69" s="1387"/>
      <c r="K69" s="1387"/>
      <c r="L69" s="1387"/>
      <c r="M69" s="1388"/>
      <c r="N69" s="1387"/>
      <c r="O69" s="1076"/>
      <c r="Q69" s="12"/>
      <c r="R69"/>
      <c r="S69" s="143"/>
      <c r="T69" s="143"/>
      <c r="U69" s="143"/>
      <c r="V69" s="143"/>
      <c r="W69" s="1739"/>
      <c r="X69" s="1739"/>
      <c r="Y69" s="1739"/>
      <c r="Z69" s="1739"/>
      <c r="AA69" s="1739"/>
      <c r="AB69" s="1739"/>
      <c r="AC69" s="1739"/>
      <c r="AD69" s="24"/>
    </row>
    <row r="70" spans="2:30" ht="16.5" customHeight="1" x14ac:dyDescent="0.15">
      <c r="B70" s="385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386"/>
      <c r="Q70" s="12"/>
      <c r="R70"/>
      <c r="S70" s="143"/>
      <c r="T70" s="143"/>
      <c r="U70" s="143"/>
      <c r="V70" s="143"/>
      <c r="W70" s="182"/>
      <c r="X70" s="182"/>
      <c r="Y70" s="182"/>
      <c r="Z70" s="143"/>
      <c r="AA70" s="143"/>
      <c r="AB70" s="143"/>
      <c r="AC70" s="143"/>
      <c r="AD70" s="24"/>
    </row>
    <row r="71" spans="2:30" ht="17.25" customHeight="1" x14ac:dyDescent="0.15">
      <c r="B71" s="12"/>
      <c r="C71" s="524" t="str" cm="1">
        <f t="array" ref="C71">INDEX(KirjastoC!D4:K200,54,KirjastoC!B4)</f>
        <v>Kaikki oikeudet pidätetään.</v>
      </c>
      <c r="D71" s="126"/>
      <c r="E71" s="525" t="s">
        <v>199</v>
      </c>
      <c r="F71" s="525" t="s">
        <v>1174</v>
      </c>
      <c r="G71"/>
      <c r="H71"/>
      <c r="I71"/>
      <c r="J71"/>
      <c r="K71"/>
      <c r="L71"/>
      <c r="M71"/>
      <c r="N71"/>
      <c r="O71" s="24"/>
      <c r="Q71" s="12"/>
      <c r="R71" s="524" t="str" cm="1">
        <f t="array" ref="R71">INDEX(KirjastoC!D4:K125,54,KirjastoC!B4)</f>
        <v>Kaikki oikeudet pidätetään.</v>
      </c>
      <c r="S71" s="526" t="s">
        <v>199</v>
      </c>
      <c r="T71" s="525" t="s">
        <v>1174</v>
      </c>
      <c r="U71" s="141"/>
      <c r="V71"/>
      <c r="W71"/>
      <c r="X71"/>
      <c r="Y71"/>
      <c r="Z71"/>
      <c r="AA71"/>
      <c r="AB71"/>
      <c r="AC71" s="143"/>
      <c r="AD71" s="24"/>
    </row>
    <row r="72" spans="2:30" ht="21.75" customHeight="1" x14ac:dyDescent="0.15">
      <c r="B72" s="12"/>
      <c r="C72" s="1738" t="str" cm="1">
        <f t="array" ref="C72">INDEX(KirjastoC!D4:K200,141,KirjastoC!B4)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D72" s="1738"/>
      <c r="E72" s="1738"/>
      <c r="F72" s="1738"/>
      <c r="G72" s="1738"/>
      <c r="H72" s="1738"/>
      <c r="I72" s="1738"/>
      <c r="J72" s="1738"/>
      <c r="K72" s="1738"/>
      <c r="L72" s="1738"/>
      <c r="M72" s="1738"/>
      <c r="N72" s="1738"/>
      <c r="O72" s="24"/>
      <c r="Q72" s="12"/>
      <c r="R72" s="1738" t="str" cm="1">
        <f t="array" ref="R72">INDEX(KirjastoC!D4:K200,141,KirjastoC!B4)</f>
        <v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v>
      </c>
      <c r="S72" s="1738"/>
      <c r="T72" s="1738"/>
      <c r="U72" s="1738"/>
      <c r="V72" s="1738"/>
      <c r="W72" s="1738"/>
      <c r="X72" s="1738"/>
      <c r="Y72" s="1738"/>
      <c r="Z72" s="1738"/>
      <c r="AA72" s="1738"/>
      <c r="AB72" s="1738"/>
      <c r="AC72" s="1738"/>
      <c r="AD72" s="24"/>
    </row>
    <row r="73" spans="2:30" ht="20.25" customHeight="1" x14ac:dyDescent="0.15">
      <c r="B73" s="12"/>
      <c r="C73" s="1738"/>
      <c r="D73" s="1738"/>
      <c r="E73" s="1738"/>
      <c r="F73" s="1738"/>
      <c r="G73" s="1738"/>
      <c r="H73" s="1738"/>
      <c r="I73" s="1738"/>
      <c r="J73" s="1738"/>
      <c r="K73" s="1738"/>
      <c r="L73" s="1738"/>
      <c r="M73" s="1738"/>
      <c r="N73" s="1738"/>
      <c r="O73" s="24"/>
      <c r="Q73" s="12"/>
      <c r="R73" s="1738"/>
      <c r="S73" s="1738"/>
      <c r="T73" s="1738"/>
      <c r="U73" s="1738"/>
      <c r="V73" s="1738"/>
      <c r="W73" s="1738"/>
      <c r="X73" s="1738"/>
      <c r="Y73" s="1738"/>
      <c r="Z73" s="1738"/>
      <c r="AA73" s="1738"/>
      <c r="AB73" s="1738"/>
      <c r="AC73" s="1738"/>
      <c r="AD73" s="24"/>
    </row>
    <row r="74" spans="2:30" ht="18" customHeight="1" x14ac:dyDescent="0.15">
      <c r="B74" s="283"/>
      <c r="C74" s="523" t="str" cm="1">
        <f t="array" ref="C74">INDEX(KirjastoC!D4:K200,56,KirjastoC!B4)</f>
        <v>Laskentaohjelman laatinut Insinööritoimisto W. Zenner Oy. Laskentaohjelma perustuu SFS-EN 13141-7 mukaisiin laboratoriomittauksiin.</v>
      </c>
      <c r="D74" s="281"/>
      <c r="E74" s="284"/>
      <c r="F74" s="284"/>
      <c r="G74" s="284"/>
      <c r="H74" s="284"/>
      <c r="I74" s="284"/>
      <c r="J74" s="284"/>
      <c r="K74" s="284"/>
      <c r="L74" s="284"/>
      <c r="M74" s="284"/>
      <c r="N74" s="284"/>
      <c r="O74" s="285"/>
      <c r="Q74" s="14"/>
      <c r="R74" s="523" t="str" cm="1">
        <f t="array" ref="R74">INDEX(KirjastoC!D4:K125,56,KirjastoC!B4)</f>
        <v>Laskentaohjelman laatinut Insinööritoimisto W. Zenner Oy. Laskentaohjelma perustuu SFS-EN 13141-7 mukaisiin laboratoriomittauksiin.</v>
      </c>
      <c r="S74" s="281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6"/>
    </row>
    <row r="75" spans="2:30" s="282" customFormat="1" ht="20.25" customHeight="1" x14ac:dyDescent="0.15"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</row>
    <row r="76" spans="2:30" x14ac:dyDescent="0.15">
      <c r="B76" s="282"/>
      <c r="C76" s="282"/>
      <c r="D76" s="282"/>
      <c r="E76" s="282"/>
      <c r="F76" s="282"/>
      <c r="G76" s="282"/>
      <c r="H76" s="282"/>
      <c r="I76" s="282"/>
      <c r="J76" s="282"/>
      <c r="K76" s="282"/>
      <c r="L76" s="282"/>
      <c r="M76" s="282"/>
      <c r="N76" s="282"/>
      <c r="O76" s="282"/>
    </row>
    <row r="79" spans="2:30" ht="11.25" customHeight="1" x14ac:dyDescent="0.15"/>
    <row r="80" spans="2:30" ht="10.5" customHeight="1" x14ac:dyDescent="0.15">
      <c r="B80" s="382"/>
      <c r="C80" s="383"/>
      <c r="D80" s="383"/>
      <c r="E80" s="383"/>
      <c r="F80" s="383"/>
      <c r="G80" s="383"/>
      <c r="H80" s="383"/>
      <c r="I80" s="383"/>
      <c r="J80" s="383"/>
      <c r="K80" s="383"/>
      <c r="L80" s="383"/>
      <c r="M80" s="383"/>
      <c r="N80" s="383"/>
      <c r="O80" s="384"/>
    </row>
    <row r="81" spans="2:15" ht="30.75" customHeight="1" x14ac:dyDescent="0.15">
      <c r="B81" s="385"/>
      <c r="C81" s="1373" t="str" cm="1">
        <f t="array" ref="C81">INDEX(KirjastoC!$D$4:$K$500,189,KirjastoC!$B$4)</f>
        <v>VESIKIERTOISTEN LÄMMITYS- JA JÄÄHDYTYSPATTERIEN MITOITUS</v>
      </c>
      <c r="D81" s="126"/>
      <c r="E81" s="126"/>
      <c r="F81" s="126"/>
      <c r="G81" s="126"/>
      <c r="H81" s="1700" t="str" cm="1">
        <f t="array" ref="H81">INDEX(KirjastoC!$D$4:$K$500,201,KirjastoC!$B$4)</f>
        <v>Huom. patterimitoitus onnistunut, kun laskelmassa ei ole virheilmoituksia.
Muuta tarvittaessa meno- tai paluuveden lämpötiloja.</v>
      </c>
      <c r="I81" s="1701"/>
      <c r="J81" s="1701"/>
      <c r="K81" s="1701"/>
      <c r="L81" s="1701"/>
      <c r="M81" s="1701"/>
      <c r="N81" s="1702"/>
      <c r="O81" s="386"/>
    </row>
    <row r="82" spans="2:15" ht="5.25" customHeight="1" x14ac:dyDescent="0.15">
      <c r="B82" s="385"/>
      <c r="C82" s="126"/>
      <c r="D82" s="126"/>
      <c r="E82" s="126"/>
      <c r="F82" s="126"/>
      <c r="G82" s="126"/>
      <c r="H82" s="530"/>
      <c r="I82" s="530"/>
      <c r="J82" s="530"/>
      <c r="K82" s="530"/>
      <c r="L82" s="530"/>
      <c r="M82" s="530"/>
      <c r="N82" s="530"/>
      <c r="O82" s="386"/>
    </row>
    <row r="83" spans="2:15" ht="14" customHeight="1" x14ac:dyDescent="0.15">
      <c r="B83" s="385"/>
      <c r="C83" s="1711" t="str" cm="1">
        <f t="array" ref="C83">INDEX(KirjastoC!$D$4:$K$500,104,KirjastoC!$B$4)</f>
        <v>Vesikiertoisen lämmityspatterin mitoitus</v>
      </c>
      <c r="D83" s="1711"/>
      <c r="E83" s="1711"/>
      <c r="F83" s="1711"/>
      <c r="G83" s="392"/>
      <c r="H83" s="530"/>
      <c r="I83" s="530"/>
      <c r="J83" s="530"/>
      <c r="K83" s="530"/>
      <c r="L83" s="530"/>
      <c r="M83" s="530"/>
      <c r="N83" s="530"/>
      <c r="O83" s="386"/>
    </row>
    <row r="84" spans="2:15" ht="14.25" customHeight="1" x14ac:dyDescent="0.15">
      <c r="B84" s="385"/>
      <c r="C84" s="529" t="str">
        <f>'C5 Lämmitys'!O11</f>
        <v/>
      </c>
      <c r="D84" s="126"/>
      <c r="E84" s="126"/>
      <c r="F84" s="126"/>
      <c r="G84" s="392"/>
      <c r="H84" s="126"/>
      <c r="I84" s="126"/>
      <c r="J84" s="126"/>
      <c r="K84" s="126"/>
      <c r="L84" s="126"/>
      <c r="M84" s="126"/>
      <c r="N84" s="126"/>
      <c r="O84" s="386"/>
    </row>
    <row r="85" spans="2:15" ht="14.25" customHeight="1" x14ac:dyDescent="0.15">
      <c r="B85" s="385"/>
      <c r="C85" s="388"/>
      <c r="D85" s="126"/>
      <c r="E85" s="126"/>
      <c r="F85" s="126"/>
      <c r="G85" s="392"/>
      <c r="H85" s="126"/>
      <c r="I85" s="126"/>
      <c r="J85" s="126"/>
      <c r="K85" s="126"/>
      <c r="L85" s="126"/>
      <c r="M85" s="126"/>
      <c r="N85" s="126"/>
      <c r="O85" s="386"/>
    </row>
    <row r="86" spans="2:15" ht="14" x14ac:dyDescent="0.15">
      <c r="B86" s="385"/>
      <c r="C86" s="528" t="str" cm="1">
        <f t="array" ref="C86">INDEX(KirjastoC!$D$4:$K$500,106,KirjastoC!$B$4)</f>
        <v>Syötä mitoitus- ja tavoitearvot:</v>
      </c>
      <c r="D86" s="529"/>
      <c r="E86" s="529"/>
      <c r="F86" s="529"/>
      <c r="G86" s="529"/>
      <c r="H86" s="1352" t="str">
        <f>'C5 Lämmitys'!R8</f>
        <v>Valitussa mallissa ei vesikiertoista lämmityspatteria</v>
      </c>
      <c r="I86" s="529"/>
      <c r="J86" s="529"/>
      <c r="K86" s="529"/>
      <c r="L86" s="529"/>
      <c r="M86" s="529"/>
      <c r="N86" s="529"/>
      <c r="O86" s="386"/>
    </row>
    <row r="87" spans="2:15" x14ac:dyDescent="0.15">
      <c r="B87" s="385"/>
      <c r="C87" s="530" t="str" cm="1">
        <f t="array" ref="C87">INDEX(KirjastoC!$D$4:$K$500,107,KirjastoC!$B$4)</f>
        <v>Aloita syöttämällä joko meno- tai paluuveden lämpötila</v>
      </c>
      <c r="D87" s="529"/>
      <c r="E87" s="529"/>
      <c r="F87" s="529"/>
      <c r="G87" s="529"/>
      <c r="H87" s="529"/>
      <c r="I87" s="529"/>
      <c r="J87" s="529"/>
      <c r="K87" s="529"/>
      <c r="L87" s="529"/>
      <c r="M87" s="529"/>
      <c r="N87" s="529"/>
      <c r="O87" s="386"/>
    </row>
    <row r="88" spans="2:15" x14ac:dyDescent="0.15">
      <c r="B88" s="385"/>
      <c r="C88" s="529" t="str" cm="1">
        <f t="array" ref="C88">INDEX(KirjastoC!$D$4:$K$500,108,KirjastoC!$B$4)</f>
        <v>Patterille tulevan ilman lämpötila</v>
      </c>
      <c r="D88" s="529"/>
      <c r="E88" s="529"/>
      <c r="F88" s="531">
        <v>-5</v>
      </c>
      <c r="G88" s="529" t="s">
        <v>509</v>
      </c>
      <c r="H88" s="532" t="str" cm="1">
        <f t="array" ref="H88">INDEX(KirjastoC!$D$4:$K$500,115,KirjastoC!$B$4)</f>
        <v xml:space="preserve">Patterimitoitus menoveden lämpötilan mukaan </v>
      </c>
      <c r="I88" s="605"/>
      <c r="J88" s="533"/>
      <c r="K88" s="533"/>
      <c r="L88" s="533"/>
      <c r="M88" s="533"/>
      <c r="N88" s="534"/>
      <c r="O88" s="386"/>
    </row>
    <row r="89" spans="2:15" x14ac:dyDescent="0.15">
      <c r="B89" s="385"/>
      <c r="C89" s="529" t="str" cm="1">
        <f t="array" ref="C89">INDEX(KirjastoC!$D$4:$K$500,109,KirjastoC!$B$4)</f>
        <v>Patterilta lähtevän ilman lämpötila</v>
      </c>
      <c r="D89" s="529"/>
      <c r="E89" s="529"/>
      <c r="F89" s="531">
        <v>20</v>
      </c>
      <c r="G89" s="529" t="s">
        <v>509</v>
      </c>
      <c r="H89" s="137" t="str" cm="1">
        <f t="array" ref="H89">INDEX(KirjastoC!$D$4:$K$500,117,KirjastoC!$B$4)</f>
        <v>Menoveden lämpötila</v>
      </c>
      <c r="I89" s="606"/>
      <c r="J89" s="529"/>
      <c r="K89" s="529"/>
      <c r="L89" s="529"/>
      <c r="M89" s="535" t="str">
        <f>'C5 Lämmitys'!R17</f>
        <v>-</v>
      </c>
      <c r="N89" s="536" t="s">
        <v>509</v>
      </c>
      <c r="O89" s="386"/>
    </row>
    <row r="90" spans="2:15" x14ac:dyDescent="0.15">
      <c r="B90" s="385"/>
      <c r="C90" s="529" t="str" cm="1">
        <f t="array" ref="C90">INDEX(KirjastoC!$D$4:$K$500,110,KirjastoC!$B$4)</f>
        <v>Menoveden lämpötila</v>
      </c>
      <c r="D90" s="1339" t="str">
        <f>'C5 Lämmitys'!O13</f>
        <v/>
      </c>
      <c r="E90" s="529"/>
      <c r="F90" s="531">
        <v>50</v>
      </c>
      <c r="G90" s="529" t="s">
        <v>509</v>
      </c>
      <c r="H90" s="137" t="str" cm="1">
        <f t="array" ref="H90">INDEX(KirjastoC!$D$4:$K$500,118,KirjastoC!$B$4)</f>
        <v>Paluuveden lämpötila</v>
      </c>
      <c r="I90" s="606"/>
      <c r="J90" s="529"/>
      <c r="K90" s="529"/>
      <c r="L90" s="529"/>
      <c r="M90" s="535" t="str">
        <f>'C5 Lämmitys'!R18</f>
        <v>-</v>
      </c>
      <c r="N90" s="536" t="s">
        <v>509</v>
      </c>
      <c r="O90" s="386"/>
    </row>
    <row r="91" spans="2:15" x14ac:dyDescent="0.15">
      <c r="B91" s="385"/>
      <c r="C91" s="529" t="str" cm="1">
        <f t="array" ref="C91">INDEX(KirjastoC!$D$4:$K$500,111,KirjastoC!$B$4)</f>
        <v>Paluuveden lämpötila</v>
      </c>
      <c r="D91" s="1339" t="str">
        <f>'C5 Lämmitys'!O14</f>
        <v/>
      </c>
      <c r="E91" s="529"/>
      <c r="F91" s="531">
        <v>30</v>
      </c>
      <c r="G91" s="529" t="s">
        <v>509</v>
      </c>
      <c r="H91" s="137" t="str" cm="1">
        <f t="array" ref="H91">INDEX(KirjastoC!$D$4:$K$500,119,KirjastoC!$B$4)</f>
        <v>Virtaama</v>
      </c>
      <c r="I91" s="606"/>
      <c r="J91" s="529"/>
      <c r="K91" s="529"/>
      <c r="L91" s="529"/>
      <c r="M91" s="543" t="str">
        <f>'C5 Lämmitys'!R19</f>
        <v>-</v>
      </c>
      <c r="N91" s="536" t="s">
        <v>1219</v>
      </c>
      <c r="O91" s="386"/>
    </row>
    <row r="92" spans="2:15" x14ac:dyDescent="0.15">
      <c r="B92" s="385"/>
      <c r="C92" s="529"/>
      <c r="D92" s="529"/>
      <c r="E92" s="529"/>
      <c r="F92" s="529"/>
      <c r="G92" s="529"/>
      <c r="H92" s="137" t="str" cm="1">
        <f t="array" ref="H92">INDEX(KirjastoC!$D$4:$K$500,120,KirjastoC!$B$4)</f>
        <v>Patterin nestepuolen painehäviö</v>
      </c>
      <c r="I92" s="606"/>
      <c r="J92" s="529"/>
      <c r="K92" s="529"/>
      <c r="L92" s="529"/>
      <c r="M92" s="535" t="str">
        <f>'C5 Lämmitys'!R20</f>
        <v>-</v>
      </c>
      <c r="N92" s="536" t="s">
        <v>500</v>
      </c>
      <c r="O92" s="386"/>
    </row>
    <row r="93" spans="2:15" ht="14.25" customHeight="1" x14ac:dyDescent="0.15">
      <c r="B93" s="385"/>
      <c r="C93" s="529" t="str" cm="1">
        <f t="array" ref="C93">INDEX(KirjastoC!$D$4:$K$500,112,KirjastoC!$B$4)</f>
        <v>Tuloilman tilavuusvirta</v>
      </c>
      <c r="D93" s="529"/>
      <c r="E93" s="529"/>
      <c r="F93" s="751">
        <f>E33</f>
        <v>450</v>
      </c>
      <c r="G93" s="529" t="s">
        <v>974</v>
      </c>
      <c r="H93" s="137" t="str" cm="1">
        <f t="array" ref="H93">INDEX(KirjastoC!$D$4:$K$500,121,KirjastoC!$B$4)</f>
        <v>Säätöventtiilin painehäviö (Airfi toteutus)*</v>
      </c>
      <c r="I93" s="606"/>
      <c r="J93" s="529"/>
      <c r="K93" s="529"/>
      <c r="L93" s="529"/>
      <c r="M93" s="535" t="str">
        <f>'C5 Lämmitys'!R21</f>
        <v>-</v>
      </c>
      <c r="N93" s="536" t="s">
        <v>500</v>
      </c>
      <c r="O93" s="386"/>
    </row>
    <row r="94" spans="2:15" x14ac:dyDescent="0.15">
      <c r="B94" s="385"/>
      <c r="C94" s="538" t="str" cm="1">
        <f t="array" ref="C94">INDEX(KirjastoC!$D$4:$K$500,113,KirjastoC!$B$4)</f>
        <v>Tarvittava lämmitysteho:</v>
      </c>
      <c r="D94" s="539"/>
      <c r="E94" s="540"/>
      <c r="F94" s="1357" t="str">
        <f>'C5 Lämmitys'!O12</f>
        <v>-</v>
      </c>
      <c r="G94" s="528" t="s">
        <v>2259</v>
      </c>
      <c r="H94" s="541" t="str" cm="1">
        <f t="array" ref="H94">INDEX(KirjastoC!$D$4:$K$500,122,KirjastoC!$B$4)</f>
        <v>Virtausnopeus patterin putkireitissä</v>
      </c>
      <c r="I94" s="607"/>
      <c r="J94" s="542"/>
      <c r="K94" s="542"/>
      <c r="L94" s="542"/>
      <c r="M94" s="543" t="str">
        <f>'C5 Lämmitys'!R22</f>
        <v>-</v>
      </c>
      <c r="N94" s="544" t="s">
        <v>502</v>
      </c>
      <c r="O94" s="386"/>
    </row>
    <row r="95" spans="2:15" x14ac:dyDescent="0.15">
      <c r="B95" s="385"/>
      <c r="C95" s="529"/>
      <c r="D95" s="529"/>
      <c r="E95" s="529"/>
      <c r="F95" s="529"/>
      <c r="G95" s="529"/>
      <c r="H95" s="527" t="str">
        <f>'C5 Lämmitys'!M23</f>
        <v/>
      </c>
      <c r="I95" s="527"/>
      <c r="J95" s="529"/>
      <c r="K95" s="529"/>
      <c r="L95" s="529"/>
      <c r="M95" s="529"/>
      <c r="N95" s="529"/>
      <c r="O95" s="386"/>
    </row>
    <row r="96" spans="2:15" x14ac:dyDescent="0.15">
      <c r="B96" s="385"/>
      <c r="C96" s="529"/>
      <c r="D96" s="529"/>
      <c r="E96" s="529"/>
      <c r="F96" s="529"/>
      <c r="G96" s="529"/>
      <c r="H96" s="532" t="str" cm="1">
        <f t="array" ref="H96">INDEX(KirjastoC!$D$4:$K$500,116,KirjastoC!$B$4)</f>
        <v xml:space="preserve">Patterimitoitus paluuveden lämpötilan mukaan </v>
      </c>
      <c r="I96" s="605"/>
      <c r="J96" s="533"/>
      <c r="K96" s="533"/>
      <c r="L96" s="533"/>
      <c r="M96" s="533"/>
      <c r="N96" s="545"/>
      <c r="O96" s="386"/>
    </row>
    <row r="97" spans="2:15" x14ac:dyDescent="0.15">
      <c r="B97" s="385"/>
      <c r="C97" s="529"/>
      <c r="D97" s="529"/>
      <c r="E97" s="529"/>
      <c r="F97" s="529"/>
      <c r="G97" s="529"/>
      <c r="H97" s="137" t="str">
        <f t="shared" ref="H97:H102" si="0">H89</f>
        <v>Menoveden lämpötila</v>
      </c>
      <c r="I97" s="606"/>
      <c r="J97" s="529"/>
      <c r="K97" s="529"/>
      <c r="L97" s="529"/>
      <c r="M97" s="535" t="str">
        <f>'C5 Lämmitys'!R25</f>
        <v>-</v>
      </c>
      <c r="N97" s="536" t="s">
        <v>509</v>
      </c>
      <c r="O97" s="386"/>
    </row>
    <row r="98" spans="2:15" x14ac:dyDescent="0.15">
      <c r="B98" s="385"/>
      <c r="C98" s="529"/>
      <c r="D98" s="529"/>
      <c r="E98" s="529"/>
      <c r="F98" s="529"/>
      <c r="G98" s="529"/>
      <c r="H98" s="137" t="str">
        <f t="shared" si="0"/>
        <v>Paluuveden lämpötila</v>
      </c>
      <c r="I98" s="606"/>
      <c r="J98" s="529"/>
      <c r="K98" s="529"/>
      <c r="L98" s="529"/>
      <c r="M98" s="535" t="str">
        <f>'C5 Lämmitys'!R26</f>
        <v>-</v>
      </c>
      <c r="N98" s="536" t="s">
        <v>509</v>
      </c>
      <c r="O98" s="386"/>
    </row>
    <row r="99" spans="2:15" x14ac:dyDescent="0.15">
      <c r="B99" s="385"/>
      <c r="C99" s="529"/>
      <c r="D99" s="529"/>
      <c r="E99" s="529"/>
      <c r="F99" s="529"/>
      <c r="G99" s="529"/>
      <c r="H99" s="137" t="str">
        <f t="shared" si="0"/>
        <v>Virtaama</v>
      </c>
      <c r="I99" s="606"/>
      <c r="J99" s="529"/>
      <c r="K99" s="529"/>
      <c r="L99" s="529"/>
      <c r="M99" s="543" t="str">
        <f>'C5 Lämmitys'!R27</f>
        <v>-</v>
      </c>
      <c r="N99" s="536" t="s">
        <v>1219</v>
      </c>
      <c r="O99" s="386"/>
    </row>
    <row r="100" spans="2:15" x14ac:dyDescent="0.15">
      <c r="B100" s="385"/>
      <c r="C100" s="529"/>
      <c r="D100" s="529"/>
      <c r="E100" s="529"/>
      <c r="F100" s="529"/>
      <c r="G100" s="529"/>
      <c r="H100" s="137" t="str">
        <f t="shared" si="0"/>
        <v>Patterin nestepuolen painehäviö</v>
      </c>
      <c r="I100" s="606"/>
      <c r="J100" s="529"/>
      <c r="K100" s="529"/>
      <c r="L100" s="529"/>
      <c r="M100" s="535" t="str">
        <f>'C5 Lämmitys'!R28</f>
        <v>-</v>
      </c>
      <c r="N100" s="536" t="s">
        <v>500</v>
      </c>
      <c r="O100" s="386"/>
    </row>
    <row r="101" spans="2:15" x14ac:dyDescent="0.15">
      <c r="B101" s="385"/>
      <c r="C101" s="1728" t="str">
        <f>'C5 Lämmitys'!M32</f>
        <v/>
      </c>
      <c r="D101" s="1728"/>
      <c r="E101" s="1728"/>
      <c r="F101" s="1728"/>
      <c r="G101" s="529"/>
      <c r="H101" s="137" t="str">
        <f t="shared" si="0"/>
        <v>Säätöventtiilin painehäviö (Airfi toteutus)*</v>
      </c>
      <c r="I101" s="606"/>
      <c r="J101" s="529"/>
      <c r="K101" s="529"/>
      <c r="L101" s="529"/>
      <c r="M101" s="535" t="str">
        <f>'C5 Lämmitys'!R29</f>
        <v>-</v>
      </c>
      <c r="N101" s="536" t="s">
        <v>500</v>
      </c>
      <c r="O101" s="386"/>
    </row>
    <row r="102" spans="2:15" x14ac:dyDescent="0.15">
      <c r="B102" s="385"/>
      <c r="C102" s="1728"/>
      <c r="D102" s="1728"/>
      <c r="E102" s="1728"/>
      <c r="F102" s="1728"/>
      <c r="G102" s="529"/>
      <c r="H102" s="541" t="str">
        <f t="shared" si="0"/>
        <v>Virtausnopeus patterin putkireitissä</v>
      </c>
      <c r="I102" s="607"/>
      <c r="J102" s="542"/>
      <c r="K102" s="542"/>
      <c r="L102" s="542"/>
      <c r="M102" s="543" t="str">
        <f>'C5 Lämmitys'!R30</f>
        <v>-</v>
      </c>
      <c r="N102" s="544" t="s">
        <v>502</v>
      </c>
      <c r="O102" s="386"/>
    </row>
    <row r="103" spans="2:15" x14ac:dyDescent="0.15">
      <c r="B103" s="385"/>
      <c r="C103" s="445"/>
      <c r="D103" s="445"/>
      <c r="E103" s="445"/>
      <c r="F103" s="445"/>
      <c r="G103" s="126"/>
      <c r="H103" s="557" t="str">
        <f>'C5 Lämmitys'!M31</f>
        <v/>
      </c>
      <c r="I103" s="557"/>
      <c r="J103" s="383"/>
      <c r="K103" s="383"/>
      <c r="L103" s="383"/>
      <c r="M103" s="448"/>
      <c r="N103" s="383"/>
      <c r="O103" s="386"/>
    </row>
    <row r="104" spans="2:15" x14ac:dyDescent="0.15">
      <c r="B104" s="387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447"/>
    </row>
    <row r="105" spans="2:15" x14ac:dyDescent="0.15">
      <c r="B105" s="382"/>
      <c r="C105" s="383"/>
      <c r="D105" s="383"/>
      <c r="E105" s="383"/>
      <c r="F105" s="383"/>
      <c r="G105" s="383"/>
      <c r="H105" s="383"/>
      <c r="I105" s="383"/>
      <c r="J105" s="383"/>
      <c r="K105" s="383"/>
      <c r="L105" s="383"/>
      <c r="M105" s="383"/>
      <c r="N105" s="383"/>
      <c r="O105" s="384"/>
    </row>
    <row r="106" spans="2:15" ht="15" customHeight="1" x14ac:dyDescent="0.15">
      <c r="B106" s="385"/>
      <c r="C106" s="1711" t="str" cm="1">
        <f t="array" ref="C106">INDEX(KirjastoC!$D$4:$K$500,190,KirjastoC!$B$4)</f>
        <v>Vesikiertoisen jäähdytyspatterin mitoitus</v>
      </c>
      <c r="D106" s="1711"/>
      <c r="E106" s="1711"/>
      <c r="F106" s="1711"/>
      <c r="G106" s="392" t="s">
        <v>362</v>
      </c>
      <c r="H106" s="1705" t="str">
        <f>H81</f>
        <v>Huom. patterimitoitus onnistunut, kun laskelmassa ei ole virheilmoituksia.
Muuta tarvittaessa meno- tai paluuveden lämpötiloja.</v>
      </c>
      <c r="I106" s="1706"/>
      <c r="J106" s="1706"/>
      <c r="K106" s="1706"/>
      <c r="L106" s="1706"/>
      <c r="M106" s="1706"/>
      <c r="N106" s="1707"/>
      <c r="O106" s="386"/>
    </row>
    <row r="107" spans="2:15" x14ac:dyDescent="0.15">
      <c r="B107" s="385"/>
      <c r="C107" s="529" t="str">
        <f>'C5 Jäähdytys'!O11</f>
        <v/>
      </c>
      <c r="D107" s="126"/>
      <c r="E107" s="126"/>
      <c r="F107" s="126"/>
      <c r="G107" s="392"/>
      <c r="H107" s="1708"/>
      <c r="I107" s="1709"/>
      <c r="J107" s="1709"/>
      <c r="K107" s="1709"/>
      <c r="L107" s="1709"/>
      <c r="M107" s="1709"/>
      <c r="N107" s="1710"/>
      <c r="O107" s="386"/>
    </row>
    <row r="108" spans="2:15" ht="14" x14ac:dyDescent="0.15">
      <c r="B108" s="385"/>
      <c r="C108" s="388"/>
      <c r="D108" s="126"/>
      <c r="E108" s="126"/>
      <c r="F108" s="126"/>
      <c r="G108" s="392"/>
      <c r="H108" s="126"/>
      <c r="I108" s="126"/>
      <c r="J108" s="126"/>
      <c r="K108" s="126"/>
      <c r="L108" s="126"/>
      <c r="M108" s="126"/>
      <c r="N108" s="126"/>
      <c r="O108" s="386"/>
    </row>
    <row r="109" spans="2:15" ht="14" x14ac:dyDescent="0.15">
      <c r="B109" s="385"/>
      <c r="C109" s="528" t="str">
        <f>C86</f>
        <v>Syötä mitoitus- ja tavoitearvot:</v>
      </c>
      <c r="D109" s="529"/>
      <c r="E109" s="529"/>
      <c r="F109" s="529"/>
      <c r="G109" s="529"/>
      <c r="H109" s="1352" t="str">
        <f>'C5 Jäähdytys'!R8</f>
        <v>Valitussa mallissa ei vesikiertoista jäähdytyspatteria</v>
      </c>
      <c r="I109" s="529"/>
      <c r="J109" s="529"/>
      <c r="K109" s="529"/>
      <c r="L109" s="529"/>
      <c r="M109" s="529"/>
      <c r="N109" s="529"/>
      <c r="O109" s="386"/>
    </row>
    <row r="110" spans="2:15" x14ac:dyDescent="0.15">
      <c r="B110" s="385"/>
      <c r="C110" s="530" t="str">
        <f>C87</f>
        <v>Aloita syöttämällä joko meno- tai paluuveden lämpötila</v>
      </c>
      <c r="D110" s="529"/>
      <c r="E110" s="529"/>
      <c r="F110" s="529"/>
      <c r="G110" s="529"/>
      <c r="H110" s="529"/>
      <c r="I110" s="529"/>
      <c r="J110" s="529"/>
      <c r="K110" s="529"/>
      <c r="L110" s="529"/>
      <c r="M110" s="529"/>
      <c r="N110" s="529"/>
      <c r="O110" s="386"/>
    </row>
    <row r="111" spans="2:15" x14ac:dyDescent="0.15">
      <c r="B111" s="385"/>
      <c r="C111" s="529" t="str">
        <f>C88</f>
        <v>Patterille tulevan ilman lämpötila</v>
      </c>
      <c r="D111" s="529"/>
      <c r="E111" s="529"/>
      <c r="F111" s="531">
        <v>25</v>
      </c>
      <c r="G111" s="529" t="s">
        <v>509</v>
      </c>
      <c r="H111" s="532" t="str" cm="1">
        <f t="array" ref="H111">INDEX(KirjastoC!$D$4:$K$500,194,KirjastoC!$B$4)</f>
        <v xml:space="preserve">Patterimitoitus menoveden lämpötilan mukaan </v>
      </c>
      <c r="I111" s="605"/>
      <c r="J111" s="533"/>
      <c r="K111" s="533"/>
      <c r="L111" s="533"/>
      <c r="M111" s="533"/>
      <c r="N111" s="534"/>
      <c r="O111" s="386"/>
    </row>
    <row r="112" spans="2:15" x14ac:dyDescent="0.15">
      <c r="B112" s="385"/>
      <c r="C112" s="529" t="str" cm="1">
        <f t="array" ref="C112">INDEX(KirjastoC!$D$4:$K$500,191,KirjastoC!$B$4)</f>
        <v>Patterille tulevan ilman suhteellinen kosteus</v>
      </c>
      <c r="D112" s="529"/>
      <c r="E112" s="529"/>
      <c r="F112" s="531">
        <v>65</v>
      </c>
      <c r="G112" s="529" t="s">
        <v>2458</v>
      </c>
      <c r="H112" s="137" t="str">
        <f>H89</f>
        <v>Menoveden lämpötila</v>
      </c>
      <c r="I112" s="606"/>
      <c r="J112" s="529"/>
      <c r="K112" s="529"/>
      <c r="L112" s="529"/>
      <c r="M112" s="535" t="str">
        <f>'C5 Jäähdytys'!R20</f>
        <v>-</v>
      </c>
      <c r="N112" s="536" t="s">
        <v>509</v>
      </c>
      <c r="O112" s="386"/>
    </row>
    <row r="113" spans="2:15" x14ac:dyDescent="0.15">
      <c r="B113" s="385"/>
      <c r="C113" s="529" t="str">
        <f>C89</f>
        <v>Patterilta lähtevän ilman lämpötila</v>
      </c>
      <c r="D113" s="529"/>
      <c r="E113" s="529"/>
      <c r="F113" s="531">
        <v>17</v>
      </c>
      <c r="G113" s="529" t="s">
        <v>509</v>
      </c>
      <c r="H113" s="137" t="str">
        <f t="shared" ref="H113:H114" si="1">H90</f>
        <v>Paluuveden lämpötila</v>
      </c>
      <c r="I113" s="606"/>
      <c r="J113" s="529"/>
      <c r="K113" s="529"/>
      <c r="L113" s="529"/>
      <c r="M113" s="535" t="str">
        <f>'C5 Jäähdytys'!R21</f>
        <v>-</v>
      </c>
      <c r="N113" s="536" t="s">
        <v>509</v>
      </c>
      <c r="O113" s="386"/>
    </row>
    <row r="114" spans="2:15" x14ac:dyDescent="0.15">
      <c r="B114" s="385"/>
      <c r="C114" s="529" t="str">
        <f>C90</f>
        <v>Menoveden lämpötila</v>
      </c>
      <c r="D114" s="1339" t="str">
        <f>'C5 Jäähdytys'!O15</f>
        <v/>
      </c>
      <c r="E114" s="529"/>
      <c r="F114" s="531">
        <v>7</v>
      </c>
      <c r="G114" s="529" t="s">
        <v>509</v>
      </c>
      <c r="H114" s="137" t="str">
        <f t="shared" si="1"/>
        <v>Virtaama</v>
      </c>
      <c r="I114" s="606"/>
      <c r="J114" s="529"/>
      <c r="K114" s="529"/>
      <c r="L114" s="529"/>
      <c r="M114" s="543" t="str">
        <f>'C5 Jäähdytys'!R22</f>
        <v>-</v>
      </c>
      <c r="N114" s="536" t="s">
        <v>1219</v>
      </c>
      <c r="O114" s="386"/>
    </row>
    <row r="115" spans="2:15" x14ac:dyDescent="0.15">
      <c r="B115" s="385"/>
      <c r="C115" s="529" t="str">
        <f>C91</f>
        <v>Paluuveden lämpötila</v>
      </c>
      <c r="D115" s="1339" t="str">
        <f>'C5 Jäähdytys'!O16</f>
        <v/>
      </c>
      <c r="E115" s="529"/>
      <c r="F115" s="531">
        <v>12</v>
      </c>
      <c r="G115" s="529" t="s">
        <v>509</v>
      </c>
      <c r="H115" s="137" t="s">
        <v>514</v>
      </c>
      <c r="I115" s="606"/>
      <c r="J115" s="529"/>
      <c r="K115" s="529"/>
      <c r="L115" s="529"/>
      <c r="M115" s="535" t="str">
        <f>'C5 Jäähdytys'!R23</f>
        <v>-</v>
      </c>
      <c r="N115" s="536" t="s">
        <v>500</v>
      </c>
      <c r="O115" s="386"/>
    </row>
    <row r="116" spans="2:15" x14ac:dyDescent="0.15">
      <c r="B116" s="385"/>
      <c r="C116" s="529"/>
      <c r="D116" s="529"/>
      <c r="E116" s="529"/>
      <c r="F116" s="529"/>
      <c r="G116" s="529"/>
      <c r="H116" s="137" t="str">
        <f>H93</f>
        <v>Säätöventtiilin painehäviö (Airfi toteutus)*</v>
      </c>
      <c r="I116" s="606"/>
      <c r="J116" s="529"/>
      <c r="K116" s="529"/>
      <c r="L116" s="529"/>
      <c r="M116" s="535" t="str">
        <f>'C5 Jäähdytys'!R24</f>
        <v>-</v>
      </c>
      <c r="N116" s="536" t="s">
        <v>500</v>
      </c>
      <c r="O116" s="386"/>
    </row>
    <row r="117" spans="2:15" x14ac:dyDescent="0.15">
      <c r="B117" s="385"/>
      <c r="C117" s="529" t="str">
        <f>C93</f>
        <v>Tuloilman tilavuusvirta</v>
      </c>
      <c r="D117" s="529"/>
      <c r="E117" s="529"/>
      <c r="F117" s="751">
        <f>F93</f>
        <v>450</v>
      </c>
      <c r="G117" s="529" t="s">
        <v>1219</v>
      </c>
      <c r="H117" s="541" t="str">
        <f>H94</f>
        <v>Virtausnopeus patterin putkireitissä</v>
      </c>
      <c r="I117" s="607"/>
      <c r="J117" s="542"/>
      <c r="K117" s="542"/>
      <c r="L117" s="542"/>
      <c r="M117" s="543" t="str">
        <f>'C5 Jäähdytys'!R25</f>
        <v>-</v>
      </c>
      <c r="N117" s="544" t="s">
        <v>502</v>
      </c>
      <c r="O117" s="386"/>
    </row>
    <row r="118" spans="2:15" x14ac:dyDescent="0.15">
      <c r="B118" s="385"/>
      <c r="C118" s="539" t="str" cm="1">
        <f t="array" ref="C118">INDEX(KirjastoC!$D$4:$K$500,192,KirjastoC!$B$4)</f>
        <v>Tarvittava jäähdytysteho (tuntuva)</v>
      </c>
      <c r="D118" s="539"/>
      <c r="E118" s="540"/>
      <c r="F118" s="540" t="str">
        <f>'C5 Jäähdytys'!O12</f>
        <v>-</v>
      </c>
      <c r="G118" s="529" t="s">
        <v>2259</v>
      </c>
      <c r="H118" s="527" t="str">
        <f>'C5 Jäähdytys'!M26</f>
        <v/>
      </c>
      <c r="I118" s="527"/>
      <c r="J118" s="529"/>
      <c r="K118" s="529"/>
      <c r="L118" s="529"/>
      <c r="M118" s="529"/>
      <c r="N118" s="529"/>
      <c r="O118" s="386"/>
    </row>
    <row r="119" spans="2:15" x14ac:dyDescent="0.15">
      <c r="B119" s="385"/>
      <c r="C119" s="538" t="str" cm="1">
        <f t="array" ref="C119">INDEX(KirjastoC!$D$4:$K$500,193,KirjastoC!$B$4)</f>
        <v>Tarvittava kokonaisjäähdytysteho</v>
      </c>
      <c r="D119" s="539"/>
      <c r="E119" s="540"/>
      <c r="F119" s="1357" t="str">
        <f>'C5 Jäähdytys'!O14</f>
        <v>-</v>
      </c>
      <c r="G119" s="528" t="s">
        <v>2259</v>
      </c>
      <c r="H119" s="532" t="str" cm="1">
        <f t="array" ref="H119">INDEX(KirjastoC!$D$4:$K$500,195,KirjastoC!$B$4)</f>
        <v xml:space="preserve">Patterimitoitus paluuveden lämpötilan mukaan </v>
      </c>
      <c r="I119" s="605"/>
      <c r="J119" s="533"/>
      <c r="K119" s="533"/>
      <c r="L119" s="533"/>
      <c r="M119" s="533"/>
      <c r="N119" s="545"/>
      <c r="O119" s="386"/>
    </row>
    <row r="120" spans="2:15" x14ac:dyDescent="0.15">
      <c r="B120" s="385"/>
      <c r="C120" s="529"/>
      <c r="D120" s="529"/>
      <c r="E120" s="529"/>
      <c r="F120" s="1343"/>
      <c r="G120" s="529"/>
      <c r="H120" s="137" t="str">
        <f>H112</f>
        <v>Menoveden lämpötila</v>
      </c>
      <c r="I120" s="606"/>
      <c r="J120" s="529"/>
      <c r="K120" s="529"/>
      <c r="L120" s="529"/>
      <c r="M120" s="535" t="str">
        <f>'C5 Jäähdytys'!R28</f>
        <v>-</v>
      </c>
      <c r="N120" s="536" t="s">
        <v>509</v>
      </c>
      <c r="O120" s="386"/>
    </row>
    <row r="121" spans="2:15" x14ac:dyDescent="0.15">
      <c r="B121" s="385"/>
      <c r="C121" s="529"/>
      <c r="D121" s="529"/>
      <c r="E121" s="529"/>
      <c r="F121" s="529"/>
      <c r="G121" s="529"/>
      <c r="H121" s="137" t="str">
        <f t="shared" ref="H121:H125" si="2">H113</f>
        <v>Paluuveden lämpötila</v>
      </c>
      <c r="I121" s="606"/>
      <c r="J121" s="529"/>
      <c r="K121" s="529"/>
      <c r="L121" s="529"/>
      <c r="M121" s="535" t="str">
        <f>'C5 Jäähdytys'!R29</f>
        <v>-</v>
      </c>
      <c r="N121" s="536" t="s">
        <v>509</v>
      </c>
      <c r="O121" s="386"/>
    </row>
    <row r="122" spans="2:15" x14ac:dyDescent="0.15">
      <c r="B122" s="385"/>
      <c r="C122" s="529"/>
      <c r="D122" s="529"/>
      <c r="E122" s="529"/>
      <c r="F122" s="529"/>
      <c r="G122" s="529"/>
      <c r="H122" s="137" t="str">
        <f t="shared" si="2"/>
        <v>Virtaama</v>
      </c>
      <c r="I122" s="606"/>
      <c r="J122" s="529"/>
      <c r="K122" s="529"/>
      <c r="L122" s="529"/>
      <c r="M122" s="543" t="str">
        <f>'C5 Jäähdytys'!R30</f>
        <v>-</v>
      </c>
      <c r="N122" s="536" t="s">
        <v>1219</v>
      </c>
      <c r="O122" s="386"/>
    </row>
    <row r="123" spans="2:15" x14ac:dyDescent="0.15">
      <c r="B123" s="385"/>
      <c r="C123" s="529"/>
      <c r="D123" s="529"/>
      <c r="E123" s="529"/>
      <c r="F123" s="529"/>
      <c r="G123" s="529"/>
      <c r="H123" s="137" t="str">
        <f t="shared" si="2"/>
        <v>Patterin nestepuolen painehäviö</v>
      </c>
      <c r="I123" s="606"/>
      <c r="J123" s="529"/>
      <c r="K123" s="529"/>
      <c r="L123" s="529"/>
      <c r="M123" s="535" t="str">
        <f>'C5 Jäähdytys'!R31</f>
        <v>-</v>
      </c>
      <c r="N123" s="536" t="s">
        <v>500</v>
      </c>
      <c r="O123" s="386"/>
    </row>
    <row r="124" spans="2:15" x14ac:dyDescent="0.15">
      <c r="B124" s="385"/>
      <c r="C124" s="1728" t="str">
        <f>'C5 Jäähdytys'!M35</f>
        <v/>
      </c>
      <c r="D124" s="1728"/>
      <c r="E124" s="1728"/>
      <c r="F124" s="1728"/>
      <c r="G124" s="529"/>
      <c r="H124" s="137" t="str">
        <f t="shared" si="2"/>
        <v>Säätöventtiilin painehäviö (Airfi toteutus)*</v>
      </c>
      <c r="I124" s="606"/>
      <c r="J124" s="529"/>
      <c r="K124" s="529"/>
      <c r="L124" s="529"/>
      <c r="M124" s="535" t="str">
        <f>'C5 Jäähdytys'!R32</f>
        <v>-</v>
      </c>
      <c r="N124" s="536" t="s">
        <v>500</v>
      </c>
      <c r="O124" s="386"/>
    </row>
    <row r="125" spans="2:15" x14ac:dyDescent="0.15">
      <c r="B125" s="385"/>
      <c r="C125" s="1728"/>
      <c r="D125" s="1728"/>
      <c r="E125" s="1728"/>
      <c r="F125" s="1728"/>
      <c r="G125" s="529"/>
      <c r="H125" s="137" t="str">
        <f t="shared" si="2"/>
        <v>Virtausnopeus patterin putkireitissä</v>
      </c>
      <c r="I125" s="607"/>
      <c r="J125" s="542"/>
      <c r="K125" s="542"/>
      <c r="L125" s="542"/>
      <c r="M125" s="543" t="str">
        <f>'C5 Jäähdytys'!R33</f>
        <v>-</v>
      </c>
      <c r="N125" s="544" t="s">
        <v>502</v>
      </c>
      <c r="O125" s="386"/>
    </row>
    <row r="126" spans="2:15" x14ac:dyDescent="0.15">
      <c r="B126" s="385"/>
      <c r="C126" s="445"/>
      <c r="D126" s="445"/>
      <c r="E126" s="445"/>
      <c r="F126" s="445"/>
      <c r="G126" s="126"/>
      <c r="H126" s="557" t="str">
        <f>'C5 Jäähdytys'!M34</f>
        <v/>
      </c>
      <c r="I126" s="557"/>
      <c r="J126" s="383"/>
      <c r="K126" s="383"/>
      <c r="L126" s="383"/>
      <c r="M126" s="448"/>
      <c r="N126" s="383"/>
      <c r="O126" s="386"/>
    </row>
    <row r="127" spans="2:15" x14ac:dyDescent="0.15">
      <c r="B127" s="38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447" t="str">
        <f>O2</f>
        <v>Versio 8.0</v>
      </c>
    </row>
  </sheetData>
  <sheetProtection algorithmName="SHA-512" hashValue="1NHyjxUTl+soVo1O2EAn3W1FyDuru90Uszw1rvfRBMMz1eWrFOhzAc6xNGBeAT0nOp7Z+ZNNz+9ILL7mSkh8uw==" saltValue="RkG5ejHT97HyB2pGUTt/yw==" spinCount="100000" sheet="1" objects="1" scenarios="1"/>
  <mergeCells count="46">
    <mergeCell ref="I59:J59"/>
    <mergeCell ref="I60:J60"/>
    <mergeCell ref="I61:J61"/>
    <mergeCell ref="C72:N73"/>
    <mergeCell ref="R72:AC73"/>
    <mergeCell ref="W64:AC69"/>
    <mergeCell ref="W60:AC61"/>
    <mergeCell ref="C64:C65"/>
    <mergeCell ref="D64:L64"/>
    <mergeCell ref="M64:M65"/>
    <mergeCell ref="N64:N65"/>
    <mergeCell ref="I65:J65"/>
    <mergeCell ref="W62:AC63"/>
    <mergeCell ref="I66:J66"/>
    <mergeCell ref="C124:F125"/>
    <mergeCell ref="R13:R14"/>
    <mergeCell ref="R3:AB3"/>
    <mergeCell ref="D4:I4"/>
    <mergeCell ref="R6:U6"/>
    <mergeCell ref="R7:U7"/>
    <mergeCell ref="D5:I5"/>
    <mergeCell ref="R9:R10"/>
    <mergeCell ref="W9:W10"/>
    <mergeCell ref="X9:X10"/>
    <mergeCell ref="Y9:Y10"/>
    <mergeCell ref="Z9:Z10"/>
    <mergeCell ref="AA9:AA10"/>
    <mergeCell ref="AB9:AB10"/>
    <mergeCell ref="C56:C57"/>
    <mergeCell ref="D56:L56"/>
    <mergeCell ref="H81:N81"/>
    <mergeCell ref="AF3:AG3"/>
    <mergeCell ref="H106:N107"/>
    <mergeCell ref="C83:F83"/>
    <mergeCell ref="C106:F106"/>
    <mergeCell ref="M56:M57"/>
    <mergeCell ref="N56:N57"/>
    <mergeCell ref="I57:J57"/>
    <mergeCell ref="I62:J62"/>
    <mergeCell ref="W58:AC59"/>
    <mergeCell ref="R16:R17"/>
    <mergeCell ref="R19:R20"/>
    <mergeCell ref="J41:K42"/>
    <mergeCell ref="I58:J58"/>
    <mergeCell ref="AC9:AC10"/>
    <mergeCell ref="C101:F102"/>
  </mergeCells>
  <conditionalFormatting sqref="W11:AC55">
    <cfRule type="expression" dxfId="87" priority="7">
      <formula>$AC11=0</formula>
    </cfRule>
  </conditionalFormatting>
  <dataValidations count="2">
    <dataValidation type="decimal" allowBlank="1" showInputMessage="1" showErrorMessage="1" errorTitle="Incorrect input value" error="Value must be between 15 °C to 40 °C." sqref="T27" xr:uid="{9ACE500A-6429-47FD-88C0-4D448484D886}">
      <formula1>15</formula1>
      <formula2>40</formula2>
    </dataValidation>
    <dataValidation type="decimal" allowBlank="1" showInputMessage="1" showErrorMessage="1" sqref="F112" xr:uid="{B721DAC4-5CE6-42EB-8993-FF05F8D0E4AE}">
      <formula1>0</formula1>
      <formula2>100</formula2>
    </dataValidation>
  </dataValidations>
  <hyperlinks>
    <hyperlink ref="T71" r:id="rId1" xr:uid="{B8721BB4-B57F-4E38-967B-538993C24A66}"/>
    <hyperlink ref="E71" r:id="rId2" xr:uid="{DD746178-43BF-426C-B493-3032E1DB4C32}"/>
    <hyperlink ref="F71" r:id="rId3" xr:uid="{7D3C1A2D-34E9-4CA8-BD46-F06364D0089A}"/>
  </hyperlinks>
  <pageMargins left="0.70866141732283472" right="0.70866141732283472" top="0.74803149606299213" bottom="0.74803149606299213" header="0.31496062992125984" footer="0.31496062992125984"/>
  <pageSetup paperSize="9" scale="49" orientation="portrait" r:id="rId4"/>
  <headerFooter>
    <oddFooter>&amp;C&amp;P/(&amp;N)</oddFooter>
  </headerFooter>
  <ignoredErrors>
    <ignoredError sqref="G43" formula="1"/>
  </ignoredError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3197" r:id="rId7" name="Drop Down 13">
              <controlPr defaultSize="0" autoLine="0" autoPict="0">
                <anchor moveWithCells="1">
                  <from>
                    <xdr:col>18</xdr:col>
                    <xdr:colOff>50800</xdr:colOff>
                    <xdr:row>25</xdr:row>
                    <xdr:rowOff>25400</xdr:rowOff>
                  </from>
                  <to>
                    <xdr:col>20</xdr:col>
                    <xdr:colOff>25400</xdr:colOff>
                    <xdr:row>25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8" r:id="rId8" name="Drop Down 14">
              <controlPr defaultSize="0" autoLine="0" autoPict="0">
                <anchor moveWithCells="1">
                  <from>
                    <xdr:col>18</xdr:col>
                    <xdr:colOff>50800</xdr:colOff>
                    <xdr:row>28</xdr:row>
                    <xdr:rowOff>50800</xdr:rowOff>
                  </from>
                  <to>
                    <xdr:col>20</xdr:col>
                    <xdr:colOff>25400</xdr:colOff>
                    <xdr:row>29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3" r:id="rId9" name="Option Button 9">
              <controlPr defaultSize="0" autoFill="0" autoLine="0" autoPict="0" altText="Suomi">
                <anchor moveWithCells="1">
                  <from>
                    <xdr:col>11</xdr:col>
                    <xdr:colOff>685800</xdr:colOff>
                    <xdr:row>1</xdr:row>
                    <xdr:rowOff>165100</xdr:rowOff>
                  </from>
                  <to>
                    <xdr:col>12</xdr:col>
                    <xdr:colOff>673100</xdr:colOff>
                    <xdr:row>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4" r:id="rId10" name="Option Button 10">
              <controlPr defaultSize="0" autoFill="0" autoLine="0" autoPict="0">
                <anchor moveWithCells="1">
                  <from>
                    <xdr:col>12</xdr:col>
                    <xdr:colOff>533400</xdr:colOff>
                    <xdr:row>1</xdr:row>
                    <xdr:rowOff>165100</xdr:rowOff>
                  </from>
                  <to>
                    <xdr:col>13</xdr:col>
                    <xdr:colOff>508000</xdr:colOff>
                    <xdr:row>2</xdr:row>
                    <xdr:rowOff>203200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91EDDFE-084E-4509-9266-6C6ED3EFCBE6}">
            <xm:f>TuloksetC!$BD$4</xm:f>
            <x14:dxf>
              <font>
                <color rgb="FFC00000"/>
              </font>
            </x14:dxf>
          </x14:cfRule>
          <xm:sqref>D66:I66 K66:M66 N67:N69</xm:sqref>
        </x14:conditionalFormatting>
        <x14:conditionalFormatting xmlns:xm="http://schemas.microsoft.com/office/excel/2006/main">
          <x14:cfRule type="beginsWith" priority="5" operator="beginsWith" id="{E7912CB6-CEF4-4B61-A550-1456CC3DCBB3}">
            <xm:f>LEFT(D47,LEN("-"))="-"</xm:f>
            <xm:f>"-"</xm:f>
            <x14:dxf>
              <font>
                <color rgb="FFFF0000"/>
              </font>
            </x14:dxf>
          </x14:cfRule>
          <xm:sqref>E47:E48 G47:G48 D50:D52</xm:sqref>
        </x14:conditionalFormatting>
        <x14:conditionalFormatting xmlns:xm="http://schemas.microsoft.com/office/excel/2006/main">
          <x14:cfRule type="beginsWith" priority="4" operator="beginsWith" id="{DD696B0C-9603-4C58-A2FD-19A7D2E7580A}">
            <xm:f>LEFT(L42,LEN("-"))="-"</xm:f>
            <xm:f>"-"</xm:f>
            <x14:dxf>
              <font>
                <color rgb="FFFF0000"/>
              </font>
            </x14:dxf>
          </x14:cfRule>
          <xm:sqref>L42:M42</xm:sqref>
        </x14:conditionalFormatting>
        <x14:conditionalFormatting xmlns:xm="http://schemas.microsoft.com/office/excel/2006/main">
          <x14:cfRule type="beginsWith" priority="6" operator="beginsWith" id="{B98753CE-35C5-4A39-849F-6515F34CD1EC}">
            <xm:f>LEFT(L49,LEN("-"))="-"</xm:f>
            <xm:f>"-"</xm:f>
            <x14:dxf>
              <font>
                <color rgb="FFFF0000"/>
              </font>
            </x14:dxf>
          </x14:cfRule>
          <xm:sqref>L49:M52</xm:sqref>
        </x14:conditionalFormatting>
        <x14:conditionalFormatting xmlns:xm="http://schemas.microsoft.com/office/excel/2006/main">
          <x14:cfRule type="expression" priority="9" id="{E672B83A-D753-4161-9F81-B0376ED4DB32}">
            <xm:f>TuloksetC!$BD$4</xm:f>
            <x14:dxf>
              <font>
                <b/>
                <i val="0"/>
                <color rgb="FFC00000"/>
              </font>
            </x14:dxf>
          </x14:cfRule>
          <xm:sqref>N66</xm:sqref>
        </x14:conditionalFormatting>
        <x14:conditionalFormatting xmlns:xm="http://schemas.microsoft.com/office/excel/2006/main">
          <x14:cfRule type="expression" priority="2" id="{7D9FDEBF-5479-4CD3-ACED-5299858748B5}">
            <xm:f>Laskenta_vuosihyötysuhde_C!$C$38</xm:f>
            <x14:dxf>
              <font>
                <color theme="0"/>
              </font>
            </x14:dxf>
          </x14:cfRule>
          <xm:sqref>R30:S30 U30</xm:sqref>
        </x14:conditionalFormatting>
        <x14:conditionalFormatting xmlns:xm="http://schemas.microsoft.com/office/excel/2006/main">
          <x14:cfRule type="expression" priority="1" id="{BEA337AF-341F-46EE-B942-5E344C9FAF26}">
            <xm:f>KirjastoC!$V$6</xm:f>
            <x14:dxf>
              <font>
                <color theme="0"/>
              </font>
              <border>
                <bottom/>
                <vertical/>
                <horizontal/>
              </border>
            </x14:dxf>
          </x14:cfRule>
          <xm:sqref>R23:T24</xm:sqref>
        </x14:conditionalFormatting>
        <x14:conditionalFormatting xmlns:xm="http://schemas.microsoft.com/office/excel/2006/main">
          <x14:cfRule type="expression" priority="3" id="{88212A22-5772-459D-BD5C-7AF4A8FC66A9}">
            <xm:f>Laskenta_vuosihyötysuhde_C!$C$38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  <border>
                <left/>
                <right/>
                <top/>
                <bottom style="thin">
                  <color auto="1"/>
                </bottom>
              </border>
            </x14:dxf>
          </x14:cfRule>
          <xm:sqref>T30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DA4D8-FF30-4C61-A7EC-5C05CE16FAFA}">
  <dimension ref="A1:AO984"/>
  <sheetViews>
    <sheetView workbookViewId="0">
      <selection activeCell="R20" sqref="R20"/>
    </sheetView>
  </sheetViews>
  <sheetFormatPr baseColWidth="10" defaultColWidth="8.83203125" defaultRowHeight="13" x14ac:dyDescent="0.15"/>
  <cols>
    <col min="2" max="2" width="15.33203125" bestFit="1" customWidth="1"/>
    <col min="3" max="41" width="12" customWidth="1"/>
  </cols>
  <sheetData>
    <row r="1" spans="1:41" x14ac:dyDescent="0.15">
      <c r="A1" s="2" t="str" cm="1">
        <f t="array" aca="1" ref="A1" ca="1">MID(CELL("filename",$A$1),FIND("]",CELL("filename",$A$1))+1,255)</f>
        <v>Syötä pysyvyyskäyrät_ENT</v>
      </c>
    </row>
    <row r="3" spans="1:41" s="561" customFormat="1" ht="28" x14ac:dyDescent="0.15">
      <c r="B3" s="558" t="str" cm="1">
        <f t="array" ref="B3:AO3">TRANSPOSE('Syötä kaupungit KIRJASTOLIN_ENT'!$B$1:$B$40)</f>
        <v>Finland</v>
      </c>
      <c r="C3" s="562" t="str">
        <v>I (Vantaa)</v>
      </c>
      <c r="D3" s="562" t="str">
        <v>II (Jokioinen)</v>
      </c>
      <c r="E3" s="562" t="str">
        <v>III (Jyväskylä)</v>
      </c>
      <c r="F3" s="562" t="str">
        <v>IV (Sodankylä)</v>
      </c>
      <c r="G3" s="562">
        <v>0</v>
      </c>
      <c r="H3" s="562">
        <v>0</v>
      </c>
      <c r="I3" s="562">
        <v>0</v>
      </c>
      <c r="J3" s="562">
        <v>0</v>
      </c>
      <c r="K3" s="562">
        <v>0</v>
      </c>
      <c r="L3" s="562">
        <v>0</v>
      </c>
      <c r="M3" s="562">
        <v>0</v>
      </c>
      <c r="N3" s="562">
        <v>0</v>
      </c>
      <c r="O3" s="562">
        <v>0</v>
      </c>
      <c r="P3" s="562">
        <v>0</v>
      </c>
      <c r="Q3" s="562">
        <v>0</v>
      </c>
      <c r="R3" s="562">
        <v>0</v>
      </c>
      <c r="S3" s="562">
        <v>0</v>
      </c>
      <c r="T3" s="562">
        <v>0</v>
      </c>
      <c r="U3" s="562">
        <v>0</v>
      </c>
      <c r="V3" s="562">
        <v>0</v>
      </c>
      <c r="W3" s="562">
        <v>0</v>
      </c>
      <c r="X3" s="562">
        <v>0</v>
      </c>
      <c r="Y3" s="562">
        <v>0</v>
      </c>
      <c r="Z3" s="562">
        <v>0</v>
      </c>
      <c r="AA3" s="562">
        <v>0</v>
      </c>
      <c r="AB3" s="562">
        <v>0</v>
      </c>
      <c r="AC3" s="562">
        <v>0</v>
      </c>
      <c r="AD3" s="562">
        <v>0</v>
      </c>
      <c r="AE3" s="562">
        <v>0</v>
      </c>
      <c r="AF3" s="562">
        <v>0</v>
      </c>
      <c r="AG3" s="562">
        <v>0</v>
      </c>
      <c r="AH3" s="562">
        <v>0</v>
      </c>
      <c r="AI3" s="562">
        <v>0</v>
      </c>
      <c r="AJ3" s="562">
        <v>0</v>
      </c>
      <c r="AK3" s="562">
        <v>0</v>
      </c>
      <c r="AL3" s="562">
        <v>0</v>
      </c>
      <c r="AM3" s="562">
        <v>0</v>
      </c>
      <c r="AN3" s="562">
        <v>0</v>
      </c>
      <c r="AO3" s="562">
        <v>0</v>
      </c>
    </row>
    <row r="4" spans="1:41" x14ac:dyDescent="0.15">
      <c r="B4" s="563">
        <v>-40</v>
      </c>
      <c r="C4" s="564">
        <v>0</v>
      </c>
      <c r="D4" s="564">
        <v>0</v>
      </c>
      <c r="E4" s="564">
        <v>0</v>
      </c>
      <c r="F4" s="564">
        <v>0</v>
      </c>
      <c r="G4" s="564"/>
      <c r="H4" s="564"/>
      <c r="I4" s="564"/>
      <c r="J4" s="564"/>
      <c r="K4" s="564"/>
      <c r="L4" s="564"/>
      <c r="M4" s="564"/>
      <c r="N4" s="564"/>
      <c r="O4" s="564"/>
      <c r="P4" s="564"/>
      <c r="Q4" s="564"/>
      <c r="R4" s="564"/>
      <c r="S4" s="564"/>
      <c r="T4" s="564"/>
      <c r="U4" s="564"/>
      <c r="V4" s="564"/>
      <c r="W4" s="564"/>
      <c r="X4" s="564"/>
      <c r="Y4" s="564"/>
      <c r="Z4" s="564"/>
      <c r="AA4" s="564"/>
      <c r="AB4" s="564"/>
      <c r="AC4" s="564"/>
      <c r="AD4" s="564"/>
      <c r="AE4" s="564"/>
      <c r="AF4" s="564"/>
      <c r="AG4" s="564"/>
      <c r="AH4" s="564"/>
      <c r="AI4" s="564"/>
      <c r="AJ4" s="564"/>
      <c r="AK4" s="564"/>
      <c r="AL4" s="564"/>
      <c r="AM4" s="564"/>
      <c r="AN4" s="564"/>
      <c r="AO4" s="564"/>
    </row>
    <row r="5" spans="1:41" x14ac:dyDescent="0.15">
      <c r="B5" s="565">
        <v>-39</v>
      </c>
      <c r="C5" s="564">
        <v>0</v>
      </c>
      <c r="D5" s="564">
        <v>0</v>
      </c>
      <c r="E5" s="564">
        <v>0</v>
      </c>
      <c r="F5" s="564">
        <v>0</v>
      </c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4"/>
      <c r="AG5" s="564"/>
      <c r="AH5" s="564"/>
      <c r="AI5" s="564"/>
      <c r="AJ5" s="564"/>
      <c r="AK5" s="564"/>
      <c r="AL5" s="564"/>
      <c r="AM5" s="564"/>
      <c r="AN5" s="564"/>
      <c r="AO5" s="564"/>
    </row>
    <row r="6" spans="1:41" x14ac:dyDescent="0.15">
      <c r="B6" s="565">
        <v>-38</v>
      </c>
      <c r="C6" s="564">
        <v>0</v>
      </c>
      <c r="D6" s="564">
        <v>0</v>
      </c>
      <c r="E6" s="564">
        <v>0</v>
      </c>
      <c r="F6" s="564">
        <v>3.4246575342465754E-4</v>
      </c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4"/>
      <c r="AF6" s="564"/>
      <c r="AG6" s="564"/>
      <c r="AH6" s="564"/>
      <c r="AI6" s="564"/>
      <c r="AJ6" s="564"/>
      <c r="AK6" s="564"/>
      <c r="AL6" s="564"/>
      <c r="AM6" s="564"/>
      <c r="AN6" s="564"/>
      <c r="AO6" s="564"/>
    </row>
    <row r="7" spans="1:41" x14ac:dyDescent="0.15">
      <c r="B7" s="565">
        <v>-37</v>
      </c>
      <c r="C7" s="564">
        <v>0</v>
      </c>
      <c r="D7" s="564">
        <v>0</v>
      </c>
      <c r="E7" s="564">
        <v>0</v>
      </c>
      <c r="F7" s="564">
        <v>5.7077625570776253E-4</v>
      </c>
      <c r="G7" s="564"/>
      <c r="H7" s="564"/>
      <c r="I7" s="564"/>
      <c r="J7" s="564"/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  <c r="Y7" s="564"/>
      <c r="Z7" s="564"/>
      <c r="AA7" s="564"/>
      <c r="AB7" s="564"/>
      <c r="AC7" s="564"/>
      <c r="AD7" s="564"/>
      <c r="AE7" s="564"/>
      <c r="AF7" s="564"/>
      <c r="AG7" s="564"/>
      <c r="AH7" s="564"/>
      <c r="AI7" s="564"/>
      <c r="AJ7" s="564"/>
      <c r="AK7" s="564"/>
      <c r="AL7" s="564"/>
      <c r="AM7" s="564"/>
      <c r="AN7" s="564"/>
      <c r="AO7" s="564"/>
    </row>
    <row r="8" spans="1:41" x14ac:dyDescent="0.15">
      <c r="B8" s="565">
        <v>-36</v>
      </c>
      <c r="C8" s="564">
        <v>0</v>
      </c>
      <c r="D8" s="564">
        <v>0</v>
      </c>
      <c r="E8" s="564">
        <v>0</v>
      </c>
      <c r="F8" s="564">
        <v>1.1415525114155251E-3</v>
      </c>
      <c r="G8" s="564"/>
      <c r="H8" s="564"/>
      <c r="I8" s="564"/>
      <c r="J8" s="564"/>
      <c r="K8" s="564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  <c r="Y8" s="564"/>
      <c r="Z8" s="564"/>
      <c r="AA8" s="564"/>
      <c r="AB8" s="564"/>
      <c r="AC8" s="564"/>
      <c r="AD8" s="564"/>
      <c r="AE8" s="564"/>
      <c r="AF8" s="564"/>
      <c r="AG8" s="564"/>
      <c r="AH8" s="564"/>
      <c r="AI8" s="564"/>
      <c r="AJ8" s="564"/>
      <c r="AK8" s="564"/>
      <c r="AL8" s="564"/>
      <c r="AM8" s="564"/>
      <c r="AN8" s="564"/>
      <c r="AO8" s="564"/>
    </row>
    <row r="9" spans="1:41" x14ac:dyDescent="0.15">
      <c r="B9" s="565">
        <v>-35</v>
      </c>
      <c r="C9" s="564">
        <v>0</v>
      </c>
      <c r="D9" s="564">
        <v>0</v>
      </c>
      <c r="E9" s="564">
        <v>0</v>
      </c>
      <c r="F9" s="564">
        <v>1.8264840182648401E-3</v>
      </c>
      <c r="G9" s="564"/>
      <c r="H9" s="564"/>
      <c r="I9" s="564"/>
      <c r="J9" s="564"/>
      <c r="K9" s="564"/>
      <c r="L9" s="564"/>
      <c r="M9" s="564"/>
      <c r="N9" s="564"/>
      <c r="O9" s="564"/>
      <c r="P9" s="564"/>
      <c r="Q9" s="564"/>
      <c r="R9" s="564"/>
      <c r="S9" s="564"/>
      <c r="T9" s="564"/>
      <c r="U9" s="564"/>
      <c r="V9" s="564"/>
      <c r="W9" s="564"/>
      <c r="X9" s="564"/>
      <c r="Y9" s="564"/>
      <c r="Z9" s="564"/>
      <c r="AA9" s="564"/>
      <c r="AB9" s="564"/>
      <c r="AC9" s="564"/>
      <c r="AD9" s="564"/>
      <c r="AE9" s="564"/>
      <c r="AF9" s="564"/>
      <c r="AG9" s="564"/>
      <c r="AH9" s="564"/>
      <c r="AI9" s="564"/>
      <c r="AJ9" s="564"/>
      <c r="AK9" s="564"/>
      <c r="AL9" s="564"/>
      <c r="AM9" s="564"/>
      <c r="AN9" s="564"/>
      <c r="AO9" s="564"/>
    </row>
    <row r="10" spans="1:41" x14ac:dyDescent="0.15">
      <c r="B10" s="565">
        <v>-34</v>
      </c>
      <c r="C10" s="564">
        <v>0</v>
      </c>
      <c r="D10" s="564">
        <v>0</v>
      </c>
      <c r="E10" s="564">
        <v>0</v>
      </c>
      <c r="F10" s="564">
        <v>2.9680365296803654E-3</v>
      </c>
      <c r="G10" s="564"/>
      <c r="H10" s="564"/>
      <c r="I10" s="564"/>
      <c r="J10" s="564"/>
      <c r="K10" s="564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4"/>
      <c r="AI10" s="564"/>
      <c r="AJ10" s="564"/>
      <c r="AK10" s="564"/>
      <c r="AL10" s="564"/>
      <c r="AM10" s="564"/>
      <c r="AN10" s="564"/>
      <c r="AO10" s="564"/>
    </row>
    <row r="11" spans="1:41" x14ac:dyDescent="0.15">
      <c r="B11" s="565">
        <v>-33</v>
      </c>
      <c r="C11" s="564">
        <v>0</v>
      </c>
      <c r="D11" s="564">
        <v>0</v>
      </c>
      <c r="E11" s="564">
        <v>0</v>
      </c>
      <c r="F11" s="564">
        <v>4.10958904109589E-3</v>
      </c>
      <c r="G11" s="564"/>
      <c r="H11" s="564"/>
      <c r="I11" s="564"/>
      <c r="J11" s="564"/>
      <c r="K11" s="564"/>
      <c r="L11" s="564"/>
      <c r="M11" s="564"/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  <c r="Y11" s="564"/>
      <c r="Z11" s="564"/>
      <c r="AA11" s="564"/>
      <c r="AB11" s="564"/>
      <c r="AC11" s="564"/>
      <c r="AD11" s="564"/>
      <c r="AE11" s="564"/>
      <c r="AF11" s="564"/>
      <c r="AG11" s="564"/>
      <c r="AH11" s="564"/>
      <c r="AI11" s="564"/>
      <c r="AJ11" s="564"/>
      <c r="AK11" s="564"/>
      <c r="AL11" s="564"/>
      <c r="AM11" s="564"/>
      <c r="AN11" s="564"/>
      <c r="AO11" s="564"/>
    </row>
    <row r="12" spans="1:41" x14ac:dyDescent="0.15">
      <c r="B12" s="565">
        <v>-32</v>
      </c>
      <c r="C12" s="564">
        <v>0</v>
      </c>
      <c r="D12" s="564">
        <v>0</v>
      </c>
      <c r="E12" s="564">
        <v>0</v>
      </c>
      <c r="F12" s="564">
        <v>4.7945205479452057E-3</v>
      </c>
      <c r="G12" s="564"/>
      <c r="H12" s="564"/>
      <c r="I12" s="564"/>
      <c r="J12" s="564"/>
      <c r="K12" s="564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  <c r="Y12" s="564"/>
      <c r="Z12" s="564"/>
      <c r="AA12" s="564"/>
      <c r="AB12" s="564"/>
      <c r="AC12" s="564"/>
      <c r="AD12" s="564"/>
      <c r="AE12" s="564"/>
      <c r="AF12" s="564"/>
      <c r="AG12" s="564"/>
      <c r="AH12" s="564"/>
      <c r="AI12" s="564"/>
      <c r="AJ12" s="564"/>
      <c r="AK12" s="564"/>
      <c r="AL12" s="564"/>
      <c r="AM12" s="564"/>
      <c r="AN12" s="564"/>
      <c r="AO12" s="564"/>
    </row>
    <row r="13" spans="1:41" x14ac:dyDescent="0.15">
      <c r="B13" s="565">
        <v>-31</v>
      </c>
      <c r="C13" s="564">
        <v>0</v>
      </c>
      <c r="D13" s="564">
        <v>0</v>
      </c>
      <c r="E13" s="564">
        <v>2.2831050228310502E-4</v>
      </c>
      <c r="F13" s="564">
        <v>6.0502283105022831E-3</v>
      </c>
      <c r="G13" s="564"/>
      <c r="H13" s="564"/>
      <c r="I13" s="564"/>
      <c r="J13" s="564"/>
      <c r="K13" s="564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  <c r="Y13" s="564"/>
      <c r="Z13" s="564"/>
      <c r="AA13" s="564"/>
      <c r="AB13" s="564"/>
      <c r="AC13" s="564"/>
      <c r="AD13" s="564"/>
      <c r="AE13" s="564"/>
      <c r="AF13" s="564"/>
      <c r="AG13" s="564"/>
      <c r="AH13" s="564"/>
      <c r="AI13" s="564"/>
      <c r="AJ13" s="564"/>
      <c r="AK13" s="564"/>
      <c r="AL13" s="564"/>
      <c r="AM13" s="564"/>
      <c r="AN13" s="564"/>
      <c r="AO13" s="564"/>
    </row>
    <row r="14" spans="1:41" x14ac:dyDescent="0.15">
      <c r="B14" s="565">
        <v>-30</v>
      </c>
      <c r="C14" s="564">
        <v>0</v>
      </c>
      <c r="D14" s="564">
        <v>0</v>
      </c>
      <c r="E14" s="564">
        <v>3.4246575342465754E-4</v>
      </c>
      <c r="F14" s="564">
        <v>7.9908675799086754E-3</v>
      </c>
      <c r="G14" s="564"/>
      <c r="H14" s="564"/>
      <c r="I14" s="564"/>
      <c r="J14" s="564"/>
      <c r="K14" s="564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  <c r="Y14" s="564"/>
      <c r="Z14" s="564"/>
      <c r="AA14" s="564"/>
      <c r="AB14" s="564"/>
      <c r="AC14" s="564"/>
      <c r="AD14" s="564"/>
      <c r="AE14" s="564"/>
      <c r="AF14" s="564"/>
      <c r="AG14" s="564"/>
      <c r="AH14" s="564"/>
      <c r="AI14" s="564"/>
      <c r="AJ14" s="564"/>
      <c r="AK14" s="564"/>
      <c r="AL14" s="564"/>
      <c r="AM14" s="564"/>
      <c r="AN14" s="564"/>
      <c r="AO14" s="564"/>
    </row>
    <row r="15" spans="1:41" x14ac:dyDescent="0.15">
      <c r="B15" s="565">
        <v>-29</v>
      </c>
      <c r="C15" s="564">
        <v>0</v>
      </c>
      <c r="D15" s="564">
        <v>0</v>
      </c>
      <c r="E15" s="564">
        <v>4.5662100456621003E-4</v>
      </c>
      <c r="F15" s="564">
        <v>1.1187214611872146E-2</v>
      </c>
      <c r="G15" s="564"/>
      <c r="H15" s="564"/>
      <c r="I15" s="564"/>
      <c r="J15" s="564"/>
      <c r="K15" s="564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  <c r="Y15" s="564"/>
      <c r="Z15" s="564"/>
      <c r="AA15" s="564"/>
      <c r="AB15" s="564"/>
      <c r="AC15" s="564"/>
      <c r="AD15" s="564"/>
      <c r="AE15" s="564"/>
      <c r="AF15" s="564"/>
      <c r="AG15" s="564"/>
      <c r="AH15" s="564"/>
      <c r="AI15" s="564"/>
      <c r="AJ15" s="564"/>
      <c r="AK15" s="564"/>
      <c r="AL15" s="564"/>
      <c r="AM15" s="564"/>
      <c r="AN15" s="564"/>
      <c r="AO15" s="564"/>
    </row>
    <row r="16" spans="1:41" x14ac:dyDescent="0.15">
      <c r="B16" s="565">
        <v>-28</v>
      </c>
      <c r="C16" s="564">
        <v>0</v>
      </c>
      <c r="D16" s="564">
        <v>0</v>
      </c>
      <c r="E16" s="564">
        <v>9.1324200913242006E-4</v>
      </c>
      <c r="F16" s="564">
        <v>1.4726027397260274E-2</v>
      </c>
      <c r="G16" s="564"/>
      <c r="H16" s="564"/>
      <c r="I16" s="564"/>
      <c r="J16" s="564"/>
      <c r="K16" s="564"/>
      <c r="L16" s="564"/>
      <c r="M16" s="564"/>
      <c r="N16" s="564"/>
      <c r="O16" s="564"/>
      <c r="P16" s="564"/>
      <c r="Q16" s="564"/>
      <c r="R16" s="564"/>
      <c r="S16" s="564"/>
      <c r="T16" s="564"/>
      <c r="U16" s="564"/>
      <c r="V16" s="564"/>
      <c r="W16" s="564"/>
      <c r="X16" s="564"/>
      <c r="Y16" s="564"/>
      <c r="Z16" s="564"/>
      <c r="AA16" s="564"/>
      <c r="AB16" s="564"/>
      <c r="AC16" s="564"/>
      <c r="AD16" s="564"/>
      <c r="AE16" s="564"/>
      <c r="AF16" s="564"/>
      <c r="AG16" s="564"/>
      <c r="AH16" s="564"/>
      <c r="AI16" s="564"/>
      <c r="AJ16" s="564"/>
      <c r="AK16" s="564"/>
      <c r="AL16" s="564"/>
      <c r="AM16" s="564"/>
      <c r="AN16" s="564"/>
      <c r="AO16" s="564"/>
    </row>
    <row r="17" spans="2:41" x14ac:dyDescent="0.15">
      <c r="B17" s="565">
        <v>-27</v>
      </c>
      <c r="C17" s="564">
        <v>0</v>
      </c>
      <c r="D17" s="564">
        <v>0</v>
      </c>
      <c r="E17" s="564">
        <v>1.8264840182648401E-3</v>
      </c>
      <c r="F17" s="564">
        <v>1.906392694063927E-2</v>
      </c>
      <c r="G17" s="564"/>
      <c r="H17" s="564"/>
      <c r="I17" s="564"/>
      <c r="J17" s="564"/>
      <c r="K17" s="564"/>
      <c r="L17" s="564"/>
      <c r="M17" s="564"/>
      <c r="N17" s="564"/>
      <c r="O17" s="564"/>
      <c r="P17" s="564"/>
      <c r="Q17" s="564"/>
      <c r="R17" s="564"/>
      <c r="S17" s="564"/>
      <c r="T17" s="564"/>
      <c r="U17" s="564"/>
      <c r="V17" s="564"/>
      <c r="W17" s="564"/>
      <c r="X17" s="564"/>
      <c r="Y17" s="564"/>
      <c r="Z17" s="564"/>
      <c r="AA17" s="564"/>
      <c r="AB17" s="564"/>
      <c r="AC17" s="564"/>
      <c r="AD17" s="564"/>
      <c r="AE17" s="564"/>
      <c r="AF17" s="564"/>
      <c r="AG17" s="564"/>
      <c r="AH17" s="564"/>
      <c r="AI17" s="564"/>
      <c r="AJ17" s="564"/>
      <c r="AK17" s="564"/>
      <c r="AL17" s="564"/>
      <c r="AM17" s="564"/>
      <c r="AN17" s="564"/>
      <c r="AO17" s="564"/>
    </row>
    <row r="18" spans="2:41" x14ac:dyDescent="0.15">
      <c r="B18" s="565">
        <v>-26</v>
      </c>
      <c r="C18" s="564">
        <v>0</v>
      </c>
      <c r="D18" s="564">
        <v>3.4246575342465754E-4</v>
      </c>
      <c r="E18" s="564">
        <v>2.625570776255708E-3</v>
      </c>
      <c r="F18" s="564">
        <v>2.2488584474885845E-2</v>
      </c>
      <c r="G18" s="564"/>
      <c r="H18" s="564"/>
      <c r="I18" s="564"/>
      <c r="J18" s="564"/>
      <c r="K18" s="564"/>
      <c r="L18" s="564"/>
      <c r="M18" s="564"/>
      <c r="N18" s="564"/>
      <c r="O18" s="564"/>
      <c r="P18" s="564"/>
      <c r="Q18" s="564"/>
      <c r="R18" s="564"/>
      <c r="S18" s="564"/>
      <c r="T18" s="564"/>
      <c r="U18" s="564"/>
      <c r="V18" s="564"/>
      <c r="W18" s="564"/>
      <c r="X18" s="564"/>
      <c r="Y18" s="564"/>
      <c r="Z18" s="564"/>
      <c r="AA18" s="564"/>
      <c r="AB18" s="564"/>
      <c r="AC18" s="564"/>
      <c r="AD18" s="564"/>
      <c r="AE18" s="564"/>
      <c r="AF18" s="564"/>
      <c r="AG18" s="564"/>
      <c r="AH18" s="564"/>
      <c r="AI18" s="564"/>
      <c r="AJ18" s="564"/>
      <c r="AK18" s="564"/>
      <c r="AL18" s="564"/>
      <c r="AM18" s="564"/>
      <c r="AN18" s="564"/>
      <c r="AO18" s="564"/>
    </row>
    <row r="19" spans="2:41" x14ac:dyDescent="0.15">
      <c r="B19" s="565">
        <v>-25</v>
      </c>
      <c r="C19" s="564">
        <v>0</v>
      </c>
      <c r="D19" s="564">
        <v>9.1324200913242006E-4</v>
      </c>
      <c r="E19" s="564">
        <v>3.8812785388127853E-3</v>
      </c>
      <c r="F19" s="564">
        <v>2.7397260273972601E-2</v>
      </c>
      <c r="G19" s="564"/>
      <c r="H19" s="564"/>
      <c r="I19" s="564"/>
      <c r="J19" s="564"/>
      <c r="K19" s="564"/>
      <c r="L19" s="564"/>
      <c r="M19" s="564"/>
      <c r="N19" s="564"/>
      <c r="O19" s="564"/>
      <c r="P19" s="564"/>
      <c r="Q19" s="564"/>
      <c r="R19" s="564"/>
      <c r="S19" s="564"/>
      <c r="T19" s="564"/>
      <c r="U19" s="564"/>
      <c r="V19" s="564"/>
      <c r="W19" s="564"/>
      <c r="X19" s="564"/>
      <c r="Y19" s="564"/>
      <c r="Z19" s="564"/>
      <c r="AA19" s="564"/>
      <c r="AB19" s="564"/>
      <c r="AC19" s="564"/>
      <c r="AD19" s="564"/>
      <c r="AE19" s="564"/>
      <c r="AF19" s="564"/>
      <c r="AG19" s="564"/>
      <c r="AH19" s="564"/>
      <c r="AI19" s="564"/>
      <c r="AJ19" s="564"/>
      <c r="AK19" s="564"/>
      <c r="AL19" s="564"/>
      <c r="AM19" s="564"/>
      <c r="AN19" s="564"/>
      <c r="AO19" s="564"/>
    </row>
    <row r="20" spans="2:41" x14ac:dyDescent="0.15">
      <c r="B20" s="565">
        <v>-24</v>
      </c>
      <c r="C20" s="564">
        <v>1.1415525114155251E-4</v>
      </c>
      <c r="D20" s="564">
        <v>1.3698630136986301E-3</v>
      </c>
      <c r="E20" s="564">
        <v>5.8219178082191785E-3</v>
      </c>
      <c r="F20" s="564">
        <v>3.093607305936073E-2</v>
      </c>
      <c r="G20" s="564"/>
      <c r="H20" s="564"/>
      <c r="I20" s="564"/>
      <c r="J20" s="564"/>
      <c r="K20" s="564"/>
      <c r="L20" s="564"/>
      <c r="M20" s="564"/>
      <c r="N20" s="564"/>
      <c r="O20" s="564"/>
      <c r="P20" s="564"/>
      <c r="Q20" s="564"/>
      <c r="R20" s="564"/>
      <c r="S20" s="564"/>
      <c r="T20" s="564"/>
      <c r="U20" s="564"/>
      <c r="V20" s="564"/>
      <c r="W20" s="564"/>
      <c r="X20" s="564"/>
      <c r="Y20" s="564"/>
      <c r="Z20" s="564"/>
      <c r="AA20" s="564"/>
      <c r="AB20" s="564"/>
      <c r="AC20" s="564"/>
      <c r="AD20" s="564"/>
      <c r="AE20" s="564"/>
      <c r="AF20" s="564"/>
      <c r="AG20" s="564"/>
      <c r="AH20" s="564"/>
      <c r="AI20" s="564"/>
      <c r="AJ20" s="564"/>
      <c r="AK20" s="564"/>
      <c r="AL20" s="564"/>
      <c r="AM20" s="564"/>
      <c r="AN20" s="564"/>
      <c r="AO20" s="564"/>
    </row>
    <row r="21" spans="2:41" x14ac:dyDescent="0.15">
      <c r="B21" s="565">
        <v>-23</v>
      </c>
      <c r="C21" s="564">
        <v>3.4246575342465754E-4</v>
      </c>
      <c r="D21" s="564">
        <v>2.3972602739726029E-3</v>
      </c>
      <c r="E21" s="564">
        <v>7.3059360730593605E-3</v>
      </c>
      <c r="F21" s="564">
        <v>3.4018264840182645E-2</v>
      </c>
      <c r="G21" s="564"/>
      <c r="H21" s="564"/>
      <c r="I21" s="564"/>
      <c r="J21" s="564"/>
      <c r="K21" s="564"/>
      <c r="L21" s="564"/>
      <c r="M21" s="564"/>
      <c r="N21" s="564"/>
      <c r="O21" s="564"/>
      <c r="P21" s="564"/>
      <c r="Q21" s="564"/>
      <c r="R21" s="564"/>
      <c r="S21" s="564"/>
      <c r="T21" s="564"/>
      <c r="U21" s="564"/>
      <c r="V21" s="564"/>
      <c r="W21" s="564"/>
      <c r="X21" s="564"/>
      <c r="Y21" s="564"/>
      <c r="Z21" s="564"/>
      <c r="AA21" s="564"/>
      <c r="AB21" s="564"/>
      <c r="AC21" s="564"/>
      <c r="AD21" s="564"/>
      <c r="AE21" s="564"/>
      <c r="AF21" s="564"/>
      <c r="AG21" s="564"/>
      <c r="AH21" s="564"/>
      <c r="AI21" s="564"/>
      <c r="AJ21" s="564"/>
      <c r="AK21" s="564"/>
      <c r="AL21" s="564"/>
      <c r="AM21" s="564"/>
      <c r="AN21" s="564"/>
      <c r="AO21" s="564"/>
    </row>
    <row r="22" spans="2:41" x14ac:dyDescent="0.15">
      <c r="B22" s="565">
        <v>-22</v>
      </c>
      <c r="C22" s="564">
        <v>5.7077625570776253E-4</v>
      </c>
      <c r="D22" s="564">
        <v>2.9680365296803654E-3</v>
      </c>
      <c r="E22" s="564">
        <v>8.3333333333333332E-3</v>
      </c>
      <c r="F22" s="564">
        <v>4.1095890410958902E-2</v>
      </c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  <c r="Y22" s="564"/>
      <c r="Z22" s="564"/>
      <c r="AA22" s="564"/>
      <c r="AB22" s="564"/>
      <c r="AC22" s="564"/>
      <c r="AD22" s="564"/>
      <c r="AE22" s="564"/>
      <c r="AF22" s="564"/>
      <c r="AG22" s="564"/>
      <c r="AH22" s="564"/>
      <c r="AI22" s="564"/>
      <c r="AJ22" s="564"/>
      <c r="AK22" s="564"/>
      <c r="AL22" s="564"/>
      <c r="AM22" s="564"/>
      <c r="AN22" s="564"/>
      <c r="AO22" s="564"/>
    </row>
    <row r="23" spans="2:41" x14ac:dyDescent="0.15">
      <c r="B23" s="565">
        <v>-21</v>
      </c>
      <c r="C23" s="564">
        <v>1.1415525114155251E-3</v>
      </c>
      <c r="D23" s="564">
        <v>4.5662100456621002E-3</v>
      </c>
      <c r="E23" s="564">
        <v>1.0616438356164383E-2</v>
      </c>
      <c r="F23" s="564">
        <v>4.8059360730593609E-2</v>
      </c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</row>
    <row r="24" spans="2:41" x14ac:dyDescent="0.15">
      <c r="B24" s="565">
        <v>-20</v>
      </c>
      <c r="C24" s="564">
        <v>2.8538812785388126E-3</v>
      </c>
      <c r="D24" s="564">
        <v>5.8219178082191785E-3</v>
      </c>
      <c r="E24" s="564">
        <v>1.2671232876712329E-2</v>
      </c>
      <c r="F24" s="564">
        <v>5.5251141552511415E-2</v>
      </c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  <c r="Y24" s="564"/>
      <c r="Z24" s="564"/>
      <c r="AA24" s="564"/>
      <c r="AB24" s="564"/>
      <c r="AC24" s="564"/>
      <c r="AD24" s="564"/>
      <c r="AE24" s="564"/>
      <c r="AF24" s="564"/>
      <c r="AG24" s="564"/>
      <c r="AH24" s="564"/>
      <c r="AI24" s="564"/>
      <c r="AJ24" s="564"/>
      <c r="AK24" s="564"/>
      <c r="AL24" s="564"/>
      <c r="AM24" s="564"/>
      <c r="AN24" s="564"/>
      <c r="AO24" s="564"/>
    </row>
    <row r="25" spans="2:41" x14ac:dyDescent="0.15">
      <c r="B25" s="565">
        <v>-19</v>
      </c>
      <c r="C25" s="564">
        <v>5.3652968036529683E-3</v>
      </c>
      <c r="D25" s="564">
        <v>7.7625570776255707E-3</v>
      </c>
      <c r="E25" s="564">
        <v>1.6552511415525113E-2</v>
      </c>
      <c r="F25" s="564">
        <v>6.2557077625570778E-2</v>
      </c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  <c r="AA25" s="564"/>
      <c r="AB25" s="564"/>
      <c r="AC25" s="564"/>
      <c r="AD25" s="564"/>
      <c r="AE25" s="564"/>
      <c r="AF25" s="564"/>
      <c r="AG25" s="564"/>
      <c r="AH25" s="564"/>
      <c r="AI25" s="564"/>
      <c r="AJ25" s="564"/>
      <c r="AK25" s="564"/>
      <c r="AL25" s="564"/>
      <c r="AM25" s="564"/>
      <c r="AN25" s="564"/>
      <c r="AO25" s="564"/>
    </row>
    <row r="26" spans="2:41" x14ac:dyDescent="0.15">
      <c r="B26" s="565">
        <v>-18</v>
      </c>
      <c r="C26" s="564">
        <v>7.0776255707762558E-3</v>
      </c>
      <c r="D26" s="564">
        <v>1.0045662100456621E-2</v>
      </c>
      <c r="E26" s="564">
        <v>1.8949771689497717E-2</v>
      </c>
      <c r="F26" s="564">
        <v>6.803652968036529E-2</v>
      </c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  <c r="Y26" s="564"/>
      <c r="Z26" s="564"/>
      <c r="AA26" s="564"/>
      <c r="AB26" s="564"/>
      <c r="AC26" s="564"/>
      <c r="AD26" s="564"/>
      <c r="AE26" s="564"/>
      <c r="AF26" s="564"/>
      <c r="AG26" s="564"/>
      <c r="AH26" s="564"/>
      <c r="AI26" s="564"/>
      <c r="AJ26" s="564"/>
      <c r="AK26" s="564"/>
      <c r="AL26" s="564"/>
      <c r="AM26" s="564"/>
      <c r="AN26" s="564"/>
      <c r="AO26" s="564"/>
    </row>
    <row r="27" spans="2:41" x14ac:dyDescent="0.15">
      <c r="B27" s="565">
        <v>-17</v>
      </c>
      <c r="C27" s="564">
        <v>9.2465753424657536E-3</v>
      </c>
      <c r="D27" s="564">
        <v>1.3127853881278538E-2</v>
      </c>
      <c r="E27" s="564">
        <v>2.3287671232876714E-2</v>
      </c>
      <c r="F27" s="564">
        <v>7.4543378995433784E-2</v>
      </c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  <c r="Y27" s="564"/>
      <c r="Z27" s="564"/>
      <c r="AA27" s="564"/>
      <c r="AB27" s="564"/>
      <c r="AC27" s="564"/>
      <c r="AD27" s="564"/>
      <c r="AE27" s="564"/>
      <c r="AF27" s="564"/>
      <c r="AG27" s="564"/>
      <c r="AH27" s="564"/>
      <c r="AI27" s="564"/>
      <c r="AJ27" s="564"/>
      <c r="AK27" s="564"/>
      <c r="AL27" s="564"/>
      <c r="AM27" s="564"/>
      <c r="AN27" s="564"/>
      <c r="AO27" s="564"/>
    </row>
    <row r="28" spans="2:41" x14ac:dyDescent="0.15">
      <c r="B28" s="565">
        <v>-16</v>
      </c>
      <c r="C28" s="564">
        <v>1.1872146118721462E-2</v>
      </c>
      <c r="D28" s="564">
        <v>1.8264840182648401E-2</v>
      </c>
      <c r="E28" s="564">
        <v>2.8538812785388126E-2</v>
      </c>
      <c r="F28" s="564">
        <v>8.1621004566210048E-2</v>
      </c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564"/>
      <c r="AA28" s="564"/>
      <c r="AB28" s="564"/>
      <c r="AC28" s="564"/>
      <c r="AD28" s="564"/>
      <c r="AE28" s="564"/>
      <c r="AF28" s="564"/>
      <c r="AG28" s="564"/>
      <c r="AH28" s="564"/>
      <c r="AI28" s="564"/>
      <c r="AJ28" s="564"/>
      <c r="AK28" s="564"/>
      <c r="AL28" s="564"/>
      <c r="AM28" s="564"/>
      <c r="AN28" s="564"/>
      <c r="AO28" s="564"/>
    </row>
    <row r="29" spans="2:41" x14ac:dyDescent="0.15">
      <c r="B29" s="565">
        <v>-15</v>
      </c>
      <c r="C29" s="564">
        <v>1.632420091324201E-2</v>
      </c>
      <c r="D29" s="564">
        <v>2.3287671232876714E-2</v>
      </c>
      <c r="E29" s="564">
        <v>3.5844748858447489E-2</v>
      </c>
      <c r="F29" s="564">
        <v>9.0981735159817348E-2</v>
      </c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  <c r="AA29" s="564"/>
      <c r="AB29" s="564"/>
      <c r="AC29" s="564"/>
      <c r="AD29" s="564"/>
      <c r="AE29" s="564"/>
      <c r="AF29" s="564"/>
      <c r="AG29" s="564"/>
      <c r="AH29" s="564"/>
      <c r="AI29" s="564"/>
      <c r="AJ29" s="564"/>
      <c r="AK29" s="564"/>
      <c r="AL29" s="564"/>
      <c r="AM29" s="564"/>
      <c r="AN29" s="564"/>
      <c r="AO29" s="564"/>
    </row>
    <row r="30" spans="2:41" x14ac:dyDescent="0.15">
      <c r="B30" s="565">
        <v>-14</v>
      </c>
      <c r="C30" s="564">
        <v>2.1917808219178082E-2</v>
      </c>
      <c r="D30" s="564">
        <v>2.9794520547945205E-2</v>
      </c>
      <c r="E30" s="564">
        <v>4.3493150684931509E-2</v>
      </c>
      <c r="F30" s="564">
        <v>0.10422374429223745</v>
      </c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  <c r="AA30" s="564"/>
      <c r="AB30" s="564"/>
      <c r="AC30" s="564"/>
      <c r="AD30" s="564"/>
      <c r="AE30" s="564"/>
      <c r="AF30" s="564"/>
      <c r="AG30" s="564"/>
      <c r="AH30" s="564"/>
      <c r="AI30" s="564"/>
      <c r="AJ30" s="564"/>
      <c r="AK30" s="564"/>
      <c r="AL30" s="564"/>
      <c r="AM30" s="564"/>
      <c r="AN30" s="564"/>
      <c r="AO30" s="564"/>
    </row>
    <row r="31" spans="2:41" x14ac:dyDescent="0.15">
      <c r="B31" s="565">
        <v>-13</v>
      </c>
      <c r="C31" s="564">
        <v>2.8652968036529679E-2</v>
      </c>
      <c r="D31" s="564">
        <v>3.6529680365296802E-2</v>
      </c>
      <c r="E31" s="564">
        <v>5.1598173515981734E-2</v>
      </c>
      <c r="F31" s="564">
        <v>0.11746575342465754</v>
      </c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  <c r="AA31" s="564"/>
      <c r="AB31" s="564"/>
      <c r="AC31" s="564"/>
      <c r="AD31" s="564"/>
      <c r="AE31" s="564"/>
      <c r="AF31" s="564"/>
      <c r="AG31" s="564"/>
      <c r="AH31" s="564"/>
      <c r="AI31" s="564"/>
      <c r="AJ31" s="564"/>
      <c r="AK31" s="564"/>
      <c r="AL31" s="564"/>
      <c r="AM31" s="564"/>
      <c r="AN31" s="564"/>
      <c r="AO31" s="564"/>
    </row>
    <row r="32" spans="2:41" x14ac:dyDescent="0.15">
      <c r="B32" s="565">
        <v>-12</v>
      </c>
      <c r="C32" s="564">
        <v>3.4589041095890408E-2</v>
      </c>
      <c r="D32" s="564">
        <v>4.1324200913242008E-2</v>
      </c>
      <c r="E32" s="564">
        <v>6.095890410958904E-2</v>
      </c>
      <c r="F32" s="564">
        <v>0.13344748858447489</v>
      </c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  <c r="Y32" s="564"/>
      <c r="Z32" s="564"/>
      <c r="AA32" s="564"/>
      <c r="AB32" s="564"/>
      <c r="AC32" s="564"/>
      <c r="AD32" s="564"/>
      <c r="AE32" s="564"/>
      <c r="AF32" s="564"/>
      <c r="AG32" s="564"/>
      <c r="AH32" s="564"/>
      <c r="AI32" s="564"/>
      <c r="AJ32" s="564"/>
      <c r="AK32" s="564"/>
      <c r="AL32" s="564"/>
      <c r="AM32" s="564"/>
      <c r="AN32" s="564"/>
      <c r="AO32" s="564"/>
    </row>
    <row r="33" spans="2:41" x14ac:dyDescent="0.15">
      <c r="B33" s="565">
        <v>-11</v>
      </c>
      <c r="C33" s="564">
        <v>4.0639269406392696E-2</v>
      </c>
      <c r="D33" s="564">
        <v>4.8401826484018265E-2</v>
      </c>
      <c r="E33" s="564">
        <v>7.1575342465753422E-2</v>
      </c>
      <c r="F33" s="564">
        <v>0.15136986301369862</v>
      </c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  <c r="Y33" s="564"/>
      <c r="Z33" s="564"/>
      <c r="AA33" s="564"/>
      <c r="AB33" s="564"/>
      <c r="AC33" s="564"/>
      <c r="AD33" s="564"/>
      <c r="AE33" s="564"/>
      <c r="AF33" s="564"/>
      <c r="AG33" s="564"/>
      <c r="AH33" s="564"/>
      <c r="AI33" s="564"/>
      <c r="AJ33" s="564"/>
      <c r="AK33" s="564"/>
      <c r="AL33" s="564"/>
      <c r="AM33" s="564"/>
      <c r="AN33" s="564"/>
      <c r="AO33" s="564"/>
    </row>
    <row r="34" spans="2:41" x14ac:dyDescent="0.15">
      <c r="B34" s="565">
        <v>-10</v>
      </c>
      <c r="C34" s="564">
        <v>4.6575342465753428E-2</v>
      </c>
      <c r="D34" s="564">
        <v>5.6963470319634703E-2</v>
      </c>
      <c r="E34" s="564">
        <v>8.3105022831050229E-2</v>
      </c>
      <c r="F34" s="564">
        <v>0.16860730593607307</v>
      </c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  <c r="Y34" s="564"/>
      <c r="Z34" s="564"/>
      <c r="AA34" s="564"/>
      <c r="AB34" s="564"/>
      <c r="AC34" s="564"/>
      <c r="AD34" s="564"/>
      <c r="AE34" s="564"/>
      <c r="AF34" s="564"/>
      <c r="AG34" s="564"/>
      <c r="AH34" s="564"/>
      <c r="AI34" s="564"/>
      <c r="AJ34" s="564"/>
      <c r="AK34" s="564"/>
      <c r="AL34" s="564"/>
      <c r="AM34" s="564"/>
      <c r="AN34" s="564"/>
      <c r="AO34" s="564"/>
    </row>
    <row r="35" spans="2:41" x14ac:dyDescent="0.15">
      <c r="B35" s="565">
        <v>-9</v>
      </c>
      <c r="C35" s="564">
        <v>5.4680365296803653E-2</v>
      </c>
      <c r="D35" s="564">
        <v>6.7351598173515978E-2</v>
      </c>
      <c r="E35" s="564">
        <v>9.7945205479452055E-2</v>
      </c>
      <c r="F35" s="564">
        <v>0.18630136986301371</v>
      </c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  <c r="Y35" s="564"/>
      <c r="Z35" s="564"/>
      <c r="AA35" s="564"/>
      <c r="AB35" s="564"/>
      <c r="AC35" s="564"/>
      <c r="AD35" s="564"/>
      <c r="AE35" s="564"/>
      <c r="AF35" s="564"/>
      <c r="AG35" s="564"/>
      <c r="AH35" s="564"/>
      <c r="AI35" s="564"/>
      <c r="AJ35" s="564"/>
      <c r="AK35" s="564"/>
      <c r="AL35" s="564"/>
      <c r="AM35" s="564"/>
      <c r="AN35" s="564"/>
      <c r="AO35" s="564"/>
    </row>
    <row r="36" spans="2:41" x14ac:dyDescent="0.15">
      <c r="B36" s="565">
        <v>-8</v>
      </c>
      <c r="C36" s="564">
        <v>6.3356164383561647E-2</v>
      </c>
      <c r="D36" s="564">
        <v>7.6255707762557079E-2</v>
      </c>
      <c r="E36" s="564">
        <v>0.11666666666666667</v>
      </c>
      <c r="F36" s="564">
        <v>0.20091324200913241</v>
      </c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  <c r="Y36" s="564"/>
      <c r="Z36" s="564"/>
      <c r="AA36" s="564"/>
      <c r="AB36" s="564"/>
      <c r="AC36" s="564"/>
      <c r="AD36" s="564"/>
      <c r="AE36" s="564"/>
      <c r="AF36" s="564"/>
      <c r="AG36" s="564"/>
      <c r="AH36" s="564"/>
      <c r="AI36" s="564"/>
      <c r="AJ36" s="564"/>
      <c r="AK36" s="564"/>
      <c r="AL36" s="564"/>
      <c r="AM36" s="564"/>
      <c r="AN36" s="564"/>
      <c r="AO36" s="564"/>
    </row>
    <row r="37" spans="2:41" x14ac:dyDescent="0.15">
      <c r="B37" s="565">
        <v>-7</v>
      </c>
      <c r="C37" s="564">
        <v>7.4999999999999997E-2</v>
      </c>
      <c r="D37" s="564">
        <v>8.7785388127853886E-2</v>
      </c>
      <c r="E37" s="564">
        <v>0.13698630136986301</v>
      </c>
      <c r="F37" s="564">
        <v>0.22237442922374429</v>
      </c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  <c r="Y37" s="564"/>
      <c r="Z37" s="564"/>
      <c r="AA37" s="564"/>
      <c r="AB37" s="564"/>
      <c r="AC37" s="564"/>
      <c r="AD37" s="564"/>
      <c r="AE37" s="564"/>
      <c r="AF37" s="564"/>
      <c r="AG37" s="564"/>
      <c r="AH37" s="564"/>
      <c r="AI37" s="564"/>
      <c r="AJ37" s="564"/>
      <c r="AK37" s="564"/>
      <c r="AL37" s="564"/>
      <c r="AM37" s="564"/>
      <c r="AN37" s="564"/>
      <c r="AO37" s="564"/>
    </row>
    <row r="38" spans="2:41" x14ac:dyDescent="0.15">
      <c r="B38" s="565">
        <v>-6</v>
      </c>
      <c r="C38" s="564">
        <v>8.8470319634703198E-2</v>
      </c>
      <c r="D38" s="564">
        <v>0.1021689497716895</v>
      </c>
      <c r="E38" s="564">
        <v>0.16095890410958905</v>
      </c>
      <c r="F38" s="564">
        <v>0.24121004566210047</v>
      </c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564"/>
      <c r="Y38" s="564"/>
      <c r="Z38" s="564"/>
      <c r="AA38" s="564"/>
      <c r="AB38" s="564"/>
      <c r="AC38" s="564"/>
      <c r="AD38" s="564"/>
      <c r="AE38" s="564"/>
      <c r="AF38" s="564"/>
      <c r="AG38" s="564"/>
      <c r="AH38" s="564"/>
      <c r="AI38" s="564"/>
      <c r="AJ38" s="564"/>
      <c r="AK38" s="564"/>
      <c r="AL38" s="564"/>
      <c r="AM38" s="564"/>
      <c r="AN38" s="564"/>
      <c r="AO38" s="564"/>
    </row>
    <row r="39" spans="2:41" x14ac:dyDescent="0.15">
      <c r="B39" s="565">
        <v>-5</v>
      </c>
      <c r="C39" s="564">
        <v>0.10547945205479452</v>
      </c>
      <c r="D39" s="564">
        <v>0.12317351598173516</v>
      </c>
      <c r="E39" s="564">
        <v>0.18801369863013698</v>
      </c>
      <c r="F39" s="564">
        <v>0.27180365296803655</v>
      </c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  <c r="U39" s="564"/>
      <c r="V39" s="564"/>
      <c r="W39" s="564"/>
      <c r="X39" s="564"/>
      <c r="Y39" s="564"/>
      <c r="Z39" s="564"/>
      <c r="AA39" s="564"/>
      <c r="AB39" s="564"/>
      <c r="AC39" s="564"/>
      <c r="AD39" s="564"/>
      <c r="AE39" s="564"/>
      <c r="AF39" s="564"/>
      <c r="AG39" s="564"/>
      <c r="AH39" s="564"/>
      <c r="AI39" s="564"/>
      <c r="AJ39" s="564"/>
      <c r="AK39" s="564"/>
      <c r="AL39" s="564"/>
      <c r="AM39" s="564"/>
      <c r="AN39" s="564"/>
      <c r="AO39" s="564"/>
    </row>
    <row r="40" spans="2:41" x14ac:dyDescent="0.15">
      <c r="B40" s="565">
        <v>-4</v>
      </c>
      <c r="C40" s="564">
        <v>0.12888127853881279</v>
      </c>
      <c r="D40" s="564">
        <v>0.14452054794520547</v>
      </c>
      <c r="E40" s="564">
        <v>0.2139269406392694</v>
      </c>
      <c r="F40" s="564">
        <v>0.3065068493150685</v>
      </c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  <c r="Y40" s="564"/>
      <c r="Z40" s="564"/>
      <c r="AA40" s="564"/>
      <c r="AB40" s="564"/>
      <c r="AC40" s="564"/>
      <c r="AD40" s="564"/>
      <c r="AE40" s="564"/>
      <c r="AF40" s="564"/>
      <c r="AG40" s="564"/>
      <c r="AH40" s="564"/>
      <c r="AI40" s="564"/>
      <c r="AJ40" s="564"/>
      <c r="AK40" s="564"/>
      <c r="AL40" s="564"/>
      <c r="AM40" s="564"/>
      <c r="AN40" s="564"/>
      <c r="AO40" s="564"/>
    </row>
    <row r="41" spans="2:41" x14ac:dyDescent="0.15">
      <c r="B41" s="565">
        <v>-3</v>
      </c>
      <c r="C41" s="564">
        <v>0.15570776255707763</v>
      </c>
      <c r="D41" s="564">
        <v>0.16849315068493151</v>
      </c>
      <c r="E41" s="564">
        <v>0.24406392694063928</v>
      </c>
      <c r="F41" s="564">
        <v>0.34178082191780823</v>
      </c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  <c r="Y41" s="564"/>
      <c r="Z41" s="564"/>
      <c r="AA41" s="564"/>
      <c r="AB41" s="564"/>
      <c r="AC41" s="564"/>
      <c r="AD41" s="564"/>
      <c r="AE41" s="564"/>
      <c r="AF41" s="564"/>
      <c r="AG41" s="564"/>
      <c r="AH41" s="564"/>
      <c r="AI41" s="564"/>
      <c r="AJ41" s="564"/>
      <c r="AK41" s="564"/>
      <c r="AL41" s="564"/>
      <c r="AM41" s="564"/>
      <c r="AN41" s="564"/>
      <c r="AO41" s="564"/>
    </row>
    <row r="42" spans="2:41" x14ac:dyDescent="0.15">
      <c r="B42" s="565">
        <v>-2</v>
      </c>
      <c r="C42" s="564">
        <v>0.18424657534246575</v>
      </c>
      <c r="D42" s="564">
        <v>0.19337899543378995</v>
      </c>
      <c r="E42" s="564">
        <v>0.27728310502283104</v>
      </c>
      <c r="F42" s="564">
        <v>0.37648401826484018</v>
      </c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  <c r="Y42" s="564"/>
      <c r="Z42" s="564"/>
      <c r="AA42" s="564"/>
      <c r="AB42" s="564"/>
      <c r="AC42" s="564"/>
      <c r="AD42" s="564"/>
      <c r="AE42" s="564"/>
      <c r="AF42" s="564"/>
      <c r="AG42" s="564"/>
      <c r="AH42" s="564"/>
      <c r="AI42" s="564"/>
      <c r="AJ42" s="564"/>
      <c r="AK42" s="564"/>
      <c r="AL42" s="564"/>
      <c r="AM42" s="564"/>
      <c r="AN42" s="564"/>
      <c r="AO42" s="564"/>
    </row>
    <row r="43" spans="2:41" x14ac:dyDescent="0.15">
      <c r="B43" s="565">
        <v>-1</v>
      </c>
      <c r="C43" s="564">
        <v>0.20924657534246574</v>
      </c>
      <c r="D43" s="564">
        <v>0.22340182648401827</v>
      </c>
      <c r="E43" s="564">
        <v>0.31210045662100455</v>
      </c>
      <c r="F43" s="564">
        <v>0.41678082191780824</v>
      </c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  <c r="Y43" s="564"/>
      <c r="Z43" s="564"/>
      <c r="AA43" s="564"/>
      <c r="AB43" s="564"/>
      <c r="AC43" s="564"/>
      <c r="AD43" s="564"/>
      <c r="AE43" s="564"/>
      <c r="AF43" s="564"/>
      <c r="AG43" s="564"/>
      <c r="AH43" s="564"/>
      <c r="AI43" s="564"/>
      <c r="AJ43" s="564"/>
      <c r="AK43" s="564"/>
      <c r="AL43" s="564"/>
      <c r="AM43" s="564"/>
      <c r="AN43" s="564"/>
      <c r="AO43" s="564"/>
    </row>
    <row r="44" spans="2:41" x14ac:dyDescent="0.15">
      <c r="B44" s="565">
        <v>0</v>
      </c>
      <c r="C44" s="564">
        <v>0.24920091324200913</v>
      </c>
      <c r="D44" s="564">
        <v>0.27089041095890409</v>
      </c>
      <c r="E44" s="564">
        <v>0.36792237442922376</v>
      </c>
      <c r="F44" s="564">
        <v>0.46027397260273972</v>
      </c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564"/>
      <c r="S44" s="564"/>
      <c r="T44" s="564"/>
      <c r="U44" s="564"/>
      <c r="V44" s="564"/>
      <c r="W44" s="564"/>
      <c r="X44" s="564"/>
      <c r="Y44" s="564"/>
      <c r="Z44" s="564"/>
      <c r="AA44" s="564"/>
      <c r="AB44" s="564"/>
      <c r="AC44" s="564"/>
      <c r="AD44" s="564"/>
      <c r="AE44" s="564"/>
      <c r="AF44" s="564"/>
      <c r="AG44" s="564"/>
      <c r="AH44" s="564"/>
      <c r="AI44" s="564"/>
      <c r="AJ44" s="564"/>
      <c r="AK44" s="564"/>
      <c r="AL44" s="564"/>
      <c r="AM44" s="564"/>
      <c r="AN44" s="564"/>
      <c r="AO44" s="564"/>
    </row>
    <row r="45" spans="2:41" x14ac:dyDescent="0.15">
      <c r="B45" s="565">
        <v>1</v>
      </c>
      <c r="C45" s="564">
        <v>0.30993150684931509</v>
      </c>
      <c r="D45" s="564">
        <v>0.3422374429223744</v>
      </c>
      <c r="E45" s="564">
        <v>0.41004566210045662</v>
      </c>
      <c r="F45" s="564">
        <v>0.51118721461187211</v>
      </c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  <c r="Y45" s="564"/>
      <c r="Z45" s="564"/>
      <c r="AA45" s="564"/>
      <c r="AB45" s="564"/>
      <c r="AC45" s="564"/>
      <c r="AD45" s="564"/>
      <c r="AE45" s="564"/>
      <c r="AF45" s="564"/>
      <c r="AG45" s="564"/>
      <c r="AH45" s="564"/>
      <c r="AI45" s="564"/>
      <c r="AJ45" s="564"/>
      <c r="AK45" s="564"/>
      <c r="AL45" s="564"/>
      <c r="AM45" s="564"/>
      <c r="AN45" s="564"/>
      <c r="AO45" s="564"/>
    </row>
    <row r="46" spans="2:41" x14ac:dyDescent="0.15">
      <c r="B46" s="565">
        <v>2</v>
      </c>
      <c r="C46" s="564">
        <v>0.36917808219178083</v>
      </c>
      <c r="D46" s="564">
        <v>0.40136986301369865</v>
      </c>
      <c r="E46" s="564">
        <v>0.45171232876712331</v>
      </c>
      <c r="F46" s="564">
        <v>0.54372146118721465</v>
      </c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  <c r="Y46" s="564"/>
      <c r="Z46" s="564"/>
      <c r="AA46" s="564"/>
      <c r="AB46" s="564"/>
      <c r="AC46" s="564"/>
      <c r="AD46" s="564"/>
      <c r="AE46" s="564"/>
      <c r="AF46" s="564"/>
      <c r="AG46" s="564"/>
      <c r="AH46" s="564"/>
      <c r="AI46" s="564"/>
      <c r="AJ46" s="564"/>
      <c r="AK46" s="564"/>
      <c r="AL46" s="564"/>
      <c r="AM46" s="564"/>
      <c r="AN46" s="564"/>
      <c r="AO46" s="564"/>
    </row>
    <row r="47" spans="2:41" x14ac:dyDescent="0.15">
      <c r="B47" s="565">
        <v>3</v>
      </c>
      <c r="C47" s="564">
        <v>0.41598173515981735</v>
      </c>
      <c r="D47" s="564">
        <v>0.44018264840182647</v>
      </c>
      <c r="E47" s="564">
        <v>0.48652968036529681</v>
      </c>
      <c r="F47" s="564">
        <v>0.57363013698630139</v>
      </c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  <c r="Y47" s="564"/>
      <c r="Z47" s="564"/>
      <c r="AA47" s="564"/>
      <c r="AB47" s="564"/>
      <c r="AC47" s="564"/>
      <c r="AD47" s="564"/>
      <c r="AE47" s="564"/>
      <c r="AF47" s="564"/>
      <c r="AG47" s="564"/>
      <c r="AH47" s="564"/>
      <c r="AI47" s="564"/>
      <c r="AJ47" s="564"/>
      <c r="AK47" s="564"/>
      <c r="AL47" s="564"/>
      <c r="AM47" s="564"/>
      <c r="AN47" s="564"/>
      <c r="AO47" s="564"/>
    </row>
    <row r="48" spans="2:41" x14ac:dyDescent="0.15">
      <c r="B48" s="565">
        <v>4</v>
      </c>
      <c r="C48" s="564">
        <v>0.45079908675799085</v>
      </c>
      <c r="D48" s="564">
        <v>0.4771689497716895</v>
      </c>
      <c r="E48" s="564">
        <v>0.51837899543378996</v>
      </c>
      <c r="F48" s="564">
        <v>0.61015981735159819</v>
      </c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  <c r="Y48" s="564"/>
      <c r="Z48" s="564"/>
      <c r="AA48" s="564"/>
      <c r="AB48" s="564"/>
      <c r="AC48" s="564"/>
      <c r="AD48" s="564"/>
      <c r="AE48" s="564"/>
      <c r="AF48" s="564"/>
      <c r="AG48" s="564"/>
      <c r="AH48" s="564"/>
      <c r="AI48" s="564"/>
      <c r="AJ48" s="564"/>
      <c r="AK48" s="564"/>
      <c r="AL48" s="564"/>
      <c r="AM48" s="564"/>
      <c r="AN48" s="564"/>
      <c r="AO48" s="564"/>
    </row>
    <row r="49" spans="2:41" x14ac:dyDescent="0.15">
      <c r="B49" s="565">
        <v>5</v>
      </c>
      <c r="C49" s="564">
        <v>0.48413242009132418</v>
      </c>
      <c r="D49" s="564">
        <v>0.50776255707762552</v>
      </c>
      <c r="E49" s="564">
        <v>0.54885844748858448</v>
      </c>
      <c r="F49" s="564">
        <v>0.63641552511415522</v>
      </c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  <c r="Y49" s="564"/>
      <c r="Z49" s="564"/>
      <c r="AA49" s="564"/>
      <c r="AB49" s="564"/>
      <c r="AC49" s="564"/>
      <c r="AD49" s="564"/>
      <c r="AE49" s="564"/>
      <c r="AF49" s="564"/>
      <c r="AG49" s="564"/>
      <c r="AH49" s="564"/>
      <c r="AI49" s="564"/>
      <c r="AJ49" s="564"/>
      <c r="AK49" s="564"/>
      <c r="AL49" s="564"/>
      <c r="AM49" s="564"/>
      <c r="AN49" s="564"/>
      <c r="AO49" s="564"/>
    </row>
    <row r="50" spans="2:41" x14ac:dyDescent="0.15">
      <c r="B50" s="565">
        <v>6</v>
      </c>
      <c r="C50" s="564">
        <v>0.51586757990867582</v>
      </c>
      <c r="D50" s="564">
        <v>0.54166666666666663</v>
      </c>
      <c r="E50" s="564">
        <v>0.58139269406392691</v>
      </c>
      <c r="F50" s="564">
        <v>0.66415525114155249</v>
      </c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  <c r="Y50" s="564"/>
      <c r="Z50" s="564"/>
      <c r="AA50" s="564"/>
      <c r="AB50" s="564"/>
      <c r="AC50" s="564"/>
      <c r="AD50" s="564"/>
      <c r="AE50" s="564"/>
      <c r="AF50" s="564"/>
      <c r="AG50" s="564"/>
      <c r="AH50" s="564"/>
      <c r="AI50" s="564"/>
      <c r="AJ50" s="564"/>
      <c r="AK50" s="564"/>
      <c r="AL50" s="564"/>
      <c r="AM50" s="564"/>
      <c r="AN50" s="564"/>
      <c r="AO50" s="564"/>
    </row>
    <row r="51" spans="2:41" x14ac:dyDescent="0.15">
      <c r="B51" s="565">
        <v>7</v>
      </c>
      <c r="C51" s="564">
        <v>0.55331050228310508</v>
      </c>
      <c r="D51" s="564">
        <v>0.58744292237442919</v>
      </c>
      <c r="E51" s="564">
        <v>0.60719178082191783</v>
      </c>
      <c r="F51" s="564">
        <v>0.6905251141552512</v>
      </c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  <c r="Y51" s="564"/>
      <c r="Z51" s="564"/>
      <c r="AA51" s="564"/>
      <c r="AB51" s="564"/>
      <c r="AC51" s="564"/>
      <c r="AD51" s="564"/>
      <c r="AE51" s="564"/>
      <c r="AF51" s="564"/>
      <c r="AG51" s="564"/>
      <c r="AH51" s="564"/>
      <c r="AI51" s="564"/>
      <c r="AJ51" s="564"/>
      <c r="AK51" s="564"/>
      <c r="AL51" s="564"/>
      <c r="AM51" s="564"/>
      <c r="AN51" s="564"/>
      <c r="AO51" s="564"/>
    </row>
    <row r="52" spans="2:41" x14ac:dyDescent="0.15">
      <c r="B52" s="565">
        <v>8</v>
      </c>
      <c r="C52" s="564">
        <v>0.58984018264840188</v>
      </c>
      <c r="D52" s="564">
        <v>0.62123287671232874</v>
      </c>
      <c r="E52" s="564">
        <v>0.63162100456621006</v>
      </c>
      <c r="F52" s="564">
        <v>0.71872146118721458</v>
      </c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  <c r="Y52" s="564"/>
      <c r="Z52" s="564"/>
      <c r="AA52" s="564"/>
      <c r="AB52" s="564"/>
      <c r="AC52" s="564"/>
      <c r="AD52" s="564"/>
      <c r="AE52" s="564"/>
      <c r="AF52" s="564"/>
      <c r="AG52" s="564"/>
      <c r="AH52" s="564"/>
      <c r="AI52" s="564"/>
      <c r="AJ52" s="564"/>
      <c r="AK52" s="564"/>
      <c r="AL52" s="564"/>
      <c r="AM52" s="564"/>
      <c r="AN52" s="564"/>
      <c r="AO52" s="564"/>
    </row>
    <row r="53" spans="2:41" x14ac:dyDescent="0.15">
      <c r="B53" s="565">
        <v>9</v>
      </c>
      <c r="C53" s="564">
        <v>0.61746575342465748</v>
      </c>
      <c r="D53" s="564">
        <v>0.65399543378995428</v>
      </c>
      <c r="E53" s="564">
        <v>0.6623287671232877</v>
      </c>
      <c r="F53" s="564">
        <v>0.74885844748858443</v>
      </c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  <c r="Y53" s="564"/>
      <c r="Z53" s="564"/>
      <c r="AA53" s="564"/>
      <c r="AB53" s="564"/>
      <c r="AC53" s="564"/>
      <c r="AD53" s="564"/>
      <c r="AE53" s="564"/>
      <c r="AF53" s="564"/>
      <c r="AG53" s="564"/>
      <c r="AH53" s="564"/>
      <c r="AI53" s="564"/>
      <c r="AJ53" s="564"/>
      <c r="AK53" s="564"/>
      <c r="AL53" s="564"/>
      <c r="AM53" s="564"/>
      <c r="AN53" s="564"/>
      <c r="AO53" s="564"/>
    </row>
    <row r="54" spans="2:41" x14ac:dyDescent="0.15">
      <c r="B54" s="565">
        <v>10</v>
      </c>
      <c r="C54" s="564">
        <v>0.64394977168949774</v>
      </c>
      <c r="D54" s="564">
        <v>0.68835616438356162</v>
      </c>
      <c r="E54" s="564">
        <v>0.69623287671232881</v>
      </c>
      <c r="F54" s="564">
        <v>0.78527397260273968</v>
      </c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  <c r="Y54" s="564"/>
      <c r="Z54" s="564"/>
      <c r="AA54" s="564"/>
      <c r="AB54" s="564"/>
      <c r="AC54" s="564"/>
      <c r="AD54" s="564"/>
      <c r="AE54" s="564"/>
      <c r="AF54" s="564"/>
      <c r="AG54" s="564"/>
      <c r="AH54" s="564"/>
      <c r="AI54" s="564"/>
      <c r="AJ54" s="564"/>
      <c r="AK54" s="564"/>
      <c r="AL54" s="564"/>
      <c r="AM54" s="564"/>
      <c r="AN54" s="564"/>
      <c r="AO54" s="564"/>
    </row>
    <row r="55" spans="2:41" x14ac:dyDescent="0.15">
      <c r="B55" s="565">
        <v>11</v>
      </c>
      <c r="C55" s="564">
        <v>0.67625570776255706</v>
      </c>
      <c r="D55" s="564">
        <v>0.72168949771689495</v>
      </c>
      <c r="E55" s="564">
        <v>0.73105022831050226</v>
      </c>
      <c r="F55" s="564">
        <v>0.82283105022831049</v>
      </c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  <c r="Y55" s="564"/>
      <c r="Z55" s="564"/>
      <c r="AA55" s="564"/>
      <c r="AB55" s="564"/>
      <c r="AC55" s="564"/>
      <c r="AD55" s="564"/>
      <c r="AE55" s="564"/>
      <c r="AF55" s="564"/>
      <c r="AG55" s="564"/>
      <c r="AH55" s="564"/>
      <c r="AI55" s="564"/>
      <c r="AJ55" s="564"/>
      <c r="AK55" s="564"/>
      <c r="AL55" s="564"/>
      <c r="AM55" s="564"/>
      <c r="AN55" s="564"/>
      <c r="AO55" s="564"/>
    </row>
    <row r="56" spans="2:41" x14ac:dyDescent="0.15">
      <c r="B56" s="565">
        <v>12</v>
      </c>
      <c r="C56" s="564">
        <v>0.71415525114155254</v>
      </c>
      <c r="D56" s="564">
        <v>0.75296803652968036</v>
      </c>
      <c r="E56" s="564">
        <v>0.76780821917808217</v>
      </c>
      <c r="F56" s="564">
        <v>0.85114155251141554</v>
      </c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  <c r="Y56" s="564"/>
      <c r="Z56" s="564"/>
      <c r="AA56" s="564"/>
      <c r="AB56" s="564"/>
      <c r="AC56" s="564"/>
      <c r="AD56" s="564"/>
      <c r="AE56" s="564"/>
      <c r="AF56" s="564"/>
      <c r="AG56" s="564"/>
      <c r="AH56" s="564"/>
      <c r="AI56" s="564"/>
      <c r="AJ56" s="564"/>
      <c r="AK56" s="564"/>
      <c r="AL56" s="564"/>
      <c r="AM56" s="564"/>
      <c r="AN56" s="564"/>
      <c r="AO56" s="564"/>
    </row>
    <row r="57" spans="2:41" x14ac:dyDescent="0.15">
      <c r="B57" s="565">
        <v>13</v>
      </c>
      <c r="C57" s="564">
        <v>0.75433789954337904</v>
      </c>
      <c r="D57" s="564">
        <v>0.78493150684931512</v>
      </c>
      <c r="E57" s="564">
        <v>0.80593607305936077</v>
      </c>
      <c r="F57" s="564">
        <v>0.87602739726027401</v>
      </c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  <c r="Y57" s="564"/>
      <c r="Z57" s="564"/>
      <c r="AA57" s="564"/>
      <c r="AB57" s="564"/>
      <c r="AC57" s="564"/>
      <c r="AD57" s="564"/>
      <c r="AE57" s="564"/>
      <c r="AF57" s="564"/>
      <c r="AG57" s="564"/>
      <c r="AH57" s="564"/>
      <c r="AI57" s="564"/>
      <c r="AJ57" s="564"/>
      <c r="AK57" s="564"/>
      <c r="AL57" s="564"/>
      <c r="AM57" s="564"/>
      <c r="AN57" s="564"/>
      <c r="AO57" s="564"/>
    </row>
    <row r="58" spans="2:41" x14ac:dyDescent="0.15">
      <c r="B58" s="565">
        <v>14</v>
      </c>
      <c r="C58" s="564">
        <v>0.7873287671232877</v>
      </c>
      <c r="D58" s="564">
        <v>0.81974885844748857</v>
      </c>
      <c r="E58" s="564">
        <v>0.84509132420091326</v>
      </c>
      <c r="F58" s="564">
        <v>0.89577625570776254</v>
      </c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  <c r="Y58" s="564"/>
      <c r="Z58" s="564"/>
      <c r="AA58" s="564"/>
      <c r="AB58" s="564"/>
      <c r="AC58" s="564"/>
      <c r="AD58" s="564"/>
      <c r="AE58" s="564"/>
      <c r="AF58" s="564"/>
      <c r="AG58" s="564"/>
      <c r="AH58" s="564"/>
      <c r="AI58" s="564"/>
      <c r="AJ58" s="564"/>
      <c r="AK58" s="564"/>
      <c r="AL58" s="564"/>
      <c r="AM58" s="564"/>
      <c r="AN58" s="564"/>
      <c r="AO58" s="564"/>
    </row>
    <row r="59" spans="2:41" x14ac:dyDescent="0.15">
      <c r="B59" s="565">
        <v>15</v>
      </c>
      <c r="C59" s="564">
        <v>0.82625570776255708</v>
      </c>
      <c r="D59" s="564">
        <v>0.85468036529680369</v>
      </c>
      <c r="E59" s="564">
        <v>0.87568493150684934</v>
      </c>
      <c r="F59" s="564">
        <v>0.91803652968036531</v>
      </c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  <c r="Y59" s="564"/>
      <c r="Z59" s="564"/>
      <c r="AA59" s="564"/>
      <c r="AB59" s="564"/>
      <c r="AC59" s="564"/>
      <c r="AD59" s="564"/>
      <c r="AE59" s="564"/>
      <c r="AF59" s="564"/>
      <c r="AG59" s="564"/>
      <c r="AH59" s="564"/>
      <c r="AI59" s="564"/>
      <c r="AJ59" s="564"/>
      <c r="AK59" s="564"/>
      <c r="AL59" s="564"/>
      <c r="AM59" s="564"/>
      <c r="AN59" s="564"/>
      <c r="AO59" s="564"/>
    </row>
    <row r="60" spans="2:41" x14ac:dyDescent="0.15">
      <c r="B60" s="565">
        <v>16</v>
      </c>
      <c r="C60" s="564">
        <v>0.86187214611872143</v>
      </c>
      <c r="D60" s="564">
        <v>0.88059360730593605</v>
      </c>
      <c r="E60" s="564">
        <v>0.89908675799086757</v>
      </c>
      <c r="F60" s="564">
        <v>0.93550228310502281</v>
      </c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  <c r="Y60" s="564"/>
      <c r="Z60" s="564"/>
      <c r="AA60" s="564"/>
      <c r="AB60" s="564"/>
      <c r="AC60" s="564"/>
      <c r="AD60" s="564"/>
      <c r="AE60" s="564"/>
      <c r="AF60" s="564"/>
      <c r="AG60" s="564"/>
      <c r="AH60" s="564"/>
      <c r="AI60" s="564"/>
      <c r="AJ60" s="564"/>
      <c r="AK60" s="564"/>
      <c r="AL60" s="564"/>
      <c r="AM60" s="564"/>
      <c r="AN60" s="564"/>
      <c r="AO60" s="564"/>
    </row>
    <row r="61" spans="2:41" x14ac:dyDescent="0.15">
      <c r="B61" s="565">
        <v>17</v>
      </c>
      <c r="C61" s="564">
        <v>0.88995433789954337</v>
      </c>
      <c r="D61" s="564">
        <v>0.90388127853881284</v>
      </c>
      <c r="E61" s="564">
        <v>0.92100456621004567</v>
      </c>
      <c r="F61" s="564">
        <v>0.95273972602739732</v>
      </c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  <c r="Y61" s="564"/>
      <c r="Z61" s="564"/>
      <c r="AA61" s="564"/>
      <c r="AB61" s="564"/>
      <c r="AC61" s="564"/>
      <c r="AD61" s="564"/>
      <c r="AE61" s="564"/>
      <c r="AF61" s="564"/>
      <c r="AG61" s="564"/>
      <c r="AH61" s="564"/>
      <c r="AI61" s="564"/>
      <c r="AJ61" s="564"/>
      <c r="AK61" s="564"/>
      <c r="AL61" s="564"/>
      <c r="AM61" s="564"/>
      <c r="AN61" s="564"/>
      <c r="AO61" s="564"/>
    </row>
    <row r="62" spans="2:41" x14ac:dyDescent="0.15">
      <c r="B62" s="565">
        <v>18</v>
      </c>
      <c r="C62" s="564">
        <v>0.91358447488584471</v>
      </c>
      <c r="D62" s="564">
        <v>0.92260273972602735</v>
      </c>
      <c r="E62" s="564">
        <v>0.9389269406392694</v>
      </c>
      <c r="F62" s="564">
        <v>0.9671232876712329</v>
      </c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  <c r="Y62" s="564"/>
      <c r="Z62" s="564"/>
      <c r="AA62" s="564"/>
      <c r="AB62" s="564"/>
      <c r="AC62" s="564"/>
      <c r="AD62" s="564"/>
      <c r="AE62" s="564"/>
      <c r="AF62" s="564"/>
      <c r="AG62" s="564"/>
      <c r="AH62" s="564"/>
      <c r="AI62" s="564"/>
      <c r="AJ62" s="564"/>
      <c r="AK62" s="564"/>
      <c r="AL62" s="564"/>
      <c r="AM62" s="564"/>
      <c r="AN62" s="564"/>
      <c r="AO62" s="564"/>
    </row>
    <row r="63" spans="2:41" x14ac:dyDescent="0.15">
      <c r="B63" s="565">
        <v>19</v>
      </c>
      <c r="C63" s="564">
        <v>0.93219178082191778</v>
      </c>
      <c r="D63" s="564">
        <v>0.93835616438356162</v>
      </c>
      <c r="E63" s="564">
        <v>0.95490867579908678</v>
      </c>
      <c r="F63" s="564">
        <v>0.97602739726027399</v>
      </c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  <c r="Y63" s="564"/>
      <c r="Z63" s="564"/>
      <c r="AA63" s="564"/>
      <c r="AB63" s="564"/>
      <c r="AC63" s="564"/>
      <c r="AD63" s="564"/>
      <c r="AE63" s="564"/>
      <c r="AF63" s="564"/>
      <c r="AG63" s="564"/>
      <c r="AH63" s="564"/>
      <c r="AI63" s="564"/>
      <c r="AJ63" s="564"/>
      <c r="AK63" s="564"/>
      <c r="AL63" s="564"/>
      <c r="AM63" s="564"/>
      <c r="AN63" s="564"/>
      <c r="AO63" s="564"/>
    </row>
    <row r="64" spans="2:41" x14ac:dyDescent="0.15">
      <c r="B64" s="565">
        <v>20</v>
      </c>
      <c r="C64" s="564">
        <v>0.94783105022831049</v>
      </c>
      <c r="D64" s="564">
        <v>0.95490867579908678</v>
      </c>
      <c r="E64" s="564">
        <v>0.96700913242009134</v>
      </c>
      <c r="F64" s="564">
        <v>0.98264840182648405</v>
      </c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  <c r="AA64" s="564"/>
      <c r="AB64" s="564"/>
      <c r="AC64" s="564"/>
      <c r="AD64" s="564"/>
      <c r="AE64" s="564"/>
      <c r="AF64" s="564"/>
      <c r="AG64" s="564"/>
      <c r="AH64" s="564"/>
      <c r="AI64" s="564"/>
      <c r="AJ64" s="564"/>
      <c r="AK64" s="564"/>
      <c r="AL64" s="564"/>
      <c r="AM64" s="564"/>
      <c r="AN64" s="564"/>
      <c r="AO64" s="564"/>
    </row>
    <row r="65" spans="2:41" x14ac:dyDescent="0.15">
      <c r="B65" s="565">
        <v>21</v>
      </c>
      <c r="C65" s="564">
        <v>0.96324200913242009</v>
      </c>
      <c r="D65" s="564">
        <v>0.96757990867579913</v>
      </c>
      <c r="E65" s="564">
        <v>0.9780821917808219</v>
      </c>
      <c r="F65" s="564">
        <v>0.98789954337899544</v>
      </c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  <c r="AA65" s="564"/>
      <c r="AB65" s="564"/>
      <c r="AC65" s="564"/>
      <c r="AD65" s="564"/>
      <c r="AE65" s="564"/>
      <c r="AF65" s="564"/>
      <c r="AG65" s="564"/>
      <c r="AH65" s="564"/>
      <c r="AI65" s="564"/>
      <c r="AJ65" s="564"/>
      <c r="AK65" s="564"/>
      <c r="AL65" s="564"/>
      <c r="AM65" s="564"/>
      <c r="AN65" s="564"/>
      <c r="AO65" s="564"/>
    </row>
    <row r="66" spans="2:41" x14ac:dyDescent="0.15">
      <c r="B66" s="565">
        <v>22</v>
      </c>
      <c r="C66" s="564">
        <v>0.97283105022831051</v>
      </c>
      <c r="D66" s="564">
        <v>0.97751141552511411</v>
      </c>
      <c r="E66" s="564">
        <v>0.98652968036529676</v>
      </c>
      <c r="F66" s="564">
        <v>0.9916666666666667</v>
      </c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  <c r="AB66" s="564"/>
      <c r="AC66" s="564"/>
      <c r="AD66" s="564"/>
      <c r="AE66" s="564"/>
      <c r="AF66" s="564"/>
      <c r="AG66" s="564"/>
      <c r="AH66" s="564"/>
      <c r="AI66" s="564"/>
      <c r="AJ66" s="564"/>
      <c r="AK66" s="564"/>
      <c r="AL66" s="564"/>
      <c r="AM66" s="564"/>
      <c r="AN66" s="564"/>
      <c r="AO66" s="564"/>
    </row>
    <row r="67" spans="2:41" x14ac:dyDescent="0.15">
      <c r="B67" s="565">
        <v>23</v>
      </c>
      <c r="C67" s="564">
        <v>0.98082191780821915</v>
      </c>
      <c r="D67" s="564">
        <v>0.9853881278538813</v>
      </c>
      <c r="E67" s="564">
        <v>0.99303652968036527</v>
      </c>
      <c r="F67" s="564">
        <v>0.99497716894977173</v>
      </c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  <c r="AA67" s="564"/>
      <c r="AB67" s="564"/>
      <c r="AC67" s="564"/>
      <c r="AD67" s="564"/>
      <c r="AE67" s="564"/>
      <c r="AF67" s="564"/>
      <c r="AG67" s="564"/>
      <c r="AH67" s="564"/>
      <c r="AI67" s="564"/>
      <c r="AJ67" s="564"/>
      <c r="AK67" s="564"/>
      <c r="AL67" s="564"/>
      <c r="AM67" s="564"/>
      <c r="AN67" s="564"/>
      <c r="AO67" s="564"/>
    </row>
    <row r="68" spans="2:41" x14ac:dyDescent="0.15">
      <c r="B68" s="565">
        <v>24</v>
      </c>
      <c r="C68" s="564">
        <v>0.98550228310502286</v>
      </c>
      <c r="D68" s="564">
        <v>0.99098173515981736</v>
      </c>
      <c r="E68" s="564">
        <v>0.99760273972602742</v>
      </c>
      <c r="F68" s="564">
        <v>0.99748858447488586</v>
      </c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  <c r="Y68" s="564"/>
      <c r="Z68" s="564"/>
      <c r="AA68" s="564"/>
      <c r="AB68" s="564"/>
      <c r="AC68" s="564"/>
      <c r="AD68" s="564"/>
      <c r="AE68" s="564"/>
      <c r="AF68" s="564"/>
      <c r="AG68" s="564"/>
      <c r="AH68" s="564"/>
      <c r="AI68" s="564"/>
      <c r="AJ68" s="564"/>
      <c r="AK68" s="564"/>
      <c r="AL68" s="564"/>
      <c r="AM68" s="564"/>
      <c r="AN68" s="564"/>
      <c r="AO68" s="564"/>
    </row>
    <row r="69" spans="2:41" x14ac:dyDescent="0.15">
      <c r="B69" s="565">
        <v>25</v>
      </c>
      <c r="C69" s="564">
        <v>0.98949771689497712</v>
      </c>
      <c r="D69" s="564">
        <v>0.99520547945205484</v>
      </c>
      <c r="E69" s="564">
        <v>0.9992009132420091</v>
      </c>
      <c r="F69" s="564">
        <v>0.99851598173515976</v>
      </c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  <c r="Y69" s="564"/>
      <c r="Z69" s="564"/>
      <c r="AA69" s="564"/>
      <c r="AB69" s="564"/>
      <c r="AC69" s="564"/>
      <c r="AD69" s="564"/>
      <c r="AE69" s="564"/>
      <c r="AF69" s="564"/>
      <c r="AG69" s="564"/>
      <c r="AH69" s="564"/>
      <c r="AI69" s="564"/>
      <c r="AJ69" s="564"/>
      <c r="AK69" s="564"/>
      <c r="AL69" s="564"/>
      <c r="AM69" s="564"/>
      <c r="AN69" s="564"/>
      <c r="AO69" s="564"/>
    </row>
    <row r="70" spans="2:41" x14ac:dyDescent="0.15">
      <c r="B70" s="565">
        <v>26</v>
      </c>
      <c r="C70" s="564">
        <v>0.99372146118721461</v>
      </c>
      <c r="D70" s="564">
        <v>0.99691780821917808</v>
      </c>
      <c r="E70" s="564">
        <v>0.99965753424657533</v>
      </c>
      <c r="F70" s="564">
        <v>0.99954337899543377</v>
      </c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  <c r="Y70" s="564"/>
      <c r="Z70" s="564"/>
      <c r="AA70" s="564"/>
      <c r="AB70" s="564"/>
      <c r="AC70" s="564"/>
      <c r="AD70" s="564"/>
      <c r="AE70" s="564"/>
      <c r="AF70" s="564"/>
      <c r="AG70" s="564"/>
      <c r="AH70" s="564"/>
      <c r="AI70" s="564"/>
      <c r="AJ70" s="564"/>
      <c r="AK70" s="564"/>
      <c r="AL70" s="564"/>
      <c r="AM70" s="564"/>
      <c r="AN70" s="564"/>
      <c r="AO70" s="564"/>
    </row>
    <row r="71" spans="2:41" x14ac:dyDescent="0.15">
      <c r="B71" s="565">
        <v>27</v>
      </c>
      <c r="C71" s="564">
        <v>0.99668949771689497</v>
      </c>
      <c r="D71" s="564">
        <v>0.99840182648401832</v>
      </c>
      <c r="E71" s="564">
        <v>1</v>
      </c>
      <c r="F71" s="564">
        <v>1</v>
      </c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  <c r="AA71" s="564"/>
      <c r="AB71" s="564"/>
      <c r="AC71" s="564"/>
      <c r="AD71" s="564"/>
      <c r="AE71" s="564"/>
      <c r="AF71" s="564"/>
      <c r="AG71" s="564"/>
      <c r="AH71" s="564"/>
      <c r="AI71" s="564"/>
      <c r="AJ71" s="564"/>
      <c r="AK71" s="564"/>
      <c r="AL71" s="564"/>
      <c r="AM71" s="564"/>
      <c r="AN71" s="564"/>
      <c r="AO71" s="564"/>
    </row>
    <row r="72" spans="2:41" x14ac:dyDescent="0.15">
      <c r="B72" s="565">
        <v>28</v>
      </c>
      <c r="C72" s="564">
        <v>0.99874429223744288</v>
      </c>
      <c r="D72" s="564">
        <v>0.9992009132420091</v>
      </c>
      <c r="E72" s="564">
        <v>1</v>
      </c>
      <c r="F72" s="564">
        <v>1</v>
      </c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  <c r="AB72" s="564"/>
      <c r="AC72" s="564"/>
      <c r="AD72" s="564"/>
      <c r="AE72" s="564"/>
      <c r="AF72" s="564"/>
      <c r="AG72" s="564"/>
      <c r="AH72" s="564"/>
      <c r="AI72" s="564"/>
      <c r="AJ72" s="564"/>
      <c r="AK72" s="564"/>
      <c r="AL72" s="564"/>
      <c r="AM72" s="564"/>
      <c r="AN72" s="564"/>
      <c r="AO72" s="564"/>
    </row>
    <row r="73" spans="2:41" x14ac:dyDescent="0.15">
      <c r="B73" s="565">
        <v>29</v>
      </c>
      <c r="C73" s="564">
        <v>0.99965753424657533</v>
      </c>
      <c r="D73" s="564">
        <v>0.99977168949771689</v>
      </c>
      <c r="E73" s="564">
        <v>1</v>
      </c>
      <c r="F73" s="564">
        <v>1</v>
      </c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  <c r="AA73" s="564"/>
      <c r="AB73" s="564"/>
      <c r="AC73" s="564"/>
      <c r="AD73" s="564"/>
      <c r="AE73" s="564"/>
      <c r="AF73" s="564"/>
      <c r="AG73" s="564"/>
      <c r="AH73" s="564"/>
      <c r="AI73" s="564"/>
      <c r="AJ73" s="564"/>
      <c r="AK73" s="564"/>
      <c r="AL73" s="564"/>
      <c r="AM73" s="564"/>
      <c r="AN73" s="564"/>
      <c r="AO73" s="564"/>
    </row>
    <row r="74" spans="2:41" x14ac:dyDescent="0.15">
      <c r="B74" s="565">
        <v>30</v>
      </c>
      <c r="C74" s="564">
        <v>1</v>
      </c>
      <c r="D74" s="564">
        <v>1</v>
      </c>
      <c r="E74" s="564">
        <v>1</v>
      </c>
      <c r="F74" s="564">
        <v>1</v>
      </c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  <c r="AA74" s="564"/>
      <c r="AB74" s="564"/>
      <c r="AC74" s="564"/>
      <c r="AD74" s="564"/>
      <c r="AE74" s="564"/>
      <c r="AF74" s="564"/>
      <c r="AG74" s="564"/>
      <c r="AH74" s="564"/>
      <c r="AI74" s="564"/>
      <c r="AJ74" s="564"/>
      <c r="AK74" s="564"/>
      <c r="AL74" s="564"/>
      <c r="AM74" s="564"/>
      <c r="AN74" s="564"/>
      <c r="AO74" s="564"/>
    </row>
    <row r="75" spans="2:41" x14ac:dyDescent="0.15">
      <c r="B75" s="565">
        <v>31</v>
      </c>
      <c r="C75" s="564">
        <v>1</v>
      </c>
      <c r="D75" s="564">
        <v>1</v>
      </c>
      <c r="E75" s="564">
        <v>1</v>
      </c>
      <c r="F75" s="564">
        <v>1</v>
      </c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  <c r="Y75" s="564"/>
      <c r="Z75" s="564"/>
      <c r="AA75" s="564"/>
      <c r="AB75" s="564"/>
      <c r="AC75" s="564"/>
      <c r="AD75" s="564"/>
      <c r="AE75" s="564"/>
      <c r="AF75" s="564"/>
      <c r="AG75" s="564"/>
      <c r="AH75" s="564"/>
      <c r="AI75" s="564"/>
      <c r="AJ75" s="564"/>
      <c r="AK75" s="564"/>
      <c r="AL75" s="564"/>
      <c r="AM75" s="564"/>
      <c r="AN75" s="564"/>
      <c r="AO75" s="564"/>
    </row>
    <row r="76" spans="2:41" x14ac:dyDescent="0.15">
      <c r="B76" s="565">
        <v>32</v>
      </c>
      <c r="C76" s="564">
        <v>1</v>
      </c>
      <c r="D76" s="564">
        <v>1</v>
      </c>
      <c r="E76" s="564">
        <v>1</v>
      </c>
      <c r="F76" s="564">
        <v>1</v>
      </c>
      <c r="G76" s="564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  <c r="Y76" s="564"/>
      <c r="Z76" s="564"/>
      <c r="AA76" s="564"/>
      <c r="AB76" s="564"/>
      <c r="AC76" s="564"/>
      <c r="AD76" s="564"/>
      <c r="AE76" s="564"/>
      <c r="AF76" s="564"/>
      <c r="AG76" s="564"/>
      <c r="AH76" s="564"/>
      <c r="AI76" s="564"/>
      <c r="AJ76" s="564"/>
      <c r="AK76" s="564"/>
      <c r="AL76" s="564"/>
      <c r="AM76" s="564"/>
      <c r="AN76" s="564"/>
      <c r="AO76" s="564"/>
    </row>
    <row r="77" spans="2:41" x14ac:dyDescent="0.15">
      <c r="B77" s="565">
        <v>33</v>
      </c>
      <c r="C77" s="564">
        <v>1</v>
      </c>
      <c r="D77" s="564">
        <v>1</v>
      </c>
      <c r="E77" s="564">
        <v>1</v>
      </c>
      <c r="F77" s="564">
        <v>1</v>
      </c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  <c r="Y77" s="564"/>
      <c r="Z77" s="564"/>
      <c r="AA77" s="564"/>
      <c r="AB77" s="564"/>
      <c r="AC77" s="564"/>
      <c r="AD77" s="564"/>
      <c r="AE77" s="564"/>
      <c r="AF77" s="564"/>
      <c r="AG77" s="564"/>
      <c r="AH77" s="564"/>
      <c r="AI77" s="564"/>
      <c r="AJ77" s="564"/>
      <c r="AK77" s="564"/>
      <c r="AL77" s="564"/>
      <c r="AM77" s="564"/>
      <c r="AN77" s="564"/>
      <c r="AO77" s="564"/>
    </row>
    <row r="78" spans="2:41" x14ac:dyDescent="0.15">
      <c r="B78" s="565">
        <v>34</v>
      </c>
      <c r="C78" s="564">
        <v>1</v>
      </c>
      <c r="D78" s="564">
        <v>1</v>
      </c>
      <c r="E78" s="564">
        <v>1</v>
      </c>
      <c r="F78" s="564">
        <v>1</v>
      </c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  <c r="AB78" s="564"/>
      <c r="AC78" s="564"/>
      <c r="AD78" s="564"/>
      <c r="AE78" s="564"/>
      <c r="AF78" s="564"/>
      <c r="AG78" s="564"/>
      <c r="AH78" s="564"/>
      <c r="AI78" s="564"/>
      <c r="AJ78" s="564"/>
      <c r="AK78" s="564"/>
      <c r="AL78" s="564"/>
      <c r="AM78" s="564"/>
      <c r="AN78" s="564"/>
      <c r="AO78" s="564"/>
    </row>
    <row r="79" spans="2:41" x14ac:dyDescent="0.15">
      <c r="B79" s="565">
        <v>35</v>
      </c>
      <c r="C79" s="564">
        <v>1</v>
      </c>
      <c r="D79" s="564">
        <v>1</v>
      </c>
      <c r="E79" s="564">
        <v>1</v>
      </c>
      <c r="F79" s="564">
        <v>1</v>
      </c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  <c r="AB79" s="564"/>
      <c r="AC79" s="564"/>
      <c r="AD79" s="564"/>
      <c r="AE79" s="564"/>
      <c r="AF79" s="564"/>
      <c r="AG79" s="564"/>
      <c r="AH79" s="564"/>
      <c r="AI79" s="564"/>
      <c r="AJ79" s="564"/>
      <c r="AK79" s="564"/>
      <c r="AL79" s="564"/>
      <c r="AM79" s="564"/>
      <c r="AN79" s="564"/>
      <c r="AO79" s="564"/>
    </row>
    <row r="80" spans="2:41" x14ac:dyDescent="0.15">
      <c r="B80" s="565">
        <v>36</v>
      </c>
      <c r="C80" s="564">
        <v>1</v>
      </c>
      <c r="D80" s="564">
        <v>1</v>
      </c>
      <c r="E80" s="564">
        <v>1</v>
      </c>
      <c r="F80" s="564">
        <v>1</v>
      </c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  <c r="AA80" s="564"/>
      <c r="AB80" s="564"/>
      <c r="AC80" s="564"/>
      <c r="AD80" s="564"/>
      <c r="AE80" s="564"/>
      <c r="AF80" s="564"/>
      <c r="AG80" s="564"/>
      <c r="AH80" s="564"/>
      <c r="AI80" s="564"/>
      <c r="AJ80" s="564"/>
      <c r="AK80" s="564"/>
      <c r="AL80" s="564"/>
      <c r="AM80" s="564"/>
      <c r="AN80" s="564"/>
      <c r="AO80" s="564"/>
    </row>
    <row r="81" spans="2:41" x14ac:dyDescent="0.15">
      <c r="B81" s="565">
        <v>37</v>
      </c>
      <c r="C81" s="564">
        <v>1</v>
      </c>
      <c r="D81" s="564">
        <v>1</v>
      </c>
      <c r="E81" s="564">
        <v>1</v>
      </c>
      <c r="F81" s="564">
        <v>1</v>
      </c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  <c r="AA81" s="564"/>
      <c r="AB81" s="564"/>
      <c r="AC81" s="564"/>
      <c r="AD81" s="564"/>
      <c r="AE81" s="564"/>
      <c r="AF81" s="564"/>
      <c r="AG81" s="564"/>
      <c r="AH81" s="564"/>
      <c r="AI81" s="564"/>
      <c r="AJ81" s="564"/>
      <c r="AK81" s="564"/>
      <c r="AL81" s="564"/>
      <c r="AM81" s="564"/>
      <c r="AN81" s="564"/>
      <c r="AO81" s="564"/>
    </row>
    <row r="82" spans="2:41" x14ac:dyDescent="0.15">
      <c r="B82" s="565">
        <v>38</v>
      </c>
      <c r="C82" s="564">
        <v>1</v>
      </c>
      <c r="D82" s="564">
        <v>1</v>
      </c>
      <c r="E82" s="564">
        <v>1</v>
      </c>
      <c r="F82" s="564">
        <v>1</v>
      </c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  <c r="Y82" s="564"/>
      <c r="Z82" s="564"/>
      <c r="AA82" s="564"/>
      <c r="AB82" s="564"/>
      <c r="AC82" s="564"/>
      <c r="AD82" s="564"/>
      <c r="AE82" s="564"/>
      <c r="AF82" s="564"/>
      <c r="AG82" s="564"/>
      <c r="AH82" s="564"/>
      <c r="AI82" s="564"/>
      <c r="AJ82" s="564"/>
      <c r="AK82" s="564"/>
      <c r="AL82" s="564"/>
      <c r="AM82" s="564"/>
      <c r="AN82" s="564"/>
      <c r="AO82" s="564"/>
    </row>
    <row r="83" spans="2:41" x14ac:dyDescent="0.15">
      <c r="B83" s="565">
        <v>39</v>
      </c>
      <c r="C83" s="564">
        <v>1</v>
      </c>
      <c r="D83" s="564">
        <v>1</v>
      </c>
      <c r="E83" s="564">
        <v>1</v>
      </c>
      <c r="F83" s="564">
        <v>1</v>
      </c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  <c r="Y83" s="564"/>
      <c r="Z83" s="564"/>
      <c r="AA83" s="564"/>
      <c r="AB83" s="564"/>
      <c r="AC83" s="564"/>
      <c r="AD83" s="564"/>
      <c r="AE83" s="564"/>
      <c r="AF83" s="564"/>
      <c r="AG83" s="564"/>
      <c r="AH83" s="564"/>
      <c r="AI83" s="564"/>
      <c r="AJ83" s="564"/>
      <c r="AK83" s="564"/>
      <c r="AL83" s="564"/>
      <c r="AM83" s="564"/>
      <c r="AN83" s="564"/>
      <c r="AO83" s="564"/>
    </row>
    <row r="84" spans="2:41" x14ac:dyDescent="0.15">
      <c r="B84" s="566">
        <v>40</v>
      </c>
      <c r="C84" s="564">
        <v>1</v>
      </c>
      <c r="D84" s="564">
        <v>1</v>
      </c>
      <c r="E84" s="564">
        <v>1</v>
      </c>
      <c r="F84" s="564">
        <v>1</v>
      </c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  <c r="Y84" s="564"/>
      <c r="Z84" s="564"/>
      <c r="AA84" s="564"/>
      <c r="AB84" s="564"/>
      <c r="AC84" s="564"/>
      <c r="AD84" s="564"/>
      <c r="AE84" s="564"/>
      <c r="AF84" s="564"/>
      <c r="AG84" s="564"/>
      <c r="AH84" s="564"/>
      <c r="AI84" s="564"/>
      <c r="AJ84" s="564"/>
      <c r="AK84" s="564"/>
      <c r="AL84" s="564"/>
      <c r="AM84" s="564"/>
      <c r="AN84" s="564"/>
      <c r="AO84" s="564"/>
    </row>
    <row r="93" spans="2:41" s="561" customFormat="1" ht="28" x14ac:dyDescent="0.15">
      <c r="B93" s="558" t="str" cm="1">
        <f t="array" ref="B93:AO93">TRANSPOSE('Syötä kaupungit KIRJASTOLIN_ENT'!$C$1:$C$40)</f>
        <v>MAA 2</v>
      </c>
      <c r="C93" s="562" t="str">
        <v>SWE - Stockholm</v>
      </c>
      <c r="D93" s="562">
        <v>0</v>
      </c>
      <c r="E93" s="562">
        <v>0</v>
      </c>
      <c r="F93" s="562">
        <v>0</v>
      </c>
      <c r="G93" s="562">
        <v>0</v>
      </c>
      <c r="H93" s="562">
        <v>0</v>
      </c>
      <c r="I93" s="562">
        <v>0</v>
      </c>
      <c r="J93" s="562">
        <v>0</v>
      </c>
      <c r="K93" s="562">
        <v>0</v>
      </c>
      <c r="L93" s="562">
        <v>0</v>
      </c>
      <c r="M93" s="562">
        <v>0</v>
      </c>
      <c r="N93" s="562">
        <v>0</v>
      </c>
      <c r="O93" s="562">
        <v>0</v>
      </c>
      <c r="P93" s="562">
        <v>0</v>
      </c>
      <c r="Q93" s="562">
        <v>0</v>
      </c>
      <c r="R93" s="562">
        <v>0</v>
      </c>
      <c r="S93" s="562">
        <v>0</v>
      </c>
      <c r="T93" s="562">
        <v>0</v>
      </c>
      <c r="U93" s="562">
        <v>0</v>
      </c>
      <c r="V93" s="562">
        <v>0</v>
      </c>
      <c r="W93" s="562">
        <v>0</v>
      </c>
      <c r="X93" s="562">
        <v>0</v>
      </c>
      <c r="Y93" s="562">
        <v>0</v>
      </c>
      <c r="Z93" s="562">
        <v>0</v>
      </c>
      <c r="AA93" s="562">
        <v>0</v>
      </c>
      <c r="AB93" s="562">
        <v>0</v>
      </c>
      <c r="AC93" s="562">
        <v>0</v>
      </c>
      <c r="AD93" s="562">
        <v>0</v>
      </c>
      <c r="AE93" s="562">
        <v>0</v>
      </c>
      <c r="AF93" s="562">
        <v>0</v>
      </c>
      <c r="AG93" s="562">
        <v>0</v>
      </c>
      <c r="AH93" s="562">
        <v>0</v>
      </c>
      <c r="AI93" s="562">
        <v>0</v>
      </c>
      <c r="AJ93" s="562">
        <v>0</v>
      </c>
      <c r="AK93" s="562">
        <v>0</v>
      </c>
      <c r="AL93" s="562">
        <v>0</v>
      </c>
      <c r="AM93" s="562">
        <v>0</v>
      </c>
      <c r="AN93" s="562">
        <v>0</v>
      </c>
      <c r="AO93" s="562">
        <v>0</v>
      </c>
    </row>
    <row r="94" spans="2:41" x14ac:dyDescent="0.15">
      <c r="B94" s="563">
        <v>-40</v>
      </c>
      <c r="C94" s="564">
        <v>0</v>
      </c>
      <c r="D94" s="564"/>
      <c r="E94" s="564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  <c r="Y94" s="564"/>
      <c r="Z94" s="564"/>
      <c r="AA94" s="564"/>
      <c r="AB94" s="564"/>
      <c r="AC94" s="564"/>
      <c r="AD94" s="564"/>
      <c r="AE94" s="564"/>
      <c r="AF94" s="564"/>
      <c r="AG94" s="564"/>
      <c r="AH94" s="564"/>
      <c r="AI94" s="564"/>
      <c r="AJ94" s="564"/>
      <c r="AK94" s="564"/>
      <c r="AL94" s="564"/>
      <c r="AM94" s="564"/>
      <c r="AN94" s="564"/>
      <c r="AO94" s="564"/>
    </row>
    <row r="95" spans="2:41" x14ac:dyDescent="0.15">
      <c r="B95" s="565">
        <v>-39</v>
      </c>
      <c r="C95" s="564">
        <v>0</v>
      </c>
      <c r="D95" s="564"/>
      <c r="E95" s="564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  <c r="Y95" s="564"/>
      <c r="Z95" s="564"/>
      <c r="AA95" s="564"/>
      <c r="AB95" s="564"/>
      <c r="AC95" s="564"/>
      <c r="AD95" s="564"/>
      <c r="AE95" s="564"/>
      <c r="AF95" s="564"/>
      <c r="AG95" s="564"/>
      <c r="AH95" s="564"/>
      <c r="AI95" s="564"/>
      <c r="AJ95" s="564"/>
      <c r="AK95" s="564"/>
      <c r="AL95" s="564"/>
      <c r="AM95" s="564"/>
      <c r="AN95" s="564"/>
      <c r="AO95" s="564"/>
    </row>
    <row r="96" spans="2:41" x14ac:dyDescent="0.15">
      <c r="B96" s="565">
        <v>-38</v>
      </c>
      <c r="C96" s="564">
        <v>0</v>
      </c>
      <c r="D96" s="564"/>
      <c r="E96" s="564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  <c r="Y96" s="564"/>
      <c r="Z96" s="564"/>
      <c r="AA96" s="564"/>
      <c r="AB96" s="564"/>
      <c r="AC96" s="564"/>
      <c r="AD96" s="564"/>
      <c r="AE96" s="564"/>
      <c r="AF96" s="564"/>
      <c r="AG96" s="564"/>
      <c r="AH96" s="564"/>
      <c r="AI96" s="564"/>
      <c r="AJ96" s="564"/>
      <c r="AK96" s="564"/>
      <c r="AL96" s="564"/>
      <c r="AM96" s="564"/>
      <c r="AN96" s="564"/>
      <c r="AO96" s="564"/>
    </row>
    <row r="97" spans="2:41" x14ac:dyDescent="0.15">
      <c r="B97" s="565">
        <v>-37</v>
      </c>
      <c r="C97" s="564">
        <v>0</v>
      </c>
      <c r="D97" s="564"/>
      <c r="E97" s="564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  <c r="Y97" s="564"/>
      <c r="Z97" s="564"/>
      <c r="AA97" s="564"/>
      <c r="AB97" s="564"/>
      <c r="AC97" s="564"/>
      <c r="AD97" s="564"/>
      <c r="AE97" s="564"/>
      <c r="AF97" s="564"/>
      <c r="AG97" s="564"/>
      <c r="AH97" s="564"/>
      <c r="AI97" s="564"/>
      <c r="AJ97" s="564"/>
      <c r="AK97" s="564"/>
      <c r="AL97" s="564"/>
      <c r="AM97" s="564"/>
      <c r="AN97" s="564"/>
      <c r="AO97" s="564"/>
    </row>
    <row r="98" spans="2:41" x14ac:dyDescent="0.15">
      <c r="B98" s="565">
        <v>-36</v>
      </c>
      <c r="C98" s="564">
        <v>0</v>
      </c>
      <c r="D98" s="564"/>
      <c r="E98" s="564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  <c r="Y98" s="564"/>
      <c r="Z98" s="564"/>
      <c r="AA98" s="564"/>
      <c r="AB98" s="564"/>
      <c r="AC98" s="564"/>
      <c r="AD98" s="564"/>
      <c r="AE98" s="564"/>
      <c r="AF98" s="564"/>
      <c r="AG98" s="564"/>
      <c r="AH98" s="564"/>
      <c r="AI98" s="564"/>
      <c r="AJ98" s="564"/>
      <c r="AK98" s="564"/>
      <c r="AL98" s="564"/>
      <c r="AM98" s="564"/>
      <c r="AN98" s="564"/>
      <c r="AO98" s="564"/>
    </row>
    <row r="99" spans="2:41" x14ac:dyDescent="0.15">
      <c r="B99" s="565">
        <v>-35</v>
      </c>
      <c r="C99" s="564">
        <v>0</v>
      </c>
      <c r="D99" s="564"/>
      <c r="E99" s="564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  <c r="Y99" s="564"/>
      <c r="Z99" s="564"/>
      <c r="AA99" s="564"/>
      <c r="AB99" s="564"/>
      <c r="AC99" s="564"/>
      <c r="AD99" s="564"/>
      <c r="AE99" s="564"/>
      <c r="AF99" s="564"/>
      <c r="AG99" s="564"/>
      <c r="AH99" s="564"/>
      <c r="AI99" s="564"/>
      <c r="AJ99" s="564"/>
      <c r="AK99" s="564"/>
      <c r="AL99" s="564"/>
      <c r="AM99" s="564"/>
      <c r="AN99" s="564"/>
      <c r="AO99" s="564"/>
    </row>
    <row r="100" spans="2:41" x14ac:dyDescent="0.15">
      <c r="B100" s="565">
        <v>-34</v>
      </c>
      <c r="C100" s="564">
        <v>0</v>
      </c>
      <c r="D100" s="564"/>
      <c r="E100" s="564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  <c r="Y100" s="564"/>
      <c r="Z100" s="564"/>
      <c r="AA100" s="564"/>
      <c r="AB100" s="564"/>
      <c r="AC100" s="564"/>
      <c r="AD100" s="564"/>
      <c r="AE100" s="564"/>
      <c r="AF100" s="564"/>
      <c r="AG100" s="564"/>
      <c r="AH100" s="564"/>
      <c r="AI100" s="564"/>
      <c r="AJ100" s="564"/>
      <c r="AK100" s="564"/>
      <c r="AL100" s="564"/>
      <c r="AM100" s="564"/>
      <c r="AN100" s="564"/>
      <c r="AO100" s="564"/>
    </row>
    <row r="101" spans="2:41" x14ac:dyDescent="0.15">
      <c r="B101" s="565">
        <v>-33</v>
      </c>
      <c r="C101" s="564">
        <v>0</v>
      </c>
      <c r="D101" s="564"/>
      <c r="E101" s="564"/>
      <c r="F101" s="564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  <c r="Y101" s="564"/>
      <c r="Z101" s="564"/>
      <c r="AA101" s="564"/>
      <c r="AB101" s="564"/>
      <c r="AC101" s="564"/>
      <c r="AD101" s="564"/>
      <c r="AE101" s="564"/>
      <c r="AF101" s="564"/>
      <c r="AG101" s="564"/>
      <c r="AH101" s="564"/>
      <c r="AI101" s="564"/>
      <c r="AJ101" s="564"/>
      <c r="AK101" s="564"/>
      <c r="AL101" s="564"/>
      <c r="AM101" s="564"/>
      <c r="AN101" s="564"/>
      <c r="AO101" s="564"/>
    </row>
    <row r="102" spans="2:41" x14ac:dyDescent="0.15">
      <c r="B102" s="565">
        <v>-32</v>
      </c>
      <c r="C102" s="564">
        <v>0</v>
      </c>
      <c r="D102" s="564"/>
      <c r="E102" s="564"/>
      <c r="F102" s="564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  <c r="AA102" s="564"/>
      <c r="AB102" s="564"/>
      <c r="AC102" s="564"/>
      <c r="AD102" s="564"/>
      <c r="AE102" s="564"/>
      <c r="AF102" s="564"/>
      <c r="AG102" s="564"/>
      <c r="AH102" s="564"/>
      <c r="AI102" s="564"/>
      <c r="AJ102" s="564"/>
      <c r="AK102" s="564"/>
      <c r="AL102" s="564"/>
      <c r="AM102" s="564"/>
      <c r="AN102" s="564"/>
      <c r="AO102" s="564"/>
    </row>
    <row r="103" spans="2:41" x14ac:dyDescent="0.15">
      <c r="B103" s="565">
        <v>-31</v>
      </c>
      <c r="C103" s="564">
        <v>0</v>
      </c>
      <c r="D103" s="564"/>
      <c r="E103" s="564"/>
      <c r="F103" s="564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  <c r="Y103" s="564"/>
      <c r="Z103" s="564"/>
      <c r="AA103" s="564"/>
      <c r="AB103" s="564"/>
      <c r="AC103" s="564"/>
      <c r="AD103" s="564"/>
      <c r="AE103" s="564"/>
      <c r="AF103" s="564"/>
      <c r="AG103" s="564"/>
      <c r="AH103" s="564"/>
      <c r="AI103" s="564"/>
      <c r="AJ103" s="564"/>
      <c r="AK103" s="564"/>
      <c r="AL103" s="564"/>
      <c r="AM103" s="564"/>
      <c r="AN103" s="564"/>
      <c r="AO103" s="564"/>
    </row>
    <row r="104" spans="2:41" x14ac:dyDescent="0.15">
      <c r="B104" s="565">
        <v>-30</v>
      </c>
      <c r="C104" s="564">
        <v>0</v>
      </c>
      <c r="D104" s="564"/>
      <c r="E104" s="564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  <c r="Y104" s="564"/>
      <c r="Z104" s="564"/>
      <c r="AA104" s="564"/>
      <c r="AB104" s="564"/>
      <c r="AC104" s="564"/>
      <c r="AD104" s="564"/>
      <c r="AE104" s="564"/>
      <c r="AF104" s="564"/>
      <c r="AG104" s="564"/>
      <c r="AH104" s="564"/>
      <c r="AI104" s="564"/>
      <c r="AJ104" s="564"/>
      <c r="AK104" s="564"/>
      <c r="AL104" s="564"/>
      <c r="AM104" s="564"/>
      <c r="AN104" s="564"/>
      <c r="AO104" s="564"/>
    </row>
    <row r="105" spans="2:41" x14ac:dyDescent="0.15">
      <c r="B105" s="565">
        <v>-29</v>
      </c>
      <c r="C105" s="564">
        <v>0</v>
      </c>
      <c r="D105" s="564"/>
      <c r="E105" s="564"/>
      <c r="F105" s="564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  <c r="Y105" s="564"/>
      <c r="Z105" s="564"/>
      <c r="AA105" s="564"/>
      <c r="AB105" s="564"/>
      <c r="AC105" s="564"/>
      <c r="AD105" s="564"/>
      <c r="AE105" s="564"/>
      <c r="AF105" s="564"/>
      <c r="AG105" s="564"/>
      <c r="AH105" s="564"/>
      <c r="AI105" s="564"/>
      <c r="AJ105" s="564"/>
      <c r="AK105" s="564"/>
      <c r="AL105" s="564"/>
      <c r="AM105" s="564"/>
      <c r="AN105" s="564"/>
      <c r="AO105" s="564"/>
    </row>
    <row r="106" spans="2:41" x14ac:dyDescent="0.15">
      <c r="B106" s="565">
        <v>-28</v>
      </c>
      <c r="C106" s="564">
        <v>0</v>
      </c>
      <c r="D106" s="564"/>
      <c r="E106" s="564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  <c r="Y106" s="564"/>
      <c r="Z106" s="564"/>
      <c r="AA106" s="564"/>
      <c r="AB106" s="564"/>
      <c r="AC106" s="564"/>
      <c r="AD106" s="564"/>
      <c r="AE106" s="564"/>
      <c r="AF106" s="564"/>
      <c r="AG106" s="564"/>
      <c r="AH106" s="564"/>
      <c r="AI106" s="564"/>
      <c r="AJ106" s="564"/>
      <c r="AK106" s="564"/>
      <c r="AL106" s="564"/>
      <c r="AM106" s="564"/>
      <c r="AN106" s="564"/>
      <c r="AO106" s="564"/>
    </row>
    <row r="107" spans="2:41" x14ac:dyDescent="0.15">
      <c r="B107" s="565">
        <v>-27</v>
      </c>
      <c r="C107" s="564">
        <v>0</v>
      </c>
      <c r="D107" s="564"/>
      <c r="E107" s="564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  <c r="Y107" s="564"/>
      <c r="Z107" s="564"/>
      <c r="AA107" s="564"/>
      <c r="AB107" s="564"/>
      <c r="AC107" s="564"/>
      <c r="AD107" s="564"/>
      <c r="AE107" s="564"/>
      <c r="AF107" s="564"/>
      <c r="AG107" s="564"/>
      <c r="AH107" s="564"/>
      <c r="AI107" s="564"/>
      <c r="AJ107" s="564"/>
      <c r="AK107" s="564"/>
      <c r="AL107" s="564"/>
      <c r="AM107" s="564"/>
      <c r="AN107" s="564"/>
      <c r="AO107" s="564"/>
    </row>
    <row r="108" spans="2:41" x14ac:dyDescent="0.15">
      <c r="B108" s="565">
        <v>-26</v>
      </c>
      <c r="C108" s="564">
        <v>0</v>
      </c>
      <c r="D108" s="564"/>
      <c r="E108" s="564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  <c r="Y108" s="564"/>
      <c r="Z108" s="564"/>
      <c r="AA108" s="564"/>
      <c r="AB108" s="564"/>
      <c r="AC108" s="564"/>
      <c r="AD108" s="564"/>
      <c r="AE108" s="564"/>
      <c r="AF108" s="564"/>
      <c r="AG108" s="564"/>
      <c r="AH108" s="564"/>
      <c r="AI108" s="564"/>
      <c r="AJ108" s="564"/>
      <c r="AK108" s="564"/>
      <c r="AL108" s="564"/>
      <c r="AM108" s="564"/>
      <c r="AN108" s="564"/>
      <c r="AO108" s="564"/>
    </row>
    <row r="109" spans="2:41" x14ac:dyDescent="0.15">
      <c r="B109" s="565">
        <v>-25</v>
      </c>
      <c r="C109" s="564">
        <v>0</v>
      </c>
      <c r="D109" s="564"/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  <c r="Y109" s="564"/>
      <c r="Z109" s="564"/>
      <c r="AA109" s="564"/>
      <c r="AB109" s="564"/>
      <c r="AC109" s="564"/>
      <c r="AD109" s="564"/>
      <c r="AE109" s="564"/>
      <c r="AF109" s="564"/>
      <c r="AG109" s="564"/>
      <c r="AH109" s="564"/>
      <c r="AI109" s="564"/>
      <c r="AJ109" s="564"/>
      <c r="AK109" s="564"/>
      <c r="AL109" s="564"/>
      <c r="AM109" s="564"/>
      <c r="AN109" s="564"/>
      <c r="AO109" s="564"/>
    </row>
    <row r="110" spans="2:41" x14ac:dyDescent="0.15">
      <c r="B110" s="565">
        <v>-24</v>
      </c>
      <c r="C110" s="564">
        <v>0</v>
      </c>
      <c r="D110" s="564"/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  <c r="Y110" s="564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564"/>
      <c r="AM110" s="564"/>
      <c r="AN110" s="564"/>
      <c r="AO110" s="564"/>
    </row>
    <row r="111" spans="2:41" x14ac:dyDescent="0.15">
      <c r="B111" s="565">
        <v>-23</v>
      </c>
      <c r="C111" s="564">
        <v>0</v>
      </c>
      <c r="D111" s="564"/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  <c r="Y111" s="564"/>
      <c r="Z111" s="564"/>
      <c r="AA111" s="564"/>
      <c r="AB111" s="564"/>
      <c r="AC111" s="564"/>
      <c r="AD111" s="564"/>
      <c r="AE111" s="564"/>
      <c r="AF111" s="564"/>
      <c r="AG111" s="564"/>
      <c r="AH111" s="564"/>
      <c r="AI111" s="564"/>
      <c r="AJ111" s="564"/>
      <c r="AK111" s="564"/>
      <c r="AL111" s="564"/>
      <c r="AM111" s="564"/>
      <c r="AN111" s="564"/>
      <c r="AO111" s="564"/>
    </row>
    <row r="112" spans="2:41" x14ac:dyDescent="0.15">
      <c r="B112" s="565">
        <v>-22</v>
      </c>
      <c r="C112" s="564">
        <v>0</v>
      </c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  <c r="Y112" s="564"/>
      <c r="Z112" s="564"/>
      <c r="AA112" s="564"/>
      <c r="AB112" s="564"/>
      <c r="AC112" s="564"/>
      <c r="AD112" s="564"/>
      <c r="AE112" s="564"/>
      <c r="AF112" s="564"/>
      <c r="AG112" s="564"/>
      <c r="AH112" s="564"/>
      <c r="AI112" s="564"/>
      <c r="AJ112" s="564"/>
      <c r="AK112" s="564"/>
      <c r="AL112" s="564"/>
      <c r="AM112" s="564"/>
      <c r="AN112" s="564"/>
      <c r="AO112" s="564"/>
    </row>
    <row r="113" spans="2:41" x14ac:dyDescent="0.15">
      <c r="B113" s="565">
        <v>-21</v>
      </c>
      <c r="C113" s="564">
        <v>0</v>
      </c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  <c r="Y113" s="564"/>
      <c r="Z113" s="564"/>
      <c r="AA113" s="564"/>
      <c r="AB113" s="564"/>
      <c r="AC113" s="564"/>
      <c r="AD113" s="564"/>
      <c r="AE113" s="564"/>
      <c r="AF113" s="564"/>
      <c r="AG113" s="564"/>
      <c r="AH113" s="564"/>
      <c r="AI113" s="564"/>
      <c r="AJ113" s="564"/>
      <c r="AK113" s="564"/>
      <c r="AL113" s="564"/>
      <c r="AM113" s="564"/>
      <c r="AN113" s="564"/>
      <c r="AO113" s="564"/>
    </row>
    <row r="114" spans="2:41" x14ac:dyDescent="0.15">
      <c r="B114" s="565">
        <v>-20</v>
      </c>
      <c r="C114" s="564">
        <v>0</v>
      </c>
      <c r="D114" s="564"/>
      <c r="E114" s="564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  <c r="Y114" s="564"/>
      <c r="Z114" s="564"/>
      <c r="AA114" s="564"/>
      <c r="AB114" s="564"/>
      <c r="AC114" s="564"/>
      <c r="AD114" s="564"/>
      <c r="AE114" s="564"/>
      <c r="AF114" s="564"/>
      <c r="AG114" s="564"/>
      <c r="AH114" s="564"/>
      <c r="AI114" s="564"/>
      <c r="AJ114" s="564"/>
      <c r="AK114" s="564"/>
      <c r="AL114" s="564"/>
      <c r="AM114" s="564"/>
      <c r="AN114" s="564"/>
      <c r="AO114" s="564"/>
    </row>
    <row r="115" spans="2:41" x14ac:dyDescent="0.15">
      <c r="B115" s="565">
        <v>-19</v>
      </c>
      <c r="C115" s="564">
        <v>0</v>
      </c>
      <c r="D115" s="564"/>
      <c r="E115" s="564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  <c r="Y115" s="564"/>
      <c r="Z115" s="564"/>
      <c r="AA115" s="564"/>
      <c r="AB115" s="564"/>
      <c r="AC115" s="564"/>
      <c r="AD115" s="564"/>
      <c r="AE115" s="564"/>
      <c r="AF115" s="564"/>
      <c r="AG115" s="564"/>
      <c r="AH115" s="564"/>
      <c r="AI115" s="564"/>
      <c r="AJ115" s="564"/>
      <c r="AK115" s="564"/>
      <c r="AL115" s="564"/>
      <c r="AM115" s="564"/>
      <c r="AN115" s="564"/>
      <c r="AO115" s="564"/>
    </row>
    <row r="116" spans="2:41" x14ac:dyDescent="0.15">
      <c r="B116" s="565">
        <v>-18</v>
      </c>
      <c r="C116" s="564">
        <v>0</v>
      </c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  <c r="Y116" s="564"/>
      <c r="Z116" s="564"/>
      <c r="AA116" s="564"/>
      <c r="AB116" s="564"/>
      <c r="AC116" s="564"/>
      <c r="AD116" s="564"/>
      <c r="AE116" s="564"/>
      <c r="AF116" s="564"/>
      <c r="AG116" s="564"/>
      <c r="AH116" s="564"/>
      <c r="AI116" s="564"/>
      <c r="AJ116" s="564"/>
      <c r="AK116" s="564"/>
      <c r="AL116" s="564"/>
      <c r="AM116" s="564"/>
      <c r="AN116" s="564"/>
      <c r="AO116" s="564"/>
    </row>
    <row r="117" spans="2:41" x14ac:dyDescent="0.15">
      <c r="B117" s="565">
        <v>-17</v>
      </c>
      <c r="C117" s="564">
        <v>2.2831050228310502E-4</v>
      </c>
      <c r="D117" s="564"/>
      <c r="E117" s="564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  <c r="Y117" s="564"/>
      <c r="Z117" s="564"/>
      <c r="AA117" s="564"/>
      <c r="AB117" s="564"/>
      <c r="AC117" s="564"/>
      <c r="AD117" s="564"/>
      <c r="AE117" s="564"/>
      <c r="AF117" s="564"/>
      <c r="AG117" s="564"/>
      <c r="AH117" s="564"/>
      <c r="AI117" s="564"/>
      <c r="AJ117" s="564"/>
      <c r="AK117" s="564"/>
      <c r="AL117" s="564"/>
      <c r="AM117" s="564"/>
      <c r="AN117" s="564"/>
      <c r="AO117" s="564"/>
    </row>
    <row r="118" spans="2:41" x14ac:dyDescent="0.15">
      <c r="B118" s="565">
        <v>-16</v>
      </c>
      <c r="C118" s="564">
        <v>1.2557077625570776E-3</v>
      </c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  <c r="Y118" s="564"/>
      <c r="Z118" s="564"/>
      <c r="AA118" s="564"/>
      <c r="AB118" s="564"/>
      <c r="AC118" s="564"/>
      <c r="AD118" s="564"/>
      <c r="AE118" s="564"/>
      <c r="AF118" s="564"/>
      <c r="AG118" s="564"/>
      <c r="AH118" s="564"/>
      <c r="AI118" s="564"/>
      <c r="AJ118" s="564"/>
      <c r="AK118" s="564"/>
      <c r="AL118" s="564"/>
      <c r="AM118" s="564"/>
      <c r="AN118" s="564"/>
      <c r="AO118" s="564"/>
    </row>
    <row r="119" spans="2:41" x14ac:dyDescent="0.15">
      <c r="B119" s="565">
        <v>-15</v>
      </c>
      <c r="C119" s="564">
        <v>4.7945205479452057E-3</v>
      </c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  <c r="Y119" s="564"/>
      <c r="Z119" s="564"/>
      <c r="AA119" s="564"/>
      <c r="AB119" s="564"/>
      <c r="AC119" s="564"/>
      <c r="AD119" s="564"/>
      <c r="AE119" s="564"/>
      <c r="AF119" s="564"/>
      <c r="AG119" s="564"/>
      <c r="AH119" s="564"/>
      <c r="AI119" s="564"/>
      <c r="AJ119" s="564"/>
      <c r="AK119" s="564"/>
      <c r="AL119" s="564"/>
      <c r="AM119" s="564"/>
      <c r="AN119" s="564"/>
      <c r="AO119" s="564"/>
    </row>
    <row r="120" spans="2:41" x14ac:dyDescent="0.15">
      <c r="B120" s="565">
        <v>-14</v>
      </c>
      <c r="C120" s="564">
        <v>6.8493150684931503E-3</v>
      </c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  <c r="Y120" s="564"/>
      <c r="Z120" s="564"/>
      <c r="AA120" s="564"/>
      <c r="AB120" s="564"/>
      <c r="AC120" s="564"/>
      <c r="AD120" s="564"/>
      <c r="AE120" s="564"/>
      <c r="AF120" s="564"/>
      <c r="AG120" s="564"/>
      <c r="AH120" s="564"/>
      <c r="AI120" s="564"/>
      <c r="AJ120" s="564"/>
      <c r="AK120" s="564"/>
      <c r="AL120" s="564"/>
      <c r="AM120" s="564"/>
      <c r="AN120" s="564"/>
      <c r="AO120" s="564"/>
    </row>
    <row r="121" spans="2:41" x14ac:dyDescent="0.15">
      <c r="B121" s="565">
        <v>-13</v>
      </c>
      <c r="C121" s="564">
        <v>1.2557077625570776E-2</v>
      </c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  <c r="Y121" s="564"/>
      <c r="Z121" s="564"/>
      <c r="AA121" s="564"/>
      <c r="AB121" s="564"/>
      <c r="AC121" s="564"/>
      <c r="AD121" s="564"/>
      <c r="AE121" s="564"/>
      <c r="AF121" s="564"/>
      <c r="AG121" s="564"/>
      <c r="AH121" s="564"/>
      <c r="AI121" s="564"/>
      <c r="AJ121" s="564"/>
      <c r="AK121" s="564"/>
      <c r="AL121" s="564"/>
      <c r="AM121" s="564"/>
      <c r="AN121" s="564"/>
      <c r="AO121" s="564"/>
    </row>
    <row r="122" spans="2:41" x14ac:dyDescent="0.15">
      <c r="B122" s="565">
        <v>-12</v>
      </c>
      <c r="C122" s="564">
        <v>1.9748858447488585E-2</v>
      </c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  <c r="Y122" s="564"/>
      <c r="Z122" s="564"/>
      <c r="AA122" s="564"/>
      <c r="AB122" s="564"/>
      <c r="AC122" s="564"/>
      <c r="AD122" s="564"/>
      <c r="AE122" s="564"/>
      <c r="AF122" s="564"/>
      <c r="AG122" s="564"/>
      <c r="AH122" s="564"/>
      <c r="AI122" s="564"/>
      <c r="AJ122" s="564"/>
      <c r="AK122" s="564"/>
      <c r="AL122" s="564"/>
      <c r="AM122" s="564"/>
      <c r="AN122" s="564"/>
      <c r="AO122" s="564"/>
    </row>
    <row r="123" spans="2:41" x14ac:dyDescent="0.15">
      <c r="B123" s="565">
        <v>-11</v>
      </c>
      <c r="C123" s="564">
        <v>2.9223744292237442E-2</v>
      </c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  <c r="AB123" s="564"/>
      <c r="AC123" s="564"/>
      <c r="AD123" s="564"/>
      <c r="AE123" s="564"/>
      <c r="AF123" s="564"/>
      <c r="AG123" s="564"/>
      <c r="AH123" s="564"/>
      <c r="AI123" s="564"/>
      <c r="AJ123" s="564"/>
      <c r="AK123" s="564"/>
      <c r="AL123" s="564"/>
      <c r="AM123" s="564"/>
      <c r="AN123" s="564"/>
      <c r="AO123" s="564"/>
    </row>
    <row r="124" spans="2:41" x14ac:dyDescent="0.15">
      <c r="B124" s="565">
        <v>-10</v>
      </c>
      <c r="C124" s="564">
        <v>4.029680365296804E-2</v>
      </c>
      <c r="D124" s="564"/>
      <c r="E124" s="564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  <c r="Y124" s="564"/>
      <c r="Z124" s="564"/>
      <c r="AA124" s="564"/>
      <c r="AB124" s="564"/>
      <c r="AC124" s="564"/>
      <c r="AD124" s="564"/>
      <c r="AE124" s="564"/>
      <c r="AF124" s="564"/>
      <c r="AG124" s="564"/>
      <c r="AH124" s="564"/>
      <c r="AI124" s="564"/>
      <c r="AJ124" s="564"/>
      <c r="AK124" s="564"/>
      <c r="AL124" s="564"/>
      <c r="AM124" s="564"/>
      <c r="AN124" s="564"/>
      <c r="AO124" s="564"/>
    </row>
    <row r="125" spans="2:41" x14ac:dyDescent="0.15">
      <c r="B125" s="565">
        <v>-9</v>
      </c>
      <c r="C125" s="564">
        <v>4.8744292237442921E-2</v>
      </c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  <c r="Y125" s="564"/>
      <c r="Z125" s="564"/>
      <c r="AA125" s="564"/>
      <c r="AB125" s="564"/>
      <c r="AC125" s="564"/>
      <c r="AD125" s="564"/>
      <c r="AE125" s="564"/>
      <c r="AF125" s="564"/>
      <c r="AG125" s="564"/>
      <c r="AH125" s="564"/>
      <c r="AI125" s="564"/>
      <c r="AJ125" s="564"/>
      <c r="AK125" s="564"/>
      <c r="AL125" s="564"/>
      <c r="AM125" s="564"/>
      <c r="AN125" s="564"/>
      <c r="AO125" s="564"/>
    </row>
    <row r="126" spans="2:41" x14ac:dyDescent="0.15">
      <c r="B126" s="565">
        <v>-8</v>
      </c>
      <c r="C126" s="564">
        <v>6.2557077625570778E-2</v>
      </c>
      <c r="D126" s="564"/>
      <c r="E126" s="564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  <c r="Y126" s="564"/>
      <c r="Z126" s="564"/>
      <c r="AA126" s="564"/>
      <c r="AB126" s="564"/>
      <c r="AC126" s="564"/>
      <c r="AD126" s="564"/>
      <c r="AE126" s="564"/>
      <c r="AF126" s="564"/>
      <c r="AG126" s="564"/>
      <c r="AH126" s="564"/>
      <c r="AI126" s="564"/>
      <c r="AJ126" s="564"/>
      <c r="AK126" s="564"/>
      <c r="AL126" s="564"/>
      <c r="AM126" s="564"/>
      <c r="AN126" s="564"/>
      <c r="AO126" s="564"/>
    </row>
    <row r="127" spans="2:41" x14ac:dyDescent="0.15">
      <c r="B127" s="565">
        <v>-7</v>
      </c>
      <c r="C127" s="564">
        <v>8.4474885844748854E-2</v>
      </c>
      <c r="D127" s="564"/>
      <c r="E127" s="564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  <c r="Y127" s="564"/>
      <c r="Z127" s="564"/>
      <c r="AA127" s="564"/>
      <c r="AB127" s="564"/>
      <c r="AC127" s="564"/>
      <c r="AD127" s="564"/>
      <c r="AE127" s="564"/>
      <c r="AF127" s="564"/>
      <c r="AG127" s="564"/>
      <c r="AH127" s="564"/>
      <c r="AI127" s="564"/>
      <c r="AJ127" s="564"/>
      <c r="AK127" s="564"/>
      <c r="AL127" s="564"/>
      <c r="AM127" s="564"/>
      <c r="AN127" s="564"/>
      <c r="AO127" s="564"/>
    </row>
    <row r="128" spans="2:41" x14ac:dyDescent="0.15">
      <c r="B128" s="565">
        <v>-6</v>
      </c>
      <c r="C128" s="564">
        <v>0.10616438356164383</v>
      </c>
      <c r="D128" s="564"/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  <c r="Y128" s="564"/>
      <c r="Z128" s="564"/>
      <c r="AA128" s="564"/>
      <c r="AB128" s="564"/>
      <c r="AC128" s="564"/>
      <c r="AD128" s="564"/>
      <c r="AE128" s="564"/>
      <c r="AF128" s="564"/>
      <c r="AG128" s="564"/>
      <c r="AH128" s="564"/>
      <c r="AI128" s="564"/>
      <c r="AJ128" s="564"/>
      <c r="AK128" s="564"/>
      <c r="AL128" s="564"/>
      <c r="AM128" s="564"/>
      <c r="AN128" s="564"/>
      <c r="AO128" s="564"/>
    </row>
    <row r="129" spans="2:41" x14ac:dyDescent="0.15">
      <c r="B129" s="565">
        <v>-5</v>
      </c>
      <c r="C129" s="564">
        <v>0.13070776255707764</v>
      </c>
      <c r="D129" s="564"/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  <c r="AB129" s="564"/>
      <c r="AC129" s="564"/>
      <c r="AD129" s="564"/>
      <c r="AE129" s="564"/>
      <c r="AF129" s="564"/>
      <c r="AG129" s="564"/>
      <c r="AH129" s="564"/>
      <c r="AI129" s="564"/>
      <c r="AJ129" s="564"/>
      <c r="AK129" s="564"/>
      <c r="AL129" s="564"/>
      <c r="AM129" s="564"/>
      <c r="AN129" s="564"/>
      <c r="AO129" s="564"/>
    </row>
    <row r="130" spans="2:41" x14ac:dyDescent="0.15">
      <c r="B130" s="565">
        <v>-4</v>
      </c>
      <c r="C130" s="564">
        <v>0.14771689497716894</v>
      </c>
      <c r="D130" s="564"/>
      <c r="E130" s="564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  <c r="Y130" s="564"/>
      <c r="Z130" s="564"/>
      <c r="AA130" s="564"/>
      <c r="AB130" s="564"/>
      <c r="AC130" s="564"/>
      <c r="AD130" s="564"/>
      <c r="AE130" s="564"/>
      <c r="AF130" s="564"/>
      <c r="AG130" s="564"/>
      <c r="AH130" s="564"/>
      <c r="AI130" s="564"/>
      <c r="AJ130" s="564"/>
      <c r="AK130" s="564"/>
      <c r="AL130" s="564"/>
      <c r="AM130" s="564"/>
      <c r="AN130" s="564"/>
      <c r="AO130" s="564"/>
    </row>
    <row r="131" spans="2:41" x14ac:dyDescent="0.15">
      <c r="B131" s="565">
        <v>-3</v>
      </c>
      <c r="C131" s="564">
        <v>0.17340182648401825</v>
      </c>
      <c r="D131" s="564"/>
      <c r="E131" s="564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  <c r="Y131" s="564"/>
      <c r="Z131" s="564"/>
      <c r="AA131" s="564"/>
      <c r="AB131" s="564"/>
      <c r="AC131" s="564"/>
      <c r="AD131" s="564"/>
      <c r="AE131" s="564"/>
      <c r="AF131" s="564"/>
      <c r="AG131" s="564"/>
      <c r="AH131" s="564"/>
      <c r="AI131" s="564"/>
      <c r="AJ131" s="564"/>
      <c r="AK131" s="564"/>
      <c r="AL131" s="564"/>
      <c r="AM131" s="564"/>
      <c r="AN131" s="564"/>
      <c r="AO131" s="564"/>
    </row>
    <row r="132" spans="2:41" x14ac:dyDescent="0.15">
      <c r="B132" s="565">
        <v>-2</v>
      </c>
      <c r="C132" s="564">
        <v>0.20468036529680364</v>
      </c>
      <c r="D132" s="564"/>
      <c r="E132" s="564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  <c r="Y132" s="564"/>
      <c r="Z132" s="564"/>
      <c r="AA132" s="564"/>
      <c r="AB132" s="564"/>
      <c r="AC132" s="564"/>
      <c r="AD132" s="564"/>
      <c r="AE132" s="564"/>
      <c r="AF132" s="564"/>
      <c r="AG132" s="564"/>
      <c r="AH132" s="564"/>
      <c r="AI132" s="564"/>
      <c r="AJ132" s="564"/>
      <c r="AK132" s="564"/>
      <c r="AL132" s="564"/>
      <c r="AM132" s="564"/>
      <c r="AN132" s="564"/>
      <c r="AO132" s="564"/>
    </row>
    <row r="133" spans="2:41" x14ac:dyDescent="0.15">
      <c r="B133" s="565">
        <v>-1</v>
      </c>
      <c r="C133" s="564">
        <v>0.23184931506849316</v>
      </c>
      <c r="D133" s="564"/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  <c r="Y133" s="564"/>
      <c r="Z133" s="564"/>
      <c r="AA133" s="564"/>
      <c r="AB133" s="564"/>
      <c r="AC133" s="564"/>
      <c r="AD133" s="564"/>
      <c r="AE133" s="564"/>
      <c r="AF133" s="564"/>
      <c r="AG133" s="564"/>
      <c r="AH133" s="564"/>
      <c r="AI133" s="564"/>
      <c r="AJ133" s="564"/>
      <c r="AK133" s="564"/>
      <c r="AL133" s="564"/>
      <c r="AM133" s="564"/>
      <c r="AN133" s="564"/>
      <c r="AO133" s="564"/>
    </row>
    <row r="134" spans="2:41" x14ac:dyDescent="0.15">
      <c r="B134" s="565">
        <v>0</v>
      </c>
      <c r="C134" s="564">
        <v>0.27363013698630134</v>
      </c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  <c r="Y134" s="564"/>
      <c r="Z134" s="564"/>
      <c r="AA134" s="564"/>
      <c r="AB134" s="564"/>
      <c r="AC134" s="564"/>
      <c r="AD134" s="564"/>
      <c r="AE134" s="564"/>
      <c r="AF134" s="564"/>
      <c r="AG134" s="564"/>
      <c r="AH134" s="564"/>
      <c r="AI134" s="564"/>
      <c r="AJ134" s="564"/>
      <c r="AK134" s="564"/>
      <c r="AL134" s="564"/>
      <c r="AM134" s="564"/>
      <c r="AN134" s="564"/>
      <c r="AO134" s="564"/>
    </row>
    <row r="135" spans="2:41" x14ac:dyDescent="0.15">
      <c r="B135" s="565">
        <v>1</v>
      </c>
      <c r="C135" s="564">
        <v>0.30490867579908676</v>
      </c>
      <c r="D135" s="564"/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  <c r="Y135" s="564"/>
      <c r="Z135" s="564"/>
      <c r="AA135" s="564"/>
      <c r="AB135" s="564"/>
      <c r="AC135" s="564"/>
      <c r="AD135" s="564"/>
      <c r="AE135" s="564"/>
      <c r="AF135" s="564"/>
      <c r="AG135" s="564"/>
      <c r="AH135" s="564"/>
      <c r="AI135" s="564"/>
      <c r="AJ135" s="564"/>
      <c r="AK135" s="564"/>
      <c r="AL135" s="564"/>
      <c r="AM135" s="564"/>
      <c r="AN135" s="564"/>
      <c r="AO135" s="564"/>
    </row>
    <row r="136" spans="2:41" x14ac:dyDescent="0.15">
      <c r="B136" s="565">
        <v>2</v>
      </c>
      <c r="C136" s="564">
        <v>0.36506849315068496</v>
      </c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  <c r="Y136" s="564"/>
      <c r="Z136" s="564"/>
      <c r="AA136" s="564"/>
      <c r="AB136" s="564"/>
      <c r="AC136" s="564"/>
      <c r="AD136" s="564"/>
      <c r="AE136" s="564"/>
      <c r="AF136" s="564"/>
      <c r="AG136" s="564"/>
      <c r="AH136" s="564"/>
      <c r="AI136" s="564"/>
      <c r="AJ136" s="564"/>
      <c r="AK136" s="564"/>
      <c r="AL136" s="564"/>
      <c r="AM136" s="564"/>
      <c r="AN136" s="564"/>
      <c r="AO136" s="564"/>
    </row>
    <row r="137" spans="2:41" x14ac:dyDescent="0.15">
      <c r="B137" s="565">
        <v>3</v>
      </c>
      <c r="C137" s="564">
        <v>0.40559360730593608</v>
      </c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  <c r="Y137" s="564"/>
      <c r="Z137" s="564"/>
      <c r="AA137" s="564"/>
      <c r="AB137" s="564"/>
      <c r="AC137" s="564"/>
      <c r="AD137" s="564"/>
      <c r="AE137" s="564"/>
      <c r="AF137" s="564"/>
      <c r="AG137" s="564"/>
      <c r="AH137" s="564"/>
      <c r="AI137" s="564"/>
      <c r="AJ137" s="564"/>
      <c r="AK137" s="564"/>
      <c r="AL137" s="564"/>
      <c r="AM137" s="564"/>
      <c r="AN137" s="564"/>
      <c r="AO137" s="564"/>
    </row>
    <row r="138" spans="2:41" x14ac:dyDescent="0.15">
      <c r="B138" s="565">
        <v>4</v>
      </c>
      <c r="C138" s="564">
        <v>0.4534246575342466</v>
      </c>
      <c r="D138" s="564"/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  <c r="Y138" s="564"/>
      <c r="Z138" s="564"/>
      <c r="AA138" s="564"/>
      <c r="AB138" s="564"/>
      <c r="AC138" s="564"/>
      <c r="AD138" s="564"/>
      <c r="AE138" s="564"/>
      <c r="AF138" s="564"/>
      <c r="AG138" s="564"/>
      <c r="AH138" s="564"/>
      <c r="AI138" s="564"/>
      <c r="AJ138" s="564"/>
      <c r="AK138" s="564"/>
      <c r="AL138" s="564"/>
      <c r="AM138" s="564"/>
      <c r="AN138" s="564"/>
      <c r="AO138" s="564"/>
    </row>
    <row r="139" spans="2:41" x14ac:dyDescent="0.15">
      <c r="B139" s="565">
        <v>5</v>
      </c>
      <c r="C139" s="564">
        <v>0.49874429223744293</v>
      </c>
      <c r="D139" s="564"/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  <c r="Y139" s="564"/>
      <c r="Z139" s="564"/>
      <c r="AA139" s="564"/>
      <c r="AB139" s="564"/>
      <c r="AC139" s="564"/>
      <c r="AD139" s="564"/>
      <c r="AE139" s="564"/>
      <c r="AF139" s="564"/>
      <c r="AG139" s="564"/>
      <c r="AH139" s="564"/>
      <c r="AI139" s="564"/>
      <c r="AJ139" s="564"/>
      <c r="AK139" s="564"/>
      <c r="AL139" s="564"/>
      <c r="AM139" s="564"/>
      <c r="AN139" s="564"/>
      <c r="AO139" s="564"/>
    </row>
    <row r="140" spans="2:41" x14ac:dyDescent="0.15">
      <c r="B140" s="565">
        <v>6</v>
      </c>
      <c r="C140" s="564">
        <v>0.51609589041095894</v>
      </c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  <c r="AA140" s="564"/>
      <c r="AB140" s="564"/>
      <c r="AC140" s="564"/>
      <c r="AD140" s="564"/>
      <c r="AE140" s="564"/>
      <c r="AF140" s="564"/>
      <c r="AG140" s="564"/>
      <c r="AH140" s="564"/>
      <c r="AI140" s="564"/>
      <c r="AJ140" s="564"/>
      <c r="AK140" s="564"/>
      <c r="AL140" s="564"/>
      <c r="AM140" s="564"/>
      <c r="AN140" s="564"/>
      <c r="AO140" s="564"/>
    </row>
    <row r="141" spans="2:41" x14ac:dyDescent="0.15">
      <c r="B141" s="565">
        <v>7</v>
      </c>
      <c r="C141" s="564">
        <v>0.5501141552511416</v>
      </c>
      <c r="D141" s="564"/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  <c r="Y141" s="564"/>
      <c r="Z141" s="564"/>
      <c r="AA141" s="564"/>
      <c r="AB141" s="564"/>
      <c r="AC141" s="564"/>
      <c r="AD141" s="564"/>
      <c r="AE141" s="564"/>
      <c r="AF141" s="564"/>
      <c r="AG141" s="564"/>
      <c r="AH141" s="564"/>
      <c r="AI141" s="564"/>
      <c r="AJ141" s="564"/>
      <c r="AK141" s="564"/>
      <c r="AL141" s="564"/>
      <c r="AM141" s="564"/>
      <c r="AN141" s="564"/>
      <c r="AO141" s="564"/>
    </row>
    <row r="142" spans="2:41" x14ac:dyDescent="0.15">
      <c r="B142" s="565">
        <v>8</v>
      </c>
      <c r="C142" s="564">
        <v>0.58858447488584476</v>
      </c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  <c r="Y142" s="564"/>
      <c r="Z142" s="564"/>
      <c r="AA142" s="564"/>
      <c r="AB142" s="564"/>
      <c r="AC142" s="564"/>
      <c r="AD142" s="564"/>
      <c r="AE142" s="564"/>
      <c r="AF142" s="564"/>
      <c r="AG142" s="564"/>
      <c r="AH142" s="564"/>
      <c r="AI142" s="564"/>
      <c r="AJ142" s="564"/>
      <c r="AK142" s="564"/>
      <c r="AL142" s="564"/>
      <c r="AM142" s="564"/>
      <c r="AN142" s="564"/>
      <c r="AO142" s="564"/>
    </row>
    <row r="143" spans="2:41" x14ac:dyDescent="0.15">
      <c r="B143" s="565">
        <v>9</v>
      </c>
      <c r="C143" s="564">
        <v>0.6205479452054794</v>
      </c>
      <c r="D143" s="564"/>
      <c r="E143" s="564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  <c r="Y143" s="564"/>
      <c r="Z143" s="564"/>
      <c r="AA143" s="564"/>
      <c r="AB143" s="564"/>
      <c r="AC143" s="564"/>
      <c r="AD143" s="564"/>
      <c r="AE143" s="564"/>
      <c r="AF143" s="564"/>
      <c r="AG143" s="564"/>
      <c r="AH143" s="564"/>
      <c r="AI143" s="564"/>
      <c r="AJ143" s="564"/>
      <c r="AK143" s="564"/>
      <c r="AL143" s="564"/>
      <c r="AM143" s="564"/>
      <c r="AN143" s="564"/>
      <c r="AO143" s="564"/>
    </row>
    <row r="144" spans="2:41" x14ac:dyDescent="0.15">
      <c r="B144" s="565">
        <v>10</v>
      </c>
      <c r="C144" s="564">
        <v>0.65936073059360734</v>
      </c>
      <c r="D144" s="564"/>
      <c r="E144" s="564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  <c r="Y144" s="564"/>
      <c r="Z144" s="564"/>
      <c r="AA144" s="564"/>
      <c r="AB144" s="564"/>
      <c r="AC144" s="564"/>
      <c r="AD144" s="564"/>
      <c r="AE144" s="564"/>
      <c r="AF144" s="564"/>
      <c r="AG144" s="564"/>
      <c r="AH144" s="564"/>
      <c r="AI144" s="564"/>
      <c r="AJ144" s="564"/>
      <c r="AK144" s="564"/>
      <c r="AL144" s="564"/>
      <c r="AM144" s="564"/>
      <c r="AN144" s="564"/>
      <c r="AO144" s="564"/>
    </row>
    <row r="145" spans="2:41" x14ac:dyDescent="0.15">
      <c r="B145" s="565">
        <v>11</v>
      </c>
      <c r="C145" s="564">
        <v>0.68093607305936077</v>
      </c>
      <c r="D145" s="564"/>
      <c r="E145" s="564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  <c r="Y145" s="564"/>
      <c r="Z145" s="564"/>
      <c r="AA145" s="564"/>
      <c r="AB145" s="564"/>
      <c r="AC145" s="564"/>
      <c r="AD145" s="564"/>
      <c r="AE145" s="564"/>
      <c r="AF145" s="564"/>
      <c r="AG145" s="564"/>
      <c r="AH145" s="564"/>
      <c r="AI145" s="564"/>
      <c r="AJ145" s="564"/>
      <c r="AK145" s="564"/>
      <c r="AL145" s="564"/>
      <c r="AM145" s="564"/>
      <c r="AN145" s="564"/>
      <c r="AO145" s="564"/>
    </row>
    <row r="146" spans="2:41" x14ac:dyDescent="0.15">
      <c r="B146" s="565">
        <v>12</v>
      </c>
      <c r="C146" s="564">
        <v>0.71860730593607303</v>
      </c>
      <c r="D146" s="564"/>
      <c r="E146" s="564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  <c r="Y146" s="564"/>
      <c r="Z146" s="564"/>
      <c r="AA146" s="564"/>
      <c r="AB146" s="564"/>
      <c r="AC146" s="564"/>
      <c r="AD146" s="564"/>
      <c r="AE146" s="564"/>
      <c r="AF146" s="564"/>
      <c r="AG146" s="564"/>
      <c r="AH146" s="564"/>
      <c r="AI146" s="564"/>
      <c r="AJ146" s="564"/>
      <c r="AK146" s="564"/>
      <c r="AL146" s="564"/>
      <c r="AM146" s="564"/>
      <c r="AN146" s="564"/>
      <c r="AO146" s="564"/>
    </row>
    <row r="147" spans="2:41" x14ac:dyDescent="0.15">
      <c r="B147" s="565">
        <v>13</v>
      </c>
      <c r="C147" s="564">
        <v>0.76404109589041092</v>
      </c>
      <c r="D147" s="564"/>
      <c r="E147" s="564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  <c r="Y147" s="564"/>
      <c r="Z147" s="564"/>
      <c r="AA147" s="564"/>
      <c r="AB147" s="564"/>
      <c r="AC147" s="564"/>
      <c r="AD147" s="564"/>
      <c r="AE147" s="564"/>
      <c r="AF147" s="564"/>
      <c r="AG147" s="564"/>
      <c r="AH147" s="564"/>
      <c r="AI147" s="564"/>
      <c r="AJ147" s="564"/>
      <c r="AK147" s="564"/>
      <c r="AL147" s="564"/>
      <c r="AM147" s="564"/>
      <c r="AN147" s="564"/>
      <c r="AO147" s="564"/>
    </row>
    <row r="148" spans="2:41" x14ac:dyDescent="0.15">
      <c r="B148" s="565">
        <v>14</v>
      </c>
      <c r="C148" s="564">
        <v>0.80936073059360736</v>
      </c>
      <c r="D148" s="564"/>
      <c r="E148" s="564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  <c r="Y148" s="564"/>
      <c r="Z148" s="564"/>
      <c r="AA148" s="564"/>
      <c r="AB148" s="564"/>
      <c r="AC148" s="564"/>
      <c r="AD148" s="564"/>
      <c r="AE148" s="564"/>
      <c r="AF148" s="564"/>
      <c r="AG148" s="564"/>
      <c r="AH148" s="564"/>
      <c r="AI148" s="564"/>
      <c r="AJ148" s="564"/>
      <c r="AK148" s="564"/>
      <c r="AL148" s="564"/>
      <c r="AM148" s="564"/>
      <c r="AN148" s="564"/>
      <c r="AO148" s="564"/>
    </row>
    <row r="149" spans="2:41" x14ac:dyDescent="0.15">
      <c r="B149" s="565">
        <v>15</v>
      </c>
      <c r="C149" s="564">
        <v>0.84531963470319638</v>
      </c>
      <c r="D149" s="564"/>
      <c r="E149" s="564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  <c r="Y149" s="564"/>
      <c r="Z149" s="564"/>
      <c r="AA149" s="564"/>
      <c r="AB149" s="564"/>
      <c r="AC149" s="564"/>
      <c r="AD149" s="564"/>
      <c r="AE149" s="564"/>
      <c r="AF149" s="564"/>
      <c r="AG149" s="564"/>
      <c r="AH149" s="564"/>
      <c r="AI149" s="564"/>
      <c r="AJ149" s="564"/>
      <c r="AK149" s="564"/>
      <c r="AL149" s="564"/>
      <c r="AM149" s="564"/>
      <c r="AN149" s="564"/>
      <c r="AO149" s="564"/>
    </row>
    <row r="150" spans="2:41" x14ac:dyDescent="0.15">
      <c r="B150" s="565">
        <v>16</v>
      </c>
      <c r="C150" s="564">
        <v>0.86312785388127855</v>
      </c>
      <c r="D150" s="564"/>
      <c r="E150" s="564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  <c r="Y150" s="564"/>
      <c r="Z150" s="564"/>
      <c r="AA150" s="564"/>
      <c r="AB150" s="564"/>
      <c r="AC150" s="564"/>
      <c r="AD150" s="564"/>
      <c r="AE150" s="564"/>
      <c r="AF150" s="564"/>
      <c r="AG150" s="564"/>
      <c r="AH150" s="564"/>
      <c r="AI150" s="564"/>
      <c r="AJ150" s="564"/>
      <c r="AK150" s="564"/>
      <c r="AL150" s="564"/>
      <c r="AM150" s="564"/>
      <c r="AN150" s="564"/>
      <c r="AO150" s="564"/>
    </row>
    <row r="151" spans="2:41" x14ac:dyDescent="0.15">
      <c r="B151" s="565">
        <v>17</v>
      </c>
      <c r="C151" s="564">
        <v>0.88949771689497714</v>
      </c>
      <c r="D151" s="564"/>
      <c r="E151" s="564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  <c r="Y151" s="564"/>
      <c r="Z151" s="564"/>
      <c r="AA151" s="564"/>
      <c r="AB151" s="564"/>
      <c r="AC151" s="564"/>
      <c r="AD151" s="564"/>
      <c r="AE151" s="564"/>
      <c r="AF151" s="564"/>
      <c r="AG151" s="564"/>
      <c r="AH151" s="564"/>
      <c r="AI151" s="564"/>
      <c r="AJ151" s="564"/>
      <c r="AK151" s="564"/>
      <c r="AL151" s="564"/>
      <c r="AM151" s="564"/>
      <c r="AN151" s="564"/>
      <c r="AO151" s="564"/>
    </row>
    <row r="152" spans="2:41" x14ac:dyDescent="0.15">
      <c r="B152" s="565">
        <v>18</v>
      </c>
      <c r="C152" s="564">
        <v>0.91461187214611872</v>
      </c>
      <c r="D152" s="564"/>
      <c r="E152" s="564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  <c r="Y152" s="564"/>
      <c r="Z152" s="564"/>
      <c r="AA152" s="564"/>
      <c r="AB152" s="564"/>
      <c r="AC152" s="564"/>
      <c r="AD152" s="564"/>
      <c r="AE152" s="564"/>
      <c r="AF152" s="564"/>
      <c r="AG152" s="564"/>
      <c r="AH152" s="564"/>
      <c r="AI152" s="564"/>
      <c r="AJ152" s="564"/>
      <c r="AK152" s="564"/>
      <c r="AL152" s="564"/>
      <c r="AM152" s="564"/>
      <c r="AN152" s="564"/>
      <c r="AO152" s="564"/>
    </row>
    <row r="153" spans="2:41" x14ac:dyDescent="0.15">
      <c r="B153" s="565">
        <v>19</v>
      </c>
      <c r="C153" s="564">
        <v>0.93641552511415527</v>
      </c>
      <c r="D153" s="564"/>
      <c r="E153" s="564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  <c r="Y153" s="564"/>
      <c r="Z153" s="564"/>
      <c r="AA153" s="564"/>
      <c r="AB153" s="564"/>
      <c r="AC153" s="564"/>
      <c r="AD153" s="564"/>
      <c r="AE153" s="564"/>
      <c r="AF153" s="564"/>
      <c r="AG153" s="564"/>
      <c r="AH153" s="564"/>
      <c r="AI153" s="564"/>
      <c r="AJ153" s="564"/>
      <c r="AK153" s="564"/>
      <c r="AL153" s="564"/>
      <c r="AM153" s="564"/>
      <c r="AN153" s="564"/>
      <c r="AO153" s="564"/>
    </row>
    <row r="154" spans="2:41" x14ac:dyDescent="0.15">
      <c r="B154" s="565">
        <v>20</v>
      </c>
      <c r="C154" s="564">
        <v>0.95399543378995433</v>
      </c>
      <c r="D154" s="564"/>
      <c r="E154" s="564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  <c r="Y154" s="564"/>
      <c r="Z154" s="564"/>
      <c r="AA154" s="564"/>
      <c r="AB154" s="564"/>
      <c r="AC154" s="564"/>
      <c r="AD154" s="564"/>
      <c r="AE154" s="564"/>
      <c r="AF154" s="564"/>
      <c r="AG154" s="564"/>
      <c r="AH154" s="564"/>
      <c r="AI154" s="564"/>
      <c r="AJ154" s="564"/>
      <c r="AK154" s="564"/>
      <c r="AL154" s="564"/>
      <c r="AM154" s="564"/>
      <c r="AN154" s="564"/>
      <c r="AO154" s="564"/>
    </row>
    <row r="155" spans="2:41" x14ac:dyDescent="0.15">
      <c r="B155" s="565">
        <v>21</v>
      </c>
      <c r="C155" s="564">
        <v>0.96107305936073062</v>
      </c>
      <c r="D155" s="564"/>
      <c r="E155" s="564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  <c r="Y155" s="564"/>
      <c r="Z155" s="564"/>
      <c r="AA155" s="564"/>
      <c r="AB155" s="564"/>
      <c r="AC155" s="564"/>
      <c r="AD155" s="564"/>
      <c r="AE155" s="564"/>
      <c r="AF155" s="564"/>
      <c r="AG155" s="564"/>
      <c r="AH155" s="564"/>
      <c r="AI155" s="564"/>
      <c r="AJ155" s="564"/>
      <c r="AK155" s="564"/>
      <c r="AL155" s="564"/>
      <c r="AM155" s="564"/>
      <c r="AN155" s="564"/>
      <c r="AO155" s="564"/>
    </row>
    <row r="156" spans="2:41" x14ac:dyDescent="0.15">
      <c r="B156" s="565">
        <v>22</v>
      </c>
      <c r="C156" s="564">
        <v>0.97305936073059363</v>
      </c>
      <c r="D156" s="564"/>
      <c r="E156" s="564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  <c r="Y156" s="564"/>
      <c r="Z156" s="564"/>
      <c r="AA156" s="564"/>
      <c r="AB156" s="564"/>
      <c r="AC156" s="564"/>
      <c r="AD156" s="564"/>
      <c r="AE156" s="564"/>
      <c r="AF156" s="564"/>
      <c r="AG156" s="564"/>
      <c r="AH156" s="564"/>
      <c r="AI156" s="564"/>
      <c r="AJ156" s="564"/>
      <c r="AK156" s="564"/>
      <c r="AL156" s="564"/>
      <c r="AM156" s="564"/>
      <c r="AN156" s="564"/>
      <c r="AO156" s="564"/>
    </row>
    <row r="157" spans="2:41" x14ac:dyDescent="0.15">
      <c r="B157" s="565">
        <v>23</v>
      </c>
      <c r="C157" s="564">
        <v>0.98264840182648405</v>
      </c>
      <c r="D157" s="564"/>
      <c r="E157" s="564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  <c r="Y157" s="564"/>
      <c r="Z157" s="564"/>
      <c r="AA157" s="564"/>
      <c r="AB157" s="564"/>
      <c r="AC157" s="564"/>
      <c r="AD157" s="564"/>
      <c r="AE157" s="564"/>
      <c r="AF157" s="564"/>
      <c r="AG157" s="564"/>
      <c r="AH157" s="564"/>
      <c r="AI157" s="564"/>
      <c r="AJ157" s="564"/>
      <c r="AK157" s="564"/>
      <c r="AL157" s="564"/>
      <c r="AM157" s="564"/>
      <c r="AN157" s="564"/>
      <c r="AO157" s="564"/>
    </row>
    <row r="158" spans="2:41" x14ac:dyDescent="0.15">
      <c r="B158" s="565">
        <v>24</v>
      </c>
      <c r="C158" s="564">
        <v>0.99041095890410957</v>
      </c>
      <c r="D158" s="564"/>
      <c r="E158" s="564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  <c r="Y158" s="564"/>
      <c r="Z158" s="564"/>
      <c r="AA158" s="564"/>
      <c r="AB158" s="564"/>
      <c r="AC158" s="564"/>
      <c r="AD158" s="564"/>
      <c r="AE158" s="564"/>
      <c r="AF158" s="564"/>
      <c r="AG158" s="564"/>
      <c r="AH158" s="564"/>
      <c r="AI158" s="564"/>
      <c r="AJ158" s="564"/>
      <c r="AK158" s="564"/>
      <c r="AL158" s="564"/>
      <c r="AM158" s="564"/>
      <c r="AN158" s="564"/>
      <c r="AO158" s="564"/>
    </row>
    <row r="159" spans="2:41" x14ac:dyDescent="0.15">
      <c r="B159" s="565">
        <v>25</v>
      </c>
      <c r="C159" s="564">
        <v>0.99566210045662096</v>
      </c>
      <c r="D159" s="564"/>
      <c r="E159" s="564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  <c r="Y159" s="564"/>
      <c r="Z159" s="564"/>
      <c r="AA159" s="564"/>
      <c r="AB159" s="564"/>
      <c r="AC159" s="564"/>
      <c r="AD159" s="564"/>
      <c r="AE159" s="564"/>
      <c r="AF159" s="564"/>
      <c r="AG159" s="564"/>
      <c r="AH159" s="564"/>
      <c r="AI159" s="564"/>
      <c r="AJ159" s="564"/>
      <c r="AK159" s="564"/>
      <c r="AL159" s="564"/>
      <c r="AM159" s="564"/>
      <c r="AN159" s="564"/>
      <c r="AO159" s="564"/>
    </row>
    <row r="160" spans="2:41" x14ac:dyDescent="0.15">
      <c r="B160" s="565">
        <v>26</v>
      </c>
      <c r="C160" s="564">
        <v>0.9981735159817352</v>
      </c>
      <c r="D160" s="564"/>
      <c r="E160" s="564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  <c r="Y160" s="564"/>
      <c r="Z160" s="564"/>
      <c r="AA160" s="564"/>
      <c r="AB160" s="564"/>
      <c r="AC160" s="564"/>
      <c r="AD160" s="564"/>
      <c r="AE160" s="564"/>
      <c r="AF160" s="564"/>
      <c r="AG160" s="564"/>
      <c r="AH160" s="564"/>
      <c r="AI160" s="564"/>
      <c r="AJ160" s="564"/>
      <c r="AK160" s="564"/>
      <c r="AL160" s="564"/>
      <c r="AM160" s="564"/>
      <c r="AN160" s="564"/>
      <c r="AO160" s="564"/>
    </row>
    <row r="161" spans="2:41" x14ac:dyDescent="0.15">
      <c r="B161" s="565">
        <v>27</v>
      </c>
      <c r="C161" s="564">
        <v>0.9992009132420091</v>
      </c>
      <c r="D161" s="564"/>
      <c r="E161" s="564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  <c r="Y161" s="564"/>
      <c r="Z161" s="564"/>
      <c r="AA161" s="564"/>
      <c r="AB161" s="564"/>
      <c r="AC161" s="564"/>
      <c r="AD161" s="564"/>
      <c r="AE161" s="564"/>
      <c r="AF161" s="564"/>
      <c r="AG161" s="564"/>
      <c r="AH161" s="564"/>
      <c r="AI161" s="564"/>
      <c r="AJ161" s="564"/>
      <c r="AK161" s="564"/>
      <c r="AL161" s="564"/>
      <c r="AM161" s="564"/>
      <c r="AN161" s="564"/>
      <c r="AO161" s="564"/>
    </row>
    <row r="162" spans="2:41" x14ac:dyDescent="0.15">
      <c r="B162" s="565">
        <v>28</v>
      </c>
      <c r="C162" s="564">
        <v>1</v>
      </c>
      <c r="D162" s="564"/>
      <c r="E162" s="564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  <c r="Y162" s="564"/>
      <c r="Z162" s="564"/>
      <c r="AA162" s="564"/>
      <c r="AB162" s="564"/>
      <c r="AC162" s="564"/>
      <c r="AD162" s="564"/>
      <c r="AE162" s="564"/>
      <c r="AF162" s="564"/>
      <c r="AG162" s="564"/>
      <c r="AH162" s="564"/>
      <c r="AI162" s="564"/>
      <c r="AJ162" s="564"/>
      <c r="AK162" s="564"/>
      <c r="AL162" s="564"/>
      <c r="AM162" s="564"/>
      <c r="AN162" s="564"/>
      <c r="AO162" s="564"/>
    </row>
    <row r="163" spans="2:41" x14ac:dyDescent="0.15">
      <c r="B163" s="565">
        <v>29</v>
      </c>
      <c r="C163" s="564">
        <v>1</v>
      </c>
      <c r="D163" s="564"/>
      <c r="E163" s="564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  <c r="Y163" s="564"/>
      <c r="Z163" s="564"/>
      <c r="AA163" s="564"/>
      <c r="AB163" s="564"/>
      <c r="AC163" s="564"/>
      <c r="AD163" s="564"/>
      <c r="AE163" s="564"/>
      <c r="AF163" s="564"/>
      <c r="AG163" s="564"/>
      <c r="AH163" s="564"/>
      <c r="AI163" s="564"/>
      <c r="AJ163" s="564"/>
      <c r="AK163" s="564"/>
      <c r="AL163" s="564"/>
      <c r="AM163" s="564"/>
      <c r="AN163" s="564"/>
      <c r="AO163" s="564"/>
    </row>
    <row r="164" spans="2:41" x14ac:dyDescent="0.15">
      <c r="B164" s="565">
        <v>30</v>
      </c>
      <c r="C164" s="564">
        <v>1</v>
      </c>
      <c r="D164" s="564"/>
      <c r="E164" s="564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  <c r="Y164" s="564"/>
      <c r="Z164" s="564"/>
      <c r="AA164" s="564"/>
      <c r="AB164" s="564"/>
      <c r="AC164" s="564"/>
      <c r="AD164" s="564"/>
      <c r="AE164" s="564"/>
      <c r="AF164" s="564"/>
      <c r="AG164" s="564"/>
      <c r="AH164" s="564"/>
      <c r="AI164" s="564"/>
      <c r="AJ164" s="564"/>
      <c r="AK164" s="564"/>
      <c r="AL164" s="564"/>
      <c r="AM164" s="564"/>
      <c r="AN164" s="564"/>
      <c r="AO164" s="564"/>
    </row>
    <row r="165" spans="2:41" x14ac:dyDescent="0.15">
      <c r="B165" s="565">
        <v>31</v>
      </c>
      <c r="C165" s="564">
        <v>1</v>
      </c>
      <c r="D165" s="564"/>
      <c r="E165" s="564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  <c r="Y165" s="564"/>
      <c r="Z165" s="564"/>
      <c r="AA165" s="564"/>
      <c r="AB165" s="564"/>
      <c r="AC165" s="564"/>
      <c r="AD165" s="564"/>
      <c r="AE165" s="564"/>
      <c r="AF165" s="564"/>
      <c r="AG165" s="564"/>
      <c r="AH165" s="564"/>
      <c r="AI165" s="564"/>
      <c r="AJ165" s="564"/>
      <c r="AK165" s="564"/>
      <c r="AL165" s="564"/>
      <c r="AM165" s="564"/>
      <c r="AN165" s="564"/>
      <c r="AO165" s="564"/>
    </row>
    <row r="166" spans="2:41" x14ac:dyDescent="0.15">
      <c r="B166" s="565">
        <v>32</v>
      </c>
      <c r="C166" s="564">
        <v>1</v>
      </c>
      <c r="D166" s="564"/>
      <c r="E166" s="564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  <c r="Y166" s="564"/>
      <c r="Z166" s="564"/>
      <c r="AA166" s="564"/>
      <c r="AB166" s="564"/>
      <c r="AC166" s="564"/>
      <c r="AD166" s="564"/>
      <c r="AE166" s="564"/>
      <c r="AF166" s="564"/>
      <c r="AG166" s="564"/>
      <c r="AH166" s="564"/>
      <c r="AI166" s="564"/>
      <c r="AJ166" s="564"/>
      <c r="AK166" s="564"/>
      <c r="AL166" s="564"/>
      <c r="AM166" s="564"/>
      <c r="AN166" s="564"/>
      <c r="AO166" s="564"/>
    </row>
    <row r="167" spans="2:41" x14ac:dyDescent="0.15">
      <c r="B167" s="565">
        <v>33</v>
      </c>
      <c r="C167" s="564">
        <v>1</v>
      </c>
      <c r="D167" s="564"/>
      <c r="E167" s="564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  <c r="Y167" s="564"/>
      <c r="Z167" s="564"/>
      <c r="AA167" s="564"/>
      <c r="AB167" s="564"/>
      <c r="AC167" s="564"/>
      <c r="AD167" s="564"/>
      <c r="AE167" s="564"/>
      <c r="AF167" s="564"/>
      <c r="AG167" s="564"/>
      <c r="AH167" s="564"/>
      <c r="AI167" s="564"/>
      <c r="AJ167" s="564"/>
      <c r="AK167" s="564"/>
      <c r="AL167" s="564"/>
      <c r="AM167" s="564"/>
      <c r="AN167" s="564"/>
      <c r="AO167" s="564"/>
    </row>
    <row r="168" spans="2:41" x14ac:dyDescent="0.15">
      <c r="B168" s="565">
        <v>34</v>
      </c>
      <c r="C168" s="564">
        <v>1</v>
      </c>
      <c r="D168" s="564"/>
      <c r="E168" s="564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  <c r="Y168" s="564"/>
      <c r="Z168" s="564"/>
      <c r="AA168" s="564"/>
      <c r="AB168" s="564"/>
      <c r="AC168" s="564"/>
      <c r="AD168" s="564"/>
      <c r="AE168" s="564"/>
      <c r="AF168" s="564"/>
      <c r="AG168" s="564"/>
      <c r="AH168" s="564"/>
      <c r="AI168" s="564"/>
      <c r="AJ168" s="564"/>
      <c r="AK168" s="564"/>
      <c r="AL168" s="564"/>
      <c r="AM168" s="564"/>
      <c r="AN168" s="564"/>
      <c r="AO168" s="564"/>
    </row>
    <row r="169" spans="2:41" x14ac:dyDescent="0.15">
      <c r="B169" s="565">
        <v>35</v>
      </c>
      <c r="C169" s="564">
        <v>1</v>
      </c>
      <c r="D169" s="564"/>
      <c r="E169" s="564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  <c r="Y169" s="564"/>
      <c r="Z169" s="564"/>
      <c r="AA169" s="564"/>
      <c r="AB169" s="564"/>
      <c r="AC169" s="564"/>
      <c r="AD169" s="564"/>
      <c r="AE169" s="564"/>
      <c r="AF169" s="564"/>
      <c r="AG169" s="564"/>
      <c r="AH169" s="564"/>
      <c r="AI169" s="564"/>
      <c r="AJ169" s="564"/>
      <c r="AK169" s="564"/>
      <c r="AL169" s="564"/>
      <c r="AM169" s="564"/>
      <c r="AN169" s="564"/>
      <c r="AO169" s="564"/>
    </row>
    <row r="170" spans="2:41" x14ac:dyDescent="0.15">
      <c r="B170" s="565">
        <v>36</v>
      </c>
      <c r="C170" s="564">
        <v>1</v>
      </c>
      <c r="D170" s="564"/>
      <c r="E170" s="564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  <c r="Y170" s="564"/>
      <c r="Z170" s="564"/>
      <c r="AA170" s="564"/>
      <c r="AB170" s="564"/>
      <c r="AC170" s="564"/>
      <c r="AD170" s="564"/>
      <c r="AE170" s="564"/>
      <c r="AF170" s="564"/>
      <c r="AG170" s="564"/>
      <c r="AH170" s="564"/>
      <c r="AI170" s="564"/>
      <c r="AJ170" s="564"/>
      <c r="AK170" s="564"/>
      <c r="AL170" s="564"/>
      <c r="AM170" s="564"/>
      <c r="AN170" s="564"/>
      <c r="AO170" s="564"/>
    </row>
    <row r="171" spans="2:41" x14ac:dyDescent="0.15">
      <c r="B171" s="565">
        <v>37</v>
      </c>
      <c r="C171" s="564">
        <v>1</v>
      </c>
      <c r="D171" s="564"/>
      <c r="E171" s="564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  <c r="Y171" s="564"/>
      <c r="Z171" s="564"/>
      <c r="AA171" s="564"/>
      <c r="AB171" s="564"/>
      <c r="AC171" s="564"/>
      <c r="AD171" s="564"/>
      <c r="AE171" s="564"/>
      <c r="AF171" s="564"/>
      <c r="AG171" s="564"/>
      <c r="AH171" s="564"/>
      <c r="AI171" s="564"/>
      <c r="AJ171" s="564"/>
      <c r="AK171" s="564"/>
      <c r="AL171" s="564"/>
      <c r="AM171" s="564"/>
      <c r="AN171" s="564"/>
      <c r="AO171" s="564"/>
    </row>
    <row r="172" spans="2:41" x14ac:dyDescent="0.15">
      <c r="B172" s="565">
        <v>38</v>
      </c>
      <c r="C172" s="564">
        <v>1</v>
      </c>
      <c r="D172" s="564"/>
      <c r="E172" s="564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  <c r="Y172" s="564"/>
      <c r="Z172" s="564"/>
      <c r="AA172" s="564"/>
      <c r="AB172" s="564"/>
      <c r="AC172" s="564"/>
      <c r="AD172" s="564"/>
      <c r="AE172" s="564"/>
      <c r="AF172" s="564"/>
      <c r="AG172" s="564"/>
      <c r="AH172" s="564"/>
      <c r="AI172" s="564"/>
      <c r="AJ172" s="564"/>
      <c r="AK172" s="564"/>
      <c r="AL172" s="564"/>
      <c r="AM172" s="564"/>
      <c r="AN172" s="564"/>
      <c r="AO172" s="564"/>
    </row>
    <row r="173" spans="2:41" x14ac:dyDescent="0.15">
      <c r="B173" s="565">
        <v>39</v>
      </c>
      <c r="C173" s="564">
        <v>1</v>
      </c>
      <c r="D173" s="564"/>
      <c r="E173" s="564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  <c r="Y173" s="564"/>
      <c r="Z173" s="564"/>
      <c r="AA173" s="564"/>
      <c r="AB173" s="564"/>
      <c r="AC173" s="564"/>
      <c r="AD173" s="564"/>
      <c r="AE173" s="564"/>
      <c r="AF173" s="564"/>
      <c r="AG173" s="564"/>
      <c r="AH173" s="564"/>
      <c r="AI173" s="564"/>
      <c r="AJ173" s="564"/>
      <c r="AK173" s="564"/>
      <c r="AL173" s="564"/>
      <c r="AM173" s="564"/>
      <c r="AN173" s="564"/>
      <c r="AO173" s="564"/>
    </row>
    <row r="174" spans="2:41" x14ac:dyDescent="0.15">
      <c r="B174" s="566">
        <v>40</v>
      </c>
      <c r="C174" s="564">
        <v>1</v>
      </c>
      <c r="D174" s="564"/>
      <c r="E174" s="564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  <c r="Y174" s="564"/>
      <c r="Z174" s="564"/>
      <c r="AA174" s="564"/>
      <c r="AB174" s="564"/>
      <c r="AC174" s="564"/>
      <c r="AD174" s="564"/>
      <c r="AE174" s="564"/>
      <c r="AF174" s="564"/>
      <c r="AG174" s="564"/>
      <c r="AH174" s="564"/>
      <c r="AI174" s="564"/>
      <c r="AJ174" s="564"/>
      <c r="AK174" s="564"/>
      <c r="AL174" s="564"/>
      <c r="AM174" s="564"/>
      <c r="AN174" s="564"/>
      <c r="AO174" s="564"/>
    </row>
    <row r="183" spans="2:41" s="561" customFormat="1" ht="28" x14ac:dyDescent="0.15">
      <c r="B183" s="558" t="str" cm="1">
        <f t="array" ref="B183:AO183">TRANSPOSE('Syötä kaupungit KIRJASTOLIN_ENT'!$D$1:$D$40)</f>
        <v>MAA 3</v>
      </c>
      <c r="C183" s="562" t="str">
        <v>SWE - Gothenburg</v>
      </c>
      <c r="D183" s="562">
        <v>0</v>
      </c>
      <c r="E183" s="562">
        <v>0</v>
      </c>
      <c r="F183" s="562">
        <v>0</v>
      </c>
      <c r="G183" s="562">
        <v>0</v>
      </c>
      <c r="H183" s="562">
        <v>0</v>
      </c>
      <c r="I183" s="562">
        <v>0</v>
      </c>
      <c r="J183" s="562">
        <v>0</v>
      </c>
      <c r="K183" s="562">
        <v>0</v>
      </c>
      <c r="L183" s="562">
        <v>0</v>
      </c>
      <c r="M183" s="562">
        <v>0</v>
      </c>
      <c r="N183" s="562">
        <v>0</v>
      </c>
      <c r="O183" s="562">
        <v>0</v>
      </c>
      <c r="P183" s="562">
        <v>0</v>
      </c>
      <c r="Q183" s="562">
        <v>0</v>
      </c>
      <c r="R183" s="562">
        <v>0</v>
      </c>
      <c r="S183" s="562">
        <v>0</v>
      </c>
      <c r="T183" s="562">
        <v>0</v>
      </c>
      <c r="U183" s="562">
        <v>0</v>
      </c>
      <c r="V183" s="562">
        <v>0</v>
      </c>
      <c r="W183" s="562">
        <v>0</v>
      </c>
      <c r="X183" s="562">
        <v>0</v>
      </c>
      <c r="Y183" s="562">
        <v>0</v>
      </c>
      <c r="Z183" s="562">
        <v>0</v>
      </c>
      <c r="AA183" s="562">
        <v>0</v>
      </c>
      <c r="AB183" s="562">
        <v>0</v>
      </c>
      <c r="AC183" s="562">
        <v>0</v>
      </c>
      <c r="AD183" s="562">
        <v>0</v>
      </c>
      <c r="AE183" s="562">
        <v>0</v>
      </c>
      <c r="AF183" s="562">
        <v>0</v>
      </c>
      <c r="AG183" s="562">
        <v>0</v>
      </c>
      <c r="AH183" s="562">
        <v>0</v>
      </c>
      <c r="AI183" s="562">
        <v>0</v>
      </c>
      <c r="AJ183" s="562">
        <v>0</v>
      </c>
      <c r="AK183" s="562">
        <v>0</v>
      </c>
      <c r="AL183" s="562">
        <v>0</v>
      </c>
      <c r="AM183" s="562">
        <v>0</v>
      </c>
      <c r="AN183" s="562">
        <v>0</v>
      </c>
      <c r="AO183" s="562">
        <v>0</v>
      </c>
    </row>
    <row r="184" spans="2:41" x14ac:dyDescent="0.15">
      <c r="B184" s="563">
        <v>-40</v>
      </c>
      <c r="C184" s="564">
        <v>0</v>
      </c>
      <c r="D184" s="564"/>
      <c r="E184" s="564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  <c r="Y184" s="564"/>
      <c r="Z184" s="564"/>
      <c r="AA184" s="564"/>
      <c r="AB184" s="564"/>
      <c r="AC184" s="564"/>
      <c r="AD184" s="564"/>
      <c r="AE184" s="564"/>
      <c r="AF184" s="564"/>
      <c r="AG184" s="564"/>
      <c r="AH184" s="564"/>
      <c r="AI184" s="564"/>
      <c r="AJ184" s="564"/>
      <c r="AK184" s="564"/>
      <c r="AL184" s="564"/>
      <c r="AM184" s="564"/>
      <c r="AN184" s="564"/>
      <c r="AO184" s="564"/>
    </row>
    <row r="185" spans="2:41" x14ac:dyDescent="0.15">
      <c r="B185" s="565">
        <v>-39</v>
      </c>
      <c r="C185" s="564">
        <v>0</v>
      </c>
      <c r="D185" s="564"/>
      <c r="E185" s="564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  <c r="Y185" s="564"/>
      <c r="Z185" s="564"/>
      <c r="AA185" s="564"/>
      <c r="AB185" s="564"/>
      <c r="AC185" s="564"/>
      <c r="AD185" s="564"/>
      <c r="AE185" s="564"/>
      <c r="AF185" s="564"/>
      <c r="AG185" s="564"/>
      <c r="AH185" s="564"/>
      <c r="AI185" s="564"/>
      <c r="AJ185" s="564"/>
      <c r="AK185" s="564"/>
      <c r="AL185" s="564"/>
      <c r="AM185" s="564"/>
      <c r="AN185" s="564"/>
      <c r="AO185" s="564"/>
    </row>
    <row r="186" spans="2:41" x14ac:dyDescent="0.15">
      <c r="B186" s="565">
        <v>-38</v>
      </c>
      <c r="C186" s="564">
        <v>0</v>
      </c>
      <c r="D186" s="564"/>
      <c r="E186" s="564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  <c r="Y186" s="564"/>
      <c r="Z186" s="564"/>
      <c r="AA186" s="564"/>
      <c r="AB186" s="564"/>
      <c r="AC186" s="564"/>
      <c r="AD186" s="564"/>
      <c r="AE186" s="564"/>
      <c r="AF186" s="564"/>
      <c r="AG186" s="564"/>
      <c r="AH186" s="564"/>
      <c r="AI186" s="564"/>
      <c r="AJ186" s="564"/>
      <c r="AK186" s="564"/>
      <c r="AL186" s="564"/>
      <c r="AM186" s="564"/>
      <c r="AN186" s="564"/>
      <c r="AO186" s="564"/>
    </row>
    <row r="187" spans="2:41" x14ac:dyDescent="0.15">
      <c r="B187" s="565">
        <v>-37</v>
      </c>
      <c r="C187" s="564">
        <v>0</v>
      </c>
      <c r="D187" s="564"/>
      <c r="E187" s="564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  <c r="Y187" s="564"/>
      <c r="Z187" s="564"/>
      <c r="AA187" s="564"/>
      <c r="AB187" s="564"/>
      <c r="AC187" s="564"/>
      <c r="AD187" s="564"/>
      <c r="AE187" s="564"/>
      <c r="AF187" s="564"/>
      <c r="AG187" s="564"/>
      <c r="AH187" s="564"/>
      <c r="AI187" s="564"/>
      <c r="AJ187" s="564"/>
      <c r="AK187" s="564"/>
      <c r="AL187" s="564"/>
      <c r="AM187" s="564"/>
      <c r="AN187" s="564"/>
      <c r="AO187" s="564"/>
    </row>
    <row r="188" spans="2:41" x14ac:dyDescent="0.15">
      <c r="B188" s="565">
        <v>-36</v>
      </c>
      <c r="C188" s="564">
        <v>0</v>
      </c>
      <c r="D188" s="564"/>
      <c r="E188" s="564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  <c r="Y188" s="564"/>
      <c r="Z188" s="564"/>
      <c r="AA188" s="564"/>
      <c r="AB188" s="564"/>
      <c r="AC188" s="564"/>
      <c r="AD188" s="564"/>
      <c r="AE188" s="564"/>
      <c r="AF188" s="564"/>
      <c r="AG188" s="564"/>
      <c r="AH188" s="564"/>
      <c r="AI188" s="564"/>
      <c r="AJ188" s="564"/>
      <c r="AK188" s="564"/>
      <c r="AL188" s="564"/>
      <c r="AM188" s="564"/>
      <c r="AN188" s="564"/>
      <c r="AO188" s="564"/>
    </row>
    <row r="189" spans="2:41" x14ac:dyDescent="0.15">
      <c r="B189" s="565">
        <v>-35</v>
      </c>
      <c r="C189" s="564">
        <v>0</v>
      </c>
      <c r="D189" s="564"/>
      <c r="E189" s="564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  <c r="Y189" s="564"/>
      <c r="Z189" s="564"/>
      <c r="AA189" s="564"/>
      <c r="AB189" s="564"/>
      <c r="AC189" s="564"/>
      <c r="AD189" s="564"/>
      <c r="AE189" s="564"/>
      <c r="AF189" s="564"/>
      <c r="AG189" s="564"/>
      <c r="AH189" s="564"/>
      <c r="AI189" s="564"/>
      <c r="AJ189" s="564"/>
      <c r="AK189" s="564"/>
      <c r="AL189" s="564"/>
      <c r="AM189" s="564"/>
      <c r="AN189" s="564"/>
      <c r="AO189" s="564"/>
    </row>
    <row r="190" spans="2:41" x14ac:dyDescent="0.15">
      <c r="B190" s="565">
        <v>-34</v>
      </c>
      <c r="C190" s="564">
        <v>0</v>
      </c>
      <c r="D190" s="564"/>
      <c r="E190" s="564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  <c r="Y190" s="564"/>
      <c r="Z190" s="564"/>
      <c r="AA190" s="564"/>
      <c r="AB190" s="564"/>
      <c r="AC190" s="564"/>
      <c r="AD190" s="564"/>
      <c r="AE190" s="564"/>
      <c r="AF190" s="564"/>
      <c r="AG190" s="564"/>
      <c r="AH190" s="564"/>
      <c r="AI190" s="564"/>
      <c r="AJ190" s="564"/>
      <c r="AK190" s="564"/>
      <c r="AL190" s="564"/>
      <c r="AM190" s="564"/>
      <c r="AN190" s="564"/>
      <c r="AO190" s="564"/>
    </row>
    <row r="191" spans="2:41" x14ac:dyDescent="0.15">
      <c r="B191" s="565">
        <v>-33</v>
      </c>
      <c r="C191" s="564">
        <v>0</v>
      </c>
      <c r="D191" s="564"/>
      <c r="E191" s="564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  <c r="Y191" s="564"/>
      <c r="Z191" s="564"/>
      <c r="AA191" s="564"/>
      <c r="AB191" s="564"/>
      <c r="AC191" s="564"/>
      <c r="AD191" s="564"/>
      <c r="AE191" s="564"/>
      <c r="AF191" s="564"/>
      <c r="AG191" s="564"/>
      <c r="AH191" s="564"/>
      <c r="AI191" s="564"/>
      <c r="AJ191" s="564"/>
      <c r="AK191" s="564"/>
      <c r="AL191" s="564"/>
      <c r="AM191" s="564"/>
      <c r="AN191" s="564"/>
      <c r="AO191" s="564"/>
    </row>
    <row r="192" spans="2:41" x14ac:dyDescent="0.15">
      <c r="B192" s="565">
        <v>-32</v>
      </c>
      <c r="C192" s="564">
        <v>0</v>
      </c>
      <c r="D192" s="564"/>
      <c r="E192" s="564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  <c r="Y192" s="564"/>
      <c r="Z192" s="564"/>
      <c r="AA192" s="564"/>
      <c r="AB192" s="564"/>
      <c r="AC192" s="564"/>
      <c r="AD192" s="564"/>
      <c r="AE192" s="564"/>
      <c r="AF192" s="564"/>
      <c r="AG192" s="564"/>
      <c r="AH192" s="564"/>
      <c r="AI192" s="564"/>
      <c r="AJ192" s="564"/>
      <c r="AK192" s="564"/>
      <c r="AL192" s="564"/>
      <c r="AM192" s="564"/>
      <c r="AN192" s="564"/>
      <c r="AO192" s="564"/>
    </row>
    <row r="193" spans="2:41" x14ac:dyDescent="0.15">
      <c r="B193" s="565">
        <v>-31</v>
      </c>
      <c r="C193" s="564">
        <v>0</v>
      </c>
      <c r="D193" s="564"/>
      <c r="E193" s="564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  <c r="Y193" s="564"/>
      <c r="Z193" s="564"/>
      <c r="AA193" s="564"/>
      <c r="AB193" s="564"/>
      <c r="AC193" s="564"/>
      <c r="AD193" s="564"/>
      <c r="AE193" s="564"/>
      <c r="AF193" s="564"/>
      <c r="AG193" s="564"/>
      <c r="AH193" s="564"/>
      <c r="AI193" s="564"/>
      <c r="AJ193" s="564"/>
      <c r="AK193" s="564"/>
      <c r="AL193" s="564"/>
      <c r="AM193" s="564"/>
      <c r="AN193" s="564"/>
      <c r="AO193" s="564"/>
    </row>
    <row r="194" spans="2:41" x14ac:dyDescent="0.15">
      <c r="B194" s="565">
        <v>-30</v>
      </c>
      <c r="C194" s="564">
        <v>0</v>
      </c>
      <c r="D194" s="564"/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  <c r="Y194" s="564"/>
      <c r="Z194" s="564"/>
      <c r="AA194" s="564"/>
      <c r="AB194" s="564"/>
      <c r="AC194" s="564"/>
      <c r="AD194" s="564"/>
      <c r="AE194" s="564"/>
      <c r="AF194" s="564"/>
      <c r="AG194" s="564"/>
      <c r="AH194" s="564"/>
      <c r="AI194" s="564"/>
      <c r="AJ194" s="564"/>
      <c r="AK194" s="564"/>
      <c r="AL194" s="564"/>
      <c r="AM194" s="564"/>
      <c r="AN194" s="564"/>
      <c r="AO194" s="564"/>
    </row>
    <row r="195" spans="2:41" x14ac:dyDescent="0.15">
      <c r="B195" s="565">
        <v>-29</v>
      </c>
      <c r="C195" s="564">
        <v>0</v>
      </c>
      <c r="D195" s="564"/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  <c r="Y195" s="564"/>
      <c r="Z195" s="564"/>
      <c r="AA195" s="564"/>
      <c r="AB195" s="564"/>
      <c r="AC195" s="564"/>
      <c r="AD195" s="564"/>
      <c r="AE195" s="564"/>
      <c r="AF195" s="564"/>
      <c r="AG195" s="564"/>
      <c r="AH195" s="564"/>
      <c r="AI195" s="564"/>
      <c r="AJ195" s="564"/>
      <c r="AK195" s="564"/>
      <c r="AL195" s="564"/>
      <c r="AM195" s="564"/>
      <c r="AN195" s="564"/>
      <c r="AO195" s="564"/>
    </row>
    <row r="196" spans="2:41" x14ac:dyDescent="0.15">
      <c r="B196" s="565">
        <v>-28</v>
      </c>
      <c r="C196" s="564">
        <v>0</v>
      </c>
      <c r="D196" s="564"/>
      <c r="E196" s="564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  <c r="Y196" s="564"/>
      <c r="Z196" s="564"/>
      <c r="AA196" s="564"/>
      <c r="AB196" s="564"/>
      <c r="AC196" s="564"/>
      <c r="AD196" s="564"/>
      <c r="AE196" s="564"/>
      <c r="AF196" s="564"/>
      <c r="AG196" s="564"/>
      <c r="AH196" s="564"/>
      <c r="AI196" s="564"/>
      <c r="AJ196" s="564"/>
      <c r="AK196" s="564"/>
      <c r="AL196" s="564"/>
      <c r="AM196" s="564"/>
      <c r="AN196" s="564"/>
      <c r="AO196" s="564"/>
    </row>
    <row r="197" spans="2:41" x14ac:dyDescent="0.15">
      <c r="B197" s="565">
        <v>-27</v>
      </c>
      <c r="C197" s="564">
        <v>0</v>
      </c>
      <c r="D197" s="564"/>
      <c r="E197" s="564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  <c r="Y197" s="564"/>
      <c r="Z197" s="564"/>
      <c r="AA197" s="564"/>
      <c r="AB197" s="564"/>
      <c r="AC197" s="564"/>
      <c r="AD197" s="564"/>
      <c r="AE197" s="564"/>
      <c r="AF197" s="564"/>
      <c r="AG197" s="564"/>
      <c r="AH197" s="564"/>
      <c r="AI197" s="564"/>
      <c r="AJ197" s="564"/>
      <c r="AK197" s="564"/>
      <c r="AL197" s="564"/>
      <c r="AM197" s="564"/>
      <c r="AN197" s="564"/>
      <c r="AO197" s="564"/>
    </row>
    <row r="198" spans="2:41" x14ac:dyDescent="0.15">
      <c r="B198" s="565">
        <v>-26</v>
      </c>
      <c r="C198" s="564">
        <v>0</v>
      </c>
      <c r="D198" s="564"/>
      <c r="E198" s="564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  <c r="Y198" s="564"/>
      <c r="Z198" s="564"/>
      <c r="AA198" s="564"/>
      <c r="AB198" s="564"/>
      <c r="AC198" s="564"/>
      <c r="AD198" s="564"/>
      <c r="AE198" s="564"/>
      <c r="AF198" s="564"/>
      <c r="AG198" s="564"/>
      <c r="AH198" s="564"/>
      <c r="AI198" s="564"/>
      <c r="AJ198" s="564"/>
      <c r="AK198" s="564"/>
      <c r="AL198" s="564"/>
      <c r="AM198" s="564"/>
      <c r="AN198" s="564"/>
      <c r="AO198" s="564"/>
    </row>
    <row r="199" spans="2:41" x14ac:dyDescent="0.15">
      <c r="B199" s="565">
        <v>-25</v>
      </c>
      <c r="C199" s="564">
        <v>0</v>
      </c>
      <c r="D199" s="564"/>
      <c r="E199" s="564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  <c r="Y199" s="564"/>
      <c r="Z199" s="564"/>
      <c r="AA199" s="564"/>
      <c r="AB199" s="564"/>
      <c r="AC199" s="564"/>
      <c r="AD199" s="564"/>
      <c r="AE199" s="564"/>
      <c r="AF199" s="564"/>
      <c r="AG199" s="564"/>
      <c r="AH199" s="564"/>
      <c r="AI199" s="564"/>
      <c r="AJ199" s="564"/>
      <c r="AK199" s="564"/>
      <c r="AL199" s="564"/>
      <c r="AM199" s="564"/>
      <c r="AN199" s="564"/>
      <c r="AO199" s="564"/>
    </row>
    <row r="200" spans="2:41" x14ac:dyDescent="0.15">
      <c r="B200" s="565">
        <v>-24</v>
      </c>
      <c r="C200" s="564">
        <v>0</v>
      </c>
      <c r="D200" s="564"/>
      <c r="E200" s="564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  <c r="Y200" s="564"/>
      <c r="Z200" s="564"/>
      <c r="AA200" s="564"/>
      <c r="AB200" s="564"/>
      <c r="AC200" s="564"/>
      <c r="AD200" s="564"/>
      <c r="AE200" s="564"/>
      <c r="AF200" s="564"/>
      <c r="AG200" s="564"/>
      <c r="AH200" s="564"/>
      <c r="AI200" s="564"/>
      <c r="AJ200" s="564"/>
      <c r="AK200" s="564"/>
      <c r="AL200" s="564"/>
      <c r="AM200" s="564"/>
      <c r="AN200" s="564"/>
      <c r="AO200" s="564"/>
    </row>
    <row r="201" spans="2:41" x14ac:dyDescent="0.15">
      <c r="B201" s="565">
        <v>-23</v>
      </c>
      <c r="C201" s="564">
        <v>0</v>
      </c>
      <c r="D201" s="564"/>
      <c r="E201" s="564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  <c r="Y201" s="564"/>
      <c r="Z201" s="564"/>
      <c r="AA201" s="564"/>
      <c r="AB201" s="564"/>
      <c r="AC201" s="564"/>
      <c r="AD201" s="564"/>
      <c r="AE201" s="564"/>
      <c r="AF201" s="564"/>
      <c r="AG201" s="564"/>
      <c r="AH201" s="564"/>
      <c r="AI201" s="564"/>
      <c r="AJ201" s="564"/>
      <c r="AK201" s="564"/>
      <c r="AL201" s="564"/>
      <c r="AM201" s="564"/>
      <c r="AN201" s="564"/>
      <c r="AO201" s="564"/>
    </row>
    <row r="202" spans="2:41" x14ac:dyDescent="0.15">
      <c r="B202" s="565">
        <v>-22</v>
      </c>
      <c r="C202" s="564">
        <v>0</v>
      </c>
      <c r="D202" s="564"/>
      <c r="E202" s="564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  <c r="Y202" s="564"/>
      <c r="Z202" s="564"/>
      <c r="AA202" s="564"/>
      <c r="AB202" s="564"/>
      <c r="AC202" s="564"/>
      <c r="AD202" s="564"/>
      <c r="AE202" s="564"/>
      <c r="AF202" s="564"/>
      <c r="AG202" s="564"/>
      <c r="AH202" s="564"/>
      <c r="AI202" s="564"/>
      <c r="AJ202" s="564"/>
      <c r="AK202" s="564"/>
      <c r="AL202" s="564"/>
      <c r="AM202" s="564"/>
      <c r="AN202" s="564"/>
      <c r="AO202" s="564"/>
    </row>
    <row r="203" spans="2:41" x14ac:dyDescent="0.15">
      <c r="B203" s="565">
        <v>-21</v>
      </c>
      <c r="C203" s="564">
        <v>0</v>
      </c>
      <c r="D203" s="564"/>
      <c r="E203" s="564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  <c r="Y203" s="564"/>
      <c r="Z203" s="564"/>
      <c r="AA203" s="564"/>
      <c r="AB203" s="564"/>
      <c r="AC203" s="564"/>
      <c r="AD203" s="564"/>
      <c r="AE203" s="564"/>
      <c r="AF203" s="564"/>
      <c r="AG203" s="564"/>
      <c r="AH203" s="564"/>
      <c r="AI203" s="564"/>
      <c r="AJ203" s="564"/>
      <c r="AK203" s="564"/>
      <c r="AL203" s="564"/>
      <c r="AM203" s="564"/>
      <c r="AN203" s="564"/>
      <c r="AO203" s="564"/>
    </row>
    <row r="204" spans="2:41" x14ac:dyDescent="0.15">
      <c r="B204" s="565">
        <v>-20</v>
      </c>
      <c r="C204" s="564">
        <v>0</v>
      </c>
      <c r="D204" s="564"/>
      <c r="E204" s="564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  <c r="Y204" s="564"/>
      <c r="Z204" s="564"/>
      <c r="AA204" s="564"/>
      <c r="AB204" s="564"/>
      <c r="AC204" s="564"/>
      <c r="AD204" s="564"/>
      <c r="AE204" s="564"/>
      <c r="AF204" s="564"/>
      <c r="AG204" s="564"/>
      <c r="AH204" s="564"/>
      <c r="AI204" s="564"/>
      <c r="AJ204" s="564"/>
      <c r="AK204" s="564"/>
      <c r="AL204" s="564"/>
      <c r="AM204" s="564"/>
      <c r="AN204" s="564"/>
      <c r="AO204" s="564"/>
    </row>
    <row r="205" spans="2:41" x14ac:dyDescent="0.15">
      <c r="B205" s="565">
        <v>-19</v>
      </c>
      <c r="C205" s="564">
        <v>0</v>
      </c>
      <c r="D205" s="564"/>
      <c r="E205" s="564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  <c r="Y205" s="564"/>
      <c r="Z205" s="564"/>
      <c r="AA205" s="564"/>
      <c r="AB205" s="564"/>
      <c r="AC205" s="564"/>
      <c r="AD205" s="564"/>
      <c r="AE205" s="564"/>
      <c r="AF205" s="564"/>
      <c r="AG205" s="564"/>
      <c r="AH205" s="564"/>
      <c r="AI205" s="564"/>
      <c r="AJ205" s="564"/>
      <c r="AK205" s="564"/>
      <c r="AL205" s="564"/>
      <c r="AM205" s="564"/>
      <c r="AN205" s="564"/>
      <c r="AO205" s="564"/>
    </row>
    <row r="206" spans="2:41" x14ac:dyDescent="0.15">
      <c r="B206" s="565">
        <v>-18</v>
      </c>
      <c r="C206" s="564">
        <v>4.5662100456621003E-4</v>
      </c>
      <c r="D206" s="564"/>
      <c r="E206" s="564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  <c r="Y206" s="564"/>
      <c r="Z206" s="564"/>
      <c r="AA206" s="564"/>
      <c r="AB206" s="564"/>
      <c r="AC206" s="564"/>
      <c r="AD206" s="564"/>
      <c r="AE206" s="564"/>
      <c r="AF206" s="564"/>
      <c r="AG206" s="564"/>
      <c r="AH206" s="564"/>
      <c r="AI206" s="564"/>
      <c r="AJ206" s="564"/>
      <c r="AK206" s="564"/>
      <c r="AL206" s="564"/>
      <c r="AM206" s="564"/>
      <c r="AN206" s="564"/>
      <c r="AO206" s="564"/>
    </row>
    <row r="207" spans="2:41" x14ac:dyDescent="0.15">
      <c r="B207" s="565">
        <v>-17</v>
      </c>
      <c r="C207" s="564">
        <v>1.8264840182648401E-3</v>
      </c>
      <c r="D207" s="564"/>
      <c r="E207" s="564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  <c r="Y207" s="564"/>
      <c r="Z207" s="564"/>
      <c r="AA207" s="564"/>
      <c r="AB207" s="564"/>
      <c r="AC207" s="564"/>
      <c r="AD207" s="564"/>
      <c r="AE207" s="564"/>
      <c r="AF207" s="564"/>
      <c r="AG207" s="564"/>
      <c r="AH207" s="564"/>
      <c r="AI207" s="564"/>
      <c r="AJ207" s="564"/>
      <c r="AK207" s="564"/>
      <c r="AL207" s="564"/>
      <c r="AM207" s="564"/>
      <c r="AN207" s="564"/>
      <c r="AO207" s="564"/>
    </row>
    <row r="208" spans="2:41" x14ac:dyDescent="0.15">
      <c r="B208" s="565">
        <v>-16</v>
      </c>
      <c r="C208" s="564">
        <v>3.767123287671233E-3</v>
      </c>
      <c r="D208" s="564"/>
      <c r="E208" s="564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  <c r="Y208" s="564"/>
      <c r="Z208" s="564"/>
      <c r="AA208" s="564"/>
      <c r="AB208" s="564"/>
      <c r="AC208" s="564"/>
      <c r="AD208" s="564"/>
      <c r="AE208" s="564"/>
      <c r="AF208" s="564"/>
      <c r="AG208" s="564"/>
      <c r="AH208" s="564"/>
      <c r="AI208" s="564"/>
      <c r="AJ208" s="564"/>
      <c r="AK208" s="564"/>
      <c r="AL208" s="564"/>
      <c r="AM208" s="564"/>
      <c r="AN208" s="564"/>
      <c r="AO208" s="564"/>
    </row>
    <row r="209" spans="2:41" x14ac:dyDescent="0.15">
      <c r="B209" s="565">
        <v>-15</v>
      </c>
      <c r="C209" s="564">
        <v>6.392694063926941E-3</v>
      </c>
      <c r="D209" s="564"/>
      <c r="E209" s="564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  <c r="Y209" s="564"/>
      <c r="Z209" s="564"/>
      <c r="AA209" s="564"/>
      <c r="AB209" s="564"/>
      <c r="AC209" s="564"/>
      <c r="AD209" s="564"/>
      <c r="AE209" s="564"/>
      <c r="AF209" s="564"/>
      <c r="AG209" s="564"/>
      <c r="AH209" s="564"/>
      <c r="AI209" s="564"/>
      <c r="AJ209" s="564"/>
      <c r="AK209" s="564"/>
      <c r="AL209" s="564"/>
      <c r="AM209" s="564"/>
      <c r="AN209" s="564"/>
      <c r="AO209" s="564"/>
    </row>
    <row r="210" spans="2:41" x14ac:dyDescent="0.15">
      <c r="B210" s="565">
        <v>-14</v>
      </c>
      <c r="C210" s="564">
        <v>7.4200913242009128E-3</v>
      </c>
      <c r="D210" s="564"/>
      <c r="E210" s="564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  <c r="Y210" s="564"/>
      <c r="Z210" s="564"/>
      <c r="AA210" s="564"/>
      <c r="AB210" s="564"/>
      <c r="AC210" s="564"/>
      <c r="AD210" s="564"/>
      <c r="AE210" s="564"/>
      <c r="AF210" s="564"/>
      <c r="AG210" s="564"/>
      <c r="AH210" s="564"/>
      <c r="AI210" s="564"/>
      <c r="AJ210" s="564"/>
      <c r="AK210" s="564"/>
      <c r="AL210" s="564"/>
      <c r="AM210" s="564"/>
      <c r="AN210" s="564"/>
      <c r="AO210" s="564"/>
    </row>
    <row r="211" spans="2:41" x14ac:dyDescent="0.15">
      <c r="B211" s="565">
        <v>-13</v>
      </c>
      <c r="C211" s="564">
        <v>1.1301369863013699E-2</v>
      </c>
      <c r="D211" s="564"/>
      <c r="E211" s="564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  <c r="Y211" s="564"/>
      <c r="Z211" s="564"/>
      <c r="AA211" s="564"/>
      <c r="AB211" s="564"/>
      <c r="AC211" s="564"/>
      <c r="AD211" s="564"/>
      <c r="AE211" s="564"/>
      <c r="AF211" s="564"/>
      <c r="AG211" s="564"/>
      <c r="AH211" s="564"/>
      <c r="AI211" s="564"/>
      <c r="AJ211" s="564"/>
      <c r="AK211" s="564"/>
      <c r="AL211" s="564"/>
      <c r="AM211" s="564"/>
      <c r="AN211" s="564"/>
      <c r="AO211" s="564"/>
    </row>
    <row r="212" spans="2:41" x14ac:dyDescent="0.15">
      <c r="B212" s="565">
        <v>-12</v>
      </c>
      <c r="C212" s="564">
        <v>1.4041095890410958E-2</v>
      </c>
      <c r="D212" s="564"/>
      <c r="E212" s="564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  <c r="Y212" s="564"/>
      <c r="Z212" s="564"/>
      <c r="AA212" s="564"/>
      <c r="AB212" s="564"/>
      <c r="AC212" s="564"/>
      <c r="AD212" s="564"/>
      <c r="AE212" s="564"/>
      <c r="AF212" s="564"/>
      <c r="AG212" s="564"/>
      <c r="AH212" s="564"/>
      <c r="AI212" s="564"/>
      <c r="AJ212" s="564"/>
      <c r="AK212" s="564"/>
      <c r="AL212" s="564"/>
      <c r="AM212" s="564"/>
      <c r="AN212" s="564"/>
      <c r="AO212" s="564"/>
    </row>
    <row r="213" spans="2:41" x14ac:dyDescent="0.15">
      <c r="B213" s="565">
        <v>-11</v>
      </c>
      <c r="C213" s="564">
        <v>1.872146118721461E-2</v>
      </c>
      <c r="D213" s="564"/>
      <c r="E213" s="564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  <c r="Y213" s="564"/>
      <c r="Z213" s="564"/>
      <c r="AA213" s="564"/>
      <c r="AB213" s="564"/>
      <c r="AC213" s="564"/>
      <c r="AD213" s="564"/>
      <c r="AE213" s="564"/>
      <c r="AF213" s="564"/>
      <c r="AG213" s="564"/>
      <c r="AH213" s="564"/>
      <c r="AI213" s="564"/>
      <c r="AJ213" s="564"/>
      <c r="AK213" s="564"/>
      <c r="AL213" s="564"/>
      <c r="AM213" s="564"/>
      <c r="AN213" s="564"/>
      <c r="AO213" s="564"/>
    </row>
    <row r="214" spans="2:41" x14ac:dyDescent="0.15">
      <c r="B214" s="565">
        <v>-10</v>
      </c>
      <c r="C214" s="564">
        <v>2.1232876712328767E-2</v>
      </c>
      <c r="D214" s="564"/>
      <c r="E214" s="564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  <c r="Y214" s="564"/>
      <c r="Z214" s="564"/>
      <c r="AA214" s="564"/>
      <c r="AB214" s="564"/>
      <c r="AC214" s="564"/>
      <c r="AD214" s="564"/>
      <c r="AE214" s="564"/>
      <c r="AF214" s="564"/>
      <c r="AG214" s="564"/>
      <c r="AH214" s="564"/>
      <c r="AI214" s="564"/>
      <c r="AJ214" s="564"/>
      <c r="AK214" s="564"/>
      <c r="AL214" s="564"/>
      <c r="AM214" s="564"/>
      <c r="AN214" s="564"/>
      <c r="AO214" s="564"/>
    </row>
    <row r="215" spans="2:41" x14ac:dyDescent="0.15">
      <c r="B215" s="565">
        <v>-9</v>
      </c>
      <c r="C215" s="564">
        <v>2.3173515981735161E-2</v>
      </c>
      <c r="D215" s="564"/>
      <c r="E215" s="564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  <c r="Y215" s="564"/>
      <c r="Z215" s="564"/>
      <c r="AA215" s="564"/>
      <c r="AB215" s="564"/>
      <c r="AC215" s="564"/>
      <c r="AD215" s="564"/>
      <c r="AE215" s="564"/>
      <c r="AF215" s="564"/>
      <c r="AG215" s="564"/>
      <c r="AH215" s="564"/>
      <c r="AI215" s="564"/>
      <c r="AJ215" s="564"/>
      <c r="AK215" s="564"/>
      <c r="AL215" s="564"/>
      <c r="AM215" s="564"/>
      <c r="AN215" s="564"/>
      <c r="AO215" s="564"/>
    </row>
    <row r="216" spans="2:41" x14ac:dyDescent="0.15">
      <c r="B216" s="565">
        <v>-8</v>
      </c>
      <c r="C216" s="564">
        <v>3.0365296803652967E-2</v>
      </c>
      <c r="D216" s="564"/>
      <c r="E216" s="564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  <c r="Y216" s="564"/>
      <c r="Z216" s="564"/>
      <c r="AA216" s="564"/>
      <c r="AB216" s="564"/>
      <c r="AC216" s="564"/>
      <c r="AD216" s="564"/>
      <c r="AE216" s="564"/>
      <c r="AF216" s="564"/>
      <c r="AG216" s="564"/>
      <c r="AH216" s="564"/>
      <c r="AI216" s="564"/>
      <c r="AJ216" s="564"/>
      <c r="AK216" s="564"/>
      <c r="AL216" s="564"/>
      <c r="AM216" s="564"/>
      <c r="AN216" s="564"/>
      <c r="AO216" s="564"/>
    </row>
    <row r="217" spans="2:41" x14ac:dyDescent="0.15">
      <c r="B217" s="565">
        <v>-7</v>
      </c>
      <c r="C217" s="564">
        <v>3.9041095890410958E-2</v>
      </c>
      <c r="D217" s="564"/>
      <c r="E217" s="564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  <c r="Y217" s="564"/>
      <c r="Z217" s="564"/>
      <c r="AA217" s="564"/>
      <c r="AB217" s="564"/>
      <c r="AC217" s="564"/>
      <c r="AD217" s="564"/>
      <c r="AE217" s="564"/>
      <c r="AF217" s="564"/>
      <c r="AG217" s="564"/>
      <c r="AH217" s="564"/>
      <c r="AI217" s="564"/>
      <c r="AJ217" s="564"/>
      <c r="AK217" s="564"/>
      <c r="AL217" s="564"/>
      <c r="AM217" s="564"/>
      <c r="AN217" s="564"/>
      <c r="AO217" s="564"/>
    </row>
    <row r="218" spans="2:41" x14ac:dyDescent="0.15">
      <c r="B218" s="565">
        <v>-6</v>
      </c>
      <c r="C218" s="564">
        <v>5.3538812785388128E-2</v>
      </c>
      <c r="D218" s="564"/>
      <c r="E218" s="564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  <c r="Y218" s="564"/>
      <c r="Z218" s="564"/>
      <c r="AA218" s="564"/>
      <c r="AB218" s="564"/>
      <c r="AC218" s="564"/>
      <c r="AD218" s="564"/>
      <c r="AE218" s="564"/>
      <c r="AF218" s="564"/>
      <c r="AG218" s="564"/>
      <c r="AH218" s="564"/>
      <c r="AI218" s="564"/>
      <c r="AJ218" s="564"/>
      <c r="AK218" s="564"/>
      <c r="AL218" s="564"/>
      <c r="AM218" s="564"/>
      <c r="AN218" s="564"/>
      <c r="AO218" s="564"/>
    </row>
    <row r="219" spans="2:41" x14ac:dyDescent="0.15">
      <c r="B219" s="565">
        <v>-5</v>
      </c>
      <c r="C219" s="564">
        <v>7.4543378995433784E-2</v>
      </c>
      <c r="D219" s="564"/>
      <c r="E219" s="564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  <c r="Y219" s="564"/>
      <c r="Z219" s="564"/>
      <c r="AA219" s="564"/>
      <c r="AB219" s="564"/>
      <c r="AC219" s="564"/>
      <c r="AD219" s="564"/>
      <c r="AE219" s="564"/>
      <c r="AF219" s="564"/>
      <c r="AG219" s="564"/>
      <c r="AH219" s="564"/>
      <c r="AI219" s="564"/>
      <c r="AJ219" s="564"/>
      <c r="AK219" s="564"/>
      <c r="AL219" s="564"/>
      <c r="AM219" s="564"/>
      <c r="AN219" s="564"/>
      <c r="AO219" s="564"/>
    </row>
    <row r="220" spans="2:41" x14ac:dyDescent="0.15">
      <c r="B220" s="565">
        <v>-4</v>
      </c>
      <c r="C220" s="564">
        <v>8.6872146118721461E-2</v>
      </c>
      <c r="D220" s="564"/>
      <c r="E220" s="564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  <c r="Y220" s="564"/>
      <c r="Z220" s="564"/>
      <c r="AA220" s="564"/>
      <c r="AB220" s="564"/>
      <c r="AC220" s="564"/>
      <c r="AD220" s="564"/>
      <c r="AE220" s="564"/>
      <c r="AF220" s="564"/>
      <c r="AG220" s="564"/>
      <c r="AH220" s="564"/>
      <c r="AI220" s="564"/>
      <c r="AJ220" s="564"/>
      <c r="AK220" s="564"/>
      <c r="AL220" s="564"/>
      <c r="AM220" s="564"/>
      <c r="AN220" s="564"/>
      <c r="AO220" s="564"/>
    </row>
    <row r="221" spans="2:41" x14ac:dyDescent="0.15">
      <c r="B221" s="565">
        <v>-3</v>
      </c>
      <c r="C221" s="564">
        <v>0.11780821917808219</v>
      </c>
      <c r="D221" s="564"/>
      <c r="E221" s="564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  <c r="Y221" s="564"/>
      <c r="Z221" s="564"/>
      <c r="AA221" s="564"/>
      <c r="AB221" s="564"/>
      <c r="AC221" s="564"/>
      <c r="AD221" s="564"/>
      <c r="AE221" s="564"/>
      <c r="AF221" s="564"/>
      <c r="AG221" s="564"/>
      <c r="AH221" s="564"/>
      <c r="AI221" s="564"/>
      <c r="AJ221" s="564"/>
      <c r="AK221" s="564"/>
      <c r="AL221" s="564"/>
      <c r="AM221" s="564"/>
      <c r="AN221" s="564"/>
      <c r="AO221" s="564"/>
    </row>
    <row r="222" spans="2:41" x14ac:dyDescent="0.15">
      <c r="B222" s="565">
        <v>-2</v>
      </c>
      <c r="C222" s="564">
        <v>0.16244292237442923</v>
      </c>
      <c r="D222" s="564"/>
      <c r="E222" s="564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  <c r="Y222" s="564"/>
      <c r="Z222" s="564"/>
      <c r="AA222" s="564"/>
      <c r="AB222" s="564"/>
      <c r="AC222" s="564"/>
      <c r="AD222" s="564"/>
      <c r="AE222" s="564"/>
      <c r="AF222" s="564"/>
      <c r="AG222" s="564"/>
      <c r="AH222" s="564"/>
      <c r="AI222" s="564"/>
      <c r="AJ222" s="564"/>
      <c r="AK222" s="564"/>
      <c r="AL222" s="564"/>
      <c r="AM222" s="564"/>
      <c r="AN222" s="564"/>
      <c r="AO222" s="564"/>
    </row>
    <row r="223" spans="2:41" x14ac:dyDescent="0.15">
      <c r="B223" s="565">
        <v>-1</v>
      </c>
      <c r="C223" s="564">
        <v>0.21118721461187215</v>
      </c>
      <c r="D223" s="564"/>
      <c r="E223" s="564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  <c r="Y223" s="564"/>
      <c r="Z223" s="564"/>
      <c r="AA223" s="564"/>
      <c r="AB223" s="564"/>
      <c r="AC223" s="564"/>
      <c r="AD223" s="564"/>
      <c r="AE223" s="564"/>
      <c r="AF223" s="564"/>
      <c r="AG223" s="564"/>
      <c r="AH223" s="564"/>
      <c r="AI223" s="564"/>
      <c r="AJ223" s="564"/>
      <c r="AK223" s="564"/>
      <c r="AL223" s="564"/>
      <c r="AM223" s="564"/>
      <c r="AN223" s="564"/>
      <c r="AO223" s="564"/>
    </row>
    <row r="224" spans="2:41" x14ac:dyDescent="0.15">
      <c r="B224" s="565">
        <v>0</v>
      </c>
      <c r="C224" s="564">
        <v>0.25753424657534246</v>
      </c>
      <c r="D224" s="564"/>
      <c r="E224" s="564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  <c r="Y224" s="564"/>
      <c r="Z224" s="564"/>
      <c r="AA224" s="564"/>
      <c r="AB224" s="564"/>
      <c r="AC224" s="564"/>
      <c r="AD224" s="564"/>
      <c r="AE224" s="564"/>
      <c r="AF224" s="564"/>
      <c r="AG224" s="564"/>
      <c r="AH224" s="564"/>
      <c r="AI224" s="564"/>
      <c r="AJ224" s="564"/>
      <c r="AK224" s="564"/>
      <c r="AL224" s="564"/>
      <c r="AM224" s="564"/>
      <c r="AN224" s="564"/>
      <c r="AO224" s="564"/>
    </row>
    <row r="225" spans="2:41" x14ac:dyDescent="0.15">
      <c r="B225" s="565">
        <v>1</v>
      </c>
      <c r="C225" s="564">
        <v>0.28150684931506847</v>
      </c>
      <c r="D225" s="564"/>
      <c r="E225" s="564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  <c r="Y225" s="564"/>
      <c r="Z225" s="564"/>
      <c r="AA225" s="564"/>
      <c r="AB225" s="564"/>
      <c r="AC225" s="564"/>
      <c r="AD225" s="564"/>
      <c r="AE225" s="564"/>
      <c r="AF225" s="564"/>
      <c r="AG225" s="564"/>
      <c r="AH225" s="564"/>
      <c r="AI225" s="564"/>
      <c r="AJ225" s="564"/>
      <c r="AK225" s="564"/>
      <c r="AL225" s="564"/>
      <c r="AM225" s="564"/>
      <c r="AN225" s="564"/>
      <c r="AO225" s="564"/>
    </row>
    <row r="226" spans="2:41" x14ac:dyDescent="0.15">
      <c r="B226" s="565">
        <v>2</v>
      </c>
      <c r="C226" s="564">
        <v>0.33550228310502284</v>
      </c>
      <c r="D226" s="564"/>
      <c r="E226" s="564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  <c r="Y226" s="564"/>
      <c r="Z226" s="564"/>
      <c r="AA226" s="564"/>
      <c r="AB226" s="564"/>
      <c r="AC226" s="564"/>
      <c r="AD226" s="564"/>
      <c r="AE226" s="564"/>
      <c r="AF226" s="564"/>
      <c r="AG226" s="564"/>
      <c r="AH226" s="564"/>
      <c r="AI226" s="564"/>
      <c r="AJ226" s="564"/>
      <c r="AK226" s="564"/>
      <c r="AL226" s="564"/>
      <c r="AM226" s="564"/>
      <c r="AN226" s="564"/>
      <c r="AO226" s="564"/>
    </row>
    <row r="227" spans="2:41" x14ac:dyDescent="0.15">
      <c r="B227" s="565">
        <v>3</v>
      </c>
      <c r="C227" s="564">
        <v>0.38824200913242007</v>
      </c>
      <c r="D227" s="564"/>
      <c r="E227" s="564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  <c r="Y227" s="564"/>
      <c r="Z227" s="564"/>
      <c r="AA227" s="564"/>
      <c r="AB227" s="564"/>
      <c r="AC227" s="564"/>
      <c r="AD227" s="564"/>
      <c r="AE227" s="564"/>
      <c r="AF227" s="564"/>
      <c r="AG227" s="564"/>
      <c r="AH227" s="564"/>
      <c r="AI227" s="564"/>
      <c r="AJ227" s="564"/>
      <c r="AK227" s="564"/>
      <c r="AL227" s="564"/>
      <c r="AM227" s="564"/>
      <c r="AN227" s="564"/>
      <c r="AO227" s="564"/>
    </row>
    <row r="228" spans="2:41" x14ac:dyDescent="0.15">
      <c r="B228" s="565">
        <v>4</v>
      </c>
      <c r="C228" s="564">
        <v>0.44189497716894977</v>
      </c>
      <c r="D228" s="564"/>
      <c r="E228" s="564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  <c r="Y228" s="564"/>
      <c r="Z228" s="564"/>
      <c r="AA228" s="564"/>
      <c r="AB228" s="564"/>
      <c r="AC228" s="564"/>
      <c r="AD228" s="564"/>
      <c r="AE228" s="564"/>
      <c r="AF228" s="564"/>
      <c r="AG228" s="564"/>
      <c r="AH228" s="564"/>
      <c r="AI228" s="564"/>
      <c r="AJ228" s="564"/>
      <c r="AK228" s="564"/>
      <c r="AL228" s="564"/>
      <c r="AM228" s="564"/>
      <c r="AN228" s="564"/>
      <c r="AO228" s="564"/>
    </row>
    <row r="229" spans="2:41" x14ac:dyDescent="0.15">
      <c r="B229" s="565">
        <v>5</v>
      </c>
      <c r="C229" s="564">
        <v>0.48162100456621004</v>
      </c>
      <c r="D229" s="564"/>
      <c r="E229" s="564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  <c r="Y229" s="564"/>
      <c r="Z229" s="564"/>
      <c r="AA229" s="564"/>
      <c r="AB229" s="564"/>
      <c r="AC229" s="564"/>
      <c r="AD229" s="564"/>
      <c r="AE229" s="564"/>
      <c r="AF229" s="564"/>
      <c r="AG229" s="564"/>
      <c r="AH229" s="564"/>
      <c r="AI229" s="564"/>
      <c r="AJ229" s="564"/>
      <c r="AK229" s="564"/>
      <c r="AL229" s="564"/>
      <c r="AM229" s="564"/>
      <c r="AN229" s="564"/>
      <c r="AO229" s="564"/>
    </row>
    <row r="230" spans="2:41" x14ac:dyDescent="0.15">
      <c r="B230" s="565">
        <v>6</v>
      </c>
      <c r="C230" s="564">
        <v>0.49771689497716892</v>
      </c>
      <c r="D230" s="564"/>
      <c r="E230" s="564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  <c r="Y230" s="564"/>
      <c r="Z230" s="564"/>
      <c r="AA230" s="564"/>
      <c r="AB230" s="564"/>
      <c r="AC230" s="564"/>
      <c r="AD230" s="564"/>
      <c r="AE230" s="564"/>
      <c r="AF230" s="564"/>
      <c r="AG230" s="564"/>
      <c r="AH230" s="564"/>
      <c r="AI230" s="564"/>
      <c r="AJ230" s="564"/>
      <c r="AK230" s="564"/>
      <c r="AL230" s="564"/>
      <c r="AM230" s="564"/>
      <c r="AN230" s="564"/>
      <c r="AO230" s="564"/>
    </row>
    <row r="231" spans="2:41" x14ac:dyDescent="0.15">
      <c r="B231" s="565">
        <v>7</v>
      </c>
      <c r="C231" s="564">
        <v>0.53230593607305932</v>
      </c>
      <c r="D231" s="564"/>
      <c r="E231" s="564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  <c r="Y231" s="564"/>
      <c r="Z231" s="564"/>
      <c r="AA231" s="564"/>
      <c r="AB231" s="564"/>
      <c r="AC231" s="564"/>
      <c r="AD231" s="564"/>
      <c r="AE231" s="564"/>
      <c r="AF231" s="564"/>
      <c r="AG231" s="564"/>
      <c r="AH231" s="564"/>
      <c r="AI231" s="564"/>
      <c r="AJ231" s="564"/>
      <c r="AK231" s="564"/>
      <c r="AL231" s="564"/>
      <c r="AM231" s="564"/>
      <c r="AN231" s="564"/>
      <c r="AO231" s="564"/>
    </row>
    <row r="232" spans="2:41" x14ac:dyDescent="0.15">
      <c r="B232" s="565">
        <v>8</v>
      </c>
      <c r="C232" s="564">
        <v>0.56666666666666665</v>
      </c>
      <c r="D232" s="564"/>
      <c r="E232" s="564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  <c r="Y232" s="564"/>
      <c r="Z232" s="564"/>
      <c r="AA232" s="564"/>
      <c r="AB232" s="564"/>
      <c r="AC232" s="564"/>
      <c r="AD232" s="564"/>
      <c r="AE232" s="564"/>
      <c r="AF232" s="564"/>
      <c r="AG232" s="564"/>
      <c r="AH232" s="564"/>
      <c r="AI232" s="564"/>
      <c r="AJ232" s="564"/>
      <c r="AK232" s="564"/>
      <c r="AL232" s="564"/>
      <c r="AM232" s="564"/>
      <c r="AN232" s="564"/>
      <c r="AO232" s="564"/>
    </row>
    <row r="233" spans="2:41" x14ac:dyDescent="0.15">
      <c r="B233" s="565">
        <v>9</v>
      </c>
      <c r="C233" s="564">
        <v>0.60136986301369866</v>
      </c>
      <c r="D233" s="564"/>
      <c r="E233" s="564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  <c r="Y233" s="564"/>
      <c r="Z233" s="564"/>
      <c r="AA233" s="564"/>
      <c r="AB233" s="564"/>
      <c r="AC233" s="564"/>
      <c r="AD233" s="564"/>
      <c r="AE233" s="564"/>
      <c r="AF233" s="564"/>
      <c r="AG233" s="564"/>
      <c r="AH233" s="564"/>
      <c r="AI233" s="564"/>
      <c r="AJ233" s="564"/>
      <c r="AK233" s="564"/>
      <c r="AL233" s="564"/>
      <c r="AM233" s="564"/>
      <c r="AN233" s="564"/>
      <c r="AO233" s="564"/>
    </row>
    <row r="234" spans="2:41" x14ac:dyDescent="0.15">
      <c r="B234" s="565">
        <v>10</v>
      </c>
      <c r="C234" s="564">
        <v>0.64577625570776254</v>
      </c>
      <c r="D234" s="564"/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  <c r="Y234" s="564"/>
      <c r="Z234" s="564"/>
      <c r="AA234" s="564"/>
      <c r="AB234" s="564"/>
      <c r="AC234" s="564"/>
      <c r="AD234" s="564"/>
      <c r="AE234" s="564"/>
      <c r="AF234" s="564"/>
      <c r="AG234" s="564"/>
      <c r="AH234" s="564"/>
      <c r="AI234" s="564"/>
      <c r="AJ234" s="564"/>
      <c r="AK234" s="564"/>
      <c r="AL234" s="564"/>
      <c r="AM234" s="564"/>
      <c r="AN234" s="564"/>
      <c r="AO234" s="564"/>
    </row>
    <row r="235" spans="2:41" x14ac:dyDescent="0.15">
      <c r="B235" s="565">
        <v>11</v>
      </c>
      <c r="C235" s="564">
        <v>0.67168949771689501</v>
      </c>
      <c r="D235" s="564"/>
      <c r="E235" s="564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  <c r="Y235" s="564"/>
      <c r="Z235" s="564"/>
      <c r="AA235" s="564"/>
      <c r="AB235" s="564"/>
      <c r="AC235" s="564"/>
      <c r="AD235" s="564"/>
      <c r="AE235" s="564"/>
      <c r="AF235" s="564"/>
      <c r="AG235" s="564"/>
      <c r="AH235" s="564"/>
      <c r="AI235" s="564"/>
      <c r="AJ235" s="564"/>
      <c r="AK235" s="564"/>
      <c r="AL235" s="564"/>
      <c r="AM235" s="564"/>
      <c r="AN235" s="564"/>
      <c r="AO235" s="564"/>
    </row>
    <row r="236" spans="2:41" x14ac:dyDescent="0.15">
      <c r="B236" s="565">
        <v>12</v>
      </c>
      <c r="C236" s="564">
        <v>0.72568493150684932</v>
      </c>
      <c r="D236" s="564"/>
      <c r="E236" s="564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  <c r="Y236" s="564"/>
      <c r="Z236" s="564"/>
      <c r="AA236" s="564"/>
      <c r="AB236" s="564"/>
      <c r="AC236" s="564"/>
      <c r="AD236" s="564"/>
      <c r="AE236" s="564"/>
      <c r="AF236" s="564"/>
      <c r="AG236" s="564"/>
      <c r="AH236" s="564"/>
      <c r="AI236" s="564"/>
      <c r="AJ236" s="564"/>
      <c r="AK236" s="564"/>
      <c r="AL236" s="564"/>
      <c r="AM236" s="564"/>
      <c r="AN236" s="564"/>
      <c r="AO236" s="564"/>
    </row>
    <row r="237" spans="2:41" x14ac:dyDescent="0.15">
      <c r="B237" s="565">
        <v>13</v>
      </c>
      <c r="C237" s="564">
        <v>0.77579908675799092</v>
      </c>
      <c r="D237" s="564"/>
      <c r="E237" s="564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  <c r="Y237" s="564"/>
      <c r="Z237" s="564"/>
      <c r="AA237" s="564"/>
      <c r="AB237" s="564"/>
      <c r="AC237" s="564"/>
      <c r="AD237" s="564"/>
      <c r="AE237" s="564"/>
      <c r="AF237" s="564"/>
      <c r="AG237" s="564"/>
      <c r="AH237" s="564"/>
      <c r="AI237" s="564"/>
      <c r="AJ237" s="564"/>
      <c r="AK237" s="564"/>
      <c r="AL237" s="564"/>
      <c r="AM237" s="564"/>
      <c r="AN237" s="564"/>
      <c r="AO237" s="564"/>
    </row>
    <row r="238" spans="2:41" x14ac:dyDescent="0.15">
      <c r="B238" s="565">
        <v>14</v>
      </c>
      <c r="C238" s="564">
        <v>0.82248858447488582</v>
      </c>
      <c r="D238" s="564"/>
      <c r="E238" s="564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  <c r="Y238" s="564"/>
      <c r="Z238" s="564"/>
      <c r="AA238" s="564"/>
      <c r="AB238" s="564"/>
      <c r="AC238" s="564"/>
      <c r="AD238" s="564"/>
      <c r="AE238" s="564"/>
      <c r="AF238" s="564"/>
      <c r="AG238" s="564"/>
      <c r="AH238" s="564"/>
      <c r="AI238" s="564"/>
      <c r="AJ238" s="564"/>
      <c r="AK238" s="564"/>
      <c r="AL238" s="564"/>
      <c r="AM238" s="564"/>
      <c r="AN238" s="564"/>
      <c r="AO238" s="564"/>
    </row>
    <row r="239" spans="2:41" x14ac:dyDescent="0.15">
      <c r="B239" s="565">
        <v>15</v>
      </c>
      <c r="C239" s="564">
        <v>0.86130136986301364</v>
      </c>
      <c r="D239" s="564"/>
      <c r="E239" s="564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  <c r="Y239" s="564"/>
      <c r="Z239" s="564"/>
      <c r="AA239" s="564"/>
      <c r="AB239" s="564"/>
      <c r="AC239" s="564"/>
      <c r="AD239" s="564"/>
      <c r="AE239" s="564"/>
      <c r="AF239" s="564"/>
      <c r="AG239" s="564"/>
      <c r="AH239" s="564"/>
      <c r="AI239" s="564"/>
      <c r="AJ239" s="564"/>
      <c r="AK239" s="564"/>
      <c r="AL239" s="564"/>
      <c r="AM239" s="564"/>
      <c r="AN239" s="564"/>
      <c r="AO239" s="564"/>
    </row>
    <row r="240" spans="2:41" x14ac:dyDescent="0.15">
      <c r="B240" s="565">
        <v>16</v>
      </c>
      <c r="C240" s="564">
        <v>0.88299086757990863</v>
      </c>
      <c r="D240" s="564"/>
      <c r="E240" s="564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  <c r="Y240" s="564"/>
      <c r="Z240" s="564"/>
      <c r="AA240" s="564"/>
      <c r="AB240" s="564"/>
      <c r="AC240" s="564"/>
      <c r="AD240" s="564"/>
      <c r="AE240" s="564"/>
      <c r="AF240" s="564"/>
      <c r="AG240" s="564"/>
      <c r="AH240" s="564"/>
      <c r="AI240" s="564"/>
      <c r="AJ240" s="564"/>
      <c r="AK240" s="564"/>
      <c r="AL240" s="564"/>
      <c r="AM240" s="564"/>
      <c r="AN240" s="564"/>
      <c r="AO240" s="564"/>
    </row>
    <row r="241" spans="2:41" x14ac:dyDescent="0.15">
      <c r="B241" s="565">
        <v>17</v>
      </c>
      <c r="C241" s="564">
        <v>0.9178082191780822</v>
      </c>
      <c r="D241" s="564"/>
      <c r="E241" s="564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  <c r="Y241" s="564"/>
      <c r="Z241" s="564"/>
      <c r="AA241" s="564"/>
      <c r="AB241" s="564"/>
      <c r="AC241" s="564"/>
      <c r="AD241" s="564"/>
      <c r="AE241" s="564"/>
      <c r="AF241" s="564"/>
      <c r="AG241" s="564"/>
      <c r="AH241" s="564"/>
      <c r="AI241" s="564"/>
      <c r="AJ241" s="564"/>
      <c r="AK241" s="564"/>
      <c r="AL241" s="564"/>
      <c r="AM241" s="564"/>
      <c r="AN241" s="564"/>
      <c r="AO241" s="564"/>
    </row>
    <row r="242" spans="2:41" x14ac:dyDescent="0.15">
      <c r="B242" s="565">
        <v>18</v>
      </c>
      <c r="C242" s="564">
        <v>0.94509132420091324</v>
      </c>
      <c r="D242" s="564"/>
      <c r="E242" s="564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  <c r="Y242" s="564"/>
      <c r="Z242" s="564"/>
      <c r="AA242" s="564"/>
      <c r="AB242" s="564"/>
      <c r="AC242" s="564"/>
      <c r="AD242" s="564"/>
      <c r="AE242" s="564"/>
      <c r="AF242" s="564"/>
      <c r="AG242" s="564"/>
      <c r="AH242" s="564"/>
      <c r="AI242" s="564"/>
      <c r="AJ242" s="564"/>
      <c r="AK242" s="564"/>
      <c r="AL242" s="564"/>
      <c r="AM242" s="564"/>
      <c r="AN242" s="564"/>
      <c r="AO242" s="564"/>
    </row>
    <row r="243" spans="2:41" x14ac:dyDescent="0.15">
      <c r="B243" s="565">
        <v>19</v>
      </c>
      <c r="C243" s="564">
        <v>0.96369863013698631</v>
      </c>
      <c r="D243" s="564"/>
      <c r="E243" s="564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  <c r="Y243" s="564"/>
      <c r="Z243" s="564"/>
      <c r="AA243" s="564"/>
      <c r="AB243" s="564"/>
      <c r="AC243" s="564"/>
      <c r="AD243" s="564"/>
      <c r="AE243" s="564"/>
      <c r="AF243" s="564"/>
      <c r="AG243" s="564"/>
      <c r="AH243" s="564"/>
      <c r="AI243" s="564"/>
      <c r="AJ243" s="564"/>
      <c r="AK243" s="564"/>
      <c r="AL243" s="564"/>
      <c r="AM243" s="564"/>
      <c r="AN243" s="564"/>
      <c r="AO243" s="564"/>
    </row>
    <row r="244" spans="2:41" x14ac:dyDescent="0.15">
      <c r="B244" s="565">
        <v>20</v>
      </c>
      <c r="C244" s="564">
        <v>0.97659817351598177</v>
      </c>
      <c r="D244" s="564"/>
      <c r="E244" s="564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  <c r="Y244" s="564"/>
      <c r="Z244" s="564"/>
      <c r="AA244" s="564"/>
      <c r="AB244" s="564"/>
      <c r="AC244" s="564"/>
      <c r="AD244" s="564"/>
      <c r="AE244" s="564"/>
      <c r="AF244" s="564"/>
      <c r="AG244" s="564"/>
      <c r="AH244" s="564"/>
      <c r="AI244" s="564"/>
      <c r="AJ244" s="564"/>
      <c r="AK244" s="564"/>
      <c r="AL244" s="564"/>
      <c r="AM244" s="564"/>
      <c r="AN244" s="564"/>
      <c r="AO244" s="564"/>
    </row>
    <row r="245" spans="2:41" x14ac:dyDescent="0.15">
      <c r="B245" s="565">
        <v>21</v>
      </c>
      <c r="C245" s="564">
        <v>0.9817351598173516</v>
      </c>
      <c r="D245" s="564"/>
      <c r="E245" s="564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  <c r="Y245" s="564"/>
      <c r="Z245" s="564"/>
      <c r="AA245" s="564"/>
      <c r="AB245" s="564"/>
      <c r="AC245" s="564"/>
      <c r="AD245" s="564"/>
      <c r="AE245" s="564"/>
      <c r="AF245" s="564"/>
      <c r="AG245" s="564"/>
      <c r="AH245" s="564"/>
      <c r="AI245" s="564"/>
      <c r="AJ245" s="564"/>
      <c r="AK245" s="564"/>
      <c r="AL245" s="564"/>
      <c r="AM245" s="564"/>
      <c r="AN245" s="564"/>
      <c r="AO245" s="564"/>
    </row>
    <row r="246" spans="2:41" x14ac:dyDescent="0.15">
      <c r="B246" s="565">
        <v>22</v>
      </c>
      <c r="C246" s="564">
        <v>0.98847031963470322</v>
      </c>
      <c r="D246" s="564"/>
      <c r="E246" s="564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  <c r="Y246" s="564"/>
      <c r="Z246" s="564"/>
      <c r="AA246" s="564"/>
      <c r="AB246" s="564"/>
      <c r="AC246" s="564"/>
      <c r="AD246" s="564"/>
      <c r="AE246" s="564"/>
      <c r="AF246" s="564"/>
      <c r="AG246" s="564"/>
      <c r="AH246" s="564"/>
      <c r="AI246" s="564"/>
      <c r="AJ246" s="564"/>
      <c r="AK246" s="564"/>
      <c r="AL246" s="564"/>
      <c r="AM246" s="564"/>
      <c r="AN246" s="564"/>
      <c r="AO246" s="564"/>
    </row>
    <row r="247" spans="2:41" x14ac:dyDescent="0.15">
      <c r="B247" s="565">
        <v>23</v>
      </c>
      <c r="C247" s="564">
        <v>0.99372146118721461</v>
      </c>
      <c r="D247" s="564"/>
      <c r="E247" s="564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  <c r="Y247" s="564"/>
      <c r="Z247" s="564"/>
      <c r="AA247" s="564"/>
      <c r="AB247" s="564"/>
      <c r="AC247" s="564"/>
      <c r="AD247" s="564"/>
      <c r="AE247" s="564"/>
      <c r="AF247" s="564"/>
      <c r="AG247" s="564"/>
      <c r="AH247" s="564"/>
      <c r="AI247" s="564"/>
      <c r="AJ247" s="564"/>
      <c r="AK247" s="564"/>
      <c r="AL247" s="564"/>
      <c r="AM247" s="564"/>
      <c r="AN247" s="564"/>
      <c r="AO247" s="564"/>
    </row>
    <row r="248" spans="2:41" x14ac:dyDescent="0.15">
      <c r="B248" s="565">
        <v>24</v>
      </c>
      <c r="C248" s="564">
        <v>0.9963470319634703</v>
      </c>
      <c r="D248" s="564"/>
      <c r="E248" s="564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  <c r="Y248" s="564"/>
      <c r="Z248" s="564"/>
      <c r="AA248" s="564"/>
      <c r="AB248" s="564"/>
      <c r="AC248" s="564"/>
      <c r="AD248" s="564"/>
      <c r="AE248" s="564"/>
      <c r="AF248" s="564"/>
      <c r="AG248" s="564"/>
      <c r="AH248" s="564"/>
      <c r="AI248" s="564"/>
      <c r="AJ248" s="564"/>
      <c r="AK248" s="564"/>
      <c r="AL248" s="564"/>
      <c r="AM248" s="564"/>
      <c r="AN248" s="564"/>
      <c r="AO248" s="564"/>
    </row>
    <row r="249" spans="2:41" x14ac:dyDescent="0.15">
      <c r="B249" s="565">
        <v>25</v>
      </c>
      <c r="C249" s="564">
        <v>0.99840182648401832</v>
      </c>
      <c r="D249" s="564"/>
      <c r="E249" s="564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  <c r="Y249" s="564"/>
      <c r="Z249" s="564"/>
      <c r="AA249" s="564"/>
      <c r="AB249" s="564"/>
      <c r="AC249" s="564"/>
      <c r="AD249" s="564"/>
      <c r="AE249" s="564"/>
      <c r="AF249" s="564"/>
      <c r="AG249" s="564"/>
      <c r="AH249" s="564"/>
      <c r="AI249" s="564"/>
      <c r="AJ249" s="564"/>
      <c r="AK249" s="564"/>
      <c r="AL249" s="564"/>
      <c r="AM249" s="564"/>
      <c r="AN249" s="564"/>
      <c r="AO249" s="564"/>
    </row>
    <row r="250" spans="2:41" x14ac:dyDescent="0.15">
      <c r="B250" s="565">
        <v>26</v>
      </c>
      <c r="C250" s="564">
        <v>0.99908675799086755</v>
      </c>
      <c r="D250" s="564"/>
      <c r="E250" s="564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  <c r="Y250" s="564"/>
      <c r="Z250" s="564"/>
      <c r="AA250" s="564"/>
      <c r="AB250" s="564"/>
      <c r="AC250" s="564"/>
      <c r="AD250" s="564"/>
      <c r="AE250" s="564"/>
      <c r="AF250" s="564"/>
      <c r="AG250" s="564"/>
      <c r="AH250" s="564"/>
      <c r="AI250" s="564"/>
      <c r="AJ250" s="564"/>
      <c r="AK250" s="564"/>
      <c r="AL250" s="564"/>
      <c r="AM250" s="564"/>
      <c r="AN250" s="564"/>
      <c r="AO250" s="564"/>
    </row>
    <row r="251" spans="2:41" x14ac:dyDescent="0.15">
      <c r="B251" s="565">
        <v>27</v>
      </c>
      <c r="C251" s="564">
        <v>0.99965753424657533</v>
      </c>
      <c r="D251" s="564"/>
      <c r="E251" s="564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  <c r="Y251" s="564"/>
      <c r="Z251" s="564"/>
      <c r="AA251" s="564"/>
      <c r="AB251" s="564"/>
      <c r="AC251" s="564"/>
      <c r="AD251" s="564"/>
      <c r="AE251" s="564"/>
      <c r="AF251" s="564"/>
      <c r="AG251" s="564"/>
      <c r="AH251" s="564"/>
      <c r="AI251" s="564"/>
      <c r="AJ251" s="564"/>
      <c r="AK251" s="564"/>
      <c r="AL251" s="564"/>
      <c r="AM251" s="564"/>
      <c r="AN251" s="564"/>
      <c r="AO251" s="564"/>
    </row>
    <row r="252" spans="2:41" x14ac:dyDescent="0.15">
      <c r="B252" s="565">
        <v>28</v>
      </c>
      <c r="C252" s="564">
        <v>1</v>
      </c>
      <c r="D252" s="564"/>
      <c r="E252" s="564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  <c r="Y252" s="564"/>
      <c r="Z252" s="564"/>
      <c r="AA252" s="564"/>
      <c r="AB252" s="564"/>
      <c r="AC252" s="564"/>
      <c r="AD252" s="564"/>
      <c r="AE252" s="564"/>
      <c r="AF252" s="564"/>
      <c r="AG252" s="564"/>
      <c r="AH252" s="564"/>
      <c r="AI252" s="564"/>
      <c r="AJ252" s="564"/>
      <c r="AK252" s="564"/>
      <c r="AL252" s="564"/>
      <c r="AM252" s="564"/>
      <c r="AN252" s="564"/>
      <c r="AO252" s="564"/>
    </row>
    <row r="253" spans="2:41" x14ac:dyDescent="0.15">
      <c r="B253" s="565">
        <v>29</v>
      </c>
      <c r="C253" s="564">
        <v>1</v>
      </c>
      <c r="D253" s="564"/>
      <c r="E253" s="564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  <c r="Y253" s="564"/>
      <c r="Z253" s="564"/>
      <c r="AA253" s="564"/>
      <c r="AB253" s="564"/>
      <c r="AC253" s="564"/>
      <c r="AD253" s="564"/>
      <c r="AE253" s="564"/>
      <c r="AF253" s="564"/>
      <c r="AG253" s="564"/>
      <c r="AH253" s="564"/>
      <c r="AI253" s="564"/>
      <c r="AJ253" s="564"/>
      <c r="AK253" s="564"/>
      <c r="AL253" s="564"/>
      <c r="AM253" s="564"/>
      <c r="AN253" s="564"/>
      <c r="AO253" s="564"/>
    </row>
    <row r="254" spans="2:41" x14ac:dyDescent="0.15">
      <c r="B254" s="565">
        <v>30</v>
      </c>
      <c r="C254" s="564">
        <v>1</v>
      </c>
      <c r="D254" s="564"/>
      <c r="E254" s="564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  <c r="Y254" s="564"/>
      <c r="Z254" s="564"/>
      <c r="AA254" s="564"/>
      <c r="AB254" s="564"/>
      <c r="AC254" s="564"/>
      <c r="AD254" s="564"/>
      <c r="AE254" s="564"/>
      <c r="AF254" s="564"/>
      <c r="AG254" s="564"/>
      <c r="AH254" s="564"/>
      <c r="AI254" s="564"/>
      <c r="AJ254" s="564"/>
      <c r="AK254" s="564"/>
      <c r="AL254" s="564"/>
      <c r="AM254" s="564"/>
      <c r="AN254" s="564"/>
      <c r="AO254" s="564"/>
    </row>
    <row r="255" spans="2:41" x14ac:dyDescent="0.15">
      <c r="B255" s="565">
        <v>31</v>
      </c>
      <c r="C255" s="564">
        <v>1</v>
      </c>
      <c r="D255" s="564"/>
      <c r="E255" s="564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  <c r="Y255" s="564"/>
      <c r="Z255" s="564"/>
      <c r="AA255" s="564"/>
      <c r="AB255" s="564"/>
      <c r="AC255" s="564"/>
      <c r="AD255" s="564"/>
      <c r="AE255" s="564"/>
      <c r="AF255" s="564"/>
      <c r="AG255" s="564"/>
      <c r="AH255" s="564"/>
      <c r="AI255" s="564"/>
      <c r="AJ255" s="564"/>
      <c r="AK255" s="564"/>
      <c r="AL255" s="564"/>
      <c r="AM255" s="564"/>
      <c r="AN255" s="564"/>
      <c r="AO255" s="564"/>
    </row>
    <row r="256" spans="2:41" x14ac:dyDescent="0.15">
      <c r="B256" s="565">
        <v>32</v>
      </c>
      <c r="C256" s="564">
        <v>1</v>
      </c>
      <c r="D256" s="564"/>
      <c r="E256" s="564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  <c r="Y256" s="564"/>
      <c r="Z256" s="564"/>
      <c r="AA256" s="564"/>
      <c r="AB256" s="564"/>
      <c r="AC256" s="564"/>
      <c r="AD256" s="564"/>
      <c r="AE256" s="564"/>
      <c r="AF256" s="564"/>
      <c r="AG256" s="564"/>
      <c r="AH256" s="564"/>
      <c r="AI256" s="564"/>
      <c r="AJ256" s="564"/>
      <c r="AK256" s="564"/>
      <c r="AL256" s="564"/>
      <c r="AM256" s="564"/>
      <c r="AN256" s="564"/>
      <c r="AO256" s="564"/>
    </row>
    <row r="257" spans="2:41" x14ac:dyDescent="0.15">
      <c r="B257" s="565">
        <v>33</v>
      </c>
      <c r="C257" s="564">
        <v>1</v>
      </c>
      <c r="D257" s="564"/>
      <c r="E257" s="564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  <c r="Y257" s="564"/>
      <c r="Z257" s="564"/>
      <c r="AA257" s="564"/>
      <c r="AB257" s="564"/>
      <c r="AC257" s="564"/>
      <c r="AD257" s="564"/>
      <c r="AE257" s="564"/>
      <c r="AF257" s="564"/>
      <c r="AG257" s="564"/>
      <c r="AH257" s="564"/>
      <c r="AI257" s="564"/>
      <c r="AJ257" s="564"/>
      <c r="AK257" s="564"/>
      <c r="AL257" s="564"/>
      <c r="AM257" s="564"/>
      <c r="AN257" s="564"/>
      <c r="AO257" s="564"/>
    </row>
    <row r="258" spans="2:41" x14ac:dyDescent="0.15">
      <c r="B258" s="565">
        <v>34</v>
      </c>
      <c r="C258" s="564">
        <v>1</v>
      </c>
      <c r="D258" s="564"/>
      <c r="E258" s="564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  <c r="Y258" s="564"/>
      <c r="Z258" s="564"/>
      <c r="AA258" s="564"/>
      <c r="AB258" s="564"/>
      <c r="AC258" s="564"/>
      <c r="AD258" s="564"/>
      <c r="AE258" s="564"/>
      <c r="AF258" s="564"/>
      <c r="AG258" s="564"/>
      <c r="AH258" s="564"/>
      <c r="AI258" s="564"/>
      <c r="AJ258" s="564"/>
      <c r="AK258" s="564"/>
      <c r="AL258" s="564"/>
      <c r="AM258" s="564"/>
      <c r="AN258" s="564"/>
      <c r="AO258" s="564"/>
    </row>
    <row r="259" spans="2:41" x14ac:dyDescent="0.15">
      <c r="B259" s="565">
        <v>35</v>
      </c>
      <c r="C259" s="564">
        <v>1</v>
      </c>
      <c r="D259" s="564"/>
      <c r="E259" s="564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  <c r="Y259" s="564"/>
      <c r="Z259" s="564"/>
      <c r="AA259" s="564"/>
      <c r="AB259" s="564"/>
      <c r="AC259" s="564"/>
      <c r="AD259" s="564"/>
      <c r="AE259" s="564"/>
      <c r="AF259" s="564"/>
      <c r="AG259" s="564"/>
      <c r="AH259" s="564"/>
      <c r="AI259" s="564"/>
      <c r="AJ259" s="564"/>
      <c r="AK259" s="564"/>
      <c r="AL259" s="564"/>
      <c r="AM259" s="564"/>
      <c r="AN259" s="564"/>
      <c r="AO259" s="564"/>
    </row>
    <row r="260" spans="2:41" x14ac:dyDescent="0.15">
      <c r="B260" s="565">
        <v>36</v>
      </c>
      <c r="C260" s="564">
        <v>1</v>
      </c>
      <c r="D260" s="564"/>
      <c r="E260" s="564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  <c r="Y260" s="564"/>
      <c r="Z260" s="564"/>
      <c r="AA260" s="564"/>
      <c r="AB260" s="564"/>
      <c r="AC260" s="564"/>
      <c r="AD260" s="564"/>
      <c r="AE260" s="564"/>
      <c r="AF260" s="564"/>
      <c r="AG260" s="564"/>
      <c r="AH260" s="564"/>
      <c r="AI260" s="564"/>
      <c r="AJ260" s="564"/>
      <c r="AK260" s="564"/>
      <c r="AL260" s="564"/>
      <c r="AM260" s="564"/>
      <c r="AN260" s="564"/>
      <c r="AO260" s="564"/>
    </row>
    <row r="261" spans="2:41" x14ac:dyDescent="0.15">
      <c r="B261" s="565">
        <v>37</v>
      </c>
      <c r="C261" s="564">
        <v>1</v>
      </c>
      <c r="D261" s="564"/>
      <c r="E261" s="564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  <c r="Y261" s="564"/>
      <c r="Z261" s="564"/>
      <c r="AA261" s="564"/>
      <c r="AB261" s="564"/>
      <c r="AC261" s="564"/>
      <c r="AD261" s="564"/>
      <c r="AE261" s="564"/>
      <c r="AF261" s="564"/>
      <c r="AG261" s="564"/>
      <c r="AH261" s="564"/>
      <c r="AI261" s="564"/>
      <c r="AJ261" s="564"/>
      <c r="AK261" s="564"/>
      <c r="AL261" s="564"/>
      <c r="AM261" s="564"/>
      <c r="AN261" s="564"/>
      <c r="AO261" s="564"/>
    </row>
    <row r="262" spans="2:41" x14ac:dyDescent="0.15">
      <c r="B262" s="565">
        <v>38</v>
      </c>
      <c r="C262" s="564">
        <v>1</v>
      </c>
      <c r="D262" s="564"/>
      <c r="E262" s="564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  <c r="Y262" s="564"/>
      <c r="Z262" s="564"/>
      <c r="AA262" s="564"/>
      <c r="AB262" s="564"/>
      <c r="AC262" s="564"/>
      <c r="AD262" s="564"/>
      <c r="AE262" s="564"/>
      <c r="AF262" s="564"/>
      <c r="AG262" s="564"/>
      <c r="AH262" s="564"/>
      <c r="AI262" s="564"/>
      <c r="AJ262" s="564"/>
      <c r="AK262" s="564"/>
      <c r="AL262" s="564"/>
      <c r="AM262" s="564"/>
      <c r="AN262" s="564"/>
      <c r="AO262" s="564"/>
    </row>
    <row r="263" spans="2:41" x14ac:dyDescent="0.15">
      <c r="B263" s="565">
        <v>39</v>
      </c>
      <c r="C263" s="564">
        <v>1</v>
      </c>
      <c r="D263" s="564"/>
      <c r="E263" s="564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  <c r="Y263" s="564"/>
      <c r="Z263" s="564"/>
      <c r="AA263" s="564"/>
      <c r="AB263" s="564"/>
      <c r="AC263" s="564"/>
      <c r="AD263" s="564"/>
      <c r="AE263" s="564"/>
      <c r="AF263" s="564"/>
      <c r="AG263" s="564"/>
      <c r="AH263" s="564"/>
      <c r="AI263" s="564"/>
      <c r="AJ263" s="564"/>
      <c r="AK263" s="564"/>
      <c r="AL263" s="564"/>
      <c r="AM263" s="564"/>
      <c r="AN263" s="564"/>
      <c r="AO263" s="564"/>
    </row>
    <row r="264" spans="2:41" x14ac:dyDescent="0.15">
      <c r="B264" s="566">
        <v>40</v>
      </c>
      <c r="C264" s="564">
        <v>1</v>
      </c>
      <c r="D264" s="564"/>
      <c r="E264" s="564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  <c r="Y264" s="564"/>
      <c r="Z264" s="564"/>
      <c r="AA264" s="564"/>
      <c r="AB264" s="564"/>
      <c r="AC264" s="564"/>
      <c r="AD264" s="564"/>
      <c r="AE264" s="564"/>
      <c r="AF264" s="564"/>
      <c r="AG264" s="564"/>
      <c r="AH264" s="564"/>
      <c r="AI264" s="564"/>
      <c r="AJ264" s="564"/>
      <c r="AK264" s="564"/>
      <c r="AL264" s="564"/>
      <c r="AM264" s="564"/>
      <c r="AN264" s="564"/>
      <c r="AO264" s="564"/>
    </row>
    <row r="273" spans="2:41" s="561" customFormat="1" ht="14" x14ac:dyDescent="0.15">
      <c r="B273" s="558" t="str" cm="1">
        <f t="array" ref="B273:AO273">TRANSPOSE('Syötä kaupungit KIRJASTOLIN_ENT'!$E$1:$E$40)</f>
        <v>MAA 4</v>
      </c>
      <c r="C273" s="562" t="str">
        <v>EST - Tallinn</v>
      </c>
      <c r="D273" s="562">
        <v>0</v>
      </c>
      <c r="E273" s="562">
        <v>0</v>
      </c>
      <c r="F273" s="562">
        <v>0</v>
      </c>
      <c r="G273" s="562">
        <v>0</v>
      </c>
      <c r="H273" s="562">
        <v>0</v>
      </c>
      <c r="I273" s="562">
        <v>0</v>
      </c>
      <c r="J273" s="562">
        <v>0</v>
      </c>
      <c r="K273" s="562">
        <v>0</v>
      </c>
      <c r="L273" s="562">
        <v>0</v>
      </c>
      <c r="M273" s="562">
        <v>0</v>
      </c>
      <c r="N273" s="562">
        <v>0</v>
      </c>
      <c r="O273" s="562">
        <v>0</v>
      </c>
      <c r="P273" s="562">
        <v>0</v>
      </c>
      <c r="Q273" s="562">
        <v>0</v>
      </c>
      <c r="R273" s="562">
        <v>0</v>
      </c>
      <c r="S273" s="562">
        <v>0</v>
      </c>
      <c r="T273" s="562">
        <v>0</v>
      </c>
      <c r="U273" s="562">
        <v>0</v>
      </c>
      <c r="V273" s="562">
        <v>0</v>
      </c>
      <c r="W273" s="562">
        <v>0</v>
      </c>
      <c r="X273" s="562">
        <v>0</v>
      </c>
      <c r="Y273" s="562">
        <v>0</v>
      </c>
      <c r="Z273" s="562">
        <v>0</v>
      </c>
      <c r="AA273" s="562">
        <v>0</v>
      </c>
      <c r="AB273" s="562">
        <v>0</v>
      </c>
      <c r="AC273" s="562">
        <v>0</v>
      </c>
      <c r="AD273" s="562">
        <v>0</v>
      </c>
      <c r="AE273" s="562">
        <v>0</v>
      </c>
      <c r="AF273" s="562">
        <v>0</v>
      </c>
      <c r="AG273" s="562">
        <v>0</v>
      </c>
      <c r="AH273" s="562">
        <v>0</v>
      </c>
      <c r="AI273" s="562">
        <v>0</v>
      </c>
      <c r="AJ273" s="562">
        <v>0</v>
      </c>
      <c r="AK273" s="562">
        <v>0</v>
      </c>
      <c r="AL273" s="562">
        <v>0</v>
      </c>
      <c r="AM273" s="562">
        <v>0</v>
      </c>
      <c r="AN273" s="562">
        <v>0</v>
      </c>
      <c r="AO273" s="562">
        <v>0</v>
      </c>
    </row>
    <row r="274" spans="2:41" x14ac:dyDescent="0.15">
      <c r="B274" s="563">
        <v>-40</v>
      </c>
      <c r="C274" s="564">
        <v>0</v>
      </c>
      <c r="D274" s="564"/>
      <c r="E274" s="564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  <c r="Y274" s="564"/>
      <c r="Z274" s="564"/>
      <c r="AA274" s="564"/>
      <c r="AB274" s="564"/>
      <c r="AC274" s="564"/>
      <c r="AD274" s="564"/>
      <c r="AE274" s="564"/>
      <c r="AF274" s="564"/>
      <c r="AG274" s="564"/>
      <c r="AH274" s="564"/>
      <c r="AI274" s="564"/>
      <c r="AJ274" s="564"/>
      <c r="AK274" s="564"/>
      <c r="AL274" s="564"/>
      <c r="AM274" s="564"/>
      <c r="AN274" s="564"/>
      <c r="AO274" s="564"/>
    </row>
    <row r="275" spans="2:41" x14ac:dyDescent="0.15">
      <c r="B275" s="565">
        <v>-39</v>
      </c>
      <c r="C275" s="564">
        <v>0</v>
      </c>
      <c r="D275" s="564"/>
      <c r="E275" s="564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  <c r="Y275" s="564"/>
      <c r="Z275" s="564"/>
      <c r="AA275" s="564"/>
      <c r="AB275" s="564"/>
      <c r="AC275" s="564"/>
      <c r="AD275" s="564"/>
      <c r="AE275" s="564"/>
      <c r="AF275" s="564"/>
      <c r="AG275" s="564"/>
      <c r="AH275" s="564"/>
      <c r="AI275" s="564"/>
      <c r="AJ275" s="564"/>
      <c r="AK275" s="564"/>
      <c r="AL275" s="564"/>
      <c r="AM275" s="564"/>
      <c r="AN275" s="564"/>
      <c r="AO275" s="564"/>
    </row>
    <row r="276" spans="2:41" x14ac:dyDescent="0.15">
      <c r="B276" s="565">
        <v>-38</v>
      </c>
      <c r="C276" s="564">
        <v>0</v>
      </c>
      <c r="D276" s="564"/>
      <c r="E276" s="564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  <c r="Y276" s="564"/>
      <c r="Z276" s="564"/>
      <c r="AA276" s="564"/>
      <c r="AB276" s="564"/>
      <c r="AC276" s="564"/>
      <c r="AD276" s="564"/>
      <c r="AE276" s="564"/>
      <c r="AF276" s="564"/>
      <c r="AG276" s="564"/>
      <c r="AH276" s="564"/>
      <c r="AI276" s="564"/>
      <c r="AJ276" s="564"/>
      <c r="AK276" s="564"/>
      <c r="AL276" s="564"/>
      <c r="AM276" s="564"/>
      <c r="AN276" s="564"/>
      <c r="AO276" s="564"/>
    </row>
    <row r="277" spans="2:41" x14ac:dyDescent="0.15">
      <c r="B277" s="565">
        <v>-37</v>
      </c>
      <c r="C277" s="564">
        <v>0</v>
      </c>
      <c r="D277" s="564"/>
      <c r="E277" s="564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  <c r="Y277" s="564"/>
      <c r="Z277" s="564"/>
      <c r="AA277" s="564"/>
      <c r="AB277" s="564"/>
      <c r="AC277" s="564"/>
      <c r="AD277" s="564"/>
      <c r="AE277" s="564"/>
      <c r="AF277" s="564"/>
      <c r="AG277" s="564"/>
      <c r="AH277" s="564"/>
      <c r="AI277" s="564"/>
      <c r="AJ277" s="564"/>
      <c r="AK277" s="564"/>
      <c r="AL277" s="564"/>
      <c r="AM277" s="564"/>
      <c r="AN277" s="564"/>
      <c r="AO277" s="564"/>
    </row>
    <row r="278" spans="2:41" x14ac:dyDescent="0.15">
      <c r="B278" s="565">
        <v>-36</v>
      </c>
      <c r="C278" s="564">
        <v>0</v>
      </c>
      <c r="D278" s="564"/>
      <c r="E278" s="564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  <c r="Y278" s="564"/>
      <c r="Z278" s="564"/>
      <c r="AA278" s="564"/>
      <c r="AB278" s="564"/>
      <c r="AC278" s="564"/>
      <c r="AD278" s="564"/>
      <c r="AE278" s="564"/>
      <c r="AF278" s="564"/>
      <c r="AG278" s="564"/>
      <c r="AH278" s="564"/>
      <c r="AI278" s="564"/>
      <c r="AJ278" s="564"/>
      <c r="AK278" s="564"/>
      <c r="AL278" s="564"/>
      <c r="AM278" s="564"/>
      <c r="AN278" s="564"/>
      <c r="AO278" s="564"/>
    </row>
    <row r="279" spans="2:41" x14ac:dyDescent="0.15">
      <c r="B279" s="565">
        <v>-35</v>
      </c>
      <c r="C279" s="564">
        <v>0</v>
      </c>
      <c r="D279" s="564"/>
      <c r="E279" s="564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  <c r="Y279" s="564"/>
      <c r="Z279" s="564"/>
      <c r="AA279" s="564"/>
      <c r="AB279" s="564"/>
      <c r="AC279" s="564"/>
      <c r="AD279" s="564"/>
      <c r="AE279" s="564"/>
      <c r="AF279" s="564"/>
      <c r="AG279" s="564"/>
      <c r="AH279" s="564"/>
      <c r="AI279" s="564"/>
      <c r="AJ279" s="564"/>
      <c r="AK279" s="564"/>
      <c r="AL279" s="564"/>
      <c r="AM279" s="564"/>
      <c r="AN279" s="564"/>
      <c r="AO279" s="564"/>
    </row>
    <row r="280" spans="2:41" x14ac:dyDescent="0.15">
      <c r="B280" s="565">
        <v>-34</v>
      </c>
      <c r="C280" s="564">
        <v>0</v>
      </c>
      <c r="D280" s="564"/>
      <c r="E280" s="564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  <c r="Y280" s="564"/>
      <c r="Z280" s="564"/>
      <c r="AA280" s="564"/>
      <c r="AB280" s="564"/>
      <c r="AC280" s="564"/>
      <c r="AD280" s="564"/>
      <c r="AE280" s="564"/>
      <c r="AF280" s="564"/>
      <c r="AG280" s="564"/>
      <c r="AH280" s="564"/>
      <c r="AI280" s="564"/>
      <c r="AJ280" s="564"/>
      <c r="AK280" s="564"/>
      <c r="AL280" s="564"/>
      <c r="AM280" s="564"/>
      <c r="AN280" s="564"/>
      <c r="AO280" s="564"/>
    </row>
    <row r="281" spans="2:41" x14ac:dyDescent="0.15">
      <c r="B281" s="565">
        <v>-33</v>
      </c>
      <c r="C281" s="564">
        <v>0</v>
      </c>
      <c r="D281" s="564"/>
      <c r="E281" s="564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  <c r="Y281" s="564"/>
      <c r="Z281" s="564"/>
      <c r="AA281" s="564"/>
      <c r="AB281" s="564"/>
      <c r="AC281" s="564"/>
      <c r="AD281" s="564"/>
      <c r="AE281" s="564"/>
      <c r="AF281" s="564"/>
      <c r="AG281" s="564"/>
      <c r="AH281" s="564"/>
      <c r="AI281" s="564"/>
      <c r="AJ281" s="564"/>
      <c r="AK281" s="564"/>
      <c r="AL281" s="564"/>
      <c r="AM281" s="564"/>
      <c r="AN281" s="564"/>
      <c r="AO281" s="564"/>
    </row>
    <row r="282" spans="2:41" x14ac:dyDescent="0.15">
      <c r="B282" s="565">
        <v>-32</v>
      </c>
      <c r="C282" s="564">
        <v>0</v>
      </c>
      <c r="D282" s="564"/>
      <c r="E282" s="564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  <c r="Y282" s="564"/>
      <c r="Z282" s="564"/>
      <c r="AA282" s="564"/>
      <c r="AB282" s="564"/>
      <c r="AC282" s="564"/>
      <c r="AD282" s="564"/>
      <c r="AE282" s="564"/>
      <c r="AF282" s="564"/>
      <c r="AG282" s="564"/>
      <c r="AH282" s="564"/>
      <c r="AI282" s="564"/>
      <c r="AJ282" s="564"/>
      <c r="AK282" s="564"/>
      <c r="AL282" s="564"/>
      <c r="AM282" s="564"/>
      <c r="AN282" s="564"/>
      <c r="AO282" s="564"/>
    </row>
    <row r="283" spans="2:41" x14ac:dyDescent="0.15">
      <c r="B283" s="565">
        <v>-31</v>
      </c>
      <c r="C283" s="564">
        <v>0</v>
      </c>
      <c r="D283" s="564"/>
      <c r="E283" s="564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  <c r="Y283" s="564"/>
      <c r="Z283" s="564"/>
      <c r="AA283" s="564"/>
      <c r="AB283" s="564"/>
      <c r="AC283" s="564"/>
      <c r="AD283" s="564"/>
      <c r="AE283" s="564"/>
      <c r="AF283" s="564"/>
      <c r="AG283" s="564"/>
      <c r="AH283" s="564"/>
      <c r="AI283" s="564"/>
      <c r="AJ283" s="564"/>
      <c r="AK283" s="564"/>
      <c r="AL283" s="564"/>
      <c r="AM283" s="564"/>
      <c r="AN283" s="564"/>
      <c r="AO283" s="564"/>
    </row>
    <row r="284" spans="2:41" x14ac:dyDescent="0.15">
      <c r="B284" s="565">
        <v>-30</v>
      </c>
      <c r="C284" s="564">
        <v>0</v>
      </c>
      <c r="D284" s="564"/>
      <c r="E284" s="564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  <c r="Y284" s="564"/>
      <c r="Z284" s="564"/>
      <c r="AA284" s="564"/>
      <c r="AB284" s="564"/>
      <c r="AC284" s="564"/>
      <c r="AD284" s="564"/>
      <c r="AE284" s="564"/>
      <c r="AF284" s="564"/>
      <c r="AG284" s="564"/>
      <c r="AH284" s="564"/>
      <c r="AI284" s="564"/>
      <c r="AJ284" s="564"/>
      <c r="AK284" s="564"/>
      <c r="AL284" s="564"/>
      <c r="AM284" s="564"/>
      <c r="AN284" s="564"/>
      <c r="AO284" s="564"/>
    </row>
    <row r="285" spans="2:41" x14ac:dyDescent="0.15">
      <c r="B285" s="565">
        <v>-29</v>
      </c>
      <c r="C285" s="564">
        <v>0</v>
      </c>
      <c r="D285" s="564"/>
      <c r="E285" s="564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  <c r="Y285" s="564"/>
      <c r="Z285" s="564"/>
      <c r="AA285" s="564"/>
      <c r="AB285" s="564"/>
      <c r="AC285" s="564"/>
      <c r="AD285" s="564"/>
      <c r="AE285" s="564"/>
      <c r="AF285" s="564"/>
      <c r="AG285" s="564"/>
      <c r="AH285" s="564"/>
      <c r="AI285" s="564"/>
      <c r="AJ285" s="564"/>
      <c r="AK285" s="564"/>
      <c r="AL285" s="564"/>
      <c r="AM285" s="564"/>
      <c r="AN285" s="564"/>
      <c r="AO285" s="564"/>
    </row>
    <row r="286" spans="2:41" x14ac:dyDescent="0.15">
      <c r="B286" s="565">
        <v>-28</v>
      </c>
      <c r="C286" s="564">
        <v>0</v>
      </c>
      <c r="D286" s="564"/>
      <c r="E286" s="564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  <c r="Y286" s="564"/>
      <c r="Z286" s="564"/>
      <c r="AA286" s="564"/>
      <c r="AB286" s="564"/>
      <c r="AC286" s="564"/>
      <c r="AD286" s="564"/>
      <c r="AE286" s="564"/>
      <c r="AF286" s="564"/>
      <c r="AG286" s="564"/>
      <c r="AH286" s="564"/>
      <c r="AI286" s="564"/>
      <c r="AJ286" s="564"/>
      <c r="AK286" s="564"/>
      <c r="AL286" s="564"/>
      <c r="AM286" s="564"/>
      <c r="AN286" s="564"/>
      <c r="AO286" s="564"/>
    </row>
    <row r="287" spans="2:41" x14ac:dyDescent="0.15">
      <c r="B287" s="565">
        <v>-27</v>
      </c>
      <c r="C287" s="564">
        <v>0</v>
      </c>
      <c r="D287" s="564"/>
      <c r="E287" s="564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  <c r="Y287" s="564"/>
      <c r="Z287" s="564"/>
      <c r="AA287" s="564"/>
      <c r="AB287" s="564"/>
      <c r="AC287" s="564"/>
      <c r="AD287" s="564"/>
      <c r="AE287" s="564"/>
      <c r="AF287" s="564"/>
      <c r="AG287" s="564"/>
      <c r="AH287" s="564"/>
      <c r="AI287" s="564"/>
      <c r="AJ287" s="564"/>
      <c r="AK287" s="564"/>
      <c r="AL287" s="564"/>
      <c r="AM287" s="564"/>
      <c r="AN287" s="564"/>
      <c r="AO287" s="564"/>
    </row>
    <row r="288" spans="2:41" x14ac:dyDescent="0.15">
      <c r="B288" s="565">
        <v>-26</v>
      </c>
      <c r="C288" s="564">
        <v>0</v>
      </c>
      <c r="D288" s="564"/>
      <c r="E288" s="564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  <c r="Y288" s="564"/>
      <c r="Z288" s="564"/>
      <c r="AA288" s="564"/>
      <c r="AB288" s="564"/>
      <c r="AC288" s="564"/>
      <c r="AD288" s="564"/>
      <c r="AE288" s="564"/>
      <c r="AF288" s="564"/>
      <c r="AG288" s="564"/>
      <c r="AH288" s="564"/>
      <c r="AI288" s="564"/>
      <c r="AJ288" s="564"/>
      <c r="AK288" s="564"/>
      <c r="AL288" s="564"/>
      <c r="AM288" s="564"/>
      <c r="AN288" s="564"/>
      <c r="AO288" s="564"/>
    </row>
    <row r="289" spans="2:41" x14ac:dyDescent="0.15">
      <c r="B289" s="565">
        <v>-25</v>
      </c>
      <c r="C289" s="564">
        <v>0</v>
      </c>
      <c r="D289" s="564"/>
      <c r="E289" s="564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  <c r="Y289" s="564"/>
      <c r="Z289" s="564"/>
      <c r="AA289" s="564"/>
      <c r="AB289" s="564"/>
      <c r="AC289" s="564"/>
      <c r="AD289" s="564"/>
      <c r="AE289" s="564"/>
      <c r="AF289" s="564"/>
      <c r="AG289" s="564"/>
      <c r="AH289" s="564"/>
      <c r="AI289" s="564"/>
      <c r="AJ289" s="564"/>
      <c r="AK289" s="564"/>
      <c r="AL289" s="564"/>
      <c r="AM289" s="564"/>
      <c r="AN289" s="564"/>
      <c r="AO289" s="564"/>
    </row>
    <row r="290" spans="2:41" x14ac:dyDescent="0.15">
      <c r="B290" s="565">
        <v>-24</v>
      </c>
      <c r="C290" s="564">
        <v>0</v>
      </c>
      <c r="D290" s="564"/>
      <c r="E290" s="564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  <c r="Y290" s="564"/>
      <c r="Z290" s="564"/>
      <c r="AA290" s="564"/>
      <c r="AB290" s="564"/>
      <c r="AC290" s="564"/>
      <c r="AD290" s="564"/>
      <c r="AE290" s="564"/>
      <c r="AF290" s="564"/>
      <c r="AG290" s="564"/>
      <c r="AH290" s="564"/>
      <c r="AI290" s="564"/>
      <c r="AJ290" s="564"/>
      <c r="AK290" s="564"/>
      <c r="AL290" s="564"/>
      <c r="AM290" s="564"/>
      <c r="AN290" s="564"/>
      <c r="AO290" s="564"/>
    </row>
    <row r="291" spans="2:41" x14ac:dyDescent="0.15">
      <c r="B291" s="565">
        <v>-23</v>
      </c>
      <c r="C291" s="564">
        <v>0</v>
      </c>
      <c r="D291" s="564"/>
      <c r="E291" s="564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  <c r="Y291" s="564"/>
      <c r="Z291" s="564"/>
      <c r="AA291" s="564"/>
      <c r="AB291" s="564"/>
      <c r="AC291" s="564"/>
      <c r="AD291" s="564"/>
      <c r="AE291" s="564"/>
      <c r="AF291" s="564"/>
      <c r="AG291" s="564"/>
      <c r="AH291" s="564"/>
      <c r="AI291" s="564"/>
      <c r="AJ291" s="564"/>
      <c r="AK291" s="564"/>
      <c r="AL291" s="564"/>
      <c r="AM291" s="564"/>
      <c r="AN291" s="564"/>
      <c r="AO291" s="564"/>
    </row>
    <row r="292" spans="2:41" x14ac:dyDescent="0.15">
      <c r="B292" s="565">
        <v>-22</v>
      </c>
      <c r="C292" s="564">
        <v>0</v>
      </c>
      <c r="D292" s="564"/>
      <c r="E292" s="564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  <c r="Y292" s="564"/>
      <c r="Z292" s="564"/>
      <c r="AA292" s="564"/>
      <c r="AB292" s="564"/>
      <c r="AC292" s="564"/>
      <c r="AD292" s="564"/>
      <c r="AE292" s="564"/>
      <c r="AF292" s="564"/>
      <c r="AG292" s="564"/>
      <c r="AH292" s="564"/>
      <c r="AI292" s="564"/>
      <c r="AJ292" s="564"/>
      <c r="AK292" s="564"/>
      <c r="AL292" s="564"/>
      <c r="AM292" s="564"/>
      <c r="AN292" s="564"/>
      <c r="AO292" s="564"/>
    </row>
    <row r="293" spans="2:41" x14ac:dyDescent="0.15">
      <c r="B293" s="565">
        <v>-21</v>
      </c>
      <c r="C293" s="564">
        <v>0</v>
      </c>
      <c r="D293" s="564"/>
      <c r="E293" s="564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  <c r="Y293" s="564"/>
      <c r="Z293" s="564"/>
      <c r="AA293" s="564"/>
      <c r="AB293" s="564"/>
      <c r="AC293" s="564"/>
      <c r="AD293" s="564"/>
      <c r="AE293" s="564"/>
      <c r="AF293" s="564"/>
      <c r="AG293" s="564"/>
      <c r="AH293" s="564"/>
      <c r="AI293" s="564"/>
      <c r="AJ293" s="564"/>
      <c r="AK293" s="564"/>
      <c r="AL293" s="564"/>
      <c r="AM293" s="564"/>
      <c r="AN293" s="564"/>
      <c r="AO293" s="564"/>
    </row>
    <row r="294" spans="2:41" x14ac:dyDescent="0.15">
      <c r="B294" s="565">
        <v>-20</v>
      </c>
      <c r="C294" s="564">
        <v>0</v>
      </c>
      <c r="D294" s="564"/>
      <c r="E294" s="564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  <c r="Y294" s="564"/>
      <c r="Z294" s="564"/>
      <c r="AA294" s="564"/>
      <c r="AB294" s="564"/>
      <c r="AC294" s="564"/>
      <c r="AD294" s="564"/>
      <c r="AE294" s="564"/>
      <c r="AF294" s="564"/>
      <c r="AG294" s="564"/>
      <c r="AH294" s="564"/>
      <c r="AI294" s="564"/>
      <c r="AJ294" s="564"/>
      <c r="AK294" s="564"/>
      <c r="AL294" s="564"/>
      <c r="AM294" s="564"/>
      <c r="AN294" s="564"/>
      <c r="AO294" s="564"/>
    </row>
    <row r="295" spans="2:41" x14ac:dyDescent="0.15">
      <c r="B295" s="565">
        <v>-19</v>
      </c>
      <c r="C295" s="564">
        <v>0</v>
      </c>
      <c r="D295" s="564"/>
      <c r="E295" s="564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  <c r="Y295" s="564"/>
      <c r="Z295" s="564"/>
      <c r="AA295" s="564"/>
      <c r="AB295" s="564"/>
      <c r="AC295" s="564"/>
      <c r="AD295" s="564"/>
      <c r="AE295" s="564"/>
      <c r="AF295" s="564"/>
      <c r="AG295" s="564"/>
      <c r="AH295" s="564"/>
      <c r="AI295" s="564"/>
      <c r="AJ295" s="564"/>
      <c r="AK295" s="564"/>
      <c r="AL295" s="564"/>
      <c r="AM295" s="564"/>
      <c r="AN295" s="564"/>
      <c r="AO295" s="564"/>
    </row>
    <row r="296" spans="2:41" x14ac:dyDescent="0.15">
      <c r="B296" s="565">
        <v>-18</v>
      </c>
      <c r="C296" s="564">
        <v>0</v>
      </c>
      <c r="D296" s="564"/>
      <c r="E296" s="564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  <c r="Y296" s="564"/>
      <c r="Z296" s="564"/>
      <c r="AA296" s="564"/>
      <c r="AB296" s="564"/>
      <c r="AC296" s="564"/>
      <c r="AD296" s="564"/>
      <c r="AE296" s="564"/>
      <c r="AF296" s="564"/>
      <c r="AG296" s="564"/>
      <c r="AH296" s="564"/>
      <c r="AI296" s="564"/>
      <c r="AJ296" s="564"/>
      <c r="AK296" s="564"/>
      <c r="AL296" s="564"/>
      <c r="AM296" s="564"/>
      <c r="AN296" s="564"/>
      <c r="AO296" s="564"/>
    </row>
    <row r="297" spans="2:41" x14ac:dyDescent="0.15">
      <c r="B297" s="565">
        <v>-17</v>
      </c>
      <c r="C297" s="564">
        <v>0</v>
      </c>
      <c r="D297" s="564"/>
      <c r="E297" s="564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  <c r="Y297" s="564"/>
      <c r="Z297" s="564"/>
      <c r="AA297" s="564"/>
      <c r="AB297" s="564"/>
      <c r="AC297" s="564"/>
      <c r="AD297" s="564"/>
      <c r="AE297" s="564"/>
      <c r="AF297" s="564"/>
      <c r="AG297" s="564"/>
      <c r="AH297" s="564"/>
      <c r="AI297" s="564"/>
      <c r="AJ297" s="564"/>
      <c r="AK297" s="564"/>
      <c r="AL297" s="564"/>
      <c r="AM297" s="564"/>
      <c r="AN297" s="564"/>
      <c r="AO297" s="564"/>
    </row>
    <row r="298" spans="2:41" x14ac:dyDescent="0.15">
      <c r="B298" s="565">
        <v>-16</v>
      </c>
      <c r="C298" s="564">
        <v>0</v>
      </c>
      <c r="D298" s="564"/>
      <c r="E298" s="564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  <c r="Y298" s="564"/>
      <c r="Z298" s="564"/>
      <c r="AA298" s="564"/>
      <c r="AB298" s="564"/>
      <c r="AC298" s="564"/>
      <c r="AD298" s="564"/>
      <c r="AE298" s="564"/>
      <c r="AF298" s="564"/>
      <c r="AG298" s="564"/>
      <c r="AH298" s="564"/>
      <c r="AI298" s="564"/>
      <c r="AJ298" s="564"/>
      <c r="AK298" s="564"/>
      <c r="AL298" s="564"/>
      <c r="AM298" s="564"/>
      <c r="AN298" s="564"/>
      <c r="AO298" s="564"/>
    </row>
    <row r="299" spans="2:41" x14ac:dyDescent="0.15">
      <c r="B299" s="565">
        <v>-15</v>
      </c>
      <c r="C299" s="564">
        <v>0</v>
      </c>
      <c r="D299" s="564"/>
      <c r="E299" s="564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  <c r="Y299" s="564"/>
      <c r="Z299" s="564"/>
      <c r="AA299" s="564"/>
      <c r="AB299" s="564"/>
      <c r="AC299" s="564"/>
      <c r="AD299" s="564"/>
      <c r="AE299" s="564"/>
      <c r="AF299" s="564"/>
      <c r="AG299" s="564"/>
      <c r="AH299" s="564"/>
      <c r="AI299" s="564"/>
      <c r="AJ299" s="564"/>
      <c r="AK299" s="564"/>
      <c r="AL299" s="564"/>
      <c r="AM299" s="564"/>
      <c r="AN299" s="564"/>
      <c r="AO299" s="564"/>
    </row>
    <row r="300" spans="2:41" x14ac:dyDescent="0.15">
      <c r="B300" s="565">
        <v>-14</v>
      </c>
      <c r="C300" s="564">
        <v>0</v>
      </c>
      <c r="D300" s="564"/>
      <c r="E300" s="564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  <c r="Y300" s="564"/>
      <c r="Z300" s="564"/>
      <c r="AA300" s="564"/>
      <c r="AB300" s="564"/>
      <c r="AC300" s="564"/>
      <c r="AD300" s="564"/>
      <c r="AE300" s="564"/>
      <c r="AF300" s="564"/>
      <c r="AG300" s="564"/>
      <c r="AH300" s="564"/>
      <c r="AI300" s="564"/>
      <c r="AJ300" s="564"/>
      <c r="AK300" s="564"/>
      <c r="AL300" s="564"/>
      <c r="AM300" s="564"/>
      <c r="AN300" s="564"/>
      <c r="AO300" s="564"/>
    </row>
    <row r="301" spans="2:41" x14ac:dyDescent="0.15">
      <c r="B301" s="565">
        <v>-13</v>
      </c>
      <c r="C301" s="564">
        <v>0</v>
      </c>
      <c r="D301" s="564"/>
      <c r="E301" s="564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  <c r="Y301" s="564"/>
      <c r="Z301" s="564"/>
      <c r="AA301" s="564"/>
      <c r="AB301" s="564"/>
      <c r="AC301" s="564"/>
      <c r="AD301" s="564"/>
      <c r="AE301" s="564"/>
      <c r="AF301" s="564"/>
      <c r="AG301" s="564"/>
      <c r="AH301" s="564"/>
      <c r="AI301" s="564"/>
      <c r="AJ301" s="564"/>
      <c r="AK301" s="564"/>
      <c r="AL301" s="564"/>
      <c r="AM301" s="564"/>
      <c r="AN301" s="564"/>
      <c r="AO301" s="564"/>
    </row>
    <row r="302" spans="2:41" x14ac:dyDescent="0.15">
      <c r="B302" s="565">
        <v>-12</v>
      </c>
      <c r="C302" s="564">
        <v>0</v>
      </c>
      <c r="D302" s="564"/>
      <c r="E302" s="564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  <c r="Y302" s="564"/>
      <c r="Z302" s="564"/>
      <c r="AA302" s="564"/>
      <c r="AB302" s="564"/>
      <c r="AC302" s="564"/>
      <c r="AD302" s="564"/>
      <c r="AE302" s="564"/>
      <c r="AF302" s="564"/>
      <c r="AG302" s="564"/>
      <c r="AH302" s="564"/>
      <c r="AI302" s="564"/>
      <c r="AJ302" s="564"/>
      <c r="AK302" s="564"/>
      <c r="AL302" s="564"/>
      <c r="AM302" s="564"/>
      <c r="AN302" s="564"/>
      <c r="AO302" s="564"/>
    </row>
    <row r="303" spans="2:41" x14ac:dyDescent="0.15">
      <c r="B303" s="565">
        <v>-11</v>
      </c>
      <c r="C303" s="564">
        <v>0</v>
      </c>
      <c r="D303" s="564"/>
      <c r="E303" s="564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  <c r="Y303" s="564"/>
      <c r="Z303" s="564"/>
      <c r="AA303" s="564"/>
      <c r="AB303" s="564"/>
      <c r="AC303" s="564"/>
      <c r="AD303" s="564"/>
      <c r="AE303" s="564"/>
      <c r="AF303" s="564"/>
      <c r="AG303" s="564"/>
      <c r="AH303" s="564"/>
      <c r="AI303" s="564"/>
      <c r="AJ303" s="564"/>
      <c r="AK303" s="564"/>
      <c r="AL303" s="564"/>
      <c r="AM303" s="564"/>
      <c r="AN303" s="564"/>
      <c r="AO303" s="564"/>
    </row>
    <row r="304" spans="2:41" x14ac:dyDescent="0.15">
      <c r="B304" s="565">
        <v>-10</v>
      </c>
      <c r="C304" s="564">
        <v>2.5114155251141552E-3</v>
      </c>
      <c r="D304" s="564"/>
      <c r="E304" s="564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  <c r="Y304" s="564"/>
      <c r="Z304" s="564"/>
      <c r="AA304" s="564"/>
      <c r="AB304" s="564"/>
      <c r="AC304" s="564"/>
      <c r="AD304" s="564"/>
      <c r="AE304" s="564"/>
      <c r="AF304" s="564"/>
      <c r="AG304" s="564"/>
      <c r="AH304" s="564"/>
      <c r="AI304" s="564"/>
      <c r="AJ304" s="564"/>
      <c r="AK304" s="564"/>
      <c r="AL304" s="564"/>
      <c r="AM304" s="564"/>
      <c r="AN304" s="564"/>
      <c r="AO304" s="564"/>
    </row>
    <row r="305" spans="2:41" x14ac:dyDescent="0.15">
      <c r="B305" s="565">
        <v>-9</v>
      </c>
      <c r="C305" s="564">
        <v>3.0821917808219177E-3</v>
      </c>
      <c r="D305" s="564"/>
      <c r="E305" s="564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  <c r="Y305" s="564"/>
      <c r="Z305" s="564"/>
      <c r="AA305" s="564"/>
      <c r="AB305" s="564"/>
      <c r="AC305" s="564"/>
      <c r="AD305" s="564"/>
      <c r="AE305" s="564"/>
      <c r="AF305" s="564"/>
      <c r="AG305" s="564"/>
      <c r="AH305" s="564"/>
      <c r="AI305" s="564"/>
      <c r="AJ305" s="564"/>
      <c r="AK305" s="564"/>
      <c r="AL305" s="564"/>
      <c r="AM305" s="564"/>
      <c r="AN305" s="564"/>
      <c r="AO305" s="564"/>
    </row>
    <row r="306" spans="2:41" x14ac:dyDescent="0.15">
      <c r="B306" s="565">
        <v>-8</v>
      </c>
      <c r="C306" s="564">
        <v>5.0228310502283104E-3</v>
      </c>
      <c r="D306" s="564"/>
      <c r="E306" s="564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  <c r="Y306" s="564"/>
      <c r="Z306" s="564"/>
      <c r="AA306" s="564"/>
      <c r="AB306" s="564"/>
      <c r="AC306" s="564"/>
      <c r="AD306" s="564"/>
      <c r="AE306" s="564"/>
      <c r="AF306" s="564"/>
      <c r="AG306" s="564"/>
      <c r="AH306" s="564"/>
      <c r="AI306" s="564"/>
      <c r="AJ306" s="564"/>
      <c r="AK306" s="564"/>
      <c r="AL306" s="564"/>
      <c r="AM306" s="564"/>
      <c r="AN306" s="564"/>
      <c r="AO306" s="564"/>
    </row>
    <row r="307" spans="2:41" x14ac:dyDescent="0.15">
      <c r="B307" s="565">
        <v>-7</v>
      </c>
      <c r="C307" s="564">
        <v>8.6757990867579911E-3</v>
      </c>
      <c r="D307" s="564"/>
      <c r="E307" s="564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  <c r="Y307" s="564"/>
      <c r="Z307" s="564"/>
      <c r="AA307" s="564"/>
      <c r="AB307" s="564"/>
      <c r="AC307" s="564"/>
      <c r="AD307" s="564"/>
      <c r="AE307" s="564"/>
      <c r="AF307" s="564"/>
      <c r="AG307" s="564"/>
      <c r="AH307" s="564"/>
      <c r="AI307" s="564"/>
      <c r="AJ307" s="564"/>
      <c r="AK307" s="564"/>
      <c r="AL307" s="564"/>
      <c r="AM307" s="564"/>
      <c r="AN307" s="564"/>
      <c r="AO307" s="564"/>
    </row>
    <row r="308" spans="2:41" x14ac:dyDescent="0.15">
      <c r="B308" s="565">
        <v>-6</v>
      </c>
      <c r="C308" s="564">
        <v>1.4041095890410958E-2</v>
      </c>
      <c r="D308" s="564"/>
      <c r="E308" s="564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  <c r="Y308" s="564"/>
      <c r="Z308" s="564"/>
      <c r="AA308" s="564"/>
      <c r="AB308" s="564"/>
      <c r="AC308" s="564"/>
      <c r="AD308" s="564"/>
      <c r="AE308" s="564"/>
      <c r="AF308" s="564"/>
      <c r="AG308" s="564"/>
      <c r="AH308" s="564"/>
      <c r="AI308" s="564"/>
      <c r="AJ308" s="564"/>
      <c r="AK308" s="564"/>
      <c r="AL308" s="564"/>
      <c r="AM308" s="564"/>
      <c r="AN308" s="564"/>
      <c r="AO308" s="564"/>
    </row>
    <row r="309" spans="2:41" x14ac:dyDescent="0.15">
      <c r="B309" s="565">
        <v>-5</v>
      </c>
      <c r="C309" s="564">
        <v>2.0662100456621004E-2</v>
      </c>
      <c r="D309" s="564"/>
      <c r="E309" s="564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  <c r="Y309" s="564"/>
      <c r="Z309" s="564"/>
      <c r="AA309" s="564"/>
      <c r="AB309" s="564"/>
      <c r="AC309" s="564"/>
      <c r="AD309" s="564"/>
      <c r="AE309" s="564"/>
      <c r="AF309" s="564"/>
      <c r="AG309" s="564"/>
      <c r="AH309" s="564"/>
      <c r="AI309" s="564"/>
      <c r="AJ309" s="564"/>
      <c r="AK309" s="564"/>
      <c r="AL309" s="564"/>
      <c r="AM309" s="564"/>
      <c r="AN309" s="564"/>
      <c r="AO309" s="564"/>
    </row>
    <row r="310" spans="2:41" x14ac:dyDescent="0.15">
      <c r="B310" s="565">
        <v>-4</v>
      </c>
      <c r="C310" s="564">
        <v>2.8767123287671233E-2</v>
      </c>
      <c r="D310" s="564"/>
      <c r="E310" s="564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  <c r="Y310" s="564"/>
      <c r="Z310" s="564"/>
      <c r="AA310" s="564"/>
      <c r="AB310" s="564"/>
      <c r="AC310" s="564"/>
      <c r="AD310" s="564"/>
      <c r="AE310" s="564"/>
      <c r="AF310" s="564"/>
      <c r="AG310" s="564"/>
      <c r="AH310" s="564"/>
      <c r="AI310" s="564"/>
      <c r="AJ310" s="564"/>
      <c r="AK310" s="564"/>
      <c r="AL310" s="564"/>
      <c r="AM310" s="564"/>
      <c r="AN310" s="564"/>
      <c r="AO310" s="564"/>
    </row>
    <row r="311" spans="2:41" x14ac:dyDescent="0.15">
      <c r="B311" s="565">
        <v>-3</v>
      </c>
      <c r="C311" s="564">
        <v>4.4292237442922378E-2</v>
      </c>
      <c r="D311" s="564"/>
      <c r="E311" s="564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  <c r="Y311" s="564"/>
      <c r="Z311" s="564"/>
      <c r="AA311" s="564"/>
      <c r="AB311" s="564"/>
      <c r="AC311" s="564"/>
      <c r="AD311" s="564"/>
      <c r="AE311" s="564"/>
      <c r="AF311" s="564"/>
      <c r="AG311" s="564"/>
      <c r="AH311" s="564"/>
      <c r="AI311" s="564"/>
      <c r="AJ311" s="564"/>
      <c r="AK311" s="564"/>
      <c r="AL311" s="564"/>
      <c r="AM311" s="564"/>
      <c r="AN311" s="564"/>
      <c r="AO311" s="564"/>
    </row>
    <row r="312" spans="2:41" x14ac:dyDescent="0.15">
      <c r="B312" s="565">
        <v>-2</v>
      </c>
      <c r="C312" s="564">
        <v>7.1689497716894979E-2</v>
      </c>
      <c r="D312" s="564"/>
      <c r="E312" s="564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  <c r="Y312" s="564"/>
      <c r="Z312" s="564"/>
      <c r="AA312" s="564"/>
      <c r="AB312" s="564"/>
      <c r="AC312" s="564"/>
      <c r="AD312" s="564"/>
      <c r="AE312" s="564"/>
      <c r="AF312" s="564"/>
      <c r="AG312" s="564"/>
      <c r="AH312" s="564"/>
      <c r="AI312" s="564"/>
      <c r="AJ312" s="564"/>
      <c r="AK312" s="564"/>
      <c r="AL312" s="564"/>
      <c r="AM312" s="564"/>
      <c r="AN312" s="564"/>
      <c r="AO312" s="564"/>
    </row>
    <row r="313" spans="2:41" x14ac:dyDescent="0.15">
      <c r="B313" s="565">
        <v>-1</v>
      </c>
      <c r="C313" s="564">
        <v>0.10148401826484019</v>
      </c>
      <c r="D313" s="564"/>
      <c r="E313" s="564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  <c r="Y313" s="564"/>
      <c r="Z313" s="564"/>
      <c r="AA313" s="564"/>
      <c r="AB313" s="564"/>
      <c r="AC313" s="564"/>
      <c r="AD313" s="564"/>
      <c r="AE313" s="564"/>
      <c r="AF313" s="564"/>
      <c r="AG313" s="564"/>
      <c r="AH313" s="564"/>
      <c r="AI313" s="564"/>
      <c r="AJ313" s="564"/>
      <c r="AK313" s="564"/>
      <c r="AL313" s="564"/>
      <c r="AM313" s="564"/>
      <c r="AN313" s="564"/>
      <c r="AO313" s="564"/>
    </row>
    <row r="314" spans="2:41" x14ac:dyDescent="0.15">
      <c r="B314" s="565">
        <v>0</v>
      </c>
      <c r="C314" s="564">
        <v>0.14212328767123289</v>
      </c>
      <c r="D314" s="564"/>
      <c r="E314" s="564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  <c r="Y314" s="564"/>
      <c r="Z314" s="564"/>
      <c r="AA314" s="564"/>
      <c r="AB314" s="564"/>
      <c r="AC314" s="564"/>
      <c r="AD314" s="564"/>
      <c r="AE314" s="564"/>
      <c r="AF314" s="564"/>
      <c r="AG314" s="564"/>
      <c r="AH314" s="564"/>
      <c r="AI314" s="564"/>
      <c r="AJ314" s="564"/>
      <c r="AK314" s="564"/>
      <c r="AL314" s="564"/>
      <c r="AM314" s="564"/>
      <c r="AN314" s="564"/>
      <c r="AO314" s="564"/>
    </row>
    <row r="315" spans="2:41" x14ac:dyDescent="0.15">
      <c r="B315" s="565">
        <v>1</v>
      </c>
      <c r="C315" s="564">
        <v>0.1636986301369863</v>
      </c>
      <c r="D315" s="564"/>
      <c r="E315" s="564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  <c r="Y315" s="564"/>
      <c r="Z315" s="564"/>
      <c r="AA315" s="564"/>
      <c r="AB315" s="564"/>
      <c r="AC315" s="564"/>
      <c r="AD315" s="564"/>
      <c r="AE315" s="564"/>
      <c r="AF315" s="564"/>
      <c r="AG315" s="564"/>
      <c r="AH315" s="564"/>
      <c r="AI315" s="564"/>
      <c r="AJ315" s="564"/>
      <c r="AK315" s="564"/>
      <c r="AL315" s="564"/>
      <c r="AM315" s="564"/>
      <c r="AN315" s="564"/>
      <c r="AO315" s="564"/>
    </row>
    <row r="316" spans="2:41" x14ac:dyDescent="0.15">
      <c r="B316" s="565">
        <v>2</v>
      </c>
      <c r="C316" s="564">
        <v>0.20742009132420092</v>
      </c>
      <c r="D316" s="564"/>
      <c r="E316" s="564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  <c r="Y316" s="564"/>
      <c r="Z316" s="564"/>
      <c r="AA316" s="564"/>
      <c r="AB316" s="564"/>
      <c r="AC316" s="564"/>
      <c r="AD316" s="564"/>
      <c r="AE316" s="564"/>
      <c r="AF316" s="564"/>
      <c r="AG316" s="564"/>
      <c r="AH316" s="564"/>
      <c r="AI316" s="564"/>
      <c r="AJ316" s="564"/>
      <c r="AK316" s="564"/>
      <c r="AL316" s="564"/>
      <c r="AM316" s="564"/>
      <c r="AN316" s="564"/>
      <c r="AO316" s="564"/>
    </row>
    <row r="317" spans="2:41" x14ac:dyDescent="0.15">
      <c r="B317" s="565">
        <v>3</v>
      </c>
      <c r="C317" s="564">
        <v>0.26221461187214612</v>
      </c>
      <c r="D317" s="564"/>
      <c r="E317" s="564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  <c r="Y317" s="564"/>
      <c r="Z317" s="564"/>
      <c r="AA317" s="564"/>
      <c r="AB317" s="564"/>
      <c r="AC317" s="564"/>
      <c r="AD317" s="564"/>
      <c r="AE317" s="564"/>
      <c r="AF317" s="564"/>
      <c r="AG317" s="564"/>
      <c r="AH317" s="564"/>
      <c r="AI317" s="564"/>
      <c r="AJ317" s="564"/>
      <c r="AK317" s="564"/>
      <c r="AL317" s="564"/>
      <c r="AM317" s="564"/>
      <c r="AN317" s="564"/>
      <c r="AO317" s="564"/>
    </row>
    <row r="318" spans="2:41" x14ac:dyDescent="0.15">
      <c r="B318" s="565">
        <v>4</v>
      </c>
      <c r="C318" s="564">
        <v>0.31358447488584473</v>
      </c>
      <c r="D318" s="564"/>
      <c r="E318" s="564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  <c r="Y318" s="564"/>
      <c r="Z318" s="564"/>
      <c r="AA318" s="564"/>
      <c r="AB318" s="564"/>
      <c r="AC318" s="564"/>
      <c r="AD318" s="564"/>
      <c r="AE318" s="564"/>
      <c r="AF318" s="564"/>
      <c r="AG318" s="564"/>
      <c r="AH318" s="564"/>
      <c r="AI318" s="564"/>
      <c r="AJ318" s="564"/>
      <c r="AK318" s="564"/>
      <c r="AL318" s="564"/>
      <c r="AM318" s="564"/>
      <c r="AN318" s="564"/>
      <c r="AO318" s="564"/>
    </row>
    <row r="319" spans="2:41" x14ac:dyDescent="0.15">
      <c r="B319" s="565">
        <v>5</v>
      </c>
      <c r="C319" s="564">
        <v>0.36598173515981736</v>
      </c>
      <c r="D319" s="564"/>
      <c r="E319" s="564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  <c r="Y319" s="564"/>
      <c r="Z319" s="564"/>
      <c r="AA319" s="564"/>
      <c r="AB319" s="564"/>
      <c r="AC319" s="564"/>
      <c r="AD319" s="564"/>
      <c r="AE319" s="564"/>
      <c r="AF319" s="564"/>
      <c r="AG319" s="564"/>
      <c r="AH319" s="564"/>
      <c r="AI319" s="564"/>
      <c r="AJ319" s="564"/>
      <c r="AK319" s="564"/>
      <c r="AL319" s="564"/>
      <c r="AM319" s="564"/>
      <c r="AN319" s="564"/>
      <c r="AO319" s="564"/>
    </row>
    <row r="320" spans="2:41" x14ac:dyDescent="0.15">
      <c r="B320" s="565">
        <v>6</v>
      </c>
      <c r="C320" s="564">
        <v>0.39086757990867582</v>
      </c>
      <c r="D320" s="564"/>
      <c r="E320" s="564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  <c r="Y320" s="564"/>
      <c r="Z320" s="564"/>
      <c r="AA320" s="564"/>
      <c r="AB320" s="564"/>
      <c r="AC320" s="564"/>
      <c r="AD320" s="564"/>
      <c r="AE320" s="564"/>
      <c r="AF320" s="564"/>
      <c r="AG320" s="564"/>
      <c r="AH320" s="564"/>
      <c r="AI320" s="564"/>
      <c r="AJ320" s="564"/>
      <c r="AK320" s="564"/>
      <c r="AL320" s="564"/>
      <c r="AM320" s="564"/>
      <c r="AN320" s="564"/>
      <c r="AO320" s="564"/>
    </row>
    <row r="321" spans="2:41" x14ac:dyDescent="0.15">
      <c r="B321" s="565">
        <v>7</v>
      </c>
      <c r="C321" s="564">
        <v>0.44315068493150683</v>
      </c>
      <c r="D321" s="564"/>
      <c r="E321" s="564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  <c r="Y321" s="564"/>
      <c r="Z321" s="564"/>
      <c r="AA321" s="564"/>
      <c r="AB321" s="564"/>
      <c r="AC321" s="564"/>
      <c r="AD321" s="564"/>
      <c r="AE321" s="564"/>
      <c r="AF321" s="564"/>
      <c r="AG321" s="564"/>
      <c r="AH321" s="564"/>
      <c r="AI321" s="564"/>
      <c r="AJ321" s="564"/>
      <c r="AK321" s="564"/>
      <c r="AL321" s="564"/>
      <c r="AM321" s="564"/>
      <c r="AN321" s="564"/>
      <c r="AO321" s="564"/>
    </row>
    <row r="322" spans="2:41" x14ac:dyDescent="0.15">
      <c r="B322" s="565">
        <v>8</v>
      </c>
      <c r="C322" s="564">
        <v>0.49166666666666664</v>
      </c>
      <c r="D322" s="564"/>
      <c r="E322" s="564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  <c r="Y322" s="564"/>
      <c r="Z322" s="564"/>
      <c r="AA322" s="564"/>
      <c r="AB322" s="564"/>
      <c r="AC322" s="564"/>
      <c r="AD322" s="564"/>
      <c r="AE322" s="564"/>
      <c r="AF322" s="564"/>
      <c r="AG322" s="564"/>
      <c r="AH322" s="564"/>
      <c r="AI322" s="564"/>
      <c r="AJ322" s="564"/>
      <c r="AK322" s="564"/>
      <c r="AL322" s="564"/>
      <c r="AM322" s="564"/>
      <c r="AN322" s="564"/>
      <c r="AO322" s="564"/>
    </row>
    <row r="323" spans="2:41" x14ac:dyDescent="0.15">
      <c r="B323" s="565">
        <v>9</v>
      </c>
      <c r="C323" s="564">
        <v>0.54166666666666663</v>
      </c>
      <c r="D323" s="564"/>
      <c r="E323" s="564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  <c r="Y323" s="564"/>
      <c r="Z323" s="564"/>
      <c r="AA323" s="564"/>
      <c r="AB323" s="564"/>
      <c r="AC323" s="564"/>
      <c r="AD323" s="564"/>
      <c r="AE323" s="564"/>
      <c r="AF323" s="564"/>
      <c r="AG323" s="564"/>
      <c r="AH323" s="564"/>
      <c r="AI323" s="564"/>
      <c r="AJ323" s="564"/>
      <c r="AK323" s="564"/>
      <c r="AL323" s="564"/>
      <c r="AM323" s="564"/>
      <c r="AN323" s="564"/>
      <c r="AO323" s="564"/>
    </row>
    <row r="324" spans="2:41" x14ac:dyDescent="0.15">
      <c r="B324" s="565">
        <v>10</v>
      </c>
      <c r="C324" s="564">
        <v>0.59041095890410955</v>
      </c>
      <c r="D324" s="564"/>
      <c r="E324" s="564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  <c r="Y324" s="564"/>
      <c r="Z324" s="564"/>
      <c r="AA324" s="564"/>
      <c r="AB324" s="564"/>
      <c r="AC324" s="564"/>
      <c r="AD324" s="564"/>
      <c r="AE324" s="564"/>
      <c r="AF324" s="564"/>
      <c r="AG324" s="564"/>
      <c r="AH324" s="564"/>
      <c r="AI324" s="564"/>
      <c r="AJ324" s="564"/>
      <c r="AK324" s="564"/>
      <c r="AL324" s="564"/>
      <c r="AM324" s="564"/>
      <c r="AN324" s="564"/>
      <c r="AO324" s="564"/>
    </row>
    <row r="325" spans="2:41" x14ac:dyDescent="0.15">
      <c r="B325" s="565">
        <v>11</v>
      </c>
      <c r="C325" s="564">
        <v>0.61289954337899544</v>
      </c>
      <c r="D325" s="564"/>
      <c r="E325" s="564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  <c r="Y325" s="564"/>
      <c r="Z325" s="564"/>
      <c r="AA325" s="564"/>
      <c r="AB325" s="564"/>
      <c r="AC325" s="564"/>
      <c r="AD325" s="564"/>
      <c r="AE325" s="564"/>
      <c r="AF325" s="564"/>
      <c r="AG325" s="564"/>
      <c r="AH325" s="564"/>
      <c r="AI325" s="564"/>
      <c r="AJ325" s="564"/>
      <c r="AK325" s="564"/>
      <c r="AL325" s="564"/>
      <c r="AM325" s="564"/>
      <c r="AN325" s="564"/>
      <c r="AO325" s="564"/>
    </row>
    <row r="326" spans="2:41" x14ac:dyDescent="0.15">
      <c r="B326" s="565">
        <v>12</v>
      </c>
      <c r="C326" s="564">
        <v>0.65890410958904111</v>
      </c>
      <c r="D326" s="564"/>
      <c r="E326" s="564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  <c r="Y326" s="564"/>
      <c r="Z326" s="564"/>
      <c r="AA326" s="564"/>
      <c r="AB326" s="564"/>
      <c r="AC326" s="564"/>
      <c r="AD326" s="564"/>
      <c r="AE326" s="564"/>
      <c r="AF326" s="564"/>
      <c r="AG326" s="564"/>
      <c r="AH326" s="564"/>
      <c r="AI326" s="564"/>
      <c r="AJ326" s="564"/>
      <c r="AK326" s="564"/>
      <c r="AL326" s="564"/>
      <c r="AM326" s="564"/>
      <c r="AN326" s="564"/>
      <c r="AO326" s="564"/>
    </row>
    <row r="327" spans="2:41" x14ac:dyDescent="0.15">
      <c r="B327" s="565">
        <v>13</v>
      </c>
      <c r="C327" s="564">
        <v>0.70742009132420092</v>
      </c>
      <c r="D327" s="564"/>
      <c r="E327" s="564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  <c r="Y327" s="564"/>
      <c r="Z327" s="564"/>
      <c r="AA327" s="564"/>
      <c r="AB327" s="564"/>
      <c r="AC327" s="564"/>
      <c r="AD327" s="564"/>
      <c r="AE327" s="564"/>
      <c r="AF327" s="564"/>
      <c r="AG327" s="564"/>
      <c r="AH327" s="564"/>
      <c r="AI327" s="564"/>
      <c r="AJ327" s="564"/>
      <c r="AK327" s="564"/>
      <c r="AL327" s="564"/>
      <c r="AM327" s="564"/>
      <c r="AN327" s="564"/>
      <c r="AO327" s="564"/>
    </row>
    <row r="328" spans="2:41" x14ac:dyDescent="0.15">
      <c r="B328" s="565">
        <v>14</v>
      </c>
      <c r="C328" s="564">
        <v>0.75582191780821917</v>
      </c>
      <c r="D328" s="564"/>
      <c r="E328" s="564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  <c r="Y328" s="564"/>
      <c r="Z328" s="564"/>
      <c r="AA328" s="564"/>
      <c r="AB328" s="564"/>
      <c r="AC328" s="564"/>
      <c r="AD328" s="564"/>
      <c r="AE328" s="564"/>
      <c r="AF328" s="564"/>
      <c r="AG328" s="564"/>
      <c r="AH328" s="564"/>
      <c r="AI328" s="564"/>
      <c r="AJ328" s="564"/>
      <c r="AK328" s="564"/>
      <c r="AL328" s="564"/>
      <c r="AM328" s="564"/>
      <c r="AN328" s="564"/>
      <c r="AO328" s="564"/>
    </row>
    <row r="329" spans="2:41" x14ac:dyDescent="0.15">
      <c r="B329" s="565">
        <v>15</v>
      </c>
      <c r="C329" s="564">
        <v>0.79965753424657537</v>
      </c>
      <c r="D329" s="564"/>
      <c r="E329" s="564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  <c r="Y329" s="564"/>
      <c r="Z329" s="564"/>
      <c r="AA329" s="564"/>
      <c r="AB329" s="564"/>
      <c r="AC329" s="564"/>
      <c r="AD329" s="564"/>
      <c r="AE329" s="564"/>
      <c r="AF329" s="564"/>
      <c r="AG329" s="564"/>
      <c r="AH329" s="564"/>
      <c r="AI329" s="564"/>
      <c r="AJ329" s="564"/>
      <c r="AK329" s="564"/>
      <c r="AL329" s="564"/>
      <c r="AM329" s="564"/>
      <c r="AN329" s="564"/>
      <c r="AO329" s="564"/>
    </row>
    <row r="330" spans="2:41" x14ac:dyDescent="0.15">
      <c r="B330" s="565">
        <v>16</v>
      </c>
      <c r="C330" s="564">
        <v>0.8238584474885845</v>
      </c>
      <c r="D330" s="564"/>
      <c r="E330" s="564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  <c r="Y330" s="564"/>
      <c r="Z330" s="564"/>
      <c r="AA330" s="564"/>
      <c r="AB330" s="564"/>
      <c r="AC330" s="564"/>
      <c r="AD330" s="564"/>
      <c r="AE330" s="564"/>
      <c r="AF330" s="564"/>
      <c r="AG330" s="564"/>
      <c r="AH330" s="564"/>
      <c r="AI330" s="564"/>
      <c r="AJ330" s="564"/>
      <c r="AK330" s="564"/>
      <c r="AL330" s="564"/>
      <c r="AM330" s="564"/>
      <c r="AN330" s="564"/>
      <c r="AO330" s="564"/>
    </row>
    <row r="331" spans="2:41" x14ac:dyDescent="0.15">
      <c r="B331" s="565">
        <v>17</v>
      </c>
      <c r="C331" s="564">
        <v>0.86335616438356166</v>
      </c>
      <c r="D331" s="564"/>
      <c r="E331" s="564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  <c r="Y331" s="564"/>
      <c r="Z331" s="564"/>
      <c r="AA331" s="564"/>
      <c r="AB331" s="564"/>
      <c r="AC331" s="564"/>
      <c r="AD331" s="564"/>
      <c r="AE331" s="564"/>
      <c r="AF331" s="564"/>
      <c r="AG331" s="564"/>
      <c r="AH331" s="564"/>
      <c r="AI331" s="564"/>
      <c r="AJ331" s="564"/>
      <c r="AK331" s="564"/>
      <c r="AL331" s="564"/>
      <c r="AM331" s="564"/>
      <c r="AN331" s="564"/>
      <c r="AO331" s="564"/>
    </row>
    <row r="332" spans="2:41" x14ac:dyDescent="0.15">
      <c r="B332" s="565">
        <v>18</v>
      </c>
      <c r="C332" s="564">
        <v>0.8987442922374429</v>
      </c>
      <c r="D332" s="564"/>
      <c r="E332" s="564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  <c r="Y332" s="564"/>
      <c r="Z332" s="564"/>
      <c r="AA332" s="564"/>
      <c r="AB332" s="564"/>
      <c r="AC332" s="564"/>
      <c r="AD332" s="564"/>
      <c r="AE332" s="564"/>
      <c r="AF332" s="564"/>
      <c r="AG332" s="564"/>
      <c r="AH332" s="564"/>
      <c r="AI332" s="564"/>
      <c r="AJ332" s="564"/>
      <c r="AK332" s="564"/>
      <c r="AL332" s="564"/>
      <c r="AM332" s="564"/>
      <c r="AN332" s="564"/>
      <c r="AO332" s="564"/>
    </row>
    <row r="333" spans="2:41" x14ac:dyDescent="0.15">
      <c r="B333" s="565">
        <v>19</v>
      </c>
      <c r="C333" s="564">
        <v>0.92625570776255706</v>
      </c>
      <c r="D333" s="564"/>
      <c r="E333" s="564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  <c r="Y333" s="564"/>
      <c r="Z333" s="564"/>
      <c r="AA333" s="564"/>
      <c r="AB333" s="564"/>
      <c r="AC333" s="564"/>
      <c r="AD333" s="564"/>
      <c r="AE333" s="564"/>
      <c r="AF333" s="564"/>
      <c r="AG333" s="564"/>
      <c r="AH333" s="564"/>
      <c r="AI333" s="564"/>
      <c r="AJ333" s="564"/>
      <c r="AK333" s="564"/>
      <c r="AL333" s="564"/>
      <c r="AM333" s="564"/>
      <c r="AN333" s="564"/>
      <c r="AO333" s="564"/>
    </row>
    <row r="334" spans="2:41" x14ac:dyDescent="0.15">
      <c r="B334" s="565">
        <v>20</v>
      </c>
      <c r="C334" s="564">
        <v>0.9480593607305936</v>
      </c>
      <c r="D334" s="564"/>
      <c r="E334" s="564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  <c r="Y334" s="564"/>
      <c r="Z334" s="564"/>
      <c r="AA334" s="564"/>
      <c r="AB334" s="564"/>
      <c r="AC334" s="564"/>
      <c r="AD334" s="564"/>
      <c r="AE334" s="564"/>
      <c r="AF334" s="564"/>
      <c r="AG334" s="564"/>
      <c r="AH334" s="564"/>
      <c r="AI334" s="564"/>
      <c r="AJ334" s="564"/>
      <c r="AK334" s="564"/>
      <c r="AL334" s="564"/>
      <c r="AM334" s="564"/>
      <c r="AN334" s="564"/>
      <c r="AO334" s="564"/>
    </row>
    <row r="335" spans="2:41" x14ac:dyDescent="0.15">
      <c r="B335" s="565">
        <v>21</v>
      </c>
      <c r="C335" s="564">
        <v>0.95913242009132416</v>
      </c>
      <c r="D335" s="564"/>
      <c r="E335" s="564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  <c r="Y335" s="564"/>
      <c r="Z335" s="564"/>
      <c r="AA335" s="564"/>
      <c r="AB335" s="564"/>
      <c r="AC335" s="564"/>
      <c r="AD335" s="564"/>
      <c r="AE335" s="564"/>
      <c r="AF335" s="564"/>
      <c r="AG335" s="564"/>
      <c r="AH335" s="564"/>
      <c r="AI335" s="564"/>
      <c r="AJ335" s="564"/>
      <c r="AK335" s="564"/>
      <c r="AL335" s="564"/>
      <c r="AM335" s="564"/>
      <c r="AN335" s="564"/>
      <c r="AO335" s="564"/>
    </row>
    <row r="336" spans="2:41" x14ac:dyDescent="0.15">
      <c r="B336" s="565">
        <v>22</v>
      </c>
      <c r="C336" s="564">
        <v>0.97454337899543375</v>
      </c>
      <c r="D336" s="564"/>
      <c r="E336" s="564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  <c r="Y336" s="564"/>
      <c r="Z336" s="564"/>
      <c r="AA336" s="564"/>
      <c r="AB336" s="564"/>
      <c r="AC336" s="564"/>
      <c r="AD336" s="564"/>
      <c r="AE336" s="564"/>
      <c r="AF336" s="564"/>
      <c r="AG336" s="564"/>
      <c r="AH336" s="564"/>
      <c r="AI336" s="564"/>
      <c r="AJ336" s="564"/>
      <c r="AK336" s="564"/>
      <c r="AL336" s="564"/>
      <c r="AM336" s="564"/>
      <c r="AN336" s="564"/>
      <c r="AO336" s="564"/>
    </row>
    <row r="337" spans="2:41" x14ac:dyDescent="0.15">
      <c r="B337" s="565">
        <v>23</v>
      </c>
      <c r="C337" s="564">
        <v>0.98561643835616441</v>
      </c>
      <c r="D337" s="564"/>
      <c r="E337" s="564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  <c r="Y337" s="564"/>
      <c r="Z337" s="564"/>
      <c r="AA337" s="564"/>
      <c r="AB337" s="564"/>
      <c r="AC337" s="564"/>
      <c r="AD337" s="564"/>
      <c r="AE337" s="564"/>
      <c r="AF337" s="564"/>
      <c r="AG337" s="564"/>
      <c r="AH337" s="564"/>
      <c r="AI337" s="564"/>
      <c r="AJ337" s="564"/>
      <c r="AK337" s="564"/>
      <c r="AL337" s="564"/>
      <c r="AM337" s="564"/>
      <c r="AN337" s="564"/>
      <c r="AO337" s="564"/>
    </row>
    <row r="338" spans="2:41" x14ac:dyDescent="0.15">
      <c r="B338" s="565">
        <v>24</v>
      </c>
      <c r="C338" s="564">
        <v>0.99257990867579904</v>
      </c>
      <c r="D338" s="564"/>
      <c r="E338" s="564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  <c r="Y338" s="564"/>
      <c r="Z338" s="564"/>
      <c r="AA338" s="564"/>
      <c r="AB338" s="564"/>
      <c r="AC338" s="564"/>
      <c r="AD338" s="564"/>
      <c r="AE338" s="564"/>
      <c r="AF338" s="564"/>
      <c r="AG338" s="564"/>
      <c r="AH338" s="564"/>
      <c r="AI338" s="564"/>
      <c r="AJ338" s="564"/>
      <c r="AK338" s="564"/>
      <c r="AL338" s="564"/>
      <c r="AM338" s="564"/>
      <c r="AN338" s="564"/>
      <c r="AO338" s="564"/>
    </row>
    <row r="339" spans="2:41" x14ac:dyDescent="0.15">
      <c r="B339" s="565">
        <v>25</v>
      </c>
      <c r="C339" s="564">
        <v>0.99589041095890407</v>
      </c>
      <c r="D339" s="564"/>
      <c r="E339" s="564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  <c r="Y339" s="564"/>
      <c r="Z339" s="564"/>
      <c r="AA339" s="564"/>
      <c r="AB339" s="564"/>
      <c r="AC339" s="564"/>
      <c r="AD339" s="564"/>
      <c r="AE339" s="564"/>
      <c r="AF339" s="564"/>
      <c r="AG339" s="564"/>
      <c r="AH339" s="564"/>
      <c r="AI339" s="564"/>
      <c r="AJ339" s="564"/>
      <c r="AK339" s="564"/>
      <c r="AL339" s="564"/>
      <c r="AM339" s="564"/>
      <c r="AN339" s="564"/>
      <c r="AO339" s="564"/>
    </row>
    <row r="340" spans="2:41" x14ac:dyDescent="0.15">
      <c r="B340" s="565">
        <v>26</v>
      </c>
      <c r="C340" s="564">
        <v>0.99714611872146119</v>
      </c>
      <c r="D340" s="564"/>
      <c r="E340" s="564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  <c r="Y340" s="564"/>
      <c r="Z340" s="564"/>
      <c r="AA340" s="564"/>
      <c r="AB340" s="564"/>
      <c r="AC340" s="564"/>
      <c r="AD340" s="564"/>
      <c r="AE340" s="564"/>
      <c r="AF340" s="564"/>
      <c r="AG340" s="564"/>
      <c r="AH340" s="564"/>
      <c r="AI340" s="564"/>
      <c r="AJ340" s="564"/>
      <c r="AK340" s="564"/>
      <c r="AL340" s="564"/>
      <c r="AM340" s="564"/>
      <c r="AN340" s="564"/>
      <c r="AO340" s="564"/>
    </row>
    <row r="341" spans="2:41" x14ac:dyDescent="0.15">
      <c r="B341" s="565">
        <v>27</v>
      </c>
      <c r="C341" s="564">
        <v>0.99885844748858443</v>
      </c>
      <c r="D341" s="564"/>
      <c r="E341" s="564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  <c r="Y341" s="564"/>
      <c r="Z341" s="564"/>
      <c r="AA341" s="564"/>
      <c r="AB341" s="564"/>
      <c r="AC341" s="564"/>
      <c r="AD341" s="564"/>
      <c r="AE341" s="564"/>
      <c r="AF341" s="564"/>
      <c r="AG341" s="564"/>
      <c r="AH341" s="564"/>
      <c r="AI341" s="564"/>
      <c r="AJ341" s="564"/>
      <c r="AK341" s="564"/>
      <c r="AL341" s="564"/>
      <c r="AM341" s="564"/>
      <c r="AN341" s="564"/>
      <c r="AO341" s="564"/>
    </row>
    <row r="342" spans="2:41" x14ac:dyDescent="0.15">
      <c r="B342" s="565">
        <v>28</v>
      </c>
      <c r="C342" s="564">
        <v>0.99965753424657533</v>
      </c>
      <c r="D342" s="564"/>
      <c r="E342" s="564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  <c r="Y342" s="564"/>
      <c r="Z342" s="564"/>
      <c r="AA342" s="564"/>
      <c r="AB342" s="564"/>
      <c r="AC342" s="564"/>
      <c r="AD342" s="564"/>
      <c r="AE342" s="564"/>
      <c r="AF342" s="564"/>
      <c r="AG342" s="564"/>
      <c r="AH342" s="564"/>
      <c r="AI342" s="564"/>
      <c r="AJ342" s="564"/>
      <c r="AK342" s="564"/>
      <c r="AL342" s="564"/>
      <c r="AM342" s="564"/>
      <c r="AN342" s="564"/>
      <c r="AO342" s="564"/>
    </row>
    <row r="343" spans="2:41" x14ac:dyDescent="0.15">
      <c r="B343" s="565">
        <v>29</v>
      </c>
      <c r="C343" s="564">
        <v>1</v>
      </c>
      <c r="D343" s="564"/>
      <c r="E343" s="564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  <c r="Y343" s="564"/>
      <c r="Z343" s="564"/>
      <c r="AA343" s="564"/>
      <c r="AB343" s="564"/>
      <c r="AC343" s="564"/>
      <c r="AD343" s="564"/>
      <c r="AE343" s="564"/>
      <c r="AF343" s="564"/>
      <c r="AG343" s="564"/>
      <c r="AH343" s="564"/>
      <c r="AI343" s="564"/>
      <c r="AJ343" s="564"/>
      <c r="AK343" s="564"/>
      <c r="AL343" s="564"/>
      <c r="AM343" s="564"/>
      <c r="AN343" s="564"/>
      <c r="AO343" s="564"/>
    </row>
    <row r="344" spans="2:41" x14ac:dyDescent="0.15">
      <c r="B344" s="565">
        <v>30</v>
      </c>
      <c r="C344" s="564">
        <v>1</v>
      </c>
      <c r="D344" s="564"/>
      <c r="E344" s="564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  <c r="Y344" s="564"/>
      <c r="Z344" s="564"/>
      <c r="AA344" s="564"/>
      <c r="AB344" s="564"/>
      <c r="AC344" s="564"/>
      <c r="AD344" s="564"/>
      <c r="AE344" s="564"/>
      <c r="AF344" s="564"/>
      <c r="AG344" s="564"/>
      <c r="AH344" s="564"/>
      <c r="AI344" s="564"/>
      <c r="AJ344" s="564"/>
      <c r="AK344" s="564"/>
      <c r="AL344" s="564"/>
      <c r="AM344" s="564"/>
      <c r="AN344" s="564"/>
      <c r="AO344" s="564"/>
    </row>
    <row r="345" spans="2:41" x14ac:dyDescent="0.15">
      <c r="B345" s="565">
        <v>31</v>
      </c>
      <c r="C345" s="564">
        <v>1</v>
      </c>
      <c r="D345" s="564"/>
      <c r="E345" s="564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  <c r="Y345" s="564"/>
      <c r="Z345" s="564"/>
      <c r="AA345" s="564"/>
      <c r="AB345" s="564"/>
      <c r="AC345" s="564"/>
      <c r="AD345" s="564"/>
      <c r="AE345" s="564"/>
      <c r="AF345" s="564"/>
      <c r="AG345" s="564"/>
      <c r="AH345" s="564"/>
      <c r="AI345" s="564"/>
      <c r="AJ345" s="564"/>
      <c r="AK345" s="564"/>
      <c r="AL345" s="564"/>
      <c r="AM345" s="564"/>
      <c r="AN345" s="564"/>
      <c r="AO345" s="564"/>
    </row>
    <row r="346" spans="2:41" x14ac:dyDescent="0.15">
      <c r="B346" s="565">
        <v>32</v>
      </c>
      <c r="C346" s="564">
        <v>1</v>
      </c>
      <c r="D346" s="564"/>
      <c r="E346" s="564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  <c r="Y346" s="564"/>
      <c r="Z346" s="564"/>
      <c r="AA346" s="564"/>
      <c r="AB346" s="564"/>
      <c r="AC346" s="564"/>
      <c r="AD346" s="564"/>
      <c r="AE346" s="564"/>
      <c r="AF346" s="564"/>
      <c r="AG346" s="564"/>
      <c r="AH346" s="564"/>
      <c r="AI346" s="564"/>
      <c r="AJ346" s="564"/>
      <c r="AK346" s="564"/>
      <c r="AL346" s="564"/>
      <c r="AM346" s="564"/>
      <c r="AN346" s="564"/>
      <c r="AO346" s="564"/>
    </row>
    <row r="347" spans="2:41" x14ac:dyDescent="0.15">
      <c r="B347" s="565">
        <v>33</v>
      </c>
      <c r="C347" s="564">
        <v>1</v>
      </c>
      <c r="D347" s="564"/>
      <c r="E347" s="564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  <c r="Y347" s="564"/>
      <c r="Z347" s="564"/>
      <c r="AA347" s="564"/>
      <c r="AB347" s="564"/>
      <c r="AC347" s="564"/>
      <c r="AD347" s="564"/>
      <c r="AE347" s="564"/>
      <c r="AF347" s="564"/>
      <c r="AG347" s="564"/>
      <c r="AH347" s="564"/>
      <c r="AI347" s="564"/>
      <c r="AJ347" s="564"/>
      <c r="AK347" s="564"/>
      <c r="AL347" s="564"/>
      <c r="AM347" s="564"/>
      <c r="AN347" s="564"/>
      <c r="AO347" s="564"/>
    </row>
    <row r="348" spans="2:41" x14ac:dyDescent="0.15">
      <c r="B348" s="565">
        <v>34</v>
      </c>
      <c r="C348" s="564">
        <v>1</v>
      </c>
      <c r="D348" s="564"/>
      <c r="E348" s="564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  <c r="Y348" s="564"/>
      <c r="Z348" s="564"/>
      <c r="AA348" s="564"/>
      <c r="AB348" s="564"/>
      <c r="AC348" s="564"/>
      <c r="AD348" s="564"/>
      <c r="AE348" s="564"/>
      <c r="AF348" s="564"/>
      <c r="AG348" s="564"/>
      <c r="AH348" s="564"/>
      <c r="AI348" s="564"/>
      <c r="AJ348" s="564"/>
      <c r="AK348" s="564"/>
      <c r="AL348" s="564"/>
      <c r="AM348" s="564"/>
      <c r="AN348" s="564"/>
      <c r="AO348" s="564"/>
    </row>
    <row r="349" spans="2:41" x14ac:dyDescent="0.15">
      <c r="B349" s="565">
        <v>35</v>
      </c>
      <c r="C349" s="564">
        <v>1</v>
      </c>
      <c r="D349" s="564"/>
      <c r="E349" s="564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  <c r="Y349" s="564"/>
      <c r="Z349" s="564"/>
      <c r="AA349" s="564"/>
      <c r="AB349" s="564"/>
      <c r="AC349" s="564"/>
      <c r="AD349" s="564"/>
      <c r="AE349" s="564"/>
      <c r="AF349" s="564"/>
      <c r="AG349" s="564"/>
      <c r="AH349" s="564"/>
      <c r="AI349" s="564"/>
      <c r="AJ349" s="564"/>
      <c r="AK349" s="564"/>
      <c r="AL349" s="564"/>
      <c r="AM349" s="564"/>
      <c r="AN349" s="564"/>
      <c r="AO349" s="564"/>
    </row>
    <row r="350" spans="2:41" x14ac:dyDescent="0.15">
      <c r="B350" s="565">
        <v>36</v>
      </c>
      <c r="C350" s="564">
        <v>1</v>
      </c>
      <c r="D350" s="564"/>
      <c r="E350" s="564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  <c r="Y350" s="564"/>
      <c r="Z350" s="564"/>
      <c r="AA350" s="564"/>
      <c r="AB350" s="564"/>
      <c r="AC350" s="564"/>
      <c r="AD350" s="564"/>
      <c r="AE350" s="564"/>
      <c r="AF350" s="564"/>
      <c r="AG350" s="564"/>
      <c r="AH350" s="564"/>
      <c r="AI350" s="564"/>
      <c r="AJ350" s="564"/>
      <c r="AK350" s="564"/>
      <c r="AL350" s="564"/>
      <c r="AM350" s="564"/>
      <c r="AN350" s="564"/>
      <c r="AO350" s="564"/>
    </row>
    <row r="351" spans="2:41" x14ac:dyDescent="0.15">
      <c r="B351" s="565">
        <v>37</v>
      </c>
      <c r="C351" s="564">
        <v>1</v>
      </c>
      <c r="D351" s="564"/>
      <c r="E351" s="564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  <c r="Y351" s="564"/>
      <c r="Z351" s="564"/>
      <c r="AA351" s="564"/>
      <c r="AB351" s="564"/>
      <c r="AC351" s="564"/>
      <c r="AD351" s="564"/>
      <c r="AE351" s="564"/>
      <c r="AF351" s="564"/>
      <c r="AG351" s="564"/>
      <c r="AH351" s="564"/>
      <c r="AI351" s="564"/>
      <c r="AJ351" s="564"/>
      <c r="AK351" s="564"/>
      <c r="AL351" s="564"/>
      <c r="AM351" s="564"/>
      <c r="AN351" s="564"/>
      <c r="AO351" s="564"/>
    </row>
    <row r="352" spans="2:41" x14ac:dyDescent="0.15">
      <c r="B352" s="565">
        <v>38</v>
      </c>
      <c r="C352" s="564">
        <v>1</v>
      </c>
      <c r="D352" s="564"/>
      <c r="E352" s="564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  <c r="Y352" s="564"/>
      <c r="Z352" s="564"/>
      <c r="AA352" s="564"/>
      <c r="AB352" s="564"/>
      <c r="AC352" s="564"/>
      <c r="AD352" s="564"/>
      <c r="AE352" s="564"/>
      <c r="AF352" s="564"/>
      <c r="AG352" s="564"/>
      <c r="AH352" s="564"/>
      <c r="AI352" s="564"/>
      <c r="AJ352" s="564"/>
      <c r="AK352" s="564"/>
      <c r="AL352" s="564"/>
      <c r="AM352" s="564"/>
      <c r="AN352" s="564"/>
      <c r="AO352" s="564"/>
    </row>
    <row r="353" spans="2:41" x14ac:dyDescent="0.15">
      <c r="B353" s="565">
        <v>39</v>
      </c>
      <c r="C353" s="564">
        <v>1</v>
      </c>
      <c r="D353" s="564"/>
      <c r="E353" s="564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  <c r="Y353" s="564"/>
      <c r="Z353" s="564"/>
      <c r="AA353" s="564"/>
      <c r="AB353" s="564"/>
      <c r="AC353" s="564"/>
      <c r="AD353" s="564"/>
      <c r="AE353" s="564"/>
      <c r="AF353" s="564"/>
      <c r="AG353" s="564"/>
      <c r="AH353" s="564"/>
      <c r="AI353" s="564"/>
      <c r="AJ353" s="564"/>
      <c r="AK353" s="564"/>
      <c r="AL353" s="564"/>
      <c r="AM353" s="564"/>
      <c r="AN353" s="564"/>
      <c r="AO353" s="564"/>
    </row>
    <row r="354" spans="2:41" x14ac:dyDescent="0.15">
      <c r="B354" s="566">
        <v>40</v>
      </c>
      <c r="C354" s="564">
        <v>1</v>
      </c>
      <c r="D354" s="564"/>
      <c r="E354" s="564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  <c r="Y354" s="564"/>
      <c r="Z354" s="564"/>
      <c r="AA354" s="564"/>
      <c r="AB354" s="564"/>
      <c r="AC354" s="564"/>
      <c r="AD354" s="564"/>
      <c r="AE354" s="564"/>
      <c r="AF354" s="564"/>
      <c r="AG354" s="564"/>
      <c r="AH354" s="564"/>
      <c r="AI354" s="564"/>
      <c r="AJ354" s="564"/>
      <c r="AK354" s="564"/>
      <c r="AL354" s="564"/>
      <c r="AM354" s="564"/>
      <c r="AN354" s="564"/>
      <c r="AO354" s="564"/>
    </row>
    <row r="363" spans="2:41" s="561" customFormat="1" ht="14" x14ac:dyDescent="0.15">
      <c r="B363" s="558" t="str" cm="1">
        <f t="array" ref="B363:AO363">TRANSPOSE('Syötä kaupungit KIRJASTOLIN_ENT'!$F$1:$F$40)</f>
        <v>MAA 5</v>
      </c>
      <c r="C363" s="562" t="str">
        <v>LAT - Riga</v>
      </c>
      <c r="D363" s="562">
        <v>0</v>
      </c>
      <c r="E363" s="562">
        <v>0</v>
      </c>
      <c r="F363" s="562">
        <v>0</v>
      </c>
      <c r="G363" s="562">
        <v>0</v>
      </c>
      <c r="H363" s="562">
        <v>0</v>
      </c>
      <c r="I363" s="562">
        <v>0</v>
      </c>
      <c r="J363" s="562">
        <v>0</v>
      </c>
      <c r="K363" s="562">
        <v>0</v>
      </c>
      <c r="L363" s="562">
        <v>0</v>
      </c>
      <c r="M363" s="562">
        <v>0</v>
      </c>
      <c r="N363" s="562">
        <v>0</v>
      </c>
      <c r="O363" s="562">
        <v>0</v>
      </c>
      <c r="P363" s="562">
        <v>0</v>
      </c>
      <c r="Q363" s="562">
        <v>0</v>
      </c>
      <c r="R363" s="562">
        <v>0</v>
      </c>
      <c r="S363" s="562">
        <v>0</v>
      </c>
      <c r="T363" s="562">
        <v>0</v>
      </c>
      <c r="U363" s="562">
        <v>0</v>
      </c>
      <c r="V363" s="562">
        <v>0</v>
      </c>
      <c r="W363" s="562">
        <v>0</v>
      </c>
      <c r="X363" s="562">
        <v>0</v>
      </c>
      <c r="Y363" s="562">
        <v>0</v>
      </c>
      <c r="Z363" s="562">
        <v>0</v>
      </c>
      <c r="AA363" s="562">
        <v>0</v>
      </c>
      <c r="AB363" s="562">
        <v>0</v>
      </c>
      <c r="AC363" s="562">
        <v>0</v>
      </c>
      <c r="AD363" s="562">
        <v>0</v>
      </c>
      <c r="AE363" s="562">
        <v>0</v>
      </c>
      <c r="AF363" s="562">
        <v>0</v>
      </c>
      <c r="AG363" s="562">
        <v>0</v>
      </c>
      <c r="AH363" s="562">
        <v>0</v>
      </c>
      <c r="AI363" s="562">
        <v>0</v>
      </c>
      <c r="AJ363" s="562">
        <v>0</v>
      </c>
      <c r="AK363" s="562">
        <v>0</v>
      </c>
      <c r="AL363" s="562">
        <v>0</v>
      </c>
      <c r="AM363" s="562">
        <v>0</v>
      </c>
      <c r="AN363" s="562">
        <v>0</v>
      </c>
      <c r="AO363" s="562">
        <v>0</v>
      </c>
    </row>
    <row r="364" spans="2:41" x14ac:dyDescent="0.15">
      <c r="B364" s="563">
        <v>-40</v>
      </c>
      <c r="C364" s="564">
        <v>0</v>
      </c>
      <c r="D364" s="564"/>
      <c r="E364" s="564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  <c r="Y364" s="564"/>
      <c r="Z364" s="564"/>
      <c r="AA364" s="564"/>
      <c r="AB364" s="564"/>
      <c r="AC364" s="564"/>
      <c r="AD364" s="564"/>
      <c r="AE364" s="564"/>
      <c r="AF364" s="564"/>
      <c r="AG364" s="564"/>
      <c r="AH364" s="564"/>
      <c r="AI364" s="564"/>
      <c r="AJ364" s="564"/>
      <c r="AK364" s="564"/>
      <c r="AL364" s="564"/>
      <c r="AM364" s="564"/>
      <c r="AN364" s="564"/>
      <c r="AO364" s="564"/>
    </row>
    <row r="365" spans="2:41" x14ac:dyDescent="0.15">
      <c r="B365" s="565">
        <v>-39</v>
      </c>
      <c r="C365" s="564">
        <v>0</v>
      </c>
      <c r="D365" s="564"/>
      <c r="E365" s="564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  <c r="Y365" s="564"/>
      <c r="Z365" s="564"/>
      <c r="AA365" s="564"/>
      <c r="AB365" s="564"/>
      <c r="AC365" s="564"/>
      <c r="AD365" s="564"/>
      <c r="AE365" s="564"/>
      <c r="AF365" s="564"/>
      <c r="AG365" s="564"/>
      <c r="AH365" s="564"/>
      <c r="AI365" s="564"/>
      <c r="AJ365" s="564"/>
      <c r="AK365" s="564"/>
      <c r="AL365" s="564"/>
      <c r="AM365" s="564"/>
      <c r="AN365" s="564"/>
      <c r="AO365" s="564"/>
    </row>
    <row r="366" spans="2:41" x14ac:dyDescent="0.15">
      <c r="B366" s="565">
        <v>-38</v>
      </c>
      <c r="C366" s="564">
        <v>0</v>
      </c>
      <c r="D366" s="564"/>
      <c r="E366" s="564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  <c r="Y366" s="564"/>
      <c r="Z366" s="564"/>
      <c r="AA366" s="564"/>
      <c r="AB366" s="564"/>
      <c r="AC366" s="564"/>
      <c r="AD366" s="564"/>
      <c r="AE366" s="564"/>
      <c r="AF366" s="564"/>
      <c r="AG366" s="564"/>
      <c r="AH366" s="564"/>
      <c r="AI366" s="564"/>
      <c r="AJ366" s="564"/>
      <c r="AK366" s="564"/>
      <c r="AL366" s="564"/>
      <c r="AM366" s="564"/>
      <c r="AN366" s="564"/>
      <c r="AO366" s="564"/>
    </row>
    <row r="367" spans="2:41" x14ac:dyDescent="0.15">
      <c r="B367" s="565">
        <v>-37</v>
      </c>
      <c r="C367" s="564">
        <v>0</v>
      </c>
      <c r="D367" s="564"/>
      <c r="E367" s="564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  <c r="Y367" s="564"/>
      <c r="Z367" s="564"/>
      <c r="AA367" s="564"/>
      <c r="AB367" s="564"/>
      <c r="AC367" s="564"/>
      <c r="AD367" s="564"/>
      <c r="AE367" s="564"/>
      <c r="AF367" s="564"/>
      <c r="AG367" s="564"/>
      <c r="AH367" s="564"/>
      <c r="AI367" s="564"/>
      <c r="AJ367" s="564"/>
      <c r="AK367" s="564"/>
      <c r="AL367" s="564"/>
      <c r="AM367" s="564"/>
      <c r="AN367" s="564"/>
      <c r="AO367" s="564"/>
    </row>
    <row r="368" spans="2:41" x14ac:dyDescent="0.15">
      <c r="B368" s="565">
        <v>-36</v>
      </c>
      <c r="C368" s="564">
        <v>0</v>
      </c>
      <c r="D368" s="564"/>
      <c r="E368" s="564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  <c r="Y368" s="564"/>
      <c r="Z368" s="564"/>
      <c r="AA368" s="564"/>
      <c r="AB368" s="564"/>
      <c r="AC368" s="564"/>
      <c r="AD368" s="564"/>
      <c r="AE368" s="564"/>
      <c r="AF368" s="564"/>
      <c r="AG368" s="564"/>
      <c r="AH368" s="564"/>
      <c r="AI368" s="564"/>
      <c r="AJ368" s="564"/>
      <c r="AK368" s="564"/>
      <c r="AL368" s="564"/>
      <c r="AM368" s="564"/>
      <c r="AN368" s="564"/>
      <c r="AO368" s="564"/>
    </row>
    <row r="369" spans="2:41" x14ac:dyDescent="0.15">
      <c r="B369" s="565">
        <v>-35</v>
      </c>
      <c r="C369" s="564">
        <v>0</v>
      </c>
      <c r="D369" s="564"/>
      <c r="E369" s="564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  <c r="Y369" s="564"/>
      <c r="Z369" s="564"/>
      <c r="AA369" s="564"/>
      <c r="AB369" s="564"/>
      <c r="AC369" s="564"/>
      <c r="AD369" s="564"/>
      <c r="AE369" s="564"/>
      <c r="AF369" s="564"/>
      <c r="AG369" s="564"/>
      <c r="AH369" s="564"/>
      <c r="AI369" s="564"/>
      <c r="AJ369" s="564"/>
      <c r="AK369" s="564"/>
      <c r="AL369" s="564"/>
      <c r="AM369" s="564"/>
      <c r="AN369" s="564"/>
      <c r="AO369" s="564"/>
    </row>
    <row r="370" spans="2:41" x14ac:dyDescent="0.15">
      <c r="B370" s="565">
        <v>-34</v>
      </c>
      <c r="C370" s="564">
        <v>0</v>
      </c>
      <c r="D370" s="564"/>
      <c r="E370" s="564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  <c r="Y370" s="564"/>
      <c r="Z370" s="564"/>
      <c r="AA370" s="564"/>
      <c r="AB370" s="564"/>
      <c r="AC370" s="564"/>
      <c r="AD370" s="564"/>
      <c r="AE370" s="564"/>
      <c r="AF370" s="564"/>
      <c r="AG370" s="564"/>
      <c r="AH370" s="564"/>
      <c r="AI370" s="564"/>
      <c r="AJ370" s="564"/>
      <c r="AK370" s="564"/>
      <c r="AL370" s="564"/>
      <c r="AM370" s="564"/>
      <c r="AN370" s="564"/>
      <c r="AO370" s="564"/>
    </row>
    <row r="371" spans="2:41" x14ac:dyDescent="0.15">
      <c r="B371" s="565">
        <v>-33</v>
      </c>
      <c r="C371" s="564">
        <v>0</v>
      </c>
      <c r="D371" s="564"/>
      <c r="E371" s="564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  <c r="Y371" s="564"/>
      <c r="Z371" s="564"/>
      <c r="AA371" s="564"/>
      <c r="AB371" s="564"/>
      <c r="AC371" s="564"/>
      <c r="AD371" s="564"/>
      <c r="AE371" s="564"/>
      <c r="AF371" s="564"/>
      <c r="AG371" s="564"/>
      <c r="AH371" s="564"/>
      <c r="AI371" s="564"/>
      <c r="AJ371" s="564"/>
      <c r="AK371" s="564"/>
      <c r="AL371" s="564"/>
      <c r="AM371" s="564"/>
      <c r="AN371" s="564"/>
      <c r="AO371" s="564"/>
    </row>
    <row r="372" spans="2:41" x14ac:dyDescent="0.15">
      <c r="B372" s="565">
        <v>-32</v>
      </c>
      <c r="C372" s="564">
        <v>0</v>
      </c>
      <c r="D372" s="564"/>
      <c r="E372" s="564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  <c r="Y372" s="564"/>
      <c r="Z372" s="564"/>
      <c r="AA372" s="564"/>
      <c r="AB372" s="564"/>
      <c r="AC372" s="564"/>
      <c r="AD372" s="564"/>
      <c r="AE372" s="564"/>
      <c r="AF372" s="564"/>
      <c r="AG372" s="564"/>
      <c r="AH372" s="564"/>
      <c r="AI372" s="564"/>
      <c r="AJ372" s="564"/>
      <c r="AK372" s="564"/>
      <c r="AL372" s="564"/>
      <c r="AM372" s="564"/>
      <c r="AN372" s="564"/>
      <c r="AO372" s="564"/>
    </row>
    <row r="373" spans="2:41" x14ac:dyDescent="0.15">
      <c r="B373" s="565">
        <v>-31</v>
      </c>
      <c r="C373" s="564">
        <v>0</v>
      </c>
      <c r="D373" s="564"/>
      <c r="E373" s="564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  <c r="Y373" s="564"/>
      <c r="Z373" s="564"/>
      <c r="AA373" s="564"/>
      <c r="AB373" s="564"/>
      <c r="AC373" s="564"/>
      <c r="AD373" s="564"/>
      <c r="AE373" s="564"/>
      <c r="AF373" s="564"/>
      <c r="AG373" s="564"/>
      <c r="AH373" s="564"/>
      <c r="AI373" s="564"/>
      <c r="AJ373" s="564"/>
      <c r="AK373" s="564"/>
      <c r="AL373" s="564"/>
      <c r="AM373" s="564"/>
      <c r="AN373" s="564"/>
      <c r="AO373" s="564"/>
    </row>
    <row r="374" spans="2:41" x14ac:dyDescent="0.15">
      <c r="B374" s="565">
        <v>-30</v>
      </c>
      <c r="C374" s="564">
        <v>0</v>
      </c>
      <c r="D374" s="564"/>
      <c r="E374" s="564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  <c r="Y374" s="564"/>
      <c r="Z374" s="564"/>
      <c r="AA374" s="564"/>
      <c r="AB374" s="564"/>
      <c r="AC374" s="564"/>
      <c r="AD374" s="564"/>
      <c r="AE374" s="564"/>
      <c r="AF374" s="564"/>
      <c r="AG374" s="564"/>
      <c r="AH374" s="564"/>
      <c r="AI374" s="564"/>
      <c r="AJ374" s="564"/>
      <c r="AK374" s="564"/>
      <c r="AL374" s="564"/>
      <c r="AM374" s="564"/>
      <c r="AN374" s="564"/>
      <c r="AO374" s="564"/>
    </row>
    <row r="375" spans="2:41" x14ac:dyDescent="0.15">
      <c r="B375" s="565">
        <v>-29</v>
      </c>
      <c r="C375" s="564">
        <v>0</v>
      </c>
      <c r="D375" s="564"/>
      <c r="E375" s="564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  <c r="Y375" s="564"/>
      <c r="Z375" s="564"/>
      <c r="AA375" s="564"/>
      <c r="AB375" s="564"/>
      <c r="AC375" s="564"/>
      <c r="AD375" s="564"/>
      <c r="AE375" s="564"/>
      <c r="AF375" s="564"/>
      <c r="AG375" s="564"/>
      <c r="AH375" s="564"/>
      <c r="AI375" s="564"/>
      <c r="AJ375" s="564"/>
      <c r="AK375" s="564"/>
      <c r="AL375" s="564"/>
      <c r="AM375" s="564"/>
      <c r="AN375" s="564"/>
      <c r="AO375" s="564"/>
    </row>
    <row r="376" spans="2:41" x14ac:dyDescent="0.15">
      <c r="B376" s="565">
        <v>-28</v>
      </c>
      <c r="C376" s="564">
        <v>0</v>
      </c>
      <c r="D376" s="564"/>
      <c r="E376" s="564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  <c r="Y376" s="564"/>
      <c r="Z376" s="564"/>
      <c r="AA376" s="564"/>
      <c r="AB376" s="564"/>
      <c r="AC376" s="564"/>
      <c r="AD376" s="564"/>
      <c r="AE376" s="564"/>
      <c r="AF376" s="564"/>
      <c r="AG376" s="564"/>
      <c r="AH376" s="564"/>
      <c r="AI376" s="564"/>
      <c r="AJ376" s="564"/>
      <c r="AK376" s="564"/>
      <c r="AL376" s="564"/>
      <c r="AM376" s="564"/>
      <c r="AN376" s="564"/>
      <c r="AO376" s="564"/>
    </row>
    <row r="377" spans="2:41" x14ac:dyDescent="0.15">
      <c r="B377" s="565">
        <v>-27</v>
      </c>
      <c r="C377" s="564">
        <v>0</v>
      </c>
      <c r="D377" s="564"/>
      <c r="E377" s="564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  <c r="Y377" s="564"/>
      <c r="Z377" s="564"/>
      <c r="AA377" s="564"/>
      <c r="AB377" s="564"/>
      <c r="AC377" s="564"/>
      <c r="AD377" s="564"/>
      <c r="AE377" s="564"/>
      <c r="AF377" s="564"/>
      <c r="AG377" s="564"/>
      <c r="AH377" s="564"/>
      <c r="AI377" s="564"/>
      <c r="AJ377" s="564"/>
      <c r="AK377" s="564"/>
      <c r="AL377" s="564"/>
      <c r="AM377" s="564"/>
      <c r="AN377" s="564"/>
      <c r="AO377" s="564"/>
    </row>
    <row r="378" spans="2:41" x14ac:dyDescent="0.15">
      <c r="B378" s="565">
        <v>-26</v>
      </c>
      <c r="C378" s="564">
        <v>0</v>
      </c>
      <c r="D378" s="564"/>
      <c r="E378" s="564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  <c r="Y378" s="564"/>
      <c r="Z378" s="564"/>
      <c r="AA378" s="564"/>
      <c r="AB378" s="564"/>
      <c r="AC378" s="564"/>
      <c r="AD378" s="564"/>
      <c r="AE378" s="564"/>
      <c r="AF378" s="564"/>
      <c r="AG378" s="564"/>
      <c r="AH378" s="564"/>
      <c r="AI378" s="564"/>
      <c r="AJ378" s="564"/>
      <c r="AK378" s="564"/>
      <c r="AL378" s="564"/>
      <c r="AM378" s="564"/>
      <c r="AN378" s="564"/>
      <c r="AO378" s="564"/>
    </row>
    <row r="379" spans="2:41" x14ac:dyDescent="0.15">
      <c r="B379" s="565">
        <v>-25</v>
      </c>
      <c r="C379" s="564">
        <v>0</v>
      </c>
      <c r="D379" s="564"/>
      <c r="E379" s="564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  <c r="Y379" s="564"/>
      <c r="Z379" s="564"/>
      <c r="AA379" s="564"/>
      <c r="AB379" s="564"/>
      <c r="AC379" s="564"/>
      <c r="AD379" s="564"/>
      <c r="AE379" s="564"/>
      <c r="AF379" s="564"/>
      <c r="AG379" s="564"/>
      <c r="AH379" s="564"/>
      <c r="AI379" s="564"/>
      <c r="AJ379" s="564"/>
      <c r="AK379" s="564"/>
      <c r="AL379" s="564"/>
      <c r="AM379" s="564"/>
      <c r="AN379" s="564"/>
      <c r="AO379" s="564"/>
    </row>
    <row r="380" spans="2:41" x14ac:dyDescent="0.15">
      <c r="B380" s="565">
        <v>-24</v>
      </c>
      <c r="C380" s="564">
        <v>0</v>
      </c>
      <c r="D380" s="564"/>
      <c r="E380" s="564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  <c r="Y380" s="564"/>
      <c r="Z380" s="564"/>
      <c r="AA380" s="564"/>
      <c r="AB380" s="564"/>
      <c r="AC380" s="564"/>
      <c r="AD380" s="564"/>
      <c r="AE380" s="564"/>
      <c r="AF380" s="564"/>
      <c r="AG380" s="564"/>
      <c r="AH380" s="564"/>
      <c r="AI380" s="564"/>
      <c r="AJ380" s="564"/>
      <c r="AK380" s="564"/>
      <c r="AL380" s="564"/>
      <c r="AM380" s="564"/>
      <c r="AN380" s="564"/>
      <c r="AO380" s="564"/>
    </row>
    <row r="381" spans="2:41" x14ac:dyDescent="0.15">
      <c r="B381" s="565">
        <v>-23</v>
      </c>
      <c r="C381" s="564">
        <v>0</v>
      </c>
      <c r="D381" s="564"/>
      <c r="E381" s="564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  <c r="Y381" s="564"/>
      <c r="Z381" s="564"/>
      <c r="AA381" s="564"/>
      <c r="AB381" s="564"/>
      <c r="AC381" s="564"/>
      <c r="AD381" s="564"/>
      <c r="AE381" s="564"/>
      <c r="AF381" s="564"/>
      <c r="AG381" s="564"/>
      <c r="AH381" s="564"/>
      <c r="AI381" s="564"/>
      <c r="AJ381" s="564"/>
      <c r="AK381" s="564"/>
      <c r="AL381" s="564"/>
      <c r="AM381" s="564"/>
      <c r="AN381" s="564"/>
      <c r="AO381" s="564"/>
    </row>
    <row r="382" spans="2:41" x14ac:dyDescent="0.15">
      <c r="B382" s="565">
        <v>-22</v>
      </c>
      <c r="C382" s="564">
        <v>0</v>
      </c>
      <c r="D382" s="564"/>
      <c r="E382" s="564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  <c r="Y382" s="564"/>
      <c r="Z382" s="564"/>
      <c r="AA382" s="564"/>
      <c r="AB382" s="564"/>
      <c r="AC382" s="564"/>
      <c r="AD382" s="564"/>
      <c r="AE382" s="564"/>
      <c r="AF382" s="564"/>
      <c r="AG382" s="564"/>
      <c r="AH382" s="564"/>
      <c r="AI382" s="564"/>
      <c r="AJ382" s="564"/>
      <c r="AK382" s="564"/>
      <c r="AL382" s="564"/>
      <c r="AM382" s="564"/>
      <c r="AN382" s="564"/>
      <c r="AO382" s="564"/>
    </row>
    <row r="383" spans="2:41" x14ac:dyDescent="0.15">
      <c r="B383" s="565">
        <v>-21</v>
      </c>
      <c r="C383" s="564">
        <v>0</v>
      </c>
      <c r="D383" s="564"/>
      <c r="E383" s="564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  <c r="Y383" s="564"/>
      <c r="Z383" s="564"/>
      <c r="AA383" s="564"/>
      <c r="AB383" s="564"/>
      <c r="AC383" s="564"/>
      <c r="AD383" s="564"/>
      <c r="AE383" s="564"/>
      <c r="AF383" s="564"/>
      <c r="AG383" s="564"/>
      <c r="AH383" s="564"/>
      <c r="AI383" s="564"/>
      <c r="AJ383" s="564"/>
      <c r="AK383" s="564"/>
      <c r="AL383" s="564"/>
      <c r="AM383" s="564"/>
      <c r="AN383" s="564"/>
      <c r="AO383" s="564"/>
    </row>
    <row r="384" spans="2:41" x14ac:dyDescent="0.15">
      <c r="B384" s="565">
        <v>-20</v>
      </c>
      <c r="C384" s="564">
        <v>0</v>
      </c>
      <c r="D384" s="564"/>
      <c r="E384" s="564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  <c r="Y384" s="564"/>
      <c r="Z384" s="564"/>
      <c r="AA384" s="564"/>
      <c r="AB384" s="564"/>
      <c r="AC384" s="564"/>
      <c r="AD384" s="564"/>
      <c r="AE384" s="564"/>
      <c r="AF384" s="564"/>
      <c r="AG384" s="564"/>
      <c r="AH384" s="564"/>
      <c r="AI384" s="564"/>
      <c r="AJ384" s="564"/>
      <c r="AK384" s="564"/>
      <c r="AL384" s="564"/>
      <c r="AM384" s="564"/>
      <c r="AN384" s="564"/>
      <c r="AO384" s="564"/>
    </row>
    <row r="385" spans="2:41" x14ac:dyDescent="0.15">
      <c r="B385" s="565">
        <v>-19</v>
      </c>
      <c r="C385" s="564">
        <v>0</v>
      </c>
      <c r="D385" s="564"/>
      <c r="E385" s="564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  <c r="Y385" s="564"/>
      <c r="Z385" s="564"/>
      <c r="AA385" s="564"/>
      <c r="AB385" s="564"/>
      <c r="AC385" s="564"/>
      <c r="AD385" s="564"/>
      <c r="AE385" s="564"/>
      <c r="AF385" s="564"/>
      <c r="AG385" s="564"/>
      <c r="AH385" s="564"/>
      <c r="AI385" s="564"/>
      <c r="AJ385" s="564"/>
      <c r="AK385" s="564"/>
      <c r="AL385" s="564"/>
      <c r="AM385" s="564"/>
      <c r="AN385" s="564"/>
      <c r="AO385" s="564"/>
    </row>
    <row r="386" spans="2:41" x14ac:dyDescent="0.15">
      <c r="B386" s="565">
        <v>-18</v>
      </c>
      <c r="C386" s="564">
        <v>3.4246575342465754E-4</v>
      </c>
      <c r="D386" s="564"/>
      <c r="E386" s="564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  <c r="Y386" s="564"/>
      <c r="Z386" s="564"/>
      <c r="AA386" s="564"/>
      <c r="AB386" s="564"/>
      <c r="AC386" s="564"/>
      <c r="AD386" s="564"/>
      <c r="AE386" s="564"/>
      <c r="AF386" s="564"/>
      <c r="AG386" s="564"/>
      <c r="AH386" s="564"/>
      <c r="AI386" s="564"/>
      <c r="AJ386" s="564"/>
      <c r="AK386" s="564"/>
      <c r="AL386" s="564"/>
      <c r="AM386" s="564"/>
      <c r="AN386" s="564"/>
      <c r="AO386" s="564"/>
    </row>
    <row r="387" spans="2:41" x14ac:dyDescent="0.15">
      <c r="B387" s="565">
        <v>-17</v>
      </c>
      <c r="C387" s="564">
        <v>1.0273972602739725E-3</v>
      </c>
      <c r="D387" s="564"/>
      <c r="E387" s="564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  <c r="Y387" s="564"/>
      <c r="Z387" s="564"/>
      <c r="AA387" s="564"/>
      <c r="AB387" s="564"/>
      <c r="AC387" s="564"/>
      <c r="AD387" s="564"/>
      <c r="AE387" s="564"/>
      <c r="AF387" s="564"/>
      <c r="AG387" s="564"/>
      <c r="AH387" s="564"/>
      <c r="AI387" s="564"/>
      <c r="AJ387" s="564"/>
      <c r="AK387" s="564"/>
      <c r="AL387" s="564"/>
      <c r="AM387" s="564"/>
      <c r="AN387" s="564"/>
      <c r="AO387" s="564"/>
    </row>
    <row r="388" spans="2:41" x14ac:dyDescent="0.15">
      <c r="B388" s="565">
        <v>-16</v>
      </c>
      <c r="C388" s="564">
        <v>2.054794520547945E-3</v>
      </c>
      <c r="D388" s="564"/>
      <c r="E388" s="564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  <c r="Y388" s="564"/>
      <c r="Z388" s="564"/>
      <c r="AA388" s="564"/>
      <c r="AB388" s="564"/>
      <c r="AC388" s="564"/>
      <c r="AD388" s="564"/>
      <c r="AE388" s="564"/>
      <c r="AF388" s="564"/>
      <c r="AG388" s="564"/>
      <c r="AH388" s="564"/>
      <c r="AI388" s="564"/>
      <c r="AJ388" s="564"/>
      <c r="AK388" s="564"/>
      <c r="AL388" s="564"/>
      <c r="AM388" s="564"/>
      <c r="AN388" s="564"/>
      <c r="AO388" s="564"/>
    </row>
    <row r="389" spans="2:41" x14ac:dyDescent="0.15">
      <c r="B389" s="565">
        <v>-15</v>
      </c>
      <c r="C389" s="564">
        <v>3.767123287671233E-3</v>
      </c>
      <c r="D389" s="564"/>
      <c r="E389" s="564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  <c r="Y389" s="564"/>
      <c r="Z389" s="564"/>
      <c r="AA389" s="564"/>
      <c r="AB389" s="564"/>
      <c r="AC389" s="564"/>
      <c r="AD389" s="564"/>
      <c r="AE389" s="564"/>
      <c r="AF389" s="564"/>
      <c r="AG389" s="564"/>
      <c r="AH389" s="564"/>
      <c r="AI389" s="564"/>
      <c r="AJ389" s="564"/>
      <c r="AK389" s="564"/>
      <c r="AL389" s="564"/>
      <c r="AM389" s="564"/>
      <c r="AN389" s="564"/>
      <c r="AO389" s="564"/>
    </row>
    <row r="390" spans="2:41" x14ac:dyDescent="0.15">
      <c r="B390" s="565">
        <v>-14</v>
      </c>
      <c r="C390" s="564">
        <v>4.7945205479452057E-3</v>
      </c>
      <c r="D390" s="564"/>
      <c r="E390" s="564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  <c r="Y390" s="564"/>
      <c r="Z390" s="564"/>
      <c r="AA390" s="564"/>
      <c r="AB390" s="564"/>
      <c r="AC390" s="564"/>
      <c r="AD390" s="564"/>
      <c r="AE390" s="564"/>
      <c r="AF390" s="564"/>
      <c r="AG390" s="564"/>
      <c r="AH390" s="564"/>
      <c r="AI390" s="564"/>
      <c r="AJ390" s="564"/>
      <c r="AK390" s="564"/>
      <c r="AL390" s="564"/>
      <c r="AM390" s="564"/>
      <c r="AN390" s="564"/>
      <c r="AO390" s="564"/>
    </row>
    <row r="391" spans="2:41" x14ac:dyDescent="0.15">
      <c r="B391" s="565">
        <v>-13</v>
      </c>
      <c r="C391" s="564">
        <v>6.735159817351598E-3</v>
      </c>
      <c r="D391" s="564"/>
      <c r="E391" s="564"/>
      <c r="F391" s="564"/>
      <c r="G391" s="564"/>
      <c r="H391" s="564"/>
      <c r="I391" s="564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564"/>
      <c r="W391" s="564"/>
      <c r="X391" s="564"/>
      <c r="Y391" s="564"/>
      <c r="Z391" s="564"/>
      <c r="AA391" s="564"/>
      <c r="AB391" s="564"/>
      <c r="AC391" s="564"/>
      <c r="AD391" s="564"/>
      <c r="AE391" s="564"/>
      <c r="AF391" s="564"/>
      <c r="AG391" s="564"/>
      <c r="AH391" s="564"/>
      <c r="AI391" s="564"/>
      <c r="AJ391" s="564"/>
      <c r="AK391" s="564"/>
      <c r="AL391" s="564"/>
      <c r="AM391" s="564"/>
      <c r="AN391" s="564"/>
      <c r="AO391" s="564"/>
    </row>
    <row r="392" spans="2:41" x14ac:dyDescent="0.15">
      <c r="B392" s="565">
        <v>-12</v>
      </c>
      <c r="C392" s="564">
        <v>9.7031963470319629E-3</v>
      </c>
      <c r="D392" s="564"/>
      <c r="E392" s="564"/>
      <c r="F392" s="564"/>
      <c r="G392" s="564"/>
      <c r="H392" s="564"/>
      <c r="I392" s="564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564"/>
      <c r="W392" s="564"/>
      <c r="X392" s="564"/>
      <c r="Y392" s="564"/>
      <c r="Z392" s="564"/>
      <c r="AA392" s="564"/>
      <c r="AB392" s="564"/>
      <c r="AC392" s="564"/>
      <c r="AD392" s="564"/>
      <c r="AE392" s="564"/>
      <c r="AF392" s="564"/>
      <c r="AG392" s="564"/>
      <c r="AH392" s="564"/>
      <c r="AI392" s="564"/>
      <c r="AJ392" s="564"/>
      <c r="AK392" s="564"/>
      <c r="AL392" s="564"/>
      <c r="AM392" s="564"/>
      <c r="AN392" s="564"/>
      <c r="AO392" s="564"/>
    </row>
    <row r="393" spans="2:41" x14ac:dyDescent="0.15">
      <c r="B393" s="565">
        <v>-11</v>
      </c>
      <c r="C393" s="564">
        <v>1.3356164383561644E-2</v>
      </c>
      <c r="D393" s="564"/>
      <c r="E393" s="564"/>
      <c r="F393" s="564"/>
      <c r="G393" s="564"/>
      <c r="H393" s="564"/>
      <c r="I393" s="564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564"/>
      <c r="W393" s="564"/>
      <c r="X393" s="564"/>
      <c r="Y393" s="564"/>
      <c r="Z393" s="564"/>
      <c r="AA393" s="564"/>
      <c r="AB393" s="564"/>
      <c r="AC393" s="564"/>
      <c r="AD393" s="564"/>
      <c r="AE393" s="564"/>
      <c r="AF393" s="564"/>
      <c r="AG393" s="564"/>
      <c r="AH393" s="564"/>
      <c r="AI393" s="564"/>
      <c r="AJ393" s="564"/>
      <c r="AK393" s="564"/>
      <c r="AL393" s="564"/>
      <c r="AM393" s="564"/>
      <c r="AN393" s="564"/>
      <c r="AO393" s="564"/>
    </row>
    <row r="394" spans="2:41" x14ac:dyDescent="0.15">
      <c r="B394" s="565">
        <v>-10</v>
      </c>
      <c r="C394" s="564">
        <v>1.8036529680365298E-2</v>
      </c>
      <c r="D394" s="564"/>
      <c r="E394" s="564"/>
      <c r="F394" s="564"/>
      <c r="G394" s="564"/>
      <c r="H394" s="564"/>
      <c r="I394" s="564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564"/>
      <c r="W394" s="564"/>
      <c r="X394" s="564"/>
      <c r="Y394" s="564"/>
      <c r="Z394" s="564"/>
      <c r="AA394" s="564"/>
      <c r="AB394" s="564"/>
      <c r="AC394" s="564"/>
      <c r="AD394" s="564"/>
      <c r="AE394" s="564"/>
      <c r="AF394" s="564"/>
      <c r="AG394" s="564"/>
      <c r="AH394" s="564"/>
      <c r="AI394" s="564"/>
      <c r="AJ394" s="564"/>
      <c r="AK394" s="564"/>
      <c r="AL394" s="564"/>
      <c r="AM394" s="564"/>
      <c r="AN394" s="564"/>
      <c r="AO394" s="564"/>
    </row>
    <row r="395" spans="2:41" x14ac:dyDescent="0.15">
      <c r="B395" s="565">
        <v>-9</v>
      </c>
      <c r="C395" s="564">
        <v>2.0547945205479451E-2</v>
      </c>
      <c r="D395" s="564"/>
      <c r="E395" s="564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  <c r="Y395" s="564"/>
      <c r="Z395" s="564"/>
      <c r="AA395" s="564"/>
      <c r="AB395" s="564"/>
      <c r="AC395" s="564"/>
      <c r="AD395" s="564"/>
      <c r="AE395" s="564"/>
      <c r="AF395" s="564"/>
      <c r="AG395" s="564"/>
      <c r="AH395" s="564"/>
      <c r="AI395" s="564"/>
      <c r="AJ395" s="564"/>
      <c r="AK395" s="564"/>
      <c r="AL395" s="564"/>
      <c r="AM395" s="564"/>
      <c r="AN395" s="564"/>
      <c r="AO395" s="564"/>
    </row>
    <row r="396" spans="2:41" x14ac:dyDescent="0.15">
      <c r="B396" s="565">
        <v>-8</v>
      </c>
      <c r="C396" s="564">
        <v>2.5228310502283104E-2</v>
      </c>
      <c r="D396" s="564"/>
      <c r="E396" s="564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564"/>
      <c r="W396" s="564"/>
      <c r="X396" s="564"/>
      <c r="Y396" s="564"/>
      <c r="Z396" s="564"/>
      <c r="AA396" s="564"/>
      <c r="AB396" s="564"/>
      <c r="AC396" s="564"/>
      <c r="AD396" s="564"/>
      <c r="AE396" s="564"/>
      <c r="AF396" s="564"/>
      <c r="AG396" s="564"/>
      <c r="AH396" s="564"/>
      <c r="AI396" s="564"/>
      <c r="AJ396" s="564"/>
      <c r="AK396" s="564"/>
      <c r="AL396" s="564"/>
      <c r="AM396" s="564"/>
      <c r="AN396" s="564"/>
      <c r="AO396" s="564"/>
    </row>
    <row r="397" spans="2:41" x14ac:dyDescent="0.15">
      <c r="B397" s="565">
        <v>-7</v>
      </c>
      <c r="C397" s="564">
        <v>3.4018264840182645E-2</v>
      </c>
      <c r="D397" s="564"/>
      <c r="E397" s="564"/>
      <c r="F397" s="564"/>
      <c r="G397" s="564"/>
      <c r="H397" s="564"/>
      <c r="I397" s="564"/>
      <c r="J397" s="564"/>
      <c r="K397" s="564"/>
      <c r="L397" s="564"/>
      <c r="M397" s="564"/>
      <c r="N397" s="564"/>
      <c r="O397" s="564"/>
      <c r="P397" s="564"/>
      <c r="Q397" s="564"/>
      <c r="R397" s="564"/>
      <c r="S397" s="564"/>
      <c r="T397" s="564"/>
      <c r="U397" s="564"/>
      <c r="V397" s="564"/>
      <c r="W397" s="564"/>
      <c r="X397" s="564"/>
      <c r="Y397" s="564"/>
      <c r="Z397" s="564"/>
      <c r="AA397" s="564"/>
      <c r="AB397" s="564"/>
      <c r="AC397" s="564"/>
      <c r="AD397" s="564"/>
      <c r="AE397" s="564"/>
      <c r="AF397" s="564"/>
      <c r="AG397" s="564"/>
      <c r="AH397" s="564"/>
      <c r="AI397" s="564"/>
      <c r="AJ397" s="564"/>
      <c r="AK397" s="564"/>
      <c r="AL397" s="564"/>
      <c r="AM397" s="564"/>
      <c r="AN397" s="564"/>
      <c r="AO397" s="564"/>
    </row>
    <row r="398" spans="2:41" x14ac:dyDescent="0.15">
      <c r="B398" s="565">
        <v>-6</v>
      </c>
      <c r="C398" s="564">
        <v>4.9086757990867577E-2</v>
      </c>
      <c r="D398" s="564"/>
      <c r="E398" s="564"/>
      <c r="F398" s="564"/>
      <c r="G398" s="564"/>
      <c r="H398" s="564"/>
      <c r="I398" s="564"/>
      <c r="J398" s="564"/>
      <c r="K398" s="564"/>
      <c r="L398" s="564"/>
      <c r="M398" s="564"/>
      <c r="N398" s="564"/>
      <c r="O398" s="564"/>
      <c r="P398" s="564"/>
      <c r="Q398" s="564"/>
      <c r="R398" s="564"/>
      <c r="S398" s="564"/>
      <c r="T398" s="564"/>
      <c r="U398" s="564"/>
      <c r="V398" s="564"/>
      <c r="W398" s="564"/>
      <c r="X398" s="564"/>
      <c r="Y398" s="564"/>
      <c r="Z398" s="564"/>
      <c r="AA398" s="564"/>
      <c r="AB398" s="564"/>
      <c r="AC398" s="564"/>
      <c r="AD398" s="564"/>
      <c r="AE398" s="564"/>
      <c r="AF398" s="564"/>
      <c r="AG398" s="564"/>
      <c r="AH398" s="564"/>
      <c r="AI398" s="564"/>
      <c r="AJ398" s="564"/>
      <c r="AK398" s="564"/>
      <c r="AL398" s="564"/>
      <c r="AM398" s="564"/>
      <c r="AN398" s="564"/>
      <c r="AO398" s="564"/>
    </row>
    <row r="399" spans="2:41" x14ac:dyDescent="0.15">
      <c r="B399" s="565">
        <v>-5</v>
      </c>
      <c r="C399" s="564">
        <v>6.9977168949771684E-2</v>
      </c>
      <c r="D399" s="564"/>
      <c r="E399" s="564"/>
      <c r="F399" s="564"/>
      <c r="G399" s="564"/>
      <c r="H399" s="564"/>
      <c r="I399" s="564"/>
      <c r="J399" s="564"/>
      <c r="K399" s="564"/>
      <c r="L399" s="564"/>
      <c r="M399" s="564"/>
      <c r="N399" s="564"/>
      <c r="O399" s="564"/>
      <c r="P399" s="564"/>
      <c r="Q399" s="564"/>
      <c r="R399" s="564"/>
      <c r="S399" s="564"/>
      <c r="T399" s="564"/>
      <c r="U399" s="564"/>
      <c r="V399" s="564"/>
      <c r="W399" s="564"/>
      <c r="X399" s="564"/>
      <c r="Y399" s="564"/>
      <c r="Z399" s="564"/>
      <c r="AA399" s="564"/>
      <c r="AB399" s="564"/>
      <c r="AC399" s="564"/>
      <c r="AD399" s="564"/>
      <c r="AE399" s="564"/>
      <c r="AF399" s="564"/>
      <c r="AG399" s="564"/>
      <c r="AH399" s="564"/>
      <c r="AI399" s="564"/>
      <c r="AJ399" s="564"/>
      <c r="AK399" s="564"/>
      <c r="AL399" s="564"/>
      <c r="AM399" s="564"/>
      <c r="AN399" s="564"/>
      <c r="AO399" s="564"/>
    </row>
    <row r="400" spans="2:41" x14ac:dyDescent="0.15">
      <c r="B400" s="565">
        <v>-4</v>
      </c>
      <c r="C400" s="564">
        <v>8.3447488584474885E-2</v>
      </c>
      <c r="D400" s="564"/>
      <c r="E400" s="564"/>
      <c r="F400" s="564"/>
      <c r="G400" s="564"/>
      <c r="H400" s="564"/>
      <c r="I400" s="564"/>
      <c r="J400" s="564"/>
      <c r="K400" s="564"/>
      <c r="L400" s="564"/>
      <c r="M400" s="564"/>
      <c r="N400" s="564"/>
      <c r="O400" s="564"/>
      <c r="P400" s="564"/>
      <c r="Q400" s="564"/>
      <c r="R400" s="564"/>
      <c r="S400" s="564"/>
      <c r="T400" s="564"/>
      <c r="U400" s="564"/>
      <c r="V400" s="564"/>
      <c r="W400" s="564"/>
      <c r="X400" s="564"/>
      <c r="Y400" s="564"/>
      <c r="Z400" s="564"/>
      <c r="AA400" s="564"/>
      <c r="AB400" s="564"/>
      <c r="AC400" s="564"/>
      <c r="AD400" s="564"/>
      <c r="AE400" s="564"/>
      <c r="AF400" s="564"/>
      <c r="AG400" s="564"/>
      <c r="AH400" s="564"/>
      <c r="AI400" s="564"/>
      <c r="AJ400" s="564"/>
      <c r="AK400" s="564"/>
      <c r="AL400" s="564"/>
      <c r="AM400" s="564"/>
      <c r="AN400" s="564"/>
      <c r="AO400" s="564"/>
    </row>
    <row r="401" spans="2:41" x14ac:dyDescent="0.15">
      <c r="B401" s="565">
        <v>-3</v>
      </c>
      <c r="C401" s="564">
        <v>0.11529680365296803</v>
      </c>
      <c r="D401" s="564"/>
      <c r="E401" s="564"/>
      <c r="F401" s="564"/>
      <c r="G401" s="564"/>
      <c r="H401" s="564"/>
      <c r="I401" s="564"/>
      <c r="J401" s="564"/>
      <c r="K401" s="564"/>
      <c r="L401" s="564"/>
      <c r="M401" s="564"/>
      <c r="N401" s="564"/>
      <c r="O401" s="564"/>
      <c r="P401" s="564"/>
      <c r="Q401" s="564"/>
      <c r="R401" s="564"/>
      <c r="S401" s="564"/>
      <c r="T401" s="564"/>
      <c r="U401" s="564"/>
      <c r="V401" s="564"/>
      <c r="W401" s="564"/>
      <c r="X401" s="564"/>
      <c r="Y401" s="564"/>
      <c r="Z401" s="564"/>
      <c r="AA401" s="564"/>
      <c r="AB401" s="564"/>
      <c r="AC401" s="564"/>
      <c r="AD401" s="564"/>
      <c r="AE401" s="564"/>
      <c r="AF401" s="564"/>
      <c r="AG401" s="564"/>
      <c r="AH401" s="564"/>
      <c r="AI401" s="564"/>
      <c r="AJ401" s="564"/>
      <c r="AK401" s="564"/>
      <c r="AL401" s="564"/>
      <c r="AM401" s="564"/>
      <c r="AN401" s="564"/>
      <c r="AO401" s="564"/>
    </row>
    <row r="402" spans="2:41" x14ac:dyDescent="0.15">
      <c r="B402" s="565">
        <v>-2</v>
      </c>
      <c r="C402" s="564">
        <v>0.15376712328767123</v>
      </c>
      <c r="D402" s="564"/>
      <c r="E402" s="564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  <c r="Y402" s="564"/>
      <c r="Z402" s="564"/>
      <c r="AA402" s="564"/>
      <c r="AB402" s="564"/>
      <c r="AC402" s="564"/>
      <c r="AD402" s="564"/>
      <c r="AE402" s="564"/>
      <c r="AF402" s="564"/>
      <c r="AG402" s="564"/>
      <c r="AH402" s="564"/>
      <c r="AI402" s="564"/>
      <c r="AJ402" s="564"/>
      <c r="AK402" s="564"/>
      <c r="AL402" s="564"/>
      <c r="AM402" s="564"/>
      <c r="AN402" s="564"/>
      <c r="AO402" s="564"/>
    </row>
    <row r="403" spans="2:41" x14ac:dyDescent="0.15">
      <c r="B403" s="565">
        <v>-1</v>
      </c>
      <c r="C403" s="564">
        <v>0.19121004566210045</v>
      </c>
      <c r="D403" s="564"/>
      <c r="E403" s="564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  <c r="Y403" s="564"/>
      <c r="Z403" s="564"/>
      <c r="AA403" s="564"/>
      <c r="AB403" s="564"/>
      <c r="AC403" s="564"/>
      <c r="AD403" s="564"/>
      <c r="AE403" s="564"/>
      <c r="AF403" s="564"/>
      <c r="AG403" s="564"/>
      <c r="AH403" s="564"/>
      <c r="AI403" s="564"/>
      <c r="AJ403" s="564"/>
      <c r="AK403" s="564"/>
      <c r="AL403" s="564"/>
      <c r="AM403" s="564"/>
      <c r="AN403" s="564"/>
      <c r="AO403" s="564"/>
    </row>
    <row r="404" spans="2:41" x14ac:dyDescent="0.15">
      <c r="B404" s="565">
        <v>0</v>
      </c>
      <c r="C404" s="564">
        <v>0.22979452054794522</v>
      </c>
      <c r="D404" s="564"/>
      <c r="E404" s="564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  <c r="Y404" s="564"/>
      <c r="Z404" s="564"/>
      <c r="AA404" s="564"/>
      <c r="AB404" s="564"/>
      <c r="AC404" s="564"/>
      <c r="AD404" s="564"/>
      <c r="AE404" s="564"/>
      <c r="AF404" s="564"/>
      <c r="AG404" s="564"/>
      <c r="AH404" s="564"/>
      <c r="AI404" s="564"/>
      <c r="AJ404" s="564"/>
      <c r="AK404" s="564"/>
      <c r="AL404" s="564"/>
      <c r="AM404" s="564"/>
      <c r="AN404" s="564"/>
      <c r="AO404" s="564"/>
    </row>
    <row r="405" spans="2:41" x14ac:dyDescent="0.15">
      <c r="B405" s="565">
        <v>1</v>
      </c>
      <c r="C405" s="564">
        <v>0.24520547945205479</v>
      </c>
      <c r="D405" s="564"/>
      <c r="E405" s="564"/>
      <c r="F405" s="564"/>
      <c r="G405" s="564"/>
      <c r="H405" s="564"/>
      <c r="I405" s="564"/>
      <c r="J405" s="564"/>
      <c r="K405" s="564"/>
      <c r="L405" s="564"/>
      <c r="M405" s="564"/>
      <c r="N405" s="564"/>
      <c r="O405" s="564"/>
      <c r="P405" s="564"/>
      <c r="Q405" s="564"/>
      <c r="R405" s="564"/>
      <c r="S405" s="564"/>
      <c r="T405" s="564"/>
      <c r="U405" s="564"/>
      <c r="V405" s="564"/>
      <c r="W405" s="564"/>
      <c r="X405" s="564"/>
      <c r="Y405" s="564"/>
      <c r="Z405" s="564"/>
      <c r="AA405" s="564"/>
      <c r="AB405" s="564"/>
      <c r="AC405" s="564"/>
      <c r="AD405" s="564"/>
      <c r="AE405" s="564"/>
      <c r="AF405" s="564"/>
      <c r="AG405" s="564"/>
      <c r="AH405" s="564"/>
      <c r="AI405" s="564"/>
      <c r="AJ405" s="564"/>
      <c r="AK405" s="564"/>
      <c r="AL405" s="564"/>
      <c r="AM405" s="564"/>
      <c r="AN405" s="564"/>
      <c r="AO405" s="564"/>
    </row>
    <row r="406" spans="2:41" x14ac:dyDescent="0.15">
      <c r="B406" s="565">
        <v>2</v>
      </c>
      <c r="C406" s="564">
        <v>0.27716894977168949</v>
      </c>
      <c r="D406" s="564"/>
      <c r="E406" s="564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  <c r="Y406" s="564"/>
      <c r="Z406" s="564"/>
      <c r="AA406" s="564"/>
      <c r="AB406" s="564"/>
      <c r="AC406" s="564"/>
      <c r="AD406" s="564"/>
      <c r="AE406" s="564"/>
      <c r="AF406" s="564"/>
      <c r="AG406" s="564"/>
      <c r="AH406" s="564"/>
      <c r="AI406" s="564"/>
      <c r="AJ406" s="564"/>
      <c r="AK406" s="564"/>
      <c r="AL406" s="564"/>
      <c r="AM406" s="564"/>
      <c r="AN406" s="564"/>
      <c r="AO406" s="564"/>
    </row>
    <row r="407" spans="2:41" x14ac:dyDescent="0.15">
      <c r="B407" s="565">
        <v>3</v>
      </c>
      <c r="C407" s="564">
        <v>0.31324200913242012</v>
      </c>
      <c r="D407" s="564"/>
      <c r="E407" s="564"/>
      <c r="F407" s="564"/>
      <c r="G407" s="564"/>
      <c r="H407" s="564"/>
      <c r="I407" s="564"/>
      <c r="J407" s="564"/>
      <c r="K407" s="564"/>
      <c r="L407" s="564"/>
      <c r="M407" s="564"/>
      <c r="N407" s="564"/>
      <c r="O407" s="564"/>
      <c r="P407" s="564"/>
      <c r="Q407" s="564"/>
      <c r="R407" s="564"/>
      <c r="S407" s="564"/>
      <c r="T407" s="564"/>
      <c r="U407" s="564"/>
      <c r="V407" s="564"/>
      <c r="W407" s="564"/>
      <c r="X407" s="564"/>
      <c r="Y407" s="564"/>
      <c r="Z407" s="564"/>
      <c r="AA407" s="564"/>
      <c r="AB407" s="564"/>
      <c r="AC407" s="564"/>
      <c r="AD407" s="564"/>
      <c r="AE407" s="564"/>
      <c r="AF407" s="564"/>
      <c r="AG407" s="564"/>
      <c r="AH407" s="564"/>
      <c r="AI407" s="564"/>
      <c r="AJ407" s="564"/>
      <c r="AK407" s="564"/>
      <c r="AL407" s="564"/>
      <c r="AM407" s="564"/>
      <c r="AN407" s="564"/>
      <c r="AO407" s="564"/>
    </row>
    <row r="408" spans="2:41" x14ac:dyDescent="0.15">
      <c r="B408" s="565">
        <v>4</v>
      </c>
      <c r="C408" s="564">
        <v>0.3476027397260274</v>
      </c>
      <c r="D408" s="564"/>
      <c r="E408" s="564"/>
      <c r="F408" s="564"/>
      <c r="G408" s="564"/>
      <c r="H408" s="564"/>
      <c r="I408" s="564"/>
      <c r="J408" s="564"/>
      <c r="K408" s="564"/>
      <c r="L408" s="564"/>
      <c r="M408" s="564"/>
      <c r="N408" s="564"/>
      <c r="O408" s="564"/>
      <c r="P408" s="564"/>
      <c r="Q408" s="564"/>
      <c r="R408" s="564"/>
      <c r="S408" s="564"/>
      <c r="T408" s="564"/>
      <c r="U408" s="564"/>
      <c r="V408" s="564"/>
      <c r="W408" s="564"/>
      <c r="X408" s="564"/>
      <c r="Y408" s="564"/>
      <c r="Z408" s="564"/>
      <c r="AA408" s="564"/>
      <c r="AB408" s="564"/>
      <c r="AC408" s="564"/>
      <c r="AD408" s="564"/>
      <c r="AE408" s="564"/>
      <c r="AF408" s="564"/>
      <c r="AG408" s="564"/>
      <c r="AH408" s="564"/>
      <c r="AI408" s="564"/>
      <c r="AJ408" s="564"/>
      <c r="AK408" s="564"/>
      <c r="AL408" s="564"/>
      <c r="AM408" s="564"/>
      <c r="AN408" s="564"/>
      <c r="AO408" s="564"/>
    </row>
    <row r="409" spans="2:41" x14ac:dyDescent="0.15">
      <c r="B409" s="565">
        <v>5</v>
      </c>
      <c r="C409" s="564">
        <v>0.38367579908675797</v>
      </c>
      <c r="D409" s="564"/>
      <c r="E409" s="564"/>
      <c r="F409" s="564"/>
      <c r="G409" s="564"/>
      <c r="H409" s="564"/>
      <c r="I409" s="564"/>
      <c r="J409" s="564"/>
      <c r="K409" s="564"/>
      <c r="L409" s="564"/>
      <c r="M409" s="564"/>
      <c r="N409" s="564"/>
      <c r="O409" s="564"/>
      <c r="P409" s="564"/>
      <c r="Q409" s="564"/>
      <c r="R409" s="564"/>
      <c r="S409" s="564"/>
      <c r="T409" s="564"/>
      <c r="U409" s="564"/>
      <c r="V409" s="564"/>
      <c r="W409" s="564"/>
      <c r="X409" s="564"/>
      <c r="Y409" s="564"/>
      <c r="Z409" s="564"/>
      <c r="AA409" s="564"/>
      <c r="AB409" s="564"/>
      <c r="AC409" s="564"/>
      <c r="AD409" s="564"/>
      <c r="AE409" s="564"/>
      <c r="AF409" s="564"/>
      <c r="AG409" s="564"/>
      <c r="AH409" s="564"/>
      <c r="AI409" s="564"/>
      <c r="AJ409" s="564"/>
      <c r="AK409" s="564"/>
      <c r="AL409" s="564"/>
      <c r="AM409" s="564"/>
      <c r="AN409" s="564"/>
      <c r="AO409" s="564"/>
    </row>
    <row r="410" spans="2:41" x14ac:dyDescent="0.15">
      <c r="B410" s="565">
        <v>6</v>
      </c>
      <c r="C410" s="564">
        <v>0.40742009132420093</v>
      </c>
      <c r="D410" s="564"/>
      <c r="E410" s="564"/>
      <c r="F410" s="564"/>
      <c r="G410" s="564"/>
      <c r="H410" s="564"/>
      <c r="I410" s="564"/>
      <c r="J410" s="564"/>
      <c r="K410" s="564"/>
      <c r="L410" s="564"/>
      <c r="M410" s="564"/>
      <c r="N410" s="564"/>
      <c r="O410" s="564"/>
      <c r="P410" s="564"/>
      <c r="Q410" s="564"/>
      <c r="R410" s="564"/>
      <c r="S410" s="564"/>
      <c r="T410" s="564"/>
      <c r="U410" s="564"/>
      <c r="V410" s="564"/>
      <c r="W410" s="564"/>
      <c r="X410" s="564"/>
      <c r="Y410" s="564"/>
      <c r="Z410" s="564"/>
      <c r="AA410" s="564"/>
      <c r="AB410" s="564"/>
      <c r="AC410" s="564"/>
      <c r="AD410" s="564"/>
      <c r="AE410" s="564"/>
      <c r="AF410" s="564"/>
      <c r="AG410" s="564"/>
      <c r="AH410" s="564"/>
      <c r="AI410" s="564"/>
      <c r="AJ410" s="564"/>
      <c r="AK410" s="564"/>
      <c r="AL410" s="564"/>
      <c r="AM410" s="564"/>
      <c r="AN410" s="564"/>
      <c r="AO410" s="564"/>
    </row>
    <row r="411" spans="2:41" x14ac:dyDescent="0.15">
      <c r="B411" s="565">
        <v>7</v>
      </c>
      <c r="C411" s="564">
        <v>0.4480593607305936</v>
      </c>
      <c r="D411" s="564"/>
      <c r="E411" s="564"/>
      <c r="F411" s="564"/>
      <c r="G411" s="564"/>
      <c r="H411" s="564"/>
      <c r="I411" s="564"/>
      <c r="J411" s="564"/>
      <c r="K411" s="564"/>
      <c r="L411" s="564"/>
      <c r="M411" s="564"/>
      <c r="N411" s="564"/>
      <c r="O411" s="564"/>
      <c r="P411" s="564"/>
      <c r="Q411" s="564"/>
      <c r="R411" s="564"/>
      <c r="S411" s="564"/>
      <c r="T411" s="564"/>
      <c r="U411" s="564"/>
      <c r="V411" s="564"/>
      <c r="W411" s="564"/>
      <c r="X411" s="564"/>
      <c r="Y411" s="564"/>
      <c r="Z411" s="564"/>
      <c r="AA411" s="564"/>
      <c r="AB411" s="564"/>
      <c r="AC411" s="564"/>
      <c r="AD411" s="564"/>
      <c r="AE411" s="564"/>
      <c r="AF411" s="564"/>
      <c r="AG411" s="564"/>
      <c r="AH411" s="564"/>
      <c r="AI411" s="564"/>
      <c r="AJ411" s="564"/>
      <c r="AK411" s="564"/>
      <c r="AL411" s="564"/>
      <c r="AM411" s="564"/>
      <c r="AN411" s="564"/>
      <c r="AO411" s="564"/>
    </row>
    <row r="412" spans="2:41" x14ac:dyDescent="0.15">
      <c r="B412" s="565">
        <v>8</v>
      </c>
      <c r="C412" s="564">
        <v>0.48413242009132418</v>
      </c>
      <c r="D412" s="564"/>
      <c r="E412" s="564"/>
      <c r="F412" s="564"/>
      <c r="G412" s="564"/>
      <c r="H412" s="564"/>
      <c r="I412" s="564"/>
      <c r="J412" s="564"/>
      <c r="K412" s="564"/>
      <c r="L412" s="564"/>
      <c r="M412" s="564"/>
      <c r="N412" s="564"/>
      <c r="O412" s="564"/>
      <c r="P412" s="564"/>
      <c r="Q412" s="564"/>
      <c r="R412" s="564"/>
      <c r="S412" s="564"/>
      <c r="T412" s="564"/>
      <c r="U412" s="564"/>
      <c r="V412" s="564"/>
      <c r="W412" s="564"/>
      <c r="X412" s="564"/>
      <c r="Y412" s="564"/>
      <c r="Z412" s="564"/>
      <c r="AA412" s="564"/>
      <c r="AB412" s="564"/>
      <c r="AC412" s="564"/>
      <c r="AD412" s="564"/>
      <c r="AE412" s="564"/>
      <c r="AF412" s="564"/>
      <c r="AG412" s="564"/>
      <c r="AH412" s="564"/>
      <c r="AI412" s="564"/>
      <c r="AJ412" s="564"/>
      <c r="AK412" s="564"/>
      <c r="AL412" s="564"/>
      <c r="AM412" s="564"/>
      <c r="AN412" s="564"/>
      <c r="AO412" s="564"/>
    </row>
    <row r="413" spans="2:41" x14ac:dyDescent="0.15">
      <c r="B413" s="565">
        <v>9</v>
      </c>
      <c r="C413" s="564">
        <v>0.52465753424657535</v>
      </c>
      <c r="D413" s="564"/>
      <c r="E413" s="564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564"/>
      <c r="T413" s="564"/>
      <c r="U413" s="564"/>
      <c r="V413" s="564"/>
      <c r="W413" s="564"/>
      <c r="X413" s="564"/>
      <c r="Y413" s="564"/>
      <c r="Z413" s="564"/>
      <c r="AA413" s="564"/>
      <c r="AB413" s="564"/>
      <c r="AC413" s="564"/>
      <c r="AD413" s="564"/>
      <c r="AE413" s="564"/>
      <c r="AF413" s="564"/>
      <c r="AG413" s="564"/>
      <c r="AH413" s="564"/>
      <c r="AI413" s="564"/>
      <c r="AJ413" s="564"/>
      <c r="AK413" s="564"/>
      <c r="AL413" s="564"/>
      <c r="AM413" s="564"/>
      <c r="AN413" s="564"/>
      <c r="AO413" s="564"/>
    </row>
    <row r="414" spans="2:41" x14ac:dyDescent="0.15">
      <c r="B414" s="565">
        <v>10</v>
      </c>
      <c r="C414" s="564">
        <v>0.5639269406392694</v>
      </c>
      <c r="D414" s="564"/>
      <c r="E414" s="564"/>
      <c r="F414" s="564"/>
      <c r="G414" s="564"/>
      <c r="H414" s="564"/>
      <c r="I414" s="564"/>
      <c r="J414" s="564"/>
      <c r="K414" s="564"/>
      <c r="L414" s="564"/>
      <c r="M414" s="564"/>
      <c r="N414" s="564"/>
      <c r="O414" s="564"/>
      <c r="P414" s="564"/>
      <c r="Q414" s="564"/>
      <c r="R414" s="564"/>
      <c r="S414" s="564"/>
      <c r="T414" s="564"/>
      <c r="U414" s="564"/>
      <c r="V414" s="564"/>
      <c r="W414" s="564"/>
      <c r="X414" s="564"/>
      <c r="Y414" s="564"/>
      <c r="Z414" s="564"/>
      <c r="AA414" s="564"/>
      <c r="AB414" s="564"/>
      <c r="AC414" s="564"/>
      <c r="AD414" s="564"/>
      <c r="AE414" s="564"/>
      <c r="AF414" s="564"/>
      <c r="AG414" s="564"/>
      <c r="AH414" s="564"/>
      <c r="AI414" s="564"/>
      <c r="AJ414" s="564"/>
      <c r="AK414" s="564"/>
      <c r="AL414" s="564"/>
      <c r="AM414" s="564"/>
      <c r="AN414" s="564"/>
      <c r="AO414" s="564"/>
    </row>
    <row r="415" spans="2:41" x14ac:dyDescent="0.15">
      <c r="B415" s="565">
        <v>11</v>
      </c>
      <c r="C415" s="564">
        <v>0.58424657534246571</v>
      </c>
      <c r="D415" s="564"/>
      <c r="E415" s="564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  <c r="T415" s="564"/>
      <c r="U415" s="564"/>
      <c r="V415" s="564"/>
      <c r="W415" s="564"/>
      <c r="X415" s="564"/>
      <c r="Y415" s="564"/>
      <c r="Z415" s="564"/>
      <c r="AA415" s="564"/>
      <c r="AB415" s="564"/>
      <c r="AC415" s="564"/>
      <c r="AD415" s="564"/>
      <c r="AE415" s="564"/>
      <c r="AF415" s="564"/>
      <c r="AG415" s="564"/>
      <c r="AH415" s="564"/>
      <c r="AI415" s="564"/>
      <c r="AJ415" s="564"/>
      <c r="AK415" s="564"/>
      <c r="AL415" s="564"/>
      <c r="AM415" s="564"/>
      <c r="AN415" s="564"/>
      <c r="AO415" s="564"/>
    </row>
    <row r="416" spans="2:41" x14ac:dyDescent="0.15">
      <c r="B416" s="565">
        <v>12</v>
      </c>
      <c r="C416" s="564">
        <v>0.62785388127853881</v>
      </c>
      <c r="D416" s="564"/>
      <c r="E416" s="564"/>
      <c r="F416" s="564"/>
      <c r="G416" s="564"/>
      <c r="H416" s="564"/>
      <c r="I416" s="564"/>
      <c r="J416" s="564"/>
      <c r="K416" s="564"/>
      <c r="L416" s="564"/>
      <c r="M416" s="564"/>
      <c r="N416" s="564"/>
      <c r="O416" s="564"/>
      <c r="P416" s="564"/>
      <c r="Q416" s="564"/>
      <c r="R416" s="564"/>
      <c r="S416" s="564"/>
      <c r="T416" s="564"/>
      <c r="U416" s="564"/>
      <c r="V416" s="564"/>
      <c r="W416" s="564"/>
      <c r="X416" s="564"/>
      <c r="Y416" s="564"/>
      <c r="Z416" s="564"/>
      <c r="AA416" s="564"/>
      <c r="AB416" s="564"/>
      <c r="AC416" s="564"/>
      <c r="AD416" s="564"/>
      <c r="AE416" s="564"/>
      <c r="AF416" s="564"/>
      <c r="AG416" s="564"/>
      <c r="AH416" s="564"/>
      <c r="AI416" s="564"/>
      <c r="AJ416" s="564"/>
      <c r="AK416" s="564"/>
      <c r="AL416" s="564"/>
      <c r="AM416" s="564"/>
      <c r="AN416" s="564"/>
      <c r="AO416" s="564"/>
    </row>
    <row r="417" spans="2:41" x14ac:dyDescent="0.15">
      <c r="B417" s="565">
        <v>13</v>
      </c>
      <c r="C417" s="564">
        <v>0.66997716894977166</v>
      </c>
      <c r="D417" s="564"/>
      <c r="E417" s="564"/>
      <c r="F417" s="564"/>
      <c r="G417" s="564"/>
      <c r="H417" s="564"/>
      <c r="I417" s="564"/>
      <c r="J417" s="564"/>
      <c r="K417" s="564"/>
      <c r="L417" s="564"/>
      <c r="M417" s="564"/>
      <c r="N417" s="564"/>
      <c r="O417" s="564"/>
      <c r="P417" s="564"/>
      <c r="Q417" s="564"/>
      <c r="R417" s="564"/>
      <c r="S417" s="564"/>
      <c r="T417" s="564"/>
      <c r="U417" s="564"/>
      <c r="V417" s="564"/>
      <c r="W417" s="564"/>
      <c r="X417" s="564"/>
      <c r="Y417" s="564"/>
      <c r="Z417" s="564"/>
      <c r="AA417" s="564"/>
      <c r="AB417" s="564"/>
      <c r="AC417" s="564"/>
      <c r="AD417" s="564"/>
      <c r="AE417" s="564"/>
      <c r="AF417" s="564"/>
      <c r="AG417" s="564"/>
      <c r="AH417" s="564"/>
      <c r="AI417" s="564"/>
      <c r="AJ417" s="564"/>
      <c r="AK417" s="564"/>
      <c r="AL417" s="564"/>
      <c r="AM417" s="564"/>
      <c r="AN417" s="564"/>
      <c r="AO417" s="564"/>
    </row>
    <row r="418" spans="2:41" x14ac:dyDescent="0.15">
      <c r="B418" s="565">
        <v>14</v>
      </c>
      <c r="C418" s="564">
        <v>0.7179223744292238</v>
      </c>
      <c r="D418" s="564"/>
      <c r="E418" s="564"/>
      <c r="F418" s="564"/>
      <c r="G418" s="564"/>
      <c r="H418" s="564"/>
      <c r="I418" s="564"/>
      <c r="J418" s="564"/>
      <c r="K418" s="564"/>
      <c r="L418" s="564"/>
      <c r="M418" s="564"/>
      <c r="N418" s="564"/>
      <c r="O418" s="564"/>
      <c r="P418" s="564"/>
      <c r="Q418" s="564"/>
      <c r="R418" s="564"/>
      <c r="S418" s="564"/>
      <c r="T418" s="564"/>
      <c r="U418" s="564"/>
      <c r="V418" s="564"/>
      <c r="W418" s="564"/>
      <c r="X418" s="564"/>
      <c r="Y418" s="564"/>
      <c r="Z418" s="564"/>
      <c r="AA418" s="564"/>
      <c r="AB418" s="564"/>
      <c r="AC418" s="564"/>
      <c r="AD418" s="564"/>
      <c r="AE418" s="564"/>
      <c r="AF418" s="564"/>
      <c r="AG418" s="564"/>
      <c r="AH418" s="564"/>
      <c r="AI418" s="564"/>
      <c r="AJ418" s="564"/>
      <c r="AK418" s="564"/>
      <c r="AL418" s="564"/>
      <c r="AM418" s="564"/>
      <c r="AN418" s="564"/>
      <c r="AO418" s="564"/>
    </row>
    <row r="419" spans="2:41" x14ac:dyDescent="0.15">
      <c r="B419" s="565">
        <v>15</v>
      </c>
      <c r="C419" s="564">
        <v>0.76210045662100456</v>
      </c>
      <c r="D419" s="564"/>
      <c r="E419" s="564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  <c r="Y419" s="564"/>
      <c r="Z419" s="564"/>
      <c r="AA419" s="564"/>
      <c r="AB419" s="564"/>
      <c r="AC419" s="564"/>
      <c r="AD419" s="564"/>
      <c r="AE419" s="564"/>
      <c r="AF419" s="564"/>
      <c r="AG419" s="564"/>
      <c r="AH419" s="564"/>
      <c r="AI419" s="564"/>
      <c r="AJ419" s="564"/>
      <c r="AK419" s="564"/>
      <c r="AL419" s="564"/>
      <c r="AM419" s="564"/>
      <c r="AN419" s="564"/>
      <c r="AO419" s="564"/>
    </row>
    <row r="420" spans="2:41" x14ac:dyDescent="0.15">
      <c r="B420" s="565">
        <v>16</v>
      </c>
      <c r="C420" s="564">
        <v>0.78047945205479452</v>
      </c>
      <c r="D420" s="564"/>
      <c r="E420" s="564"/>
      <c r="F420" s="564"/>
      <c r="G420" s="564"/>
      <c r="H420" s="564"/>
      <c r="I420" s="564"/>
      <c r="J420" s="564"/>
      <c r="K420" s="564"/>
      <c r="L420" s="564"/>
      <c r="M420" s="564"/>
      <c r="N420" s="564"/>
      <c r="O420" s="564"/>
      <c r="P420" s="564"/>
      <c r="Q420" s="564"/>
      <c r="R420" s="564"/>
      <c r="S420" s="564"/>
      <c r="T420" s="564"/>
      <c r="U420" s="564"/>
      <c r="V420" s="564"/>
      <c r="W420" s="564"/>
      <c r="X420" s="564"/>
      <c r="Y420" s="564"/>
      <c r="Z420" s="564"/>
      <c r="AA420" s="564"/>
      <c r="AB420" s="564"/>
      <c r="AC420" s="564"/>
      <c r="AD420" s="564"/>
      <c r="AE420" s="564"/>
      <c r="AF420" s="564"/>
      <c r="AG420" s="564"/>
      <c r="AH420" s="564"/>
      <c r="AI420" s="564"/>
      <c r="AJ420" s="564"/>
      <c r="AK420" s="564"/>
      <c r="AL420" s="564"/>
      <c r="AM420" s="564"/>
      <c r="AN420" s="564"/>
      <c r="AO420" s="564"/>
    </row>
    <row r="421" spans="2:41" x14ac:dyDescent="0.15">
      <c r="B421" s="565">
        <v>17</v>
      </c>
      <c r="C421" s="564">
        <v>0.82351598173515983</v>
      </c>
      <c r="D421" s="564"/>
      <c r="E421" s="564"/>
      <c r="F421" s="564"/>
      <c r="G421" s="564"/>
      <c r="H421" s="564"/>
      <c r="I421" s="564"/>
      <c r="J421" s="564"/>
      <c r="K421" s="564"/>
      <c r="L421" s="564"/>
      <c r="M421" s="564"/>
      <c r="N421" s="564"/>
      <c r="O421" s="564"/>
      <c r="P421" s="564"/>
      <c r="Q421" s="564"/>
      <c r="R421" s="564"/>
      <c r="S421" s="564"/>
      <c r="T421" s="564"/>
      <c r="U421" s="564"/>
      <c r="V421" s="564"/>
      <c r="W421" s="564"/>
      <c r="X421" s="564"/>
      <c r="Y421" s="564"/>
      <c r="Z421" s="564"/>
      <c r="AA421" s="564"/>
      <c r="AB421" s="564"/>
      <c r="AC421" s="564"/>
      <c r="AD421" s="564"/>
      <c r="AE421" s="564"/>
      <c r="AF421" s="564"/>
      <c r="AG421" s="564"/>
      <c r="AH421" s="564"/>
      <c r="AI421" s="564"/>
      <c r="AJ421" s="564"/>
      <c r="AK421" s="564"/>
      <c r="AL421" s="564"/>
      <c r="AM421" s="564"/>
      <c r="AN421" s="564"/>
      <c r="AO421" s="564"/>
    </row>
    <row r="422" spans="2:41" x14ac:dyDescent="0.15">
      <c r="B422" s="565">
        <v>18</v>
      </c>
      <c r="C422" s="564">
        <v>0.86461187214611868</v>
      </c>
      <c r="D422" s="564"/>
      <c r="E422" s="564"/>
      <c r="F422" s="564"/>
      <c r="G422" s="564"/>
      <c r="H422" s="564"/>
      <c r="I422" s="564"/>
      <c r="J422" s="564"/>
      <c r="K422" s="564"/>
      <c r="L422" s="564"/>
      <c r="M422" s="564"/>
      <c r="N422" s="564"/>
      <c r="O422" s="564"/>
      <c r="P422" s="564"/>
      <c r="Q422" s="564"/>
      <c r="R422" s="564"/>
      <c r="S422" s="564"/>
      <c r="T422" s="564"/>
      <c r="U422" s="564"/>
      <c r="V422" s="564"/>
      <c r="W422" s="564"/>
      <c r="X422" s="564"/>
      <c r="Y422" s="564"/>
      <c r="Z422" s="564"/>
      <c r="AA422" s="564"/>
      <c r="AB422" s="564"/>
      <c r="AC422" s="564"/>
      <c r="AD422" s="564"/>
      <c r="AE422" s="564"/>
      <c r="AF422" s="564"/>
      <c r="AG422" s="564"/>
      <c r="AH422" s="564"/>
      <c r="AI422" s="564"/>
      <c r="AJ422" s="564"/>
      <c r="AK422" s="564"/>
      <c r="AL422" s="564"/>
      <c r="AM422" s="564"/>
      <c r="AN422" s="564"/>
      <c r="AO422" s="564"/>
    </row>
    <row r="423" spans="2:41" x14ac:dyDescent="0.15">
      <c r="B423" s="565">
        <v>19</v>
      </c>
      <c r="C423" s="564">
        <v>0.89452054794520552</v>
      </c>
      <c r="D423" s="564"/>
      <c r="E423" s="564"/>
      <c r="F423" s="564"/>
      <c r="G423" s="564"/>
      <c r="H423" s="564"/>
      <c r="I423" s="564"/>
      <c r="J423" s="564"/>
      <c r="K423" s="564"/>
      <c r="L423" s="564"/>
      <c r="M423" s="564"/>
      <c r="N423" s="564"/>
      <c r="O423" s="564"/>
      <c r="P423" s="564"/>
      <c r="Q423" s="564"/>
      <c r="R423" s="564"/>
      <c r="S423" s="564"/>
      <c r="T423" s="564"/>
      <c r="U423" s="564"/>
      <c r="V423" s="564"/>
      <c r="W423" s="564"/>
      <c r="X423" s="564"/>
      <c r="Y423" s="564"/>
      <c r="Z423" s="564"/>
      <c r="AA423" s="564"/>
      <c r="AB423" s="564"/>
      <c r="AC423" s="564"/>
      <c r="AD423" s="564"/>
      <c r="AE423" s="564"/>
      <c r="AF423" s="564"/>
      <c r="AG423" s="564"/>
      <c r="AH423" s="564"/>
      <c r="AI423" s="564"/>
      <c r="AJ423" s="564"/>
      <c r="AK423" s="564"/>
      <c r="AL423" s="564"/>
      <c r="AM423" s="564"/>
      <c r="AN423" s="564"/>
      <c r="AO423" s="564"/>
    </row>
    <row r="424" spans="2:41" x14ac:dyDescent="0.15">
      <c r="B424" s="565">
        <v>20</v>
      </c>
      <c r="C424" s="564">
        <v>0.92123287671232879</v>
      </c>
      <c r="D424" s="564"/>
      <c r="E424" s="564"/>
      <c r="F424" s="564"/>
      <c r="G424" s="564"/>
      <c r="H424" s="564"/>
      <c r="I424" s="564"/>
      <c r="J424" s="564"/>
      <c r="K424" s="564"/>
      <c r="L424" s="564"/>
      <c r="M424" s="564"/>
      <c r="N424" s="564"/>
      <c r="O424" s="564"/>
      <c r="P424" s="564"/>
      <c r="Q424" s="564"/>
      <c r="R424" s="564"/>
      <c r="S424" s="564"/>
      <c r="T424" s="564"/>
      <c r="U424" s="564"/>
      <c r="V424" s="564"/>
      <c r="W424" s="564"/>
      <c r="X424" s="564"/>
      <c r="Y424" s="564"/>
      <c r="Z424" s="564"/>
      <c r="AA424" s="564"/>
      <c r="AB424" s="564"/>
      <c r="AC424" s="564"/>
      <c r="AD424" s="564"/>
      <c r="AE424" s="564"/>
      <c r="AF424" s="564"/>
      <c r="AG424" s="564"/>
      <c r="AH424" s="564"/>
      <c r="AI424" s="564"/>
      <c r="AJ424" s="564"/>
      <c r="AK424" s="564"/>
      <c r="AL424" s="564"/>
      <c r="AM424" s="564"/>
      <c r="AN424" s="564"/>
      <c r="AO424" s="564"/>
    </row>
    <row r="425" spans="2:41" x14ac:dyDescent="0.15">
      <c r="B425" s="565">
        <v>21</v>
      </c>
      <c r="C425" s="564">
        <v>0.93287671232876712</v>
      </c>
      <c r="D425" s="564"/>
      <c r="E425" s="564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564"/>
      <c r="T425" s="564"/>
      <c r="U425" s="564"/>
      <c r="V425" s="564"/>
      <c r="W425" s="564"/>
      <c r="X425" s="564"/>
      <c r="Y425" s="564"/>
      <c r="Z425" s="564"/>
      <c r="AA425" s="564"/>
      <c r="AB425" s="564"/>
      <c r="AC425" s="564"/>
      <c r="AD425" s="564"/>
      <c r="AE425" s="564"/>
      <c r="AF425" s="564"/>
      <c r="AG425" s="564"/>
      <c r="AH425" s="564"/>
      <c r="AI425" s="564"/>
      <c r="AJ425" s="564"/>
      <c r="AK425" s="564"/>
      <c r="AL425" s="564"/>
      <c r="AM425" s="564"/>
      <c r="AN425" s="564"/>
      <c r="AO425" s="564"/>
    </row>
    <row r="426" spans="2:41" x14ac:dyDescent="0.15">
      <c r="B426" s="565">
        <v>22</v>
      </c>
      <c r="C426" s="564">
        <v>0.95091324200913241</v>
      </c>
      <c r="D426" s="564"/>
      <c r="E426" s="564"/>
      <c r="F426" s="564"/>
      <c r="G426" s="564"/>
      <c r="H426" s="564"/>
      <c r="I426" s="564"/>
      <c r="J426" s="564"/>
      <c r="K426" s="564"/>
      <c r="L426" s="564"/>
      <c r="M426" s="564"/>
      <c r="N426" s="564"/>
      <c r="O426" s="564"/>
      <c r="P426" s="564"/>
      <c r="Q426" s="564"/>
      <c r="R426" s="564"/>
      <c r="S426" s="564"/>
      <c r="T426" s="564"/>
      <c r="U426" s="564"/>
      <c r="V426" s="564"/>
      <c r="W426" s="564"/>
      <c r="X426" s="564"/>
      <c r="Y426" s="564"/>
      <c r="Z426" s="564"/>
      <c r="AA426" s="564"/>
      <c r="AB426" s="564"/>
      <c r="AC426" s="564"/>
      <c r="AD426" s="564"/>
      <c r="AE426" s="564"/>
      <c r="AF426" s="564"/>
      <c r="AG426" s="564"/>
      <c r="AH426" s="564"/>
      <c r="AI426" s="564"/>
      <c r="AJ426" s="564"/>
      <c r="AK426" s="564"/>
      <c r="AL426" s="564"/>
      <c r="AM426" s="564"/>
      <c r="AN426" s="564"/>
      <c r="AO426" s="564"/>
    </row>
    <row r="427" spans="2:41" x14ac:dyDescent="0.15">
      <c r="B427" s="565">
        <v>23</v>
      </c>
      <c r="C427" s="564">
        <v>0.9671232876712329</v>
      </c>
      <c r="D427" s="564"/>
      <c r="E427" s="564"/>
      <c r="F427" s="564"/>
      <c r="G427" s="564"/>
      <c r="H427" s="564"/>
      <c r="I427" s="564"/>
      <c r="J427" s="564"/>
      <c r="K427" s="564"/>
      <c r="L427" s="564"/>
      <c r="M427" s="564"/>
      <c r="N427" s="564"/>
      <c r="O427" s="564"/>
      <c r="P427" s="564"/>
      <c r="Q427" s="564"/>
      <c r="R427" s="564"/>
      <c r="S427" s="564"/>
      <c r="T427" s="564"/>
      <c r="U427" s="564"/>
      <c r="V427" s="564"/>
      <c r="W427" s="564"/>
      <c r="X427" s="564"/>
      <c r="Y427" s="564"/>
      <c r="Z427" s="564"/>
      <c r="AA427" s="564"/>
      <c r="AB427" s="564"/>
      <c r="AC427" s="564"/>
      <c r="AD427" s="564"/>
      <c r="AE427" s="564"/>
      <c r="AF427" s="564"/>
      <c r="AG427" s="564"/>
      <c r="AH427" s="564"/>
      <c r="AI427" s="564"/>
      <c r="AJ427" s="564"/>
      <c r="AK427" s="564"/>
      <c r="AL427" s="564"/>
      <c r="AM427" s="564"/>
      <c r="AN427" s="564"/>
      <c r="AO427" s="564"/>
    </row>
    <row r="428" spans="2:41" x14ac:dyDescent="0.15">
      <c r="B428" s="565">
        <v>24</v>
      </c>
      <c r="C428" s="564">
        <v>0.97819634703196345</v>
      </c>
      <c r="D428" s="564"/>
      <c r="E428" s="564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  <c r="Y428" s="564"/>
      <c r="Z428" s="564"/>
      <c r="AA428" s="564"/>
      <c r="AB428" s="564"/>
      <c r="AC428" s="564"/>
      <c r="AD428" s="564"/>
      <c r="AE428" s="564"/>
      <c r="AF428" s="564"/>
      <c r="AG428" s="564"/>
      <c r="AH428" s="564"/>
      <c r="AI428" s="564"/>
      <c r="AJ428" s="564"/>
      <c r="AK428" s="564"/>
      <c r="AL428" s="564"/>
      <c r="AM428" s="564"/>
      <c r="AN428" s="564"/>
      <c r="AO428" s="564"/>
    </row>
    <row r="429" spans="2:41" x14ac:dyDescent="0.15">
      <c r="B429" s="565">
        <v>25</v>
      </c>
      <c r="C429" s="564">
        <v>0.98732876712328765</v>
      </c>
      <c r="D429" s="564"/>
      <c r="E429" s="564"/>
      <c r="F429" s="564"/>
      <c r="G429" s="564"/>
      <c r="H429" s="564"/>
      <c r="I429" s="564"/>
      <c r="J429" s="564"/>
      <c r="K429" s="564"/>
      <c r="L429" s="564"/>
      <c r="M429" s="564"/>
      <c r="N429" s="564"/>
      <c r="O429" s="564"/>
      <c r="P429" s="564"/>
      <c r="Q429" s="564"/>
      <c r="R429" s="564"/>
      <c r="S429" s="564"/>
      <c r="T429" s="564"/>
      <c r="U429" s="564"/>
      <c r="V429" s="564"/>
      <c r="W429" s="564"/>
      <c r="X429" s="564"/>
      <c r="Y429" s="564"/>
      <c r="Z429" s="564"/>
      <c r="AA429" s="564"/>
      <c r="AB429" s="564"/>
      <c r="AC429" s="564"/>
      <c r="AD429" s="564"/>
      <c r="AE429" s="564"/>
      <c r="AF429" s="564"/>
      <c r="AG429" s="564"/>
      <c r="AH429" s="564"/>
      <c r="AI429" s="564"/>
      <c r="AJ429" s="564"/>
      <c r="AK429" s="564"/>
      <c r="AL429" s="564"/>
      <c r="AM429" s="564"/>
      <c r="AN429" s="564"/>
      <c r="AO429" s="564"/>
    </row>
    <row r="430" spans="2:41" x14ac:dyDescent="0.15">
      <c r="B430" s="565">
        <v>26</v>
      </c>
      <c r="C430" s="564">
        <v>0.99018264840182646</v>
      </c>
      <c r="D430" s="564"/>
      <c r="E430" s="564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  <c r="Y430" s="564"/>
      <c r="Z430" s="564"/>
      <c r="AA430" s="564"/>
      <c r="AB430" s="564"/>
      <c r="AC430" s="564"/>
      <c r="AD430" s="564"/>
      <c r="AE430" s="564"/>
      <c r="AF430" s="564"/>
      <c r="AG430" s="564"/>
      <c r="AH430" s="564"/>
      <c r="AI430" s="564"/>
      <c r="AJ430" s="564"/>
      <c r="AK430" s="564"/>
      <c r="AL430" s="564"/>
      <c r="AM430" s="564"/>
      <c r="AN430" s="564"/>
      <c r="AO430" s="564"/>
    </row>
    <row r="431" spans="2:41" x14ac:dyDescent="0.15">
      <c r="B431" s="565">
        <v>27</v>
      </c>
      <c r="C431" s="564">
        <v>0.99543378995433784</v>
      </c>
      <c r="D431" s="564"/>
      <c r="E431" s="564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  <c r="T431" s="564"/>
      <c r="U431" s="564"/>
      <c r="V431" s="564"/>
      <c r="W431" s="564"/>
      <c r="X431" s="564"/>
      <c r="Y431" s="564"/>
      <c r="Z431" s="564"/>
      <c r="AA431" s="564"/>
      <c r="AB431" s="564"/>
      <c r="AC431" s="564"/>
      <c r="AD431" s="564"/>
      <c r="AE431" s="564"/>
      <c r="AF431" s="564"/>
      <c r="AG431" s="564"/>
      <c r="AH431" s="564"/>
      <c r="AI431" s="564"/>
      <c r="AJ431" s="564"/>
      <c r="AK431" s="564"/>
      <c r="AL431" s="564"/>
      <c r="AM431" s="564"/>
      <c r="AN431" s="564"/>
      <c r="AO431" s="564"/>
    </row>
    <row r="432" spans="2:41" x14ac:dyDescent="0.15">
      <c r="B432" s="565">
        <v>28</v>
      </c>
      <c r="C432" s="564">
        <v>0.99760273972602742</v>
      </c>
      <c r="D432" s="564"/>
      <c r="E432" s="564"/>
      <c r="F432" s="564"/>
      <c r="G432" s="564"/>
      <c r="H432" s="564"/>
      <c r="I432" s="564"/>
      <c r="J432" s="564"/>
      <c r="K432" s="564"/>
      <c r="L432" s="564"/>
      <c r="M432" s="564"/>
      <c r="N432" s="564"/>
      <c r="O432" s="564"/>
      <c r="P432" s="564"/>
      <c r="Q432" s="564"/>
      <c r="R432" s="564"/>
      <c r="S432" s="564"/>
      <c r="T432" s="564"/>
      <c r="U432" s="564"/>
      <c r="V432" s="564"/>
      <c r="W432" s="564"/>
      <c r="X432" s="564"/>
      <c r="Y432" s="564"/>
      <c r="Z432" s="564"/>
      <c r="AA432" s="564"/>
      <c r="AB432" s="564"/>
      <c r="AC432" s="564"/>
      <c r="AD432" s="564"/>
      <c r="AE432" s="564"/>
      <c r="AF432" s="564"/>
      <c r="AG432" s="564"/>
      <c r="AH432" s="564"/>
      <c r="AI432" s="564"/>
      <c r="AJ432" s="564"/>
      <c r="AK432" s="564"/>
      <c r="AL432" s="564"/>
      <c r="AM432" s="564"/>
      <c r="AN432" s="564"/>
      <c r="AO432" s="564"/>
    </row>
    <row r="433" spans="2:41" x14ac:dyDescent="0.15">
      <c r="B433" s="565">
        <v>29</v>
      </c>
      <c r="C433" s="564">
        <v>0.9992009132420091</v>
      </c>
      <c r="D433" s="564"/>
      <c r="E433" s="564"/>
      <c r="F433" s="564"/>
      <c r="G433" s="564"/>
      <c r="H433" s="564"/>
      <c r="I433" s="564"/>
      <c r="J433" s="564"/>
      <c r="K433" s="564"/>
      <c r="L433" s="564"/>
      <c r="M433" s="564"/>
      <c r="N433" s="564"/>
      <c r="O433" s="564"/>
      <c r="P433" s="564"/>
      <c r="Q433" s="564"/>
      <c r="R433" s="564"/>
      <c r="S433" s="564"/>
      <c r="T433" s="564"/>
      <c r="U433" s="564"/>
      <c r="V433" s="564"/>
      <c r="W433" s="564"/>
      <c r="X433" s="564"/>
      <c r="Y433" s="564"/>
      <c r="Z433" s="564"/>
      <c r="AA433" s="564"/>
      <c r="AB433" s="564"/>
      <c r="AC433" s="564"/>
      <c r="AD433" s="564"/>
      <c r="AE433" s="564"/>
      <c r="AF433" s="564"/>
      <c r="AG433" s="564"/>
      <c r="AH433" s="564"/>
      <c r="AI433" s="564"/>
      <c r="AJ433" s="564"/>
      <c r="AK433" s="564"/>
      <c r="AL433" s="564"/>
      <c r="AM433" s="564"/>
      <c r="AN433" s="564"/>
      <c r="AO433" s="564"/>
    </row>
    <row r="434" spans="2:41" x14ac:dyDescent="0.15">
      <c r="B434" s="565">
        <v>30</v>
      </c>
      <c r="C434" s="564">
        <v>1</v>
      </c>
      <c r="D434" s="564"/>
      <c r="E434" s="564"/>
      <c r="F434" s="564"/>
      <c r="G434" s="564"/>
      <c r="H434" s="564"/>
      <c r="I434" s="564"/>
      <c r="J434" s="564"/>
      <c r="K434" s="564"/>
      <c r="L434" s="564"/>
      <c r="M434" s="564"/>
      <c r="N434" s="564"/>
      <c r="O434" s="564"/>
      <c r="P434" s="564"/>
      <c r="Q434" s="564"/>
      <c r="R434" s="564"/>
      <c r="S434" s="564"/>
      <c r="T434" s="564"/>
      <c r="U434" s="564"/>
      <c r="V434" s="564"/>
      <c r="W434" s="564"/>
      <c r="X434" s="564"/>
      <c r="Y434" s="564"/>
      <c r="Z434" s="564"/>
      <c r="AA434" s="564"/>
      <c r="AB434" s="564"/>
      <c r="AC434" s="564"/>
      <c r="AD434" s="564"/>
      <c r="AE434" s="564"/>
      <c r="AF434" s="564"/>
      <c r="AG434" s="564"/>
      <c r="AH434" s="564"/>
      <c r="AI434" s="564"/>
      <c r="AJ434" s="564"/>
      <c r="AK434" s="564"/>
      <c r="AL434" s="564"/>
      <c r="AM434" s="564"/>
      <c r="AN434" s="564"/>
      <c r="AO434" s="564"/>
    </row>
    <row r="435" spans="2:41" x14ac:dyDescent="0.15">
      <c r="B435" s="565">
        <v>31</v>
      </c>
      <c r="C435" s="564">
        <v>1</v>
      </c>
      <c r="D435" s="564"/>
      <c r="E435" s="564"/>
      <c r="F435" s="564"/>
      <c r="G435" s="564"/>
      <c r="H435" s="564"/>
      <c r="I435" s="564"/>
      <c r="J435" s="564"/>
      <c r="K435" s="564"/>
      <c r="L435" s="564"/>
      <c r="M435" s="564"/>
      <c r="N435" s="564"/>
      <c r="O435" s="564"/>
      <c r="P435" s="564"/>
      <c r="Q435" s="564"/>
      <c r="R435" s="564"/>
      <c r="S435" s="564"/>
      <c r="T435" s="564"/>
      <c r="U435" s="564"/>
      <c r="V435" s="564"/>
      <c r="W435" s="564"/>
      <c r="X435" s="564"/>
      <c r="Y435" s="564"/>
      <c r="Z435" s="564"/>
      <c r="AA435" s="564"/>
      <c r="AB435" s="564"/>
      <c r="AC435" s="564"/>
      <c r="AD435" s="564"/>
      <c r="AE435" s="564"/>
      <c r="AF435" s="564"/>
      <c r="AG435" s="564"/>
      <c r="AH435" s="564"/>
      <c r="AI435" s="564"/>
      <c r="AJ435" s="564"/>
      <c r="AK435" s="564"/>
      <c r="AL435" s="564"/>
      <c r="AM435" s="564"/>
      <c r="AN435" s="564"/>
      <c r="AO435" s="564"/>
    </row>
    <row r="436" spans="2:41" x14ac:dyDescent="0.15">
      <c r="B436" s="565">
        <v>32</v>
      </c>
      <c r="C436" s="564">
        <v>1</v>
      </c>
      <c r="D436" s="564"/>
      <c r="E436" s="564"/>
      <c r="F436" s="564"/>
      <c r="G436" s="564"/>
      <c r="H436" s="564"/>
      <c r="I436" s="564"/>
      <c r="J436" s="564"/>
      <c r="K436" s="564"/>
      <c r="L436" s="564"/>
      <c r="M436" s="564"/>
      <c r="N436" s="564"/>
      <c r="O436" s="564"/>
      <c r="P436" s="564"/>
      <c r="Q436" s="564"/>
      <c r="R436" s="564"/>
      <c r="S436" s="564"/>
      <c r="T436" s="564"/>
      <c r="U436" s="564"/>
      <c r="V436" s="564"/>
      <c r="W436" s="564"/>
      <c r="X436" s="564"/>
      <c r="Y436" s="564"/>
      <c r="Z436" s="564"/>
      <c r="AA436" s="564"/>
      <c r="AB436" s="564"/>
      <c r="AC436" s="564"/>
      <c r="AD436" s="564"/>
      <c r="AE436" s="564"/>
      <c r="AF436" s="564"/>
      <c r="AG436" s="564"/>
      <c r="AH436" s="564"/>
      <c r="AI436" s="564"/>
      <c r="AJ436" s="564"/>
      <c r="AK436" s="564"/>
      <c r="AL436" s="564"/>
      <c r="AM436" s="564"/>
      <c r="AN436" s="564"/>
      <c r="AO436" s="564"/>
    </row>
    <row r="437" spans="2:41" x14ac:dyDescent="0.15">
      <c r="B437" s="565">
        <v>33</v>
      </c>
      <c r="C437" s="564">
        <v>1</v>
      </c>
      <c r="D437" s="564"/>
      <c r="E437" s="564"/>
      <c r="F437" s="564"/>
      <c r="G437" s="564"/>
      <c r="H437" s="564"/>
      <c r="I437" s="564"/>
      <c r="J437" s="564"/>
      <c r="K437" s="564"/>
      <c r="L437" s="564"/>
      <c r="M437" s="564"/>
      <c r="N437" s="564"/>
      <c r="O437" s="564"/>
      <c r="P437" s="564"/>
      <c r="Q437" s="564"/>
      <c r="R437" s="564"/>
      <c r="S437" s="564"/>
      <c r="T437" s="564"/>
      <c r="U437" s="564"/>
      <c r="V437" s="564"/>
      <c r="W437" s="564"/>
      <c r="X437" s="564"/>
      <c r="Y437" s="564"/>
      <c r="Z437" s="564"/>
      <c r="AA437" s="564"/>
      <c r="AB437" s="564"/>
      <c r="AC437" s="564"/>
      <c r="AD437" s="564"/>
      <c r="AE437" s="564"/>
      <c r="AF437" s="564"/>
      <c r="AG437" s="564"/>
      <c r="AH437" s="564"/>
      <c r="AI437" s="564"/>
      <c r="AJ437" s="564"/>
      <c r="AK437" s="564"/>
      <c r="AL437" s="564"/>
      <c r="AM437" s="564"/>
      <c r="AN437" s="564"/>
      <c r="AO437" s="564"/>
    </row>
    <row r="438" spans="2:41" x14ac:dyDescent="0.15">
      <c r="B438" s="565">
        <v>34</v>
      </c>
      <c r="C438" s="564">
        <v>1</v>
      </c>
      <c r="D438" s="564"/>
      <c r="E438" s="564"/>
      <c r="F438" s="564"/>
      <c r="G438" s="564"/>
      <c r="H438" s="564"/>
      <c r="I438" s="564"/>
      <c r="J438" s="564"/>
      <c r="K438" s="564"/>
      <c r="L438" s="564"/>
      <c r="M438" s="564"/>
      <c r="N438" s="564"/>
      <c r="O438" s="564"/>
      <c r="P438" s="564"/>
      <c r="Q438" s="564"/>
      <c r="R438" s="564"/>
      <c r="S438" s="564"/>
      <c r="T438" s="564"/>
      <c r="U438" s="564"/>
      <c r="V438" s="564"/>
      <c r="W438" s="564"/>
      <c r="X438" s="564"/>
      <c r="Y438" s="564"/>
      <c r="Z438" s="564"/>
      <c r="AA438" s="564"/>
      <c r="AB438" s="564"/>
      <c r="AC438" s="564"/>
      <c r="AD438" s="564"/>
      <c r="AE438" s="564"/>
      <c r="AF438" s="564"/>
      <c r="AG438" s="564"/>
      <c r="AH438" s="564"/>
      <c r="AI438" s="564"/>
      <c r="AJ438" s="564"/>
      <c r="AK438" s="564"/>
      <c r="AL438" s="564"/>
      <c r="AM438" s="564"/>
      <c r="AN438" s="564"/>
      <c r="AO438" s="564"/>
    </row>
    <row r="439" spans="2:41" x14ac:dyDescent="0.15">
      <c r="B439" s="565">
        <v>35</v>
      </c>
      <c r="C439" s="564">
        <v>1</v>
      </c>
      <c r="D439" s="564"/>
      <c r="E439" s="564"/>
      <c r="F439" s="564"/>
      <c r="G439" s="564"/>
      <c r="H439" s="564"/>
      <c r="I439" s="564"/>
      <c r="J439" s="564"/>
      <c r="K439" s="564"/>
      <c r="L439" s="564"/>
      <c r="M439" s="564"/>
      <c r="N439" s="564"/>
      <c r="O439" s="564"/>
      <c r="P439" s="564"/>
      <c r="Q439" s="564"/>
      <c r="R439" s="564"/>
      <c r="S439" s="564"/>
      <c r="T439" s="564"/>
      <c r="U439" s="564"/>
      <c r="V439" s="564"/>
      <c r="W439" s="564"/>
      <c r="X439" s="564"/>
      <c r="Y439" s="564"/>
      <c r="Z439" s="564"/>
      <c r="AA439" s="564"/>
      <c r="AB439" s="564"/>
      <c r="AC439" s="564"/>
      <c r="AD439" s="564"/>
      <c r="AE439" s="564"/>
      <c r="AF439" s="564"/>
      <c r="AG439" s="564"/>
      <c r="AH439" s="564"/>
      <c r="AI439" s="564"/>
      <c r="AJ439" s="564"/>
      <c r="AK439" s="564"/>
      <c r="AL439" s="564"/>
      <c r="AM439" s="564"/>
      <c r="AN439" s="564"/>
      <c r="AO439" s="564"/>
    </row>
    <row r="440" spans="2:41" x14ac:dyDescent="0.15">
      <c r="B440" s="565">
        <v>36</v>
      </c>
      <c r="C440" s="564">
        <v>1</v>
      </c>
      <c r="D440" s="564"/>
      <c r="E440" s="564"/>
      <c r="F440" s="564"/>
      <c r="G440" s="564"/>
      <c r="H440" s="564"/>
      <c r="I440" s="564"/>
      <c r="J440" s="564"/>
      <c r="K440" s="564"/>
      <c r="L440" s="564"/>
      <c r="M440" s="564"/>
      <c r="N440" s="564"/>
      <c r="O440" s="564"/>
      <c r="P440" s="564"/>
      <c r="Q440" s="564"/>
      <c r="R440" s="564"/>
      <c r="S440" s="564"/>
      <c r="T440" s="564"/>
      <c r="U440" s="564"/>
      <c r="V440" s="564"/>
      <c r="W440" s="564"/>
      <c r="X440" s="564"/>
      <c r="Y440" s="564"/>
      <c r="Z440" s="564"/>
      <c r="AA440" s="564"/>
      <c r="AB440" s="564"/>
      <c r="AC440" s="564"/>
      <c r="AD440" s="564"/>
      <c r="AE440" s="564"/>
      <c r="AF440" s="564"/>
      <c r="AG440" s="564"/>
      <c r="AH440" s="564"/>
      <c r="AI440" s="564"/>
      <c r="AJ440" s="564"/>
      <c r="AK440" s="564"/>
      <c r="AL440" s="564"/>
      <c r="AM440" s="564"/>
      <c r="AN440" s="564"/>
      <c r="AO440" s="564"/>
    </row>
    <row r="441" spans="2:41" x14ac:dyDescent="0.15">
      <c r="B441" s="565">
        <v>37</v>
      </c>
      <c r="C441" s="564">
        <v>1</v>
      </c>
      <c r="D441" s="564"/>
      <c r="E441" s="564"/>
      <c r="F441" s="564"/>
      <c r="G441" s="564"/>
      <c r="H441" s="564"/>
      <c r="I441" s="564"/>
      <c r="J441" s="564"/>
      <c r="K441" s="564"/>
      <c r="L441" s="564"/>
      <c r="M441" s="564"/>
      <c r="N441" s="564"/>
      <c r="O441" s="564"/>
      <c r="P441" s="564"/>
      <c r="Q441" s="564"/>
      <c r="R441" s="564"/>
      <c r="S441" s="564"/>
      <c r="T441" s="564"/>
      <c r="U441" s="564"/>
      <c r="V441" s="564"/>
      <c r="W441" s="564"/>
      <c r="X441" s="564"/>
      <c r="Y441" s="564"/>
      <c r="Z441" s="564"/>
      <c r="AA441" s="564"/>
      <c r="AB441" s="564"/>
      <c r="AC441" s="564"/>
      <c r="AD441" s="564"/>
      <c r="AE441" s="564"/>
      <c r="AF441" s="564"/>
      <c r="AG441" s="564"/>
      <c r="AH441" s="564"/>
      <c r="AI441" s="564"/>
      <c r="AJ441" s="564"/>
      <c r="AK441" s="564"/>
      <c r="AL441" s="564"/>
      <c r="AM441" s="564"/>
      <c r="AN441" s="564"/>
      <c r="AO441" s="564"/>
    </row>
    <row r="442" spans="2:41" x14ac:dyDescent="0.15">
      <c r="B442" s="565">
        <v>38</v>
      </c>
      <c r="C442" s="564">
        <v>1</v>
      </c>
      <c r="D442" s="564"/>
      <c r="E442" s="564"/>
      <c r="F442" s="564"/>
      <c r="G442" s="564"/>
      <c r="H442" s="564"/>
      <c r="I442" s="564"/>
      <c r="J442" s="564"/>
      <c r="K442" s="564"/>
      <c r="L442" s="564"/>
      <c r="M442" s="564"/>
      <c r="N442" s="564"/>
      <c r="O442" s="564"/>
      <c r="P442" s="564"/>
      <c r="Q442" s="564"/>
      <c r="R442" s="564"/>
      <c r="S442" s="564"/>
      <c r="T442" s="564"/>
      <c r="U442" s="564"/>
      <c r="V442" s="564"/>
      <c r="W442" s="564"/>
      <c r="X442" s="564"/>
      <c r="Y442" s="564"/>
      <c r="Z442" s="564"/>
      <c r="AA442" s="564"/>
      <c r="AB442" s="564"/>
      <c r="AC442" s="564"/>
      <c r="AD442" s="564"/>
      <c r="AE442" s="564"/>
      <c r="AF442" s="564"/>
      <c r="AG442" s="564"/>
      <c r="AH442" s="564"/>
      <c r="AI442" s="564"/>
      <c r="AJ442" s="564"/>
      <c r="AK442" s="564"/>
      <c r="AL442" s="564"/>
      <c r="AM442" s="564"/>
      <c r="AN442" s="564"/>
      <c r="AO442" s="564"/>
    </row>
    <row r="443" spans="2:41" x14ac:dyDescent="0.15">
      <c r="B443" s="565">
        <v>39</v>
      </c>
      <c r="C443" s="564">
        <v>1</v>
      </c>
      <c r="D443" s="564"/>
      <c r="E443" s="564"/>
      <c r="F443" s="564"/>
      <c r="G443" s="564"/>
      <c r="H443" s="564"/>
      <c r="I443" s="564"/>
      <c r="J443" s="564"/>
      <c r="K443" s="564"/>
      <c r="L443" s="564"/>
      <c r="M443" s="564"/>
      <c r="N443" s="564"/>
      <c r="O443" s="564"/>
      <c r="P443" s="564"/>
      <c r="Q443" s="564"/>
      <c r="R443" s="564"/>
      <c r="S443" s="564"/>
      <c r="T443" s="564"/>
      <c r="U443" s="564"/>
      <c r="V443" s="564"/>
      <c r="W443" s="564"/>
      <c r="X443" s="564"/>
      <c r="Y443" s="564"/>
      <c r="Z443" s="564"/>
      <c r="AA443" s="564"/>
      <c r="AB443" s="564"/>
      <c r="AC443" s="564"/>
      <c r="AD443" s="564"/>
      <c r="AE443" s="564"/>
      <c r="AF443" s="564"/>
      <c r="AG443" s="564"/>
      <c r="AH443" s="564"/>
      <c r="AI443" s="564"/>
      <c r="AJ443" s="564"/>
      <c r="AK443" s="564"/>
      <c r="AL443" s="564"/>
      <c r="AM443" s="564"/>
      <c r="AN443" s="564"/>
      <c r="AO443" s="564"/>
    </row>
    <row r="444" spans="2:41" x14ac:dyDescent="0.15">
      <c r="B444" s="566">
        <v>40</v>
      </c>
      <c r="C444" s="564">
        <v>1</v>
      </c>
      <c r="D444" s="564"/>
      <c r="E444" s="564"/>
      <c r="F444" s="564"/>
      <c r="G444" s="564"/>
      <c r="H444" s="564"/>
      <c r="I444" s="564"/>
      <c r="J444" s="564"/>
      <c r="K444" s="564"/>
      <c r="L444" s="564"/>
      <c r="M444" s="564"/>
      <c r="N444" s="564"/>
      <c r="O444" s="564"/>
      <c r="P444" s="564"/>
      <c r="Q444" s="564"/>
      <c r="R444" s="564"/>
      <c r="S444" s="564"/>
      <c r="T444" s="564"/>
      <c r="U444" s="564"/>
      <c r="V444" s="564"/>
      <c r="W444" s="564"/>
      <c r="X444" s="564"/>
      <c r="Y444" s="564"/>
      <c r="Z444" s="564"/>
      <c r="AA444" s="564"/>
      <c r="AB444" s="564"/>
      <c r="AC444" s="564"/>
      <c r="AD444" s="564"/>
      <c r="AE444" s="564"/>
      <c r="AF444" s="564"/>
      <c r="AG444" s="564"/>
      <c r="AH444" s="564"/>
      <c r="AI444" s="564"/>
      <c r="AJ444" s="564"/>
      <c r="AK444" s="564"/>
      <c r="AL444" s="564"/>
      <c r="AM444" s="564"/>
      <c r="AN444" s="564"/>
      <c r="AO444" s="564"/>
    </row>
    <row r="453" spans="2:41" s="561" customFormat="1" ht="14" x14ac:dyDescent="0.15">
      <c r="B453" s="558" t="str" cm="1">
        <f t="array" ref="B453:AO453">TRANSPOSE('Syötä kaupungit KIRJASTOLIN_ENT'!$G$1:$G$40)</f>
        <v>MAA 6</v>
      </c>
      <c r="C453" s="562" t="str">
        <v>LTU - Vilnius</v>
      </c>
      <c r="D453" s="562">
        <v>0</v>
      </c>
      <c r="E453" s="562">
        <v>0</v>
      </c>
      <c r="F453" s="562">
        <v>0</v>
      </c>
      <c r="G453" s="562">
        <v>0</v>
      </c>
      <c r="H453" s="562">
        <v>0</v>
      </c>
      <c r="I453" s="562">
        <v>0</v>
      </c>
      <c r="J453" s="562">
        <v>0</v>
      </c>
      <c r="K453" s="562">
        <v>0</v>
      </c>
      <c r="L453" s="562">
        <v>0</v>
      </c>
      <c r="M453" s="562">
        <v>0</v>
      </c>
      <c r="N453" s="562">
        <v>0</v>
      </c>
      <c r="O453" s="562">
        <v>0</v>
      </c>
      <c r="P453" s="562">
        <v>0</v>
      </c>
      <c r="Q453" s="562">
        <v>0</v>
      </c>
      <c r="R453" s="562">
        <v>0</v>
      </c>
      <c r="S453" s="562">
        <v>0</v>
      </c>
      <c r="T453" s="562">
        <v>0</v>
      </c>
      <c r="U453" s="562">
        <v>0</v>
      </c>
      <c r="V453" s="562">
        <v>0</v>
      </c>
      <c r="W453" s="562">
        <v>0</v>
      </c>
      <c r="X453" s="562">
        <v>0</v>
      </c>
      <c r="Y453" s="562">
        <v>0</v>
      </c>
      <c r="Z453" s="562">
        <v>0</v>
      </c>
      <c r="AA453" s="562">
        <v>0</v>
      </c>
      <c r="AB453" s="562">
        <v>0</v>
      </c>
      <c r="AC453" s="562">
        <v>0</v>
      </c>
      <c r="AD453" s="562">
        <v>0</v>
      </c>
      <c r="AE453" s="562">
        <v>0</v>
      </c>
      <c r="AF453" s="562">
        <v>0</v>
      </c>
      <c r="AG453" s="562">
        <v>0</v>
      </c>
      <c r="AH453" s="562">
        <v>0</v>
      </c>
      <c r="AI453" s="562">
        <v>0</v>
      </c>
      <c r="AJ453" s="562">
        <v>0</v>
      </c>
      <c r="AK453" s="562">
        <v>0</v>
      </c>
      <c r="AL453" s="562">
        <v>0</v>
      </c>
      <c r="AM453" s="562">
        <v>0</v>
      </c>
      <c r="AN453" s="562">
        <v>0</v>
      </c>
      <c r="AO453" s="562">
        <v>0</v>
      </c>
    </row>
    <row r="454" spans="2:41" x14ac:dyDescent="0.15">
      <c r="B454" s="563">
        <v>-40</v>
      </c>
      <c r="C454" s="564">
        <v>0</v>
      </c>
      <c r="D454" s="564"/>
      <c r="E454" s="564"/>
      <c r="F454" s="564"/>
      <c r="G454" s="564"/>
      <c r="H454" s="564"/>
      <c r="I454" s="564"/>
      <c r="J454" s="564"/>
      <c r="K454" s="564"/>
      <c r="L454" s="564"/>
      <c r="M454" s="564"/>
      <c r="N454" s="564"/>
      <c r="O454" s="564"/>
      <c r="P454" s="564"/>
      <c r="Q454" s="564"/>
      <c r="R454" s="564"/>
      <c r="S454" s="564"/>
      <c r="T454" s="564"/>
      <c r="U454" s="564"/>
      <c r="V454" s="564"/>
      <c r="W454" s="564"/>
      <c r="X454" s="564"/>
      <c r="Y454" s="564"/>
      <c r="Z454" s="564"/>
      <c r="AA454" s="564"/>
      <c r="AB454" s="564"/>
      <c r="AC454" s="564"/>
      <c r="AD454" s="564"/>
      <c r="AE454" s="564"/>
      <c r="AF454" s="564"/>
      <c r="AG454" s="564"/>
      <c r="AH454" s="564"/>
      <c r="AI454" s="564"/>
      <c r="AJ454" s="564"/>
      <c r="AK454" s="564"/>
      <c r="AL454" s="564"/>
      <c r="AM454" s="564"/>
      <c r="AN454" s="564"/>
      <c r="AO454" s="564"/>
    </row>
    <row r="455" spans="2:41" x14ac:dyDescent="0.15">
      <c r="B455" s="565">
        <v>-39</v>
      </c>
      <c r="C455" s="564">
        <v>0</v>
      </c>
      <c r="D455" s="564"/>
      <c r="E455" s="564"/>
      <c r="F455" s="564"/>
      <c r="G455" s="564"/>
      <c r="H455" s="564"/>
      <c r="I455" s="564"/>
      <c r="J455" s="564"/>
      <c r="K455" s="564"/>
      <c r="L455" s="564"/>
      <c r="M455" s="564"/>
      <c r="N455" s="564"/>
      <c r="O455" s="564"/>
      <c r="P455" s="564"/>
      <c r="Q455" s="564"/>
      <c r="R455" s="564"/>
      <c r="S455" s="564"/>
      <c r="T455" s="564"/>
      <c r="U455" s="564"/>
      <c r="V455" s="564"/>
      <c r="W455" s="564"/>
      <c r="X455" s="564"/>
      <c r="Y455" s="564"/>
      <c r="Z455" s="564"/>
      <c r="AA455" s="564"/>
      <c r="AB455" s="564"/>
      <c r="AC455" s="564"/>
      <c r="AD455" s="564"/>
      <c r="AE455" s="564"/>
      <c r="AF455" s="564"/>
      <c r="AG455" s="564"/>
      <c r="AH455" s="564"/>
      <c r="AI455" s="564"/>
      <c r="AJ455" s="564"/>
      <c r="AK455" s="564"/>
      <c r="AL455" s="564"/>
      <c r="AM455" s="564"/>
      <c r="AN455" s="564"/>
      <c r="AO455" s="564"/>
    </row>
    <row r="456" spans="2:41" x14ac:dyDescent="0.15">
      <c r="B456" s="565">
        <v>-38</v>
      </c>
      <c r="C456" s="564">
        <v>0</v>
      </c>
      <c r="D456" s="564"/>
      <c r="E456" s="564"/>
      <c r="F456" s="564"/>
      <c r="G456" s="564"/>
      <c r="H456" s="564"/>
      <c r="I456" s="564"/>
      <c r="J456" s="564"/>
      <c r="K456" s="564"/>
      <c r="L456" s="564"/>
      <c r="M456" s="564"/>
      <c r="N456" s="564"/>
      <c r="O456" s="564"/>
      <c r="P456" s="564"/>
      <c r="Q456" s="564"/>
      <c r="R456" s="564"/>
      <c r="S456" s="564"/>
      <c r="T456" s="564"/>
      <c r="U456" s="564"/>
      <c r="V456" s="564"/>
      <c r="W456" s="564"/>
      <c r="X456" s="564"/>
      <c r="Y456" s="564"/>
      <c r="Z456" s="564"/>
      <c r="AA456" s="564"/>
      <c r="AB456" s="564"/>
      <c r="AC456" s="564"/>
      <c r="AD456" s="564"/>
      <c r="AE456" s="564"/>
      <c r="AF456" s="564"/>
      <c r="AG456" s="564"/>
      <c r="AH456" s="564"/>
      <c r="AI456" s="564"/>
      <c r="AJ456" s="564"/>
      <c r="AK456" s="564"/>
      <c r="AL456" s="564"/>
      <c r="AM456" s="564"/>
      <c r="AN456" s="564"/>
      <c r="AO456" s="564"/>
    </row>
    <row r="457" spans="2:41" x14ac:dyDescent="0.15">
      <c r="B457" s="565">
        <v>-37</v>
      </c>
      <c r="C457" s="564">
        <v>0</v>
      </c>
      <c r="D457" s="564"/>
      <c r="E457" s="564"/>
      <c r="F457" s="564"/>
      <c r="G457" s="564"/>
      <c r="H457" s="564"/>
      <c r="I457" s="564"/>
      <c r="J457" s="564"/>
      <c r="K457" s="564"/>
      <c r="L457" s="564"/>
      <c r="M457" s="564"/>
      <c r="N457" s="564"/>
      <c r="O457" s="564"/>
      <c r="P457" s="564"/>
      <c r="Q457" s="564"/>
      <c r="R457" s="564"/>
      <c r="S457" s="564"/>
      <c r="T457" s="564"/>
      <c r="U457" s="564"/>
      <c r="V457" s="564"/>
      <c r="W457" s="564"/>
      <c r="X457" s="564"/>
      <c r="Y457" s="564"/>
      <c r="Z457" s="564"/>
      <c r="AA457" s="564"/>
      <c r="AB457" s="564"/>
      <c r="AC457" s="564"/>
      <c r="AD457" s="564"/>
      <c r="AE457" s="564"/>
      <c r="AF457" s="564"/>
      <c r="AG457" s="564"/>
      <c r="AH457" s="564"/>
      <c r="AI457" s="564"/>
      <c r="AJ457" s="564"/>
      <c r="AK457" s="564"/>
      <c r="AL457" s="564"/>
      <c r="AM457" s="564"/>
      <c r="AN457" s="564"/>
      <c r="AO457" s="564"/>
    </row>
    <row r="458" spans="2:41" x14ac:dyDescent="0.15">
      <c r="B458" s="565">
        <v>-36</v>
      </c>
      <c r="C458" s="564">
        <v>0</v>
      </c>
      <c r="D458" s="564"/>
      <c r="E458" s="564"/>
      <c r="F458" s="564"/>
      <c r="G458" s="564"/>
      <c r="H458" s="564"/>
      <c r="I458" s="564"/>
      <c r="J458" s="564"/>
      <c r="K458" s="564"/>
      <c r="L458" s="564"/>
      <c r="M458" s="564"/>
      <c r="N458" s="564"/>
      <c r="O458" s="564"/>
      <c r="P458" s="564"/>
      <c r="Q458" s="564"/>
      <c r="R458" s="564"/>
      <c r="S458" s="564"/>
      <c r="T458" s="564"/>
      <c r="U458" s="564"/>
      <c r="V458" s="564"/>
      <c r="W458" s="564"/>
      <c r="X458" s="564"/>
      <c r="Y458" s="564"/>
      <c r="Z458" s="564"/>
      <c r="AA458" s="564"/>
      <c r="AB458" s="564"/>
      <c r="AC458" s="564"/>
      <c r="AD458" s="564"/>
      <c r="AE458" s="564"/>
      <c r="AF458" s="564"/>
      <c r="AG458" s="564"/>
      <c r="AH458" s="564"/>
      <c r="AI458" s="564"/>
      <c r="AJ458" s="564"/>
      <c r="AK458" s="564"/>
      <c r="AL458" s="564"/>
      <c r="AM458" s="564"/>
      <c r="AN458" s="564"/>
      <c r="AO458" s="564"/>
    </row>
    <row r="459" spans="2:41" x14ac:dyDescent="0.15">
      <c r="B459" s="565">
        <v>-35</v>
      </c>
      <c r="C459" s="564">
        <v>0</v>
      </c>
      <c r="D459" s="564"/>
      <c r="E459" s="564"/>
      <c r="F459" s="564"/>
      <c r="G459" s="564"/>
      <c r="H459" s="564"/>
      <c r="I459" s="564"/>
      <c r="J459" s="564"/>
      <c r="K459" s="564"/>
      <c r="L459" s="564"/>
      <c r="M459" s="564"/>
      <c r="N459" s="564"/>
      <c r="O459" s="564"/>
      <c r="P459" s="564"/>
      <c r="Q459" s="564"/>
      <c r="R459" s="564"/>
      <c r="S459" s="564"/>
      <c r="T459" s="564"/>
      <c r="U459" s="564"/>
      <c r="V459" s="564"/>
      <c r="W459" s="564"/>
      <c r="X459" s="564"/>
      <c r="Y459" s="564"/>
      <c r="Z459" s="564"/>
      <c r="AA459" s="564"/>
      <c r="AB459" s="564"/>
      <c r="AC459" s="564"/>
      <c r="AD459" s="564"/>
      <c r="AE459" s="564"/>
      <c r="AF459" s="564"/>
      <c r="AG459" s="564"/>
      <c r="AH459" s="564"/>
      <c r="AI459" s="564"/>
      <c r="AJ459" s="564"/>
      <c r="AK459" s="564"/>
      <c r="AL459" s="564"/>
      <c r="AM459" s="564"/>
      <c r="AN459" s="564"/>
      <c r="AO459" s="564"/>
    </row>
    <row r="460" spans="2:41" x14ac:dyDescent="0.15">
      <c r="B460" s="565">
        <v>-34</v>
      </c>
      <c r="C460" s="564">
        <v>0</v>
      </c>
      <c r="D460" s="564"/>
      <c r="E460" s="564"/>
      <c r="F460" s="564"/>
      <c r="G460" s="564"/>
      <c r="H460" s="564"/>
      <c r="I460" s="564"/>
      <c r="J460" s="564"/>
      <c r="K460" s="564"/>
      <c r="L460" s="564"/>
      <c r="M460" s="564"/>
      <c r="N460" s="564"/>
      <c r="O460" s="564"/>
      <c r="P460" s="564"/>
      <c r="Q460" s="564"/>
      <c r="R460" s="564"/>
      <c r="S460" s="564"/>
      <c r="T460" s="564"/>
      <c r="U460" s="564"/>
      <c r="V460" s="564"/>
      <c r="W460" s="564"/>
      <c r="X460" s="564"/>
      <c r="Y460" s="564"/>
      <c r="Z460" s="564"/>
      <c r="AA460" s="564"/>
      <c r="AB460" s="564"/>
      <c r="AC460" s="564"/>
      <c r="AD460" s="564"/>
      <c r="AE460" s="564"/>
      <c r="AF460" s="564"/>
      <c r="AG460" s="564"/>
      <c r="AH460" s="564"/>
      <c r="AI460" s="564"/>
      <c r="AJ460" s="564"/>
      <c r="AK460" s="564"/>
      <c r="AL460" s="564"/>
      <c r="AM460" s="564"/>
      <c r="AN460" s="564"/>
      <c r="AO460" s="564"/>
    </row>
    <row r="461" spans="2:41" x14ac:dyDescent="0.15">
      <c r="B461" s="565">
        <v>-33</v>
      </c>
      <c r="C461" s="564">
        <v>0</v>
      </c>
      <c r="D461" s="564"/>
      <c r="E461" s="564"/>
      <c r="F461" s="564"/>
      <c r="G461" s="564"/>
      <c r="H461" s="564"/>
      <c r="I461" s="564"/>
      <c r="J461" s="564"/>
      <c r="K461" s="564"/>
      <c r="L461" s="564"/>
      <c r="M461" s="564"/>
      <c r="N461" s="564"/>
      <c r="O461" s="564"/>
      <c r="P461" s="564"/>
      <c r="Q461" s="564"/>
      <c r="R461" s="564"/>
      <c r="S461" s="564"/>
      <c r="T461" s="564"/>
      <c r="U461" s="564"/>
      <c r="V461" s="564"/>
      <c r="W461" s="564"/>
      <c r="X461" s="564"/>
      <c r="Y461" s="564"/>
      <c r="Z461" s="564"/>
      <c r="AA461" s="564"/>
      <c r="AB461" s="564"/>
      <c r="AC461" s="564"/>
      <c r="AD461" s="564"/>
      <c r="AE461" s="564"/>
      <c r="AF461" s="564"/>
      <c r="AG461" s="564"/>
      <c r="AH461" s="564"/>
      <c r="AI461" s="564"/>
      <c r="AJ461" s="564"/>
      <c r="AK461" s="564"/>
      <c r="AL461" s="564"/>
      <c r="AM461" s="564"/>
      <c r="AN461" s="564"/>
      <c r="AO461" s="564"/>
    </row>
    <row r="462" spans="2:41" x14ac:dyDescent="0.15">
      <c r="B462" s="565">
        <v>-32</v>
      </c>
      <c r="C462" s="564">
        <v>0</v>
      </c>
      <c r="D462" s="564"/>
      <c r="E462" s="564"/>
      <c r="F462" s="564"/>
      <c r="G462" s="564"/>
      <c r="H462" s="564"/>
      <c r="I462" s="564"/>
      <c r="J462" s="564"/>
      <c r="K462" s="564"/>
      <c r="L462" s="564"/>
      <c r="M462" s="564"/>
      <c r="N462" s="564"/>
      <c r="O462" s="564"/>
      <c r="P462" s="564"/>
      <c r="Q462" s="564"/>
      <c r="R462" s="564"/>
      <c r="S462" s="564"/>
      <c r="T462" s="564"/>
      <c r="U462" s="564"/>
      <c r="V462" s="564"/>
      <c r="W462" s="564"/>
      <c r="X462" s="564"/>
      <c r="Y462" s="564"/>
      <c r="Z462" s="564"/>
      <c r="AA462" s="564"/>
      <c r="AB462" s="564"/>
      <c r="AC462" s="564"/>
      <c r="AD462" s="564"/>
      <c r="AE462" s="564"/>
      <c r="AF462" s="564"/>
      <c r="AG462" s="564"/>
      <c r="AH462" s="564"/>
      <c r="AI462" s="564"/>
      <c r="AJ462" s="564"/>
      <c r="AK462" s="564"/>
      <c r="AL462" s="564"/>
      <c r="AM462" s="564"/>
      <c r="AN462" s="564"/>
      <c r="AO462" s="564"/>
    </row>
    <row r="463" spans="2:41" x14ac:dyDescent="0.15">
      <c r="B463" s="565">
        <v>-31</v>
      </c>
      <c r="C463" s="564">
        <v>0</v>
      </c>
      <c r="D463" s="564"/>
      <c r="E463" s="564"/>
      <c r="F463" s="564"/>
      <c r="G463" s="564"/>
      <c r="H463" s="564"/>
      <c r="I463" s="564"/>
      <c r="J463" s="564"/>
      <c r="K463" s="564"/>
      <c r="L463" s="564"/>
      <c r="M463" s="564"/>
      <c r="N463" s="564"/>
      <c r="O463" s="564"/>
      <c r="P463" s="564"/>
      <c r="Q463" s="564"/>
      <c r="R463" s="564"/>
      <c r="S463" s="564"/>
      <c r="T463" s="564"/>
      <c r="U463" s="564"/>
      <c r="V463" s="564"/>
      <c r="W463" s="564"/>
      <c r="X463" s="564"/>
      <c r="Y463" s="564"/>
      <c r="Z463" s="564"/>
      <c r="AA463" s="564"/>
      <c r="AB463" s="564"/>
      <c r="AC463" s="564"/>
      <c r="AD463" s="564"/>
      <c r="AE463" s="564"/>
      <c r="AF463" s="564"/>
      <c r="AG463" s="564"/>
      <c r="AH463" s="564"/>
      <c r="AI463" s="564"/>
      <c r="AJ463" s="564"/>
      <c r="AK463" s="564"/>
      <c r="AL463" s="564"/>
      <c r="AM463" s="564"/>
      <c r="AN463" s="564"/>
      <c r="AO463" s="564"/>
    </row>
    <row r="464" spans="2:41" x14ac:dyDescent="0.15">
      <c r="B464" s="565">
        <v>-30</v>
      </c>
      <c r="C464" s="564">
        <v>0</v>
      </c>
      <c r="D464" s="564"/>
      <c r="E464" s="564"/>
      <c r="F464" s="564"/>
      <c r="G464" s="564"/>
      <c r="H464" s="564"/>
      <c r="I464" s="564"/>
      <c r="J464" s="564"/>
      <c r="K464" s="564"/>
      <c r="L464" s="564"/>
      <c r="M464" s="564"/>
      <c r="N464" s="564"/>
      <c r="O464" s="564"/>
      <c r="P464" s="564"/>
      <c r="Q464" s="564"/>
      <c r="R464" s="564"/>
      <c r="S464" s="564"/>
      <c r="T464" s="564"/>
      <c r="U464" s="564"/>
      <c r="V464" s="564"/>
      <c r="W464" s="564"/>
      <c r="X464" s="564"/>
      <c r="Y464" s="564"/>
      <c r="Z464" s="564"/>
      <c r="AA464" s="564"/>
      <c r="AB464" s="564"/>
      <c r="AC464" s="564"/>
      <c r="AD464" s="564"/>
      <c r="AE464" s="564"/>
      <c r="AF464" s="564"/>
      <c r="AG464" s="564"/>
      <c r="AH464" s="564"/>
      <c r="AI464" s="564"/>
      <c r="AJ464" s="564"/>
      <c r="AK464" s="564"/>
      <c r="AL464" s="564"/>
      <c r="AM464" s="564"/>
      <c r="AN464" s="564"/>
      <c r="AO464" s="564"/>
    </row>
    <row r="465" spans="2:41" x14ac:dyDescent="0.15">
      <c r="B465" s="565">
        <v>-29</v>
      </c>
      <c r="C465" s="564">
        <v>0</v>
      </c>
      <c r="D465" s="564"/>
      <c r="E465" s="564"/>
      <c r="F465" s="564"/>
      <c r="G465" s="564"/>
      <c r="H465" s="564"/>
      <c r="I465" s="564"/>
      <c r="J465" s="564"/>
      <c r="K465" s="564"/>
      <c r="L465" s="564"/>
      <c r="M465" s="564"/>
      <c r="N465" s="564"/>
      <c r="O465" s="564"/>
      <c r="P465" s="564"/>
      <c r="Q465" s="564"/>
      <c r="R465" s="564"/>
      <c r="S465" s="564"/>
      <c r="T465" s="564"/>
      <c r="U465" s="564"/>
      <c r="V465" s="564"/>
      <c r="W465" s="564"/>
      <c r="X465" s="564"/>
      <c r="Y465" s="564"/>
      <c r="Z465" s="564"/>
      <c r="AA465" s="564"/>
      <c r="AB465" s="564"/>
      <c r="AC465" s="564"/>
      <c r="AD465" s="564"/>
      <c r="AE465" s="564"/>
      <c r="AF465" s="564"/>
      <c r="AG465" s="564"/>
      <c r="AH465" s="564"/>
      <c r="AI465" s="564"/>
      <c r="AJ465" s="564"/>
      <c r="AK465" s="564"/>
      <c r="AL465" s="564"/>
      <c r="AM465" s="564"/>
      <c r="AN465" s="564"/>
      <c r="AO465" s="564"/>
    </row>
    <row r="466" spans="2:41" x14ac:dyDescent="0.15">
      <c r="B466" s="565">
        <v>-28</v>
      </c>
      <c r="C466" s="564">
        <v>0</v>
      </c>
      <c r="D466" s="564"/>
      <c r="E466" s="564"/>
      <c r="F466" s="564"/>
      <c r="G466" s="564"/>
      <c r="H466" s="564"/>
      <c r="I466" s="564"/>
      <c r="J466" s="564"/>
      <c r="K466" s="564"/>
      <c r="L466" s="564"/>
      <c r="M466" s="564"/>
      <c r="N466" s="564"/>
      <c r="O466" s="564"/>
      <c r="P466" s="564"/>
      <c r="Q466" s="564"/>
      <c r="R466" s="564"/>
      <c r="S466" s="564"/>
      <c r="T466" s="564"/>
      <c r="U466" s="564"/>
      <c r="V466" s="564"/>
      <c r="W466" s="564"/>
      <c r="X466" s="564"/>
      <c r="Y466" s="564"/>
      <c r="Z466" s="564"/>
      <c r="AA466" s="564"/>
      <c r="AB466" s="564"/>
      <c r="AC466" s="564"/>
      <c r="AD466" s="564"/>
      <c r="AE466" s="564"/>
      <c r="AF466" s="564"/>
      <c r="AG466" s="564"/>
      <c r="AH466" s="564"/>
      <c r="AI466" s="564"/>
      <c r="AJ466" s="564"/>
      <c r="AK466" s="564"/>
      <c r="AL466" s="564"/>
      <c r="AM466" s="564"/>
      <c r="AN466" s="564"/>
      <c r="AO466" s="564"/>
    </row>
    <row r="467" spans="2:41" x14ac:dyDescent="0.15">
      <c r="B467" s="565">
        <v>-27</v>
      </c>
      <c r="C467" s="564">
        <v>0</v>
      </c>
      <c r="D467" s="564"/>
      <c r="E467" s="564"/>
      <c r="F467" s="564"/>
      <c r="G467" s="564"/>
      <c r="H467" s="564"/>
      <c r="I467" s="564"/>
      <c r="J467" s="564"/>
      <c r="K467" s="564"/>
      <c r="L467" s="564"/>
      <c r="M467" s="564"/>
      <c r="N467" s="564"/>
      <c r="O467" s="564"/>
      <c r="P467" s="564"/>
      <c r="Q467" s="564"/>
      <c r="R467" s="564"/>
      <c r="S467" s="564"/>
      <c r="T467" s="564"/>
      <c r="U467" s="564"/>
      <c r="V467" s="564"/>
      <c r="W467" s="564"/>
      <c r="X467" s="564"/>
      <c r="Y467" s="564"/>
      <c r="Z467" s="564"/>
      <c r="AA467" s="564"/>
      <c r="AB467" s="564"/>
      <c r="AC467" s="564"/>
      <c r="AD467" s="564"/>
      <c r="AE467" s="564"/>
      <c r="AF467" s="564"/>
      <c r="AG467" s="564"/>
      <c r="AH467" s="564"/>
      <c r="AI467" s="564"/>
      <c r="AJ467" s="564"/>
      <c r="AK467" s="564"/>
      <c r="AL467" s="564"/>
      <c r="AM467" s="564"/>
      <c r="AN467" s="564"/>
      <c r="AO467" s="564"/>
    </row>
    <row r="468" spans="2:41" x14ac:dyDescent="0.15">
      <c r="B468" s="565">
        <v>-26</v>
      </c>
      <c r="C468" s="564">
        <v>0</v>
      </c>
      <c r="D468" s="564"/>
      <c r="E468" s="564"/>
      <c r="F468" s="564"/>
      <c r="G468" s="564"/>
      <c r="H468" s="564"/>
      <c r="I468" s="564"/>
      <c r="J468" s="564"/>
      <c r="K468" s="564"/>
      <c r="L468" s="564"/>
      <c r="M468" s="564"/>
      <c r="N468" s="564"/>
      <c r="O468" s="564"/>
      <c r="P468" s="564"/>
      <c r="Q468" s="564"/>
      <c r="R468" s="564"/>
      <c r="S468" s="564"/>
      <c r="T468" s="564"/>
      <c r="U468" s="564"/>
      <c r="V468" s="564"/>
      <c r="W468" s="564"/>
      <c r="X468" s="564"/>
      <c r="Y468" s="564"/>
      <c r="Z468" s="564"/>
      <c r="AA468" s="564"/>
      <c r="AB468" s="564"/>
      <c r="AC468" s="564"/>
      <c r="AD468" s="564"/>
      <c r="AE468" s="564"/>
      <c r="AF468" s="564"/>
      <c r="AG468" s="564"/>
      <c r="AH468" s="564"/>
      <c r="AI468" s="564"/>
      <c r="AJ468" s="564"/>
      <c r="AK468" s="564"/>
      <c r="AL468" s="564"/>
      <c r="AM468" s="564"/>
      <c r="AN468" s="564"/>
      <c r="AO468" s="564"/>
    </row>
    <row r="469" spans="2:41" x14ac:dyDescent="0.15">
      <c r="B469" s="565">
        <v>-25</v>
      </c>
      <c r="C469" s="564">
        <v>0</v>
      </c>
      <c r="D469" s="564"/>
      <c r="E469" s="564"/>
      <c r="F469" s="564"/>
      <c r="G469" s="564"/>
      <c r="H469" s="564"/>
      <c r="I469" s="564"/>
      <c r="J469" s="564"/>
      <c r="K469" s="564"/>
      <c r="L469" s="564"/>
      <c r="M469" s="564"/>
      <c r="N469" s="564"/>
      <c r="O469" s="564"/>
      <c r="P469" s="564"/>
      <c r="Q469" s="564"/>
      <c r="R469" s="564"/>
      <c r="S469" s="564"/>
      <c r="T469" s="564"/>
      <c r="U469" s="564"/>
      <c r="V469" s="564"/>
      <c r="W469" s="564"/>
      <c r="X469" s="564"/>
      <c r="Y469" s="564"/>
      <c r="Z469" s="564"/>
      <c r="AA469" s="564"/>
      <c r="AB469" s="564"/>
      <c r="AC469" s="564"/>
      <c r="AD469" s="564"/>
      <c r="AE469" s="564"/>
      <c r="AF469" s="564"/>
      <c r="AG469" s="564"/>
      <c r="AH469" s="564"/>
      <c r="AI469" s="564"/>
      <c r="AJ469" s="564"/>
      <c r="AK469" s="564"/>
      <c r="AL469" s="564"/>
      <c r="AM469" s="564"/>
      <c r="AN469" s="564"/>
      <c r="AO469" s="564"/>
    </row>
    <row r="470" spans="2:41" x14ac:dyDescent="0.15">
      <c r="B470" s="565">
        <v>-24</v>
      </c>
      <c r="C470" s="564">
        <v>0</v>
      </c>
      <c r="D470" s="564"/>
      <c r="E470" s="564"/>
      <c r="F470" s="564"/>
      <c r="G470" s="564"/>
      <c r="H470" s="564"/>
      <c r="I470" s="564"/>
      <c r="J470" s="564"/>
      <c r="K470" s="564"/>
      <c r="L470" s="564"/>
      <c r="M470" s="564"/>
      <c r="N470" s="564"/>
      <c r="O470" s="564"/>
      <c r="P470" s="564"/>
      <c r="Q470" s="564"/>
      <c r="R470" s="564"/>
      <c r="S470" s="564"/>
      <c r="T470" s="564"/>
      <c r="U470" s="564"/>
      <c r="V470" s="564"/>
      <c r="W470" s="564"/>
      <c r="X470" s="564"/>
      <c r="Y470" s="564"/>
      <c r="Z470" s="564"/>
      <c r="AA470" s="564"/>
      <c r="AB470" s="564"/>
      <c r="AC470" s="564"/>
      <c r="AD470" s="564"/>
      <c r="AE470" s="564"/>
      <c r="AF470" s="564"/>
      <c r="AG470" s="564"/>
      <c r="AH470" s="564"/>
      <c r="AI470" s="564"/>
      <c r="AJ470" s="564"/>
      <c r="AK470" s="564"/>
      <c r="AL470" s="564"/>
      <c r="AM470" s="564"/>
      <c r="AN470" s="564"/>
      <c r="AO470" s="564"/>
    </row>
    <row r="471" spans="2:41" x14ac:dyDescent="0.15">
      <c r="B471" s="565">
        <v>-23</v>
      </c>
      <c r="C471" s="564">
        <v>0</v>
      </c>
      <c r="D471" s="564"/>
      <c r="E471" s="564"/>
      <c r="F471" s="564"/>
      <c r="G471" s="564"/>
      <c r="H471" s="564"/>
      <c r="I471" s="564"/>
      <c r="J471" s="564"/>
      <c r="K471" s="564"/>
      <c r="L471" s="564"/>
      <c r="M471" s="564"/>
      <c r="N471" s="564"/>
      <c r="O471" s="564"/>
      <c r="P471" s="564"/>
      <c r="Q471" s="564"/>
      <c r="R471" s="564"/>
      <c r="S471" s="564"/>
      <c r="T471" s="564"/>
      <c r="U471" s="564"/>
      <c r="V471" s="564"/>
      <c r="W471" s="564"/>
      <c r="X471" s="564"/>
      <c r="Y471" s="564"/>
      <c r="Z471" s="564"/>
      <c r="AA471" s="564"/>
      <c r="AB471" s="564"/>
      <c r="AC471" s="564"/>
      <c r="AD471" s="564"/>
      <c r="AE471" s="564"/>
      <c r="AF471" s="564"/>
      <c r="AG471" s="564"/>
      <c r="AH471" s="564"/>
      <c r="AI471" s="564"/>
      <c r="AJ471" s="564"/>
      <c r="AK471" s="564"/>
      <c r="AL471" s="564"/>
      <c r="AM471" s="564"/>
      <c r="AN471" s="564"/>
      <c r="AO471" s="564"/>
    </row>
    <row r="472" spans="2:41" x14ac:dyDescent="0.15">
      <c r="B472" s="565">
        <v>-22</v>
      </c>
      <c r="C472" s="564">
        <v>0</v>
      </c>
      <c r="D472" s="564"/>
      <c r="E472" s="564"/>
      <c r="F472" s="564"/>
      <c r="G472" s="564"/>
      <c r="H472" s="564"/>
      <c r="I472" s="564"/>
      <c r="J472" s="564"/>
      <c r="K472" s="564"/>
      <c r="L472" s="564"/>
      <c r="M472" s="564"/>
      <c r="N472" s="564"/>
      <c r="O472" s="564"/>
      <c r="P472" s="564"/>
      <c r="Q472" s="564"/>
      <c r="R472" s="564"/>
      <c r="S472" s="564"/>
      <c r="T472" s="564"/>
      <c r="U472" s="564"/>
      <c r="V472" s="564"/>
      <c r="W472" s="564"/>
      <c r="X472" s="564"/>
      <c r="Y472" s="564"/>
      <c r="Z472" s="564"/>
      <c r="AA472" s="564"/>
      <c r="AB472" s="564"/>
      <c r="AC472" s="564"/>
      <c r="AD472" s="564"/>
      <c r="AE472" s="564"/>
      <c r="AF472" s="564"/>
      <c r="AG472" s="564"/>
      <c r="AH472" s="564"/>
      <c r="AI472" s="564"/>
      <c r="AJ472" s="564"/>
      <c r="AK472" s="564"/>
      <c r="AL472" s="564"/>
      <c r="AM472" s="564"/>
      <c r="AN472" s="564"/>
      <c r="AO472" s="564"/>
    </row>
    <row r="473" spans="2:41" x14ac:dyDescent="0.15">
      <c r="B473" s="565">
        <v>-21</v>
      </c>
      <c r="C473" s="564">
        <v>0</v>
      </c>
      <c r="D473" s="564"/>
      <c r="E473" s="564"/>
      <c r="F473" s="564"/>
      <c r="G473" s="564"/>
      <c r="H473" s="564"/>
      <c r="I473" s="564"/>
      <c r="J473" s="564"/>
      <c r="K473" s="564"/>
      <c r="L473" s="564"/>
      <c r="M473" s="564"/>
      <c r="N473" s="564"/>
      <c r="O473" s="564"/>
      <c r="P473" s="564"/>
      <c r="Q473" s="564"/>
      <c r="R473" s="564"/>
      <c r="S473" s="564"/>
      <c r="T473" s="564"/>
      <c r="U473" s="564"/>
      <c r="V473" s="564"/>
      <c r="W473" s="564"/>
      <c r="X473" s="564"/>
      <c r="Y473" s="564"/>
      <c r="Z473" s="564"/>
      <c r="AA473" s="564"/>
      <c r="AB473" s="564"/>
      <c r="AC473" s="564"/>
      <c r="AD473" s="564"/>
      <c r="AE473" s="564"/>
      <c r="AF473" s="564"/>
      <c r="AG473" s="564"/>
      <c r="AH473" s="564"/>
      <c r="AI473" s="564"/>
      <c r="AJ473" s="564"/>
      <c r="AK473" s="564"/>
      <c r="AL473" s="564"/>
      <c r="AM473" s="564"/>
      <c r="AN473" s="564"/>
      <c r="AO473" s="564"/>
    </row>
    <row r="474" spans="2:41" x14ac:dyDescent="0.15">
      <c r="B474" s="565">
        <v>-20</v>
      </c>
      <c r="C474" s="564">
        <v>0</v>
      </c>
      <c r="D474" s="564"/>
      <c r="E474" s="564"/>
      <c r="F474" s="564"/>
      <c r="G474" s="564"/>
      <c r="H474" s="564"/>
      <c r="I474" s="564"/>
      <c r="J474" s="564"/>
      <c r="K474" s="564"/>
      <c r="L474" s="564"/>
      <c r="M474" s="564"/>
      <c r="N474" s="564"/>
      <c r="O474" s="564"/>
      <c r="P474" s="564"/>
      <c r="Q474" s="564"/>
      <c r="R474" s="564"/>
      <c r="S474" s="564"/>
      <c r="T474" s="564"/>
      <c r="U474" s="564"/>
      <c r="V474" s="564"/>
      <c r="W474" s="564"/>
      <c r="X474" s="564"/>
      <c r="Y474" s="564"/>
      <c r="Z474" s="564"/>
      <c r="AA474" s="564"/>
      <c r="AB474" s="564"/>
      <c r="AC474" s="564"/>
      <c r="AD474" s="564"/>
      <c r="AE474" s="564"/>
      <c r="AF474" s="564"/>
      <c r="AG474" s="564"/>
      <c r="AH474" s="564"/>
      <c r="AI474" s="564"/>
      <c r="AJ474" s="564"/>
      <c r="AK474" s="564"/>
      <c r="AL474" s="564"/>
      <c r="AM474" s="564"/>
      <c r="AN474" s="564"/>
      <c r="AO474" s="564"/>
    </row>
    <row r="475" spans="2:41" x14ac:dyDescent="0.15">
      <c r="B475" s="565">
        <v>-19</v>
      </c>
      <c r="C475" s="564">
        <v>0</v>
      </c>
      <c r="D475" s="564"/>
      <c r="E475" s="564"/>
      <c r="F475" s="564"/>
      <c r="G475" s="564"/>
      <c r="H475" s="564"/>
      <c r="I475" s="564"/>
      <c r="J475" s="564"/>
      <c r="K475" s="564"/>
      <c r="L475" s="564"/>
      <c r="M475" s="564"/>
      <c r="N475" s="564"/>
      <c r="O475" s="564"/>
      <c r="P475" s="564"/>
      <c r="Q475" s="564"/>
      <c r="R475" s="564"/>
      <c r="S475" s="564"/>
      <c r="T475" s="564"/>
      <c r="U475" s="564"/>
      <c r="V475" s="564"/>
      <c r="W475" s="564"/>
      <c r="X475" s="564"/>
      <c r="Y475" s="564"/>
      <c r="Z475" s="564"/>
      <c r="AA475" s="564"/>
      <c r="AB475" s="564"/>
      <c r="AC475" s="564"/>
      <c r="AD475" s="564"/>
      <c r="AE475" s="564"/>
      <c r="AF475" s="564"/>
      <c r="AG475" s="564"/>
      <c r="AH475" s="564"/>
      <c r="AI475" s="564"/>
      <c r="AJ475" s="564"/>
      <c r="AK475" s="564"/>
      <c r="AL475" s="564"/>
      <c r="AM475" s="564"/>
      <c r="AN475" s="564"/>
      <c r="AO475" s="564"/>
    </row>
    <row r="476" spans="2:41" x14ac:dyDescent="0.15">
      <c r="B476" s="565">
        <v>-18</v>
      </c>
      <c r="C476" s="564">
        <v>0</v>
      </c>
      <c r="D476" s="564"/>
      <c r="E476" s="564"/>
      <c r="F476" s="564"/>
      <c r="G476" s="564"/>
      <c r="H476" s="564"/>
      <c r="I476" s="564"/>
      <c r="J476" s="564"/>
      <c r="K476" s="564"/>
      <c r="L476" s="564"/>
      <c r="M476" s="564"/>
      <c r="N476" s="564"/>
      <c r="O476" s="564"/>
      <c r="P476" s="564"/>
      <c r="Q476" s="564"/>
      <c r="R476" s="564"/>
      <c r="S476" s="564"/>
      <c r="T476" s="564"/>
      <c r="U476" s="564"/>
      <c r="V476" s="564"/>
      <c r="W476" s="564"/>
      <c r="X476" s="564"/>
      <c r="Y476" s="564"/>
      <c r="Z476" s="564"/>
      <c r="AA476" s="564"/>
      <c r="AB476" s="564"/>
      <c r="AC476" s="564"/>
      <c r="AD476" s="564"/>
      <c r="AE476" s="564"/>
      <c r="AF476" s="564"/>
      <c r="AG476" s="564"/>
      <c r="AH476" s="564"/>
      <c r="AI476" s="564"/>
      <c r="AJ476" s="564"/>
      <c r="AK476" s="564"/>
      <c r="AL476" s="564"/>
      <c r="AM476" s="564"/>
      <c r="AN476" s="564"/>
      <c r="AO476" s="564"/>
    </row>
    <row r="477" spans="2:41" x14ac:dyDescent="0.15">
      <c r="B477" s="565">
        <v>-17</v>
      </c>
      <c r="C477" s="564">
        <v>0</v>
      </c>
      <c r="D477" s="564"/>
      <c r="E477" s="564"/>
      <c r="F477" s="564"/>
      <c r="G477" s="564"/>
      <c r="H477" s="564"/>
      <c r="I477" s="564"/>
      <c r="J477" s="564"/>
      <c r="K477" s="564"/>
      <c r="L477" s="564"/>
      <c r="M477" s="564"/>
      <c r="N477" s="564"/>
      <c r="O477" s="564"/>
      <c r="P477" s="564"/>
      <c r="Q477" s="564"/>
      <c r="R477" s="564"/>
      <c r="S477" s="564"/>
      <c r="T477" s="564"/>
      <c r="U477" s="564"/>
      <c r="V477" s="564"/>
      <c r="W477" s="564"/>
      <c r="X477" s="564"/>
      <c r="Y477" s="564"/>
      <c r="Z477" s="564"/>
      <c r="AA477" s="564"/>
      <c r="AB477" s="564"/>
      <c r="AC477" s="564"/>
      <c r="AD477" s="564"/>
      <c r="AE477" s="564"/>
      <c r="AF477" s="564"/>
      <c r="AG477" s="564"/>
      <c r="AH477" s="564"/>
      <c r="AI477" s="564"/>
      <c r="AJ477" s="564"/>
      <c r="AK477" s="564"/>
      <c r="AL477" s="564"/>
      <c r="AM477" s="564"/>
      <c r="AN477" s="564"/>
      <c r="AO477" s="564"/>
    </row>
    <row r="478" spans="2:41" x14ac:dyDescent="0.15">
      <c r="B478" s="565">
        <v>-16</v>
      </c>
      <c r="C478" s="564">
        <v>0</v>
      </c>
      <c r="D478" s="564"/>
      <c r="E478" s="564"/>
      <c r="F478" s="564"/>
      <c r="G478" s="564"/>
      <c r="H478" s="564"/>
      <c r="I478" s="564"/>
      <c r="J478" s="564"/>
      <c r="K478" s="564"/>
      <c r="L478" s="564"/>
      <c r="M478" s="564"/>
      <c r="N478" s="564"/>
      <c r="O478" s="564"/>
      <c r="P478" s="564"/>
      <c r="Q478" s="564"/>
      <c r="R478" s="564"/>
      <c r="S478" s="564"/>
      <c r="T478" s="564"/>
      <c r="U478" s="564"/>
      <c r="V478" s="564"/>
      <c r="W478" s="564"/>
      <c r="X478" s="564"/>
      <c r="Y478" s="564"/>
      <c r="Z478" s="564"/>
      <c r="AA478" s="564"/>
      <c r="AB478" s="564"/>
      <c r="AC478" s="564"/>
      <c r="AD478" s="564"/>
      <c r="AE478" s="564"/>
      <c r="AF478" s="564"/>
      <c r="AG478" s="564"/>
      <c r="AH478" s="564"/>
      <c r="AI478" s="564"/>
      <c r="AJ478" s="564"/>
      <c r="AK478" s="564"/>
      <c r="AL478" s="564"/>
      <c r="AM478" s="564"/>
      <c r="AN478" s="564"/>
      <c r="AO478" s="564"/>
    </row>
    <row r="479" spans="2:41" x14ac:dyDescent="0.15">
      <c r="B479" s="565">
        <v>-15</v>
      </c>
      <c r="C479" s="564">
        <v>1.1415525114155251E-4</v>
      </c>
      <c r="D479" s="564"/>
      <c r="E479" s="564"/>
      <c r="F479" s="564"/>
      <c r="G479" s="564"/>
      <c r="H479" s="564"/>
      <c r="I479" s="564"/>
      <c r="J479" s="564"/>
      <c r="K479" s="564"/>
      <c r="L479" s="564"/>
      <c r="M479" s="564"/>
      <c r="N479" s="564"/>
      <c r="O479" s="564"/>
      <c r="P479" s="564"/>
      <c r="Q479" s="564"/>
      <c r="R479" s="564"/>
      <c r="S479" s="564"/>
      <c r="T479" s="564"/>
      <c r="U479" s="564"/>
      <c r="V479" s="564"/>
      <c r="W479" s="564"/>
      <c r="X479" s="564"/>
      <c r="Y479" s="564"/>
      <c r="Z479" s="564"/>
      <c r="AA479" s="564"/>
      <c r="AB479" s="564"/>
      <c r="AC479" s="564"/>
      <c r="AD479" s="564"/>
      <c r="AE479" s="564"/>
      <c r="AF479" s="564"/>
      <c r="AG479" s="564"/>
      <c r="AH479" s="564"/>
      <c r="AI479" s="564"/>
      <c r="AJ479" s="564"/>
      <c r="AK479" s="564"/>
      <c r="AL479" s="564"/>
      <c r="AM479" s="564"/>
      <c r="AN479" s="564"/>
      <c r="AO479" s="564"/>
    </row>
    <row r="480" spans="2:41" x14ac:dyDescent="0.15">
      <c r="B480" s="565">
        <v>-14</v>
      </c>
      <c r="C480" s="564">
        <v>6.8493150684931507E-4</v>
      </c>
      <c r="D480" s="564"/>
      <c r="E480" s="564"/>
      <c r="F480" s="564"/>
      <c r="G480" s="564"/>
      <c r="H480" s="564"/>
      <c r="I480" s="564"/>
      <c r="J480" s="564"/>
      <c r="K480" s="564"/>
      <c r="L480" s="564"/>
      <c r="M480" s="564"/>
      <c r="N480" s="564"/>
      <c r="O480" s="564"/>
      <c r="P480" s="564"/>
      <c r="Q480" s="564"/>
      <c r="R480" s="564"/>
      <c r="S480" s="564"/>
      <c r="T480" s="564"/>
      <c r="U480" s="564"/>
      <c r="V480" s="564"/>
      <c r="W480" s="564"/>
      <c r="X480" s="564"/>
      <c r="Y480" s="564"/>
      <c r="Z480" s="564"/>
      <c r="AA480" s="564"/>
      <c r="AB480" s="564"/>
      <c r="AC480" s="564"/>
      <c r="AD480" s="564"/>
      <c r="AE480" s="564"/>
      <c r="AF480" s="564"/>
      <c r="AG480" s="564"/>
      <c r="AH480" s="564"/>
      <c r="AI480" s="564"/>
      <c r="AJ480" s="564"/>
      <c r="AK480" s="564"/>
      <c r="AL480" s="564"/>
      <c r="AM480" s="564"/>
      <c r="AN480" s="564"/>
      <c r="AO480" s="564"/>
    </row>
    <row r="481" spans="2:41" x14ac:dyDescent="0.15">
      <c r="B481" s="565">
        <v>-13</v>
      </c>
      <c r="C481" s="564">
        <v>1.5981735159817352E-3</v>
      </c>
      <c r="D481" s="564"/>
      <c r="E481" s="564"/>
      <c r="F481" s="564"/>
      <c r="G481" s="564"/>
      <c r="H481" s="564"/>
      <c r="I481" s="564"/>
      <c r="J481" s="564"/>
      <c r="K481" s="564"/>
      <c r="L481" s="564"/>
      <c r="M481" s="564"/>
      <c r="N481" s="564"/>
      <c r="O481" s="564"/>
      <c r="P481" s="564"/>
      <c r="Q481" s="564"/>
      <c r="R481" s="564"/>
      <c r="S481" s="564"/>
      <c r="T481" s="564"/>
      <c r="U481" s="564"/>
      <c r="V481" s="564"/>
      <c r="W481" s="564"/>
      <c r="X481" s="564"/>
      <c r="Y481" s="564"/>
      <c r="Z481" s="564"/>
      <c r="AA481" s="564"/>
      <c r="AB481" s="564"/>
      <c r="AC481" s="564"/>
      <c r="AD481" s="564"/>
      <c r="AE481" s="564"/>
      <c r="AF481" s="564"/>
      <c r="AG481" s="564"/>
      <c r="AH481" s="564"/>
      <c r="AI481" s="564"/>
      <c r="AJ481" s="564"/>
      <c r="AK481" s="564"/>
      <c r="AL481" s="564"/>
      <c r="AM481" s="564"/>
      <c r="AN481" s="564"/>
      <c r="AO481" s="564"/>
    </row>
    <row r="482" spans="2:41" x14ac:dyDescent="0.15">
      <c r="B482" s="565">
        <v>-12</v>
      </c>
      <c r="C482" s="564">
        <v>3.767123287671233E-3</v>
      </c>
      <c r="D482" s="564"/>
      <c r="E482" s="564"/>
      <c r="F482" s="564"/>
      <c r="G482" s="564"/>
      <c r="H482" s="564"/>
      <c r="I482" s="564"/>
      <c r="J482" s="564"/>
      <c r="K482" s="564"/>
      <c r="L482" s="564"/>
      <c r="M482" s="564"/>
      <c r="N482" s="564"/>
      <c r="O482" s="564"/>
      <c r="P482" s="564"/>
      <c r="Q482" s="564"/>
      <c r="R482" s="564"/>
      <c r="S482" s="564"/>
      <c r="T482" s="564"/>
      <c r="U482" s="564"/>
      <c r="V482" s="564"/>
      <c r="W482" s="564"/>
      <c r="X482" s="564"/>
      <c r="Y482" s="564"/>
      <c r="Z482" s="564"/>
      <c r="AA482" s="564"/>
      <c r="AB482" s="564"/>
      <c r="AC482" s="564"/>
      <c r="AD482" s="564"/>
      <c r="AE482" s="564"/>
      <c r="AF482" s="564"/>
      <c r="AG482" s="564"/>
      <c r="AH482" s="564"/>
      <c r="AI482" s="564"/>
      <c r="AJ482" s="564"/>
      <c r="AK482" s="564"/>
      <c r="AL482" s="564"/>
      <c r="AM482" s="564"/>
      <c r="AN482" s="564"/>
      <c r="AO482" s="564"/>
    </row>
    <row r="483" spans="2:41" x14ac:dyDescent="0.15">
      <c r="B483" s="565">
        <v>-11</v>
      </c>
      <c r="C483" s="564">
        <v>5.4794520547945206E-3</v>
      </c>
      <c r="D483" s="564"/>
      <c r="E483" s="564"/>
      <c r="F483" s="564"/>
      <c r="G483" s="564"/>
      <c r="H483" s="564"/>
      <c r="I483" s="564"/>
      <c r="J483" s="564"/>
      <c r="K483" s="564"/>
      <c r="L483" s="564"/>
      <c r="M483" s="564"/>
      <c r="N483" s="564"/>
      <c r="O483" s="564"/>
      <c r="P483" s="564"/>
      <c r="Q483" s="564"/>
      <c r="R483" s="564"/>
      <c r="S483" s="564"/>
      <c r="T483" s="564"/>
      <c r="U483" s="564"/>
      <c r="V483" s="564"/>
      <c r="W483" s="564"/>
      <c r="X483" s="564"/>
      <c r="Y483" s="564"/>
      <c r="Z483" s="564"/>
      <c r="AA483" s="564"/>
      <c r="AB483" s="564"/>
      <c r="AC483" s="564"/>
      <c r="AD483" s="564"/>
      <c r="AE483" s="564"/>
      <c r="AF483" s="564"/>
      <c r="AG483" s="564"/>
      <c r="AH483" s="564"/>
      <c r="AI483" s="564"/>
      <c r="AJ483" s="564"/>
      <c r="AK483" s="564"/>
      <c r="AL483" s="564"/>
      <c r="AM483" s="564"/>
      <c r="AN483" s="564"/>
      <c r="AO483" s="564"/>
    </row>
    <row r="484" spans="2:41" x14ac:dyDescent="0.15">
      <c r="B484" s="565">
        <v>-10</v>
      </c>
      <c r="C484" s="564">
        <v>8.1050228310502286E-3</v>
      </c>
      <c r="D484" s="564"/>
      <c r="E484" s="564"/>
      <c r="F484" s="564"/>
      <c r="G484" s="564"/>
      <c r="H484" s="564"/>
      <c r="I484" s="564"/>
      <c r="J484" s="564"/>
      <c r="K484" s="564"/>
      <c r="L484" s="564"/>
      <c r="M484" s="564"/>
      <c r="N484" s="564"/>
      <c r="O484" s="564"/>
      <c r="P484" s="564"/>
      <c r="Q484" s="564"/>
      <c r="R484" s="564"/>
      <c r="S484" s="564"/>
      <c r="T484" s="564"/>
      <c r="U484" s="564"/>
      <c r="V484" s="564"/>
      <c r="W484" s="564"/>
      <c r="X484" s="564"/>
      <c r="Y484" s="564"/>
      <c r="Z484" s="564"/>
      <c r="AA484" s="564"/>
      <c r="AB484" s="564"/>
      <c r="AC484" s="564"/>
      <c r="AD484" s="564"/>
      <c r="AE484" s="564"/>
      <c r="AF484" s="564"/>
      <c r="AG484" s="564"/>
      <c r="AH484" s="564"/>
      <c r="AI484" s="564"/>
      <c r="AJ484" s="564"/>
      <c r="AK484" s="564"/>
      <c r="AL484" s="564"/>
      <c r="AM484" s="564"/>
      <c r="AN484" s="564"/>
      <c r="AO484" s="564"/>
    </row>
    <row r="485" spans="2:41" x14ac:dyDescent="0.15">
      <c r="B485" s="565">
        <v>-9</v>
      </c>
      <c r="C485" s="564">
        <v>9.2465753424657536E-3</v>
      </c>
      <c r="D485" s="564"/>
      <c r="E485" s="564"/>
      <c r="F485" s="564"/>
      <c r="G485" s="564"/>
      <c r="H485" s="564"/>
      <c r="I485" s="564"/>
      <c r="J485" s="564"/>
      <c r="K485" s="564"/>
      <c r="L485" s="564"/>
      <c r="M485" s="564"/>
      <c r="N485" s="564"/>
      <c r="O485" s="564"/>
      <c r="P485" s="564"/>
      <c r="Q485" s="564"/>
      <c r="R485" s="564"/>
      <c r="S485" s="564"/>
      <c r="T485" s="564"/>
      <c r="U485" s="564"/>
      <c r="V485" s="564"/>
      <c r="W485" s="564"/>
      <c r="X485" s="564"/>
      <c r="Y485" s="564"/>
      <c r="Z485" s="564"/>
      <c r="AA485" s="564"/>
      <c r="AB485" s="564"/>
      <c r="AC485" s="564"/>
      <c r="AD485" s="564"/>
      <c r="AE485" s="564"/>
      <c r="AF485" s="564"/>
      <c r="AG485" s="564"/>
      <c r="AH485" s="564"/>
      <c r="AI485" s="564"/>
      <c r="AJ485" s="564"/>
      <c r="AK485" s="564"/>
      <c r="AL485" s="564"/>
      <c r="AM485" s="564"/>
      <c r="AN485" s="564"/>
      <c r="AO485" s="564"/>
    </row>
    <row r="486" spans="2:41" x14ac:dyDescent="0.15">
      <c r="B486" s="565">
        <v>-8</v>
      </c>
      <c r="C486" s="564">
        <v>1.2785388127853882E-2</v>
      </c>
      <c r="D486" s="564"/>
      <c r="E486" s="564"/>
      <c r="F486" s="564"/>
      <c r="G486" s="564"/>
      <c r="H486" s="564"/>
      <c r="I486" s="564"/>
      <c r="J486" s="564"/>
      <c r="K486" s="564"/>
      <c r="L486" s="564"/>
      <c r="M486" s="564"/>
      <c r="N486" s="564"/>
      <c r="O486" s="564"/>
      <c r="P486" s="564"/>
      <c r="Q486" s="564"/>
      <c r="R486" s="564"/>
      <c r="S486" s="564"/>
      <c r="T486" s="564"/>
      <c r="U486" s="564"/>
      <c r="V486" s="564"/>
      <c r="W486" s="564"/>
      <c r="X486" s="564"/>
      <c r="Y486" s="564"/>
      <c r="Z486" s="564"/>
      <c r="AA486" s="564"/>
      <c r="AB486" s="564"/>
      <c r="AC486" s="564"/>
      <c r="AD486" s="564"/>
      <c r="AE486" s="564"/>
      <c r="AF486" s="564"/>
      <c r="AG486" s="564"/>
      <c r="AH486" s="564"/>
      <c r="AI486" s="564"/>
      <c r="AJ486" s="564"/>
      <c r="AK486" s="564"/>
      <c r="AL486" s="564"/>
      <c r="AM486" s="564"/>
      <c r="AN486" s="564"/>
      <c r="AO486" s="564"/>
    </row>
    <row r="487" spans="2:41" x14ac:dyDescent="0.15">
      <c r="B487" s="565">
        <v>-7</v>
      </c>
      <c r="C487" s="564">
        <v>1.6552511415525113E-2</v>
      </c>
      <c r="D487" s="564"/>
      <c r="E487" s="564"/>
      <c r="F487" s="564"/>
      <c r="G487" s="564"/>
      <c r="H487" s="564"/>
      <c r="I487" s="564"/>
      <c r="J487" s="564"/>
      <c r="K487" s="564"/>
      <c r="L487" s="564"/>
      <c r="M487" s="564"/>
      <c r="N487" s="564"/>
      <c r="O487" s="564"/>
      <c r="P487" s="564"/>
      <c r="Q487" s="564"/>
      <c r="R487" s="564"/>
      <c r="S487" s="564"/>
      <c r="T487" s="564"/>
      <c r="U487" s="564"/>
      <c r="V487" s="564"/>
      <c r="W487" s="564"/>
      <c r="X487" s="564"/>
      <c r="Y487" s="564"/>
      <c r="Z487" s="564"/>
      <c r="AA487" s="564"/>
      <c r="AB487" s="564"/>
      <c r="AC487" s="564"/>
      <c r="AD487" s="564"/>
      <c r="AE487" s="564"/>
      <c r="AF487" s="564"/>
      <c r="AG487" s="564"/>
      <c r="AH487" s="564"/>
      <c r="AI487" s="564"/>
      <c r="AJ487" s="564"/>
      <c r="AK487" s="564"/>
      <c r="AL487" s="564"/>
      <c r="AM487" s="564"/>
      <c r="AN487" s="564"/>
      <c r="AO487" s="564"/>
    </row>
    <row r="488" spans="2:41" x14ac:dyDescent="0.15">
      <c r="B488" s="565">
        <v>-6</v>
      </c>
      <c r="C488" s="564">
        <v>2.1803652968036529E-2</v>
      </c>
      <c r="D488" s="564"/>
      <c r="E488" s="564"/>
      <c r="F488" s="564"/>
      <c r="G488" s="564"/>
      <c r="H488" s="564"/>
      <c r="I488" s="564"/>
      <c r="J488" s="564"/>
      <c r="K488" s="564"/>
      <c r="L488" s="564"/>
      <c r="M488" s="564"/>
      <c r="N488" s="564"/>
      <c r="O488" s="564"/>
      <c r="P488" s="564"/>
      <c r="Q488" s="564"/>
      <c r="R488" s="564"/>
      <c r="S488" s="564"/>
      <c r="T488" s="564"/>
      <c r="U488" s="564"/>
      <c r="V488" s="564"/>
      <c r="W488" s="564"/>
      <c r="X488" s="564"/>
      <c r="Y488" s="564"/>
      <c r="Z488" s="564"/>
      <c r="AA488" s="564"/>
      <c r="AB488" s="564"/>
      <c r="AC488" s="564"/>
      <c r="AD488" s="564"/>
      <c r="AE488" s="564"/>
      <c r="AF488" s="564"/>
      <c r="AG488" s="564"/>
      <c r="AH488" s="564"/>
      <c r="AI488" s="564"/>
      <c r="AJ488" s="564"/>
      <c r="AK488" s="564"/>
      <c r="AL488" s="564"/>
      <c r="AM488" s="564"/>
      <c r="AN488" s="564"/>
      <c r="AO488" s="564"/>
    </row>
    <row r="489" spans="2:41" x14ac:dyDescent="0.15">
      <c r="B489" s="565">
        <v>-5</v>
      </c>
      <c r="C489" s="564">
        <v>2.8767123287671233E-2</v>
      </c>
      <c r="D489" s="564"/>
      <c r="E489" s="564"/>
      <c r="F489" s="564"/>
      <c r="G489" s="564"/>
      <c r="H489" s="564"/>
      <c r="I489" s="564"/>
      <c r="J489" s="564"/>
      <c r="K489" s="564"/>
      <c r="L489" s="564"/>
      <c r="M489" s="564"/>
      <c r="N489" s="564"/>
      <c r="O489" s="564"/>
      <c r="P489" s="564"/>
      <c r="Q489" s="564"/>
      <c r="R489" s="564"/>
      <c r="S489" s="564"/>
      <c r="T489" s="564"/>
      <c r="U489" s="564"/>
      <c r="V489" s="564"/>
      <c r="W489" s="564"/>
      <c r="X489" s="564"/>
      <c r="Y489" s="564"/>
      <c r="Z489" s="564"/>
      <c r="AA489" s="564"/>
      <c r="AB489" s="564"/>
      <c r="AC489" s="564"/>
      <c r="AD489" s="564"/>
      <c r="AE489" s="564"/>
      <c r="AF489" s="564"/>
      <c r="AG489" s="564"/>
      <c r="AH489" s="564"/>
      <c r="AI489" s="564"/>
      <c r="AJ489" s="564"/>
      <c r="AK489" s="564"/>
      <c r="AL489" s="564"/>
      <c r="AM489" s="564"/>
      <c r="AN489" s="564"/>
      <c r="AO489" s="564"/>
    </row>
    <row r="490" spans="2:41" x14ac:dyDescent="0.15">
      <c r="B490" s="565">
        <v>-4</v>
      </c>
      <c r="C490" s="564">
        <v>3.515981735159817E-2</v>
      </c>
      <c r="D490" s="564"/>
      <c r="E490" s="564"/>
      <c r="F490" s="564"/>
      <c r="G490" s="564"/>
      <c r="H490" s="564"/>
      <c r="I490" s="564"/>
      <c r="J490" s="564"/>
      <c r="K490" s="564"/>
      <c r="L490" s="564"/>
      <c r="M490" s="564"/>
      <c r="N490" s="564"/>
      <c r="O490" s="564"/>
      <c r="P490" s="564"/>
      <c r="Q490" s="564"/>
      <c r="R490" s="564"/>
      <c r="S490" s="564"/>
      <c r="T490" s="564"/>
      <c r="U490" s="564"/>
      <c r="V490" s="564"/>
      <c r="W490" s="564"/>
      <c r="X490" s="564"/>
      <c r="Y490" s="564"/>
      <c r="Z490" s="564"/>
      <c r="AA490" s="564"/>
      <c r="AB490" s="564"/>
      <c r="AC490" s="564"/>
      <c r="AD490" s="564"/>
      <c r="AE490" s="564"/>
      <c r="AF490" s="564"/>
      <c r="AG490" s="564"/>
      <c r="AH490" s="564"/>
      <c r="AI490" s="564"/>
      <c r="AJ490" s="564"/>
      <c r="AK490" s="564"/>
      <c r="AL490" s="564"/>
      <c r="AM490" s="564"/>
      <c r="AN490" s="564"/>
      <c r="AO490" s="564"/>
    </row>
    <row r="491" spans="2:41" x14ac:dyDescent="0.15">
      <c r="B491" s="565">
        <v>-3</v>
      </c>
      <c r="C491" s="564">
        <v>4.8858447488584478E-2</v>
      </c>
      <c r="D491" s="564"/>
      <c r="E491" s="564"/>
      <c r="F491" s="564"/>
      <c r="G491" s="564"/>
      <c r="H491" s="564"/>
      <c r="I491" s="564"/>
      <c r="J491" s="564"/>
      <c r="K491" s="564"/>
      <c r="L491" s="564"/>
      <c r="M491" s="564"/>
      <c r="N491" s="564"/>
      <c r="O491" s="564"/>
      <c r="P491" s="564"/>
      <c r="Q491" s="564"/>
      <c r="R491" s="564"/>
      <c r="S491" s="564"/>
      <c r="T491" s="564"/>
      <c r="U491" s="564"/>
      <c r="V491" s="564"/>
      <c r="W491" s="564"/>
      <c r="X491" s="564"/>
      <c r="Y491" s="564"/>
      <c r="Z491" s="564"/>
      <c r="AA491" s="564"/>
      <c r="AB491" s="564"/>
      <c r="AC491" s="564"/>
      <c r="AD491" s="564"/>
      <c r="AE491" s="564"/>
      <c r="AF491" s="564"/>
      <c r="AG491" s="564"/>
      <c r="AH491" s="564"/>
      <c r="AI491" s="564"/>
      <c r="AJ491" s="564"/>
      <c r="AK491" s="564"/>
      <c r="AL491" s="564"/>
      <c r="AM491" s="564"/>
      <c r="AN491" s="564"/>
      <c r="AO491" s="564"/>
    </row>
    <row r="492" spans="2:41" x14ac:dyDescent="0.15">
      <c r="B492" s="565">
        <v>-2</v>
      </c>
      <c r="C492" s="564">
        <v>6.632420091324201E-2</v>
      </c>
      <c r="D492" s="564"/>
      <c r="E492" s="564"/>
      <c r="F492" s="564"/>
      <c r="G492" s="564"/>
      <c r="H492" s="564"/>
      <c r="I492" s="564"/>
      <c r="J492" s="564"/>
      <c r="K492" s="564"/>
      <c r="L492" s="564"/>
      <c r="M492" s="564"/>
      <c r="N492" s="564"/>
      <c r="O492" s="564"/>
      <c r="P492" s="564"/>
      <c r="Q492" s="564"/>
      <c r="R492" s="564"/>
      <c r="S492" s="564"/>
      <c r="T492" s="564"/>
      <c r="U492" s="564"/>
      <c r="V492" s="564"/>
      <c r="W492" s="564"/>
      <c r="X492" s="564"/>
      <c r="Y492" s="564"/>
      <c r="Z492" s="564"/>
      <c r="AA492" s="564"/>
      <c r="AB492" s="564"/>
      <c r="AC492" s="564"/>
      <c r="AD492" s="564"/>
      <c r="AE492" s="564"/>
      <c r="AF492" s="564"/>
      <c r="AG492" s="564"/>
      <c r="AH492" s="564"/>
      <c r="AI492" s="564"/>
      <c r="AJ492" s="564"/>
      <c r="AK492" s="564"/>
      <c r="AL492" s="564"/>
      <c r="AM492" s="564"/>
      <c r="AN492" s="564"/>
      <c r="AO492" s="564"/>
    </row>
    <row r="493" spans="2:41" x14ac:dyDescent="0.15">
      <c r="B493" s="565">
        <v>-1</v>
      </c>
      <c r="C493" s="564">
        <v>0.10091324200913242</v>
      </c>
      <c r="D493" s="564"/>
      <c r="E493" s="564"/>
      <c r="F493" s="564"/>
      <c r="G493" s="564"/>
      <c r="H493" s="564"/>
      <c r="I493" s="564"/>
      <c r="J493" s="564"/>
      <c r="K493" s="564"/>
      <c r="L493" s="564"/>
      <c r="M493" s="564"/>
      <c r="N493" s="564"/>
      <c r="O493" s="564"/>
      <c r="P493" s="564"/>
      <c r="Q493" s="564"/>
      <c r="R493" s="564"/>
      <c r="S493" s="564"/>
      <c r="T493" s="564"/>
      <c r="U493" s="564"/>
      <c r="V493" s="564"/>
      <c r="W493" s="564"/>
      <c r="X493" s="564"/>
      <c r="Y493" s="564"/>
      <c r="Z493" s="564"/>
      <c r="AA493" s="564"/>
      <c r="AB493" s="564"/>
      <c r="AC493" s="564"/>
      <c r="AD493" s="564"/>
      <c r="AE493" s="564"/>
      <c r="AF493" s="564"/>
      <c r="AG493" s="564"/>
      <c r="AH493" s="564"/>
      <c r="AI493" s="564"/>
      <c r="AJ493" s="564"/>
      <c r="AK493" s="564"/>
      <c r="AL493" s="564"/>
      <c r="AM493" s="564"/>
      <c r="AN493" s="564"/>
      <c r="AO493" s="564"/>
    </row>
    <row r="494" spans="2:41" x14ac:dyDescent="0.15">
      <c r="B494" s="565">
        <v>0</v>
      </c>
      <c r="C494" s="564">
        <v>0.13904109589041097</v>
      </c>
      <c r="D494" s="564"/>
      <c r="E494" s="564"/>
      <c r="F494" s="564"/>
      <c r="G494" s="564"/>
      <c r="H494" s="564"/>
      <c r="I494" s="564"/>
      <c r="J494" s="564"/>
      <c r="K494" s="564"/>
      <c r="L494" s="564"/>
      <c r="M494" s="564"/>
      <c r="N494" s="564"/>
      <c r="O494" s="564"/>
      <c r="P494" s="564"/>
      <c r="Q494" s="564"/>
      <c r="R494" s="564"/>
      <c r="S494" s="564"/>
      <c r="T494" s="564"/>
      <c r="U494" s="564"/>
      <c r="V494" s="564"/>
      <c r="W494" s="564"/>
      <c r="X494" s="564"/>
      <c r="Y494" s="564"/>
      <c r="Z494" s="564"/>
      <c r="AA494" s="564"/>
      <c r="AB494" s="564"/>
      <c r="AC494" s="564"/>
      <c r="AD494" s="564"/>
      <c r="AE494" s="564"/>
      <c r="AF494" s="564"/>
      <c r="AG494" s="564"/>
      <c r="AH494" s="564"/>
      <c r="AI494" s="564"/>
      <c r="AJ494" s="564"/>
      <c r="AK494" s="564"/>
      <c r="AL494" s="564"/>
      <c r="AM494" s="564"/>
      <c r="AN494" s="564"/>
      <c r="AO494" s="564"/>
    </row>
    <row r="495" spans="2:41" x14ac:dyDescent="0.15">
      <c r="B495" s="565">
        <v>1</v>
      </c>
      <c r="C495" s="564">
        <v>0.16232876712328767</v>
      </c>
      <c r="D495" s="564"/>
      <c r="E495" s="564"/>
      <c r="F495" s="564"/>
      <c r="G495" s="564"/>
      <c r="H495" s="564"/>
      <c r="I495" s="564"/>
      <c r="J495" s="564"/>
      <c r="K495" s="564"/>
      <c r="L495" s="564"/>
      <c r="M495" s="564"/>
      <c r="N495" s="564"/>
      <c r="O495" s="564"/>
      <c r="P495" s="564"/>
      <c r="Q495" s="564"/>
      <c r="R495" s="564"/>
      <c r="S495" s="564"/>
      <c r="T495" s="564"/>
      <c r="U495" s="564"/>
      <c r="V495" s="564"/>
      <c r="W495" s="564"/>
      <c r="X495" s="564"/>
      <c r="Y495" s="564"/>
      <c r="Z495" s="564"/>
      <c r="AA495" s="564"/>
      <c r="AB495" s="564"/>
      <c r="AC495" s="564"/>
      <c r="AD495" s="564"/>
      <c r="AE495" s="564"/>
      <c r="AF495" s="564"/>
      <c r="AG495" s="564"/>
      <c r="AH495" s="564"/>
      <c r="AI495" s="564"/>
      <c r="AJ495" s="564"/>
      <c r="AK495" s="564"/>
      <c r="AL495" s="564"/>
      <c r="AM495" s="564"/>
      <c r="AN495" s="564"/>
      <c r="AO495" s="564"/>
    </row>
    <row r="496" spans="2:41" x14ac:dyDescent="0.15">
      <c r="B496" s="565">
        <v>2</v>
      </c>
      <c r="C496" s="564">
        <v>0.1980593607305936</v>
      </c>
      <c r="D496" s="564"/>
      <c r="E496" s="564"/>
      <c r="F496" s="564"/>
      <c r="G496" s="564"/>
      <c r="H496" s="564"/>
      <c r="I496" s="564"/>
      <c r="J496" s="564"/>
      <c r="K496" s="564"/>
      <c r="L496" s="564"/>
      <c r="M496" s="564"/>
      <c r="N496" s="564"/>
      <c r="O496" s="564"/>
      <c r="P496" s="564"/>
      <c r="Q496" s="564"/>
      <c r="R496" s="564"/>
      <c r="S496" s="564"/>
      <c r="T496" s="564"/>
      <c r="U496" s="564"/>
      <c r="V496" s="564"/>
      <c r="W496" s="564"/>
      <c r="X496" s="564"/>
      <c r="Y496" s="564"/>
      <c r="Z496" s="564"/>
      <c r="AA496" s="564"/>
      <c r="AB496" s="564"/>
      <c r="AC496" s="564"/>
      <c r="AD496" s="564"/>
      <c r="AE496" s="564"/>
      <c r="AF496" s="564"/>
      <c r="AG496" s="564"/>
      <c r="AH496" s="564"/>
      <c r="AI496" s="564"/>
      <c r="AJ496" s="564"/>
      <c r="AK496" s="564"/>
      <c r="AL496" s="564"/>
      <c r="AM496" s="564"/>
      <c r="AN496" s="564"/>
      <c r="AO496" s="564"/>
    </row>
    <row r="497" spans="2:41" x14ac:dyDescent="0.15">
      <c r="B497" s="565">
        <v>3</v>
      </c>
      <c r="C497" s="564">
        <v>0.24200913242009131</v>
      </c>
      <c r="D497" s="564"/>
      <c r="E497" s="564"/>
      <c r="F497" s="564"/>
      <c r="G497" s="564"/>
      <c r="H497" s="564"/>
      <c r="I497" s="564"/>
      <c r="J497" s="564"/>
      <c r="K497" s="564"/>
      <c r="L497" s="564"/>
      <c r="M497" s="564"/>
      <c r="N497" s="564"/>
      <c r="O497" s="564"/>
      <c r="P497" s="564"/>
      <c r="Q497" s="564"/>
      <c r="R497" s="564"/>
      <c r="S497" s="564"/>
      <c r="T497" s="564"/>
      <c r="U497" s="564"/>
      <c r="V497" s="564"/>
      <c r="W497" s="564"/>
      <c r="X497" s="564"/>
      <c r="Y497" s="564"/>
      <c r="Z497" s="564"/>
      <c r="AA497" s="564"/>
      <c r="AB497" s="564"/>
      <c r="AC497" s="564"/>
      <c r="AD497" s="564"/>
      <c r="AE497" s="564"/>
      <c r="AF497" s="564"/>
      <c r="AG497" s="564"/>
      <c r="AH497" s="564"/>
      <c r="AI497" s="564"/>
      <c r="AJ497" s="564"/>
      <c r="AK497" s="564"/>
      <c r="AL497" s="564"/>
      <c r="AM497" s="564"/>
      <c r="AN497" s="564"/>
      <c r="AO497" s="564"/>
    </row>
    <row r="498" spans="2:41" x14ac:dyDescent="0.15">
      <c r="B498" s="565">
        <v>4</v>
      </c>
      <c r="C498" s="564">
        <v>0.29486301369863016</v>
      </c>
      <c r="D498" s="564"/>
      <c r="E498" s="564"/>
      <c r="F498" s="564"/>
      <c r="G498" s="564"/>
      <c r="H498" s="564"/>
      <c r="I498" s="564"/>
      <c r="J498" s="564"/>
      <c r="K498" s="564"/>
      <c r="L498" s="564"/>
      <c r="M498" s="564"/>
      <c r="N498" s="564"/>
      <c r="O498" s="564"/>
      <c r="P498" s="564"/>
      <c r="Q498" s="564"/>
      <c r="R498" s="564"/>
      <c r="S498" s="564"/>
      <c r="T498" s="564"/>
      <c r="U498" s="564"/>
      <c r="V498" s="564"/>
      <c r="W498" s="564"/>
      <c r="X498" s="564"/>
      <c r="Y498" s="564"/>
      <c r="Z498" s="564"/>
      <c r="AA498" s="564"/>
      <c r="AB498" s="564"/>
      <c r="AC498" s="564"/>
      <c r="AD498" s="564"/>
      <c r="AE498" s="564"/>
      <c r="AF498" s="564"/>
      <c r="AG498" s="564"/>
      <c r="AH498" s="564"/>
      <c r="AI498" s="564"/>
      <c r="AJ498" s="564"/>
      <c r="AK498" s="564"/>
      <c r="AL498" s="564"/>
      <c r="AM498" s="564"/>
      <c r="AN498" s="564"/>
      <c r="AO498" s="564"/>
    </row>
    <row r="499" spans="2:41" x14ac:dyDescent="0.15">
      <c r="B499" s="565">
        <v>5</v>
      </c>
      <c r="C499" s="564">
        <v>0.34166666666666667</v>
      </c>
      <c r="D499" s="564"/>
      <c r="E499" s="564"/>
      <c r="F499" s="564"/>
      <c r="G499" s="564"/>
      <c r="H499" s="564"/>
      <c r="I499" s="564"/>
      <c r="J499" s="564"/>
      <c r="K499" s="564"/>
      <c r="L499" s="564"/>
      <c r="M499" s="564"/>
      <c r="N499" s="564"/>
      <c r="O499" s="564"/>
      <c r="P499" s="564"/>
      <c r="Q499" s="564"/>
      <c r="R499" s="564"/>
      <c r="S499" s="564"/>
      <c r="T499" s="564"/>
      <c r="U499" s="564"/>
      <c r="V499" s="564"/>
      <c r="W499" s="564"/>
      <c r="X499" s="564"/>
      <c r="Y499" s="564"/>
      <c r="Z499" s="564"/>
      <c r="AA499" s="564"/>
      <c r="AB499" s="564"/>
      <c r="AC499" s="564"/>
      <c r="AD499" s="564"/>
      <c r="AE499" s="564"/>
      <c r="AF499" s="564"/>
      <c r="AG499" s="564"/>
      <c r="AH499" s="564"/>
      <c r="AI499" s="564"/>
      <c r="AJ499" s="564"/>
      <c r="AK499" s="564"/>
      <c r="AL499" s="564"/>
      <c r="AM499" s="564"/>
      <c r="AN499" s="564"/>
      <c r="AO499" s="564"/>
    </row>
    <row r="500" spans="2:41" x14ac:dyDescent="0.15">
      <c r="B500" s="565">
        <v>6</v>
      </c>
      <c r="C500" s="564">
        <v>0.36552511415525113</v>
      </c>
      <c r="D500" s="564"/>
      <c r="E500" s="564"/>
      <c r="F500" s="564"/>
      <c r="G500" s="564"/>
      <c r="H500" s="564"/>
      <c r="I500" s="564"/>
      <c r="J500" s="564"/>
      <c r="K500" s="564"/>
      <c r="L500" s="564"/>
      <c r="M500" s="564"/>
      <c r="N500" s="564"/>
      <c r="O500" s="564"/>
      <c r="P500" s="564"/>
      <c r="Q500" s="564"/>
      <c r="R500" s="564"/>
      <c r="S500" s="564"/>
      <c r="T500" s="564"/>
      <c r="U500" s="564"/>
      <c r="V500" s="564"/>
      <c r="W500" s="564"/>
      <c r="X500" s="564"/>
      <c r="Y500" s="564"/>
      <c r="Z500" s="564"/>
      <c r="AA500" s="564"/>
      <c r="AB500" s="564"/>
      <c r="AC500" s="564"/>
      <c r="AD500" s="564"/>
      <c r="AE500" s="564"/>
      <c r="AF500" s="564"/>
      <c r="AG500" s="564"/>
      <c r="AH500" s="564"/>
      <c r="AI500" s="564"/>
      <c r="AJ500" s="564"/>
      <c r="AK500" s="564"/>
      <c r="AL500" s="564"/>
      <c r="AM500" s="564"/>
      <c r="AN500" s="564"/>
      <c r="AO500" s="564"/>
    </row>
    <row r="501" spans="2:41" x14ac:dyDescent="0.15">
      <c r="B501" s="565">
        <v>7</v>
      </c>
      <c r="C501" s="564">
        <v>0.41495433789954339</v>
      </c>
      <c r="D501" s="564"/>
      <c r="E501" s="564"/>
      <c r="F501" s="564"/>
      <c r="G501" s="564"/>
      <c r="H501" s="564"/>
      <c r="I501" s="564"/>
      <c r="J501" s="564"/>
      <c r="K501" s="564"/>
      <c r="L501" s="564"/>
      <c r="M501" s="564"/>
      <c r="N501" s="564"/>
      <c r="O501" s="564"/>
      <c r="P501" s="564"/>
      <c r="Q501" s="564"/>
      <c r="R501" s="564"/>
      <c r="S501" s="564"/>
      <c r="T501" s="564"/>
      <c r="U501" s="564"/>
      <c r="V501" s="564"/>
      <c r="W501" s="564"/>
      <c r="X501" s="564"/>
      <c r="Y501" s="564"/>
      <c r="Z501" s="564"/>
      <c r="AA501" s="564"/>
      <c r="AB501" s="564"/>
      <c r="AC501" s="564"/>
      <c r="AD501" s="564"/>
      <c r="AE501" s="564"/>
      <c r="AF501" s="564"/>
      <c r="AG501" s="564"/>
      <c r="AH501" s="564"/>
      <c r="AI501" s="564"/>
      <c r="AJ501" s="564"/>
      <c r="AK501" s="564"/>
      <c r="AL501" s="564"/>
      <c r="AM501" s="564"/>
      <c r="AN501" s="564"/>
      <c r="AO501" s="564"/>
    </row>
    <row r="502" spans="2:41" x14ac:dyDescent="0.15">
      <c r="B502" s="565">
        <v>8</v>
      </c>
      <c r="C502" s="564">
        <v>0.45878995433789954</v>
      </c>
      <c r="D502" s="564"/>
      <c r="E502" s="564"/>
      <c r="F502" s="564"/>
      <c r="G502" s="564"/>
      <c r="H502" s="564"/>
      <c r="I502" s="564"/>
      <c r="J502" s="564"/>
      <c r="K502" s="564"/>
      <c r="L502" s="564"/>
      <c r="M502" s="564"/>
      <c r="N502" s="564"/>
      <c r="O502" s="564"/>
      <c r="P502" s="564"/>
      <c r="Q502" s="564"/>
      <c r="R502" s="564"/>
      <c r="S502" s="564"/>
      <c r="T502" s="564"/>
      <c r="U502" s="564"/>
      <c r="V502" s="564"/>
      <c r="W502" s="564"/>
      <c r="X502" s="564"/>
      <c r="Y502" s="564"/>
      <c r="Z502" s="564"/>
      <c r="AA502" s="564"/>
      <c r="AB502" s="564"/>
      <c r="AC502" s="564"/>
      <c r="AD502" s="564"/>
      <c r="AE502" s="564"/>
      <c r="AF502" s="564"/>
      <c r="AG502" s="564"/>
      <c r="AH502" s="564"/>
      <c r="AI502" s="564"/>
      <c r="AJ502" s="564"/>
      <c r="AK502" s="564"/>
      <c r="AL502" s="564"/>
      <c r="AM502" s="564"/>
      <c r="AN502" s="564"/>
      <c r="AO502" s="564"/>
    </row>
    <row r="503" spans="2:41" x14ac:dyDescent="0.15">
      <c r="B503" s="565">
        <v>9</v>
      </c>
      <c r="C503" s="564">
        <v>0.50376712328767126</v>
      </c>
      <c r="D503" s="564"/>
      <c r="E503" s="564"/>
      <c r="F503" s="564"/>
      <c r="G503" s="564"/>
      <c r="H503" s="564"/>
      <c r="I503" s="564"/>
      <c r="J503" s="564"/>
      <c r="K503" s="564"/>
      <c r="L503" s="564"/>
      <c r="M503" s="564"/>
      <c r="N503" s="564"/>
      <c r="O503" s="564"/>
      <c r="P503" s="564"/>
      <c r="Q503" s="564"/>
      <c r="R503" s="564"/>
      <c r="S503" s="564"/>
      <c r="T503" s="564"/>
      <c r="U503" s="564"/>
      <c r="V503" s="564"/>
      <c r="W503" s="564"/>
      <c r="X503" s="564"/>
      <c r="Y503" s="564"/>
      <c r="Z503" s="564"/>
      <c r="AA503" s="564"/>
      <c r="AB503" s="564"/>
      <c r="AC503" s="564"/>
      <c r="AD503" s="564"/>
      <c r="AE503" s="564"/>
      <c r="AF503" s="564"/>
      <c r="AG503" s="564"/>
      <c r="AH503" s="564"/>
      <c r="AI503" s="564"/>
      <c r="AJ503" s="564"/>
      <c r="AK503" s="564"/>
      <c r="AL503" s="564"/>
      <c r="AM503" s="564"/>
      <c r="AN503" s="564"/>
      <c r="AO503" s="564"/>
    </row>
    <row r="504" spans="2:41" x14ac:dyDescent="0.15">
      <c r="B504" s="565">
        <v>10</v>
      </c>
      <c r="C504" s="564">
        <v>0.54908675799086759</v>
      </c>
      <c r="D504" s="564"/>
      <c r="E504" s="564"/>
      <c r="F504" s="564"/>
      <c r="G504" s="564"/>
      <c r="H504" s="564"/>
      <c r="I504" s="564"/>
      <c r="J504" s="564"/>
      <c r="K504" s="564"/>
      <c r="L504" s="564"/>
      <c r="M504" s="564"/>
      <c r="N504" s="564"/>
      <c r="O504" s="564"/>
      <c r="P504" s="564"/>
      <c r="Q504" s="564"/>
      <c r="R504" s="564"/>
      <c r="S504" s="564"/>
      <c r="T504" s="564"/>
      <c r="U504" s="564"/>
      <c r="V504" s="564"/>
      <c r="W504" s="564"/>
      <c r="X504" s="564"/>
      <c r="Y504" s="564"/>
      <c r="Z504" s="564"/>
      <c r="AA504" s="564"/>
      <c r="AB504" s="564"/>
      <c r="AC504" s="564"/>
      <c r="AD504" s="564"/>
      <c r="AE504" s="564"/>
      <c r="AF504" s="564"/>
      <c r="AG504" s="564"/>
      <c r="AH504" s="564"/>
      <c r="AI504" s="564"/>
      <c r="AJ504" s="564"/>
      <c r="AK504" s="564"/>
      <c r="AL504" s="564"/>
      <c r="AM504" s="564"/>
      <c r="AN504" s="564"/>
      <c r="AO504" s="564"/>
    </row>
    <row r="505" spans="2:41" x14ac:dyDescent="0.15">
      <c r="B505" s="565">
        <v>11</v>
      </c>
      <c r="C505" s="564">
        <v>0.57066210045662102</v>
      </c>
      <c r="D505" s="564"/>
      <c r="E505" s="564"/>
      <c r="F505" s="564"/>
      <c r="G505" s="564"/>
      <c r="H505" s="564"/>
      <c r="I505" s="564"/>
      <c r="J505" s="564"/>
      <c r="K505" s="564"/>
      <c r="L505" s="564"/>
      <c r="M505" s="564"/>
      <c r="N505" s="564"/>
      <c r="O505" s="564"/>
      <c r="P505" s="564"/>
      <c r="Q505" s="564"/>
      <c r="R505" s="564"/>
      <c r="S505" s="564"/>
      <c r="T505" s="564"/>
      <c r="U505" s="564"/>
      <c r="V505" s="564"/>
      <c r="W505" s="564"/>
      <c r="X505" s="564"/>
      <c r="Y505" s="564"/>
      <c r="Z505" s="564"/>
      <c r="AA505" s="564"/>
      <c r="AB505" s="564"/>
      <c r="AC505" s="564"/>
      <c r="AD505" s="564"/>
      <c r="AE505" s="564"/>
      <c r="AF505" s="564"/>
      <c r="AG505" s="564"/>
      <c r="AH505" s="564"/>
      <c r="AI505" s="564"/>
      <c r="AJ505" s="564"/>
      <c r="AK505" s="564"/>
      <c r="AL505" s="564"/>
      <c r="AM505" s="564"/>
      <c r="AN505" s="564"/>
      <c r="AO505" s="564"/>
    </row>
    <row r="506" spans="2:41" x14ac:dyDescent="0.15">
      <c r="B506" s="565">
        <v>12</v>
      </c>
      <c r="C506" s="564">
        <v>0.61963470319634706</v>
      </c>
      <c r="D506" s="564"/>
      <c r="E506" s="564"/>
      <c r="F506" s="564"/>
      <c r="G506" s="564"/>
      <c r="H506" s="564"/>
      <c r="I506" s="564"/>
      <c r="J506" s="564"/>
      <c r="K506" s="564"/>
      <c r="L506" s="564"/>
      <c r="M506" s="564"/>
      <c r="N506" s="564"/>
      <c r="O506" s="564"/>
      <c r="P506" s="564"/>
      <c r="Q506" s="564"/>
      <c r="R506" s="564"/>
      <c r="S506" s="564"/>
      <c r="T506" s="564"/>
      <c r="U506" s="564"/>
      <c r="V506" s="564"/>
      <c r="W506" s="564"/>
      <c r="X506" s="564"/>
      <c r="Y506" s="564"/>
      <c r="Z506" s="564"/>
      <c r="AA506" s="564"/>
      <c r="AB506" s="564"/>
      <c r="AC506" s="564"/>
      <c r="AD506" s="564"/>
      <c r="AE506" s="564"/>
      <c r="AF506" s="564"/>
      <c r="AG506" s="564"/>
      <c r="AH506" s="564"/>
      <c r="AI506" s="564"/>
      <c r="AJ506" s="564"/>
      <c r="AK506" s="564"/>
      <c r="AL506" s="564"/>
      <c r="AM506" s="564"/>
      <c r="AN506" s="564"/>
      <c r="AO506" s="564"/>
    </row>
    <row r="507" spans="2:41" x14ac:dyDescent="0.15">
      <c r="B507" s="565">
        <v>13</v>
      </c>
      <c r="C507" s="564">
        <v>0.67043378995433789</v>
      </c>
      <c r="D507" s="564"/>
      <c r="E507" s="564"/>
      <c r="F507" s="564"/>
      <c r="G507" s="564"/>
      <c r="H507" s="564"/>
      <c r="I507" s="564"/>
      <c r="J507" s="564"/>
      <c r="K507" s="564"/>
      <c r="L507" s="564"/>
      <c r="M507" s="564"/>
      <c r="N507" s="564"/>
      <c r="O507" s="564"/>
      <c r="P507" s="564"/>
      <c r="Q507" s="564"/>
      <c r="R507" s="564"/>
      <c r="S507" s="564"/>
      <c r="T507" s="564"/>
      <c r="U507" s="564"/>
      <c r="V507" s="564"/>
      <c r="W507" s="564"/>
      <c r="X507" s="564"/>
      <c r="Y507" s="564"/>
      <c r="Z507" s="564"/>
      <c r="AA507" s="564"/>
      <c r="AB507" s="564"/>
      <c r="AC507" s="564"/>
      <c r="AD507" s="564"/>
      <c r="AE507" s="564"/>
      <c r="AF507" s="564"/>
      <c r="AG507" s="564"/>
      <c r="AH507" s="564"/>
      <c r="AI507" s="564"/>
      <c r="AJ507" s="564"/>
      <c r="AK507" s="564"/>
      <c r="AL507" s="564"/>
      <c r="AM507" s="564"/>
      <c r="AN507" s="564"/>
      <c r="AO507" s="564"/>
    </row>
    <row r="508" spans="2:41" x14ac:dyDescent="0.15">
      <c r="B508" s="565">
        <v>14</v>
      </c>
      <c r="C508" s="564">
        <v>0.72328767123287674</v>
      </c>
      <c r="D508" s="564"/>
      <c r="E508" s="564"/>
      <c r="F508" s="564"/>
      <c r="G508" s="564"/>
      <c r="H508" s="564"/>
      <c r="I508" s="564"/>
      <c r="J508" s="564"/>
      <c r="K508" s="564"/>
      <c r="L508" s="564"/>
      <c r="M508" s="564"/>
      <c r="N508" s="564"/>
      <c r="O508" s="564"/>
      <c r="P508" s="564"/>
      <c r="Q508" s="564"/>
      <c r="R508" s="564"/>
      <c r="S508" s="564"/>
      <c r="T508" s="564"/>
      <c r="U508" s="564"/>
      <c r="V508" s="564"/>
      <c r="W508" s="564"/>
      <c r="X508" s="564"/>
      <c r="Y508" s="564"/>
      <c r="Z508" s="564"/>
      <c r="AA508" s="564"/>
      <c r="AB508" s="564"/>
      <c r="AC508" s="564"/>
      <c r="AD508" s="564"/>
      <c r="AE508" s="564"/>
      <c r="AF508" s="564"/>
      <c r="AG508" s="564"/>
      <c r="AH508" s="564"/>
      <c r="AI508" s="564"/>
      <c r="AJ508" s="564"/>
      <c r="AK508" s="564"/>
      <c r="AL508" s="564"/>
      <c r="AM508" s="564"/>
      <c r="AN508" s="564"/>
      <c r="AO508" s="564"/>
    </row>
    <row r="509" spans="2:41" x14ac:dyDescent="0.15">
      <c r="B509" s="565">
        <v>15</v>
      </c>
      <c r="C509" s="564">
        <v>0.77203196347031966</v>
      </c>
      <c r="D509" s="564"/>
      <c r="E509" s="564"/>
      <c r="F509" s="564"/>
      <c r="G509" s="564"/>
      <c r="H509" s="564"/>
      <c r="I509" s="564"/>
      <c r="J509" s="564"/>
      <c r="K509" s="564"/>
      <c r="L509" s="564"/>
      <c r="M509" s="564"/>
      <c r="N509" s="564"/>
      <c r="O509" s="564"/>
      <c r="P509" s="564"/>
      <c r="Q509" s="564"/>
      <c r="R509" s="564"/>
      <c r="S509" s="564"/>
      <c r="T509" s="564"/>
      <c r="U509" s="564"/>
      <c r="V509" s="564"/>
      <c r="W509" s="564"/>
      <c r="X509" s="564"/>
      <c r="Y509" s="564"/>
      <c r="Z509" s="564"/>
      <c r="AA509" s="564"/>
      <c r="AB509" s="564"/>
      <c r="AC509" s="564"/>
      <c r="AD509" s="564"/>
      <c r="AE509" s="564"/>
      <c r="AF509" s="564"/>
      <c r="AG509" s="564"/>
      <c r="AH509" s="564"/>
      <c r="AI509" s="564"/>
      <c r="AJ509" s="564"/>
      <c r="AK509" s="564"/>
      <c r="AL509" s="564"/>
      <c r="AM509" s="564"/>
      <c r="AN509" s="564"/>
      <c r="AO509" s="564"/>
    </row>
    <row r="510" spans="2:41" x14ac:dyDescent="0.15">
      <c r="B510" s="565">
        <v>16</v>
      </c>
      <c r="C510" s="564">
        <v>0.79349315068493154</v>
      </c>
      <c r="D510" s="564"/>
      <c r="E510" s="564"/>
      <c r="F510" s="564"/>
      <c r="G510" s="564"/>
      <c r="H510" s="564"/>
      <c r="I510" s="564"/>
      <c r="J510" s="564"/>
      <c r="K510" s="564"/>
      <c r="L510" s="564"/>
      <c r="M510" s="564"/>
      <c r="N510" s="564"/>
      <c r="O510" s="564"/>
      <c r="P510" s="564"/>
      <c r="Q510" s="564"/>
      <c r="R510" s="564"/>
      <c r="S510" s="564"/>
      <c r="T510" s="564"/>
      <c r="U510" s="564"/>
      <c r="V510" s="564"/>
      <c r="W510" s="564"/>
      <c r="X510" s="564"/>
      <c r="Y510" s="564"/>
      <c r="Z510" s="564"/>
      <c r="AA510" s="564"/>
      <c r="AB510" s="564"/>
      <c r="AC510" s="564"/>
      <c r="AD510" s="564"/>
      <c r="AE510" s="564"/>
      <c r="AF510" s="564"/>
      <c r="AG510" s="564"/>
      <c r="AH510" s="564"/>
      <c r="AI510" s="564"/>
      <c r="AJ510" s="564"/>
      <c r="AK510" s="564"/>
      <c r="AL510" s="564"/>
      <c r="AM510" s="564"/>
      <c r="AN510" s="564"/>
      <c r="AO510" s="564"/>
    </row>
    <row r="511" spans="2:41" x14ac:dyDescent="0.15">
      <c r="B511" s="565">
        <v>17</v>
      </c>
      <c r="C511" s="564">
        <v>0.83253424657534247</v>
      </c>
      <c r="D511" s="564"/>
      <c r="E511" s="564"/>
      <c r="F511" s="564"/>
      <c r="G511" s="564"/>
      <c r="H511" s="564"/>
      <c r="I511" s="564"/>
      <c r="J511" s="564"/>
      <c r="K511" s="564"/>
      <c r="L511" s="564"/>
      <c r="M511" s="564"/>
      <c r="N511" s="564"/>
      <c r="O511" s="564"/>
      <c r="P511" s="564"/>
      <c r="Q511" s="564"/>
      <c r="R511" s="564"/>
      <c r="S511" s="564"/>
      <c r="T511" s="564"/>
      <c r="U511" s="564"/>
      <c r="V511" s="564"/>
      <c r="W511" s="564"/>
      <c r="X511" s="564"/>
      <c r="Y511" s="564"/>
      <c r="Z511" s="564"/>
      <c r="AA511" s="564"/>
      <c r="AB511" s="564"/>
      <c r="AC511" s="564"/>
      <c r="AD511" s="564"/>
      <c r="AE511" s="564"/>
      <c r="AF511" s="564"/>
      <c r="AG511" s="564"/>
      <c r="AH511" s="564"/>
      <c r="AI511" s="564"/>
      <c r="AJ511" s="564"/>
      <c r="AK511" s="564"/>
      <c r="AL511" s="564"/>
      <c r="AM511" s="564"/>
      <c r="AN511" s="564"/>
      <c r="AO511" s="564"/>
    </row>
    <row r="512" spans="2:41" x14ac:dyDescent="0.15">
      <c r="B512" s="565">
        <v>18</v>
      </c>
      <c r="C512" s="564">
        <v>0.86906392694063928</v>
      </c>
      <c r="D512" s="564"/>
      <c r="E512" s="564"/>
      <c r="F512" s="564"/>
      <c r="G512" s="564"/>
      <c r="H512" s="564"/>
      <c r="I512" s="564"/>
      <c r="J512" s="564"/>
      <c r="K512" s="564"/>
      <c r="L512" s="564"/>
      <c r="M512" s="564"/>
      <c r="N512" s="564"/>
      <c r="O512" s="564"/>
      <c r="P512" s="564"/>
      <c r="Q512" s="564"/>
      <c r="R512" s="564"/>
      <c r="S512" s="564"/>
      <c r="T512" s="564"/>
      <c r="U512" s="564"/>
      <c r="V512" s="564"/>
      <c r="W512" s="564"/>
      <c r="X512" s="564"/>
      <c r="Y512" s="564"/>
      <c r="Z512" s="564"/>
      <c r="AA512" s="564"/>
      <c r="AB512" s="564"/>
      <c r="AC512" s="564"/>
      <c r="AD512" s="564"/>
      <c r="AE512" s="564"/>
      <c r="AF512" s="564"/>
      <c r="AG512" s="564"/>
      <c r="AH512" s="564"/>
      <c r="AI512" s="564"/>
      <c r="AJ512" s="564"/>
      <c r="AK512" s="564"/>
      <c r="AL512" s="564"/>
      <c r="AM512" s="564"/>
      <c r="AN512" s="564"/>
      <c r="AO512" s="564"/>
    </row>
    <row r="513" spans="2:41" x14ac:dyDescent="0.15">
      <c r="B513" s="565">
        <v>19</v>
      </c>
      <c r="C513" s="564">
        <v>0.9031963470319635</v>
      </c>
      <c r="D513" s="564"/>
      <c r="E513" s="564"/>
      <c r="F513" s="564"/>
      <c r="G513" s="564"/>
      <c r="H513" s="564"/>
      <c r="I513" s="564"/>
      <c r="J513" s="564"/>
      <c r="K513" s="564"/>
      <c r="L513" s="564"/>
      <c r="M513" s="564"/>
      <c r="N513" s="564"/>
      <c r="O513" s="564"/>
      <c r="P513" s="564"/>
      <c r="Q513" s="564"/>
      <c r="R513" s="564"/>
      <c r="S513" s="564"/>
      <c r="T513" s="564"/>
      <c r="U513" s="564"/>
      <c r="V513" s="564"/>
      <c r="W513" s="564"/>
      <c r="X513" s="564"/>
      <c r="Y513" s="564"/>
      <c r="Z513" s="564"/>
      <c r="AA513" s="564"/>
      <c r="AB513" s="564"/>
      <c r="AC513" s="564"/>
      <c r="AD513" s="564"/>
      <c r="AE513" s="564"/>
      <c r="AF513" s="564"/>
      <c r="AG513" s="564"/>
      <c r="AH513" s="564"/>
      <c r="AI513" s="564"/>
      <c r="AJ513" s="564"/>
      <c r="AK513" s="564"/>
      <c r="AL513" s="564"/>
      <c r="AM513" s="564"/>
      <c r="AN513" s="564"/>
      <c r="AO513" s="564"/>
    </row>
    <row r="514" spans="2:41" x14ac:dyDescent="0.15">
      <c r="B514" s="565">
        <v>20</v>
      </c>
      <c r="C514" s="564">
        <v>0.92842465753424652</v>
      </c>
      <c r="D514" s="564"/>
      <c r="E514" s="564"/>
      <c r="F514" s="564"/>
      <c r="G514" s="564"/>
      <c r="H514" s="564"/>
      <c r="I514" s="564"/>
      <c r="J514" s="564"/>
      <c r="K514" s="564"/>
      <c r="L514" s="564"/>
      <c r="M514" s="564"/>
      <c r="N514" s="564"/>
      <c r="O514" s="564"/>
      <c r="P514" s="564"/>
      <c r="Q514" s="564"/>
      <c r="R514" s="564"/>
      <c r="S514" s="564"/>
      <c r="T514" s="564"/>
      <c r="U514" s="564"/>
      <c r="V514" s="564"/>
      <c r="W514" s="564"/>
      <c r="X514" s="564"/>
      <c r="Y514" s="564"/>
      <c r="Z514" s="564"/>
      <c r="AA514" s="564"/>
      <c r="AB514" s="564"/>
      <c r="AC514" s="564"/>
      <c r="AD514" s="564"/>
      <c r="AE514" s="564"/>
      <c r="AF514" s="564"/>
      <c r="AG514" s="564"/>
      <c r="AH514" s="564"/>
      <c r="AI514" s="564"/>
      <c r="AJ514" s="564"/>
      <c r="AK514" s="564"/>
      <c r="AL514" s="564"/>
      <c r="AM514" s="564"/>
      <c r="AN514" s="564"/>
      <c r="AO514" s="564"/>
    </row>
    <row r="515" spans="2:41" x14ac:dyDescent="0.15">
      <c r="B515" s="565">
        <v>21</v>
      </c>
      <c r="C515" s="564">
        <v>0.9397260273972603</v>
      </c>
      <c r="D515" s="564"/>
      <c r="E515" s="564"/>
      <c r="F515" s="564"/>
      <c r="G515" s="564"/>
      <c r="H515" s="564"/>
      <c r="I515" s="564"/>
      <c r="J515" s="564"/>
      <c r="K515" s="564"/>
      <c r="L515" s="564"/>
      <c r="M515" s="564"/>
      <c r="N515" s="564"/>
      <c r="O515" s="564"/>
      <c r="P515" s="564"/>
      <c r="Q515" s="564"/>
      <c r="R515" s="564"/>
      <c r="S515" s="564"/>
      <c r="T515" s="564"/>
      <c r="U515" s="564"/>
      <c r="V515" s="564"/>
      <c r="W515" s="564"/>
      <c r="X515" s="564"/>
      <c r="Y515" s="564"/>
      <c r="Z515" s="564"/>
      <c r="AA515" s="564"/>
      <c r="AB515" s="564"/>
      <c r="AC515" s="564"/>
      <c r="AD515" s="564"/>
      <c r="AE515" s="564"/>
      <c r="AF515" s="564"/>
      <c r="AG515" s="564"/>
      <c r="AH515" s="564"/>
      <c r="AI515" s="564"/>
      <c r="AJ515" s="564"/>
      <c r="AK515" s="564"/>
      <c r="AL515" s="564"/>
      <c r="AM515" s="564"/>
      <c r="AN515" s="564"/>
      <c r="AO515" s="564"/>
    </row>
    <row r="516" spans="2:41" x14ac:dyDescent="0.15">
      <c r="B516" s="565">
        <v>22</v>
      </c>
      <c r="C516" s="564">
        <v>0.95684931506849313</v>
      </c>
      <c r="D516" s="564"/>
      <c r="E516" s="564"/>
      <c r="F516" s="564"/>
      <c r="G516" s="564"/>
      <c r="H516" s="564"/>
      <c r="I516" s="564"/>
      <c r="J516" s="564"/>
      <c r="K516" s="564"/>
      <c r="L516" s="564"/>
      <c r="M516" s="564"/>
      <c r="N516" s="564"/>
      <c r="O516" s="564"/>
      <c r="P516" s="564"/>
      <c r="Q516" s="564"/>
      <c r="R516" s="564"/>
      <c r="S516" s="564"/>
      <c r="T516" s="564"/>
      <c r="U516" s="564"/>
      <c r="V516" s="564"/>
      <c r="W516" s="564"/>
      <c r="X516" s="564"/>
      <c r="Y516" s="564"/>
      <c r="Z516" s="564"/>
      <c r="AA516" s="564"/>
      <c r="AB516" s="564"/>
      <c r="AC516" s="564"/>
      <c r="AD516" s="564"/>
      <c r="AE516" s="564"/>
      <c r="AF516" s="564"/>
      <c r="AG516" s="564"/>
      <c r="AH516" s="564"/>
      <c r="AI516" s="564"/>
      <c r="AJ516" s="564"/>
      <c r="AK516" s="564"/>
      <c r="AL516" s="564"/>
      <c r="AM516" s="564"/>
      <c r="AN516" s="564"/>
      <c r="AO516" s="564"/>
    </row>
    <row r="517" spans="2:41" x14ac:dyDescent="0.15">
      <c r="B517" s="565">
        <v>23</v>
      </c>
      <c r="C517" s="564">
        <v>0.96986301369863015</v>
      </c>
      <c r="D517" s="564"/>
      <c r="E517" s="564"/>
      <c r="F517" s="564"/>
      <c r="G517" s="564"/>
      <c r="H517" s="564"/>
      <c r="I517" s="564"/>
      <c r="J517" s="564"/>
      <c r="K517" s="564"/>
      <c r="L517" s="564"/>
      <c r="M517" s="564"/>
      <c r="N517" s="564"/>
      <c r="O517" s="564"/>
      <c r="P517" s="564"/>
      <c r="Q517" s="564"/>
      <c r="R517" s="564"/>
      <c r="S517" s="564"/>
      <c r="T517" s="564"/>
      <c r="U517" s="564"/>
      <c r="V517" s="564"/>
      <c r="W517" s="564"/>
      <c r="X517" s="564"/>
      <c r="Y517" s="564"/>
      <c r="Z517" s="564"/>
      <c r="AA517" s="564"/>
      <c r="AB517" s="564"/>
      <c r="AC517" s="564"/>
      <c r="AD517" s="564"/>
      <c r="AE517" s="564"/>
      <c r="AF517" s="564"/>
      <c r="AG517" s="564"/>
      <c r="AH517" s="564"/>
      <c r="AI517" s="564"/>
      <c r="AJ517" s="564"/>
      <c r="AK517" s="564"/>
      <c r="AL517" s="564"/>
      <c r="AM517" s="564"/>
      <c r="AN517" s="564"/>
      <c r="AO517" s="564"/>
    </row>
    <row r="518" spans="2:41" x14ac:dyDescent="0.15">
      <c r="B518" s="565">
        <v>24</v>
      </c>
      <c r="C518" s="564">
        <v>0.98036529680365292</v>
      </c>
      <c r="D518" s="564"/>
      <c r="E518" s="564"/>
      <c r="F518" s="564"/>
      <c r="G518" s="564"/>
      <c r="H518" s="564"/>
      <c r="I518" s="564"/>
      <c r="J518" s="564"/>
      <c r="K518" s="564"/>
      <c r="L518" s="564"/>
      <c r="M518" s="564"/>
      <c r="N518" s="564"/>
      <c r="O518" s="564"/>
      <c r="P518" s="564"/>
      <c r="Q518" s="564"/>
      <c r="R518" s="564"/>
      <c r="S518" s="564"/>
      <c r="T518" s="564"/>
      <c r="U518" s="564"/>
      <c r="V518" s="564"/>
      <c r="W518" s="564"/>
      <c r="X518" s="564"/>
      <c r="Y518" s="564"/>
      <c r="Z518" s="564"/>
      <c r="AA518" s="564"/>
      <c r="AB518" s="564"/>
      <c r="AC518" s="564"/>
      <c r="AD518" s="564"/>
      <c r="AE518" s="564"/>
      <c r="AF518" s="564"/>
      <c r="AG518" s="564"/>
      <c r="AH518" s="564"/>
      <c r="AI518" s="564"/>
      <c r="AJ518" s="564"/>
      <c r="AK518" s="564"/>
      <c r="AL518" s="564"/>
      <c r="AM518" s="564"/>
      <c r="AN518" s="564"/>
      <c r="AO518" s="564"/>
    </row>
    <row r="519" spans="2:41" x14ac:dyDescent="0.15">
      <c r="B519" s="565">
        <v>25</v>
      </c>
      <c r="C519" s="564">
        <v>0.98710045662100454</v>
      </c>
      <c r="D519" s="564"/>
      <c r="E519" s="564"/>
      <c r="F519" s="564"/>
      <c r="G519" s="564"/>
      <c r="H519" s="564"/>
      <c r="I519" s="564"/>
      <c r="J519" s="564"/>
      <c r="K519" s="564"/>
      <c r="L519" s="564"/>
      <c r="M519" s="564"/>
      <c r="N519" s="564"/>
      <c r="O519" s="564"/>
      <c r="P519" s="564"/>
      <c r="Q519" s="564"/>
      <c r="R519" s="564"/>
      <c r="S519" s="564"/>
      <c r="T519" s="564"/>
      <c r="U519" s="564"/>
      <c r="V519" s="564"/>
      <c r="W519" s="564"/>
      <c r="X519" s="564"/>
      <c r="Y519" s="564"/>
      <c r="Z519" s="564"/>
      <c r="AA519" s="564"/>
      <c r="AB519" s="564"/>
      <c r="AC519" s="564"/>
      <c r="AD519" s="564"/>
      <c r="AE519" s="564"/>
      <c r="AF519" s="564"/>
      <c r="AG519" s="564"/>
      <c r="AH519" s="564"/>
      <c r="AI519" s="564"/>
      <c r="AJ519" s="564"/>
      <c r="AK519" s="564"/>
      <c r="AL519" s="564"/>
      <c r="AM519" s="564"/>
      <c r="AN519" s="564"/>
      <c r="AO519" s="564"/>
    </row>
    <row r="520" spans="2:41" x14ac:dyDescent="0.15">
      <c r="B520" s="565">
        <v>26</v>
      </c>
      <c r="C520" s="564">
        <v>0.99075342465753424</v>
      </c>
      <c r="D520" s="564"/>
      <c r="E520" s="564"/>
      <c r="F520" s="564"/>
      <c r="G520" s="564"/>
      <c r="H520" s="564"/>
      <c r="I520" s="564"/>
      <c r="J520" s="564"/>
      <c r="K520" s="564"/>
      <c r="L520" s="564"/>
      <c r="M520" s="564"/>
      <c r="N520" s="564"/>
      <c r="O520" s="564"/>
      <c r="P520" s="564"/>
      <c r="Q520" s="564"/>
      <c r="R520" s="564"/>
      <c r="S520" s="564"/>
      <c r="T520" s="564"/>
      <c r="U520" s="564"/>
      <c r="V520" s="564"/>
      <c r="W520" s="564"/>
      <c r="X520" s="564"/>
      <c r="Y520" s="564"/>
      <c r="Z520" s="564"/>
      <c r="AA520" s="564"/>
      <c r="AB520" s="564"/>
      <c r="AC520" s="564"/>
      <c r="AD520" s="564"/>
      <c r="AE520" s="564"/>
      <c r="AF520" s="564"/>
      <c r="AG520" s="564"/>
      <c r="AH520" s="564"/>
      <c r="AI520" s="564"/>
      <c r="AJ520" s="564"/>
      <c r="AK520" s="564"/>
      <c r="AL520" s="564"/>
      <c r="AM520" s="564"/>
      <c r="AN520" s="564"/>
      <c r="AO520" s="564"/>
    </row>
    <row r="521" spans="2:41" x14ac:dyDescent="0.15">
      <c r="B521" s="565">
        <v>27</v>
      </c>
      <c r="C521" s="564">
        <v>0.99429223744292239</v>
      </c>
      <c r="D521" s="564"/>
      <c r="E521" s="564"/>
      <c r="F521" s="564"/>
      <c r="G521" s="564"/>
      <c r="H521" s="564"/>
      <c r="I521" s="564"/>
      <c r="J521" s="564"/>
      <c r="K521" s="564"/>
      <c r="L521" s="564"/>
      <c r="M521" s="564"/>
      <c r="N521" s="564"/>
      <c r="O521" s="564"/>
      <c r="P521" s="564"/>
      <c r="Q521" s="564"/>
      <c r="R521" s="564"/>
      <c r="S521" s="564"/>
      <c r="T521" s="564"/>
      <c r="U521" s="564"/>
      <c r="V521" s="564"/>
      <c r="W521" s="564"/>
      <c r="X521" s="564"/>
      <c r="Y521" s="564"/>
      <c r="Z521" s="564"/>
      <c r="AA521" s="564"/>
      <c r="AB521" s="564"/>
      <c r="AC521" s="564"/>
      <c r="AD521" s="564"/>
      <c r="AE521" s="564"/>
      <c r="AF521" s="564"/>
      <c r="AG521" s="564"/>
      <c r="AH521" s="564"/>
      <c r="AI521" s="564"/>
      <c r="AJ521" s="564"/>
      <c r="AK521" s="564"/>
      <c r="AL521" s="564"/>
      <c r="AM521" s="564"/>
      <c r="AN521" s="564"/>
      <c r="AO521" s="564"/>
    </row>
    <row r="522" spans="2:41" x14ac:dyDescent="0.15">
      <c r="B522" s="565">
        <v>28</v>
      </c>
      <c r="C522" s="564">
        <v>0.99657534246575341</v>
      </c>
      <c r="D522" s="564"/>
      <c r="E522" s="564"/>
      <c r="F522" s="564"/>
      <c r="G522" s="564"/>
      <c r="H522" s="564"/>
      <c r="I522" s="564"/>
      <c r="J522" s="564"/>
      <c r="K522" s="564"/>
      <c r="L522" s="564"/>
      <c r="M522" s="564"/>
      <c r="N522" s="564"/>
      <c r="O522" s="564"/>
      <c r="P522" s="564"/>
      <c r="Q522" s="564"/>
      <c r="R522" s="564"/>
      <c r="S522" s="564"/>
      <c r="T522" s="564"/>
      <c r="U522" s="564"/>
      <c r="V522" s="564"/>
      <c r="W522" s="564"/>
      <c r="X522" s="564"/>
      <c r="Y522" s="564"/>
      <c r="Z522" s="564"/>
      <c r="AA522" s="564"/>
      <c r="AB522" s="564"/>
      <c r="AC522" s="564"/>
      <c r="AD522" s="564"/>
      <c r="AE522" s="564"/>
      <c r="AF522" s="564"/>
      <c r="AG522" s="564"/>
      <c r="AH522" s="564"/>
      <c r="AI522" s="564"/>
      <c r="AJ522" s="564"/>
      <c r="AK522" s="564"/>
      <c r="AL522" s="564"/>
      <c r="AM522" s="564"/>
      <c r="AN522" s="564"/>
      <c r="AO522" s="564"/>
    </row>
    <row r="523" spans="2:41" x14ac:dyDescent="0.15">
      <c r="B523" s="565">
        <v>29</v>
      </c>
      <c r="C523" s="564">
        <v>0.99885844748858443</v>
      </c>
      <c r="D523" s="564"/>
      <c r="E523" s="564"/>
      <c r="F523" s="564"/>
      <c r="G523" s="564"/>
      <c r="H523" s="564"/>
      <c r="I523" s="564"/>
      <c r="J523" s="564"/>
      <c r="K523" s="564"/>
      <c r="L523" s="564"/>
      <c r="M523" s="564"/>
      <c r="N523" s="564"/>
      <c r="O523" s="564"/>
      <c r="P523" s="564"/>
      <c r="Q523" s="564"/>
      <c r="R523" s="564"/>
      <c r="S523" s="564"/>
      <c r="T523" s="564"/>
      <c r="U523" s="564"/>
      <c r="V523" s="564"/>
      <c r="W523" s="564"/>
      <c r="X523" s="564"/>
      <c r="Y523" s="564"/>
      <c r="Z523" s="564"/>
      <c r="AA523" s="564"/>
      <c r="AB523" s="564"/>
      <c r="AC523" s="564"/>
      <c r="AD523" s="564"/>
      <c r="AE523" s="564"/>
      <c r="AF523" s="564"/>
      <c r="AG523" s="564"/>
      <c r="AH523" s="564"/>
      <c r="AI523" s="564"/>
      <c r="AJ523" s="564"/>
      <c r="AK523" s="564"/>
      <c r="AL523" s="564"/>
      <c r="AM523" s="564"/>
      <c r="AN523" s="564"/>
      <c r="AO523" s="564"/>
    </row>
    <row r="524" spans="2:41" x14ac:dyDescent="0.15">
      <c r="B524" s="565">
        <v>30</v>
      </c>
      <c r="C524" s="564">
        <v>0.99988584474885844</v>
      </c>
      <c r="D524" s="564"/>
      <c r="E524" s="564"/>
      <c r="F524" s="564"/>
      <c r="G524" s="564"/>
      <c r="H524" s="564"/>
      <c r="I524" s="564"/>
      <c r="J524" s="564"/>
      <c r="K524" s="564"/>
      <c r="L524" s="564"/>
      <c r="M524" s="564"/>
      <c r="N524" s="564"/>
      <c r="O524" s="564"/>
      <c r="P524" s="564"/>
      <c r="Q524" s="564"/>
      <c r="R524" s="564"/>
      <c r="S524" s="564"/>
      <c r="T524" s="564"/>
      <c r="U524" s="564"/>
      <c r="V524" s="564"/>
      <c r="W524" s="564"/>
      <c r="X524" s="564"/>
      <c r="Y524" s="564"/>
      <c r="Z524" s="564"/>
      <c r="AA524" s="564"/>
      <c r="AB524" s="564"/>
      <c r="AC524" s="564"/>
      <c r="AD524" s="564"/>
      <c r="AE524" s="564"/>
      <c r="AF524" s="564"/>
      <c r="AG524" s="564"/>
      <c r="AH524" s="564"/>
      <c r="AI524" s="564"/>
      <c r="AJ524" s="564"/>
      <c r="AK524" s="564"/>
      <c r="AL524" s="564"/>
      <c r="AM524" s="564"/>
      <c r="AN524" s="564"/>
      <c r="AO524" s="564"/>
    </row>
    <row r="525" spans="2:41" x14ac:dyDescent="0.15">
      <c r="B525" s="565">
        <v>31</v>
      </c>
      <c r="C525" s="564">
        <v>1</v>
      </c>
      <c r="D525" s="564"/>
      <c r="E525" s="564"/>
      <c r="F525" s="564"/>
      <c r="G525" s="564"/>
      <c r="H525" s="564"/>
      <c r="I525" s="564"/>
      <c r="J525" s="564"/>
      <c r="K525" s="564"/>
      <c r="L525" s="564"/>
      <c r="M525" s="564"/>
      <c r="N525" s="564"/>
      <c r="O525" s="564"/>
      <c r="P525" s="564"/>
      <c r="Q525" s="564"/>
      <c r="R525" s="564"/>
      <c r="S525" s="564"/>
      <c r="T525" s="564"/>
      <c r="U525" s="564"/>
      <c r="V525" s="564"/>
      <c r="W525" s="564"/>
      <c r="X525" s="564"/>
      <c r="Y525" s="564"/>
      <c r="Z525" s="564"/>
      <c r="AA525" s="564"/>
      <c r="AB525" s="564"/>
      <c r="AC525" s="564"/>
      <c r="AD525" s="564"/>
      <c r="AE525" s="564"/>
      <c r="AF525" s="564"/>
      <c r="AG525" s="564"/>
      <c r="AH525" s="564"/>
      <c r="AI525" s="564"/>
      <c r="AJ525" s="564"/>
      <c r="AK525" s="564"/>
      <c r="AL525" s="564"/>
      <c r="AM525" s="564"/>
      <c r="AN525" s="564"/>
      <c r="AO525" s="564"/>
    </row>
    <row r="526" spans="2:41" x14ac:dyDescent="0.15">
      <c r="B526" s="565">
        <v>32</v>
      </c>
      <c r="C526" s="564">
        <v>1</v>
      </c>
      <c r="D526" s="564"/>
      <c r="E526" s="564"/>
      <c r="F526" s="564"/>
      <c r="G526" s="564"/>
      <c r="H526" s="564"/>
      <c r="I526" s="564"/>
      <c r="J526" s="564"/>
      <c r="K526" s="564"/>
      <c r="L526" s="564"/>
      <c r="M526" s="564"/>
      <c r="N526" s="564"/>
      <c r="O526" s="564"/>
      <c r="P526" s="564"/>
      <c r="Q526" s="564"/>
      <c r="R526" s="564"/>
      <c r="S526" s="564"/>
      <c r="T526" s="564"/>
      <c r="U526" s="564"/>
      <c r="V526" s="564"/>
      <c r="W526" s="564"/>
      <c r="X526" s="564"/>
      <c r="Y526" s="564"/>
      <c r="Z526" s="564"/>
      <c r="AA526" s="564"/>
      <c r="AB526" s="564"/>
      <c r="AC526" s="564"/>
      <c r="AD526" s="564"/>
      <c r="AE526" s="564"/>
      <c r="AF526" s="564"/>
      <c r="AG526" s="564"/>
      <c r="AH526" s="564"/>
      <c r="AI526" s="564"/>
      <c r="AJ526" s="564"/>
      <c r="AK526" s="564"/>
      <c r="AL526" s="564"/>
      <c r="AM526" s="564"/>
      <c r="AN526" s="564"/>
      <c r="AO526" s="564"/>
    </row>
    <row r="527" spans="2:41" x14ac:dyDescent="0.15">
      <c r="B527" s="565">
        <v>33</v>
      </c>
      <c r="C527" s="564">
        <v>1</v>
      </c>
      <c r="D527" s="564"/>
      <c r="E527" s="564"/>
      <c r="F527" s="564"/>
      <c r="G527" s="564"/>
      <c r="H527" s="564"/>
      <c r="I527" s="564"/>
      <c r="J527" s="564"/>
      <c r="K527" s="564"/>
      <c r="L527" s="564"/>
      <c r="M527" s="564"/>
      <c r="N527" s="564"/>
      <c r="O527" s="564"/>
      <c r="P527" s="564"/>
      <c r="Q527" s="564"/>
      <c r="R527" s="564"/>
      <c r="S527" s="564"/>
      <c r="T527" s="564"/>
      <c r="U527" s="564"/>
      <c r="V527" s="564"/>
      <c r="W527" s="564"/>
      <c r="X527" s="564"/>
      <c r="Y527" s="564"/>
      <c r="Z527" s="564"/>
      <c r="AA527" s="564"/>
      <c r="AB527" s="564"/>
      <c r="AC527" s="564"/>
      <c r="AD527" s="564"/>
      <c r="AE527" s="564"/>
      <c r="AF527" s="564"/>
      <c r="AG527" s="564"/>
      <c r="AH527" s="564"/>
      <c r="AI527" s="564"/>
      <c r="AJ527" s="564"/>
      <c r="AK527" s="564"/>
      <c r="AL527" s="564"/>
      <c r="AM527" s="564"/>
      <c r="AN527" s="564"/>
      <c r="AO527" s="564"/>
    </row>
    <row r="528" spans="2:41" x14ac:dyDescent="0.15">
      <c r="B528" s="565">
        <v>34</v>
      </c>
      <c r="C528" s="564">
        <v>1</v>
      </c>
      <c r="D528" s="564"/>
      <c r="E528" s="564"/>
      <c r="F528" s="564"/>
      <c r="G528" s="564"/>
      <c r="H528" s="564"/>
      <c r="I528" s="564"/>
      <c r="J528" s="564"/>
      <c r="K528" s="564"/>
      <c r="L528" s="564"/>
      <c r="M528" s="564"/>
      <c r="N528" s="564"/>
      <c r="O528" s="564"/>
      <c r="P528" s="564"/>
      <c r="Q528" s="564"/>
      <c r="R528" s="564"/>
      <c r="S528" s="564"/>
      <c r="T528" s="564"/>
      <c r="U528" s="564"/>
      <c r="V528" s="564"/>
      <c r="W528" s="564"/>
      <c r="X528" s="564"/>
      <c r="Y528" s="564"/>
      <c r="Z528" s="564"/>
      <c r="AA528" s="564"/>
      <c r="AB528" s="564"/>
      <c r="AC528" s="564"/>
      <c r="AD528" s="564"/>
      <c r="AE528" s="564"/>
      <c r="AF528" s="564"/>
      <c r="AG528" s="564"/>
      <c r="AH528" s="564"/>
      <c r="AI528" s="564"/>
      <c r="AJ528" s="564"/>
      <c r="AK528" s="564"/>
      <c r="AL528" s="564"/>
      <c r="AM528" s="564"/>
      <c r="AN528" s="564"/>
      <c r="AO528" s="564"/>
    </row>
    <row r="529" spans="2:41" x14ac:dyDescent="0.15">
      <c r="B529" s="565">
        <v>35</v>
      </c>
      <c r="C529" s="564">
        <v>1</v>
      </c>
      <c r="D529" s="564"/>
      <c r="E529" s="564"/>
      <c r="F529" s="564"/>
      <c r="G529" s="564"/>
      <c r="H529" s="564"/>
      <c r="I529" s="564"/>
      <c r="J529" s="564"/>
      <c r="K529" s="564"/>
      <c r="L529" s="564"/>
      <c r="M529" s="564"/>
      <c r="N529" s="564"/>
      <c r="O529" s="564"/>
      <c r="P529" s="564"/>
      <c r="Q529" s="564"/>
      <c r="R529" s="564"/>
      <c r="S529" s="564"/>
      <c r="T529" s="564"/>
      <c r="U529" s="564"/>
      <c r="V529" s="564"/>
      <c r="W529" s="564"/>
      <c r="X529" s="564"/>
      <c r="Y529" s="564"/>
      <c r="Z529" s="564"/>
      <c r="AA529" s="564"/>
      <c r="AB529" s="564"/>
      <c r="AC529" s="564"/>
      <c r="AD529" s="564"/>
      <c r="AE529" s="564"/>
      <c r="AF529" s="564"/>
      <c r="AG529" s="564"/>
      <c r="AH529" s="564"/>
      <c r="AI529" s="564"/>
      <c r="AJ529" s="564"/>
      <c r="AK529" s="564"/>
      <c r="AL529" s="564"/>
      <c r="AM529" s="564"/>
      <c r="AN529" s="564"/>
      <c r="AO529" s="564"/>
    </row>
    <row r="530" spans="2:41" x14ac:dyDescent="0.15">
      <c r="B530" s="565">
        <v>36</v>
      </c>
      <c r="C530" s="564">
        <v>1</v>
      </c>
      <c r="D530" s="564"/>
      <c r="E530" s="564"/>
      <c r="F530" s="564"/>
      <c r="G530" s="564"/>
      <c r="H530" s="564"/>
      <c r="I530" s="564"/>
      <c r="J530" s="564"/>
      <c r="K530" s="564"/>
      <c r="L530" s="564"/>
      <c r="M530" s="564"/>
      <c r="N530" s="564"/>
      <c r="O530" s="564"/>
      <c r="P530" s="564"/>
      <c r="Q530" s="564"/>
      <c r="R530" s="564"/>
      <c r="S530" s="564"/>
      <c r="T530" s="564"/>
      <c r="U530" s="564"/>
      <c r="V530" s="564"/>
      <c r="W530" s="564"/>
      <c r="X530" s="564"/>
      <c r="Y530" s="564"/>
      <c r="Z530" s="564"/>
      <c r="AA530" s="564"/>
      <c r="AB530" s="564"/>
      <c r="AC530" s="564"/>
      <c r="AD530" s="564"/>
      <c r="AE530" s="564"/>
      <c r="AF530" s="564"/>
      <c r="AG530" s="564"/>
      <c r="AH530" s="564"/>
      <c r="AI530" s="564"/>
      <c r="AJ530" s="564"/>
      <c r="AK530" s="564"/>
      <c r="AL530" s="564"/>
      <c r="AM530" s="564"/>
      <c r="AN530" s="564"/>
      <c r="AO530" s="564"/>
    </row>
    <row r="531" spans="2:41" x14ac:dyDescent="0.15">
      <c r="B531" s="565">
        <v>37</v>
      </c>
      <c r="C531" s="564">
        <v>1</v>
      </c>
      <c r="D531" s="564"/>
      <c r="E531" s="564"/>
      <c r="F531" s="564"/>
      <c r="G531" s="564"/>
      <c r="H531" s="564"/>
      <c r="I531" s="564"/>
      <c r="J531" s="564"/>
      <c r="K531" s="564"/>
      <c r="L531" s="564"/>
      <c r="M531" s="564"/>
      <c r="N531" s="564"/>
      <c r="O531" s="564"/>
      <c r="P531" s="564"/>
      <c r="Q531" s="564"/>
      <c r="R531" s="564"/>
      <c r="S531" s="564"/>
      <c r="T531" s="564"/>
      <c r="U531" s="564"/>
      <c r="V531" s="564"/>
      <c r="W531" s="564"/>
      <c r="X531" s="564"/>
      <c r="Y531" s="564"/>
      <c r="Z531" s="564"/>
      <c r="AA531" s="564"/>
      <c r="AB531" s="564"/>
      <c r="AC531" s="564"/>
      <c r="AD531" s="564"/>
      <c r="AE531" s="564"/>
      <c r="AF531" s="564"/>
      <c r="AG531" s="564"/>
      <c r="AH531" s="564"/>
      <c r="AI531" s="564"/>
      <c r="AJ531" s="564"/>
      <c r="AK531" s="564"/>
      <c r="AL531" s="564"/>
      <c r="AM531" s="564"/>
      <c r="AN531" s="564"/>
      <c r="AO531" s="564"/>
    </row>
    <row r="532" spans="2:41" x14ac:dyDescent="0.15">
      <c r="B532" s="565">
        <v>38</v>
      </c>
      <c r="C532" s="564">
        <v>1</v>
      </c>
      <c r="D532" s="564"/>
      <c r="E532" s="564"/>
      <c r="F532" s="564"/>
      <c r="G532" s="564"/>
      <c r="H532" s="564"/>
      <c r="I532" s="564"/>
      <c r="J532" s="564"/>
      <c r="K532" s="564"/>
      <c r="L532" s="564"/>
      <c r="M532" s="564"/>
      <c r="N532" s="564"/>
      <c r="O532" s="564"/>
      <c r="P532" s="564"/>
      <c r="Q532" s="564"/>
      <c r="R532" s="564"/>
      <c r="S532" s="564"/>
      <c r="T532" s="564"/>
      <c r="U532" s="564"/>
      <c r="V532" s="564"/>
      <c r="W532" s="564"/>
      <c r="X532" s="564"/>
      <c r="Y532" s="564"/>
      <c r="Z532" s="564"/>
      <c r="AA532" s="564"/>
      <c r="AB532" s="564"/>
      <c r="AC532" s="564"/>
      <c r="AD532" s="564"/>
      <c r="AE532" s="564"/>
      <c r="AF532" s="564"/>
      <c r="AG532" s="564"/>
      <c r="AH532" s="564"/>
      <c r="AI532" s="564"/>
      <c r="AJ532" s="564"/>
      <c r="AK532" s="564"/>
      <c r="AL532" s="564"/>
      <c r="AM532" s="564"/>
      <c r="AN532" s="564"/>
      <c r="AO532" s="564"/>
    </row>
    <row r="533" spans="2:41" x14ac:dyDescent="0.15">
      <c r="B533" s="565">
        <v>39</v>
      </c>
      <c r="C533" s="564">
        <v>1</v>
      </c>
      <c r="D533" s="564"/>
      <c r="E533" s="564"/>
      <c r="F533" s="564"/>
      <c r="G533" s="564"/>
      <c r="H533" s="564"/>
      <c r="I533" s="564"/>
      <c r="J533" s="564"/>
      <c r="K533" s="564"/>
      <c r="L533" s="564"/>
      <c r="M533" s="564"/>
      <c r="N533" s="564"/>
      <c r="O533" s="564"/>
      <c r="P533" s="564"/>
      <c r="Q533" s="564"/>
      <c r="R533" s="564"/>
      <c r="S533" s="564"/>
      <c r="T533" s="564"/>
      <c r="U533" s="564"/>
      <c r="V533" s="564"/>
      <c r="W533" s="564"/>
      <c r="X533" s="564"/>
      <c r="Y533" s="564"/>
      <c r="Z533" s="564"/>
      <c r="AA533" s="564"/>
      <c r="AB533" s="564"/>
      <c r="AC533" s="564"/>
      <c r="AD533" s="564"/>
      <c r="AE533" s="564"/>
      <c r="AF533" s="564"/>
      <c r="AG533" s="564"/>
      <c r="AH533" s="564"/>
      <c r="AI533" s="564"/>
      <c r="AJ533" s="564"/>
      <c r="AK533" s="564"/>
      <c r="AL533" s="564"/>
      <c r="AM533" s="564"/>
      <c r="AN533" s="564"/>
      <c r="AO533" s="564"/>
    </row>
    <row r="534" spans="2:41" x14ac:dyDescent="0.15">
      <c r="B534" s="566">
        <v>40</v>
      </c>
      <c r="C534" s="564">
        <v>1</v>
      </c>
      <c r="D534" s="564"/>
      <c r="E534" s="564"/>
      <c r="F534" s="564"/>
      <c r="G534" s="564"/>
      <c r="H534" s="564"/>
      <c r="I534" s="564"/>
      <c r="J534" s="564"/>
      <c r="K534" s="564"/>
      <c r="L534" s="564"/>
      <c r="M534" s="564"/>
      <c r="N534" s="564"/>
      <c r="O534" s="564"/>
      <c r="P534" s="564"/>
      <c r="Q534" s="564"/>
      <c r="R534" s="564"/>
      <c r="S534" s="564"/>
      <c r="T534" s="564"/>
      <c r="U534" s="564"/>
      <c r="V534" s="564"/>
      <c r="W534" s="564"/>
      <c r="X534" s="564"/>
      <c r="Y534" s="564"/>
      <c r="Z534" s="564"/>
      <c r="AA534" s="564"/>
      <c r="AB534" s="564"/>
      <c r="AC534" s="564"/>
      <c r="AD534" s="564"/>
      <c r="AE534" s="564"/>
      <c r="AF534" s="564"/>
      <c r="AG534" s="564"/>
      <c r="AH534" s="564"/>
      <c r="AI534" s="564"/>
      <c r="AJ534" s="564"/>
      <c r="AK534" s="564"/>
      <c r="AL534" s="564"/>
      <c r="AM534" s="564"/>
      <c r="AN534" s="564"/>
      <c r="AO534" s="564"/>
    </row>
    <row r="543" spans="2:41" s="561" customFormat="1" ht="28" x14ac:dyDescent="0.15">
      <c r="B543" s="558" t="str" cm="1">
        <f t="array" ref="B543:AO543">TRANSPOSE('Syötä kaupungit KIRJASTOLIN_ENT'!$H$1:$H$40)</f>
        <v>MAA 7</v>
      </c>
      <c r="C543" s="562" t="str">
        <v>POL - Warsaw</v>
      </c>
      <c r="D543" s="562">
        <v>0</v>
      </c>
      <c r="E543" s="562">
        <v>0</v>
      </c>
      <c r="F543" s="562">
        <v>0</v>
      </c>
      <c r="G543" s="562">
        <v>0</v>
      </c>
      <c r="H543" s="562">
        <v>0</v>
      </c>
      <c r="I543" s="562">
        <v>0</v>
      </c>
      <c r="J543" s="562">
        <v>0</v>
      </c>
      <c r="K543" s="562">
        <v>0</v>
      </c>
      <c r="L543" s="562">
        <v>0</v>
      </c>
      <c r="M543" s="562">
        <v>0</v>
      </c>
      <c r="N543" s="562">
        <v>0</v>
      </c>
      <c r="O543" s="562">
        <v>0</v>
      </c>
      <c r="P543" s="562">
        <v>0</v>
      </c>
      <c r="Q543" s="562">
        <v>0</v>
      </c>
      <c r="R543" s="562">
        <v>0</v>
      </c>
      <c r="S543" s="562">
        <v>0</v>
      </c>
      <c r="T543" s="562">
        <v>0</v>
      </c>
      <c r="U543" s="562">
        <v>0</v>
      </c>
      <c r="V543" s="562">
        <v>0</v>
      </c>
      <c r="W543" s="562">
        <v>0</v>
      </c>
      <c r="X543" s="562">
        <v>0</v>
      </c>
      <c r="Y543" s="562">
        <v>0</v>
      </c>
      <c r="Z543" s="562">
        <v>0</v>
      </c>
      <c r="AA543" s="562">
        <v>0</v>
      </c>
      <c r="AB543" s="562">
        <v>0</v>
      </c>
      <c r="AC543" s="562">
        <v>0</v>
      </c>
      <c r="AD543" s="562">
        <v>0</v>
      </c>
      <c r="AE543" s="562">
        <v>0</v>
      </c>
      <c r="AF543" s="562">
        <v>0</v>
      </c>
      <c r="AG543" s="562">
        <v>0</v>
      </c>
      <c r="AH543" s="562">
        <v>0</v>
      </c>
      <c r="AI543" s="562">
        <v>0</v>
      </c>
      <c r="AJ543" s="562">
        <v>0</v>
      </c>
      <c r="AK543" s="562">
        <v>0</v>
      </c>
      <c r="AL543" s="562">
        <v>0</v>
      </c>
      <c r="AM543" s="562">
        <v>0</v>
      </c>
      <c r="AN543" s="562">
        <v>0</v>
      </c>
      <c r="AO543" s="562">
        <v>0</v>
      </c>
    </row>
    <row r="544" spans="2:41" x14ac:dyDescent="0.15">
      <c r="B544" s="563">
        <v>-40</v>
      </c>
      <c r="C544" s="564">
        <v>0</v>
      </c>
      <c r="D544" s="564"/>
      <c r="E544" s="564"/>
      <c r="F544" s="564"/>
      <c r="G544" s="564"/>
      <c r="H544" s="564"/>
      <c r="I544" s="564"/>
      <c r="J544" s="564"/>
      <c r="K544" s="564"/>
      <c r="L544" s="564"/>
      <c r="M544" s="564"/>
      <c r="N544" s="564"/>
      <c r="O544" s="564"/>
      <c r="P544" s="564"/>
      <c r="Q544" s="564"/>
      <c r="R544" s="564"/>
      <c r="S544" s="564"/>
      <c r="T544" s="564"/>
      <c r="U544" s="564"/>
      <c r="V544" s="564"/>
      <c r="W544" s="564"/>
      <c r="X544" s="564"/>
      <c r="Y544" s="564"/>
      <c r="Z544" s="564"/>
      <c r="AA544" s="564"/>
      <c r="AB544" s="564"/>
      <c r="AC544" s="564"/>
      <c r="AD544" s="564"/>
      <c r="AE544" s="564"/>
      <c r="AF544" s="564"/>
      <c r="AG544" s="564"/>
      <c r="AH544" s="564"/>
      <c r="AI544" s="564"/>
      <c r="AJ544" s="564"/>
      <c r="AK544" s="564"/>
      <c r="AL544" s="564"/>
      <c r="AM544" s="564"/>
      <c r="AN544" s="564"/>
      <c r="AO544" s="564"/>
    </row>
    <row r="545" spans="2:41" x14ac:dyDescent="0.15">
      <c r="B545" s="565">
        <v>-39</v>
      </c>
      <c r="C545" s="564">
        <v>0</v>
      </c>
      <c r="D545" s="564"/>
      <c r="E545" s="564"/>
      <c r="F545" s="564"/>
      <c r="G545" s="564"/>
      <c r="H545" s="564"/>
      <c r="I545" s="564"/>
      <c r="J545" s="564"/>
      <c r="K545" s="564"/>
      <c r="L545" s="564"/>
      <c r="M545" s="564"/>
      <c r="N545" s="564"/>
      <c r="O545" s="564"/>
      <c r="P545" s="564"/>
      <c r="Q545" s="564"/>
      <c r="R545" s="564"/>
      <c r="S545" s="564"/>
      <c r="T545" s="564"/>
      <c r="U545" s="564"/>
      <c r="V545" s="564"/>
      <c r="W545" s="564"/>
      <c r="X545" s="564"/>
      <c r="Y545" s="564"/>
      <c r="Z545" s="564"/>
      <c r="AA545" s="564"/>
      <c r="AB545" s="564"/>
      <c r="AC545" s="564"/>
      <c r="AD545" s="564"/>
      <c r="AE545" s="564"/>
      <c r="AF545" s="564"/>
      <c r="AG545" s="564"/>
      <c r="AH545" s="564"/>
      <c r="AI545" s="564"/>
      <c r="AJ545" s="564"/>
      <c r="AK545" s="564"/>
      <c r="AL545" s="564"/>
      <c r="AM545" s="564"/>
      <c r="AN545" s="564"/>
      <c r="AO545" s="564"/>
    </row>
    <row r="546" spans="2:41" x14ac:dyDescent="0.15">
      <c r="B546" s="565">
        <v>-38</v>
      </c>
      <c r="C546" s="564">
        <v>0</v>
      </c>
      <c r="D546" s="564"/>
      <c r="E546" s="564"/>
      <c r="F546" s="564"/>
      <c r="G546" s="564"/>
      <c r="H546" s="564"/>
      <c r="I546" s="564"/>
      <c r="J546" s="564"/>
      <c r="K546" s="564"/>
      <c r="L546" s="564"/>
      <c r="M546" s="564"/>
      <c r="N546" s="564"/>
      <c r="O546" s="564"/>
      <c r="P546" s="564"/>
      <c r="Q546" s="564"/>
      <c r="R546" s="564"/>
      <c r="S546" s="564"/>
      <c r="T546" s="564"/>
      <c r="U546" s="564"/>
      <c r="V546" s="564"/>
      <c r="W546" s="564"/>
      <c r="X546" s="564"/>
      <c r="Y546" s="564"/>
      <c r="Z546" s="564"/>
      <c r="AA546" s="564"/>
      <c r="AB546" s="564"/>
      <c r="AC546" s="564"/>
      <c r="AD546" s="564"/>
      <c r="AE546" s="564"/>
      <c r="AF546" s="564"/>
      <c r="AG546" s="564"/>
      <c r="AH546" s="564"/>
      <c r="AI546" s="564"/>
      <c r="AJ546" s="564"/>
      <c r="AK546" s="564"/>
      <c r="AL546" s="564"/>
      <c r="AM546" s="564"/>
      <c r="AN546" s="564"/>
      <c r="AO546" s="564"/>
    </row>
    <row r="547" spans="2:41" x14ac:dyDescent="0.15">
      <c r="B547" s="565">
        <v>-37</v>
      </c>
      <c r="C547" s="564">
        <v>0</v>
      </c>
      <c r="D547" s="564"/>
      <c r="E547" s="564"/>
      <c r="F547" s="564"/>
      <c r="G547" s="564"/>
      <c r="H547" s="564"/>
      <c r="I547" s="564"/>
      <c r="J547" s="564"/>
      <c r="K547" s="564"/>
      <c r="L547" s="564"/>
      <c r="M547" s="564"/>
      <c r="N547" s="564"/>
      <c r="O547" s="564"/>
      <c r="P547" s="564"/>
      <c r="Q547" s="564"/>
      <c r="R547" s="564"/>
      <c r="S547" s="564"/>
      <c r="T547" s="564"/>
      <c r="U547" s="564"/>
      <c r="V547" s="564"/>
      <c r="W547" s="564"/>
      <c r="X547" s="564"/>
      <c r="Y547" s="564"/>
      <c r="Z547" s="564"/>
      <c r="AA547" s="564"/>
      <c r="AB547" s="564"/>
      <c r="AC547" s="564"/>
      <c r="AD547" s="564"/>
      <c r="AE547" s="564"/>
      <c r="AF547" s="564"/>
      <c r="AG547" s="564"/>
      <c r="AH547" s="564"/>
      <c r="AI547" s="564"/>
      <c r="AJ547" s="564"/>
      <c r="AK547" s="564"/>
      <c r="AL547" s="564"/>
      <c r="AM547" s="564"/>
      <c r="AN547" s="564"/>
      <c r="AO547" s="564"/>
    </row>
    <row r="548" spans="2:41" x14ac:dyDescent="0.15">
      <c r="B548" s="565">
        <v>-36</v>
      </c>
      <c r="C548" s="564">
        <v>0</v>
      </c>
      <c r="D548" s="564"/>
      <c r="E548" s="564"/>
      <c r="F548" s="564"/>
      <c r="G548" s="564"/>
      <c r="H548" s="564"/>
      <c r="I548" s="564"/>
      <c r="J548" s="564"/>
      <c r="K548" s="564"/>
      <c r="L548" s="564"/>
      <c r="M548" s="564"/>
      <c r="N548" s="564"/>
      <c r="O548" s="564"/>
      <c r="P548" s="564"/>
      <c r="Q548" s="564"/>
      <c r="R548" s="564"/>
      <c r="S548" s="564"/>
      <c r="T548" s="564"/>
      <c r="U548" s="564"/>
      <c r="V548" s="564"/>
      <c r="W548" s="564"/>
      <c r="X548" s="564"/>
      <c r="Y548" s="564"/>
      <c r="Z548" s="564"/>
      <c r="AA548" s="564"/>
      <c r="AB548" s="564"/>
      <c r="AC548" s="564"/>
      <c r="AD548" s="564"/>
      <c r="AE548" s="564"/>
      <c r="AF548" s="564"/>
      <c r="AG548" s="564"/>
      <c r="AH548" s="564"/>
      <c r="AI548" s="564"/>
      <c r="AJ548" s="564"/>
      <c r="AK548" s="564"/>
      <c r="AL548" s="564"/>
      <c r="AM548" s="564"/>
      <c r="AN548" s="564"/>
      <c r="AO548" s="564"/>
    </row>
    <row r="549" spans="2:41" x14ac:dyDescent="0.15">
      <c r="B549" s="565">
        <v>-35</v>
      </c>
      <c r="C549" s="564">
        <v>0</v>
      </c>
      <c r="D549" s="564"/>
      <c r="E549" s="564"/>
      <c r="F549" s="564"/>
      <c r="G549" s="564"/>
      <c r="H549" s="564"/>
      <c r="I549" s="564"/>
      <c r="J549" s="564"/>
      <c r="K549" s="564"/>
      <c r="L549" s="564"/>
      <c r="M549" s="564"/>
      <c r="N549" s="564"/>
      <c r="O549" s="564"/>
      <c r="P549" s="564"/>
      <c r="Q549" s="564"/>
      <c r="R549" s="564"/>
      <c r="S549" s="564"/>
      <c r="T549" s="564"/>
      <c r="U549" s="564"/>
      <c r="V549" s="564"/>
      <c r="W549" s="564"/>
      <c r="X549" s="564"/>
      <c r="Y549" s="564"/>
      <c r="Z549" s="564"/>
      <c r="AA549" s="564"/>
      <c r="AB549" s="564"/>
      <c r="AC549" s="564"/>
      <c r="AD549" s="564"/>
      <c r="AE549" s="564"/>
      <c r="AF549" s="564"/>
      <c r="AG549" s="564"/>
      <c r="AH549" s="564"/>
      <c r="AI549" s="564"/>
      <c r="AJ549" s="564"/>
      <c r="AK549" s="564"/>
      <c r="AL549" s="564"/>
      <c r="AM549" s="564"/>
      <c r="AN549" s="564"/>
      <c r="AO549" s="564"/>
    </row>
    <row r="550" spans="2:41" x14ac:dyDescent="0.15">
      <c r="B550" s="565">
        <v>-34</v>
      </c>
      <c r="C550" s="564">
        <v>0</v>
      </c>
      <c r="D550" s="564"/>
      <c r="E550" s="564"/>
      <c r="F550" s="564"/>
      <c r="G550" s="564"/>
      <c r="H550" s="564"/>
      <c r="I550" s="564"/>
      <c r="J550" s="564"/>
      <c r="K550" s="564"/>
      <c r="L550" s="564"/>
      <c r="M550" s="564"/>
      <c r="N550" s="564"/>
      <c r="O550" s="564"/>
      <c r="P550" s="564"/>
      <c r="Q550" s="564"/>
      <c r="R550" s="564"/>
      <c r="S550" s="564"/>
      <c r="T550" s="564"/>
      <c r="U550" s="564"/>
      <c r="V550" s="564"/>
      <c r="W550" s="564"/>
      <c r="X550" s="564"/>
      <c r="Y550" s="564"/>
      <c r="Z550" s="564"/>
      <c r="AA550" s="564"/>
      <c r="AB550" s="564"/>
      <c r="AC550" s="564"/>
      <c r="AD550" s="564"/>
      <c r="AE550" s="564"/>
      <c r="AF550" s="564"/>
      <c r="AG550" s="564"/>
      <c r="AH550" s="564"/>
      <c r="AI550" s="564"/>
      <c r="AJ550" s="564"/>
      <c r="AK550" s="564"/>
      <c r="AL550" s="564"/>
      <c r="AM550" s="564"/>
      <c r="AN550" s="564"/>
      <c r="AO550" s="564"/>
    </row>
    <row r="551" spans="2:41" x14ac:dyDescent="0.15">
      <c r="B551" s="565">
        <v>-33</v>
      </c>
      <c r="C551" s="564">
        <v>0</v>
      </c>
      <c r="D551" s="564"/>
      <c r="E551" s="564"/>
      <c r="F551" s="564"/>
      <c r="G551" s="564"/>
      <c r="H551" s="564"/>
      <c r="I551" s="564"/>
      <c r="J551" s="564"/>
      <c r="K551" s="564"/>
      <c r="L551" s="564"/>
      <c r="M551" s="564"/>
      <c r="N551" s="564"/>
      <c r="O551" s="564"/>
      <c r="P551" s="564"/>
      <c r="Q551" s="564"/>
      <c r="R551" s="564"/>
      <c r="S551" s="564"/>
      <c r="T551" s="564"/>
      <c r="U551" s="564"/>
      <c r="V551" s="564"/>
      <c r="W551" s="564"/>
      <c r="X551" s="564"/>
      <c r="Y551" s="564"/>
      <c r="Z551" s="564"/>
      <c r="AA551" s="564"/>
      <c r="AB551" s="564"/>
      <c r="AC551" s="564"/>
      <c r="AD551" s="564"/>
      <c r="AE551" s="564"/>
      <c r="AF551" s="564"/>
      <c r="AG551" s="564"/>
      <c r="AH551" s="564"/>
      <c r="AI551" s="564"/>
      <c r="AJ551" s="564"/>
      <c r="AK551" s="564"/>
      <c r="AL551" s="564"/>
      <c r="AM551" s="564"/>
      <c r="AN551" s="564"/>
      <c r="AO551" s="564"/>
    </row>
    <row r="552" spans="2:41" x14ac:dyDescent="0.15">
      <c r="B552" s="565">
        <v>-32</v>
      </c>
      <c r="C552" s="564">
        <v>0</v>
      </c>
      <c r="D552" s="564"/>
      <c r="E552" s="564"/>
      <c r="F552" s="564"/>
      <c r="G552" s="564"/>
      <c r="H552" s="564"/>
      <c r="I552" s="564"/>
      <c r="J552" s="564"/>
      <c r="K552" s="564"/>
      <c r="L552" s="564"/>
      <c r="M552" s="564"/>
      <c r="N552" s="564"/>
      <c r="O552" s="564"/>
      <c r="P552" s="564"/>
      <c r="Q552" s="564"/>
      <c r="R552" s="564"/>
      <c r="S552" s="564"/>
      <c r="T552" s="564"/>
      <c r="U552" s="564"/>
      <c r="V552" s="564"/>
      <c r="W552" s="564"/>
      <c r="X552" s="564"/>
      <c r="Y552" s="564"/>
      <c r="Z552" s="564"/>
      <c r="AA552" s="564"/>
      <c r="AB552" s="564"/>
      <c r="AC552" s="564"/>
      <c r="AD552" s="564"/>
      <c r="AE552" s="564"/>
      <c r="AF552" s="564"/>
      <c r="AG552" s="564"/>
      <c r="AH552" s="564"/>
      <c r="AI552" s="564"/>
      <c r="AJ552" s="564"/>
      <c r="AK552" s="564"/>
      <c r="AL552" s="564"/>
      <c r="AM552" s="564"/>
      <c r="AN552" s="564"/>
      <c r="AO552" s="564"/>
    </row>
    <row r="553" spans="2:41" x14ac:dyDescent="0.15">
      <c r="B553" s="565">
        <v>-31</v>
      </c>
      <c r="C553" s="564">
        <v>0</v>
      </c>
      <c r="D553" s="564"/>
      <c r="E553" s="564"/>
      <c r="F553" s="564"/>
      <c r="G553" s="564"/>
      <c r="H553" s="564"/>
      <c r="I553" s="564"/>
      <c r="J553" s="564"/>
      <c r="K553" s="564"/>
      <c r="L553" s="564"/>
      <c r="M553" s="564"/>
      <c r="N553" s="564"/>
      <c r="O553" s="564"/>
      <c r="P553" s="564"/>
      <c r="Q553" s="564"/>
      <c r="R553" s="564"/>
      <c r="S553" s="564"/>
      <c r="T553" s="564"/>
      <c r="U553" s="564"/>
      <c r="V553" s="564"/>
      <c r="W553" s="564"/>
      <c r="X553" s="564"/>
      <c r="Y553" s="564"/>
      <c r="Z553" s="564"/>
      <c r="AA553" s="564"/>
      <c r="AB553" s="564"/>
      <c r="AC553" s="564"/>
      <c r="AD553" s="564"/>
      <c r="AE553" s="564"/>
      <c r="AF553" s="564"/>
      <c r="AG553" s="564"/>
      <c r="AH553" s="564"/>
      <c r="AI553" s="564"/>
      <c r="AJ553" s="564"/>
      <c r="AK553" s="564"/>
      <c r="AL553" s="564"/>
      <c r="AM553" s="564"/>
      <c r="AN553" s="564"/>
      <c r="AO553" s="564"/>
    </row>
    <row r="554" spans="2:41" x14ac:dyDescent="0.15">
      <c r="B554" s="565">
        <v>-30</v>
      </c>
      <c r="C554" s="564">
        <v>0</v>
      </c>
      <c r="D554" s="564"/>
      <c r="E554" s="564"/>
      <c r="F554" s="564"/>
      <c r="G554" s="564"/>
      <c r="H554" s="564"/>
      <c r="I554" s="564"/>
      <c r="J554" s="564"/>
      <c r="K554" s="564"/>
      <c r="L554" s="564"/>
      <c r="M554" s="564"/>
      <c r="N554" s="564"/>
      <c r="O554" s="564"/>
      <c r="P554" s="564"/>
      <c r="Q554" s="564"/>
      <c r="R554" s="564"/>
      <c r="S554" s="564"/>
      <c r="T554" s="564"/>
      <c r="U554" s="564"/>
      <c r="V554" s="564"/>
      <c r="W554" s="564"/>
      <c r="X554" s="564"/>
      <c r="Y554" s="564"/>
      <c r="Z554" s="564"/>
      <c r="AA554" s="564"/>
      <c r="AB554" s="564"/>
      <c r="AC554" s="564"/>
      <c r="AD554" s="564"/>
      <c r="AE554" s="564"/>
      <c r="AF554" s="564"/>
      <c r="AG554" s="564"/>
      <c r="AH554" s="564"/>
      <c r="AI554" s="564"/>
      <c r="AJ554" s="564"/>
      <c r="AK554" s="564"/>
      <c r="AL554" s="564"/>
      <c r="AM554" s="564"/>
      <c r="AN554" s="564"/>
      <c r="AO554" s="564"/>
    </row>
    <row r="555" spans="2:41" x14ac:dyDescent="0.15">
      <c r="B555" s="565">
        <v>-29</v>
      </c>
      <c r="C555" s="564">
        <v>0</v>
      </c>
      <c r="D555" s="564"/>
      <c r="E555" s="564"/>
      <c r="F555" s="564"/>
      <c r="G555" s="564"/>
      <c r="H555" s="564"/>
      <c r="I555" s="564"/>
      <c r="J555" s="564"/>
      <c r="K555" s="564"/>
      <c r="L555" s="564"/>
      <c r="M555" s="564"/>
      <c r="N555" s="564"/>
      <c r="O555" s="564"/>
      <c r="P555" s="564"/>
      <c r="Q555" s="564"/>
      <c r="R555" s="564"/>
      <c r="S555" s="564"/>
      <c r="T555" s="564"/>
      <c r="U555" s="564"/>
      <c r="V555" s="564"/>
      <c r="W555" s="564"/>
      <c r="X555" s="564"/>
      <c r="Y555" s="564"/>
      <c r="Z555" s="564"/>
      <c r="AA555" s="564"/>
      <c r="AB555" s="564"/>
      <c r="AC555" s="564"/>
      <c r="AD555" s="564"/>
      <c r="AE555" s="564"/>
      <c r="AF555" s="564"/>
      <c r="AG555" s="564"/>
      <c r="AH555" s="564"/>
      <c r="AI555" s="564"/>
      <c r="AJ555" s="564"/>
      <c r="AK555" s="564"/>
      <c r="AL555" s="564"/>
      <c r="AM555" s="564"/>
      <c r="AN555" s="564"/>
      <c r="AO555" s="564"/>
    </row>
    <row r="556" spans="2:41" x14ac:dyDescent="0.15">
      <c r="B556" s="565">
        <v>-28</v>
      </c>
      <c r="C556" s="564">
        <v>0</v>
      </c>
      <c r="D556" s="564"/>
      <c r="E556" s="564"/>
      <c r="F556" s="564"/>
      <c r="G556" s="564"/>
      <c r="H556" s="564"/>
      <c r="I556" s="564"/>
      <c r="J556" s="564"/>
      <c r="K556" s="564"/>
      <c r="L556" s="564"/>
      <c r="M556" s="564"/>
      <c r="N556" s="564"/>
      <c r="O556" s="564"/>
      <c r="P556" s="564"/>
      <c r="Q556" s="564"/>
      <c r="R556" s="564"/>
      <c r="S556" s="564"/>
      <c r="T556" s="564"/>
      <c r="U556" s="564"/>
      <c r="V556" s="564"/>
      <c r="W556" s="564"/>
      <c r="X556" s="564"/>
      <c r="Y556" s="564"/>
      <c r="Z556" s="564"/>
      <c r="AA556" s="564"/>
      <c r="AB556" s="564"/>
      <c r="AC556" s="564"/>
      <c r="AD556" s="564"/>
      <c r="AE556" s="564"/>
      <c r="AF556" s="564"/>
      <c r="AG556" s="564"/>
      <c r="AH556" s="564"/>
      <c r="AI556" s="564"/>
      <c r="AJ556" s="564"/>
      <c r="AK556" s="564"/>
      <c r="AL556" s="564"/>
      <c r="AM556" s="564"/>
      <c r="AN556" s="564"/>
      <c r="AO556" s="564"/>
    </row>
    <row r="557" spans="2:41" x14ac:dyDescent="0.15">
      <c r="B557" s="565">
        <v>-27</v>
      </c>
      <c r="C557" s="564">
        <v>0</v>
      </c>
      <c r="D557" s="564"/>
      <c r="E557" s="564"/>
      <c r="F557" s="564"/>
      <c r="G557" s="564"/>
      <c r="H557" s="564"/>
      <c r="I557" s="564"/>
      <c r="J557" s="564"/>
      <c r="K557" s="564"/>
      <c r="L557" s="564"/>
      <c r="M557" s="564"/>
      <c r="N557" s="564"/>
      <c r="O557" s="564"/>
      <c r="P557" s="564"/>
      <c r="Q557" s="564"/>
      <c r="R557" s="564"/>
      <c r="S557" s="564"/>
      <c r="T557" s="564"/>
      <c r="U557" s="564"/>
      <c r="V557" s="564"/>
      <c r="W557" s="564"/>
      <c r="X557" s="564"/>
      <c r="Y557" s="564"/>
      <c r="Z557" s="564"/>
      <c r="AA557" s="564"/>
      <c r="AB557" s="564"/>
      <c r="AC557" s="564"/>
      <c r="AD557" s="564"/>
      <c r="AE557" s="564"/>
      <c r="AF557" s="564"/>
      <c r="AG557" s="564"/>
      <c r="AH557" s="564"/>
      <c r="AI557" s="564"/>
      <c r="AJ557" s="564"/>
      <c r="AK557" s="564"/>
      <c r="AL557" s="564"/>
      <c r="AM557" s="564"/>
      <c r="AN557" s="564"/>
      <c r="AO557" s="564"/>
    </row>
    <row r="558" spans="2:41" x14ac:dyDescent="0.15">
      <c r="B558" s="565">
        <v>-26</v>
      </c>
      <c r="C558" s="564">
        <v>0</v>
      </c>
      <c r="D558" s="564"/>
      <c r="E558" s="564"/>
      <c r="F558" s="564"/>
      <c r="G558" s="564"/>
      <c r="H558" s="564"/>
      <c r="I558" s="564"/>
      <c r="J558" s="564"/>
      <c r="K558" s="564"/>
      <c r="L558" s="564"/>
      <c r="M558" s="564"/>
      <c r="N558" s="564"/>
      <c r="O558" s="564"/>
      <c r="P558" s="564"/>
      <c r="Q558" s="564"/>
      <c r="R558" s="564"/>
      <c r="S558" s="564"/>
      <c r="T558" s="564"/>
      <c r="U558" s="564"/>
      <c r="V558" s="564"/>
      <c r="W558" s="564"/>
      <c r="X558" s="564"/>
      <c r="Y558" s="564"/>
      <c r="Z558" s="564"/>
      <c r="AA558" s="564"/>
      <c r="AB558" s="564"/>
      <c r="AC558" s="564"/>
      <c r="AD558" s="564"/>
      <c r="AE558" s="564"/>
      <c r="AF558" s="564"/>
      <c r="AG558" s="564"/>
      <c r="AH558" s="564"/>
      <c r="AI558" s="564"/>
      <c r="AJ558" s="564"/>
      <c r="AK558" s="564"/>
      <c r="AL558" s="564"/>
      <c r="AM558" s="564"/>
      <c r="AN558" s="564"/>
      <c r="AO558" s="564"/>
    </row>
    <row r="559" spans="2:41" x14ac:dyDescent="0.15">
      <c r="B559" s="565">
        <v>-25</v>
      </c>
      <c r="C559" s="564">
        <v>0</v>
      </c>
      <c r="D559" s="564"/>
      <c r="E559" s="564"/>
      <c r="F559" s="564"/>
      <c r="G559" s="564"/>
      <c r="H559" s="564"/>
      <c r="I559" s="564"/>
      <c r="J559" s="564"/>
      <c r="K559" s="564"/>
      <c r="L559" s="564"/>
      <c r="M559" s="564"/>
      <c r="N559" s="564"/>
      <c r="O559" s="564"/>
      <c r="P559" s="564"/>
      <c r="Q559" s="564"/>
      <c r="R559" s="564"/>
      <c r="S559" s="564"/>
      <c r="T559" s="564"/>
      <c r="U559" s="564"/>
      <c r="V559" s="564"/>
      <c r="W559" s="564"/>
      <c r="X559" s="564"/>
      <c r="Y559" s="564"/>
      <c r="Z559" s="564"/>
      <c r="AA559" s="564"/>
      <c r="AB559" s="564"/>
      <c r="AC559" s="564"/>
      <c r="AD559" s="564"/>
      <c r="AE559" s="564"/>
      <c r="AF559" s="564"/>
      <c r="AG559" s="564"/>
      <c r="AH559" s="564"/>
      <c r="AI559" s="564"/>
      <c r="AJ559" s="564"/>
      <c r="AK559" s="564"/>
      <c r="AL559" s="564"/>
      <c r="AM559" s="564"/>
      <c r="AN559" s="564"/>
      <c r="AO559" s="564"/>
    </row>
    <row r="560" spans="2:41" x14ac:dyDescent="0.15">
      <c r="B560" s="565">
        <v>-24</v>
      </c>
      <c r="C560" s="564">
        <v>0</v>
      </c>
      <c r="D560" s="564"/>
      <c r="E560" s="564"/>
      <c r="F560" s="564"/>
      <c r="G560" s="564"/>
      <c r="H560" s="564"/>
      <c r="I560" s="564"/>
      <c r="J560" s="564"/>
      <c r="K560" s="564"/>
      <c r="L560" s="564"/>
      <c r="M560" s="564"/>
      <c r="N560" s="564"/>
      <c r="O560" s="564"/>
      <c r="P560" s="564"/>
      <c r="Q560" s="564"/>
      <c r="R560" s="564"/>
      <c r="S560" s="564"/>
      <c r="T560" s="564"/>
      <c r="U560" s="564"/>
      <c r="V560" s="564"/>
      <c r="W560" s="564"/>
      <c r="X560" s="564"/>
      <c r="Y560" s="564"/>
      <c r="Z560" s="564"/>
      <c r="AA560" s="564"/>
      <c r="AB560" s="564"/>
      <c r="AC560" s="564"/>
      <c r="AD560" s="564"/>
      <c r="AE560" s="564"/>
      <c r="AF560" s="564"/>
      <c r="AG560" s="564"/>
      <c r="AH560" s="564"/>
      <c r="AI560" s="564"/>
      <c r="AJ560" s="564"/>
      <c r="AK560" s="564"/>
      <c r="AL560" s="564"/>
      <c r="AM560" s="564"/>
      <c r="AN560" s="564"/>
      <c r="AO560" s="564"/>
    </row>
    <row r="561" spans="2:41" x14ac:dyDescent="0.15">
      <c r="B561" s="565">
        <v>-23</v>
      </c>
      <c r="C561" s="564">
        <v>0</v>
      </c>
      <c r="D561" s="564"/>
      <c r="E561" s="564"/>
      <c r="F561" s="564"/>
      <c r="G561" s="564"/>
      <c r="H561" s="564"/>
      <c r="I561" s="564"/>
      <c r="J561" s="564"/>
      <c r="K561" s="564"/>
      <c r="L561" s="564"/>
      <c r="M561" s="564"/>
      <c r="N561" s="564"/>
      <c r="O561" s="564"/>
      <c r="P561" s="564"/>
      <c r="Q561" s="564"/>
      <c r="R561" s="564"/>
      <c r="S561" s="564"/>
      <c r="T561" s="564"/>
      <c r="U561" s="564"/>
      <c r="V561" s="564"/>
      <c r="W561" s="564"/>
      <c r="X561" s="564"/>
      <c r="Y561" s="564"/>
      <c r="Z561" s="564"/>
      <c r="AA561" s="564"/>
      <c r="AB561" s="564"/>
      <c r="AC561" s="564"/>
      <c r="AD561" s="564"/>
      <c r="AE561" s="564"/>
      <c r="AF561" s="564"/>
      <c r="AG561" s="564"/>
      <c r="AH561" s="564"/>
      <c r="AI561" s="564"/>
      <c r="AJ561" s="564"/>
      <c r="AK561" s="564"/>
      <c r="AL561" s="564"/>
      <c r="AM561" s="564"/>
      <c r="AN561" s="564"/>
      <c r="AO561" s="564"/>
    </row>
    <row r="562" spans="2:41" x14ac:dyDescent="0.15">
      <c r="B562" s="565">
        <v>-22</v>
      </c>
      <c r="C562" s="564">
        <v>0</v>
      </c>
      <c r="D562" s="564"/>
      <c r="E562" s="564"/>
      <c r="F562" s="564"/>
      <c r="G562" s="564"/>
      <c r="H562" s="564"/>
      <c r="I562" s="564"/>
      <c r="J562" s="564"/>
      <c r="K562" s="564"/>
      <c r="L562" s="564"/>
      <c r="M562" s="564"/>
      <c r="N562" s="564"/>
      <c r="O562" s="564"/>
      <c r="P562" s="564"/>
      <c r="Q562" s="564"/>
      <c r="R562" s="564"/>
      <c r="S562" s="564"/>
      <c r="T562" s="564"/>
      <c r="U562" s="564"/>
      <c r="V562" s="564"/>
      <c r="W562" s="564"/>
      <c r="X562" s="564"/>
      <c r="Y562" s="564"/>
      <c r="Z562" s="564"/>
      <c r="AA562" s="564"/>
      <c r="AB562" s="564"/>
      <c r="AC562" s="564"/>
      <c r="AD562" s="564"/>
      <c r="AE562" s="564"/>
      <c r="AF562" s="564"/>
      <c r="AG562" s="564"/>
      <c r="AH562" s="564"/>
      <c r="AI562" s="564"/>
      <c r="AJ562" s="564"/>
      <c r="AK562" s="564"/>
      <c r="AL562" s="564"/>
      <c r="AM562" s="564"/>
      <c r="AN562" s="564"/>
      <c r="AO562" s="564"/>
    </row>
    <row r="563" spans="2:41" x14ac:dyDescent="0.15">
      <c r="B563" s="565">
        <v>-21</v>
      </c>
      <c r="C563" s="564">
        <v>0</v>
      </c>
      <c r="D563" s="564"/>
      <c r="E563" s="564"/>
      <c r="F563" s="564"/>
      <c r="G563" s="564"/>
      <c r="H563" s="564"/>
      <c r="I563" s="564"/>
      <c r="J563" s="564"/>
      <c r="K563" s="564"/>
      <c r="L563" s="564"/>
      <c r="M563" s="564"/>
      <c r="N563" s="564"/>
      <c r="O563" s="564"/>
      <c r="P563" s="564"/>
      <c r="Q563" s="564"/>
      <c r="R563" s="564"/>
      <c r="S563" s="564"/>
      <c r="T563" s="564"/>
      <c r="U563" s="564"/>
      <c r="V563" s="564"/>
      <c r="W563" s="564"/>
      <c r="X563" s="564"/>
      <c r="Y563" s="564"/>
      <c r="Z563" s="564"/>
      <c r="AA563" s="564"/>
      <c r="AB563" s="564"/>
      <c r="AC563" s="564"/>
      <c r="AD563" s="564"/>
      <c r="AE563" s="564"/>
      <c r="AF563" s="564"/>
      <c r="AG563" s="564"/>
      <c r="AH563" s="564"/>
      <c r="AI563" s="564"/>
      <c r="AJ563" s="564"/>
      <c r="AK563" s="564"/>
      <c r="AL563" s="564"/>
      <c r="AM563" s="564"/>
      <c r="AN563" s="564"/>
      <c r="AO563" s="564"/>
    </row>
    <row r="564" spans="2:41" x14ac:dyDescent="0.15">
      <c r="B564" s="565">
        <v>-20</v>
      </c>
      <c r="C564" s="564">
        <v>0</v>
      </c>
      <c r="D564" s="564"/>
      <c r="E564" s="564"/>
      <c r="F564" s="564"/>
      <c r="G564" s="564"/>
      <c r="H564" s="564"/>
      <c r="I564" s="564"/>
      <c r="J564" s="564"/>
      <c r="K564" s="564"/>
      <c r="L564" s="564"/>
      <c r="M564" s="564"/>
      <c r="N564" s="564"/>
      <c r="O564" s="564"/>
      <c r="P564" s="564"/>
      <c r="Q564" s="564"/>
      <c r="R564" s="564"/>
      <c r="S564" s="564"/>
      <c r="T564" s="564"/>
      <c r="U564" s="564"/>
      <c r="V564" s="564"/>
      <c r="W564" s="564"/>
      <c r="X564" s="564"/>
      <c r="Y564" s="564"/>
      <c r="Z564" s="564"/>
      <c r="AA564" s="564"/>
      <c r="AB564" s="564"/>
      <c r="AC564" s="564"/>
      <c r="AD564" s="564"/>
      <c r="AE564" s="564"/>
      <c r="AF564" s="564"/>
      <c r="AG564" s="564"/>
      <c r="AH564" s="564"/>
      <c r="AI564" s="564"/>
      <c r="AJ564" s="564"/>
      <c r="AK564" s="564"/>
      <c r="AL564" s="564"/>
      <c r="AM564" s="564"/>
      <c r="AN564" s="564"/>
      <c r="AO564" s="564"/>
    </row>
    <row r="565" spans="2:41" x14ac:dyDescent="0.15">
      <c r="B565" s="565">
        <v>-19</v>
      </c>
      <c r="C565" s="564">
        <v>0</v>
      </c>
      <c r="D565" s="564"/>
      <c r="E565" s="564"/>
      <c r="F565" s="564"/>
      <c r="G565" s="564"/>
      <c r="H565" s="564"/>
      <c r="I565" s="564"/>
      <c r="J565" s="564"/>
      <c r="K565" s="564"/>
      <c r="L565" s="564"/>
      <c r="M565" s="564"/>
      <c r="N565" s="564"/>
      <c r="O565" s="564"/>
      <c r="P565" s="564"/>
      <c r="Q565" s="564"/>
      <c r="R565" s="564"/>
      <c r="S565" s="564"/>
      <c r="T565" s="564"/>
      <c r="U565" s="564"/>
      <c r="V565" s="564"/>
      <c r="W565" s="564"/>
      <c r="X565" s="564"/>
      <c r="Y565" s="564"/>
      <c r="Z565" s="564"/>
      <c r="AA565" s="564"/>
      <c r="AB565" s="564"/>
      <c r="AC565" s="564"/>
      <c r="AD565" s="564"/>
      <c r="AE565" s="564"/>
      <c r="AF565" s="564"/>
      <c r="AG565" s="564"/>
      <c r="AH565" s="564"/>
      <c r="AI565" s="564"/>
      <c r="AJ565" s="564"/>
      <c r="AK565" s="564"/>
      <c r="AL565" s="564"/>
      <c r="AM565" s="564"/>
      <c r="AN565" s="564"/>
      <c r="AO565" s="564"/>
    </row>
    <row r="566" spans="2:41" x14ac:dyDescent="0.15">
      <c r="B566" s="565">
        <v>-18</v>
      </c>
      <c r="C566" s="564">
        <v>0</v>
      </c>
      <c r="D566" s="564"/>
      <c r="E566" s="564"/>
      <c r="F566" s="564"/>
      <c r="G566" s="564"/>
      <c r="H566" s="564"/>
      <c r="I566" s="564"/>
      <c r="J566" s="564"/>
      <c r="K566" s="564"/>
      <c r="L566" s="564"/>
      <c r="M566" s="564"/>
      <c r="N566" s="564"/>
      <c r="O566" s="564"/>
      <c r="P566" s="564"/>
      <c r="Q566" s="564"/>
      <c r="R566" s="564"/>
      <c r="S566" s="564"/>
      <c r="T566" s="564"/>
      <c r="U566" s="564"/>
      <c r="V566" s="564"/>
      <c r="W566" s="564"/>
      <c r="X566" s="564"/>
      <c r="Y566" s="564"/>
      <c r="Z566" s="564"/>
      <c r="AA566" s="564"/>
      <c r="AB566" s="564"/>
      <c r="AC566" s="564"/>
      <c r="AD566" s="564"/>
      <c r="AE566" s="564"/>
      <c r="AF566" s="564"/>
      <c r="AG566" s="564"/>
      <c r="AH566" s="564"/>
      <c r="AI566" s="564"/>
      <c r="AJ566" s="564"/>
      <c r="AK566" s="564"/>
      <c r="AL566" s="564"/>
      <c r="AM566" s="564"/>
      <c r="AN566" s="564"/>
      <c r="AO566" s="564"/>
    </row>
    <row r="567" spans="2:41" x14ac:dyDescent="0.15">
      <c r="B567" s="565">
        <v>-17</v>
      </c>
      <c r="C567" s="564">
        <v>0</v>
      </c>
      <c r="D567" s="564"/>
      <c r="E567" s="564"/>
      <c r="F567" s="564"/>
      <c r="G567" s="564"/>
      <c r="H567" s="564"/>
      <c r="I567" s="564"/>
      <c r="J567" s="564"/>
      <c r="K567" s="564"/>
      <c r="L567" s="564"/>
      <c r="M567" s="564"/>
      <c r="N567" s="564"/>
      <c r="O567" s="564"/>
      <c r="P567" s="564"/>
      <c r="Q567" s="564"/>
      <c r="R567" s="564"/>
      <c r="S567" s="564"/>
      <c r="T567" s="564"/>
      <c r="U567" s="564"/>
      <c r="V567" s="564"/>
      <c r="W567" s="564"/>
      <c r="X567" s="564"/>
      <c r="Y567" s="564"/>
      <c r="Z567" s="564"/>
      <c r="AA567" s="564"/>
      <c r="AB567" s="564"/>
      <c r="AC567" s="564"/>
      <c r="AD567" s="564"/>
      <c r="AE567" s="564"/>
      <c r="AF567" s="564"/>
      <c r="AG567" s="564"/>
      <c r="AH567" s="564"/>
      <c r="AI567" s="564"/>
      <c r="AJ567" s="564"/>
      <c r="AK567" s="564"/>
      <c r="AL567" s="564"/>
      <c r="AM567" s="564"/>
      <c r="AN567" s="564"/>
      <c r="AO567" s="564"/>
    </row>
    <row r="568" spans="2:41" x14ac:dyDescent="0.15">
      <c r="B568" s="565">
        <v>-16</v>
      </c>
      <c r="C568" s="564">
        <v>0</v>
      </c>
      <c r="D568" s="564"/>
      <c r="E568" s="564"/>
      <c r="F568" s="564"/>
      <c r="G568" s="564"/>
      <c r="H568" s="564"/>
      <c r="I568" s="564"/>
      <c r="J568" s="564"/>
      <c r="K568" s="564"/>
      <c r="L568" s="564"/>
      <c r="M568" s="564"/>
      <c r="N568" s="564"/>
      <c r="O568" s="564"/>
      <c r="P568" s="564"/>
      <c r="Q568" s="564"/>
      <c r="R568" s="564"/>
      <c r="S568" s="564"/>
      <c r="T568" s="564"/>
      <c r="U568" s="564"/>
      <c r="V568" s="564"/>
      <c r="W568" s="564"/>
      <c r="X568" s="564"/>
      <c r="Y568" s="564"/>
      <c r="Z568" s="564"/>
      <c r="AA568" s="564"/>
      <c r="AB568" s="564"/>
      <c r="AC568" s="564"/>
      <c r="AD568" s="564"/>
      <c r="AE568" s="564"/>
      <c r="AF568" s="564"/>
      <c r="AG568" s="564"/>
      <c r="AH568" s="564"/>
      <c r="AI568" s="564"/>
      <c r="AJ568" s="564"/>
      <c r="AK568" s="564"/>
      <c r="AL568" s="564"/>
      <c r="AM568" s="564"/>
      <c r="AN568" s="564"/>
      <c r="AO568" s="564"/>
    </row>
    <row r="569" spans="2:41" x14ac:dyDescent="0.15">
      <c r="B569" s="565">
        <v>-15</v>
      </c>
      <c r="C569" s="564">
        <v>0</v>
      </c>
      <c r="D569" s="564"/>
      <c r="E569" s="564"/>
      <c r="F569" s="564"/>
      <c r="G569" s="564"/>
      <c r="H569" s="564"/>
      <c r="I569" s="564"/>
      <c r="J569" s="564"/>
      <c r="K569" s="564"/>
      <c r="L569" s="564"/>
      <c r="M569" s="564"/>
      <c r="N569" s="564"/>
      <c r="O569" s="564"/>
      <c r="P569" s="564"/>
      <c r="Q569" s="564"/>
      <c r="R569" s="564"/>
      <c r="S569" s="564"/>
      <c r="T569" s="564"/>
      <c r="U569" s="564"/>
      <c r="V569" s="564"/>
      <c r="W569" s="564"/>
      <c r="X569" s="564"/>
      <c r="Y569" s="564"/>
      <c r="Z569" s="564"/>
      <c r="AA569" s="564"/>
      <c r="AB569" s="564"/>
      <c r="AC569" s="564"/>
      <c r="AD569" s="564"/>
      <c r="AE569" s="564"/>
      <c r="AF569" s="564"/>
      <c r="AG569" s="564"/>
      <c r="AH569" s="564"/>
      <c r="AI569" s="564"/>
      <c r="AJ569" s="564"/>
      <c r="AK569" s="564"/>
      <c r="AL569" s="564"/>
      <c r="AM569" s="564"/>
      <c r="AN569" s="564"/>
      <c r="AO569" s="564"/>
    </row>
    <row r="570" spans="2:41" x14ac:dyDescent="0.15">
      <c r="B570" s="565">
        <v>-14</v>
      </c>
      <c r="C570" s="564">
        <v>0</v>
      </c>
      <c r="D570" s="564"/>
      <c r="E570" s="564"/>
      <c r="F570" s="564"/>
      <c r="G570" s="564"/>
      <c r="H570" s="564"/>
      <c r="I570" s="564"/>
      <c r="J570" s="564"/>
      <c r="K570" s="564"/>
      <c r="L570" s="564"/>
      <c r="M570" s="564"/>
      <c r="N570" s="564"/>
      <c r="O570" s="564"/>
      <c r="P570" s="564"/>
      <c r="Q570" s="564"/>
      <c r="R570" s="564"/>
      <c r="S570" s="564"/>
      <c r="T570" s="564"/>
      <c r="U570" s="564"/>
      <c r="V570" s="564"/>
      <c r="W570" s="564"/>
      <c r="X570" s="564"/>
      <c r="Y570" s="564"/>
      <c r="Z570" s="564"/>
      <c r="AA570" s="564"/>
      <c r="AB570" s="564"/>
      <c r="AC570" s="564"/>
      <c r="AD570" s="564"/>
      <c r="AE570" s="564"/>
      <c r="AF570" s="564"/>
      <c r="AG570" s="564"/>
      <c r="AH570" s="564"/>
      <c r="AI570" s="564"/>
      <c r="AJ570" s="564"/>
      <c r="AK570" s="564"/>
      <c r="AL570" s="564"/>
      <c r="AM570" s="564"/>
      <c r="AN570" s="564"/>
      <c r="AO570" s="564"/>
    </row>
    <row r="571" spans="2:41" x14ac:dyDescent="0.15">
      <c r="B571" s="565">
        <v>-13</v>
      </c>
      <c r="C571" s="564">
        <v>0</v>
      </c>
      <c r="D571" s="564"/>
      <c r="E571" s="564"/>
      <c r="F571" s="564"/>
      <c r="G571" s="564"/>
      <c r="H571" s="564"/>
      <c r="I571" s="564"/>
      <c r="J571" s="564"/>
      <c r="K571" s="564"/>
      <c r="L571" s="564"/>
      <c r="M571" s="564"/>
      <c r="N571" s="564"/>
      <c r="O571" s="564"/>
      <c r="P571" s="564"/>
      <c r="Q571" s="564"/>
      <c r="R571" s="564"/>
      <c r="S571" s="564"/>
      <c r="T571" s="564"/>
      <c r="U571" s="564"/>
      <c r="V571" s="564"/>
      <c r="W571" s="564"/>
      <c r="X571" s="564"/>
      <c r="Y571" s="564"/>
      <c r="Z571" s="564"/>
      <c r="AA571" s="564"/>
      <c r="AB571" s="564"/>
      <c r="AC571" s="564"/>
      <c r="AD571" s="564"/>
      <c r="AE571" s="564"/>
      <c r="AF571" s="564"/>
      <c r="AG571" s="564"/>
      <c r="AH571" s="564"/>
      <c r="AI571" s="564"/>
      <c r="AJ571" s="564"/>
      <c r="AK571" s="564"/>
      <c r="AL571" s="564"/>
      <c r="AM571" s="564"/>
      <c r="AN571" s="564"/>
      <c r="AO571" s="564"/>
    </row>
    <row r="572" spans="2:41" x14ac:dyDescent="0.15">
      <c r="B572" s="565">
        <v>-12</v>
      </c>
      <c r="C572" s="564">
        <v>0</v>
      </c>
      <c r="D572" s="564"/>
      <c r="E572" s="564"/>
      <c r="F572" s="564"/>
      <c r="G572" s="564"/>
      <c r="H572" s="564"/>
      <c r="I572" s="564"/>
      <c r="J572" s="564"/>
      <c r="K572" s="564"/>
      <c r="L572" s="564"/>
      <c r="M572" s="564"/>
      <c r="N572" s="564"/>
      <c r="O572" s="564"/>
      <c r="P572" s="564"/>
      <c r="Q572" s="564"/>
      <c r="R572" s="564"/>
      <c r="S572" s="564"/>
      <c r="T572" s="564"/>
      <c r="U572" s="564"/>
      <c r="V572" s="564"/>
      <c r="W572" s="564"/>
      <c r="X572" s="564"/>
      <c r="Y572" s="564"/>
      <c r="Z572" s="564"/>
      <c r="AA572" s="564"/>
      <c r="AB572" s="564"/>
      <c r="AC572" s="564"/>
      <c r="AD572" s="564"/>
      <c r="AE572" s="564"/>
      <c r="AF572" s="564"/>
      <c r="AG572" s="564"/>
      <c r="AH572" s="564"/>
      <c r="AI572" s="564"/>
      <c r="AJ572" s="564"/>
      <c r="AK572" s="564"/>
      <c r="AL572" s="564"/>
      <c r="AM572" s="564"/>
      <c r="AN572" s="564"/>
      <c r="AO572" s="564"/>
    </row>
    <row r="573" spans="2:41" x14ac:dyDescent="0.15">
      <c r="B573" s="565">
        <v>-11</v>
      </c>
      <c r="C573" s="564">
        <v>1.2557077625570776E-3</v>
      </c>
      <c r="D573" s="564"/>
      <c r="E573" s="564"/>
      <c r="F573" s="564"/>
      <c r="G573" s="564"/>
      <c r="H573" s="564"/>
      <c r="I573" s="564"/>
      <c r="J573" s="564"/>
      <c r="K573" s="564"/>
      <c r="L573" s="564"/>
      <c r="M573" s="564"/>
      <c r="N573" s="564"/>
      <c r="O573" s="564"/>
      <c r="P573" s="564"/>
      <c r="Q573" s="564"/>
      <c r="R573" s="564"/>
      <c r="S573" s="564"/>
      <c r="T573" s="564"/>
      <c r="U573" s="564"/>
      <c r="V573" s="564"/>
      <c r="W573" s="564"/>
      <c r="X573" s="564"/>
      <c r="Y573" s="564"/>
      <c r="Z573" s="564"/>
      <c r="AA573" s="564"/>
      <c r="AB573" s="564"/>
      <c r="AC573" s="564"/>
      <c r="AD573" s="564"/>
      <c r="AE573" s="564"/>
      <c r="AF573" s="564"/>
      <c r="AG573" s="564"/>
      <c r="AH573" s="564"/>
      <c r="AI573" s="564"/>
      <c r="AJ573" s="564"/>
      <c r="AK573" s="564"/>
      <c r="AL573" s="564"/>
      <c r="AM573" s="564"/>
      <c r="AN573" s="564"/>
      <c r="AO573" s="564"/>
    </row>
    <row r="574" spans="2:41" x14ac:dyDescent="0.15">
      <c r="B574" s="565">
        <v>-10</v>
      </c>
      <c r="C574" s="564">
        <v>3.6529680365296802E-3</v>
      </c>
      <c r="D574" s="564"/>
      <c r="E574" s="564"/>
      <c r="F574" s="564"/>
      <c r="G574" s="564"/>
      <c r="H574" s="564"/>
      <c r="I574" s="564"/>
      <c r="J574" s="564"/>
      <c r="K574" s="564"/>
      <c r="L574" s="564"/>
      <c r="M574" s="564"/>
      <c r="N574" s="564"/>
      <c r="O574" s="564"/>
      <c r="P574" s="564"/>
      <c r="Q574" s="564"/>
      <c r="R574" s="564"/>
      <c r="S574" s="564"/>
      <c r="T574" s="564"/>
      <c r="U574" s="564"/>
      <c r="V574" s="564"/>
      <c r="W574" s="564"/>
      <c r="X574" s="564"/>
      <c r="Y574" s="564"/>
      <c r="Z574" s="564"/>
      <c r="AA574" s="564"/>
      <c r="AB574" s="564"/>
      <c r="AC574" s="564"/>
      <c r="AD574" s="564"/>
      <c r="AE574" s="564"/>
      <c r="AF574" s="564"/>
      <c r="AG574" s="564"/>
      <c r="AH574" s="564"/>
      <c r="AI574" s="564"/>
      <c r="AJ574" s="564"/>
      <c r="AK574" s="564"/>
      <c r="AL574" s="564"/>
      <c r="AM574" s="564"/>
      <c r="AN574" s="564"/>
      <c r="AO574" s="564"/>
    </row>
    <row r="575" spans="2:41" x14ac:dyDescent="0.15">
      <c r="B575" s="565">
        <v>-9</v>
      </c>
      <c r="C575" s="564">
        <v>4.7945205479452057E-3</v>
      </c>
      <c r="D575" s="564"/>
      <c r="E575" s="564"/>
      <c r="F575" s="564"/>
      <c r="G575" s="564"/>
      <c r="H575" s="564"/>
      <c r="I575" s="564"/>
      <c r="J575" s="564"/>
      <c r="K575" s="564"/>
      <c r="L575" s="564"/>
      <c r="M575" s="564"/>
      <c r="N575" s="564"/>
      <c r="O575" s="564"/>
      <c r="P575" s="564"/>
      <c r="Q575" s="564"/>
      <c r="R575" s="564"/>
      <c r="S575" s="564"/>
      <c r="T575" s="564"/>
      <c r="U575" s="564"/>
      <c r="V575" s="564"/>
      <c r="W575" s="564"/>
      <c r="X575" s="564"/>
      <c r="Y575" s="564"/>
      <c r="Z575" s="564"/>
      <c r="AA575" s="564"/>
      <c r="AB575" s="564"/>
      <c r="AC575" s="564"/>
      <c r="AD575" s="564"/>
      <c r="AE575" s="564"/>
      <c r="AF575" s="564"/>
      <c r="AG575" s="564"/>
      <c r="AH575" s="564"/>
      <c r="AI575" s="564"/>
      <c r="AJ575" s="564"/>
      <c r="AK575" s="564"/>
      <c r="AL575" s="564"/>
      <c r="AM575" s="564"/>
      <c r="AN575" s="564"/>
      <c r="AO575" s="564"/>
    </row>
    <row r="576" spans="2:41" x14ac:dyDescent="0.15">
      <c r="B576" s="565">
        <v>-8</v>
      </c>
      <c r="C576" s="564">
        <v>9.0182648401826489E-3</v>
      </c>
      <c r="D576" s="564"/>
      <c r="E576" s="564"/>
      <c r="F576" s="564"/>
      <c r="G576" s="564"/>
      <c r="H576" s="564"/>
      <c r="I576" s="564"/>
      <c r="J576" s="564"/>
      <c r="K576" s="564"/>
      <c r="L576" s="564"/>
      <c r="M576" s="564"/>
      <c r="N576" s="564"/>
      <c r="O576" s="564"/>
      <c r="P576" s="564"/>
      <c r="Q576" s="564"/>
      <c r="R576" s="564"/>
      <c r="S576" s="564"/>
      <c r="T576" s="564"/>
      <c r="U576" s="564"/>
      <c r="V576" s="564"/>
      <c r="W576" s="564"/>
      <c r="X576" s="564"/>
      <c r="Y576" s="564"/>
      <c r="Z576" s="564"/>
      <c r="AA576" s="564"/>
      <c r="AB576" s="564"/>
      <c r="AC576" s="564"/>
      <c r="AD576" s="564"/>
      <c r="AE576" s="564"/>
      <c r="AF576" s="564"/>
      <c r="AG576" s="564"/>
      <c r="AH576" s="564"/>
      <c r="AI576" s="564"/>
      <c r="AJ576" s="564"/>
      <c r="AK576" s="564"/>
      <c r="AL576" s="564"/>
      <c r="AM576" s="564"/>
      <c r="AN576" s="564"/>
      <c r="AO576" s="564"/>
    </row>
    <row r="577" spans="2:41" x14ac:dyDescent="0.15">
      <c r="B577" s="565">
        <v>-7</v>
      </c>
      <c r="C577" s="564">
        <v>1.3356164383561644E-2</v>
      </c>
      <c r="D577" s="564"/>
      <c r="E577" s="564"/>
      <c r="F577" s="564"/>
      <c r="G577" s="564"/>
      <c r="H577" s="564"/>
      <c r="I577" s="564"/>
      <c r="J577" s="564"/>
      <c r="K577" s="564"/>
      <c r="L577" s="564"/>
      <c r="M577" s="564"/>
      <c r="N577" s="564"/>
      <c r="O577" s="564"/>
      <c r="P577" s="564"/>
      <c r="Q577" s="564"/>
      <c r="R577" s="564"/>
      <c r="S577" s="564"/>
      <c r="T577" s="564"/>
      <c r="U577" s="564"/>
      <c r="V577" s="564"/>
      <c r="W577" s="564"/>
      <c r="X577" s="564"/>
      <c r="Y577" s="564"/>
      <c r="Z577" s="564"/>
      <c r="AA577" s="564"/>
      <c r="AB577" s="564"/>
      <c r="AC577" s="564"/>
      <c r="AD577" s="564"/>
      <c r="AE577" s="564"/>
      <c r="AF577" s="564"/>
      <c r="AG577" s="564"/>
      <c r="AH577" s="564"/>
      <c r="AI577" s="564"/>
      <c r="AJ577" s="564"/>
      <c r="AK577" s="564"/>
      <c r="AL577" s="564"/>
      <c r="AM577" s="564"/>
      <c r="AN577" s="564"/>
      <c r="AO577" s="564"/>
    </row>
    <row r="578" spans="2:41" x14ac:dyDescent="0.15">
      <c r="B578" s="565">
        <v>-6</v>
      </c>
      <c r="C578" s="564">
        <v>2.2716894977168951E-2</v>
      </c>
      <c r="D578" s="564"/>
      <c r="E578" s="564"/>
      <c r="F578" s="564"/>
      <c r="G578" s="564"/>
      <c r="H578" s="564"/>
      <c r="I578" s="564"/>
      <c r="J578" s="564"/>
      <c r="K578" s="564"/>
      <c r="L578" s="564"/>
      <c r="M578" s="564"/>
      <c r="N578" s="564"/>
      <c r="O578" s="564"/>
      <c r="P578" s="564"/>
      <c r="Q578" s="564"/>
      <c r="R578" s="564"/>
      <c r="S578" s="564"/>
      <c r="T578" s="564"/>
      <c r="U578" s="564"/>
      <c r="V578" s="564"/>
      <c r="W578" s="564"/>
      <c r="X578" s="564"/>
      <c r="Y578" s="564"/>
      <c r="Z578" s="564"/>
      <c r="AA578" s="564"/>
      <c r="AB578" s="564"/>
      <c r="AC578" s="564"/>
      <c r="AD578" s="564"/>
      <c r="AE578" s="564"/>
      <c r="AF578" s="564"/>
      <c r="AG578" s="564"/>
      <c r="AH578" s="564"/>
      <c r="AI578" s="564"/>
      <c r="AJ578" s="564"/>
      <c r="AK578" s="564"/>
      <c r="AL578" s="564"/>
      <c r="AM578" s="564"/>
      <c r="AN578" s="564"/>
      <c r="AO578" s="564"/>
    </row>
    <row r="579" spans="2:41" x14ac:dyDescent="0.15">
      <c r="B579" s="565">
        <v>-5</v>
      </c>
      <c r="C579" s="564">
        <v>4.1894977168949771E-2</v>
      </c>
      <c r="D579" s="564"/>
      <c r="E579" s="564"/>
      <c r="F579" s="564"/>
      <c r="G579" s="564"/>
      <c r="H579" s="564"/>
      <c r="I579" s="564"/>
      <c r="J579" s="564"/>
      <c r="K579" s="564"/>
      <c r="L579" s="564"/>
      <c r="M579" s="564"/>
      <c r="N579" s="564"/>
      <c r="O579" s="564"/>
      <c r="P579" s="564"/>
      <c r="Q579" s="564"/>
      <c r="R579" s="564"/>
      <c r="S579" s="564"/>
      <c r="T579" s="564"/>
      <c r="U579" s="564"/>
      <c r="V579" s="564"/>
      <c r="W579" s="564"/>
      <c r="X579" s="564"/>
      <c r="Y579" s="564"/>
      <c r="Z579" s="564"/>
      <c r="AA579" s="564"/>
      <c r="AB579" s="564"/>
      <c r="AC579" s="564"/>
      <c r="AD579" s="564"/>
      <c r="AE579" s="564"/>
      <c r="AF579" s="564"/>
      <c r="AG579" s="564"/>
      <c r="AH579" s="564"/>
      <c r="AI579" s="564"/>
      <c r="AJ579" s="564"/>
      <c r="AK579" s="564"/>
      <c r="AL579" s="564"/>
      <c r="AM579" s="564"/>
      <c r="AN579" s="564"/>
      <c r="AO579" s="564"/>
    </row>
    <row r="580" spans="2:41" x14ac:dyDescent="0.15">
      <c r="B580" s="565">
        <v>-4</v>
      </c>
      <c r="C580" s="564">
        <v>4.942922374429224E-2</v>
      </c>
      <c r="D580" s="564"/>
      <c r="E580" s="564"/>
      <c r="F580" s="564"/>
      <c r="G580" s="564"/>
      <c r="H580" s="564"/>
      <c r="I580" s="564"/>
      <c r="J580" s="564"/>
      <c r="K580" s="564"/>
      <c r="L580" s="564"/>
      <c r="M580" s="564"/>
      <c r="N580" s="564"/>
      <c r="O580" s="564"/>
      <c r="P580" s="564"/>
      <c r="Q580" s="564"/>
      <c r="R580" s="564"/>
      <c r="S580" s="564"/>
      <c r="T580" s="564"/>
      <c r="U580" s="564"/>
      <c r="V580" s="564"/>
      <c r="W580" s="564"/>
      <c r="X580" s="564"/>
      <c r="Y580" s="564"/>
      <c r="Z580" s="564"/>
      <c r="AA580" s="564"/>
      <c r="AB580" s="564"/>
      <c r="AC580" s="564"/>
      <c r="AD580" s="564"/>
      <c r="AE580" s="564"/>
      <c r="AF580" s="564"/>
      <c r="AG580" s="564"/>
      <c r="AH580" s="564"/>
      <c r="AI580" s="564"/>
      <c r="AJ580" s="564"/>
      <c r="AK580" s="564"/>
      <c r="AL580" s="564"/>
      <c r="AM580" s="564"/>
      <c r="AN580" s="564"/>
      <c r="AO580" s="564"/>
    </row>
    <row r="581" spans="2:41" x14ac:dyDescent="0.15">
      <c r="B581" s="565">
        <v>-3</v>
      </c>
      <c r="C581" s="564">
        <v>7.8538812785388129E-2</v>
      </c>
      <c r="D581" s="564"/>
      <c r="E581" s="564"/>
      <c r="F581" s="564"/>
      <c r="G581" s="564"/>
      <c r="H581" s="564"/>
      <c r="I581" s="564"/>
      <c r="J581" s="564"/>
      <c r="K581" s="564"/>
      <c r="L581" s="564"/>
      <c r="M581" s="564"/>
      <c r="N581" s="564"/>
      <c r="O581" s="564"/>
      <c r="P581" s="564"/>
      <c r="Q581" s="564"/>
      <c r="R581" s="564"/>
      <c r="S581" s="564"/>
      <c r="T581" s="564"/>
      <c r="U581" s="564"/>
      <c r="V581" s="564"/>
      <c r="W581" s="564"/>
      <c r="X581" s="564"/>
      <c r="Y581" s="564"/>
      <c r="Z581" s="564"/>
      <c r="AA581" s="564"/>
      <c r="AB581" s="564"/>
      <c r="AC581" s="564"/>
      <c r="AD581" s="564"/>
      <c r="AE581" s="564"/>
      <c r="AF581" s="564"/>
      <c r="AG581" s="564"/>
      <c r="AH581" s="564"/>
      <c r="AI581" s="564"/>
      <c r="AJ581" s="564"/>
      <c r="AK581" s="564"/>
      <c r="AL581" s="564"/>
      <c r="AM581" s="564"/>
      <c r="AN581" s="564"/>
      <c r="AO581" s="564"/>
    </row>
    <row r="582" spans="2:41" x14ac:dyDescent="0.15">
      <c r="B582" s="565">
        <v>-2</v>
      </c>
      <c r="C582" s="564">
        <v>0.11723744292237442</v>
      </c>
      <c r="D582" s="564"/>
      <c r="E582" s="564"/>
      <c r="F582" s="564"/>
      <c r="G582" s="564"/>
      <c r="H582" s="564"/>
      <c r="I582" s="564"/>
      <c r="J582" s="564"/>
      <c r="K582" s="564"/>
      <c r="L582" s="564"/>
      <c r="M582" s="564"/>
      <c r="N582" s="564"/>
      <c r="O582" s="564"/>
      <c r="P582" s="564"/>
      <c r="Q582" s="564"/>
      <c r="R582" s="564"/>
      <c r="S582" s="564"/>
      <c r="T582" s="564"/>
      <c r="U582" s="564"/>
      <c r="V582" s="564"/>
      <c r="W582" s="564"/>
      <c r="X582" s="564"/>
      <c r="Y582" s="564"/>
      <c r="Z582" s="564"/>
      <c r="AA582" s="564"/>
      <c r="AB582" s="564"/>
      <c r="AC582" s="564"/>
      <c r="AD582" s="564"/>
      <c r="AE582" s="564"/>
      <c r="AF582" s="564"/>
      <c r="AG582" s="564"/>
      <c r="AH582" s="564"/>
      <c r="AI582" s="564"/>
      <c r="AJ582" s="564"/>
      <c r="AK582" s="564"/>
      <c r="AL582" s="564"/>
      <c r="AM582" s="564"/>
      <c r="AN582" s="564"/>
      <c r="AO582" s="564"/>
    </row>
    <row r="583" spans="2:41" x14ac:dyDescent="0.15">
      <c r="B583" s="565">
        <v>-1</v>
      </c>
      <c r="C583" s="564">
        <v>0.15570776255707763</v>
      </c>
      <c r="D583" s="564"/>
      <c r="E583" s="564"/>
      <c r="F583" s="564"/>
      <c r="G583" s="564"/>
      <c r="H583" s="564"/>
      <c r="I583" s="564"/>
      <c r="J583" s="564"/>
      <c r="K583" s="564"/>
      <c r="L583" s="564"/>
      <c r="M583" s="564"/>
      <c r="N583" s="564"/>
      <c r="O583" s="564"/>
      <c r="P583" s="564"/>
      <c r="Q583" s="564"/>
      <c r="R583" s="564"/>
      <c r="S583" s="564"/>
      <c r="T583" s="564"/>
      <c r="U583" s="564"/>
      <c r="V583" s="564"/>
      <c r="W583" s="564"/>
      <c r="X583" s="564"/>
      <c r="Y583" s="564"/>
      <c r="Z583" s="564"/>
      <c r="AA583" s="564"/>
      <c r="AB583" s="564"/>
      <c r="AC583" s="564"/>
      <c r="AD583" s="564"/>
      <c r="AE583" s="564"/>
      <c r="AF583" s="564"/>
      <c r="AG583" s="564"/>
      <c r="AH583" s="564"/>
      <c r="AI583" s="564"/>
      <c r="AJ583" s="564"/>
      <c r="AK583" s="564"/>
      <c r="AL583" s="564"/>
      <c r="AM583" s="564"/>
      <c r="AN583" s="564"/>
      <c r="AO583" s="564"/>
    </row>
    <row r="584" spans="2:41" x14ac:dyDescent="0.15">
      <c r="B584" s="565">
        <v>0</v>
      </c>
      <c r="C584" s="564">
        <v>0.20273972602739726</v>
      </c>
      <c r="D584" s="564"/>
      <c r="E584" s="564"/>
      <c r="F584" s="564"/>
      <c r="G584" s="564"/>
      <c r="H584" s="564"/>
      <c r="I584" s="564"/>
      <c r="J584" s="564"/>
      <c r="K584" s="564"/>
      <c r="L584" s="564"/>
      <c r="M584" s="564"/>
      <c r="N584" s="564"/>
      <c r="O584" s="564"/>
      <c r="P584" s="564"/>
      <c r="Q584" s="564"/>
      <c r="R584" s="564"/>
      <c r="S584" s="564"/>
      <c r="T584" s="564"/>
      <c r="U584" s="564"/>
      <c r="V584" s="564"/>
      <c r="W584" s="564"/>
      <c r="X584" s="564"/>
      <c r="Y584" s="564"/>
      <c r="Z584" s="564"/>
      <c r="AA584" s="564"/>
      <c r="AB584" s="564"/>
      <c r="AC584" s="564"/>
      <c r="AD584" s="564"/>
      <c r="AE584" s="564"/>
      <c r="AF584" s="564"/>
      <c r="AG584" s="564"/>
      <c r="AH584" s="564"/>
      <c r="AI584" s="564"/>
      <c r="AJ584" s="564"/>
      <c r="AK584" s="564"/>
      <c r="AL584" s="564"/>
      <c r="AM584" s="564"/>
      <c r="AN584" s="564"/>
      <c r="AO584" s="564"/>
    </row>
    <row r="585" spans="2:41" x14ac:dyDescent="0.15">
      <c r="B585" s="565">
        <v>1</v>
      </c>
      <c r="C585" s="564">
        <v>0.23378995433789954</v>
      </c>
      <c r="D585" s="564"/>
      <c r="E585" s="564"/>
      <c r="F585" s="564"/>
      <c r="G585" s="564"/>
      <c r="H585" s="564"/>
      <c r="I585" s="564"/>
      <c r="J585" s="564"/>
      <c r="K585" s="564"/>
      <c r="L585" s="564"/>
      <c r="M585" s="564"/>
      <c r="N585" s="564"/>
      <c r="O585" s="564"/>
      <c r="P585" s="564"/>
      <c r="Q585" s="564"/>
      <c r="R585" s="564"/>
      <c r="S585" s="564"/>
      <c r="T585" s="564"/>
      <c r="U585" s="564"/>
      <c r="V585" s="564"/>
      <c r="W585" s="564"/>
      <c r="X585" s="564"/>
      <c r="Y585" s="564"/>
      <c r="Z585" s="564"/>
      <c r="AA585" s="564"/>
      <c r="AB585" s="564"/>
      <c r="AC585" s="564"/>
      <c r="AD585" s="564"/>
      <c r="AE585" s="564"/>
      <c r="AF585" s="564"/>
      <c r="AG585" s="564"/>
      <c r="AH585" s="564"/>
      <c r="AI585" s="564"/>
      <c r="AJ585" s="564"/>
      <c r="AK585" s="564"/>
      <c r="AL585" s="564"/>
      <c r="AM585" s="564"/>
      <c r="AN585" s="564"/>
      <c r="AO585" s="564"/>
    </row>
    <row r="586" spans="2:41" x14ac:dyDescent="0.15">
      <c r="B586" s="565">
        <v>2</v>
      </c>
      <c r="C586" s="564">
        <v>0.29497716894977166</v>
      </c>
      <c r="D586" s="564"/>
      <c r="E586" s="564"/>
      <c r="F586" s="564"/>
      <c r="G586" s="564"/>
      <c r="H586" s="564"/>
      <c r="I586" s="564"/>
      <c r="J586" s="564"/>
      <c r="K586" s="564"/>
      <c r="L586" s="564"/>
      <c r="M586" s="564"/>
      <c r="N586" s="564"/>
      <c r="O586" s="564"/>
      <c r="P586" s="564"/>
      <c r="Q586" s="564"/>
      <c r="R586" s="564"/>
      <c r="S586" s="564"/>
      <c r="T586" s="564"/>
      <c r="U586" s="564"/>
      <c r="V586" s="564"/>
      <c r="W586" s="564"/>
      <c r="X586" s="564"/>
      <c r="Y586" s="564"/>
      <c r="Z586" s="564"/>
      <c r="AA586" s="564"/>
      <c r="AB586" s="564"/>
      <c r="AC586" s="564"/>
      <c r="AD586" s="564"/>
      <c r="AE586" s="564"/>
      <c r="AF586" s="564"/>
      <c r="AG586" s="564"/>
      <c r="AH586" s="564"/>
      <c r="AI586" s="564"/>
      <c r="AJ586" s="564"/>
      <c r="AK586" s="564"/>
      <c r="AL586" s="564"/>
      <c r="AM586" s="564"/>
      <c r="AN586" s="564"/>
      <c r="AO586" s="564"/>
    </row>
    <row r="587" spans="2:41" x14ac:dyDescent="0.15">
      <c r="B587" s="565">
        <v>3</v>
      </c>
      <c r="C587" s="564">
        <v>0.35856164383561645</v>
      </c>
      <c r="D587" s="564"/>
      <c r="E587" s="564"/>
      <c r="F587" s="564"/>
      <c r="G587" s="564"/>
      <c r="H587" s="564"/>
      <c r="I587" s="564"/>
      <c r="J587" s="564"/>
      <c r="K587" s="564"/>
      <c r="L587" s="564"/>
      <c r="M587" s="564"/>
      <c r="N587" s="564"/>
      <c r="O587" s="564"/>
      <c r="P587" s="564"/>
      <c r="Q587" s="564"/>
      <c r="R587" s="564"/>
      <c r="S587" s="564"/>
      <c r="T587" s="564"/>
      <c r="U587" s="564"/>
      <c r="V587" s="564"/>
      <c r="W587" s="564"/>
      <c r="X587" s="564"/>
      <c r="Y587" s="564"/>
      <c r="Z587" s="564"/>
      <c r="AA587" s="564"/>
      <c r="AB587" s="564"/>
      <c r="AC587" s="564"/>
      <c r="AD587" s="564"/>
      <c r="AE587" s="564"/>
      <c r="AF587" s="564"/>
      <c r="AG587" s="564"/>
      <c r="AH587" s="564"/>
      <c r="AI587" s="564"/>
      <c r="AJ587" s="564"/>
      <c r="AK587" s="564"/>
      <c r="AL587" s="564"/>
      <c r="AM587" s="564"/>
      <c r="AN587" s="564"/>
      <c r="AO587" s="564"/>
    </row>
    <row r="588" spans="2:41" x14ac:dyDescent="0.15">
      <c r="B588" s="565">
        <v>4</v>
      </c>
      <c r="C588" s="564">
        <v>0.41586757990867579</v>
      </c>
      <c r="D588" s="564"/>
      <c r="E588" s="564"/>
      <c r="F588" s="564"/>
      <c r="G588" s="564"/>
      <c r="H588" s="564"/>
      <c r="I588" s="564"/>
      <c r="J588" s="564"/>
      <c r="K588" s="564"/>
      <c r="L588" s="564"/>
      <c r="M588" s="564"/>
      <c r="N588" s="564"/>
      <c r="O588" s="564"/>
      <c r="P588" s="564"/>
      <c r="Q588" s="564"/>
      <c r="R588" s="564"/>
      <c r="S588" s="564"/>
      <c r="T588" s="564"/>
      <c r="U588" s="564"/>
      <c r="V588" s="564"/>
      <c r="W588" s="564"/>
      <c r="X588" s="564"/>
      <c r="Y588" s="564"/>
      <c r="Z588" s="564"/>
      <c r="AA588" s="564"/>
      <c r="AB588" s="564"/>
      <c r="AC588" s="564"/>
      <c r="AD588" s="564"/>
      <c r="AE588" s="564"/>
      <c r="AF588" s="564"/>
      <c r="AG588" s="564"/>
      <c r="AH588" s="564"/>
      <c r="AI588" s="564"/>
      <c r="AJ588" s="564"/>
      <c r="AK588" s="564"/>
      <c r="AL588" s="564"/>
      <c r="AM588" s="564"/>
      <c r="AN588" s="564"/>
      <c r="AO588" s="564"/>
    </row>
    <row r="589" spans="2:41" x14ac:dyDescent="0.15">
      <c r="B589" s="565">
        <v>5</v>
      </c>
      <c r="C589" s="564">
        <v>0.48139269406392693</v>
      </c>
      <c r="D589" s="564"/>
      <c r="E589" s="564"/>
      <c r="F589" s="564"/>
      <c r="G589" s="564"/>
      <c r="H589" s="564"/>
      <c r="I589" s="564"/>
      <c r="J589" s="564"/>
      <c r="K589" s="564"/>
      <c r="L589" s="564"/>
      <c r="M589" s="564"/>
      <c r="N589" s="564"/>
      <c r="O589" s="564"/>
      <c r="P589" s="564"/>
      <c r="Q589" s="564"/>
      <c r="R589" s="564"/>
      <c r="S589" s="564"/>
      <c r="T589" s="564"/>
      <c r="U589" s="564"/>
      <c r="V589" s="564"/>
      <c r="W589" s="564"/>
      <c r="X589" s="564"/>
      <c r="Y589" s="564"/>
      <c r="Z589" s="564"/>
      <c r="AA589" s="564"/>
      <c r="AB589" s="564"/>
      <c r="AC589" s="564"/>
      <c r="AD589" s="564"/>
      <c r="AE589" s="564"/>
      <c r="AF589" s="564"/>
      <c r="AG589" s="564"/>
      <c r="AH589" s="564"/>
      <c r="AI589" s="564"/>
      <c r="AJ589" s="564"/>
      <c r="AK589" s="564"/>
      <c r="AL589" s="564"/>
      <c r="AM589" s="564"/>
      <c r="AN589" s="564"/>
      <c r="AO589" s="564"/>
    </row>
    <row r="590" spans="2:41" x14ac:dyDescent="0.15">
      <c r="B590" s="565">
        <v>6</v>
      </c>
      <c r="C590" s="564">
        <v>0.51940639269406397</v>
      </c>
      <c r="D590" s="564"/>
      <c r="E590" s="564"/>
      <c r="F590" s="564"/>
      <c r="G590" s="564"/>
      <c r="H590" s="564"/>
      <c r="I590" s="564"/>
      <c r="J590" s="564"/>
      <c r="K590" s="564"/>
      <c r="L590" s="564"/>
      <c r="M590" s="564"/>
      <c r="N590" s="564"/>
      <c r="O590" s="564"/>
      <c r="P590" s="564"/>
      <c r="Q590" s="564"/>
      <c r="R590" s="564"/>
      <c r="S590" s="564"/>
      <c r="T590" s="564"/>
      <c r="U590" s="564"/>
      <c r="V590" s="564"/>
      <c r="W590" s="564"/>
      <c r="X590" s="564"/>
      <c r="Y590" s="564"/>
      <c r="Z590" s="564"/>
      <c r="AA590" s="564"/>
      <c r="AB590" s="564"/>
      <c r="AC590" s="564"/>
      <c r="AD590" s="564"/>
      <c r="AE590" s="564"/>
      <c r="AF590" s="564"/>
      <c r="AG590" s="564"/>
      <c r="AH590" s="564"/>
      <c r="AI590" s="564"/>
      <c r="AJ590" s="564"/>
      <c r="AK590" s="564"/>
      <c r="AL590" s="564"/>
      <c r="AM590" s="564"/>
      <c r="AN590" s="564"/>
      <c r="AO590" s="564"/>
    </row>
    <row r="591" spans="2:41" x14ac:dyDescent="0.15">
      <c r="B591" s="565">
        <v>7</v>
      </c>
      <c r="C591" s="564">
        <v>0.59178082191780823</v>
      </c>
      <c r="D591" s="564"/>
      <c r="E591" s="564"/>
      <c r="F591" s="564"/>
      <c r="G591" s="564"/>
      <c r="H591" s="564"/>
      <c r="I591" s="564"/>
      <c r="J591" s="564"/>
      <c r="K591" s="564"/>
      <c r="L591" s="564"/>
      <c r="M591" s="564"/>
      <c r="N591" s="564"/>
      <c r="O591" s="564"/>
      <c r="P591" s="564"/>
      <c r="Q591" s="564"/>
      <c r="R591" s="564"/>
      <c r="S591" s="564"/>
      <c r="T591" s="564"/>
      <c r="U591" s="564"/>
      <c r="V591" s="564"/>
      <c r="W591" s="564"/>
      <c r="X591" s="564"/>
      <c r="Y591" s="564"/>
      <c r="Z591" s="564"/>
      <c r="AA591" s="564"/>
      <c r="AB591" s="564"/>
      <c r="AC591" s="564"/>
      <c r="AD591" s="564"/>
      <c r="AE591" s="564"/>
      <c r="AF591" s="564"/>
      <c r="AG591" s="564"/>
      <c r="AH591" s="564"/>
      <c r="AI591" s="564"/>
      <c r="AJ591" s="564"/>
      <c r="AK591" s="564"/>
      <c r="AL591" s="564"/>
      <c r="AM591" s="564"/>
      <c r="AN591" s="564"/>
      <c r="AO591" s="564"/>
    </row>
    <row r="592" spans="2:41" x14ac:dyDescent="0.15">
      <c r="B592" s="565">
        <v>8</v>
      </c>
      <c r="C592" s="564">
        <v>0.66038812785388123</v>
      </c>
      <c r="D592" s="564"/>
      <c r="E592" s="564"/>
      <c r="F592" s="564"/>
      <c r="G592" s="564"/>
      <c r="H592" s="564"/>
      <c r="I592" s="564"/>
      <c r="J592" s="564"/>
      <c r="K592" s="564"/>
      <c r="L592" s="564"/>
      <c r="M592" s="564"/>
      <c r="N592" s="564"/>
      <c r="O592" s="564"/>
      <c r="P592" s="564"/>
      <c r="Q592" s="564"/>
      <c r="R592" s="564"/>
      <c r="S592" s="564"/>
      <c r="T592" s="564"/>
      <c r="U592" s="564"/>
      <c r="V592" s="564"/>
      <c r="W592" s="564"/>
      <c r="X592" s="564"/>
      <c r="Y592" s="564"/>
      <c r="Z592" s="564"/>
      <c r="AA592" s="564"/>
      <c r="AB592" s="564"/>
      <c r="AC592" s="564"/>
      <c r="AD592" s="564"/>
      <c r="AE592" s="564"/>
      <c r="AF592" s="564"/>
      <c r="AG592" s="564"/>
      <c r="AH592" s="564"/>
      <c r="AI592" s="564"/>
      <c r="AJ592" s="564"/>
      <c r="AK592" s="564"/>
      <c r="AL592" s="564"/>
      <c r="AM592" s="564"/>
      <c r="AN592" s="564"/>
      <c r="AO592" s="564"/>
    </row>
    <row r="593" spans="2:41" x14ac:dyDescent="0.15">
      <c r="B593" s="565">
        <v>9</v>
      </c>
      <c r="C593" s="564">
        <v>0.73002283105022836</v>
      </c>
      <c r="D593" s="564"/>
      <c r="E593" s="564"/>
      <c r="F593" s="564"/>
      <c r="G593" s="564"/>
      <c r="H593" s="564"/>
      <c r="I593" s="564"/>
      <c r="J593" s="564"/>
      <c r="K593" s="564"/>
      <c r="L593" s="564"/>
      <c r="M593" s="564"/>
      <c r="N593" s="564"/>
      <c r="O593" s="564"/>
      <c r="P593" s="564"/>
      <c r="Q593" s="564"/>
      <c r="R593" s="564"/>
      <c r="S593" s="564"/>
      <c r="T593" s="564"/>
      <c r="U593" s="564"/>
      <c r="V593" s="564"/>
      <c r="W593" s="564"/>
      <c r="X593" s="564"/>
      <c r="Y593" s="564"/>
      <c r="Z593" s="564"/>
      <c r="AA593" s="564"/>
      <c r="AB593" s="564"/>
      <c r="AC593" s="564"/>
      <c r="AD593" s="564"/>
      <c r="AE593" s="564"/>
      <c r="AF593" s="564"/>
      <c r="AG593" s="564"/>
      <c r="AH593" s="564"/>
      <c r="AI593" s="564"/>
      <c r="AJ593" s="564"/>
      <c r="AK593" s="564"/>
      <c r="AL593" s="564"/>
      <c r="AM593" s="564"/>
      <c r="AN593" s="564"/>
      <c r="AO593" s="564"/>
    </row>
    <row r="594" spans="2:41" x14ac:dyDescent="0.15">
      <c r="B594" s="565">
        <v>10</v>
      </c>
      <c r="C594" s="564">
        <v>0.79885844748858448</v>
      </c>
      <c r="D594" s="564"/>
      <c r="E594" s="564"/>
      <c r="F594" s="564"/>
      <c r="G594" s="564"/>
      <c r="H594" s="564"/>
      <c r="I594" s="564"/>
      <c r="J594" s="564"/>
      <c r="K594" s="564"/>
      <c r="L594" s="564"/>
      <c r="M594" s="564"/>
      <c r="N594" s="564"/>
      <c r="O594" s="564"/>
      <c r="P594" s="564"/>
      <c r="Q594" s="564"/>
      <c r="R594" s="564"/>
      <c r="S594" s="564"/>
      <c r="T594" s="564"/>
      <c r="U594" s="564"/>
      <c r="V594" s="564"/>
      <c r="W594" s="564"/>
      <c r="X594" s="564"/>
      <c r="Y594" s="564"/>
      <c r="Z594" s="564"/>
      <c r="AA594" s="564"/>
      <c r="AB594" s="564"/>
      <c r="AC594" s="564"/>
      <c r="AD594" s="564"/>
      <c r="AE594" s="564"/>
      <c r="AF594" s="564"/>
      <c r="AG594" s="564"/>
      <c r="AH594" s="564"/>
      <c r="AI594" s="564"/>
      <c r="AJ594" s="564"/>
      <c r="AK594" s="564"/>
      <c r="AL594" s="564"/>
      <c r="AM594" s="564"/>
      <c r="AN594" s="564"/>
      <c r="AO594" s="564"/>
    </row>
    <row r="595" spans="2:41" x14ac:dyDescent="0.15">
      <c r="B595" s="565">
        <v>11</v>
      </c>
      <c r="C595" s="564">
        <v>0.8348173515981735</v>
      </c>
      <c r="D595" s="564"/>
      <c r="E595" s="564"/>
      <c r="F595" s="564"/>
      <c r="G595" s="564"/>
      <c r="H595" s="564"/>
      <c r="I595" s="564"/>
      <c r="J595" s="564"/>
      <c r="K595" s="564"/>
      <c r="L595" s="564"/>
      <c r="M595" s="564"/>
      <c r="N595" s="564"/>
      <c r="O595" s="564"/>
      <c r="P595" s="564"/>
      <c r="Q595" s="564"/>
      <c r="R595" s="564"/>
      <c r="S595" s="564"/>
      <c r="T595" s="564"/>
      <c r="U595" s="564"/>
      <c r="V595" s="564"/>
      <c r="W595" s="564"/>
      <c r="X595" s="564"/>
      <c r="Y595" s="564"/>
      <c r="Z595" s="564"/>
      <c r="AA595" s="564"/>
      <c r="AB595" s="564"/>
      <c r="AC595" s="564"/>
      <c r="AD595" s="564"/>
      <c r="AE595" s="564"/>
      <c r="AF595" s="564"/>
      <c r="AG595" s="564"/>
      <c r="AH595" s="564"/>
      <c r="AI595" s="564"/>
      <c r="AJ595" s="564"/>
      <c r="AK595" s="564"/>
      <c r="AL595" s="564"/>
      <c r="AM595" s="564"/>
      <c r="AN595" s="564"/>
      <c r="AO595" s="564"/>
    </row>
    <row r="596" spans="2:41" x14ac:dyDescent="0.15">
      <c r="B596" s="565">
        <v>12</v>
      </c>
      <c r="C596" s="564">
        <v>0.89908675799086757</v>
      </c>
      <c r="D596" s="564"/>
      <c r="E596" s="564"/>
      <c r="F596" s="564"/>
      <c r="G596" s="564"/>
      <c r="H596" s="564"/>
      <c r="I596" s="564"/>
      <c r="J596" s="564"/>
      <c r="K596" s="564"/>
      <c r="L596" s="564"/>
      <c r="M596" s="564"/>
      <c r="N596" s="564"/>
      <c r="O596" s="564"/>
      <c r="P596" s="564"/>
      <c r="Q596" s="564"/>
      <c r="R596" s="564"/>
      <c r="S596" s="564"/>
      <c r="T596" s="564"/>
      <c r="U596" s="564"/>
      <c r="V596" s="564"/>
      <c r="W596" s="564"/>
      <c r="X596" s="564"/>
      <c r="Y596" s="564"/>
      <c r="Z596" s="564"/>
      <c r="AA596" s="564"/>
      <c r="AB596" s="564"/>
      <c r="AC596" s="564"/>
      <c r="AD596" s="564"/>
      <c r="AE596" s="564"/>
      <c r="AF596" s="564"/>
      <c r="AG596" s="564"/>
      <c r="AH596" s="564"/>
      <c r="AI596" s="564"/>
      <c r="AJ596" s="564"/>
      <c r="AK596" s="564"/>
      <c r="AL596" s="564"/>
      <c r="AM596" s="564"/>
      <c r="AN596" s="564"/>
      <c r="AO596" s="564"/>
    </row>
    <row r="597" spans="2:41" x14ac:dyDescent="0.15">
      <c r="B597" s="565">
        <v>13</v>
      </c>
      <c r="C597" s="564">
        <v>0.94417808219178079</v>
      </c>
      <c r="D597" s="564"/>
      <c r="E597" s="564"/>
      <c r="F597" s="564"/>
      <c r="G597" s="564"/>
      <c r="H597" s="564"/>
      <c r="I597" s="564"/>
      <c r="J597" s="564"/>
      <c r="K597" s="564"/>
      <c r="L597" s="564"/>
      <c r="M597" s="564"/>
      <c r="N597" s="564"/>
      <c r="O597" s="564"/>
      <c r="P597" s="564"/>
      <c r="Q597" s="564"/>
      <c r="R597" s="564"/>
      <c r="S597" s="564"/>
      <c r="T597" s="564"/>
      <c r="U597" s="564"/>
      <c r="V597" s="564"/>
      <c r="W597" s="564"/>
      <c r="X597" s="564"/>
      <c r="Y597" s="564"/>
      <c r="Z597" s="564"/>
      <c r="AA597" s="564"/>
      <c r="AB597" s="564"/>
      <c r="AC597" s="564"/>
      <c r="AD597" s="564"/>
      <c r="AE597" s="564"/>
      <c r="AF597" s="564"/>
      <c r="AG597" s="564"/>
      <c r="AH597" s="564"/>
      <c r="AI597" s="564"/>
      <c r="AJ597" s="564"/>
      <c r="AK597" s="564"/>
      <c r="AL597" s="564"/>
      <c r="AM597" s="564"/>
      <c r="AN597" s="564"/>
      <c r="AO597" s="564"/>
    </row>
    <row r="598" spans="2:41" x14ac:dyDescent="0.15">
      <c r="B598" s="565">
        <v>14</v>
      </c>
      <c r="C598" s="564">
        <v>0.97648401826484021</v>
      </c>
      <c r="D598" s="564"/>
      <c r="E598" s="564"/>
      <c r="F598" s="564"/>
      <c r="G598" s="564"/>
      <c r="H598" s="564"/>
      <c r="I598" s="564"/>
      <c r="J598" s="564"/>
      <c r="K598" s="564"/>
      <c r="L598" s="564"/>
      <c r="M598" s="564"/>
      <c r="N598" s="564"/>
      <c r="O598" s="564"/>
      <c r="P598" s="564"/>
      <c r="Q598" s="564"/>
      <c r="R598" s="564"/>
      <c r="S598" s="564"/>
      <c r="T598" s="564"/>
      <c r="U598" s="564"/>
      <c r="V598" s="564"/>
      <c r="W598" s="564"/>
      <c r="X598" s="564"/>
      <c r="Y598" s="564"/>
      <c r="Z598" s="564"/>
      <c r="AA598" s="564"/>
      <c r="AB598" s="564"/>
      <c r="AC598" s="564"/>
      <c r="AD598" s="564"/>
      <c r="AE598" s="564"/>
      <c r="AF598" s="564"/>
      <c r="AG598" s="564"/>
      <c r="AH598" s="564"/>
      <c r="AI598" s="564"/>
      <c r="AJ598" s="564"/>
      <c r="AK598" s="564"/>
      <c r="AL598" s="564"/>
      <c r="AM598" s="564"/>
      <c r="AN598" s="564"/>
      <c r="AO598" s="564"/>
    </row>
    <row r="599" spans="2:41" x14ac:dyDescent="0.15">
      <c r="B599" s="565">
        <v>15</v>
      </c>
      <c r="C599" s="564">
        <v>0.99235159817351604</v>
      </c>
      <c r="D599" s="564"/>
      <c r="E599" s="564"/>
      <c r="F599" s="564"/>
      <c r="G599" s="564"/>
      <c r="H599" s="564"/>
      <c r="I599" s="564"/>
      <c r="J599" s="564"/>
      <c r="K599" s="564"/>
      <c r="L599" s="564"/>
      <c r="M599" s="564"/>
      <c r="N599" s="564"/>
      <c r="O599" s="564"/>
      <c r="P599" s="564"/>
      <c r="Q599" s="564"/>
      <c r="R599" s="564"/>
      <c r="S599" s="564"/>
      <c r="T599" s="564"/>
      <c r="U599" s="564"/>
      <c r="V599" s="564"/>
      <c r="W599" s="564"/>
      <c r="X599" s="564"/>
      <c r="Y599" s="564"/>
      <c r="Z599" s="564"/>
      <c r="AA599" s="564"/>
      <c r="AB599" s="564"/>
      <c r="AC599" s="564"/>
      <c r="AD599" s="564"/>
      <c r="AE599" s="564"/>
      <c r="AF599" s="564"/>
      <c r="AG599" s="564"/>
      <c r="AH599" s="564"/>
      <c r="AI599" s="564"/>
      <c r="AJ599" s="564"/>
      <c r="AK599" s="564"/>
      <c r="AL599" s="564"/>
      <c r="AM599" s="564"/>
      <c r="AN599" s="564"/>
      <c r="AO599" s="564"/>
    </row>
    <row r="600" spans="2:41" x14ac:dyDescent="0.15">
      <c r="B600" s="565">
        <v>16</v>
      </c>
      <c r="C600" s="564">
        <v>0.99509132420091329</v>
      </c>
      <c r="D600" s="564"/>
      <c r="E600" s="564"/>
      <c r="F600" s="564"/>
      <c r="G600" s="564"/>
      <c r="H600" s="564"/>
      <c r="I600" s="564"/>
      <c r="J600" s="564"/>
      <c r="K600" s="564"/>
      <c r="L600" s="564"/>
      <c r="M600" s="564"/>
      <c r="N600" s="564"/>
      <c r="O600" s="564"/>
      <c r="P600" s="564"/>
      <c r="Q600" s="564"/>
      <c r="R600" s="564"/>
      <c r="S600" s="564"/>
      <c r="T600" s="564"/>
      <c r="U600" s="564"/>
      <c r="V600" s="564"/>
      <c r="W600" s="564"/>
      <c r="X600" s="564"/>
      <c r="Y600" s="564"/>
      <c r="Z600" s="564"/>
      <c r="AA600" s="564"/>
      <c r="AB600" s="564"/>
      <c r="AC600" s="564"/>
      <c r="AD600" s="564"/>
      <c r="AE600" s="564"/>
      <c r="AF600" s="564"/>
      <c r="AG600" s="564"/>
      <c r="AH600" s="564"/>
      <c r="AI600" s="564"/>
      <c r="AJ600" s="564"/>
      <c r="AK600" s="564"/>
      <c r="AL600" s="564"/>
      <c r="AM600" s="564"/>
      <c r="AN600" s="564"/>
      <c r="AO600" s="564"/>
    </row>
    <row r="601" spans="2:41" x14ac:dyDescent="0.15">
      <c r="B601" s="565">
        <v>17</v>
      </c>
      <c r="C601" s="564">
        <v>0.99840182648401832</v>
      </c>
      <c r="D601" s="564"/>
      <c r="E601" s="564"/>
      <c r="F601" s="564"/>
      <c r="G601" s="564"/>
      <c r="H601" s="564"/>
      <c r="I601" s="564"/>
      <c r="J601" s="564"/>
      <c r="K601" s="564"/>
      <c r="L601" s="564"/>
      <c r="M601" s="564"/>
      <c r="N601" s="564"/>
      <c r="O601" s="564"/>
      <c r="P601" s="564"/>
      <c r="Q601" s="564"/>
      <c r="R601" s="564"/>
      <c r="S601" s="564"/>
      <c r="T601" s="564"/>
      <c r="U601" s="564"/>
      <c r="V601" s="564"/>
      <c r="W601" s="564"/>
      <c r="X601" s="564"/>
      <c r="Y601" s="564"/>
      <c r="Z601" s="564"/>
      <c r="AA601" s="564"/>
      <c r="AB601" s="564"/>
      <c r="AC601" s="564"/>
      <c r="AD601" s="564"/>
      <c r="AE601" s="564"/>
      <c r="AF601" s="564"/>
      <c r="AG601" s="564"/>
      <c r="AH601" s="564"/>
      <c r="AI601" s="564"/>
      <c r="AJ601" s="564"/>
      <c r="AK601" s="564"/>
      <c r="AL601" s="564"/>
      <c r="AM601" s="564"/>
      <c r="AN601" s="564"/>
      <c r="AO601" s="564"/>
    </row>
    <row r="602" spans="2:41" x14ac:dyDescent="0.15">
      <c r="B602" s="565">
        <v>18</v>
      </c>
      <c r="C602" s="564">
        <v>1</v>
      </c>
      <c r="D602" s="564"/>
      <c r="E602" s="564"/>
      <c r="F602" s="564"/>
      <c r="G602" s="564"/>
      <c r="H602" s="564"/>
      <c r="I602" s="564"/>
      <c r="J602" s="564"/>
      <c r="K602" s="564"/>
      <c r="L602" s="564"/>
      <c r="M602" s="564"/>
      <c r="N602" s="564"/>
      <c r="O602" s="564"/>
      <c r="P602" s="564"/>
      <c r="Q602" s="564"/>
      <c r="R602" s="564"/>
      <c r="S602" s="564"/>
      <c r="T602" s="564"/>
      <c r="U602" s="564"/>
      <c r="V602" s="564"/>
      <c r="W602" s="564"/>
      <c r="X602" s="564"/>
      <c r="Y602" s="564"/>
      <c r="Z602" s="564"/>
      <c r="AA602" s="564"/>
      <c r="AB602" s="564"/>
      <c r="AC602" s="564"/>
      <c r="AD602" s="564"/>
      <c r="AE602" s="564"/>
      <c r="AF602" s="564"/>
      <c r="AG602" s="564"/>
      <c r="AH602" s="564"/>
      <c r="AI602" s="564"/>
      <c r="AJ602" s="564"/>
      <c r="AK602" s="564"/>
      <c r="AL602" s="564"/>
      <c r="AM602" s="564"/>
      <c r="AN602" s="564"/>
      <c r="AO602" s="564"/>
    </row>
    <row r="603" spans="2:41" x14ac:dyDescent="0.15">
      <c r="B603" s="565">
        <v>19</v>
      </c>
      <c r="C603" s="564">
        <v>1</v>
      </c>
      <c r="D603" s="564"/>
      <c r="E603" s="564"/>
      <c r="F603" s="564"/>
      <c r="G603" s="564"/>
      <c r="H603" s="564"/>
      <c r="I603" s="564"/>
      <c r="J603" s="564"/>
      <c r="K603" s="564"/>
      <c r="L603" s="564"/>
      <c r="M603" s="564"/>
      <c r="N603" s="564"/>
      <c r="O603" s="564"/>
      <c r="P603" s="564"/>
      <c r="Q603" s="564"/>
      <c r="R603" s="564"/>
      <c r="S603" s="564"/>
      <c r="T603" s="564"/>
      <c r="U603" s="564"/>
      <c r="V603" s="564"/>
      <c r="W603" s="564"/>
      <c r="X603" s="564"/>
      <c r="Y603" s="564"/>
      <c r="Z603" s="564"/>
      <c r="AA603" s="564"/>
      <c r="AB603" s="564"/>
      <c r="AC603" s="564"/>
      <c r="AD603" s="564"/>
      <c r="AE603" s="564"/>
      <c r="AF603" s="564"/>
      <c r="AG603" s="564"/>
      <c r="AH603" s="564"/>
      <c r="AI603" s="564"/>
      <c r="AJ603" s="564"/>
      <c r="AK603" s="564"/>
      <c r="AL603" s="564"/>
      <c r="AM603" s="564"/>
      <c r="AN603" s="564"/>
      <c r="AO603" s="564"/>
    </row>
    <row r="604" spans="2:41" x14ac:dyDescent="0.15">
      <c r="B604" s="565">
        <v>20</v>
      </c>
      <c r="C604" s="564">
        <v>1</v>
      </c>
      <c r="D604" s="564"/>
      <c r="E604" s="564"/>
      <c r="F604" s="564"/>
      <c r="G604" s="564"/>
      <c r="H604" s="564"/>
      <c r="I604" s="564"/>
      <c r="J604" s="564"/>
      <c r="K604" s="564"/>
      <c r="L604" s="564"/>
      <c r="M604" s="564"/>
      <c r="N604" s="564"/>
      <c r="O604" s="564"/>
      <c r="P604" s="564"/>
      <c r="Q604" s="564"/>
      <c r="R604" s="564"/>
      <c r="S604" s="564"/>
      <c r="T604" s="564"/>
      <c r="U604" s="564"/>
      <c r="V604" s="564"/>
      <c r="W604" s="564"/>
      <c r="X604" s="564"/>
      <c r="Y604" s="564"/>
      <c r="Z604" s="564"/>
      <c r="AA604" s="564"/>
      <c r="AB604" s="564"/>
      <c r="AC604" s="564"/>
      <c r="AD604" s="564"/>
      <c r="AE604" s="564"/>
      <c r="AF604" s="564"/>
      <c r="AG604" s="564"/>
      <c r="AH604" s="564"/>
      <c r="AI604" s="564"/>
      <c r="AJ604" s="564"/>
      <c r="AK604" s="564"/>
      <c r="AL604" s="564"/>
      <c r="AM604" s="564"/>
      <c r="AN604" s="564"/>
      <c r="AO604" s="564"/>
    </row>
    <row r="605" spans="2:41" x14ac:dyDescent="0.15">
      <c r="B605" s="565">
        <v>21</v>
      </c>
      <c r="C605" s="564">
        <v>1</v>
      </c>
      <c r="D605" s="564"/>
      <c r="E605" s="564"/>
      <c r="F605" s="564"/>
      <c r="G605" s="564"/>
      <c r="H605" s="564"/>
      <c r="I605" s="564"/>
      <c r="J605" s="564"/>
      <c r="K605" s="564"/>
      <c r="L605" s="564"/>
      <c r="M605" s="564"/>
      <c r="N605" s="564"/>
      <c r="O605" s="564"/>
      <c r="P605" s="564"/>
      <c r="Q605" s="564"/>
      <c r="R605" s="564"/>
      <c r="S605" s="564"/>
      <c r="T605" s="564"/>
      <c r="U605" s="564"/>
      <c r="V605" s="564"/>
      <c r="W605" s="564"/>
      <c r="X605" s="564"/>
      <c r="Y605" s="564"/>
      <c r="Z605" s="564"/>
      <c r="AA605" s="564"/>
      <c r="AB605" s="564"/>
      <c r="AC605" s="564"/>
      <c r="AD605" s="564"/>
      <c r="AE605" s="564"/>
      <c r="AF605" s="564"/>
      <c r="AG605" s="564"/>
      <c r="AH605" s="564"/>
      <c r="AI605" s="564"/>
      <c r="AJ605" s="564"/>
      <c r="AK605" s="564"/>
      <c r="AL605" s="564"/>
      <c r="AM605" s="564"/>
      <c r="AN605" s="564"/>
      <c r="AO605" s="564"/>
    </row>
    <row r="606" spans="2:41" x14ac:dyDescent="0.15">
      <c r="B606" s="565">
        <v>22</v>
      </c>
      <c r="C606" s="564">
        <v>1</v>
      </c>
      <c r="D606" s="564"/>
      <c r="E606" s="564"/>
      <c r="F606" s="564"/>
      <c r="G606" s="564"/>
      <c r="H606" s="564"/>
      <c r="I606" s="564"/>
      <c r="J606" s="564"/>
      <c r="K606" s="564"/>
      <c r="L606" s="564"/>
      <c r="M606" s="564"/>
      <c r="N606" s="564"/>
      <c r="O606" s="564"/>
      <c r="P606" s="564"/>
      <c r="Q606" s="564"/>
      <c r="R606" s="564"/>
      <c r="S606" s="564"/>
      <c r="T606" s="564"/>
      <c r="U606" s="564"/>
      <c r="V606" s="564"/>
      <c r="W606" s="564"/>
      <c r="X606" s="564"/>
      <c r="Y606" s="564"/>
      <c r="Z606" s="564"/>
      <c r="AA606" s="564"/>
      <c r="AB606" s="564"/>
      <c r="AC606" s="564"/>
      <c r="AD606" s="564"/>
      <c r="AE606" s="564"/>
      <c r="AF606" s="564"/>
      <c r="AG606" s="564"/>
      <c r="AH606" s="564"/>
      <c r="AI606" s="564"/>
      <c r="AJ606" s="564"/>
      <c r="AK606" s="564"/>
      <c r="AL606" s="564"/>
      <c r="AM606" s="564"/>
      <c r="AN606" s="564"/>
      <c r="AO606" s="564"/>
    </row>
    <row r="607" spans="2:41" x14ac:dyDescent="0.15">
      <c r="B607" s="565">
        <v>23</v>
      </c>
      <c r="C607" s="564">
        <v>1</v>
      </c>
      <c r="D607" s="564"/>
      <c r="E607" s="564"/>
      <c r="F607" s="564"/>
      <c r="G607" s="564"/>
      <c r="H607" s="564"/>
      <c r="I607" s="564"/>
      <c r="J607" s="564"/>
      <c r="K607" s="564"/>
      <c r="L607" s="564"/>
      <c r="M607" s="564"/>
      <c r="N607" s="564"/>
      <c r="O607" s="564"/>
      <c r="P607" s="564"/>
      <c r="Q607" s="564"/>
      <c r="R607" s="564"/>
      <c r="S607" s="564"/>
      <c r="T607" s="564"/>
      <c r="U607" s="564"/>
      <c r="V607" s="564"/>
      <c r="W607" s="564"/>
      <c r="X607" s="564"/>
      <c r="Y607" s="564"/>
      <c r="Z607" s="564"/>
      <c r="AA607" s="564"/>
      <c r="AB607" s="564"/>
      <c r="AC607" s="564"/>
      <c r="AD607" s="564"/>
      <c r="AE607" s="564"/>
      <c r="AF607" s="564"/>
      <c r="AG607" s="564"/>
      <c r="AH607" s="564"/>
      <c r="AI607" s="564"/>
      <c r="AJ607" s="564"/>
      <c r="AK607" s="564"/>
      <c r="AL607" s="564"/>
      <c r="AM607" s="564"/>
      <c r="AN607" s="564"/>
      <c r="AO607" s="564"/>
    </row>
    <row r="608" spans="2:41" x14ac:dyDescent="0.15">
      <c r="B608" s="565">
        <v>24</v>
      </c>
      <c r="C608" s="564">
        <v>1</v>
      </c>
      <c r="D608" s="564"/>
      <c r="E608" s="564"/>
      <c r="F608" s="564"/>
      <c r="G608" s="564"/>
      <c r="H608" s="564"/>
      <c r="I608" s="564"/>
      <c r="J608" s="564"/>
      <c r="K608" s="564"/>
      <c r="L608" s="564"/>
      <c r="M608" s="564"/>
      <c r="N608" s="564"/>
      <c r="O608" s="564"/>
      <c r="P608" s="564"/>
      <c r="Q608" s="564"/>
      <c r="R608" s="564"/>
      <c r="S608" s="564"/>
      <c r="T608" s="564"/>
      <c r="U608" s="564"/>
      <c r="V608" s="564"/>
      <c r="W608" s="564"/>
      <c r="X608" s="564"/>
      <c r="Y608" s="564"/>
      <c r="Z608" s="564"/>
      <c r="AA608" s="564"/>
      <c r="AB608" s="564"/>
      <c r="AC608" s="564"/>
      <c r="AD608" s="564"/>
      <c r="AE608" s="564"/>
      <c r="AF608" s="564"/>
      <c r="AG608" s="564"/>
      <c r="AH608" s="564"/>
      <c r="AI608" s="564"/>
      <c r="AJ608" s="564"/>
      <c r="AK608" s="564"/>
      <c r="AL608" s="564"/>
      <c r="AM608" s="564"/>
      <c r="AN608" s="564"/>
      <c r="AO608" s="564"/>
    </row>
    <row r="609" spans="2:41" x14ac:dyDescent="0.15">
      <c r="B609" s="565">
        <v>25</v>
      </c>
      <c r="C609" s="564">
        <v>1</v>
      </c>
      <c r="D609" s="564"/>
      <c r="E609" s="564"/>
      <c r="F609" s="564"/>
      <c r="G609" s="564"/>
      <c r="H609" s="564"/>
      <c r="I609" s="564"/>
      <c r="J609" s="564"/>
      <c r="K609" s="564"/>
      <c r="L609" s="564"/>
      <c r="M609" s="564"/>
      <c r="N609" s="564"/>
      <c r="O609" s="564"/>
      <c r="P609" s="564"/>
      <c r="Q609" s="564"/>
      <c r="R609" s="564"/>
      <c r="S609" s="564"/>
      <c r="T609" s="564"/>
      <c r="U609" s="564"/>
      <c r="V609" s="564"/>
      <c r="W609" s="564"/>
      <c r="X609" s="564"/>
      <c r="Y609" s="564"/>
      <c r="Z609" s="564"/>
      <c r="AA609" s="564"/>
      <c r="AB609" s="564"/>
      <c r="AC609" s="564"/>
      <c r="AD609" s="564"/>
      <c r="AE609" s="564"/>
      <c r="AF609" s="564"/>
      <c r="AG609" s="564"/>
      <c r="AH609" s="564"/>
      <c r="AI609" s="564"/>
      <c r="AJ609" s="564"/>
      <c r="AK609" s="564"/>
      <c r="AL609" s="564"/>
      <c r="AM609" s="564"/>
      <c r="AN609" s="564"/>
      <c r="AO609" s="564"/>
    </row>
    <row r="610" spans="2:41" x14ac:dyDescent="0.15">
      <c r="B610" s="565">
        <v>26</v>
      </c>
      <c r="C610" s="564">
        <v>1</v>
      </c>
      <c r="D610" s="564"/>
      <c r="E610" s="564"/>
      <c r="F610" s="564"/>
      <c r="G610" s="564"/>
      <c r="H610" s="564"/>
      <c r="I610" s="564"/>
      <c r="J610" s="564"/>
      <c r="K610" s="564"/>
      <c r="L610" s="564"/>
      <c r="M610" s="564"/>
      <c r="N610" s="564"/>
      <c r="O610" s="564"/>
      <c r="P610" s="564"/>
      <c r="Q610" s="564"/>
      <c r="R610" s="564"/>
      <c r="S610" s="564"/>
      <c r="T610" s="564"/>
      <c r="U610" s="564"/>
      <c r="V610" s="564"/>
      <c r="W610" s="564"/>
      <c r="X610" s="564"/>
      <c r="Y610" s="564"/>
      <c r="Z610" s="564"/>
      <c r="AA610" s="564"/>
      <c r="AB610" s="564"/>
      <c r="AC610" s="564"/>
      <c r="AD610" s="564"/>
      <c r="AE610" s="564"/>
      <c r="AF610" s="564"/>
      <c r="AG610" s="564"/>
      <c r="AH610" s="564"/>
      <c r="AI610" s="564"/>
      <c r="AJ610" s="564"/>
      <c r="AK610" s="564"/>
      <c r="AL610" s="564"/>
      <c r="AM610" s="564"/>
      <c r="AN610" s="564"/>
      <c r="AO610" s="564"/>
    </row>
    <row r="611" spans="2:41" x14ac:dyDescent="0.15">
      <c r="B611" s="565">
        <v>27</v>
      </c>
      <c r="C611" s="564">
        <v>1</v>
      </c>
      <c r="D611" s="564"/>
      <c r="E611" s="564"/>
      <c r="F611" s="564"/>
      <c r="G611" s="564"/>
      <c r="H611" s="564"/>
      <c r="I611" s="564"/>
      <c r="J611" s="564"/>
      <c r="K611" s="564"/>
      <c r="L611" s="564"/>
      <c r="M611" s="564"/>
      <c r="N611" s="564"/>
      <c r="O611" s="564"/>
      <c r="P611" s="564"/>
      <c r="Q611" s="564"/>
      <c r="R611" s="564"/>
      <c r="S611" s="564"/>
      <c r="T611" s="564"/>
      <c r="U611" s="564"/>
      <c r="V611" s="564"/>
      <c r="W611" s="564"/>
      <c r="X611" s="564"/>
      <c r="Y611" s="564"/>
      <c r="Z611" s="564"/>
      <c r="AA611" s="564"/>
      <c r="AB611" s="564"/>
      <c r="AC611" s="564"/>
      <c r="AD611" s="564"/>
      <c r="AE611" s="564"/>
      <c r="AF611" s="564"/>
      <c r="AG611" s="564"/>
      <c r="AH611" s="564"/>
      <c r="AI611" s="564"/>
      <c r="AJ611" s="564"/>
      <c r="AK611" s="564"/>
      <c r="AL611" s="564"/>
      <c r="AM611" s="564"/>
      <c r="AN611" s="564"/>
      <c r="AO611" s="564"/>
    </row>
    <row r="612" spans="2:41" x14ac:dyDescent="0.15">
      <c r="B612" s="565">
        <v>28</v>
      </c>
      <c r="C612" s="564">
        <v>1</v>
      </c>
      <c r="D612" s="564"/>
      <c r="E612" s="564"/>
      <c r="F612" s="564"/>
      <c r="G612" s="564"/>
      <c r="H612" s="564"/>
      <c r="I612" s="564"/>
      <c r="J612" s="564"/>
      <c r="K612" s="564"/>
      <c r="L612" s="564"/>
      <c r="M612" s="564"/>
      <c r="N612" s="564"/>
      <c r="O612" s="564"/>
      <c r="P612" s="564"/>
      <c r="Q612" s="564"/>
      <c r="R612" s="564"/>
      <c r="S612" s="564"/>
      <c r="T612" s="564"/>
      <c r="U612" s="564"/>
      <c r="V612" s="564"/>
      <c r="W612" s="564"/>
      <c r="X612" s="564"/>
      <c r="Y612" s="564"/>
      <c r="Z612" s="564"/>
      <c r="AA612" s="564"/>
      <c r="AB612" s="564"/>
      <c r="AC612" s="564"/>
      <c r="AD612" s="564"/>
      <c r="AE612" s="564"/>
      <c r="AF612" s="564"/>
      <c r="AG612" s="564"/>
      <c r="AH612" s="564"/>
      <c r="AI612" s="564"/>
      <c r="AJ612" s="564"/>
      <c r="AK612" s="564"/>
      <c r="AL612" s="564"/>
      <c r="AM612" s="564"/>
      <c r="AN612" s="564"/>
      <c r="AO612" s="564"/>
    </row>
    <row r="613" spans="2:41" x14ac:dyDescent="0.15">
      <c r="B613" s="565">
        <v>29</v>
      </c>
      <c r="C613" s="564">
        <v>1</v>
      </c>
      <c r="D613" s="564"/>
      <c r="E613" s="564"/>
      <c r="F613" s="564"/>
      <c r="G613" s="564"/>
      <c r="H613" s="564"/>
      <c r="I613" s="564"/>
      <c r="J613" s="564"/>
      <c r="K613" s="564"/>
      <c r="L613" s="564"/>
      <c r="M613" s="564"/>
      <c r="N613" s="564"/>
      <c r="O613" s="564"/>
      <c r="P613" s="564"/>
      <c r="Q613" s="564"/>
      <c r="R613" s="564"/>
      <c r="S613" s="564"/>
      <c r="T613" s="564"/>
      <c r="U613" s="564"/>
      <c r="V613" s="564"/>
      <c r="W613" s="564"/>
      <c r="X613" s="564"/>
      <c r="Y613" s="564"/>
      <c r="Z613" s="564"/>
      <c r="AA613" s="564"/>
      <c r="AB613" s="564"/>
      <c r="AC613" s="564"/>
      <c r="AD613" s="564"/>
      <c r="AE613" s="564"/>
      <c r="AF613" s="564"/>
      <c r="AG613" s="564"/>
      <c r="AH613" s="564"/>
      <c r="AI613" s="564"/>
      <c r="AJ613" s="564"/>
      <c r="AK613" s="564"/>
      <c r="AL613" s="564"/>
      <c r="AM613" s="564"/>
      <c r="AN613" s="564"/>
      <c r="AO613" s="564"/>
    </row>
    <row r="614" spans="2:41" x14ac:dyDescent="0.15">
      <c r="B614" s="565">
        <v>30</v>
      </c>
      <c r="C614" s="564">
        <v>1</v>
      </c>
      <c r="D614" s="564"/>
      <c r="E614" s="564"/>
      <c r="F614" s="564"/>
      <c r="G614" s="564"/>
      <c r="H614" s="564"/>
      <c r="I614" s="564"/>
      <c r="J614" s="564"/>
      <c r="K614" s="564"/>
      <c r="L614" s="564"/>
      <c r="M614" s="564"/>
      <c r="N614" s="564"/>
      <c r="O614" s="564"/>
      <c r="P614" s="564"/>
      <c r="Q614" s="564"/>
      <c r="R614" s="564"/>
      <c r="S614" s="564"/>
      <c r="T614" s="564"/>
      <c r="U614" s="564"/>
      <c r="V614" s="564"/>
      <c r="W614" s="564"/>
      <c r="X614" s="564"/>
      <c r="Y614" s="564"/>
      <c r="Z614" s="564"/>
      <c r="AA614" s="564"/>
      <c r="AB614" s="564"/>
      <c r="AC614" s="564"/>
      <c r="AD614" s="564"/>
      <c r="AE614" s="564"/>
      <c r="AF614" s="564"/>
      <c r="AG614" s="564"/>
      <c r="AH614" s="564"/>
      <c r="AI614" s="564"/>
      <c r="AJ614" s="564"/>
      <c r="AK614" s="564"/>
      <c r="AL614" s="564"/>
      <c r="AM614" s="564"/>
      <c r="AN614" s="564"/>
      <c r="AO614" s="564"/>
    </row>
    <row r="615" spans="2:41" x14ac:dyDescent="0.15">
      <c r="B615" s="565">
        <v>31</v>
      </c>
      <c r="C615" s="564">
        <v>1</v>
      </c>
      <c r="D615" s="564"/>
      <c r="E615" s="564"/>
      <c r="F615" s="564"/>
      <c r="G615" s="564"/>
      <c r="H615" s="564"/>
      <c r="I615" s="564"/>
      <c r="J615" s="564"/>
      <c r="K615" s="564"/>
      <c r="L615" s="564"/>
      <c r="M615" s="564"/>
      <c r="N615" s="564"/>
      <c r="O615" s="564"/>
      <c r="P615" s="564"/>
      <c r="Q615" s="564"/>
      <c r="R615" s="564"/>
      <c r="S615" s="564"/>
      <c r="T615" s="564"/>
      <c r="U615" s="564"/>
      <c r="V615" s="564"/>
      <c r="W615" s="564"/>
      <c r="X615" s="564"/>
      <c r="Y615" s="564"/>
      <c r="Z615" s="564"/>
      <c r="AA615" s="564"/>
      <c r="AB615" s="564"/>
      <c r="AC615" s="564"/>
      <c r="AD615" s="564"/>
      <c r="AE615" s="564"/>
      <c r="AF615" s="564"/>
      <c r="AG615" s="564"/>
      <c r="AH615" s="564"/>
      <c r="AI615" s="564"/>
      <c r="AJ615" s="564"/>
      <c r="AK615" s="564"/>
      <c r="AL615" s="564"/>
      <c r="AM615" s="564"/>
      <c r="AN615" s="564"/>
      <c r="AO615" s="564"/>
    </row>
    <row r="616" spans="2:41" x14ac:dyDescent="0.15">
      <c r="B616" s="565">
        <v>32</v>
      </c>
      <c r="C616" s="564">
        <v>1</v>
      </c>
      <c r="D616" s="564"/>
      <c r="E616" s="564"/>
      <c r="F616" s="564"/>
      <c r="G616" s="564"/>
      <c r="H616" s="564"/>
      <c r="I616" s="564"/>
      <c r="J616" s="564"/>
      <c r="K616" s="564"/>
      <c r="L616" s="564"/>
      <c r="M616" s="564"/>
      <c r="N616" s="564"/>
      <c r="O616" s="564"/>
      <c r="P616" s="564"/>
      <c r="Q616" s="564"/>
      <c r="R616" s="564"/>
      <c r="S616" s="564"/>
      <c r="T616" s="564"/>
      <c r="U616" s="564"/>
      <c r="V616" s="564"/>
      <c r="W616" s="564"/>
      <c r="X616" s="564"/>
      <c r="Y616" s="564"/>
      <c r="Z616" s="564"/>
      <c r="AA616" s="564"/>
      <c r="AB616" s="564"/>
      <c r="AC616" s="564"/>
      <c r="AD616" s="564"/>
      <c r="AE616" s="564"/>
      <c r="AF616" s="564"/>
      <c r="AG616" s="564"/>
      <c r="AH616" s="564"/>
      <c r="AI616" s="564"/>
      <c r="AJ616" s="564"/>
      <c r="AK616" s="564"/>
      <c r="AL616" s="564"/>
      <c r="AM616" s="564"/>
      <c r="AN616" s="564"/>
      <c r="AO616" s="564"/>
    </row>
    <row r="617" spans="2:41" x14ac:dyDescent="0.15">
      <c r="B617" s="565">
        <v>33</v>
      </c>
      <c r="C617" s="564">
        <v>1</v>
      </c>
      <c r="D617" s="564"/>
      <c r="E617" s="564"/>
      <c r="F617" s="564"/>
      <c r="G617" s="564"/>
      <c r="H617" s="564"/>
      <c r="I617" s="564"/>
      <c r="J617" s="564"/>
      <c r="K617" s="564"/>
      <c r="L617" s="564"/>
      <c r="M617" s="564"/>
      <c r="N617" s="564"/>
      <c r="O617" s="564"/>
      <c r="P617" s="564"/>
      <c r="Q617" s="564"/>
      <c r="R617" s="564"/>
      <c r="S617" s="564"/>
      <c r="T617" s="564"/>
      <c r="U617" s="564"/>
      <c r="V617" s="564"/>
      <c r="W617" s="564"/>
      <c r="X617" s="564"/>
      <c r="Y617" s="564"/>
      <c r="Z617" s="564"/>
      <c r="AA617" s="564"/>
      <c r="AB617" s="564"/>
      <c r="AC617" s="564"/>
      <c r="AD617" s="564"/>
      <c r="AE617" s="564"/>
      <c r="AF617" s="564"/>
      <c r="AG617" s="564"/>
      <c r="AH617" s="564"/>
      <c r="AI617" s="564"/>
      <c r="AJ617" s="564"/>
      <c r="AK617" s="564"/>
      <c r="AL617" s="564"/>
      <c r="AM617" s="564"/>
      <c r="AN617" s="564"/>
      <c r="AO617" s="564"/>
    </row>
    <row r="618" spans="2:41" x14ac:dyDescent="0.15">
      <c r="B618" s="565">
        <v>34</v>
      </c>
      <c r="C618" s="564">
        <v>1</v>
      </c>
      <c r="D618" s="564"/>
      <c r="E618" s="564"/>
      <c r="F618" s="564"/>
      <c r="G618" s="564"/>
      <c r="H618" s="564"/>
      <c r="I618" s="564"/>
      <c r="J618" s="564"/>
      <c r="K618" s="564"/>
      <c r="L618" s="564"/>
      <c r="M618" s="564"/>
      <c r="N618" s="564"/>
      <c r="O618" s="564"/>
      <c r="P618" s="564"/>
      <c r="Q618" s="564"/>
      <c r="R618" s="564"/>
      <c r="S618" s="564"/>
      <c r="T618" s="564"/>
      <c r="U618" s="564"/>
      <c r="V618" s="564"/>
      <c r="W618" s="564"/>
      <c r="X618" s="564"/>
      <c r="Y618" s="564"/>
      <c r="Z618" s="564"/>
      <c r="AA618" s="564"/>
      <c r="AB618" s="564"/>
      <c r="AC618" s="564"/>
      <c r="AD618" s="564"/>
      <c r="AE618" s="564"/>
      <c r="AF618" s="564"/>
      <c r="AG618" s="564"/>
      <c r="AH618" s="564"/>
      <c r="AI618" s="564"/>
      <c r="AJ618" s="564"/>
      <c r="AK618" s="564"/>
      <c r="AL618" s="564"/>
      <c r="AM618" s="564"/>
      <c r="AN618" s="564"/>
      <c r="AO618" s="564"/>
    </row>
    <row r="619" spans="2:41" x14ac:dyDescent="0.15">
      <c r="B619" s="565">
        <v>35</v>
      </c>
      <c r="C619" s="564">
        <v>1</v>
      </c>
      <c r="D619" s="564"/>
      <c r="E619" s="564"/>
      <c r="F619" s="564"/>
      <c r="G619" s="564"/>
      <c r="H619" s="564"/>
      <c r="I619" s="564"/>
      <c r="J619" s="564"/>
      <c r="K619" s="564"/>
      <c r="L619" s="564"/>
      <c r="M619" s="564"/>
      <c r="N619" s="564"/>
      <c r="O619" s="564"/>
      <c r="P619" s="564"/>
      <c r="Q619" s="564"/>
      <c r="R619" s="564"/>
      <c r="S619" s="564"/>
      <c r="T619" s="564"/>
      <c r="U619" s="564"/>
      <c r="V619" s="564"/>
      <c r="W619" s="564"/>
      <c r="X619" s="564"/>
      <c r="Y619" s="564"/>
      <c r="Z619" s="564"/>
      <c r="AA619" s="564"/>
      <c r="AB619" s="564"/>
      <c r="AC619" s="564"/>
      <c r="AD619" s="564"/>
      <c r="AE619" s="564"/>
      <c r="AF619" s="564"/>
      <c r="AG619" s="564"/>
      <c r="AH619" s="564"/>
      <c r="AI619" s="564"/>
      <c r="AJ619" s="564"/>
      <c r="AK619" s="564"/>
      <c r="AL619" s="564"/>
      <c r="AM619" s="564"/>
      <c r="AN619" s="564"/>
      <c r="AO619" s="564"/>
    </row>
    <row r="620" spans="2:41" x14ac:dyDescent="0.15">
      <c r="B620" s="565">
        <v>36</v>
      </c>
      <c r="C620" s="564">
        <v>1</v>
      </c>
      <c r="D620" s="564"/>
      <c r="E620" s="564"/>
      <c r="F620" s="564"/>
      <c r="G620" s="564"/>
      <c r="H620" s="564"/>
      <c r="I620" s="564"/>
      <c r="J620" s="564"/>
      <c r="K620" s="564"/>
      <c r="L620" s="564"/>
      <c r="M620" s="564"/>
      <c r="N620" s="564"/>
      <c r="O620" s="564"/>
      <c r="P620" s="564"/>
      <c r="Q620" s="564"/>
      <c r="R620" s="564"/>
      <c r="S620" s="564"/>
      <c r="T620" s="564"/>
      <c r="U620" s="564"/>
      <c r="V620" s="564"/>
      <c r="W620" s="564"/>
      <c r="X620" s="564"/>
      <c r="Y620" s="564"/>
      <c r="Z620" s="564"/>
      <c r="AA620" s="564"/>
      <c r="AB620" s="564"/>
      <c r="AC620" s="564"/>
      <c r="AD620" s="564"/>
      <c r="AE620" s="564"/>
      <c r="AF620" s="564"/>
      <c r="AG620" s="564"/>
      <c r="AH620" s="564"/>
      <c r="AI620" s="564"/>
      <c r="AJ620" s="564"/>
      <c r="AK620" s="564"/>
      <c r="AL620" s="564"/>
      <c r="AM620" s="564"/>
      <c r="AN620" s="564"/>
      <c r="AO620" s="564"/>
    </row>
    <row r="621" spans="2:41" x14ac:dyDescent="0.15">
      <c r="B621" s="565">
        <v>37</v>
      </c>
      <c r="C621" s="564">
        <v>1</v>
      </c>
      <c r="D621" s="564"/>
      <c r="E621" s="564"/>
      <c r="F621" s="564"/>
      <c r="G621" s="564"/>
      <c r="H621" s="564"/>
      <c r="I621" s="564"/>
      <c r="J621" s="564"/>
      <c r="K621" s="564"/>
      <c r="L621" s="564"/>
      <c r="M621" s="564"/>
      <c r="N621" s="564"/>
      <c r="O621" s="564"/>
      <c r="P621" s="564"/>
      <c r="Q621" s="564"/>
      <c r="R621" s="564"/>
      <c r="S621" s="564"/>
      <c r="T621" s="564"/>
      <c r="U621" s="564"/>
      <c r="V621" s="564"/>
      <c r="W621" s="564"/>
      <c r="X621" s="564"/>
      <c r="Y621" s="564"/>
      <c r="Z621" s="564"/>
      <c r="AA621" s="564"/>
      <c r="AB621" s="564"/>
      <c r="AC621" s="564"/>
      <c r="AD621" s="564"/>
      <c r="AE621" s="564"/>
      <c r="AF621" s="564"/>
      <c r="AG621" s="564"/>
      <c r="AH621" s="564"/>
      <c r="AI621" s="564"/>
      <c r="AJ621" s="564"/>
      <c r="AK621" s="564"/>
      <c r="AL621" s="564"/>
      <c r="AM621" s="564"/>
      <c r="AN621" s="564"/>
      <c r="AO621" s="564"/>
    </row>
    <row r="622" spans="2:41" x14ac:dyDescent="0.15">
      <c r="B622" s="565">
        <v>38</v>
      </c>
      <c r="C622" s="564">
        <v>1</v>
      </c>
      <c r="D622" s="564"/>
      <c r="E622" s="564"/>
      <c r="F622" s="564"/>
      <c r="G622" s="564"/>
      <c r="H622" s="564"/>
      <c r="I622" s="564"/>
      <c r="J622" s="564"/>
      <c r="K622" s="564"/>
      <c r="L622" s="564"/>
      <c r="M622" s="564"/>
      <c r="N622" s="564"/>
      <c r="O622" s="564"/>
      <c r="P622" s="564"/>
      <c r="Q622" s="564"/>
      <c r="R622" s="564"/>
      <c r="S622" s="564"/>
      <c r="T622" s="564"/>
      <c r="U622" s="564"/>
      <c r="V622" s="564"/>
      <c r="W622" s="564"/>
      <c r="X622" s="564"/>
      <c r="Y622" s="564"/>
      <c r="Z622" s="564"/>
      <c r="AA622" s="564"/>
      <c r="AB622" s="564"/>
      <c r="AC622" s="564"/>
      <c r="AD622" s="564"/>
      <c r="AE622" s="564"/>
      <c r="AF622" s="564"/>
      <c r="AG622" s="564"/>
      <c r="AH622" s="564"/>
      <c r="AI622" s="564"/>
      <c r="AJ622" s="564"/>
      <c r="AK622" s="564"/>
      <c r="AL622" s="564"/>
      <c r="AM622" s="564"/>
      <c r="AN622" s="564"/>
      <c r="AO622" s="564"/>
    </row>
    <row r="623" spans="2:41" x14ac:dyDescent="0.15">
      <c r="B623" s="565">
        <v>39</v>
      </c>
      <c r="C623" s="564">
        <v>1</v>
      </c>
      <c r="D623" s="564"/>
      <c r="E623" s="564"/>
      <c r="F623" s="564"/>
      <c r="G623" s="564"/>
      <c r="H623" s="564"/>
      <c r="I623" s="564"/>
      <c r="J623" s="564"/>
      <c r="K623" s="564"/>
      <c r="L623" s="564"/>
      <c r="M623" s="564"/>
      <c r="N623" s="564"/>
      <c r="O623" s="564"/>
      <c r="P623" s="564"/>
      <c r="Q623" s="564"/>
      <c r="R623" s="564"/>
      <c r="S623" s="564"/>
      <c r="T623" s="564"/>
      <c r="U623" s="564"/>
      <c r="V623" s="564"/>
      <c r="W623" s="564"/>
      <c r="X623" s="564"/>
      <c r="Y623" s="564"/>
      <c r="Z623" s="564"/>
      <c r="AA623" s="564"/>
      <c r="AB623" s="564"/>
      <c r="AC623" s="564"/>
      <c r="AD623" s="564"/>
      <c r="AE623" s="564"/>
      <c r="AF623" s="564"/>
      <c r="AG623" s="564"/>
      <c r="AH623" s="564"/>
      <c r="AI623" s="564"/>
      <c r="AJ623" s="564"/>
      <c r="AK623" s="564"/>
      <c r="AL623" s="564"/>
      <c r="AM623" s="564"/>
      <c r="AN623" s="564"/>
      <c r="AO623" s="564"/>
    </row>
    <row r="624" spans="2:41" x14ac:dyDescent="0.15">
      <c r="B624" s="566">
        <v>40</v>
      </c>
      <c r="C624" s="564">
        <v>1</v>
      </c>
      <c r="D624" s="564"/>
      <c r="E624" s="564"/>
      <c r="F624" s="564"/>
      <c r="G624" s="564"/>
      <c r="H624" s="564"/>
      <c r="I624" s="564"/>
      <c r="J624" s="564"/>
      <c r="K624" s="564"/>
      <c r="L624" s="564"/>
      <c r="M624" s="564"/>
      <c r="N624" s="564"/>
      <c r="O624" s="564"/>
      <c r="P624" s="564"/>
      <c r="Q624" s="564"/>
      <c r="R624" s="564"/>
      <c r="S624" s="564"/>
      <c r="T624" s="564"/>
      <c r="U624" s="564"/>
      <c r="V624" s="564"/>
      <c r="W624" s="564"/>
      <c r="X624" s="564"/>
      <c r="Y624" s="564"/>
      <c r="Z624" s="564"/>
      <c r="AA624" s="564"/>
      <c r="AB624" s="564"/>
      <c r="AC624" s="564"/>
      <c r="AD624" s="564"/>
      <c r="AE624" s="564"/>
      <c r="AF624" s="564"/>
      <c r="AG624" s="564"/>
      <c r="AH624" s="564"/>
      <c r="AI624" s="564"/>
      <c r="AJ624" s="564"/>
      <c r="AK624" s="564"/>
      <c r="AL624" s="564"/>
      <c r="AM624" s="564"/>
      <c r="AN624" s="564"/>
      <c r="AO624" s="564"/>
    </row>
    <row r="633" spans="2:41" s="561" customFormat="1" ht="14" x14ac:dyDescent="0.15">
      <c r="B633" s="558" t="str" cm="1">
        <f t="array" ref="B633:AO633">TRANSPOSE('Syötä kaupungit KIRJASTOLIN_ENT'!$I$1:$I$40)</f>
        <v>MAA 8</v>
      </c>
      <c r="C633" s="562" t="str">
        <v>Riga</v>
      </c>
      <c r="D633" s="562">
        <v>0</v>
      </c>
      <c r="E633" s="562">
        <v>0</v>
      </c>
      <c r="F633" s="562">
        <v>0</v>
      </c>
      <c r="G633" s="562">
        <v>0</v>
      </c>
      <c r="H633" s="562">
        <v>0</v>
      </c>
      <c r="I633" s="562">
        <v>0</v>
      </c>
      <c r="J633" s="562">
        <v>0</v>
      </c>
      <c r="K633" s="562">
        <v>0</v>
      </c>
      <c r="L633" s="562">
        <v>0</v>
      </c>
      <c r="M633" s="562">
        <v>0</v>
      </c>
      <c r="N633" s="562">
        <v>0</v>
      </c>
      <c r="O633" s="562">
        <v>0</v>
      </c>
      <c r="P633" s="562">
        <v>0</v>
      </c>
      <c r="Q633" s="562">
        <v>0</v>
      </c>
      <c r="R633" s="562">
        <v>0</v>
      </c>
      <c r="S633" s="562">
        <v>0</v>
      </c>
      <c r="T633" s="562">
        <v>0</v>
      </c>
      <c r="U633" s="562">
        <v>0</v>
      </c>
      <c r="V633" s="562">
        <v>0</v>
      </c>
      <c r="W633" s="562">
        <v>0</v>
      </c>
      <c r="X633" s="562">
        <v>0</v>
      </c>
      <c r="Y633" s="562">
        <v>0</v>
      </c>
      <c r="Z633" s="562">
        <v>0</v>
      </c>
      <c r="AA633" s="562">
        <v>0</v>
      </c>
      <c r="AB633" s="562">
        <v>0</v>
      </c>
      <c r="AC633" s="562">
        <v>0</v>
      </c>
      <c r="AD633" s="562">
        <v>0</v>
      </c>
      <c r="AE633" s="562">
        <v>0</v>
      </c>
      <c r="AF633" s="562">
        <v>0</v>
      </c>
      <c r="AG633" s="562">
        <v>0</v>
      </c>
      <c r="AH633" s="562">
        <v>0</v>
      </c>
      <c r="AI633" s="562">
        <v>0</v>
      </c>
      <c r="AJ633" s="562">
        <v>0</v>
      </c>
      <c r="AK633" s="562">
        <v>0</v>
      </c>
      <c r="AL633" s="562">
        <v>0</v>
      </c>
      <c r="AM633" s="562">
        <v>0</v>
      </c>
      <c r="AN633" s="562">
        <v>0</v>
      </c>
      <c r="AO633" s="562">
        <v>0</v>
      </c>
    </row>
    <row r="634" spans="2:41" x14ac:dyDescent="0.15">
      <c r="B634" s="563">
        <v>-40</v>
      </c>
      <c r="C634" s="564"/>
      <c r="D634" s="564"/>
      <c r="E634" s="564"/>
      <c r="F634" s="564"/>
      <c r="G634" s="564"/>
      <c r="H634" s="564"/>
      <c r="I634" s="564"/>
      <c r="J634" s="564"/>
      <c r="K634" s="564"/>
      <c r="L634" s="564"/>
      <c r="M634" s="564"/>
      <c r="N634" s="564"/>
      <c r="O634" s="564"/>
      <c r="P634" s="564"/>
      <c r="Q634" s="564"/>
      <c r="R634" s="564"/>
      <c r="S634" s="564"/>
      <c r="T634" s="564"/>
      <c r="U634" s="564"/>
      <c r="V634" s="564"/>
      <c r="W634" s="564"/>
      <c r="X634" s="564"/>
      <c r="Y634" s="564"/>
      <c r="Z634" s="564"/>
      <c r="AA634" s="564"/>
      <c r="AB634" s="564"/>
      <c r="AC634" s="564"/>
      <c r="AD634" s="564"/>
      <c r="AE634" s="564"/>
      <c r="AF634" s="564"/>
      <c r="AG634" s="564"/>
      <c r="AH634" s="564"/>
      <c r="AI634" s="564"/>
      <c r="AJ634" s="564"/>
      <c r="AK634" s="564"/>
      <c r="AL634" s="564"/>
      <c r="AM634" s="564"/>
      <c r="AN634" s="564"/>
      <c r="AO634" s="564"/>
    </row>
    <row r="635" spans="2:41" x14ac:dyDescent="0.15">
      <c r="B635" s="565">
        <v>-39</v>
      </c>
      <c r="C635" s="564"/>
      <c r="D635" s="564"/>
      <c r="E635" s="564"/>
      <c r="F635" s="564"/>
      <c r="G635" s="564"/>
      <c r="H635" s="564"/>
      <c r="I635" s="564"/>
      <c r="J635" s="564"/>
      <c r="K635" s="564"/>
      <c r="L635" s="564"/>
      <c r="M635" s="564"/>
      <c r="N635" s="564"/>
      <c r="O635" s="564"/>
      <c r="P635" s="564"/>
      <c r="Q635" s="564"/>
      <c r="R635" s="564"/>
      <c r="S635" s="564"/>
      <c r="T635" s="564"/>
      <c r="U635" s="564"/>
      <c r="V635" s="564"/>
      <c r="W635" s="564"/>
      <c r="X635" s="564"/>
      <c r="Y635" s="564"/>
      <c r="Z635" s="564"/>
      <c r="AA635" s="564"/>
      <c r="AB635" s="564"/>
      <c r="AC635" s="564"/>
      <c r="AD635" s="564"/>
      <c r="AE635" s="564"/>
      <c r="AF635" s="564"/>
      <c r="AG635" s="564"/>
      <c r="AH635" s="564"/>
      <c r="AI635" s="564"/>
      <c r="AJ635" s="564"/>
      <c r="AK635" s="564"/>
      <c r="AL635" s="564"/>
      <c r="AM635" s="564"/>
      <c r="AN635" s="564"/>
      <c r="AO635" s="564"/>
    </row>
    <row r="636" spans="2:41" x14ac:dyDescent="0.15">
      <c r="B636" s="565">
        <v>-38</v>
      </c>
      <c r="C636" s="564"/>
      <c r="D636" s="564"/>
      <c r="E636" s="564"/>
      <c r="F636" s="564"/>
      <c r="G636" s="564"/>
      <c r="H636" s="564"/>
      <c r="I636" s="564"/>
      <c r="J636" s="564"/>
      <c r="K636" s="564"/>
      <c r="L636" s="564"/>
      <c r="M636" s="564"/>
      <c r="N636" s="564"/>
      <c r="O636" s="564"/>
      <c r="P636" s="564"/>
      <c r="Q636" s="564"/>
      <c r="R636" s="564"/>
      <c r="S636" s="564"/>
      <c r="T636" s="564"/>
      <c r="U636" s="564"/>
      <c r="V636" s="564"/>
      <c r="W636" s="564"/>
      <c r="X636" s="564"/>
      <c r="Y636" s="564"/>
      <c r="Z636" s="564"/>
      <c r="AA636" s="564"/>
      <c r="AB636" s="564"/>
      <c r="AC636" s="564"/>
      <c r="AD636" s="564"/>
      <c r="AE636" s="564"/>
      <c r="AF636" s="564"/>
      <c r="AG636" s="564"/>
      <c r="AH636" s="564"/>
      <c r="AI636" s="564"/>
      <c r="AJ636" s="564"/>
      <c r="AK636" s="564"/>
      <c r="AL636" s="564"/>
      <c r="AM636" s="564"/>
      <c r="AN636" s="564"/>
      <c r="AO636" s="564"/>
    </row>
    <row r="637" spans="2:41" x14ac:dyDescent="0.15">
      <c r="B637" s="565">
        <v>-37</v>
      </c>
      <c r="C637" s="564"/>
      <c r="D637" s="564"/>
      <c r="E637" s="564"/>
      <c r="F637" s="564"/>
      <c r="G637" s="564"/>
      <c r="H637" s="564"/>
      <c r="I637" s="564"/>
      <c r="J637" s="564"/>
      <c r="K637" s="564"/>
      <c r="L637" s="564"/>
      <c r="M637" s="564"/>
      <c r="N637" s="564"/>
      <c r="O637" s="564"/>
      <c r="P637" s="564"/>
      <c r="Q637" s="564"/>
      <c r="R637" s="564"/>
      <c r="S637" s="564"/>
      <c r="T637" s="564"/>
      <c r="U637" s="564"/>
      <c r="V637" s="564"/>
      <c r="W637" s="564"/>
      <c r="X637" s="564"/>
      <c r="Y637" s="564"/>
      <c r="Z637" s="564"/>
      <c r="AA637" s="564"/>
      <c r="AB637" s="564"/>
      <c r="AC637" s="564"/>
      <c r="AD637" s="564"/>
      <c r="AE637" s="564"/>
      <c r="AF637" s="564"/>
      <c r="AG637" s="564"/>
      <c r="AH637" s="564"/>
      <c r="AI637" s="564"/>
      <c r="AJ637" s="564"/>
      <c r="AK637" s="564"/>
      <c r="AL637" s="564"/>
      <c r="AM637" s="564"/>
      <c r="AN637" s="564"/>
      <c r="AO637" s="564"/>
    </row>
    <row r="638" spans="2:41" x14ac:dyDescent="0.15">
      <c r="B638" s="565">
        <v>-36</v>
      </c>
      <c r="C638" s="564"/>
      <c r="D638" s="564"/>
      <c r="E638" s="564"/>
      <c r="F638" s="564"/>
      <c r="G638" s="564"/>
      <c r="H638" s="564"/>
      <c r="I638" s="564"/>
      <c r="J638" s="564"/>
      <c r="K638" s="564"/>
      <c r="L638" s="564"/>
      <c r="M638" s="564"/>
      <c r="N638" s="564"/>
      <c r="O638" s="564"/>
      <c r="P638" s="564"/>
      <c r="Q638" s="564"/>
      <c r="R638" s="564"/>
      <c r="S638" s="564"/>
      <c r="T638" s="564"/>
      <c r="U638" s="564"/>
      <c r="V638" s="564"/>
      <c r="W638" s="564"/>
      <c r="X638" s="564"/>
      <c r="Y638" s="564"/>
      <c r="Z638" s="564"/>
      <c r="AA638" s="564"/>
      <c r="AB638" s="564"/>
      <c r="AC638" s="564"/>
      <c r="AD638" s="564"/>
      <c r="AE638" s="564"/>
      <c r="AF638" s="564"/>
      <c r="AG638" s="564"/>
      <c r="AH638" s="564"/>
      <c r="AI638" s="564"/>
      <c r="AJ638" s="564"/>
      <c r="AK638" s="564"/>
      <c r="AL638" s="564"/>
      <c r="AM638" s="564"/>
      <c r="AN638" s="564"/>
      <c r="AO638" s="564"/>
    </row>
    <row r="639" spans="2:41" x14ac:dyDescent="0.15">
      <c r="B639" s="565">
        <v>-35</v>
      </c>
      <c r="C639" s="564"/>
      <c r="D639" s="564"/>
      <c r="E639" s="564"/>
      <c r="F639" s="564"/>
      <c r="G639" s="564"/>
      <c r="H639" s="564"/>
      <c r="I639" s="564"/>
      <c r="J639" s="564"/>
      <c r="K639" s="564"/>
      <c r="L639" s="564"/>
      <c r="M639" s="564"/>
      <c r="N639" s="564"/>
      <c r="O639" s="564"/>
      <c r="P639" s="564"/>
      <c r="Q639" s="564"/>
      <c r="R639" s="564"/>
      <c r="S639" s="564"/>
      <c r="T639" s="564"/>
      <c r="U639" s="564"/>
      <c r="V639" s="564"/>
      <c r="W639" s="564"/>
      <c r="X639" s="564"/>
      <c r="Y639" s="564"/>
      <c r="Z639" s="564"/>
      <c r="AA639" s="564"/>
      <c r="AB639" s="564"/>
      <c r="AC639" s="564"/>
      <c r="AD639" s="564"/>
      <c r="AE639" s="564"/>
      <c r="AF639" s="564"/>
      <c r="AG639" s="564"/>
      <c r="AH639" s="564"/>
      <c r="AI639" s="564"/>
      <c r="AJ639" s="564"/>
      <c r="AK639" s="564"/>
      <c r="AL639" s="564"/>
      <c r="AM639" s="564"/>
      <c r="AN639" s="564"/>
      <c r="AO639" s="564"/>
    </row>
    <row r="640" spans="2:41" x14ac:dyDescent="0.15">
      <c r="B640" s="565">
        <v>-34</v>
      </c>
      <c r="C640" s="564"/>
      <c r="D640" s="564"/>
      <c r="E640" s="564"/>
      <c r="F640" s="564"/>
      <c r="G640" s="564"/>
      <c r="H640" s="564"/>
      <c r="I640" s="564"/>
      <c r="J640" s="564"/>
      <c r="K640" s="564"/>
      <c r="L640" s="564"/>
      <c r="M640" s="564"/>
      <c r="N640" s="564"/>
      <c r="O640" s="564"/>
      <c r="P640" s="564"/>
      <c r="Q640" s="564"/>
      <c r="R640" s="564"/>
      <c r="S640" s="564"/>
      <c r="T640" s="564"/>
      <c r="U640" s="564"/>
      <c r="V640" s="564"/>
      <c r="W640" s="564"/>
      <c r="X640" s="564"/>
      <c r="Y640" s="564"/>
      <c r="Z640" s="564"/>
      <c r="AA640" s="564"/>
      <c r="AB640" s="564"/>
      <c r="AC640" s="564"/>
      <c r="AD640" s="564"/>
      <c r="AE640" s="564"/>
      <c r="AF640" s="564"/>
      <c r="AG640" s="564"/>
      <c r="AH640" s="564"/>
      <c r="AI640" s="564"/>
      <c r="AJ640" s="564"/>
      <c r="AK640" s="564"/>
      <c r="AL640" s="564"/>
      <c r="AM640" s="564"/>
      <c r="AN640" s="564"/>
      <c r="AO640" s="564"/>
    </row>
    <row r="641" spans="2:41" x14ac:dyDescent="0.15">
      <c r="B641" s="565">
        <v>-33</v>
      </c>
      <c r="C641" s="564"/>
      <c r="D641" s="564"/>
      <c r="E641" s="564"/>
      <c r="F641" s="564"/>
      <c r="G641" s="564"/>
      <c r="H641" s="564"/>
      <c r="I641" s="564"/>
      <c r="J641" s="564"/>
      <c r="K641" s="564"/>
      <c r="L641" s="564"/>
      <c r="M641" s="564"/>
      <c r="N641" s="564"/>
      <c r="O641" s="564"/>
      <c r="P641" s="564"/>
      <c r="Q641" s="564"/>
      <c r="R641" s="564"/>
      <c r="S641" s="564"/>
      <c r="T641" s="564"/>
      <c r="U641" s="564"/>
      <c r="V641" s="564"/>
      <c r="W641" s="564"/>
      <c r="X641" s="564"/>
      <c r="Y641" s="564"/>
      <c r="Z641" s="564"/>
      <c r="AA641" s="564"/>
      <c r="AB641" s="564"/>
      <c r="AC641" s="564"/>
      <c r="AD641" s="564"/>
      <c r="AE641" s="564"/>
      <c r="AF641" s="564"/>
      <c r="AG641" s="564"/>
      <c r="AH641" s="564"/>
      <c r="AI641" s="564"/>
      <c r="AJ641" s="564"/>
      <c r="AK641" s="564"/>
      <c r="AL641" s="564"/>
      <c r="AM641" s="564"/>
      <c r="AN641" s="564"/>
      <c r="AO641" s="564"/>
    </row>
    <row r="642" spans="2:41" x14ac:dyDescent="0.15">
      <c r="B642" s="565">
        <v>-32</v>
      </c>
      <c r="C642" s="564"/>
      <c r="D642" s="564"/>
      <c r="E642" s="564"/>
      <c r="F642" s="564"/>
      <c r="G642" s="564"/>
      <c r="H642" s="564"/>
      <c r="I642" s="564"/>
      <c r="J642" s="564"/>
      <c r="K642" s="564"/>
      <c r="L642" s="564"/>
      <c r="M642" s="564"/>
      <c r="N642" s="564"/>
      <c r="O642" s="564"/>
      <c r="P642" s="564"/>
      <c r="Q642" s="564"/>
      <c r="R642" s="564"/>
      <c r="S642" s="564"/>
      <c r="T642" s="564"/>
      <c r="U642" s="564"/>
      <c r="V642" s="564"/>
      <c r="W642" s="564"/>
      <c r="X642" s="564"/>
      <c r="Y642" s="564"/>
      <c r="Z642" s="564"/>
      <c r="AA642" s="564"/>
      <c r="AB642" s="564"/>
      <c r="AC642" s="564"/>
      <c r="AD642" s="564"/>
      <c r="AE642" s="564"/>
      <c r="AF642" s="564"/>
      <c r="AG642" s="564"/>
      <c r="AH642" s="564"/>
      <c r="AI642" s="564"/>
      <c r="AJ642" s="564"/>
      <c r="AK642" s="564"/>
      <c r="AL642" s="564"/>
      <c r="AM642" s="564"/>
      <c r="AN642" s="564"/>
      <c r="AO642" s="564"/>
    </row>
    <row r="643" spans="2:41" x14ac:dyDescent="0.15">
      <c r="B643" s="565">
        <v>-31</v>
      </c>
      <c r="C643" s="564"/>
      <c r="D643" s="564"/>
      <c r="E643" s="564"/>
      <c r="F643" s="564"/>
      <c r="G643" s="564"/>
      <c r="H643" s="564"/>
      <c r="I643" s="564"/>
      <c r="J643" s="564"/>
      <c r="K643" s="564"/>
      <c r="L643" s="564"/>
      <c r="M643" s="564"/>
      <c r="N643" s="564"/>
      <c r="O643" s="564"/>
      <c r="P643" s="564"/>
      <c r="Q643" s="564"/>
      <c r="R643" s="564"/>
      <c r="S643" s="564"/>
      <c r="T643" s="564"/>
      <c r="U643" s="564"/>
      <c r="V643" s="564"/>
      <c r="W643" s="564"/>
      <c r="X643" s="564"/>
      <c r="Y643" s="564"/>
      <c r="Z643" s="564"/>
      <c r="AA643" s="564"/>
      <c r="AB643" s="564"/>
      <c r="AC643" s="564"/>
      <c r="AD643" s="564"/>
      <c r="AE643" s="564"/>
      <c r="AF643" s="564"/>
      <c r="AG643" s="564"/>
      <c r="AH643" s="564"/>
      <c r="AI643" s="564"/>
      <c r="AJ643" s="564"/>
      <c r="AK643" s="564"/>
      <c r="AL643" s="564"/>
      <c r="AM643" s="564"/>
      <c r="AN643" s="564"/>
      <c r="AO643" s="564"/>
    </row>
    <row r="644" spans="2:41" x14ac:dyDescent="0.15">
      <c r="B644" s="565">
        <v>-30</v>
      </c>
      <c r="C644" s="564"/>
      <c r="D644" s="564"/>
      <c r="E644" s="564"/>
      <c r="F644" s="564"/>
      <c r="G644" s="564"/>
      <c r="H644" s="564"/>
      <c r="I644" s="564"/>
      <c r="J644" s="564"/>
      <c r="K644" s="564"/>
      <c r="L644" s="564"/>
      <c r="M644" s="564"/>
      <c r="N644" s="564"/>
      <c r="O644" s="564"/>
      <c r="P644" s="564"/>
      <c r="Q644" s="564"/>
      <c r="R644" s="564"/>
      <c r="S644" s="564"/>
      <c r="T644" s="564"/>
      <c r="U644" s="564"/>
      <c r="V644" s="564"/>
      <c r="W644" s="564"/>
      <c r="X644" s="564"/>
      <c r="Y644" s="564"/>
      <c r="Z644" s="564"/>
      <c r="AA644" s="564"/>
      <c r="AB644" s="564"/>
      <c r="AC644" s="564"/>
      <c r="AD644" s="564"/>
      <c r="AE644" s="564"/>
      <c r="AF644" s="564"/>
      <c r="AG644" s="564"/>
      <c r="AH644" s="564"/>
      <c r="AI644" s="564"/>
      <c r="AJ644" s="564"/>
      <c r="AK644" s="564"/>
      <c r="AL644" s="564"/>
      <c r="AM644" s="564"/>
      <c r="AN644" s="564"/>
      <c r="AO644" s="564"/>
    </row>
    <row r="645" spans="2:41" x14ac:dyDescent="0.15">
      <c r="B645" s="565">
        <v>-29</v>
      </c>
      <c r="C645" s="564"/>
      <c r="D645" s="564"/>
      <c r="E645" s="564"/>
      <c r="F645" s="564"/>
      <c r="G645" s="564"/>
      <c r="H645" s="564"/>
      <c r="I645" s="564"/>
      <c r="J645" s="564"/>
      <c r="K645" s="564"/>
      <c r="L645" s="564"/>
      <c r="M645" s="564"/>
      <c r="N645" s="564"/>
      <c r="O645" s="564"/>
      <c r="P645" s="564"/>
      <c r="Q645" s="564"/>
      <c r="R645" s="564"/>
      <c r="S645" s="564"/>
      <c r="T645" s="564"/>
      <c r="U645" s="564"/>
      <c r="V645" s="564"/>
      <c r="W645" s="564"/>
      <c r="X645" s="564"/>
      <c r="Y645" s="564"/>
      <c r="Z645" s="564"/>
      <c r="AA645" s="564"/>
      <c r="AB645" s="564"/>
      <c r="AC645" s="564"/>
      <c r="AD645" s="564"/>
      <c r="AE645" s="564"/>
      <c r="AF645" s="564"/>
      <c r="AG645" s="564"/>
      <c r="AH645" s="564"/>
      <c r="AI645" s="564"/>
      <c r="AJ645" s="564"/>
      <c r="AK645" s="564"/>
      <c r="AL645" s="564"/>
      <c r="AM645" s="564"/>
      <c r="AN645" s="564"/>
      <c r="AO645" s="564"/>
    </row>
    <row r="646" spans="2:41" x14ac:dyDescent="0.15">
      <c r="B646" s="565">
        <v>-28</v>
      </c>
      <c r="C646" s="564"/>
      <c r="D646" s="564"/>
      <c r="E646" s="564"/>
      <c r="F646" s="564"/>
      <c r="G646" s="564"/>
      <c r="H646" s="564"/>
      <c r="I646" s="564"/>
      <c r="J646" s="564"/>
      <c r="K646" s="564"/>
      <c r="L646" s="564"/>
      <c r="M646" s="564"/>
      <c r="N646" s="564"/>
      <c r="O646" s="564"/>
      <c r="P646" s="564"/>
      <c r="Q646" s="564"/>
      <c r="R646" s="564"/>
      <c r="S646" s="564"/>
      <c r="T646" s="564"/>
      <c r="U646" s="564"/>
      <c r="V646" s="564"/>
      <c r="W646" s="564"/>
      <c r="X646" s="564"/>
      <c r="Y646" s="564"/>
      <c r="Z646" s="564"/>
      <c r="AA646" s="564"/>
      <c r="AB646" s="564"/>
      <c r="AC646" s="564"/>
      <c r="AD646" s="564"/>
      <c r="AE646" s="564"/>
      <c r="AF646" s="564"/>
      <c r="AG646" s="564"/>
      <c r="AH646" s="564"/>
      <c r="AI646" s="564"/>
      <c r="AJ646" s="564"/>
      <c r="AK646" s="564"/>
      <c r="AL646" s="564"/>
      <c r="AM646" s="564"/>
      <c r="AN646" s="564"/>
      <c r="AO646" s="564"/>
    </row>
    <row r="647" spans="2:41" x14ac:dyDescent="0.15">
      <c r="B647" s="565">
        <v>-27</v>
      </c>
      <c r="C647" s="564"/>
      <c r="D647" s="564"/>
      <c r="E647" s="564"/>
      <c r="F647" s="564"/>
      <c r="G647" s="564"/>
      <c r="H647" s="564"/>
      <c r="I647" s="564"/>
      <c r="J647" s="564"/>
      <c r="K647" s="564"/>
      <c r="L647" s="564"/>
      <c r="M647" s="564"/>
      <c r="N647" s="564"/>
      <c r="O647" s="564"/>
      <c r="P647" s="564"/>
      <c r="Q647" s="564"/>
      <c r="R647" s="564"/>
      <c r="S647" s="564"/>
      <c r="T647" s="564"/>
      <c r="U647" s="564"/>
      <c r="V647" s="564"/>
      <c r="W647" s="564"/>
      <c r="X647" s="564"/>
      <c r="Y647" s="564"/>
      <c r="Z647" s="564"/>
      <c r="AA647" s="564"/>
      <c r="AB647" s="564"/>
      <c r="AC647" s="564"/>
      <c r="AD647" s="564"/>
      <c r="AE647" s="564"/>
      <c r="AF647" s="564"/>
      <c r="AG647" s="564"/>
      <c r="AH647" s="564"/>
      <c r="AI647" s="564"/>
      <c r="AJ647" s="564"/>
      <c r="AK647" s="564"/>
      <c r="AL647" s="564"/>
      <c r="AM647" s="564"/>
      <c r="AN647" s="564"/>
      <c r="AO647" s="564"/>
    </row>
    <row r="648" spans="2:41" x14ac:dyDescent="0.15">
      <c r="B648" s="565">
        <v>-26</v>
      </c>
      <c r="C648" s="564"/>
      <c r="D648" s="564"/>
      <c r="E648" s="564"/>
      <c r="F648" s="564"/>
      <c r="G648" s="564"/>
      <c r="H648" s="564"/>
      <c r="I648" s="564"/>
      <c r="J648" s="564"/>
      <c r="K648" s="564"/>
      <c r="L648" s="564"/>
      <c r="M648" s="564"/>
      <c r="N648" s="564"/>
      <c r="O648" s="564"/>
      <c r="P648" s="564"/>
      <c r="Q648" s="564"/>
      <c r="R648" s="564"/>
      <c r="S648" s="564"/>
      <c r="T648" s="564"/>
      <c r="U648" s="564"/>
      <c r="V648" s="564"/>
      <c r="W648" s="564"/>
      <c r="X648" s="564"/>
      <c r="Y648" s="564"/>
      <c r="Z648" s="564"/>
      <c r="AA648" s="564"/>
      <c r="AB648" s="564"/>
      <c r="AC648" s="564"/>
      <c r="AD648" s="564"/>
      <c r="AE648" s="564"/>
      <c r="AF648" s="564"/>
      <c r="AG648" s="564"/>
      <c r="AH648" s="564"/>
      <c r="AI648" s="564"/>
      <c r="AJ648" s="564"/>
      <c r="AK648" s="564"/>
      <c r="AL648" s="564"/>
      <c r="AM648" s="564"/>
      <c r="AN648" s="564"/>
      <c r="AO648" s="564"/>
    </row>
    <row r="649" spans="2:41" x14ac:dyDescent="0.15">
      <c r="B649" s="565">
        <v>-25</v>
      </c>
      <c r="C649" s="564"/>
      <c r="D649" s="564"/>
      <c r="E649" s="564"/>
      <c r="F649" s="564"/>
      <c r="G649" s="564"/>
      <c r="H649" s="564"/>
      <c r="I649" s="564"/>
      <c r="J649" s="564"/>
      <c r="K649" s="564"/>
      <c r="L649" s="564"/>
      <c r="M649" s="564"/>
      <c r="N649" s="564"/>
      <c r="O649" s="564"/>
      <c r="P649" s="564"/>
      <c r="Q649" s="564"/>
      <c r="R649" s="564"/>
      <c r="S649" s="564"/>
      <c r="T649" s="564"/>
      <c r="U649" s="564"/>
      <c r="V649" s="564"/>
      <c r="W649" s="564"/>
      <c r="X649" s="564"/>
      <c r="Y649" s="564"/>
      <c r="Z649" s="564"/>
      <c r="AA649" s="564"/>
      <c r="AB649" s="564"/>
      <c r="AC649" s="564"/>
      <c r="AD649" s="564"/>
      <c r="AE649" s="564"/>
      <c r="AF649" s="564"/>
      <c r="AG649" s="564"/>
      <c r="AH649" s="564"/>
      <c r="AI649" s="564"/>
      <c r="AJ649" s="564"/>
      <c r="AK649" s="564"/>
      <c r="AL649" s="564"/>
      <c r="AM649" s="564"/>
      <c r="AN649" s="564"/>
      <c r="AO649" s="564"/>
    </row>
    <row r="650" spans="2:41" x14ac:dyDescent="0.15">
      <c r="B650" s="565">
        <v>-24</v>
      </c>
      <c r="C650" s="564"/>
      <c r="D650" s="564"/>
      <c r="E650" s="564"/>
      <c r="F650" s="564"/>
      <c r="G650" s="564"/>
      <c r="H650" s="564"/>
      <c r="I650" s="564"/>
      <c r="J650" s="564"/>
      <c r="K650" s="564"/>
      <c r="L650" s="564"/>
      <c r="M650" s="564"/>
      <c r="N650" s="564"/>
      <c r="O650" s="564"/>
      <c r="P650" s="564"/>
      <c r="Q650" s="564"/>
      <c r="R650" s="564"/>
      <c r="S650" s="564"/>
      <c r="T650" s="564"/>
      <c r="U650" s="564"/>
      <c r="V650" s="564"/>
      <c r="W650" s="564"/>
      <c r="X650" s="564"/>
      <c r="Y650" s="564"/>
      <c r="Z650" s="564"/>
      <c r="AA650" s="564"/>
      <c r="AB650" s="564"/>
      <c r="AC650" s="564"/>
      <c r="AD650" s="564"/>
      <c r="AE650" s="564"/>
      <c r="AF650" s="564"/>
      <c r="AG650" s="564"/>
      <c r="AH650" s="564"/>
      <c r="AI650" s="564"/>
      <c r="AJ650" s="564"/>
      <c r="AK650" s="564"/>
      <c r="AL650" s="564"/>
      <c r="AM650" s="564"/>
      <c r="AN650" s="564"/>
      <c r="AO650" s="564"/>
    </row>
    <row r="651" spans="2:41" x14ac:dyDescent="0.15">
      <c r="B651" s="565">
        <v>-23</v>
      </c>
      <c r="C651" s="564"/>
      <c r="D651" s="564"/>
      <c r="E651" s="564"/>
      <c r="F651" s="564"/>
      <c r="G651" s="564"/>
      <c r="H651" s="564"/>
      <c r="I651" s="564"/>
      <c r="J651" s="564"/>
      <c r="K651" s="564"/>
      <c r="L651" s="564"/>
      <c r="M651" s="564"/>
      <c r="N651" s="564"/>
      <c r="O651" s="564"/>
      <c r="P651" s="564"/>
      <c r="Q651" s="564"/>
      <c r="R651" s="564"/>
      <c r="S651" s="564"/>
      <c r="T651" s="564"/>
      <c r="U651" s="564"/>
      <c r="V651" s="564"/>
      <c r="W651" s="564"/>
      <c r="X651" s="564"/>
      <c r="Y651" s="564"/>
      <c r="Z651" s="564"/>
      <c r="AA651" s="564"/>
      <c r="AB651" s="564"/>
      <c r="AC651" s="564"/>
      <c r="AD651" s="564"/>
      <c r="AE651" s="564"/>
      <c r="AF651" s="564"/>
      <c r="AG651" s="564"/>
      <c r="AH651" s="564"/>
      <c r="AI651" s="564"/>
      <c r="AJ651" s="564"/>
      <c r="AK651" s="564"/>
      <c r="AL651" s="564"/>
      <c r="AM651" s="564"/>
      <c r="AN651" s="564"/>
      <c r="AO651" s="564"/>
    </row>
    <row r="652" spans="2:41" x14ac:dyDescent="0.15">
      <c r="B652" s="565">
        <v>-22</v>
      </c>
      <c r="C652" s="564"/>
      <c r="D652" s="564"/>
      <c r="E652" s="564"/>
      <c r="F652" s="564"/>
      <c r="G652" s="564"/>
      <c r="H652" s="564"/>
      <c r="I652" s="564"/>
      <c r="J652" s="564"/>
      <c r="K652" s="564"/>
      <c r="L652" s="564"/>
      <c r="M652" s="564"/>
      <c r="N652" s="564"/>
      <c r="O652" s="564"/>
      <c r="P652" s="564"/>
      <c r="Q652" s="564"/>
      <c r="R652" s="564"/>
      <c r="S652" s="564"/>
      <c r="T652" s="564"/>
      <c r="U652" s="564"/>
      <c r="V652" s="564"/>
      <c r="W652" s="564"/>
      <c r="X652" s="564"/>
      <c r="Y652" s="564"/>
      <c r="Z652" s="564"/>
      <c r="AA652" s="564"/>
      <c r="AB652" s="564"/>
      <c r="AC652" s="564"/>
      <c r="AD652" s="564"/>
      <c r="AE652" s="564"/>
      <c r="AF652" s="564"/>
      <c r="AG652" s="564"/>
      <c r="AH652" s="564"/>
      <c r="AI652" s="564"/>
      <c r="AJ652" s="564"/>
      <c r="AK652" s="564"/>
      <c r="AL652" s="564"/>
      <c r="AM652" s="564"/>
      <c r="AN652" s="564"/>
      <c r="AO652" s="564"/>
    </row>
    <row r="653" spans="2:41" x14ac:dyDescent="0.15">
      <c r="B653" s="565">
        <v>-21</v>
      </c>
      <c r="C653" s="564"/>
      <c r="D653" s="564"/>
      <c r="E653" s="564"/>
      <c r="F653" s="564"/>
      <c r="G653" s="564"/>
      <c r="H653" s="564"/>
      <c r="I653" s="564"/>
      <c r="J653" s="564"/>
      <c r="K653" s="564"/>
      <c r="L653" s="564"/>
      <c r="M653" s="564"/>
      <c r="N653" s="564"/>
      <c r="O653" s="564"/>
      <c r="P653" s="564"/>
      <c r="Q653" s="564"/>
      <c r="R653" s="564"/>
      <c r="S653" s="564"/>
      <c r="T653" s="564"/>
      <c r="U653" s="564"/>
      <c r="V653" s="564"/>
      <c r="W653" s="564"/>
      <c r="X653" s="564"/>
      <c r="Y653" s="564"/>
      <c r="Z653" s="564"/>
      <c r="AA653" s="564"/>
      <c r="AB653" s="564"/>
      <c r="AC653" s="564"/>
      <c r="AD653" s="564"/>
      <c r="AE653" s="564"/>
      <c r="AF653" s="564"/>
      <c r="AG653" s="564"/>
      <c r="AH653" s="564"/>
      <c r="AI653" s="564"/>
      <c r="AJ653" s="564"/>
      <c r="AK653" s="564"/>
      <c r="AL653" s="564"/>
      <c r="AM653" s="564"/>
      <c r="AN653" s="564"/>
      <c r="AO653" s="564"/>
    </row>
    <row r="654" spans="2:41" x14ac:dyDescent="0.15">
      <c r="B654" s="565">
        <v>-20</v>
      </c>
      <c r="C654" s="564"/>
      <c r="D654" s="564"/>
      <c r="E654" s="564"/>
      <c r="F654" s="564"/>
      <c r="G654" s="564"/>
      <c r="H654" s="564"/>
      <c r="I654" s="564"/>
      <c r="J654" s="564"/>
      <c r="K654" s="564"/>
      <c r="L654" s="564"/>
      <c r="M654" s="564"/>
      <c r="N654" s="564"/>
      <c r="O654" s="564"/>
      <c r="P654" s="564"/>
      <c r="Q654" s="564"/>
      <c r="R654" s="564"/>
      <c r="S654" s="564"/>
      <c r="T654" s="564"/>
      <c r="U654" s="564"/>
      <c r="V654" s="564"/>
      <c r="W654" s="564"/>
      <c r="X654" s="564"/>
      <c r="Y654" s="564"/>
      <c r="Z654" s="564"/>
      <c r="AA654" s="564"/>
      <c r="AB654" s="564"/>
      <c r="AC654" s="564"/>
      <c r="AD654" s="564"/>
      <c r="AE654" s="564"/>
      <c r="AF654" s="564"/>
      <c r="AG654" s="564"/>
      <c r="AH654" s="564"/>
      <c r="AI654" s="564"/>
      <c r="AJ654" s="564"/>
      <c r="AK654" s="564"/>
      <c r="AL654" s="564"/>
      <c r="AM654" s="564"/>
      <c r="AN654" s="564"/>
      <c r="AO654" s="564"/>
    </row>
    <row r="655" spans="2:41" x14ac:dyDescent="0.15">
      <c r="B655" s="565">
        <v>-19</v>
      </c>
      <c r="C655" s="564"/>
      <c r="D655" s="564"/>
      <c r="E655" s="564"/>
      <c r="F655" s="564"/>
      <c r="G655" s="564"/>
      <c r="H655" s="564"/>
      <c r="I655" s="564"/>
      <c r="J655" s="564"/>
      <c r="K655" s="564"/>
      <c r="L655" s="564"/>
      <c r="M655" s="564"/>
      <c r="N655" s="564"/>
      <c r="O655" s="564"/>
      <c r="P655" s="564"/>
      <c r="Q655" s="564"/>
      <c r="R655" s="564"/>
      <c r="S655" s="564"/>
      <c r="T655" s="564"/>
      <c r="U655" s="564"/>
      <c r="V655" s="564"/>
      <c r="W655" s="564"/>
      <c r="X655" s="564"/>
      <c r="Y655" s="564"/>
      <c r="Z655" s="564"/>
      <c r="AA655" s="564"/>
      <c r="AB655" s="564"/>
      <c r="AC655" s="564"/>
      <c r="AD655" s="564"/>
      <c r="AE655" s="564"/>
      <c r="AF655" s="564"/>
      <c r="AG655" s="564"/>
      <c r="AH655" s="564"/>
      <c r="AI655" s="564"/>
      <c r="AJ655" s="564"/>
      <c r="AK655" s="564"/>
      <c r="AL655" s="564"/>
      <c r="AM655" s="564"/>
      <c r="AN655" s="564"/>
      <c r="AO655" s="564"/>
    </row>
    <row r="656" spans="2:41" x14ac:dyDescent="0.15">
      <c r="B656" s="565">
        <v>-18</v>
      </c>
      <c r="C656" s="564"/>
      <c r="D656" s="564"/>
      <c r="E656" s="564"/>
      <c r="F656" s="564"/>
      <c r="G656" s="564"/>
      <c r="H656" s="564"/>
      <c r="I656" s="564"/>
      <c r="J656" s="564"/>
      <c r="K656" s="564"/>
      <c r="L656" s="564"/>
      <c r="M656" s="564"/>
      <c r="N656" s="564"/>
      <c r="O656" s="564"/>
      <c r="P656" s="564"/>
      <c r="Q656" s="564"/>
      <c r="R656" s="564"/>
      <c r="S656" s="564"/>
      <c r="T656" s="564"/>
      <c r="U656" s="564"/>
      <c r="V656" s="564"/>
      <c r="W656" s="564"/>
      <c r="X656" s="564"/>
      <c r="Y656" s="564"/>
      <c r="Z656" s="564"/>
      <c r="AA656" s="564"/>
      <c r="AB656" s="564"/>
      <c r="AC656" s="564"/>
      <c r="AD656" s="564"/>
      <c r="AE656" s="564"/>
      <c r="AF656" s="564"/>
      <c r="AG656" s="564"/>
      <c r="AH656" s="564"/>
      <c r="AI656" s="564"/>
      <c r="AJ656" s="564"/>
      <c r="AK656" s="564"/>
      <c r="AL656" s="564"/>
      <c r="AM656" s="564"/>
      <c r="AN656" s="564"/>
      <c r="AO656" s="564"/>
    </row>
    <row r="657" spans="2:41" x14ac:dyDescent="0.15">
      <c r="B657" s="565">
        <v>-17</v>
      </c>
      <c r="C657" s="564"/>
      <c r="D657" s="564"/>
      <c r="E657" s="564"/>
      <c r="F657" s="564"/>
      <c r="G657" s="564"/>
      <c r="H657" s="564"/>
      <c r="I657" s="564"/>
      <c r="J657" s="564"/>
      <c r="K657" s="564"/>
      <c r="L657" s="564"/>
      <c r="M657" s="564"/>
      <c r="N657" s="564"/>
      <c r="O657" s="564"/>
      <c r="P657" s="564"/>
      <c r="Q657" s="564"/>
      <c r="R657" s="564"/>
      <c r="S657" s="564"/>
      <c r="T657" s="564"/>
      <c r="U657" s="564"/>
      <c r="V657" s="564"/>
      <c r="W657" s="564"/>
      <c r="X657" s="564"/>
      <c r="Y657" s="564"/>
      <c r="Z657" s="564"/>
      <c r="AA657" s="564"/>
      <c r="AB657" s="564"/>
      <c r="AC657" s="564"/>
      <c r="AD657" s="564"/>
      <c r="AE657" s="564"/>
      <c r="AF657" s="564"/>
      <c r="AG657" s="564"/>
      <c r="AH657" s="564"/>
      <c r="AI657" s="564"/>
      <c r="AJ657" s="564"/>
      <c r="AK657" s="564"/>
      <c r="AL657" s="564"/>
      <c r="AM657" s="564"/>
      <c r="AN657" s="564"/>
      <c r="AO657" s="564"/>
    </row>
    <row r="658" spans="2:41" x14ac:dyDescent="0.15">
      <c r="B658" s="565">
        <v>-16</v>
      </c>
      <c r="C658" s="564"/>
      <c r="D658" s="564"/>
      <c r="E658" s="564"/>
      <c r="F658" s="564"/>
      <c r="G658" s="564"/>
      <c r="H658" s="564"/>
      <c r="I658" s="564"/>
      <c r="J658" s="564"/>
      <c r="K658" s="564"/>
      <c r="L658" s="564"/>
      <c r="M658" s="564"/>
      <c r="N658" s="564"/>
      <c r="O658" s="564"/>
      <c r="P658" s="564"/>
      <c r="Q658" s="564"/>
      <c r="R658" s="564"/>
      <c r="S658" s="564"/>
      <c r="T658" s="564"/>
      <c r="U658" s="564"/>
      <c r="V658" s="564"/>
      <c r="W658" s="564"/>
      <c r="X658" s="564"/>
      <c r="Y658" s="564"/>
      <c r="Z658" s="564"/>
      <c r="AA658" s="564"/>
      <c r="AB658" s="564"/>
      <c r="AC658" s="564"/>
      <c r="AD658" s="564"/>
      <c r="AE658" s="564"/>
      <c r="AF658" s="564"/>
      <c r="AG658" s="564"/>
      <c r="AH658" s="564"/>
      <c r="AI658" s="564"/>
      <c r="AJ658" s="564"/>
      <c r="AK658" s="564"/>
      <c r="AL658" s="564"/>
      <c r="AM658" s="564"/>
      <c r="AN658" s="564"/>
      <c r="AO658" s="564"/>
    </row>
    <row r="659" spans="2:41" x14ac:dyDescent="0.15">
      <c r="B659" s="565">
        <v>-15</v>
      </c>
      <c r="C659" s="564"/>
      <c r="D659" s="564"/>
      <c r="E659" s="564"/>
      <c r="F659" s="564"/>
      <c r="G659" s="564"/>
      <c r="H659" s="564"/>
      <c r="I659" s="564"/>
      <c r="J659" s="564"/>
      <c r="K659" s="564"/>
      <c r="L659" s="564"/>
      <c r="M659" s="564"/>
      <c r="N659" s="564"/>
      <c r="O659" s="564"/>
      <c r="P659" s="564"/>
      <c r="Q659" s="564"/>
      <c r="R659" s="564"/>
      <c r="S659" s="564"/>
      <c r="T659" s="564"/>
      <c r="U659" s="564"/>
      <c r="V659" s="564"/>
      <c r="W659" s="564"/>
      <c r="X659" s="564"/>
      <c r="Y659" s="564"/>
      <c r="Z659" s="564"/>
      <c r="AA659" s="564"/>
      <c r="AB659" s="564"/>
      <c r="AC659" s="564"/>
      <c r="AD659" s="564"/>
      <c r="AE659" s="564"/>
      <c r="AF659" s="564"/>
      <c r="AG659" s="564"/>
      <c r="AH659" s="564"/>
      <c r="AI659" s="564"/>
      <c r="AJ659" s="564"/>
      <c r="AK659" s="564"/>
      <c r="AL659" s="564"/>
      <c r="AM659" s="564"/>
      <c r="AN659" s="564"/>
      <c r="AO659" s="564"/>
    </row>
    <row r="660" spans="2:41" x14ac:dyDescent="0.15">
      <c r="B660" s="565">
        <v>-14</v>
      </c>
      <c r="C660" s="564"/>
      <c r="D660" s="564"/>
      <c r="E660" s="564"/>
      <c r="F660" s="564"/>
      <c r="G660" s="564"/>
      <c r="H660" s="564"/>
      <c r="I660" s="564"/>
      <c r="J660" s="564"/>
      <c r="K660" s="564"/>
      <c r="L660" s="564"/>
      <c r="M660" s="564"/>
      <c r="N660" s="564"/>
      <c r="O660" s="564"/>
      <c r="P660" s="564"/>
      <c r="Q660" s="564"/>
      <c r="R660" s="564"/>
      <c r="S660" s="564"/>
      <c r="T660" s="564"/>
      <c r="U660" s="564"/>
      <c r="V660" s="564"/>
      <c r="W660" s="564"/>
      <c r="X660" s="564"/>
      <c r="Y660" s="564"/>
      <c r="Z660" s="564"/>
      <c r="AA660" s="564"/>
      <c r="AB660" s="564"/>
      <c r="AC660" s="564"/>
      <c r="AD660" s="564"/>
      <c r="AE660" s="564"/>
      <c r="AF660" s="564"/>
      <c r="AG660" s="564"/>
      <c r="AH660" s="564"/>
      <c r="AI660" s="564"/>
      <c r="AJ660" s="564"/>
      <c r="AK660" s="564"/>
      <c r="AL660" s="564"/>
      <c r="AM660" s="564"/>
      <c r="AN660" s="564"/>
      <c r="AO660" s="564"/>
    </row>
    <row r="661" spans="2:41" x14ac:dyDescent="0.15">
      <c r="B661" s="565">
        <v>-13</v>
      </c>
      <c r="C661" s="564"/>
      <c r="D661" s="564"/>
      <c r="E661" s="564"/>
      <c r="F661" s="564"/>
      <c r="G661" s="564"/>
      <c r="H661" s="564"/>
      <c r="I661" s="564"/>
      <c r="J661" s="564"/>
      <c r="K661" s="564"/>
      <c r="L661" s="564"/>
      <c r="M661" s="564"/>
      <c r="N661" s="564"/>
      <c r="O661" s="564"/>
      <c r="P661" s="564"/>
      <c r="Q661" s="564"/>
      <c r="R661" s="564"/>
      <c r="S661" s="564"/>
      <c r="T661" s="564"/>
      <c r="U661" s="564"/>
      <c r="V661" s="564"/>
      <c r="W661" s="564"/>
      <c r="X661" s="564"/>
      <c r="Y661" s="564"/>
      <c r="Z661" s="564"/>
      <c r="AA661" s="564"/>
      <c r="AB661" s="564"/>
      <c r="AC661" s="564"/>
      <c r="AD661" s="564"/>
      <c r="AE661" s="564"/>
      <c r="AF661" s="564"/>
      <c r="AG661" s="564"/>
      <c r="AH661" s="564"/>
      <c r="AI661" s="564"/>
      <c r="AJ661" s="564"/>
      <c r="AK661" s="564"/>
      <c r="AL661" s="564"/>
      <c r="AM661" s="564"/>
      <c r="AN661" s="564"/>
      <c r="AO661" s="564"/>
    </row>
    <row r="662" spans="2:41" x14ac:dyDescent="0.15">
      <c r="B662" s="565">
        <v>-12</v>
      </c>
      <c r="C662" s="564"/>
      <c r="D662" s="564"/>
      <c r="E662" s="564"/>
      <c r="F662" s="564"/>
      <c r="G662" s="564"/>
      <c r="H662" s="564"/>
      <c r="I662" s="564"/>
      <c r="J662" s="564"/>
      <c r="K662" s="564"/>
      <c r="L662" s="564"/>
      <c r="M662" s="564"/>
      <c r="N662" s="564"/>
      <c r="O662" s="564"/>
      <c r="P662" s="564"/>
      <c r="Q662" s="564"/>
      <c r="R662" s="564"/>
      <c r="S662" s="564"/>
      <c r="T662" s="564"/>
      <c r="U662" s="564"/>
      <c r="V662" s="564"/>
      <c r="W662" s="564"/>
      <c r="X662" s="564"/>
      <c r="Y662" s="564"/>
      <c r="Z662" s="564"/>
      <c r="AA662" s="564"/>
      <c r="AB662" s="564"/>
      <c r="AC662" s="564"/>
      <c r="AD662" s="564"/>
      <c r="AE662" s="564"/>
      <c r="AF662" s="564"/>
      <c r="AG662" s="564"/>
      <c r="AH662" s="564"/>
      <c r="AI662" s="564"/>
      <c r="AJ662" s="564"/>
      <c r="AK662" s="564"/>
      <c r="AL662" s="564"/>
      <c r="AM662" s="564"/>
      <c r="AN662" s="564"/>
      <c r="AO662" s="564"/>
    </row>
    <row r="663" spans="2:41" x14ac:dyDescent="0.15">
      <c r="B663" s="565">
        <v>-11</v>
      </c>
      <c r="C663" s="564"/>
      <c r="D663" s="564"/>
      <c r="E663" s="564"/>
      <c r="F663" s="564"/>
      <c r="G663" s="564"/>
      <c r="H663" s="564"/>
      <c r="I663" s="564"/>
      <c r="J663" s="564"/>
      <c r="K663" s="564"/>
      <c r="L663" s="564"/>
      <c r="M663" s="564"/>
      <c r="N663" s="564"/>
      <c r="O663" s="564"/>
      <c r="P663" s="564"/>
      <c r="Q663" s="564"/>
      <c r="R663" s="564"/>
      <c r="S663" s="564"/>
      <c r="T663" s="564"/>
      <c r="U663" s="564"/>
      <c r="V663" s="564"/>
      <c r="W663" s="564"/>
      <c r="X663" s="564"/>
      <c r="Y663" s="564"/>
      <c r="Z663" s="564"/>
      <c r="AA663" s="564"/>
      <c r="AB663" s="564"/>
      <c r="AC663" s="564"/>
      <c r="AD663" s="564"/>
      <c r="AE663" s="564"/>
      <c r="AF663" s="564"/>
      <c r="AG663" s="564"/>
      <c r="AH663" s="564"/>
      <c r="AI663" s="564"/>
      <c r="AJ663" s="564"/>
      <c r="AK663" s="564"/>
      <c r="AL663" s="564"/>
      <c r="AM663" s="564"/>
      <c r="AN663" s="564"/>
      <c r="AO663" s="564"/>
    </row>
    <row r="664" spans="2:41" x14ac:dyDescent="0.15">
      <c r="B664" s="565">
        <v>-10</v>
      </c>
      <c r="C664" s="564"/>
      <c r="D664" s="564"/>
      <c r="E664" s="564"/>
      <c r="F664" s="564"/>
      <c r="G664" s="564"/>
      <c r="H664" s="564"/>
      <c r="I664" s="564"/>
      <c r="J664" s="564"/>
      <c r="K664" s="564"/>
      <c r="L664" s="564"/>
      <c r="M664" s="564"/>
      <c r="N664" s="564"/>
      <c r="O664" s="564"/>
      <c r="P664" s="564"/>
      <c r="Q664" s="564"/>
      <c r="R664" s="564"/>
      <c r="S664" s="564"/>
      <c r="T664" s="564"/>
      <c r="U664" s="564"/>
      <c r="V664" s="564"/>
      <c r="W664" s="564"/>
      <c r="X664" s="564"/>
      <c r="Y664" s="564"/>
      <c r="Z664" s="564"/>
      <c r="AA664" s="564"/>
      <c r="AB664" s="564"/>
      <c r="AC664" s="564"/>
      <c r="AD664" s="564"/>
      <c r="AE664" s="564"/>
      <c r="AF664" s="564"/>
      <c r="AG664" s="564"/>
      <c r="AH664" s="564"/>
      <c r="AI664" s="564"/>
      <c r="AJ664" s="564"/>
      <c r="AK664" s="564"/>
      <c r="AL664" s="564"/>
      <c r="AM664" s="564"/>
      <c r="AN664" s="564"/>
      <c r="AO664" s="564"/>
    </row>
    <row r="665" spans="2:41" x14ac:dyDescent="0.15">
      <c r="B665" s="565">
        <v>-9</v>
      </c>
      <c r="C665" s="564"/>
      <c r="D665" s="564"/>
      <c r="E665" s="564"/>
      <c r="F665" s="564"/>
      <c r="G665" s="564"/>
      <c r="H665" s="564"/>
      <c r="I665" s="564"/>
      <c r="J665" s="564"/>
      <c r="K665" s="564"/>
      <c r="L665" s="564"/>
      <c r="M665" s="564"/>
      <c r="N665" s="564"/>
      <c r="O665" s="564"/>
      <c r="P665" s="564"/>
      <c r="Q665" s="564"/>
      <c r="R665" s="564"/>
      <c r="S665" s="564"/>
      <c r="T665" s="564"/>
      <c r="U665" s="564"/>
      <c r="V665" s="564"/>
      <c r="W665" s="564"/>
      <c r="X665" s="564"/>
      <c r="Y665" s="564"/>
      <c r="Z665" s="564"/>
      <c r="AA665" s="564"/>
      <c r="AB665" s="564"/>
      <c r="AC665" s="564"/>
      <c r="AD665" s="564"/>
      <c r="AE665" s="564"/>
      <c r="AF665" s="564"/>
      <c r="AG665" s="564"/>
      <c r="AH665" s="564"/>
      <c r="AI665" s="564"/>
      <c r="AJ665" s="564"/>
      <c r="AK665" s="564"/>
      <c r="AL665" s="564"/>
      <c r="AM665" s="564"/>
      <c r="AN665" s="564"/>
      <c r="AO665" s="564"/>
    </row>
    <row r="666" spans="2:41" x14ac:dyDescent="0.15">
      <c r="B666" s="565">
        <v>-8</v>
      </c>
      <c r="C666" s="564"/>
      <c r="D666" s="564"/>
      <c r="E666" s="564"/>
      <c r="F666" s="564"/>
      <c r="G666" s="564"/>
      <c r="H666" s="564"/>
      <c r="I666" s="564"/>
      <c r="J666" s="564"/>
      <c r="K666" s="564"/>
      <c r="L666" s="564"/>
      <c r="M666" s="564"/>
      <c r="N666" s="564"/>
      <c r="O666" s="564"/>
      <c r="P666" s="564"/>
      <c r="Q666" s="564"/>
      <c r="R666" s="564"/>
      <c r="S666" s="564"/>
      <c r="T666" s="564"/>
      <c r="U666" s="564"/>
      <c r="V666" s="564"/>
      <c r="W666" s="564"/>
      <c r="X666" s="564"/>
      <c r="Y666" s="564"/>
      <c r="Z666" s="564"/>
      <c r="AA666" s="564"/>
      <c r="AB666" s="564"/>
      <c r="AC666" s="564"/>
      <c r="AD666" s="564"/>
      <c r="AE666" s="564"/>
      <c r="AF666" s="564"/>
      <c r="AG666" s="564"/>
      <c r="AH666" s="564"/>
      <c r="AI666" s="564"/>
      <c r="AJ666" s="564"/>
      <c r="AK666" s="564"/>
      <c r="AL666" s="564"/>
      <c r="AM666" s="564"/>
      <c r="AN666" s="564"/>
      <c r="AO666" s="564"/>
    </row>
    <row r="667" spans="2:41" x14ac:dyDescent="0.15">
      <c r="B667" s="565">
        <v>-7</v>
      </c>
      <c r="C667" s="564"/>
      <c r="D667" s="564"/>
      <c r="E667" s="564"/>
      <c r="F667" s="564"/>
      <c r="G667" s="564"/>
      <c r="H667" s="564"/>
      <c r="I667" s="564"/>
      <c r="J667" s="564"/>
      <c r="K667" s="564"/>
      <c r="L667" s="564"/>
      <c r="M667" s="564"/>
      <c r="N667" s="564"/>
      <c r="O667" s="564"/>
      <c r="P667" s="564"/>
      <c r="Q667" s="564"/>
      <c r="R667" s="564"/>
      <c r="S667" s="564"/>
      <c r="T667" s="564"/>
      <c r="U667" s="564"/>
      <c r="V667" s="564"/>
      <c r="W667" s="564"/>
      <c r="X667" s="564"/>
      <c r="Y667" s="564"/>
      <c r="Z667" s="564"/>
      <c r="AA667" s="564"/>
      <c r="AB667" s="564"/>
      <c r="AC667" s="564"/>
      <c r="AD667" s="564"/>
      <c r="AE667" s="564"/>
      <c r="AF667" s="564"/>
      <c r="AG667" s="564"/>
      <c r="AH667" s="564"/>
      <c r="AI667" s="564"/>
      <c r="AJ667" s="564"/>
      <c r="AK667" s="564"/>
      <c r="AL667" s="564"/>
      <c r="AM667" s="564"/>
      <c r="AN667" s="564"/>
      <c r="AO667" s="564"/>
    </row>
    <row r="668" spans="2:41" x14ac:dyDescent="0.15">
      <c r="B668" s="565">
        <v>-6</v>
      </c>
      <c r="C668" s="564"/>
      <c r="D668" s="564"/>
      <c r="E668" s="564"/>
      <c r="F668" s="564"/>
      <c r="G668" s="564"/>
      <c r="H668" s="564"/>
      <c r="I668" s="564"/>
      <c r="J668" s="564"/>
      <c r="K668" s="564"/>
      <c r="L668" s="564"/>
      <c r="M668" s="564"/>
      <c r="N668" s="564"/>
      <c r="O668" s="564"/>
      <c r="P668" s="564"/>
      <c r="Q668" s="564"/>
      <c r="R668" s="564"/>
      <c r="S668" s="564"/>
      <c r="T668" s="564"/>
      <c r="U668" s="564"/>
      <c r="V668" s="564"/>
      <c r="W668" s="564"/>
      <c r="X668" s="564"/>
      <c r="Y668" s="564"/>
      <c r="Z668" s="564"/>
      <c r="AA668" s="564"/>
      <c r="AB668" s="564"/>
      <c r="AC668" s="564"/>
      <c r="AD668" s="564"/>
      <c r="AE668" s="564"/>
      <c r="AF668" s="564"/>
      <c r="AG668" s="564"/>
      <c r="AH668" s="564"/>
      <c r="AI668" s="564"/>
      <c r="AJ668" s="564"/>
      <c r="AK668" s="564"/>
      <c r="AL668" s="564"/>
      <c r="AM668" s="564"/>
      <c r="AN668" s="564"/>
      <c r="AO668" s="564"/>
    </row>
    <row r="669" spans="2:41" x14ac:dyDescent="0.15">
      <c r="B669" s="565">
        <v>-5</v>
      </c>
      <c r="C669" s="564"/>
      <c r="D669" s="564"/>
      <c r="E669" s="564"/>
      <c r="F669" s="564"/>
      <c r="G669" s="564"/>
      <c r="H669" s="564"/>
      <c r="I669" s="564"/>
      <c r="J669" s="564"/>
      <c r="K669" s="564"/>
      <c r="L669" s="564"/>
      <c r="M669" s="564"/>
      <c r="N669" s="564"/>
      <c r="O669" s="564"/>
      <c r="P669" s="564"/>
      <c r="Q669" s="564"/>
      <c r="R669" s="564"/>
      <c r="S669" s="564"/>
      <c r="T669" s="564"/>
      <c r="U669" s="564"/>
      <c r="V669" s="564"/>
      <c r="W669" s="564"/>
      <c r="X669" s="564"/>
      <c r="Y669" s="564"/>
      <c r="Z669" s="564"/>
      <c r="AA669" s="564"/>
      <c r="AB669" s="564"/>
      <c r="AC669" s="564"/>
      <c r="AD669" s="564"/>
      <c r="AE669" s="564"/>
      <c r="AF669" s="564"/>
      <c r="AG669" s="564"/>
      <c r="AH669" s="564"/>
      <c r="AI669" s="564"/>
      <c r="AJ669" s="564"/>
      <c r="AK669" s="564"/>
      <c r="AL669" s="564"/>
      <c r="AM669" s="564"/>
      <c r="AN669" s="564"/>
      <c r="AO669" s="564"/>
    </row>
    <row r="670" spans="2:41" x14ac:dyDescent="0.15">
      <c r="B670" s="565">
        <v>-4</v>
      </c>
      <c r="C670" s="564"/>
      <c r="D670" s="564"/>
      <c r="E670" s="564"/>
      <c r="F670" s="564"/>
      <c r="G670" s="564"/>
      <c r="H670" s="564"/>
      <c r="I670" s="564"/>
      <c r="J670" s="564"/>
      <c r="K670" s="564"/>
      <c r="L670" s="564"/>
      <c r="M670" s="564"/>
      <c r="N670" s="564"/>
      <c r="O670" s="564"/>
      <c r="P670" s="564"/>
      <c r="Q670" s="564"/>
      <c r="R670" s="564"/>
      <c r="S670" s="564"/>
      <c r="T670" s="564"/>
      <c r="U670" s="564"/>
      <c r="V670" s="564"/>
      <c r="W670" s="564"/>
      <c r="X670" s="564"/>
      <c r="Y670" s="564"/>
      <c r="Z670" s="564"/>
      <c r="AA670" s="564"/>
      <c r="AB670" s="564"/>
      <c r="AC670" s="564"/>
      <c r="AD670" s="564"/>
      <c r="AE670" s="564"/>
      <c r="AF670" s="564"/>
      <c r="AG670" s="564"/>
      <c r="AH670" s="564"/>
      <c r="AI670" s="564"/>
      <c r="AJ670" s="564"/>
      <c r="AK670" s="564"/>
      <c r="AL670" s="564"/>
      <c r="AM670" s="564"/>
      <c r="AN670" s="564"/>
      <c r="AO670" s="564"/>
    </row>
    <row r="671" spans="2:41" x14ac:dyDescent="0.15">
      <c r="B671" s="565">
        <v>-3</v>
      </c>
      <c r="C671" s="564"/>
      <c r="D671" s="564"/>
      <c r="E671" s="564"/>
      <c r="F671" s="564"/>
      <c r="G671" s="564"/>
      <c r="H671" s="564"/>
      <c r="I671" s="564"/>
      <c r="J671" s="564"/>
      <c r="K671" s="564"/>
      <c r="L671" s="564"/>
      <c r="M671" s="564"/>
      <c r="N671" s="564"/>
      <c r="O671" s="564"/>
      <c r="P671" s="564"/>
      <c r="Q671" s="564"/>
      <c r="R671" s="564"/>
      <c r="S671" s="564"/>
      <c r="T671" s="564"/>
      <c r="U671" s="564"/>
      <c r="V671" s="564"/>
      <c r="W671" s="564"/>
      <c r="X671" s="564"/>
      <c r="Y671" s="564"/>
      <c r="Z671" s="564"/>
      <c r="AA671" s="564"/>
      <c r="AB671" s="564"/>
      <c r="AC671" s="564"/>
      <c r="AD671" s="564"/>
      <c r="AE671" s="564"/>
      <c r="AF671" s="564"/>
      <c r="AG671" s="564"/>
      <c r="AH671" s="564"/>
      <c r="AI671" s="564"/>
      <c r="AJ671" s="564"/>
      <c r="AK671" s="564"/>
      <c r="AL671" s="564"/>
      <c r="AM671" s="564"/>
      <c r="AN671" s="564"/>
      <c r="AO671" s="564"/>
    </row>
    <row r="672" spans="2:41" x14ac:dyDescent="0.15">
      <c r="B672" s="565">
        <v>-2</v>
      </c>
      <c r="C672" s="564"/>
      <c r="D672" s="564"/>
      <c r="E672" s="564"/>
      <c r="F672" s="564"/>
      <c r="G672" s="564"/>
      <c r="H672" s="564"/>
      <c r="I672" s="564"/>
      <c r="J672" s="564"/>
      <c r="K672" s="564"/>
      <c r="L672" s="564"/>
      <c r="M672" s="564"/>
      <c r="N672" s="564"/>
      <c r="O672" s="564"/>
      <c r="P672" s="564"/>
      <c r="Q672" s="564"/>
      <c r="R672" s="564"/>
      <c r="S672" s="564"/>
      <c r="T672" s="564"/>
      <c r="U672" s="564"/>
      <c r="V672" s="564"/>
      <c r="W672" s="564"/>
      <c r="X672" s="564"/>
      <c r="Y672" s="564"/>
      <c r="Z672" s="564"/>
      <c r="AA672" s="564"/>
      <c r="AB672" s="564"/>
      <c r="AC672" s="564"/>
      <c r="AD672" s="564"/>
      <c r="AE672" s="564"/>
      <c r="AF672" s="564"/>
      <c r="AG672" s="564"/>
      <c r="AH672" s="564"/>
      <c r="AI672" s="564"/>
      <c r="AJ672" s="564"/>
      <c r="AK672" s="564"/>
      <c r="AL672" s="564"/>
      <c r="AM672" s="564"/>
      <c r="AN672" s="564"/>
      <c r="AO672" s="564"/>
    </row>
    <row r="673" spans="2:41" x14ac:dyDescent="0.15">
      <c r="B673" s="565">
        <v>-1</v>
      </c>
      <c r="C673" s="564"/>
      <c r="D673" s="564"/>
      <c r="E673" s="564"/>
      <c r="F673" s="564"/>
      <c r="G673" s="564"/>
      <c r="H673" s="564"/>
      <c r="I673" s="564"/>
      <c r="J673" s="564"/>
      <c r="K673" s="564"/>
      <c r="L673" s="564"/>
      <c r="M673" s="564"/>
      <c r="N673" s="564"/>
      <c r="O673" s="564"/>
      <c r="P673" s="564"/>
      <c r="Q673" s="564"/>
      <c r="R673" s="564"/>
      <c r="S673" s="564"/>
      <c r="T673" s="564"/>
      <c r="U673" s="564"/>
      <c r="V673" s="564"/>
      <c r="W673" s="564"/>
      <c r="X673" s="564"/>
      <c r="Y673" s="564"/>
      <c r="Z673" s="564"/>
      <c r="AA673" s="564"/>
      <c r="AB673" s="564"/>
      <c r="AC673" s="564"/>
      <c r="AD673" s="564"/>
      <c r="AE673" s="564"/>
      <c r="AF673" s="564"/>
      <c r="AG673" s="564"/>
      <c r="AH673" s="564"/>
      <c r="AI673" s="564"/>
      <c r="AJ673" s="564"/>
      <c r="AK673" s="564"/>
      <c r="AL673" s="564"/>
      <c r="AM673" s="564"/>
      <c r="AN673" s="564"/>
      <c r="AO673" s="564"/>
    </row>
    <row r="674" spans="2:41" x14ac:dyDescent="0.15">
      <c r="B674" s="565">
        <v>0</v>
      </c>
      <c r="C674" s="564"/>
      <c r="D674" s="564"/>
      <c r="E674" s="564"/>
      <c r="F674" s="564"/>
      <c r="G674" s="564"/>
      <c r="H674" s="564"/>
      <c r="I674" s="564"/>
      <c r="J674" s="564"/>
      <c r="K674" s="564"/>
      <c r="L674" s="564"/>
      <c r="M674" s="564"/>
      <c r="N674" s="564"/>
      <c r="O674" s="564"/>
      <c r="P674" s="564"/>
      <c r="Q674" s="564"/>
      <c r="R674" s="564"/>
      <c r="S674" s="564"/>
      <c r="T674" s="564"/>
      <c r="U674" s="564"/>
      <c r="V674" s="564"/>
      <c r="W674" s="564"/>
      <c r="X674" s="564"/>
      <c r="Y674" s="564"/>
      <c r="Z674" s="564"/>
      <c r="AA674" s="564"/>
      <c r="AB674" s="564"/>
      <c r="AC674" s="564"/>
      <c r="AD674" s="564"/>
      <c r="AE674" s="564"/>
      <c r="AF674" s="564"/>
      <c r="AG674" s="564"/>
      <c r="AH674" s="564"/>
      <c r="AI674" s="564"/>
      <c r="AJ674" s="564"/>
      <c r="AK674" s="564"/>
      <c r="AL674" s="564"/>
      <c r="AM674" s="564"/>
      <c r="AN674" s="564"/>
      <c r="AO674" s="564"/>
    </row>
    <row r="675" spans="2:41" x14ac:dyDescent="0.15">
      <c r="B675" s="565">
        <v>1</v>
      </c>
      <c r="C675" s="564"/>
      <c r="D675" s="564"/>
      <c r="E675" s="564"/>
      <c r="F675" s="564"/>
      <c r="G675" s="564"/>
      <c r="H675" s="564"/>
      <c r="I675" s="564"/>
      <c r="J675" s="564"/>
      <c r="K675" s="564"/>
      <c r="L675" s="564"/>
      <c r="M675" s="564"/>
      <c r="N675" s="564"/>
      <c r="O675" s="564"/>
      <c r="P675" s="564"/>
      <c r="Q675" s="564"/>
      <c r="R675" s="564"/>
      <c r="S675" s="564"/>
      <c r="T675" s="564"/>
      <c r="U675" s="564"/>
      <c r="V675" s="564"/>
      <c r="W675" s="564"/>
      <c r="X675" s="564"/>
      <c r="Y675" s="564"/>
      <c r="Z675" s="564"/>
      <c r="AA675" s="564"/>
      <c r="AB675" s="564"/>
      <c r="AC675" s="564"/>
      <c r="AD675" s="564"/>
      <c r="AE675" s="564"/>
      <c r="AF675" s="564"/>
      <c r="AG675" s="564"/>
      <c r="AH675" s="564"/>
      <c r="AI675" s="564"/>
      <c r="AJ675" s="564"/>
      <c r="AK675" s="564"/>
      <c r="AL675" s="564"/>
      <c r="AM675" s="564"/>
      <c r="AN675" s="564"/>
      <c r="AO675" s="564"/>
    </row>
    <row r="676" spans="2:41" x14ac:dyDescent="0.15">
      <c r="B676" s="565">
        <v>2</v>
      </c>
      <c r="C676" s="564"/>
      <c r="D676" s="564"/>
      <c r="E676" s="564"/>
      <c r="F676" s="564"/>
      <c r="G676" s="564"/>
      <c r="H676" s="564"/>
      <c r="I676" s="564"/>
      <c r="J676" s="564"/>
      <c r="K676" s="564"/>
      <c r="L676" s="564"/>
      <c r="M676" s="564"/>
      <c r="N676" s="564"/>
      <c r="O676" s="564"/>
      <c r="P676" s="564"/>
      <c r="Q676" s="564"/>
      <c r="R676" s="564"/>
      <c r="S676" s="564"/>
      <c r="T676" s="564"/>
      <c r="U676" s="564"/>
      <c r="V676" s="564"/>
      <c r="W676" s="564"/>
      <c r="X676" s="564"/>
      <c r="Y676" s="564"/>
      <c r="Z676" s="564"/>
      <c r="AA676" s="564"/>
      <c r="AB676" s="564"/>
      <c r="AC676" s="564"/>
      <c r="AD676" s="564"/>
      <c r="AE676" s="564"/>
      <c r="AF676" s="564"/>
      <c r="AG676" s="564"/>
      <c r="AH676" s="564"/>
      <c r="AI676" s="564"/>
      <c r="AJ676" s="564"/>
      <c r="AK676" s="564"/>
      <c r="AL676" s="564"/>
      <c r="AM676" s="564"/>
      <c r="AN676" s="564"/>
      <c r="AO676" s="564"/>
    </row>
    <row r="677" spans="2:41" x14ac:dyDescent="0.15">
      <c r="B677" s="565">
        <v>3</v>
      </c>
      <c r="C677" s="564"/>
      <c r="D677" s="564"/>
      <c r="E677" s="564"/>
      <c r="F677" s="564"/>
      <c r="G677" s="564"/>
      <c r="H677" s="564"/>
      <c r="I677" s="564"/>
      <c r="J677" s="564"/>
      <c r="K677" s="564"/>
      <c r="L677" s="564"/>
      <c r="M677" s="564"/>
      <c r="N677" s="564"/>
      <c r="O677" s="564"/>
      <c r="P677" s="564"/>
      <c r="Q677" s="564"/>
      <c r="R677" s="564"/>
      <c r="S677" s="564"/>
      <c r="T677" s="564"/>
      <c r="U677" s="564"/>
      <c r="V677" s="564"/>
      <c r="W677" s="564"/>
      <c r="X677" s="564"/>
      <c r="Y677" s="564"/>
      <c r="Z677" s="564"/>
      <c r="AA677" s="564"/>
      <c r="AB677" s="564"/>
      <c r="AC677" s="564"/>
      <c r="AD677" s="564"/>
      <c r="AE677" s="564"/>
      <c r="AF677" s="564"/>
      <c r="AG677" s="564"/>
      <c r="AH677" s="564"/>
      <c r="AI677" s="564"/>
      <c r="AJ677" s="564"/>
      <c r="AK677" s="564"/>
      <c r="AL677" s="564"/>
      <c r="AM677" s="564"/>
      <c r="AN677" s="564"/>
      <c r="AO677" s="564"/>
    </row>
    <row r="678" spans="2:41" x14ac:dyDescent="0.15">
      <c r="B678" s="565">
        <v>4</v>
      </c>
      <c r="C678" s="564"/>
      <c r="D678" s="564"/>
      <c r="E678" s="564"/>
      <c r="F678" s="564"/>
      <c r="G678" s="564"/>
      <c r="H678" s="564"/>
      <c r="I678" s="564"/>
      <c r="J678" s="564"/>
      <c r="K678" s="564"/>
      <c r="L678" s="564"/>
      <c r="M678" s="564"/>
      <c r="N678" s="564"/>
      <c r="O678" s="564"/>
      <c r="P678" s="564"/>
      <c r="Q678" s="564"/>
      <c r="R678" s="564"/>
      <c r="S678" s="564"/>
      <c r="T678" s="564"/>
      <c r="U678" s="564"/>
      <c r="V678" s="564"/>
      <c r="W678" s="564"/>
      <c r="X678" s="564"/>
      <c r="Y678" s="564"/>
      <c r="Z678" s="564"/>
      <c r="AA678" s="564"/>
      <c r="AB678" s="564"/>
      <c r="AC678" s="564"/>
      <c r="AD678" s="564"/>
      <c r="AE678" s="564"/>
      <c r="AF678" s="564"/>
      <c r="AG678" s="564"/>
      <c r="AH678" s="564"/>
      <c r="AI678" s="564"/>
      <c r="AJ678" s="564"/>
      <c r="AK678" s="564"/>
      <c r="AL678" s="564"/>
      <c r="AM678" s="564"/>
      <c r="AN678" s="564"/>
      <c r="AO678" s="564"/>
    </row>
    <row r="679" spans="2:41" x14ac:dyDescent="0.15">
      <c r="B679" s="565">
        <v>5</v>
      </c>
      <c r="C679" s="564"/>
      <c r="D679" s="564"/>
      <c r="E679" s="564"/>
      <c r="F679" s="564"/>
      <c r="G679" s="564"/>
      <c r="H679" s="564"/>
      <c r="I679" s="564"/>
      <c r="J679" s="564"/>
      <c r="K679" s="564"/>
      <c r="L679" s="564"/>
      <c r="M679" s="564"/>
      <c r="N679" s="564"/>
      <c r="O679" s="564"/>
      <c r="P679" s="564"/>
      <c r="Q679" s="564"/>
      <c r="R679" s="564"/>
      <c r="S679" s="564"/>
      <c r="T679" s="564"/>
      <c r="U679" s="564"/>
      <c r="V679" s="564"/>
      <c r="W679" s="564"/>
      <c r="X679" s="564"/>
      <c r="Y679" s="564"/>
      <c r="Z679" s="564"/>
      <c r="AA679" s="564"/>
      <c r="AB679" s="564"/>
      <c r="AC679" s="564"/>
      <c r="AD679" s="564"/>
      <c r="AE679" s="564"/>
      <c r="AF679" s="564"/>
      <c r="AG679" s="564"/>
      <c r="AH679" s="564"/>
      <c r="AI679" s="564"/>
      <c r="AJ679" s="564"/>
      <c r="AK679" s="564"/>
      <c r="AL679" s="564"/>
      <c r="AM679" s="564"/>
      <c r="AN679" s="564"/>
      <c r="AO679" s="564"/>
    </row>
    <row r="680" spans="2:41" x14ac:dyDescent="0.15">
      <c r="B680" s="565">
        <v>6</v>
      </c>
      <c r="C680" s="564"/>
      <c r="D680" s="564"/>
      <c r="E680" s="564"/>
      <c r="F680" s="564"/>
      <c r="G680" s="564"/>
      <c r="H680" s="564"/>
      <c r="I680" s="564"/>
      <c r="J680" s="564"/>
      <c r="K680" s="564"/>
      <c r="L680" s="564"/>
      <c r="M680" s="564"/>
      <c r="N680" s="564"/>
      <c r="O680" s="564"/>
      <c r="P680" s="564"/>
      <c r="Q680" s="564"/>
      <c r="R680" s="564"/>
      <c r="S680" s="564"/>
      <c r="T680" s="564"/>
      <c r="U680" s="564"/>
      <c r="V680" s="564"/>
      <c r="W680" s="564"/>
      <c r="X680" s="564"/>
      <c r="Y680" s="564"/>
      <c r="Z680" s="564"/>
      <c r="AA680" s="564"/>
      <c r="AB680" s="564"/>
      <c r="AC680" s="564"/>
      <c r="AD680" s="564"/>
      <c r="AE680" s="564"/>
      <c r="AF680" s="564"/>
      <c r="AG680" s="564"/>
      <c r="AH680" s="564"/>
      <c r="AI680" s="564"/>
      <c r="AJ680" s="564"/>
      <c r="AK680" s="564"/>
      <c r="AL680" s="564"/>
      <c r="AM680" s="564"/>
      <c r="AN680" s="564"/>
      <c r="AO680" s="564"/>
    </row>
    <row r="681" spans="2:41" x14ac:dyDescent="0.15">
      <c r="B681" s="565">
        <v>7</v>
      </c>
      <c r="C681" s="564"/>
      <c r="D681" s="564"/>
      <c r="E681" s="564"/>
      <c r="F681" s="564"/>
      <c r="G681" s="564"/>
      <c r="H681" s="564"/>
      <c r="I681" s="564"/>
      <c r="J681" s="564"/>
      <c r="K681" s="564"/>
      <c r="L681" s="564"/>
      <c r="M681" s="564"/>
      <c r="N681" s="564"/>
      <c r="O681" s="564"/>
      <c r="P681" s="564"/>
      <c r="Q681" s="564"/>
      <c r="R681" s="564"/>
      <c r="S681" s="564"/>
      <c r="T681" s="564"/>
      <c r="U681" s="564"/>
      <c r="V681" s="564"/>
      <c r="W681" s="564"/>
      <c r="X681" s="564"/>
      <c r="Y681" s="564"/>
      <c r="Z681" s="564"/>
      <c r="AA681" s="564"/>
      <c r="AB681" s="564"/>
      <c r="AC681" s="564"/>
      <c r="AD681" s="564"/>
      <c r="AE681" s="564"/>
      <c r="AF681" s="564"/>
      <c r="AG681" s="564"/>
      <c r="AH681" s="564"/>
      <c r="AI681" s="564"/>
      <c r="AJ681" s="564"/>
      <c r="AK681" s="564"/>
      <c r="AL681" s="564"/>
      <c r="AM681" s="564"/>
      <c r="AN681" s="564"/>
      <c r="AO681" s="564"/>
    </row>
    <row r="682" spans="2:41" x14ac:dyDescent="0.15">
      <c r="B682" s="565">
        <v>8</v>
      </c>
      <c r="C682" s="564"/>
      <c r="D682" s="564"/>
      <c r="E682" s="564"/>
      <c r="F682" s="564"/>
      <c r="G682" s="564"/>
      <c r="H682" s="564"/>
      <c r="I682" s="564"/>
      <c r="J682" s="564"/>
      <c r="K682" s="564"/>
      <c r="L682" s="564"/>
      <c r="M682" s="564"/>
      <c r="N682" s="564"/>
      <c r="O682" s="564"/>
      <c r="P682" s="564"/>
      <c r="Q682" s="564"/>
      <c r="R682" s="564"/>
      <c r="S682" s="564"/>
      <c r="T682" s="564"/>
      <c r="U682" s="564"/>
      <c r="V682" s="564"/>
      <c r="W682" s="564"/>
      <c r="X682" s="564"/>
      <c r="Y682" s="564"/>
      <c r="Z682" s="564"/>
      <c r="AA682" s="564"/>
      <c r="AB682" s="564"/>
      <c r="AC682" s="564"/>
      <c r="AD682" s="564"/>
      <c r="AE682" s="564"/>
      <c r="AF682" s="564"/>
      <c r="AG682" s="564"/>
      <c r="AH682" s="564"/>
      <c r="AI682" s="564"/>
      <c r="AJ682" s="564"/>
      <c r="AK682" s="564"/>
      <c r="AL682" s="564"/>
      <c r="AM682" s="564"/>
      <c r="AN682" s="564"/>
      <c r="AO682" s="564"/>
    </row>
    <row r="683" spans="2:41" x14ac:dyDescent="0.15">
      <c r="B683" s="565">
        <v>9</v>
      </c>
      <c r="C683" s="564"/>
      <c r="D683" s="564"/>
      <c r="E683" s="564"/>
      <c r="F683" s="564"/>
      <c r="G683" s="564"/>
      <c r="H683" s="564"/>
      <c r="I683" s="564"/>
      <c r="J683" s="564"/>
      <c r="K683" s="564"/>
      <c r="L683" s="564"/>
      <c r="M683" s="564"/>
      <c r="N683" s="564"/>
      <c r="O683" s="564"/>
      <c r="P683" s="564"/>
      <c r="Q683" s="564"/>
      <c r="R683" s="564"/>
      <c r="S683" s="564"/>
      <c r="T683" s="564"/>
      <c r="U683" s="564"/>
      <c r="V683" s="564"/>
      <c r="W683" s="564"/>
      <c r="X683" s="564"/>
      <c r="Y683" s="564"/>
      <c r="Z683" s="564"/>
      <c r="AA683" s="564"/>
      <c r="AB683" s="564"/>
      <c r="AC683" s="564"/>
      <c r="AD683" s="564"/>
      <c r="AE683" s="564"/>
      <c r="AF683" s="564"/>
      <c r="AG683" s="564"/>
      <c r="AH683" s="564"/>
      <c r="AI683" s="564"/>
      <c r="AJ683" s="564"/>
      <c r="AK683" s="564"/>
      <c r="AL683" s="564"/>
      <c r="AM683" s="564"/>
      <c r="AN683" s="564"/>
      <c r="AO683" s="564"/>
    </row>
    <row r="684" spans="2:41" x14ac:dyDescent="0.15">
      <c r="B684" s="565">
        <v>10</v>
      </c>
      <c r="C684" s="564"/>
      <c r="D684" s="564"/>
      <c r="E684" s="564"/>
      <c r="F684" s="564"/>
      <c r="G684" s="564"/>
      <c r="H684" s="564"/>
      <c r="I684" s="564"/>
      <c r="J684" s="564"/>
      <c r="K684" s="564"/>
      <c r="L684" s="564"/>
      <c r="M684" s="564"/>
      <c r="N684" s="564"/>
      <c r="O684" s="564"/>
      <c r="P684" s="564"/>
      <c r="Q684" s="564"/>
      <c r="R684" s="564"/>
      <c r="S684" s="564"/>
      <c r="T684" s="564"/>
      <c r="U684" s="564"/>
      <c r="V684" s="564"/>
      <c r="W684" s="564"/>
      <c r="X684" s="564"/>
      <c r="Y684" s="564"/>
      <c r="Z684" s="564"/>
      <c r="AA684" s="564"/>
      <c r="AB684" s="564"/>
      <c r="AC684" s="564"/>
      <c r="AD684" s="564"/>
      <c r="AE684" s="564"/>
      <c r="AF684" s="564"/>
      <c r="AG684" s="564"/>
      <c r="AH684" s="564"/>
      <c r="AI684" s="564"/>
      <c r="AJ684" s="564"/>
      <c r="AK684" s="564"/>
      <c r="AL684" s="564"/>
      <c r="AM684" s="564"/>
      <c r="AN684" s="564"/>
      <c r="AO684" s="564"/>
    </row>
    <row r="685" spans="2:41" x14ac:dyDescent="0.15">
      <c r="B685" s="565">
        <v>11</v>
      </c>
      <c r="C685" s="564"/>
      <c r="D685" s="564"/>
      <c r="E685" s="564"/>
      <c r="F685" s="564"/>
      <c r="G685" s="564"/>
      <c r="H685" s="564"/>
      <c r="I685" s="564"/>
      <c r="J685" s="564"/>
      <c r="K685" s="564"/>
      <c r="L685" s="564"/>
      <c r="M685" s="564"/>
      <c r="N685" s="564"/>
      <c r="O685" s="564"/>
      <c r="P685" s="564"/>
      <c r="Q685" s="564"/>
      <c r="R685" s="564"/>
      <c r="S685" s="564"/>
      <c r="T685" s="564"/>
      <c r="U685" s="564"/>
      <c r="V685" s="564"/>
      <c r="W685" s="564"/>
      <c r="X685" s="564"/>
      <c r="Y685" s="564"/>
      <c r="Z685" s="564"/>
      <c r="AA685" s="564"/>
      <c r="AB685" s="564"/>
      <c r="AC685" s="564"/>
      <c r="AD685" s="564"/>
      <c r="AE685" s="564"/>
      <c r="AF685" s="564"/>
      <c r="AG685" s="564"/>
      <c r="AH685" s="564"/>
      <c r="AI685" s="564"/>
      <c r="AJ685" s="564"/>
      <c r="AK685" s="564"/>
      <c r="AL685" s="564"/>
      <c r="AM685" s="564"/>
      <c r="AN685" s="564"/>
      <c r="AO685" s="564"/>
    </row>
    <row r="686" spans="2:41" x14ac:dyDescent="0.15">
      <c r="B686" s="565">
        <v>12</v>
      </c>
      <c r="C686" s="564"/>
      <c r="D686" s="564"/>
      <c r="E686" s="564"/>
      <c r="F686" s="564"/>
      <c r="G686" s="564"/>
      <c r="H686" s="564"/>
      <c r="I686" s="564"/>
      <c r="J686" s="564"/>
      <c r="K686" s="564"/>
      <c r="L686" s="564"/>
      <c r="M686" s="564"/>
      <c r="N686" s="564"/>
      <c r="O686" s="564"/>
      <c r="P686" s="564"/>
      <c r="Q686" s="564"/>
      <c r="R686" s="564"/>
      <c r="S686" s="564"/>
      <c r="T686" s="564"/>
      <c r="U686" s="564"/>
      <c r="V686" s="564"/>
      <c r="W686" s="564"/>
      <c r="X686" s="564"/>
      <c r="Y686" s="564"/>
      <c r="Z686" s="564"/>
      <c r="AA686" s="564"/>
      <c r="AB686" s="564"/>
      <c r="AC686" s="564"/>
      <c r="AD686" s="564"/>
      <c r="AE686" s="564"/>
      <c r="AF686" s="564"/>
      <c r="AG686" s="564"/>
      <c r="AH686" s="564"/>
      <c r="AI686" s="564"/>
      <c r="AJ686" s="564"/>
      <c r="AK686" s="564"/>
      <c r="AL686" s="564"/>
      <c r="AM686" s="564"/>
      <c r="AN686" s="564"/>
      <c r="AO686" s="564"/>
    </row>
    <row r="687" spans="2:41" x14ac:dyDescent="0.15">
      <c r="B687" s="565">
        <v>13</v>
      </c>
      <c r="C687" s="564"/>
      <c r="D687" s="564"/>
      <c r="E687" s="564"/>
      <c r="F687" s="564"/>
      <c r="G687" s="564"/>
      <c r="H687" s="564"/>
      <c r="I687" s="564"/>
      <c r="J687" s="564"/>
      <c r="K687" s="564"/>
      <c r="L687" s="564"/>
      <c r="M687" s="564"/>
      <c r="N687" s="564"/>
      <c r="O687" s="564"/>
      <c r="P687" s="564"/>
      <c r="Q687" s="564"/>
      <c r="R687" s="564"/>
      <c r="S687" s="564"/>
      <c r="T687" s="564"/>
      <c r="U687" s="564"/>
      <c r="V687" s="564"/>
      <c r="W687" s="564"/>
      <c r="X687" s="564"/>
      <c r="Y687" s="564"/>
      <c r="Z687" s="564"/>
      <c r="AA687" s="564"/>
      <c r="AB687" s="564"/>
      <c r="AC687" s="564"/>
      <c r="AD687" s="564"/>
      <c r="AE687" s="564"/>
      <c r="AF687" s="564"/>
      <c r="AG687" s="564"/>
      <c r="AH687" s="564"/>
      <c r="AI687" s="564"/>
      <c r="AJ687" s="564"/>
      <c r="AK687" s="564"/>
      <c r="AL687" s="564"/>
      <c r="AM687" s="564"/>
      <c r="AN687" s="564"/>
      <c r="AO687" s="564"/>
    </row>
    <row r="688" spans="2:41" x14ac:dyDescent="0.15">
      <c r="B688" s="565">
        <v>14</v>
      </c>
      <c r="C688" s="564"/>
      <c r="D688" s="564"/>
      <c r="E688" s="564"/>
      <c r="F688" s="564"/>
      <c r="G688" s="564"/>
      <c r="H688" s="564"/>
      <c r="I688" s="564"/>
      <c r="J688" s="564"/>
      <c r="K688" s="564"/>
      <c r="L688" s="564"/>
      <c r="M688" s="564"/>
      <c r="N688" s="564"/>
      <c r="O688" s="564"/>
      <c r="P688" s="564"/>
      <c r="Q688" s="564"/>
      <c r="R688" s="564"/>
      <c r="S688" s="564"/>
      <c r="T688" s="564"/>
      <c r="U688" s="564"/>
      <c r="V688" s="564"/>
      <c r="W688" s="564"/>
      <c r="X688" s="564"/>
      <c r="Y688" s="564"/>
      <c r="Z688" s="564"/>
      <c r="AA688" s="564"/>
      <c r="AB688" s="564"/>
      <c r="AC688" s="564"/>
      <c r="AD688" s="564"/>
      <c r="AE688" s="564"/>
      <c r="AF688" s="564"/>
      <c r="AG688" s="564"/>
      <c r="AH688" s="564"/>
      <c r="AI688" s="564"/>
      <c r="AJ688" s="564"/>
      <c r="AK688" s="564"/>
      <c r="AL688" s="564"/>
      <c r="AM688" s="564"/>
      <c r="AN688" s="564"/>
      <c r="AO688" s="564"/>
    </row>
    <row r="689" spans="2:41" x14ac:dyDescent="0.15">
      <c r="B689" s="565">
        <v>15</v>
      </c>
      <c r="C689" s="564"/>
      <c r="D689" s="564"/>
      <c r="E689" s="564"/>
      <c r="F689" s="564"/>
      <c r="G689" s="564"/>
      <c r="H689" s="564"/>
      <c r="I689" s="564"/>
      <c r="J689" s="564"/>
      <c r="K689" s="564"/>
      <c r="L689" s="564"/>
      <c r="M689" s="564"/>
      <c r="N689" s="564"/>
      <c r="O689" s="564"/>
      <c r="P689" s="564"/>
      <c r="Q689" s="564"/>
      <c r="R689" s="564"/>
      <c r="S689" s="564"/>
      <c r="T689" s="564"/>
      <c r="U689" s="564"/>
      <c r="V689" s="564"/>
      <c r="W689" s="564"/>
      <c r="X689" s="564"/>
      <c r="Y689" s="564"/>
      <c r="Z689" s="564"/>
      <c r="AA689" s="564"/>
      <c r="AB689" s="564"/>
      <c r="AC689" s="564"/>
      <c r="AD689" s="564"/>
      <c r="AE689" s="564"/>
      <c r="AF689" s="564"/>
      <c r="AG689" s="564"/>
      <c r="AH689" s="564"/>
      <c r="AI689" s="564"/>
      <c r="AJ689" s="564"/>
      <c r="AK689" s="564"/>
      <c r="AL689" s="564"/>
      <c r="AM689" s="564"/>
      <c r="AN689" s="564"/>
      <c r="AO689" s="564"/>
    </row>
    <row r="690" spans="2:41" x14ac:dyDescent="0.15">
      <c r="B690" s="565">
        <v>16</v>
      </c>
      <c r="C690" s="564"/>
      <c r="D690" s="564"/>
      <c r="E690" s="564"/>
      <c r="F690" s="564"/>
      <c r="G690" s="564"/>
      <c r="H690" s="564"/>
      <c r="I690" s="564"/>
      <c r="J690" s="564"/>
      <c r="K690" s="564"/>
      <c r="L690" s="564"/>
      <c r="M690" s="564"/>
      <c r="N690" s="564"/>
      <c r="O690" s="564"/>
      <c r="P690" s="564"/>
      <c r="Q690" s="564"/>
      <c r="R690" s="564"/>
      <c r="S690" s="564"/>
      <c r="T690" s="564"/>
      <c r="U690" s="564"/>
      <c r="V690" s="564"/>
      <c r="W690" s="564"/>
      <c r="X690" s="564"/>
      <c r="Y690" s="564"/>
      <c r="Z690" s="564"/>
      <c r="AA690" s="564"/>
      <c r="AB690" s="564"/>
      <c r="AC690" s="564"/>
      <c r="AD690" s="564"/>
      <c r="AE690" s="564"/>
      <c r="AF690" s="564"/>
      <c r="AG690" s="564"/>
      <c r="AH690" s="564"/>
      <c r="AI690" s="564"/>
      <c r="AJ690" s="564"/>
      <c r="AK690" s="564"/>
      <c r="AL690" s="564"/>
      <c r="AM690" s="564"/>
      <c r="AN690" s="564"/>
      <c r="AO690" s="564"/>
    </row>
    <row r="691" spans="2:41" x14ac:dyDescent="0.15">
      <c r="B691" s="565">
        <v>17</v>
      </c>
      <c r="C691" s="564"/>
      <c r="D691" s="564"/>
      <c r="E691" s="564"/>
      <c r="F691" s="564"/>
      <c r="G691" s="564"/>
      <c r="H691" s="564"/>
      <c r="I691" s="564"/>
      <c r="J691" s="564"/>
      <c r="K691" s="564"/>
      <c r="L691" s="564"/>
      <c r="M691" s="564"/>
      <c r="N691" s="564"/>
      <c r="O691" s="564"/>
      <c r="P691" s="564"/>
      <c r="Q691" s="564"/>
      <c r="R691" s="564"/>
      <c r="S691" s="564"/>
      <c r="T691" s="564"/>
      <c r="U691" s="564"/>
      <c r="V691" s="564"/>
      <c r="W691" s="564"/>
      <c r="X691" s="564"/>
      <c r="Y691" s="564"/>
      <c r="Z691" s="564"/>
      <c r="AA691" s="564"/>
      <c r="AB691" s="564"/>
      <c r="AC691" s="564"/>
      <c r="AD691" s="564"/>
      <c r="AE691" s="564"/>
      <c r="AF691" s="564"/>
      <c r="AG691" s="564"/>
      <c r="AH691" s="564"/>
      <c r="AI691" s="564"/>
      <c r="AJ691" s="564"/>
      <c r="AK691" s="564"/>
      <c r="AL691" s="564"/>
      <c r="AM691" s="564"/>
      <c r="AN691" s="564"/>
      <c r="AO691" s="564"/>
    </row>
    <row r="692" spans="2:41" x14ac:dyDescent="0.15">
      <c r="B692" s="565">
        <v>18</v>
      </c>
      <c r="C692" s="564"/>
      <c r="D692" s="564"/>
      <c r="E692" s="564"/>
      <c r="F692" s="564"/>
      <c r="G692" s="564"/>
      <c r="H692" s="564"/>
      <c r="I692" s="564"/>
      <c r="J692" s="564"/>
      <c r="K692" s="564"/>
      <c r="L692" s="564"/>
      <c r="M692" s="564"/>
      <c r="N692" s="564"/>
      <c r="O692" s="564"/>
      <c r="P692" s="564"/>
      <c r="Q692" s="564"/>
      <c r="R692" s="564"/>
      <c r="S692" s="564"/>
      <c r="T692" s="564"/>
      <c r="U692" s="564"/>
      <c r="V692" s="564"/>
      <c r="W692" s="564"/>
      <c r="X692" s="564"/>
      <c r="Y692" s="564"/>
      <c r="Z692" s="564"/>
      <c r="AA692" s="564"/>
      <c r="AB692" s="564"/>
      <c r="AC692" s="564"/>
      <c r="AD692" s="564"/>
      <c r="AE692" s="564"/>
      <c r="AF692" s="564"/>
      <c r="AG692" s="564"/>
      <c r="AH692" s="564"/>
      <c r="AI692" s="564"/>
      <c r="AJ692" s="564"/>
      <c r="AK692" s="564"/>
      <c r="AL692" s="564"/>
      <c r="AM692" s="564"/>
      <c r="AN692" s="564"/>
      <c r="AO692" s="564"/>
    </row>
    <row r="693" spans="2:41" x14ac:dyDescent="0.15">
      <c r="B693" s="565">
        <v>19</v>
      </c>
      <c r="C693" s="564"/>
      <c r="D693" s="564"/>
      <c r="E693" s="564"/>
      <c r="F693" s="564"/>
      <c r="G693" s="564"/>
      <c r="H693" s="564"/>
      <c r="I693" s="564"/>
      <c r="J693" s="564"/>
      <c r="K693" s="564"/>
      <c r="L693" s="564"/>
      <c r="M693" s="564"/>
      <c r="N693" s="564"/>
      <c r="O693" s="564"/>
      <c r="P693" s="564"/>
      <c r="Q693" s="564"/>
      <c r="R693" s="564"/>
      <c r="S693" s="564"/>
      <c r="T693" s="564"/>
      <c r="U693" s="564"/>
      <c r="V693" s="564"/>
      <c r="W693" s="564"/>
      <c r="X693" s="564"/>
      <c r="Y693" s="564"/>
      <c r="Z693" s="564"/>
      <c r="AA693" s="564"/>
      <c r="AB693" s="564"/>
      <c r="AC693" s="564"/>
      <c r="AD693" s="564"/>
      <c r="AE693" s="564"/>
      <c r="AF693" s="564"/>
      <c r="AG693" s="564"/>
      <c r="AH693" s="564"/>
      <c r="AI693" s="564"/>
      <c r="AJ693" s="564"/>
      <c r="AK693" s="564"/>
      <c r="AL693" s="564"/>
      <c r="AM693" s="564"/>
      <c r="AN693" s="564"/>
      <c r="AO693" s="564"/>
    </row>
    <row r="694" spans="2:41" x14ac:dyDescent="0.15">
      <c r="B694" s="565">
        <v>20</v>
      </c>
      <c r="C694" s="564"/>
      <c r="D694" s="564"/>
      <c r="E694" s="564"/>
      <c r="F694" s="564"/>
      <c r="G694" s="564"/>
      <c r="H694" s="564"/>
      <c r="I694" s="564"/>
      <c r="J694" s="564"/>
      <c r="K694" s="564"/>
      <c r="L694" s="564"/>
      <c r="M694" s="564"/>
      <c r="N694" s="564"/>
      <c r="O694" s="564"/>
      <c r="P694" s="564"/>
      <c r="Q694" s="564"/>
      <c r="R694" s="564"/>
      <c r="S694" s="564"/>
      <c r="T694" s="564"/>
      <c r="U694" s="564"/>
      <c r="V694" s="564"/>
      <c r="W694" s="564"/>
      <c r="X694" s="564"/>
      <c r="Y694" s="564"/>
      <c r="Z694" s="564"/>
      <c r="AA694" s="564"/>
      <c r="AB694" s="564"/>
      <c r="AC694" s="564"/>
      <c r="AD694" s="564"/>
      <c r="AE694" s="564"/>
      <c r="AF694" s="564"/>
      <c r="AG694" s="564"/>
      <c r="AH694" s="564"/>
      <c r="AI694" s="564"/>
      <c r="AJ694" s="564"/>
      <c r="AK694" s="564"/>
      <c r="AL694" s="564"/>
      <c r="AM694" s="564"/>
      <c r="AN694" s="564"/>
      <c r="AO694" s="564"/>
    </row>
    <row r="695" spans="2:41" x14ac:dyDescent="0.15">
      <c r="B695" s="565">
        <v>21</v>
      </c>
      <c r="C695" s="564"/>
      <c r="D695" s="564"/>
      <c r="E695" s="564"/>
      <c r="F695" s="564"/>
      <c r="G695" s="564"/>
      <c r="H695" s="564"/>
      <c r="I695" s="564"/>
      <c r="J695" s="564"/>
      <c r="K695" s="564"/>
      <c r="L695" s="564"/>
      <c r="M695" s="564"/>
      <c r="N695" s="564"/>
      <c r="O695" s="564"/>
      <c r="P695" s="564"/>
      <c r="Q695" s="564"/>
      <c r="R695" s="564"/>
      <c r="S695" s="564"/>
      <c r="T695" s="564"/>
      <c r="U695" s="564"/>
      <c r="V695" s="564"/>
      <c r="W695" s="564"/>
      <c r="X695" s="564"/>
      <c r="Y695" s="564"/>
      <c r="Z695" s="564"/>
      <c r="AA695" s="564"/>
      <c r="AB695" s="564"/>
      <c r="AC695" s="564"/>
      <c r="AD695" s="564"/>
      <c r="AE695" s="564"/>
      <c r="AF695" s="564"/>
      <c r="AG695" s="564"/>
      <c r="AH695" s="564"/>
      <c r="AI695" s="564"/>
      <c r="AJ695" s="564"/>
      <c r="AK695" s="564"/>
      <c r="AL695" s="564"/>
      <c r="AM695" s="564"/>
      <c r="AN695" s="564"/>
      <c r="AO695" s="564"/>
    </row>
    <row r="696" spans="2:41" x14ac:dyDescent="0.15">
      <c r="B696" s="565">
        <v>22</v>
      </c>
      <c r="C696" s="564"/>
      <c r="D696" s="564"/>
      <c r="E696" s="564"/>
      <c r="F696" s="564"/>
      <c r="G696" s="564"/>
      <c r="H696" s="564"/>
      <c r="I696" s="564"/>
      <c r="J696" s="564"/>
      <c r="K696" s="564"/>
      <c r="L696" s="564"/>
      <c r="M696" s="564"/>
      <c r="N696" s="564"/>
      <c r="O696" s="564"/>
      <c r="P696" s="564"/>
      <c r="Q696" s="564"/>
      <c r="R696" s="564"/>
      <c r="S696" s="564"/>
      <c r="T696" s="564"/>
      <c r="U696" s="564"/>
      <c r="V696" s="564"/>
      <c r="W696" s="564"/>
      <c r="X696" s="564"/>
      <c r="Y696" s="564"/>
      <c r="Z696" s="564"/>
      <c r="AA696" s="564"/>
      <c r="AB696" s="564"/>
      <c r="AC696" s="564"/>
      <c r="AD696" s="564"/>
      <c r="AE696" s="564"/>
      <c r="AF696" s="564"/>
      <c r="AG696" s="564"/>
      <c r="AH696" s="564"/>
      <c r="AI696" s="564"/>
      <c r="AJ696" s="564"/>
      <c r="AK696" s="564"/>
      <c r="AL696" s="564"/>
      <c r="AM696" s="564"/>
      <c r="AN696" s="564"/>
      <c r="AO696" s="564"/>
    </row>
    <row r="697" spans="2:41" x14ac:dyDescent="0.15">
      <c r="B697" s="565">
        <v>23</v>
      </c>
      <c r="C697" s="564"/>
      <c r="D697" s="564"/>
      <c r="E697" s="564"/>
      <c r="F697" s="564"/>
      <c r="G697" s="564"/>
      <c r="H697" s="564"/>
      <c r="I697" s="564"/>
      <c r="J697" s="564"/>
      <c r="K697" s="564"/>
      <c r="L697" s="564"/>
      <c r="M697" s="564"/>
      <c r="N697" s="564"/>
      <c r="O697" s="564"/>
      <c r="P697" s="564"/>
      <c r="Q697" s="564"/>
      <c r="R697" s="564"/>
      <c r="S697" s="564"/>
      <c r="T697" s="564"/>
      <c r="U697" s="564"/>
      <c r="V697" s="564"/>
      <c r="W697" s="564"/>
      <c r="X697" s="564"/>
      <c r="Y697" s="564"/>
      <c r="Z697" s="564"/>
      <c r="AA697" s="564"/>
      <c r="AB697" s="564"/>
      <c r="AC697" s="564"/>
      <c r="AD697" s="564"/>
      <c r="AE697" s="564"/>
      <c r="AF697" s="564"/>
      <c r="AG697" s="564"/>
      <c r="AH697" s="564"/>
      <c r="AI697" s="564"/>
      <c r="AJ697" s="564"/>
      <c r="AK697" s="564"/>
      <c r="AL697" s="564"/>
      <c r="AM697" s="564"/>
      <c r="AN697" s="564"/>
      <c r="AO697" s="564"/>
    </row>
    <row r="698" spans="2:41" x14ac:dyDescent="0.15">
      <c r="B698" s="565">
        <v>24</v>
      </c>
      <c r="C698" s="564"/>
      <c r="D698" s="564"/>
      <c r="E698" s="564"/>
      <c r="F698" s="564"/>
      <c r="G698" s="564"/>
      <c r="H698" s="564"/>
      <c r="I698" s="564"/>
      <c r="J698" s="564"/>
      <c r="K698" s="564"/>
      <c r="L698" s="564"/>
      <c r="M698" s="564"/>
      <c r="N698" s="564"/>
      <c r="O698" s="564"/>
      <c r="P698" s="564"/>
      <c r="Q698" s="564"/>
      <c r="R698" s="564"/>
      <c r="S698" s="564"/>
      <c r="T698" s="564"/>
      <c r="U698" s="564"/>
      <c r="V698" s="564"/>
      <c r="W698" s="564"/>
      <c r="X698" s="564"/>
      <c r="Y698" s="564"/>
      <c r="Z698" s="564"/>
      <c r="AA698" s="564"/>
      <c r="AB698" s="564"/>
      <c r="AC698" s="564"/>
      <c r="AD698" s="564"/>
      <c r="AE698" s="564"/>
      <c r="AF698" s="564"/>
      <c r="AG698" s="564"/>
      <c r="AH698" s="564"/>
      <c r="AI698" s="564"/>
      <c r="AJ698" s="564"/>
      <c r="AK698" s="564"/>
      <c r="AL698" s="564"/>
      <c r="AM698" s="564"/>
      <c r="AN698" s="564"/>
      <c r="AO698" s="564"/>
    </row>
    <row r="699" spans="2:41" x14ac:dyDescent="0.15">
      <c r="B699" s="565">
        <v>25</v>
      </c>
      <c r="C699" s="564"/>
      <c r="D699" s="564"/>
      <c r="E699" s="564"/>
      <c r="F699" s="564"/>
      <c r="G699" s="564"/>
      <c r="H699" s="564"/>
      <c r="I699" s="564"/>
      <c r="J699" s="564"/>
      <c r="K699" s="564"/>
      <c r="L699" s="564"/>
      <c r="M699" s="564"/>
      <c r="N699" s="564"/>
      <c r="O699" s="564"/>
      <c r="P699" s="564"/>
      <c r="Q699" s="564"/>
      <c r="R699" s="564"/>
      <c r="S699" s="564"/>
      <c r="T699" s="564"/>
      <c r="U699" s="564"/>
      <c r="V699" s="564"/>
      <c r="W699" s="564"/>
      <c r="X699" s="564"/>
      <c r="Y699" s="564"/>
      <c r="Z699" s="564"/>
      <c r="AA699" s="564"/>
      <c r="AB699" s="564"/>
      <c r="AC699" s="564"/>
      <c r="AD699" s="564"/>
      <c r="AE699" s="564"/>
      <c r="AF699" s="564"/>
      <c r="AG699" s="564"/>
      <c r="AH699" s="564"/>
      <c r="AI699" s="564"/>
      <c r="AJ699" s="564"/>
      <c r="AK699" s="564"/>
      <c r="AL699" s="564"/>
      <c r="AM699" s="564"/>
      <c r="AN699" s="564"/>
      <c r="AO699" s="564"/>
    </row>
    <row r="700" spans="2:41" x14ac:dyDescent="0.15">
      <c r="B700" s="565">
        <v>26</v>
      </c>
      <c r="C700" s="564"/>
      <c r="D700" s="564"/>
      <c r="E700" s="564"/>
      <c r="F700" s="564"/>
      <c r="G700" s="564"/>
      <c r="H700" s="564"/>
      <c r="I700" s="564"/>
      <c r="J700" s="564"/>
      <c r="K700" s="564"/>
      <c r="L700" s="564"/>
      <c r="M700" s="564"/>
      <c r="N700" s="564"/>
      <c r="O700" s="564"/>
      <c r="P700" s="564"/>
      <c r="Q700" s="564"/>
      <c r="R700" s="564"/>
      <c r="S700" s="564"/>
      <c r="T700" s="564"/>
      <c r="U700" s="564"/>
      <c r="V700" s="564"/>
      <c r="W700" s="564"/>
      <c r="X700" s="564"/>
      <c r="Y700" s="564"/>
      <c r="Z700" s="564"/>
      <c r="AA700" s="564"/>
      <c r="AB700" s="564"/>
      <c r="AC700" s="564"/>
      <c r="AD700" s="564"/>
      <c r="AE700" s="564"/>
      <c r="AF700" s="564"/>
      <c r="AG700" s="564"/>
      <c r="AH700" s="564"/>
      <c r="AI700" s="564"/>
      <c r="AJ700" s="564"/>
      <c r="AK700" s="564"/>
      <c r="AL700" s="564"/>
      <c r="AM700" s="564"/>
      <c r="AN700" s="564"/>
      <c r="AO700" s="564"/>
    </row>
    <row r="701" spans="2:41" x14ac:dyDescent="0.15">
      <c r="B701" s="565">
        <v>27</v>
      </c>
      <c r="C701" s="564"/>
      <c r="D701" s="564"/>
      <c r="E701" s="564"/>
      <c r="F701" s="564"/>
      <c r="G701" s="564"/>
      <c r="H701" s="564"/>
      <c r="I701" s="564"/>
      <c r="J701" s="564"/>
      <c r="K701" s="564"/>
      <c r="L701" s="564"/>
      <c r="M701" s="564"/>
      <c r="N701" s="564"/>
      <c r="O701" s="564"/>
      <c r="P701" s="564"/>
      <c r="Q701" s="564"/>
      <c r="R701" s="564"/>
      <c r="S701" s="564"/>
      <c r="T701" s="564"/>
      <c r="U701" s="564"/>
      <c r="V701" s="564"/>
      <c r="W701" s="564"/>
      <c r="X701" s="564"/>
      <c r="Y701" s="564"/>
      <c r="Z701" s="564"/>
      <c r="AA701" s="564"/>
      <c r="AB701" s="564"/>
      <c r="AC701" s="564"/>
      <c r="AD701" s="564"/>
      <c r="AE701" s="564"/>
      <c r="AF701" s="564"/>
      <c r="AG701" s="564"/>
      <c r="AH701" s="564"/>
      <c r="AI701" s="564"/>
      <c r="AJ701" s="564"/>
      <c r="AK701" s="564"/>
      <c r="AL701" s="564"/>
      <c r="AM701" s="564"/>
      <c r="AN701" s="564"/>
      <c r="AO701" s="564"/>
    </row>
    <row r="702" spans="2:41" x14ac:dyDescent="0.15">
      <c r="B702" s="565">
        <v>28</v>
      </c>
      <c r="C702" s="564"/>
      <c r="D702" s="564"/>
      <c r="E702" s="564"/>
      <c r="F702" s="564"/>
      <c r="G702" s="564"/>
      <c r="H702" s="564"/>
      <c r="I702" s="564"/>
      <c r="J702" s="564"/>
      <c r="K702" s="564"/>
      <c r="L702" s="564"/>
      <c r="M702" s="564"/>
      <c r="N702" s="564"/>
      <c r="O702" s="564"/>
      <c r="P702" s="564"/>
      <c r="Q702" s="564"/>
      <c r="R702" s="564"/>
      <c r="S702" s="564"/>
      <c r="T702" s="564"/>
      <c r="U702" s="564"/>
      <c r="V702" s="564"/>
      <c r="W702" s="564"/>
      <c r="X702" s="564"/>
      <c r="Y702" s="564"/>
      <c r="Z702" s="564"/>
      <c r="AA702" s="564"/>
      <c r="AB702" s="564"/>
      <c r="AC702" s="564"/>
      <c r="AD702" s="564"/>
      <c r="AE702" s="564"/>
      <c r="AF702" s="564"/>
      <c r="AG702" s="564"/>
      <c r="AH702" s="564"/>
      <c r="AI702" s="564"/>
      <c r="AJ702" s="564"/>
      <c r="AK702" s="564"/>
      <c r="AL702" s="564"/>
      <c r="AM702" s="564"/>
      <c r="AN702" s="564"/>
      <c r="AO702" s="564"/>
    </row>
    <row r="703" spans="2:41" x14ac:dyDescent="0.15">
      <c r="B703" s="565">
        <v>29</v>
      </c>
      <c r="C703" s="564"/>
      <c r="D703" s="564"/>
      <c r="E703" s="564"/>
      <c r="F703" s="564"/>
      <c r="G703" s="564"/>
      <c r="H703" s="564"/>
      <c r="I703" s="564"/>
      <c r="J703" s="564"/>
      <c r="K703" s="564"/>
      <c r="L703" s="564"/>
      <c r="M703" s="564"/>
      <c r="N703" s="564"/>
      <c r="O703" s="564"/>
      <c r="P703" s="564"/>
      <c r="Q703" s="564"/>
      <c r="R703" s="564"/>
      <c r="S703" s="564"/>
      <c r="T703" s="564"/>
      <c r="U703" s="564"/>
      <c r="V703" s="564"/>
      <c r="W703" s="564"/>
      <c r="X703" s="564"/>
      <c r="Y703" s="564"/>
      <c r="Z703" s="564"/>
      <c r="AA703" s="564"/>
      <c r="AB703" s="564"/>
      <c r="AC703" s="564"/>
      <c r="AD703" s="564"/>
      <c r="AE703" s="564"/>
      <c r="AF703" s="564"/>
      <c r="AG703" s="564"/>
      <c r="AH703" s="564"/>
      <c r="AI703" s="564"/>
      <c r="AJ703" s="564"/>
      <c r="AK703" s="564"/>
      <c r="AL703" s="564"/>
      <c r="AM703" s="564"/>
      <c r="AN703" s="564"/>
      <c r="AO703" s="564"/>
    </row>
    <row r="704" spans="2:41" x14ac:dyDescent="0.15">
      <c r="B704" s="565">
        <v>30</v>
      </c>
      <c r="C704" s="564"/>
      <c r="D704" s="564"/>
      <c r="E704" s="564"/>
      <c r="F704" s="564"/>
      <c r="G704" s="564"/>
      <c r="H704" s="564"/>
      <c r="I704" s="564"/>
      <c r="J704" s="564"/>
      <c r="K704" s="564"/>
      <c r="L704" s="564"/>
      <c r="M704" s="564"/>
      <c r="N704" s="564"/>
      <c r="O704" s="564"/>
      <c r="P704" s="564"/>
      <c r="Q704" s="564"/>
      <c r="R704" s="564"/>
      <c r="S704" s="564"/>
      <c r="T704" s="564"/>
      <c r="U704" s="564"/>
      <c r="V704" s="564"/>
      <c r="W704" s="564"/>
      <c r="X704" s="564"/>
      <c r="Y704" s="564"/>
      <c r="Z704" s="564"/>
      <c r="AA704" s="564"/>
      <c r="AB704" s="564"/>
      <c r="AC704" s="564"/>
      <c r="AD704" s="564"/>
      <c r="AE704" s="564"/>
      <c r="AF704" s="564"/>
      <c r="AG704" s="564"/>
      <c r="AH704" s="564"/>
      <c r="AI704" s="564"/>
      <c r="AJ704" s="564"/>
      <c r="AK704" s="564"/>
      <c r="AL704" s="564"/>
      <c r="AM704" s="564"/>
      <c r="AN704" s="564"/>
      <c r="AO704" s="564"/>
    </row>
    <row r="705" spans="2:41" x14ac:dyDescent="0.15">
      <c r="B705" s="565">
        <v>31</v>
      </c>
      <c r="C705" s="564"/>
      <c r="D705" s="564"/>
      <c r="E705" s="564"/>
      <c r="F705" s="564"/>
      <c r="G705" s="564"/>
      <c r="H705" s="564"/>
      <c r="I705" s="564"/>
      <c r="J705" s="564"/>
      <c r="K705" s="564"/>
      <c r="L705" s="564"/>
      <c r="M705" s="564"/>
      <c r="N705" s="564"/>
      <c r="O705" s="564"/>
      <c r="P705" s="564"/>
      <c r="Q705" s="564"/>
      <c r="R705" s="564"/>
      <c r="S705" s="564"/>
      <c r="T705" s="564"/>
      <c r="U705" s="564"/>
      <c r="V705" s="564"/>
      <c r="W705" s="564"/>
      <c r="X705" s="564"/>
      <c r="Y705" s="564"/>
      <c r="Z705" s="564"/>
      <c r="AA705" s="564"/>
      <c r="AB705" s="564"/>
      <c r="AC705" s="564"/>
      <c r="AD705" s="564"/>
      <c r="AE705" s="564"/>
      <c r="AF705" s="564"/>
      <c r="AG705" s="564"/>
      <c r="AH705" s="564"/>
      <c r="AI705" s="564"/>
      <c r="AJ705" s="564"/>
      <c r="AK705" s="564"/>
      <c r="AL705" s="564"/>
      <c r="AM705" s="564"/>
      <c r="AN705" s="564"/>
      <c r="AO705" s="564"/>
    </row>
    <row r="706" spans="2:41" x14ac:dyDescent="0.15">
      <c r="B706" s="565">
        <v>32</v>
      </c>
      <c r="C706" s="564"/>
      <c r="D706" s="564"/>
      <c r="E706" s="564"/>
      <c r="F706" s="564"/>
      <c r="G706" s="564"/>
      <c r="H706" s="564"/>
      <c r="I706" s="564"/>
      <c r="J706" s="564"/>
      <c r="K706" s="564"/>
      <c r="L706" s="564"/>
      <c r="M706" s="564"/>
      <c r="N706" s="564"/>
      <c r="O706" s="564"/>
      <c r="P706" s="564"/>
      <c r="Q706" s="564"/>
      <c r="R706" s="564"/>
      <c r="S706" s="564"/>
      <c r="T706" s="564"/>
      <c r="U706" s="564"/>
      <c r="V706" s="564"/>
      <c r="W706" s="564"/>
      <c r="X706" s="564"/>
      <c r="Y706" s="564"/>
      <c r="Z706" s="564"/>
      <c r="AA706" s="564"/>
      <c r="AB706" s="564"/>
      <c r="AC706" s="564"/>
      <c r="AD706" s="564"/>
      <c r="AE706" s="564"/>
      <c r="AF706" s="564"/>
      <c r="AG706" s="564"/>
      <c r="AH706" s="564"/>
      <c r="AI706" s="564"/>
      <c r="AJ706" s="564"/>
      <c r="AK706" s="564"/>
      <c r="AL706" s="564"/>
      <c r="AM706" s="564"/>
      <c r="AN706" s="564"/>
      <c r="AO706" s="564"/>
    </row>
    <row r="707" spans="2:41" x14ac:dyDescent="0.15">
      <c r="B707" s="565">
        <v>33</v>
      </c>
      <c r="C707" s="564"/>
      <c r="D707" s="564"/>
      <c r="E707" s="564"/>
      <c r="F707" s="564"/>
      <c r="G707" s="564"/>
      <c r="H707" s="564"/>
      <c r="I707" s="564"/>
      <c r="J707" s="564"/>
      <c r="K707" s="564"/>
      <c r="L707" s="564"/>
      <c r="M707" s="564"/>
      <c r="N707" s="564"/>
      <c r="O707" s="564"/>
      <c r="P707" s="564"/>
      <c r="Q707" s="564"/>
      <c r="R707" s="564"/>
      <c r="S707" s="564"/>
      <c r="T707" s="564"/>
      <c r="U707" s="564"/>
      <c r="V707" s="564"/>
      <c r="W707" s="564"/>
      <c r="X707" s="564"/>
      <c r="Y707" s="564"/>
      <c r="Z707" s="564"/>
      <c r="AA707" s="564"/>
      <c r="AB707" s="564"/>
      <c r="AC707" s="564"/>
      <c r="AD707" s="564"/>
      <c r="AE707" s="564"/>
      <c r="AF707" s="564"/>
      <c r="AG707" s="564"/>
      <c r="AH707" s="564"/>
      <c r="AI707" s="564"/>
      <c r="AJ707" s="564"/>
      <c r="AK707" s="564"/>
      <c r="AL707" s="564"/>
      <c r="AM707" s="564"/>
      <c r="AN707" s="564"/>
      <c r="AO707" s="564"/>
    </row>
    <row r="708" spans="2:41" x14ac:dyDescent="0.15">
      <c r="B708" s="565">
        <v>34</v>
      </c>
      <c r="C708" s="564"/>
      <c r="D708" s="564"/>
      <c r="E708" s="564"/>
      <c r="F708" s="564"/>
      <c r="G708" s="564"/>
      <c r="H708" s="564"/>
      <c r="I708" s="564"/>
      <c r="J708" s="564"/>
      <c r="K708" s="564"/>
      <c r="L708" s="564"/>
      <c r="M708" s="564"/>
      <c r="N708" s="564"/>
      <c r="O708" s="564"/>
      <c r="P708" s="564"/>
      <c r="Q708" s="564"/>
      <c r="R708" s="564"/>
      <c r="S708" s="564"/>
      <c r="T708" s="564"/>
      <c r="U708" s="564"/>
      <c r="V708" s="564"/>
      <c r="W708" s="564"/>
      <c r="X708" s="564"/>
      <c r="Y708" s="564"/>
      <c r="Z708" s="564"/>
      <c r="AA708" s="564"/>
      <c r="AB708" s="564"/>
      <c r="AC708" s="564"/>
      <c r="AD708" s="564"/>
      <c r="AE708" s="564"/>
      <c r="AF708" s="564"/>
      <c r="AG708" s="564"/>
      <c r="AH708" s="564"/>
      <c r="AI708" s="564"/>
      <c r="AJ708" s="564"/>
      <c r="AK708" s="564"/>
      <c r="AL708" s="564"/>
      <c r="AM708" s="564"/>
      <c r="AN708" s="564"/>
      <c r="AO708" s="564"/>
    </row>
    <row r="709" spans="2:41" x14ac:dyDescent="0.15">
      <c r="B709" s="565">
        <v>35</v>
      </c>
      <c r="C709" s="564"/>
      <c r="D709" s="564"/>
      <c r="E709" s="564"/>
      <c r="F709" s="564"/>
      <c r="G709" s="564"/>
      <c r="H709" s="564"/>
      <c r="I709" s="564"/>
      <c r="J709" s="564"/>
      <c r="K709" s="564"/>
      <c r="L709" s="564"/>
      <c r="M709" s="564"/>
      <c r="N709" s="564"/>
      <c r="O709" s="564"/>
      <c r="P709" s="564"/>
      <c r="Q709" s="564"/>
      <c r="R709" s="564"/>
      <c r="S709" s="564"/>
      <c r="T709" s="564"/>
      <c r="U709" s="564"/>
      <c r="V709" s="564"/>
      <c r="W709" s="564"/>
      <c r="X709" s="564"/>
      <c r="Y709" s="564"/>
      <c r="Z709" s="564"/>
      <c r="AA709" s="564"/>
      <c r="AB709" s="564"/>
      <c r="AC709" s="564"/>
      <c r="AD709" s="564"/>
      <c r="AE709" s="564"/>
      <c r="AF709" s="564"/>
      <c r="AG709" s="564"/>
      <c r="AH709" s="564"/>
      <c r="AI709" s="564"/>
      <c r="AJ709" s="564"/>
      <c r="AK709" s="564"/>
      <c r="AL709" s="564"/>
      <c r="AM709" s="564"/>
      <c r="AN709" s="564"/>
      <c r="AO709" s="564"/>
    </row>
    <row r="710" spans="2:41" x14ac:dyDescent="0.15">
      <c r="B710" s="565">
        <v>36</v>
      </c>
      <c r="C710" s="564"/>
      <c r="D710" s="564"/>
      <c r="E710" s="564"/>
      <c r="F710" s="564"/>
      <c r="G710" s="564"/>
      <c r="H710" s="564"/>
      <c r="I710" s="564"/>
      <c r="J710" s="564"/>
      <c r="K710" s="564"/>
      <c r="L710" s="564"/>
      <c r="M710" s="564"/>
      <c r="N710" s="564"/>
      <c r="O710" s="564"/>
      <c r="P710" s="564"/>
      <c r="Q710" s="564"/>
      <c r="R710" s="564"/>
      <c r="S710" s="564"/>
      <c r="T710" s="564"/>
      <c r="U710" s="564"/>
      <c r="V710" s="564"/>
      <c r="W710" s="564"/>
      <c r="X710" s="564"/>
      <c r="Y710" s="564"/>
      <c r="Z710" s="564"/>
      <c r="AA710" s="564"/>
      <c r="AB710" s="564"/>
      <c r="AC710" s="564"/>
      <c r="AD710" s="564"/>
      <c r="AE710" s="564"/>
      <c r="AF710" s="564"/>
      <c r="AG710" s="564"/>
      <c r="AH710" s="564"/>
      <c r="AI710" s="564"/>
      <c r="AJ710" s="564"/>
      <c r="AK710" s="564"/>
      <c r="AL710" s="564"/>
      <c r="AM710" s="564"/>
      <c r="AN710" s="564"/>
      <c r="AO710" s="564"/>
    </row>
    <row r="711" spans="2:41" x14ac:dyDescent="0.15">
      <c r="B711" s="565">
        <v>37</v>
      </c>
      <c r="C711" s="564"/>
      <c r="D711" s="564"/>
      <c r="E711" s="564"/>
      <c r="F711" s="564"/>
      <c r="G711" s="564"/>
      <c r="H711" s="564"/>
      <c r="I711" s="564"/>
      <c r="J711" s="564"/>
      <c r="K711" s="564"/>
      <c r="L711" s="564"/>
      <c r="M711" s="564"/>
      <c r="N711" s="564"/>
      <c r="O711" s="564"/>
      <c r="P711" s="564"/>
      <c r="Q711" s="564"/>
      <c r="R711" s="564"/>
      <c r="S711" s="564"/>
      <c r="T711" s="564"/>
      <c r="U711" s="564"/>
      <c r="V711" s="564"/>
      <c r="W711" s="564"/>
      <c r="X711" s="564"/>
      <c r="Y711" s="564"/>
      <c r="Z711" s="564"/>
      <c r="AA711" s="564"/>
      <c r="AB711" s="564"/>
      <c r="AC711" s="564"/>
      <c r="AD711" s="564"/>
      <c r="AE711" s="564"/>
      <c r="AF711" s="564"/>
      <c r="AG711" s="564"/>
      <c r="AH711" s="564"/>
      <c r="AI711" s="564"/>
      <c r="AJ711" s="564"/>
      <c r="AK711" s="564"/>
      <c r="AL711" s="564"/>
      <c r="AM711" s="564"/>
      <c r="AN711" s="564"/>
      <c r="AO711" s="564"/>
    </row>
    <row r="712" spans="2:41" x14ac:dyDescent="0.15">
      <c r="B712" s="565">
        <v>38</v>
      </c>
      <c r="C712" s="564"/>
      <c r="D712" s="564"/>
      <c r="E712" s="564"/>
      <c r="F712" s="564"/>
      <c r="G712" s="564"/>
      <c r="H712" s="564"/>
      <c r="I712" s="564"/>
      <c r="J712" s="564"/>
      <c r="K712" s="564"/>
      <c r="L712" s="564"/>
      <c r="M712" s="564"/>
      <c r="N712" s="564"/>
      <c r="O712" s="564"/>
      <c r="P712" s="564"/>
      <c r="Q712" s="564"/>
      <c r="R712" s="564"/>
      <c r="S712" s="564"/>
      <c r="T712" s="564"/>
      <c r="U712" s="564"/>
      <c r="V712" s="564"/>
      <c r="W712" s="564"/>
      <c r="X712" s="564"/>
      <c r="Y712" s="564"/>
      <c r="Z712" s="564"/>
      <c r="AA712" s="564"/>
      <c r="AB712" s="564"/>
      <c r="AC712" s="564"/>
      <c r="AD712" s="564"/>
      <c r="AE712" s="564"/>
      <c r="AF712" s="564"/>
      <c r="AG712" s="564"/>
      <c r="AH712" s="564"/>
      <c r="AI712" s="564"/>
      <c r="AJ712" s="564"/>
      <c r="AK712" s="564"/>
      <c r="AL712" s="564"/>
      <c r="AM712" s="564"/>
      <c r="AN712" s="564"/>
      <c r="AO712" s="564"/>
    </row>
    <row r="713" spans="2:41" x14ac:dyDescent="0.15">
      <c r="B713" s="565">
        <v>39</v>
      </c>
      <c r="C713" s="564"/>
      <c r="D713" s="564"/>
      <c r="E713" s="564"/>
      <c r="F713" s="564"/>
      <c r="G713" s="564"/>
      <c r="H713" s="564"/>
      <c r="I713" s="564"/>
      <c r="J713" s="564"/>
      <c r="K713" s="564"/>
      <c r="L713" s="564"/>
      <c r="M713" s="564"/>
      <c r="N713" s="564"/>
      <c r="O713" s="564"/>
      <c r="P713" s="564"/>
      <c r="Q713" s="564"/>
      <c r="R713" s="564"/>
      <c r="S713" s="564"/>
      <c r="T713" s="564"/>
      <c r="U713" s="564"/>
      <c r="V713" s="564"/>
      <c r="W713" s="564"/>
      <c r="X713" s="564"/>
      <c r="Y713" s="564"/>
      <c r="Z713" s="564"/>
      <c r="AA713" s="564"/>
      <c r="AB713" s="564"/>
      <c r="AC713" s="564"/>
      <c r="AD713" s="564"/>
      <c r="AE713" s="564"/>
      <c r="AF713" s="564"/>
      <c r="AG713" s="564"/>
      <c r="AH713" s="564"/>
      <c r="AI713" s="564"/>
      <c r="AJ713" s="564"/>
      <c r="AK713" s="564"/>
      <c r="AL713" s="564"/>
      <c r="AM713" s="564"/>
      <c r="AN713" s="564"/>
      <c r="AO713" s="564"/>
    </row>
    <row r="714" spans="2:41" x14ac:dyDescent="0.15">
      <c r="B714" s="566">
        <v>40</v>
      </c>
      <c r="C714" s="564"/>
      <c r="D714" s="564"/>
      <c r="E714" s="564"/>
      <c r="F714" s="564"/>
      <c r="G714" s="564"/>
      <c r="H714" s="564"/>
      <c r="I714" s="564"/>
      <c r="J714" s="564"/>
      <c r="K714" s="564"/>
      <c r="L714" s="564"/>
      <c r="M714" s="564"/>
      <c r="N714" s="564"/>
      <c r="O714" s="564"/>
      <c r="P714" s="564"/>
      <c r="Q714" s="564"/>
      <c r="R714" s="564"/>
      <c r="S714" s="564"/>
      <c r="T714" s="564"/>
      <c r="U714" s="564"/>
      <c r="V714" s="564"/>
      <c r="W714" s="564"/>
      <c r="X714" s="564"/>
      <c r="Y714" s="564"/>
      <c r="Z714" s="564"/>
      <c r="AA714" s="564"/>
      <c r="AB714" s="564"/>
      <c r="AC714" s="564"/>
      <c r="AD714" s="564"/>
      <c r="AE714" s="564"/>
      <c r="AF714" s="564"/>
      <c r="AG714" s="564"/>
      <c r="AH714" s="564"/>
      <c r="AI714" s="564"/>
      <c r="AJ714" s="564"/>
      <c r="AK714" s="564"/>
      <c r="AL714" s="564"/>
      <c r="AM714" s="564"/>
      <c r="AN714" s="564"/>
      <c r="AO714" s="564"/>
    </row>
    <row r="723" spans="2:41" s="561" customFormat="1" ht="14" x14ac:dyDescent="0.15">
      <c r="B723" s="558" t="str" cm="1">
        <f t="array" ref="B723:AO723">TRANSPOSE('Syötä kaupungit KIRJASTOLIN_ENT'!$J$1:$J$40)</f>
        <v>MAA 9</v>
      </c>
      <c r="C723" s="562">
        <v>0</v>
      </c>
      <c r="D723" s="562">
        <v>0</v>
      </c>
      <c r="E723" s="562">
        <v>0</v>
      </c>
      <c r="F723" s="562">
        <v>0</v>
      </c>
      <c r="G723" s="562">
        <v>0</v>
      </c>
      <c r="H723" s="562">
        <v>0</v>
      </c>
      <c r="I723" s="562">
        <v>0</v>
      </c>
      <c r="J723" s="562">
        <v>0</v>
      </c>
      <c r="K723" s="562">
        <v>0</v>
      </c>
      <c r="L723" s="562">
        <v>0</v>
      </c>
      <c r="M723" s="562">
        <v>0</v>
      </c>
      <c r="N723" s="562">
        <v>0</v>
      </c>
      <c r="O723" s="562">
        <v>0</v>
      </c>
      <c r="P723" s="562">
        <v>0</v>
      </c>
      <c r="Q723" s="562">
        <v>0</v>
      </c>
      <c r="R723" s="562">
        <v>0</v>
      </c>
      <c r="S723" s="562">
        <v>0</v>
      </c>
      <c r="T723" s="562">
        <v>0</v>
      </c>
      <c r="U723" s="562">
        <v>0</v>
      </c>
      <c r="V723" s="562">
        <v>0</v>
      </c>
      <c r="W723" s="562">
        <v>0</v>
      </c>
      <c r="X723" s="562">
        <v>0</v>
      </c>
      <c r="Y723" s="562">
        <v>0</v>
      </c>
      <c r="Z723" s="562">
        <v>0</v>
      </c>
      <c r="AA723" s="562">
        <v>0</v>
      </c>
      <c r="AB723" s="562">
        <v>0</v>
      </c>
      <c r="AC723" s="562">
        <v>0</v>
      </c>
      <c r="AD723" s="562">
        <v>0</v>
      </c>
      <c r="AE723" s="562">
        <v>0</v>
      </c>
      <c r="AF723" s="562">
        <v>0</v>
      </c>
      <c r="AG723" s="562">
        <v>0</v>
      </c>
      <c r="AH723" s="562">
        <v>0</v>
      </c>
      <c r="AI723" s="562">
        <v>0</v>
      </c>
      <c r="AJ723" s="562">
        <v>0</v>
      </c>
      <c r="AK723" s="562">
        <v>0</v>
      </c>
      <c r="AL723" s="562">
        <v>0</v>
      </c>
      <c r="AM723" s="562">
        <v>0</v>
      </c>
      <c r="AN723" s="562">
        <v>0</v>
      </c>
      <c r="AO723" s="562">
        <v>0</v>
      </c>
    </row>
    <row r="724" spans="2:41" x14ac:dyDescent="0.15">
      <c r="B724" s="563">
        <v>-40</v>
      </c>
      <c r="C724" s="564"/>
      <c r="D724" s="564"/>
      <c r="E724" s="564"/>
      <c r="F724" s="564"/>
      <c r="G724" s="564"/>
      <c r="H724" s="564"/>
      <c r="I724" s="564"/>
      <c r="J724" s="564"/>
      <c r="K724" s="564"/>
      <c r="L724" s="564"/>
      <c r="M724" s="564"/>
      <c r="N724" s="564"/>
      <c r="O724" s="564"/>
      <c r="P724" s="564"/>
      <c r="Q724" s="564"/>
      <c r="R724" s="564"/>
      <c r="S724" s="564"/>
      <c r="T724" s="564"/>
      <c r="U724" s="564"/>
      <c r="V724" s="564"/>
      <c r="W724" s="564"/>
      <c r="X724" s="564"/>
      <c r="Y724" s="564"/>
      <c r="Z724" s="564"/>
      <c r="AA724" s="564"/>
      <c r="AB724" s="564"/>
      <c r="AC724" s="564"/>
      <c r="AD724" s="564"/>
      <c r="AE724" s="564"/>
      <c r="AF724" s="564"/>
      <c r="AG724" s="564"/>
      <c r="AH724" s="564"/>
      <c r="AI724" s="564"/>
      <c r="AJ724" s="564"/>
      <c r="AK724" s="564"/>
      <c r="AL724" s="564"/>
      <c r="AM724" s="564"/>
      <c r="AN724" s="564"/>
      <c r="AO724" s="564"/>
    </row>
    <row r="725" spans="2:41" x14ac:dyDescent="0.15">
      <c r="B725" s="565">
        <v>-39</v>
      </c>
      <c r="C725" s="564"/>
      <c r="D725" s="564"/>
      <c r="E725" s="564"/>
      <c r="F725" s="564"/>
      <c r="G725" s="564"/>
      <c r="H725" s="564"/>
      <c r="I725" s="564"/>
      <c r="J725" s="564"/>
      <c r="K725" s="564"/>
      <c r="L725" s="564"/>
      <c r="M725" s="564"/>
      <c r="N725" s="564"/>
      <c r="O725" s="564"/>
      <c r="P725" s="564"/>
      <c r="Q725" s="564"/>
      <c r="R725" s="564"/>
      <c r="S725" s="564"/>
      <c r="T725" s="564"/>
      <c r="U725" s="564"/>
      <c r="V725" s="564"/>
      <c r="W725" s="564"/>
      <c r="X725" s="564"/>
      <c r="Y725" s="564"/>
      <c r="Z725" s="564"/>
      <c r="AA725" s="564"/>
      <c r="AB725" s="564"/>
      <c r="AC725" s="564"/>
      <c r="AD725" s="564"/>
      <c r="AE725" s="564"/>
      <c r="AF725" s="564"/>
      <c r="AG725" s="564"/>
      <c r="AH725" s="564"/>
      <c r="AI725" s="564"/>
      <c r="AJ725" s="564"/>
      <c r="AK725" s="564"/>
      <c r="AL725" s="564"/>
      <c r="AM725" s="564"/>
      <c r="AN725" s="564"/>
      <c r="AO725" s="564"/>
    </row>
    <row r="726" spans="2:41" x14ac:dyDescent="0.15">
      <c r="B726" s="565">
        <v>-38</v>
      </c>
      <c r="C726" s="564"/>
      <c r="D726" s="564"/>
      <c r="E726" s="564"/>
      <c r="F726" s="564"/>
      <c r="G726" s="564"/>
      <c r="H726" s="564"/>
      <c r="I726" s="564"/>
      <c r="J726" s="564"/>
      <c r="K726" s="564"/>
      <c r="L726" s="564"/>
      <c r="M726" s="564"/>
      <c r="N726" s="564"/>
      <c r="O726" s="564"/>
      <c r="P726" s="564"/>
      <c r="Q726" s="564"/>
      <c r="R726" s="564"/>
      <c r="S726" s="564"/>
      <c r="T726" s="564"/>
      <c r="U726" s="564"/>
      <c r="V726" s="564"/>
      <c r="W726" s="564"/>
      <c r="X726" s="564"/>
      <c r="Y726" s="564"/>
      <c r="Z726" s="564"/>
      <c r="AA726" s="564"/>
      <c r="AB726" s="564"/>
      <c r="AC726" s="564"/>
      <c r="AD726" s="564"/>
      <c r="AE726" s="564"/>
      <c r="AF726" s="564"/>
      <c r="AG726" s="564"/>
      <c r="AH726" s="564"/>
      <c r="AI726" s="564"/>
      <c r="AJ726" s="564"/>
      <c r="AK726" s="564"/>
      <c r="AL726" s="564"/>
      <c r="AM726" s="564"/>
      <c r="AN726" s="564"/>
      <c r="AO726" s="564"/>
    </row>
    <row r="727" spans="2:41" x14ac:dyDescent="0.15">
      <c r="B727" s="565">
        <v>-37</v>
      </c>
      <c r="C727" s="564"/>
      <c r="D727" s="564"/>
      <c r="E727" s="564"/>
      <c r="F727" s="564"/>
      <c r="G727" s="564"/>
      <c r="H727" s="564"/>
      <c r="I727" s="564"/>
      <c r="J727" s="564"/>
      <c r="K727" s="564"/>
      <c r="L727" s="564"/>
      <c r="M727" s="564"/>
      <c r="N727" s="564"/>
      <c r="O727" s="564"/>
      <c r="P727" s="564"/>
      <c r="Q727" s="564"/>
      <c r="R727" s="564"/>
      <c r="S727" s="564"/>
      <c r="T727" s="564"/>
      <c r="U727" s="564"/>
      <c r="V727" s="564"/>
      <c r="W727" s="564"/>
      <c r="X727" s="564"/>
      <c r="Y727" s="564"/>
      <c r="Z727" s="564"/>
      <c r="AA727" s="564"/>
      <c r="AB727" s="564"/>
      <c r="AC727" s="564"/>
      <c r="AD727" s="564"/>
      <c r="AE727" s="564"/>
      <c r="AF727" s="564"/>
      <c r="AG727" s="564"/>
      <c r="AH727" s="564"/>
      <c r="AI727" s="564"/>
      <c r="AJ727" s="564"/>
      <c r="AK727" s="564"/>
      <c r="AL727" s="564"/>
      <c r="AM727" s="564"/>
      <c r="AN727" s="564"/>
      <c r="AO727" s="564"/>
    </row>
    <row r="728" spans="2:41" x14ac:dyDescent="0.15">
      <c r="B728" s="565">
        <v>-36</v>
      </c>
      <c r="C728" s="564"/>
      <c r="D728" s="564"/>
      <c r="E728" s="564"/>
      <c r="F728" s="564"/>
      <c r="G728" s="564"/>
      <c r="H728" s="564"/>
      <c r="I728" s="564"/>
      <c r="J728" s="564"/>
      <c r="K728" s="564"/>
      <c r="L728" s="564"/>
      <c r="M728" s="564"/>
      <c r="N728" s="564"/>
      <c r="O728" s="564"/>
      <c r="P728" s="564"/>
      <c r="Q728" s="564"/>
      <c r="R728" s="564"/>
      <c r="S728" s="564"/>
      <c r="T728" s="564"/>
      <c r="U728" s="564"/>
      <c r="V728" s="564"/>
      <c r="W728" s="564"/>
      <c r="X728" s="564"/>
      <c r="Y728" s="564"/>
      <c r="Z728" s="564"/>
      <c r="AA728" s="564"/>
      <c r="AB728" s="564"/>
      <c r="AC728" s="564"/>
      <c r="AD728" s="564"/>
      <c r="AE728" s="564"/>
      <c r="AF728" s="564"/>
      <c r="AG728" s="564"/>
      <c r="AH728" s="564"/>
      <c r="AI728" s="564"/>
      <c r="AJ728" s="564"/>
      <c r="AK728" s="564"/>
      <c r="AL728" s="564"/>
      <c r="AM728" s="564"/>
      <c r="AN728" s="564"/>
      <c r="AO728" s="564"/>
    </row>
    <row r="729" spans="2:41" x14ac:dyDescent="0.15">
      <c r="B729" s="565">
        <v>-35</v>
      </c>
      <c r="C729" s="564"/>
      <c r="D729" s="564"/>
      <c r="E729" s="564"/>
      <c r="F729" s="564"/>
      <c r="G729" s="564"/>
      <c r="H729" s="564"/>
      <c r="I729" s="564"/>
      <c r="J729" s="564"/>
      <c r="K729" s="564"/>
      <c r="L729" s="564"/>
      <c r="M729" s="564"/>
      <c r="N729" s="564"/>
      <c r="O729" s="564"/>
      <c r="P729" s="564"/>
      <c r="Q729" s="564"/>
      <c r="R729" s="564"/>
      <c r="S729" s="564"/>
      <c r="T729" s="564"/>
      <c r="U729" s="564"/>
      <c r="V729" s="564"/>
      <c r="W729" s="564"/>
      <c r="X729" s="564"/>
      <c r="Y729" s="564"/>
      <c r="Z729" s="564"/>
      <c r="AA729" s="564"/>
      <c r="AB729" s="564"/>
      <c r="AC729" s="564"/>
      <c r="AD729" s="564"/>
      <c r="AE729" s="564"/>
      <c r="AF729" s="564"/>
      <c r="AG729" s="564"/>
      <c r="AH729" s="564"/>
      <c r="AI729" s="564"/>
      <c r="AJ729" s="564"/>
      <c r="AK729" s="564"/>
      <c r="AL729" s="564"/>
      <c r="AM729" s="564"/>
      <c r="AN729" s="564"/>
      <c r="AO729" s="564"/>
    </row>
    <row r="730" spans="2:41" x14ac:dyDescent="0.15">
      <c r="B730" s="565">
        <v>-34</v>
      </c>
      <c r="C730" s="564"/>
      <c r="D730" s="564"/>
      <c r="E730" s="564"/>
      <c r="F730" s="564"/>
      <c r="G730" s="564"/>
      <c r="H730" s="564"/>
      <c r="I730" s="564"/>
      <c r="J730" s="564"/>
      <c r="K730" s="564"/>
      <c r="L730" s="564"/>
      <c r="M730" s="564"/>
      <c r="N730" s="564"/>
      <c r="O730" s="564"/>
      <c r="P730" s="564"/>
      <c r="Q730" s="564"/>
      <c r="R730" s="564"/>
      <c r="S730" s="564"/>
      <c r="T730" s="564"/>
      <c r="U730" s="564"/>
      <c r="V730" s="564"/>
      <c r="W730" s="564"/>
      <c r="X730" s="564"/>
      <c r="Y730" s="564"/>
      <c r="Z730" s="564"/>
      <c r="AA730" s="564"/>
      <c r="AB730" s="564"/>
      <c r="AC730" s="564"/>
      <c r="AD730" s="564"/>
      <c r="AE730" s="564"/>
      <c r="AF730" s="564"/>
      <c r="AG730" s="564"/>
      <c r="AH730" s="564"/>
      <c r="AI730" s="564"/>
      <c r="AJ730" s="564"/>
      <c r="AK730" s="564"/>
      <c r="AL730" s="564"/>
      <c r="AM730" s="564"/>
      <c r="AN730" s="564"/>
      <c r="AO730" s="564"/>
    </row>
    <row r="731" spans="2:41" x14ac:dyDescent="0.15">
      <c r="B731" s="565">
        <v>-33</v>
      </c>
      <c r="C731" s="564"/>
      <c r="D731" s="564"/>
      <c r="E731" s="564"/>
      <c r="F731" s="564"/>
      <c r="G731" s="564"/>
      <c r="H731" s="564"/>
      <c r="I731" s="564"/>
      <c r="J731" s="564"/>
      <c r="K731" s="564"/>
      <c r="L731" s="564"/>
      <c r="M731" s="564"/>
      <c r="N731" s="564"/>
      <c r="O731" s="564"/>
      <c r="P731" s="564"/>
      <c r="Q731" s="564"/>
      <c r="R731" s="564"/>
      <c r="S731" s="564"/>
      <c r="T731" s="564"/>
      <c r="U731" s="564"/>
      <c r="V731" s="564"/>
      <c r="W731" s="564"/>
      <c r="X731" s="564"/>
      <c r="Y731" s="564"/>
      <c r="Z731" s="564"/>
      <c r="AA731" s="564"/>
      <c r="AB731" s="564"/>
      <c r="AC731" s="564"/>
      <c r="AD731" s="564"/>
      <c r="AE731" s="564"/>
      <c r="AF731" s="564"/>
      <c r="AG731" s="564"/>
      <c r="AH731" s="564"/>
      <c r="AI731" s="564"/>
      <c r="AJ731" s="564"/>
      <c r="AK731" s="564"/>
      <c r="AL731" s="564"/>
      <c r="AM731" s="564"/>
      <c r="AN731" s="564"/>
      <c r="AO731" s="564"/>
    </row>
    <row r="732" spans="2:41" x14ac:dyDescent="0.15">
      <c r="B732" s="565">
        <v>-32</v>
      </c>
      <c r="C732" s="564"/>
      <c r="D732" s="564"/>
      <c r="E732" s="564"/>
      <c r="F732" s="564"/>
      <c r="G732" s="564"/>
      <c r="H732" s="564"/>
      <c r="I732" s="564"/>
      <c r="J732" s="564"/>
      <c r="K732" s="564"/>
      <c r="L732" s="564"/>
      <c r="M732" s="564"/>
      <c r="N732" s="564"/>
      <c r="O732" s="564"/>
      <c r="P732" s="564"/>
      <c r="Q732" s="564"/>
      <c r="R732" s="564"/>
      <c r="S732" s="564"/>
      <c r="T732" s="564"/>
      <c r="U732" s="564"/>
      <c r="V732" s="564"/>
      <c r="W732" s="564"/>
      <c r="X732" s="564"/>
      <c r="Y732" s="564"/>
      <c r="Z732" s="564"/>
      <c r="AA732" s="564"/>
      <c r="AB732" s="564"/>
      <c r="AC732" s="564"/>
      <c r="AD732" s="564"/>
      <c r="AE732" s="564"/>
      <c r="AF732" s="564"/>
      <c r="AG732" s="564"/>
      <c r="AH732" s="564"/>
      <c r="AI732" s="564"/>
      <c r="AJ732" s="564"/>
      <c r="AK732" s="564"/>
      <c r="AL732" s="564"/>
      <c r="AM732" s="564"/>
      <c r="AN732" s="564"/>
      <c r="AO732" s="564"/>
    </row>
    <row r="733" spans="2:41" x14ac:dyDescent="0.15">
      <c r="B733" s="565">
        <v>-31</v>
      </c>
      <c r="C733" s="564"/>
      <c r="D733" s="564"/>
      <c r="E733" s="564"/>
      <c r="F733" s="564"/>
      <c r="G733" s="564"/>
      <c r="H733" s="564"/>
      <c r="I733" s="564"/>
      <c r="J733" s="564"/>
      <c r="K733" s="564"/>
      <c r="L733" s="564"/>
      <c r="M733" s="564"/>
      <c r="N733" s="564"/>
      <c r="O733" s="564"/>
      <c r="P733" s="564"/>
      <c r="Q733" s="564"/>
      <c r="R733" s="564"/>
      <c r="S733" s="564"/>
      <c r="T733" s="564"/>
      <c r="U733" s="564"/>
      <c r="V733" s="564"/>
      <c r="W733" s="564"/>
      <c r="X733" s="564"/>
      <c r="Y733" s="564"/>
      <c r="Z733" s="564"/>
      <c r="AA733" s="564"/>
      <c r="AB733" s="564"/>
      <c r="AC733" s="564"/>
      <c r="AD733" s="564"/>
      <c r="AE733" s="564"/>
      <c r="AF733" s="564"/>
      <c r="AG733" s="564"/>
      <c r="AH733" s="564"/>
      <c r="AI733" s="564"/>
      <c r="AJ733" s="564"/>
      <c r="AK733" s="564"/>
      <c r="AL733" s="564"/>
      <c r="AM733" s="564"/>
      <c r="AN733" s="564"/>
      <c r="AO733" s="564"/>
    </row>
    <row r="734" spans="2:41" x14ac:dyDescent="0.15">
      <c r="B734" s="565">
        <v>-30</v>
      </c>
      <c r="C734" s="564"/>
      <c r="D734" s="564"/>
      <c r="E734" s="564"/>
      <c r="F734" s="564"/>
      <c r="G734" s="564"/>
      <c r="H734" s="564"/>
      <c r="I734" s="564"/>
      <c r="J734" s="564"/>
      <c r="K734" s="564"/>
      <c r="L734" s="564"/>
      <c r="M734" s="564"/>
      <c r="N734" s="564"/>
      <c r="O734" s="564"/>
      <c r="P734" s="564"/>
      <c r="Q734" s="564"/>
      <c r="R734" s="564"/>
      <c r="S734" s="564"/>
      <c r="T734" s="564"/>
      <c r="U734" s="564"/>
      <c r="V734" s="564"/>
      <c r="W734" s="564"/>
      <c r="X734" s="564"/>
      <c r="Y734" s="564"/>
      <c r="Z734" s="564"/>
      <c r="AA734" s="564"/>
      <c r="AB734" s="564"/>
      <c r="AC734" s="564"/>
      <c r="AD734" s="564"/>
      <c r="AE734" s="564"/>
      <c r="AF734" s="564"/>
      <c r="AG734" s="564"/>
      <c r="AH734" s="564"/>
      <c r="AI734" s="564"/>
      <c r="AJ734" s="564"/>
      <c r="AK734" s="564"/>
      <c r="AL734" s="564"/>
      <c r="AM734" s="564"/>
      <c r="AN734" s="564"/>
      <c r="AO734" s="564"/>
    </row>
    <row r="735" spans="2:41" x14ac:dyDescent="0.15">
      <c r="B735" s="565">
        <v>-29</v>
      </c>
      <c r="C735" s="564"/>
      <c r="D735" s="564"/>
      <c r="E735" s="564"/>
      <c r="F735" s="564"/>
      <c r="G735" s="564"/>
      <c r="H735" s="564"/>
      <c r="I735" s="564"/>
      <c r="J735" s="564"/>
      <c r="K735" s="564"/>
      <c r="L735" s="564"/>
      <c r="M735" s="564"/>
      <c r="N735" s="564"/>
      <c r="O735" s="564"/>
      <c r="P735" s="564"/>
      <c r="Q735" s="564"/>
      <c r="R735" s="564"/>
      <c r="S735" s="564"/>
      <c r="T735" s="564"/>
      <c r="U735" s="564"/>
      <c r="V735" s="564"/>
      <c r="W735" s="564"/>
      <c r="X735" s="564"/>
      <c r="Y735" s="564"/>
      <c r="Z735" s="564"/>
      <c r="AA735" s="564"/>
      <c r="AB735" s="564"/>
      <c r="AC735" s="564"/>
      <c r="AD735" s="564"/>
      <c r="AE735" s="564"/>
      <c r="AF735" s="564"/>
      <c r="AG735" s="564"/>
      <c r="AH735" s="564"/>
      <c r="AI735" s="564"/>
      <c r="AJ735" s="564"/>
      <c r="AK735" s="564"/>
      <c r="AL735" s="564"/>
      <c r="AM735" s="564"/>
      <c r="AN735" s="564"/>
      <c r="AO735" s="564"/>
    </row>
    <row r="736" spans="2:41" x14ac:dyDescent="0.15">
      <c r="B736" s="565">
        <v>-28</v>
      </c>
      <c r="C736" s="564"/>
      <c r="D736" s="564"/>
      <c r="E736" s="564"/>
      <c r="F736" s="564"/>
      <c r="G736" s="564"/>
      <c r="H736" s="564"/>
      <c r="I736" s="564"/>
      <c r="J736" s="564"/>
      <c r="K736" s="564"/>
      <c r="L736" s="564"/>
      <c r="M736" s="564"/>
      <c r="N736" s="564"/>
      <c r="O736" s="564"/>
      <c r="P736" s="564"/>
      <c r="Q736" s="564"/>
      <c r="R736" s="564"/>
      <c r="S736" s="564"/>
      <c r="T736" s="564"/>
      <c r="U736" s="564"/>
      <c r="V736" s="564"/>
      <c r="W736" s="564"/>
      <c r="X736" s="564"/>
      <c r="Y736" s="564"/>
      <c r="Z736" s="564"/>
      <c r="AA736" s="564"/>
      <c r="AB736" s="564"/>
      <c r="AC736" s="564"/>
      <c r="AD736" s="564"/>
      <c r="AE736" s="564"/>
      <c r="AF736" s="564"/>
      <c r="AG736" s="564"/>
      <c r="AH736" s="564"/>
      <c r="AI736" s="564"/>
      <c r="AJ736" s="564"/>
      <c r="AK736" s="564"/>
      <c r="AL736" s="564"/>
      <c r="AM736" s="564"/>
      <c r="AN736" s="564"/>
      <c r="AO736" s="564"/>
    </row>
    <row r="737" spans="2:41" x14ac:dyDescent="0.15">
      <c r="B737" s="565">
        <v>-27</v>
      </c>
      <c r="C737" s="564"/>
      <c r="D737" s="564"/>
      <c r="E737" s="564"/>
      <c r="F737" s="564"/>
      <c r="G737" s="564"/>
      <c r="H737" s="564"/>
      <c r="I737" s="564"/>
      <c r="J737" s="564"/>
      <c r="K737" s="564"/>
      <c r="L737" s="564"/>
      <c r="M737" s="564"/>
      <c r="N737" s="564"/>
      <c r="O737" s="564"/>
      <c r="P737" s="564"/>
      <c r="Q737" s="564"/>
      <c r="R737" s="564"/>
      <c r="S737" s="564"/>
      <c r="T737" s="564"/>
      <c r="U737" s="564"/>
      <c r="V737" s="564"/>
      <c r="W737" s="564"/>
      <c r="X737" s="564"/>
      <c r="Y737" s="564"/>
      <c r="Z737" s="564"/>
      <c r="AA737" s="564"/>
      <c r="AB737" s="564"/>
      <c r="AC737" s="564"/>
      <c r="AD737" s="564"/>
      <c r="AE737" s="564"/>
      <c r="AF737" s="564"/>
      <c r="AG737" s="564"/>
      <c r="AH737" s="564"/>
      <c r="AI737" s="564"/>
      <c r="AJ737" s="564"/>
      <c r="AK737" s="564"/>
      <c r="AL737" s="564"/>
      <c r="AM737" s="564"/>
      <c r="AN737" s="564"/>
      <c r="AO737" s="564"/>
    </row>
    <row r="738" spans="2:41" x14ac:dyDescent="0.15">
      <c r="B738" s="565">
        <v>-26</v>
      </c>
      <c r="C738" s="564"/>
      <c r="D738" s="564"/>
      <c r="E738" s="564"/>
      <c r="F738" s="564"/>
      <c r="G738" s="564"/>
      <c r="H738" s="564"/>
      <c r="I738" s="564"/>
      <c r="J738" s="564"/>
      <c r="K738" s="564"/>
      <c r="L738" s="564"/>
      <c r="M738" s="564"/>
      <c r="N738" s="564"/>
      <c r="O738" s="564"/>
      <c r="P738" s="564"/>
      <c r="Q738" s="564"/>
      <c r="R738" s="564"/>
      <c r="S738" s="564"/>
      <c r="T738" s="564"/>
      <c r="U738" s="564"/>
      <c r="V738" s="564"/>
      <c r="W738" s="564"/>
      <c r="X738" s="564"/>
      <c r="Y738" s="564"/>
      <c r="Z738" s="564"/>
      <c r="AA738" s="564"/>
      <c r="AB738" s="564"/>
      <c r="AC738" s="564"/>
      <c r="AD738" s="564"/>
      <c r="AE738" s="564"/>
      <c r="AF738" s="564"/>
      <c r="AG738" s="564"/>
      <c r="AH738" s="564"/>
      <c r="AI738" s="564"/>
      <c r="AJ738" s="564"/>
      <c r="AK738" s="564"/>
      <c r="AL738" s="564"/>
      <c r="AM738" s="564"/>
      <c r="AN738" s="564"/>
      <c r="AO738" s="564"/>
    </row>
    <row r="739" spans="2:41" x14ac:dyDescent="0.15">
      <c r="B739" s="565">
        <v>-25</v>
      </c>
      <c r="C739" s="564"/>
      <c r="D739" s="564"/>
      <c r="E739" s="564"/>
      <c r="F739" s="564"/>
      <c r="G739" s="564"/>
      <c r="H739" s="564"/>
      <c r="I739" s="564"/>
      <c r="J739" s="564"/>
      <c r="K739" s="564"/>
      <c r="L739" s="564"/>
      <c r="M739" s="564"/>
      <c r="N739" s="564"/>
      <c r="O739" s="564"/>
      <c r="P739" s="564"/>
      <c r="Q739" s="564"/>
      <c r="R739" s="564"/>
      <c r="S739" s="564"/>
      <c r="T739" s="564"/>
      <c r="U739" s="564"/>
      <c r="V739" s="564"/>
      <c r="W739" s="564"/>
      <c r="X739" s="564"/>
      <c r="Y739" s="564"/>
      <c r="Z739" s="564"/>
      <c r="AA739" s="564"/>
      <c r="AB739" s="564"/>
      <c r="AC739" s="564"/>
      <c r="AD739" s="564"/>
      <c r="AE739" s="564"/>
      <c r="AF739" s="564"/>
      <c r="AG739" s="564"/>
      <c r="AH739" s="564"/>
      <c r="AI739" s="564"/>
      <c r="AJ739" s="564"/>
      <c r="AK739" s="564"/>
      <c r="AL739" s="564"/>
      <c r="AM739" s="564"/>
      <c r="AN739" s="564"/>
      <c r="AO739" s="564"/>
    </row>
    <row r="740" spans="2:41" x14ac:dyDescent="0.15">
      <c r="B740" s="565">
        <v>-24</v>
      </c>
      <c r="C740" s="564"/>
      <c r="D740" s="564"/>
      <c r="E740" s="564"/>
      <c r="F740" s="564"/>
      <c r="G740" s="564"/>
      <c r="H740" s="564"/>
      <c r="I740" s="564"/>
      <c r="J740" s="564"/>
      <c r="K740" s="564"/>
      <c r="L740" s="564"/>
      <c r="M740" s="564"/>
      <c r="N740" s="564"/>
      <c r="O740" s="564"/>
      <c r="P740" s="564"/>
      <c r="Q740" s="564"/>
      <c r="R740" s="564"/>
      <c r="S740" s="564"/>
      <c r="T740" s="564"/>
      <c r="U740" s="564"/>
      <c r="V740" s="564"/>
      <c r="W740" s="564"/>
      <c r="X740" s="564"/>
      <c r="Y740" s="564"/>
      <c r="Z740" s="564"/>
      <c r="AA740" s="564"/>
      <c r="AB740" s="564"/>
      <c r="AC740" s="564"/>
      <c r="AD740" s="564"/>
      <c r="AE740" s="564"/>
      <c r="AF740" s="564"/>
      <c r="AG740" s="564"/>
      <c r="AH740" s="564"/>
      <c r="AI740" s="564"/>
      <c r="AJ740" s="564"/>
      <c r="AK740" s="564"/>
      <c r="AL740" s="564"/>
      <c r="AM740" s="564"/>
      <c r="AN740" s="564"/>
      <c r="AO740" s="564"/>
    </row>
    <row r="741" spans="2:41" x14ac:dyDescent="0.15">
      <c r="B741" s="565">
        <v>-23</v>
      </c>
      <c r="C741" s="564"/>
      <c r="D741" s="564"/>
      <c r="E741" s="564"/>
      <c r="F741" s="564"/>
      <c r="G741" s="564"/>
      <c r="H741" s="564"/>
      <c r="I741" s="564"/>
      <c r="J741" s="564"/>
      <c r="K741" s="564"/>
      <c r="L741" s="564"/>
      <c r="M741" s="564"/>
      <c r="N741" s="564"/>
      <c r="O741" s="564"/>
      <c r="P741" s="564"/>
      <c r="Q741" s="564"/>
      <c r="R741" s="564"/>
      <c r="S741" s="564"/>
      <c r="T741" s="564"/>
      <c r="U741" s="564"/>
      <c r="V741" s="564"/>
      <c r="W741" s="564"/>
      <c r="X741" s="564"/>
      <c r="Y741" s="564"/>
      <c r="Z741" s="564"/>
      <c r="AA741" s="564"/>
      <c r="AB741" s="564"/>
      <c r="AC741" s="564"/>
      <c r="AD741" s="564"/>
      <c r="AE741" s="564"/>
      <c r="AF741" s="564"/>
      <c r="AG741" s="564"/>
      <c r="AH741" s="564"/>
      <c r="AI741" s="564"/>
      <c r="AJ741" s="564"/>
      <c r="AK741" s="564"/>
      <c r="AL741" s="564"/>
      <c r="AM741" s="564"/>
      <c r="AN741" s="564"/>
      <c r="AO741" s="564"/>
    </row>
    <row r="742" spans="2:41" x14ac:dyDescent="0.15">
      <c r="B742" s="565">
        <v>-22</v>
      </c>
      <c r="C742" s="564"/>
      <c r="D742" s="564"/>
      <c r="E742" s="564"/>
      <c r="F742" s="564"/>
      <c r="G742" s="564"/>
      <c r="H742" s="564"/>
      <c r="I742" s="564"/>
      <c r="J742" s="564"/>
      <c r="K742" s="564"/>
      <c r="L742" s="564"/>
      <c r="M742" s="564"/>
      <c r="N742" s="564"/>
      <c r="O742" s="564"/>
      <c r="P742" s="564"/>
      <c r="Q742" s="564"/>
      <c r="R742" s="564"/>
      <c r="S742" s="564"/>
      <c r="T742" s="564"/>
      <c r="U742" s="564"/>
      <c r="V742" s="564"/>
      <c r="W742" s="564"/>
      <c r="X742" s="564"/>
      <c r="Y742" s="564"/>
      <c r="Z742" s="564"/>
      <c r="AA742" s="564"/>
      <c r="AB742" s="564"/>
      <c r="AC742" s="564"/>
      <c r="AD742" s="564"/>
      <c r="AE742" s="564"/>
      <c r="AF742" s="564"/>
      <c r="AG742" s="564"/>
      <c r="AH742" s="564"/>
      <c r="AI742" s="564"/>
      <c r="AJ742" s="564"/>
      <c r="AK742" s="564"/>
      <c r="AL742" s="564"/>
      <c r="AM742" s="564"/>
      <c r="AN742" s="564"/>
      <c r="AO742" s="564"/>
    </row>
    <row r="743" spans="2:41" x14ac:dyDescent="0.15">
      <c r="B743" s="565">
        <v>-21</v>
      </c>
      <c r="C743" s="564"/>
      <c r="D743" s="564"/>
      <c r="E743" s="564"/>
      <c r="F743" s="564"/>
      <c r="G743" s="564"/>
      <c r="H743" s="564"/>
      <c r="I743" s="564"/>
      <c r="J743" s="564"/>
      <c r="K743" s="564"/>
      <c r="L743" s="564"/>
      <c r="M743" s="564"/>
      <c r="N743" s="564"/>
      <c r="O743" s="564"/>
      <c r="P743" s="564"/>
      <c r="Q743" s="564"/>
      <c r="R743" s="564"/>
      <c r="S743" s="564"/>
      <c r="T743" s="564"/>
      <c r="U743" s="564"/>
      <c r="V743" s="564"/>
      <c r="W743" s="564"/>
      <c r="X743" s="564"/>
      <c r="Y743" s="564"/>
      <c r="Z743" s="564"/>
      <c r="AA743" s="564"/>
      <c r="AB743" s="564"/>
      <c r="AC743" s="564"/>
      <c r="AD743" s="564"/>
      <c r="AE743" s="564"/>
      <c r="AF743" s="564"/>
      <c r="AG743" s="564"/>
      <c r="AH743" s="564"/>
      <c r="AI743" s="564"/>
      <c r="AJ743" s="564"/>
      <c r="AK743" s="564"/>
      <c r="AL743" s="564"/>
      <c r="AM743" s="564"/>
      <c r="AN743" s="564"/>
      <c r="AO743" s="564"/>
    </row>
    <row r="744" spans="2:41" x14ac:dyDescent="0.15">
      <c r="B744" s="565">
        <v>-20</v>
      </c>
      <c r="C744" s="564"/>
      <c r="D744" s="564"/>
      <c r="E744" s="564"/>
      <c r="F744" s="564"/>
      <c r="G744" s="564"/>
      <c r="H744" s="564"/>
      <c r="I744" s="564"/>
      <c r="J744" s="564"/>
      <c r="K744" s="564"/>
      <c r="L744" s="564"/>
      <c r="M744" s="564"/>
      <c r="N744" s="564"/>
      <c r="O744" s="564"/>
      <c r="P744" s="564"/>
      <c r="Q744" s="564"/>
      <c r="R744" s="564"/>
      <c r="S744" s="564"/>
      <c r="T744" s="564"/>
      <c r="U744" s="564"/>
      <c r="V744" s="564"/>
      <c r="W744" s="564"/>
      <c r="X744" s="564"/>
      <c r="Y744" s="564"/>
      <c r="Z744" s="564"/>
      <c r="AA744" s="564"/>
      <c r="AB744" s="564"/>
      <c r="AC744" s="564"/>
      <c r="AD744" s="564"/>
      <c r="AE744" s="564"/>
      <c r="AF744" s="564"/>
      <c r="AG744" s="564"/>
      <c r="AH744" s="564"/>
      <c r="AI744" s="564"/>
      <c r="AJ744" s="564"/>
      <c r="AK744" s="564"/>
      <c r="AL744" s="564"/>
      <c r="AM744" s="564"/>
      <c r="AN744" s="564"/>
      <c r="AO744" s="564"/>
    </row>
    <row r="745" spans="2:41" x14ac:dyDescent="0.15">
      <c r="B745" s="565">
        <v>-19</v>
      </c>
      <c r="C745" s="564"/>
      <c r="D745" s="564"/>
      <c r="E745" s="564"/>
      <c r="F745" s="564"/>
      <c r="G745" s="564"/>
      <c r="H745" s="564"/>
      <c r="I745" s="564"/>
      <c r="J745" s="564"/>
      <c r="K745" s="564"/>
      <c r="L745" s="564"/>
      <c r="M745" s="564"/>
      <c r="N745" s="564"/>
      <c r="O745" s="564"/>
      <c r="P745" s="564"/>
      <c r="Q745" s="564"/>
      <c r="R745" s="564"/>
      <c r="S745" s="564"/>
      <c r="T745" s="564"/>
      <c r="U745" s="564"/>
      <c r="V745" s="564"/>
      <c r="W745" s="564"/>
      <c r="X745" s="564"/>
      <c r="Y745" s="564"/>
      <c r="Z745" s="564"/>
      <c r="AA745" s="564"/>
      <c r="AB745" s="564"/>
      <c r="AC745" s="564"/>
      <c r="AD745" s="564"/>
      <c r="AE745" s="564"/>
      <c r="AF745" s="564"/>
      <c r="AG745" s="564"/>
      <c r="AH745" s="564"/>
      <c r="AI745" s="564"/>
      <c r="AJ745" s="564"/>
      <c r="AK745" s="564"/>
      <c r="AL745" s="564"/>
      <c r="AM745" s="564"/>
      <c r="AN745" s="564"/>
      <c r="AO745" s="564"/>
    </row>
    <row r="746" spans="2:41" x14ac:dyDescent="0.15">
      <c r="B746" s="565">
        <v>-18</v>
      </c>
      <c r="C746" s="564"/>
      <c r="D746" s="564"/>
      <c r="E746" s="564"/>
      <c r="F746" s="564"/>
      <c r="G746" s="564"/>
      <c r="H746" s="564"/>
      <c r="I746" s="564"/>
      <c r="J746" s="564"/>
      <c r="K746" s="564"/>
      <c r="L746" s="564"/>
      <c r="M746" s="564"/>
      <c r="N746" s="564"/>
      <c r="O746" s="564"/>
      <c r="P746" s="564"/>
      <c r="Q746" s="564"/>
      <c r="R746" s="564"/>
      <c r="S746" s="564"/>
      <c r="T746" s="564"/>
      <c r="U746" s="564"/>
      <c r="V746" s="564"/>
      <c r="W746" s="564"/>
      <c r="X746" s="564"/>
      <c r="Y746" s="564"/>
      <c r="Z746" s="564"/>
      <c r="AA746" s="564"/>
      <c r="AB746" s="564"/>
      <c r="AC746" s="564"/>
      <c r="AD746" s="564"/>
      <c r="AE746" s="564"/>
      <c r="AF746" s="564"/>
      <c r="AG746" s="564"/>
      <c r="AH746" s="564"/>
      <c r="AI746" s="564"/>
      <c r="AJ746" s="564"/>
      <c r="AK746" s="564"/>
      <c r="AL746" s="564"/>
      <c r="AM746" s="564"/>
      <c r="AN746" s="564"/>
      <c r="AO746" s="564"/>
    </row>
    <row r="747" spans="2:41" x14ac:dyDescent="0.15">
      <c r="B747" s="565">
        <v>-17</v>
      </c>
      <c r="C747" s="564"/>
      <c r="D747" s="564"/>
      <c r="E747" s="564"/>
      <c r="F747" s="564"/>
      <c r="G747" s="564"/>
      <c r="H747" s="564"/>
      <c r="I747" s="564"/>
      <c r="J747" s="564"/>
      <c r="K747" s="564"/>
      <c r="L747" s="564"/>
      <c r="M747" s="564"/>
      <c r="N747" s="564"/>
      <c r="O747" s="564"/>
      <c r="P747" s="564"/>
      <c r="Q747" s="564"/>
      <c r="R747" s="564"/>
      <c r="S747" s="564"/>
      <c r="T747" s="564"/>
      <c r="U747" s="564"/>
      <c r="V747" s="564"/>
      <c r="W747" s="564"/>
      <c r="X747" s="564"/>
      <c r="Y747" s="564"/>
      <c r="Z747" s="564"/>
      <c r="AA747" s="564"/>
      <c r="AB747" s="564"/>
      <c r="AC747" s="564"/>
      <c r="AD747" s="564"/>
      <c r="AE747" s="564"/>
      <c r="AF747" s="564"/>
      <c r="AG747" s="564"/>
      <c r="AH747" s="564"/>
      <c r="AI747" s="564"/>
      <c r="AJ747" s="564"/>
      <c r="AK747" s="564"/>
      <c r="AL747" s="564"/>
      <c r="AM747" s="564"/>
      <c r="AN747" s="564"/>
      <c r="AO747" s="564"/>
    </row>
    <row r="748" spans="2:41" x14ac:dyDescent="0.15">
      <c r="B748" s="565">
        <v>-16</v>
      </c>
      <c r="C748" s="564"/>
      <c r="D748" s="564"/>
      <c r="E748" s="564"/>
      <c r="F748" s="564"/>
      <c r="G748" s="564"/>
      <c r="H748" s="564"/>
      <c r="I748" s="564"/>
      <c r="J748" s="564"/>
      <c r="K748" s="564"/>
      <c r="L748" s="564"/>
      <c r="M748" s="564"/>
      <c r="N748" s="564"/>
      <c r="O748" s="564"/>
      <c r="P748" s="564"/>
      <c r="Q748" s="564"/>
      <c r="R748" s="564"/>
      <c r="S748" s="564"/>
      <c r="T748" s="564"/>
      <c r="U748" s="564"/>
      <c r="V748" s="564"/>
      <c r="W748" s="564"/>
      <c r="X748" s="564"/>
      <c r="Y748" s="564"/>
      <c r="Z748" s="564"/>
      <c r="AA748" s="564"/>
      <c r="AB748" s="564"/>
      <c r="AC748" s="564"/>
      <c r="AD748" s="564"/>
      <c r="AE748" s="564"/>
      <c r="AF748" s="564"/>
      <c r="AG748" s="564"/>
      <c r="AH748" s="564"/>
      <c r="AI748" s="564"/>
      <c r="AJ748" s="564"/>
      <c r="AK748" s="564"/>
      <c r="AL748" s="564"/>
      <c r="AM748" s="564"/>
      <c r="AN748" s="564"/>
      <c r="AO748" s="564"/>
    </row>
    <row r="749" spans="2:41" x14ac:dyDescent="0.15">
      <c r="B749" s="565">
        <v>-15</v>
      </c>
      <c r="C749" s="564"/>
      <c r="D749" s="564"/>
      <c r="E749" s="564"/>
      <c r="F749" s="564"/>
      <c r="G749" s="564"/>
      <c r="H749" s="564"/>
      <c r="I749" s="564"/>
      <c r="J749" s="564"/>
      <c r="K749" s="564"/>
      <c r="L749" s="564"/>
      <c r="M749" s="564"/>
      <c r="N749" s="564"/>
      <c r="O749" s="564"/>
      <c r="P749" s="564"/>
      <c r="Q749" s="564"/>
      <c r="R749" s="564"/>
      <c r="S749" s="564"/>
      <c r="T749" s="564"/>
      <c r="U749" s="564"/>
      <c r="V749" s="564"/>
      <c r="W749" s="564"/>
      <c r="X749" s="564"/>
      <c r="Y749" s="564"/>
      <c r="Z749" s="564"/>
      <c r="AA749" s="564"/>
      <c r="AB749" s="564"/>
      <c r="AC749" s="564"/>
      <c r="AD749" s="564"/>
      <c r="AE749" s="564"/>
      <c r="AF749" s="564"/>
      <c r="AG749" s="564"/>
      <c r="AH749" s="564"/>
      <c r="AI749" s="564"/>
      <c r="AJ749" s="564"/>
      <c r="AK749" s="564"/>
      <c r="AL749" s="564"/>
      <c r="AM749" s="564"/>
      <c r="AN749" s="564"/>
      <c r="AO749" s="564"/>
    </row>
    <row r="750" spans="2:41" x14ac:dyDescent="0.15">
      <c r="B750" s="565">
        <v>-14</v>
      </c>
      <c r="C750" s="564"/>
      <c r="D750" s="564"/>
      <c r="E750" s="564"/>
      <c r="F750" s="564"/>
      <c r="G750" s="564"/>
      <c r="H750" s="564"/>
      <c r="I750" s="564"/>
      <c r="J750" s="564"/>
      <c r="K750" s="564"/>
      <c r="L750" s="564"/>
      <c r="M750" s="564"/>
      <c r="N750" s="564"/>
      <c r="O750" s="564"/>
      <c r="P750" s="564"/>
      <c r="Q750" s="564"/>
      <c r="R750" s="564"/>
      <c r="S750" s="564"/>
      <c r="T750" s="564"/>
      <c r="U750" s="564"/>
      <c r="V750" s="564"/>
      <c r="W750" s="564"/>
      <c r="X750" s="564"/>
      <c r="Y750" s="564"/>
      <c r="Z750" s="564"/>
      <c r="AA750" s="564"/>
      <c r="AB750" s="564"/>
      <c r="AC750" s="564"/>
      <c r="AD750" s="564"/>
      <c r="AE750" s="564"/>
      <c r="AF750" s="564"/>
      <c r="AG750" s="564"/>
      <c r="AH750" s="564"/>
      <c r="AI750" s="564"/>
      <c r="AJ750" s="564"/>
      <c r="AK750" s="564"/>
      <c r="AL750" s="564"/>
      <c r="AM750" s="564"/>
      <c r="AN750" s="564"/>
      <c r="AO750" s="564"/>
    </row>
    <row r="751" spans="2:41" x14ac:dyDescent="0.15">
      <c r="B751" s="565">
        <v>-13</v>
      </c>
      <c r="C751" s="564"/>
      <c r="D751" s="564"/>
      <c r="E751" s="564"/>
      <c r="F751" s="564"/>
      <c r="G751" s="564"/>
      <c r="H751" s="564"/>
      <c r="I751" s="564"/>
      <c r="J751" s="564"/>
      <c r="K751" s="564"/>
      <c r="L751" s="564"/>
      <c r="M751" s="564"/>
      <c r="N751" s="564"/>
      <c r="O751" s="564"/>
      <c r="P751" s="564"/>
      <c r="Q751" s="564"/>
      <c r="R751" s="564"/>
      <c r="S751" s="564"/>
      <c r="T751" s="564"/>
      <c r="U751" s="564"/>
      <c r="V751" s="564"/>
      <c r="W751" s="564"/>
      <c r="X751" s="564"/>
      <c r="Y751" s="564"/>
      <c r="Z751" s="564"/>
      <c r="AA751" s="564"/>
      <c r="AB751" s="564"/>
      <c r="AC751" s="564"/>
      <c r="AD751" s="564"/>
      <c r="AE751" s="564"/>
      <c r="AF751" s="564"/>
      <c r="AG751" s="564"/>
      <c r="AH751" s="564"/>
      <c r="AI751" s="564"/>
      <c r="AJ751" s="564"/>
      <c r="AK751" s="564"/>
      <c r="AL751" s="564"/>
      <c r="AM751" s="564"/>
      <c r="AN751" s="564"/>
      <c r="AO751" s="564"/>
    </row>
    <row r="752" spans="2:41" x14ac:dyDescent="0.15">
      <c r="B752" s="565">
        <v>-12</v>
      </c>
      <c r="C752" s="564"/>
      <c r="D752" s="564"/>
      <c r="E752" s="564"/>
      <c r="F752" s="564"/>
      <c r="G752" s="564"/>
      <c r="H752" s="564"/>
      <c r="I752" s="564"/>
      <c r="J752" s="564"/>
      <c r="K752" s="564"/>
      <c r="L752" s="564"/>
      <c r="M752" s="564"/>
      <c r="N752" s="564"/>
      <c r="O752" s="564"/>
      <c r="P752" s="564"/>
      <c r="Q752" s="564"/>
      <c r="R752" s="564"/>
      <c r="S752" s="564"/>
      <c r="T752" s="564"/>
      <c r="U752" s="564"/>
      <c r="V752" s="564"/>
      <c r="W752" s="564"/>
      <c r="X752" s="564"/>
      <c r="Y752" s="564"/>
      <c r="Z752" s="564"/>
      <c r="AA752" s="564"/>
      <c r="AB752" s="564"/>
      <c r="AC752" s="564"/>
      <c r="AD752" s="564"/>
      <c r="AE752" s="564"/>
      <c r="AF752" s="564"/>
      <c r="AG752" s="564"/>
      <c r="AH752" s="564"/>
      <c r="AI752" s="564"/>
      <c r="AJ752" s="564"/>
      <c r="AK752" s="564"/>
      <c r="AL752" s="564"/>
      <c r="AM752" s="564"/>
      <c r="AN752" s="564"/>
      <c r="AO752" s="564"/>
    </row>
    <row r="753" spans="2:41" x14ac:dyDescent="0.15">
      <c r="B753" s="565">
        <v>-11</v>
      </c>
      <c r="C753" s="564"/>
      <c r="D753" s="564"/>
      <c r="E753" s="564"/>
      <c r="F753" s="564"/>
      <c r="G753" s="564"/>
      <c r="H753" s="564"/>
      <c r="I753" s="564"/>
      <c r="J753" s="564"/>
      <c r="K753" s="564"/>
      <c r="L753" s="564"/>
      <c r="M753" s="564"/>
      <c r="N753" s="564"/>
      <c r="O753" s="564"/>
      <c r="P753" s="564"/>
      <c r="Q753" s="564"/>
      <c r="R753" s="564"/>
      <c r="S753" s="564"/>
      <c r="T753" s="564"/>
      <c r="U753" s="564"/>
      <c r="V753" s="564"/>
      <c r="W753" s="564"/>
      <c r="X753" s="564"/>
      <c r="Y753" s="564"/>
      <c r="Z753" s="564"/>
      <c r="AA753" s="564"/>
      <c r="AB753" s="564"/>
      <c r="AC753" s="564"/>
      <c r="AD753" s="564"/>
      <c r="AE753" s="564"/>
      <c r="AF753" s="564"/>
      <c r="AG753" s="564"/>
      <c r="AH753" s="564"/>
      <c r="AI753" s="564"/>
      <c r="AJ753" s="564"/>
      <c r="AK753" s="564"/>
      <c r="AL753" s="564"/>
      <c r="AM753" s="564"/>
      <c r="AN753" s="564"/>
      <c r="AO753" s="564"/>
    </row>
    <row r="754" spans="2:41" x14ac:dyDescent="0.15">
      <c r="B754" s="565">
        <v>-10</v>
      </c>
      <c r="C754" s="564"/>
      <c r="D754" s="564"/>
      <c r="E754" s="564"/>
      <c r="F754" s="564"/>
      <c r="G754" s="564"/>
      <c r="H754" s="564"/>
      <c r="I754" s="564"/>
      <c r="J754" s="564"/>
      <c r="K754" s="564"/>
      <c r="L754" s="564"/>
      <c r="M754" s="564"/>
      <c r="N754" s="564"/>
      <c r="O754" s="564"/>
      <c r="P754" s="564"/>
      <c r="Q754" s="564"/>
      <c r="R754" s="564"/>
      <c r="S754" s="564"/>
      <c r="T754" s="564"/>
      <c r="U754" s="564"/>
      <c r="V754" s="564"/>
      <c r="W754" s="564"/>
      <c r="X754" s="564"/>
      <c r="Y754" s="564"/>
      <c r="Z754" s="564"/>
      <c r="AA754" s="564"/>
      <c r="AB754" s="564"/>
      <c r="AC754" s="564"/>
      <c r="AD754" s="564"/>
      <c r="AE754" s="564"/>
      <c r="AF754" s="564"/>
      <c r="AG754" s="564"/>
      <c r="AH754" s="564"/>
      <c r="AI754" s="564"/>
      <c r="AJ754" s="564"/>
      <c r="AK754" s="564"/>
      <c r="AL754" s="564"/>
      <c r="AM754" s="564"/>
      <c r="AN754" s="564"/>
      <c r="AO754" s="564"/>
    </row>
    <row r="755" spans="2:41" x14ac:dyDescent="0.15">
      <c r="B755" s="565">
        <v>-9</v>
      </c>
      <c r="C755" s="564"/>
      <c r="D755" s="564"/>
      <c r="E755" s="564"/>
      <c r="F755" s="564"/>
      <c r="G755" s="564"/>
      <c r="H755" s="564"/>
      <c r="I755" s="564"/>
      <c r="J755" s="564"/>
      <c r="K755" s="564"/>
      <c r="L755" s="564"/>
      <c r="M755" s="564"/>
      <c r="N755" s="564"/>
      <c r="O755" s="564"/>
      <c r="P755" s="564"/>
      <c r="Q755" s="564"/>
      <c r="R755" s="564"/>
      <c r="S755" s="564"/>
      <c r="T755" s="564"/>
      <c r="U755" s="564"/>
      <c r="V755" s="564"/>
      <c r="W755" s="564"/>
      <c r="X755" s="564"/>
      <c r="Y755" s="564"/>
      <c r="Z755" s="564"/>
      <c r="AA755" s="564"/>
      <c r="AB755" s="564"/>
      <c r="AC755" s="564"/>
      <c r="AD755" s="564"/>
      <c r="AE755" s="564"/>
      <c r="AF755" s="564"/>
      <c r="AG755" s="564"/>
      <c r="AH755" s="564"/>
      <c r="AI755" s="564"/>
      <c r="AJ755" s="564"/>
      <c r="AK755" s="564"/>
      <c r="AL755" s="564"/>
      <c r="AM755" s="564"/>
      <c r="AN755" s="564"/>
      <c r="AO755" s="564"/>
    </row>
    <row r="756" spans="2:41" x14ac:dyDescent="0.15">
      <c r="B756" s="565">
        <v>-8</v>
      </c>
      <c r="C756" s="564"/>
      <c r="D756" s="564"/>
      <c r="E756" s="564"/>
      <c r="F756" s="564"/>
      <c r="G756" s="564"/>
      <c r="H756" s="564"/>
      <c r="I756" s="564"/>
      <c r="J756" s="564"/>
      <c r="K756" s="564"/>
      <c r="L756" s="564"/>
      <c r="M756" s="564"/>
      <c r="N756" s="564"/>
      <c r="O756" s="564"/>
      <c r="P756" s="564"/>
      <c r="Q756" s="564"/>
      <c r="R756" s="564"/>
      <c r="S756" s="564"/>
      <c r="T756" s="564"/>
      <c r="U756" s="564"/>
      <c r="V756" s="564"/>
      <c r="W756" s="564"/>
      <c r="X756" s="564"/>
      <c r="Y756" s="564"/>
      <c r="Z756" s="564"/>
      <c r="AA756" s="564"/>
      <c r="AB756" s="564"/>
      <c r="AC756" s="564"/>
      <c r="AD756" s="564"/>
      <c r="AE756" s="564"/>
      <c r="AF756" s="564"/>
      <c r="AG756" s="564"/>
      <c r="AH756" s="564"/>
      <c r="AI756" s="564"/>
      <c r="AJ756" s="564"/>
      <c r="AK756" s="564"/>
      <c r="AL756" s="564"/>
      <c r="AM756" s="564"/>
      <c r="AN756" s="564"/>
      <c r="AO756" s="564"/>
    </row>
    <row r="757" spans="2:41" x14ac:dyDescent="0.15">
      <c r="B757" s="565">
        <v>-7</v>
      </c>
      <c r="C757" s="564"/>
      <c r="D757" s="564"/>
      <c r="E757" s="564"/>
      <c r="F757" s="564"/>
      <c r="G757" s="564"/>
      <c r="H757" s="564"/>
      <c r="I757" s="564"/>
      <c r="J757" s="564"/>
      <c r="K757" s="564"/>
      <c r="L757" s="564"/>
      <c r="M757" s="564"/>
      <c r="N757" s="564"/>
      <c r="O757" s="564"/>
      <c r="P757" s="564"/>
      <c r="Q757" s="564"/>
      <c r="R757" s="564"/>
      <c r="S757" s="564"/>
      <c r="T757" s="564"/>
      <c r="U757" s="564"/>
      <c r="V757" s="564"/>
      <c r="W757" s="564"/>
      <c r="X757" s="564"/>
      <c r="Y757" s="564"/>
      <c r="Z757" s="564"/>
      <c r="AA757" s="564"/>
      <c r="AB757" s="564"/>
      <c r="AC757" s="564"/>
      <c r="AD757" s="564"/>
      <c r="AE757" s="564"/>
      <c r="AF757" s="564"/>
      <c r="AG757" s="564"/>
      <c r="AH757" s="564"/>
      <c r="AI757" s="564"/>
      <c r="AJ757" s="564"/>
      <c r="AK757" s="564"/>
      <c r="AL757" s="564"/>
      <c r="AM757" s="564"/>
      <c r="AN757" s="564"/>
      <c r="AO757" s="564"/>
    </row>
    <row r="758" spans="2:41" x14ac:dyDescent="0.15">
      <c r="B758" s="565">
        <v>-6</v>
      </c>
      <c r="C758" s="564"/>
      <c r="D758" s="564"/>
      <c r="E758" s="564"/>
      <c r="F758" s="564"/>
      <c r="G758" s="564"/>
      <c r="H758" s="564"/>
      <c r="I758" s="564"/>
      <c r="J758" s="564"/>
      <c r="K758" s="564"/>
      <c r="L758" s="564"/>
      <c r="M758" s="564"/>
      <c r="N758" s="564"/>
      <c r="O758" s="564"/>
      <c r="P758" s="564"/>
      <c r="Q758" s="564"/>
      <c r="R758" s="564"/>
      <c r="S758" s="564"/>
      <c r="T758" s="564"/>
      <c r="U758" s="564"/>
      <c r="V758" s="564"/>
      <c r="W758" s="564"/>
      <c r="X758" s="564"/>
      <c r="Y758" s="564"/>
      <c r="Z758" s="564"/>
      <c r="AA758" s="564"/>
      <c r="AB758" s="564"/>
      <c r="AC758" s="564"/>
      <c r="AD758" s="564"/>
      <c r="AE758" s="564"/>
      <c r="AF758" s="564"/>
      <c r="AG758" s="564"/>
      <c r="AH758" s="564"/>
      <c r="AI758" s="564"/>
      <c r="AJ758" s="564"/>
      <c r="AK758" s="564"/>
      <c r="AL758" s="564"/>
      <c r="AM758" s="564"/>
      <c r="AN758" s="564"/>
      <c r="AO758" s="564"/>
    </row>
    <row r="759" spans="2:41" x14ac:dyDescent="0.15">
      <c r="B759" s="565">
        <v>-5</v>
      </c>
      <c r="C759" s="564"/>
      <c r="D759" s="564"/>
      <c r="E759" s="564"/>
      <c r="F759" s="564"/>
      <c r="G759" s="564"/>
      <c r="H759" s="564"/>
      <c r="I759" s="564"/>
      <c r="J759" s="564"/>
      <c r="K759" s="564"/>
      <c r="L759" s="564"/>
      <c r="M759" s="564"/>
      <c r="N759" s="564"/>
      <c r="O759" s="564"/>
      <c r="P759" s="564"/>
      <c r="Q759" s="564"/>
      <c r="R759" s="564"/>
      <c r="S759" s="564"/>
      <c r="T759" s="564"/>
      <c r="U759" s="564"/>
      <c r="V759" s="564"/>
      <c r="W759" s="564"/>
      <c r="X759" s="564"/>
      <c r="Y759" s="564"/>
      <c r="Z759" s="564"/>
      <c r="AA759" s="564"/>
      <c r="AB759" s="564"/>
      <c r="AC759" s="564"/>
      <c r="AD759" s="564"/>
      <c r="AE759" s="564"/>
      <c r="AF759" s="564"/>
      <c r="AG759" s="564"/>
      <c r="AH759" s="564"/>
      <c r="AI759" s="564"/>
      <c r="AJ759" s="564"/>
      <c r="AK759" s="564"/>
      <c r="AL759" s="564"/>
      <c r="AM759" s="564"/>
      <c r="AN759" s="564"/>
      <c r="AO759" s="564"/>
    </row>
    <row r="760" spans="2:41" x14ac:dyDescent="0.15">
      <c r="B760" s="565">
        <v>-4</v>
      </c>
      <c r="C760" s="564"/>
      <c r="D760" s="564"/>
      <c r="E760" s="564"/>
      <c r="F760" s="564"/>
      <c r="G760" s="564"/>
      <c r="H760" s="564"/>
      <c r="I760" s="564"/>
      <c r="J760" s="564"/>
      <c r="K760" s="564"/>
      <c r="L760" s="564"/>
      <c r="M760" s="564"/>
      <c r="N760" s="564"/>
      <c r="O760" s="564"/>
      <c r="P760" s="564"/>
      <c r="Q760" s="564"/>
      <c r="R760" s="564"/>
      <c r="S760" s="564"/>
      <c r="T760" s="564"/>
      <c r="U760" s="564"/>
      <c r="V760" s="564"/>
      <c r="W760" s="564"/>
      <c r="X760" s="564"/>
      <c r="Y760" s="564"/>
      <c r="Z760" s="564"/>
      <c r="AA760" s="564"/>
      <c r="AB760" s="564"/>
      <c r="AC760" s="564"/>
      <c r="AD760" s="564"/>
      <c r="AE760" s="564"/>
      <c r="AF760" s="564"/>
      <c r="AG760" s="564"/>
      <c r="AH760" s="564"/>
      <c r="AI760" s="564"/>
      <c r="AJ760" s="564"/>
      <c r="AK760" s="564"/>
      <c r="AL760" s="564"/>
      <c r="AM760" s="564"/>
      <c r="AN760" s="564"/>
      <c r="AO760" s="564"/>
    </row>
    <row r="761" spans="2:41" x14ac:dyDescent="0.15">
      <c r="B761" s="565">
        <v>-3</v>
      </c>
      <c r="C761" s="564"/>
      <c r="D761" s="564"/>
      <c r="E761" s="564"/>
      <c r="F761" s="564"/>
      <c r="G761" s="564"/>
      <c r="H761" s="564"/>
      <c r="I761" s="564"/>
      <c r="J761" s="564"/>
      <c r="K761" s="564"/>
      <c r="L761" s="564"/>
      <c r="M761" s="564"/>
      <c r="N761" s="564"/>
      <c r="O761" s="564"/>
      <c r="P761" s="564"/>
      <c r="Q761" s="564"/>
      <c r="R761" s="564"/>
      <c r="S761" s="564"/>
      <c r="T761" s="564"/>
      <c r="U761" s="564"/>
      <c r="V761" s="564"/>
      <c r="W761" s="564"/>
      <c r="X761" s="564"/>
      <c r="Y761" s="564"/>
      <c r="Z761" s="564"/>
      <c r="AA761" s="564"/>
      <c r="AB761" s="564"/>
      <c r="AC761" s="564"/>
      <c r="AD761" s="564"/>
      <c r="AE761" s="564"/>
      <c r="AF761" s="564"/>
      <c r="AG761" s="564"/>
      <c r="AH761" s="564"/>
      <c r="AI761" s="564"/>
      <c r="AJ761" s="564"/>
      <c r="AK761" s="564"/>
      <c r="AL761" s="564"/>
      <c r="AM761" s="564"/>
      <c r="AN761" s="564"/>
      <c r="AO761" s="564"/>
    </row>
    <row r="762" spans="2:41" x14ac:dyDescent="0.15">
      <c r="B762" s="565">
        <v>-2</v>
      </c>
      <c r="C762" s="564"/>
      <c r="D762" s="564"/>
      <c r="E762" s="564"/>
      <c r="F762" s="564"/>
      <c r="G762" s="564"/>
      <c r="H762" s="564"/>
      <c r="I762" s="564"/>
      <c r="J762" s="564"/>
      <c r="K762" s="564"/>
      <c r="L762" s="564"/>
      <c r="M762" s="564"/>
      <c r="N762" s="564"/>
      <c r="O762" s="564"/>
      <c r="P762" s="564"/>
      <c r="Q762" s="564"/>
      <c r="R762" s="564"/>
      <c r="S762" s="564"/>
      <c r="T762" s="564"/>
      <c r="U762" s="564"/>
      <c r="V762" s="564"/>
      <c r="W762" s="564"/>
      <c r="X762" s="564"/>
      <c r="Y762" s="564"/>
      <c r="Z762" s="564"/>
      <c r="AA762" s="564"/>
      <c r="AB762" s="564"/>
      <c r="AC762" s="564"/>
      <c r="AD762" s="564"/>
      <c r="AE762" s="564"/>
      <c r="AF762" s="564"/>
      <c r="AG762" s="564"/>
      <c r="AH762" s="564"/>
      <c r="AI762" s="564"/>
      <c r="AJ762" s="564"/>
      <c r="AK762" s="564"/>
      <c r="AL762" s="564"/>
      <c r="AM762" s="564"/>
      <c r="AN762" s="564"/>
      <c r="AO762" s="564"/>
    </row>
    <row r="763" spans="2:41" x14ac:dyDescent="0.15">
      <c r="B763" s="565">
        <v>-1</v>
      </c>
      <c r="C763" s="564"/>
      <c r="D763" s="564"/>
      <c r="E763" s="564"/>
      <c r="F763" s="564"/>
      <c r="G763" s="564"/>
      <c r="H763" s="564"/>
      <c r="I763" s="564"/>
      <c r="J763" s="564"/>
      <c r="K763" s="564"/>
      <c r="L763" s="564"/>
      <c r="M763" s="564"/>
      <c r="N763" s="564"/>
      <c r="O763" s="564"/>
      <c r="P763" s="564"/>
      <c r="Q763" s="564"/>
      <c r="R763" s="564"/>
      <c r="S763" s="564"/>
      <c r="T763" s="564"/>
      <c r="U763" s="564"/>
      <c r="V763" s="564"/>
      <c r="W763" s="564"/>
      <c r="X763" s="564"/>
      <c r="Y763" s="564"/>
      <c r="Z763" s="564"/>
      <c r="AA763" s="564"/>
      <c r="AB763" s="564"/>
      <c r="AC763" s="564"/>
      <c r="AD763" s="564"/>
      <c r="AE763" s="564"/>
      <c r="AF763" s="564"/>
      <c r="AG763" s="564"/>
      <c r="AH763" s="564"/>
      <c r="AI763" s="564"/>
      <c r="AJ763" s="564"/>
      <c r="AK763" s="564"/>
      <c r="AL763" s="564"/>
      <c r="AM763" s="564"/>
      <c r="AN763" s="564"/>
      <c r="AO763" s="564"/>
    </row>
    <row r="764" spans="2:41" x14ac:dyDescent="0.15">
      <c r="B764" s="565">
        <v>0</v>
      </c>
      <c r="C764" s="564"/>
      <c r="D764" s="564"/>
      <c r="E764" s="564"/>
      <c r="F764" s="564"/>
      <c r="G764" s="564"/>
      <c r="H764" s="564"/>
      <c r="I764" s="564"/>
      <c r="J764" s="564"/>
      <c r="K764" s="564"/>
      <c r="L764" s="564"/>
      <c r="M764" s="564"/>
      <c r="N764" s="564"/>
      <c r="O764" s="564"/>
      <c r="P764" s="564"/>
      <c r="Q764" s="564"/>
      <c r="R764" s="564"/>
      <c r="S764" s="564"/>
      <c r="T764" s="564"/>
      <c r="U764" s="564"/>
      <c r="V764" s="564"/>
      <c r="W764" s="564"/>
      <c r="X764" s="564"/>
      <c r="Y764" s="564"/>
      <c r="Z764" s="564"/>
      <c r="AA764" s="564"/>
      <c r="AB764" s="564"/>
      <c r="AC764" s="564"/>
      <c r="AD764" s="564"/>
      <c r="AE764" s="564"/>
      <c r="AF764" s="564"/>
      <c r="AG764" s="564"/>
      <c r="AH764" s="564"/>
      <c r="AI764" s="564"/>
      <c r="AJ764" s="564"/>
      <c r="AK764" s="564"/>
      <c r="AL764" s="564"/>
      <c r="AM764" s="564"/>
      <c r="AN764" s="564"/>
      <c r="AO764" s="564"/>
    </row>
    <row r="765" spans="2:41" x14ac:dyDescent="0.15">
      <c r="B765" s="565">
        <v>1</v>
      </c>
      <c r="C765" s="564"/>
      <c r="D765" s="564"/>
      <c r="E765" s="564"/>
      <c r="F765" s="564"/>
      <c r="G765" s="564"/>
      <c r="H765" s="564"/>
      <c r="I765" s="564"/>
      <c r="J765" s="564"/>
      <c r="K765" s="564"/>
      <c r="L765" s="564"/>
      <c r="M765" s="564"/>
      <c r="N765" s="564"/>
      <c r="O765" s="564"/>
      <c r="P765" s="564"/>
      <c r="Q765" s="564"/>
      <c r="R765" s="564"/>
      <c r="S765" s="564"/>
      <c r="T765" s="564"/>
      <c r="U765" s="564"/>
      <c r="V765" s="564"/>
      <c r="W765" s="564"/>
      <c r="X765" s="564"/>
      <c r="Y765" s="564"/>
      <c r="Z765" s="564"/>
      <c r="AA765" s="564"/>
      <c r="AB765" s="564"/>
      <c r="AC765" s="564"/>
      <c r="AD765" s="564"/>
      <c r="AE765" s="564"/>
      <c r="AF765" s="564"/>
      <c r="AG765" s="564"/>
      <c r="AH765" s="564"/>
      <c r="AI765" s="564"/>
      <c r="AJ765" s="564"/>
      <c r="AK765" s="564"/>
      <c r="AL765" s="564"/>
      <c r="AM765" s="564"/>
      <c r="AN765" s="564"/>
      <c r="AO765" s="564"/>
    </row>
    <row r="766" spans="2:41" x14ac:dyDescent="0.15">
      <c r="B766" s="565">
        <v>2</v>
      </c>
      <c r="C766" s="564"/>
      <c r="D766" s="564"/>
      <c r="E766" s="564"/>
      <c r="F766" s="564"/>
      <c r="G766" s="564"/>
      <c r="H766" s="564"/>
      <c r="I766" s="564"/>
      <c r="J766" s="564"/>
      <c r="K766" s="564"/>
      <c r="L766" s="564"/>
      <c r="M766" s="564"/>
      <c r="N766" s="564"/>
      <c r="O766" s="564"/>
      <c r="P766" s="564"/>
      <c r="Q766" s="564"/>
      <c r="R766" s="564"/>
      <c r="S766" s="564"/>
      <c r="T766" s="564"/>
      <c r="U766" s="564"/>
      <c r="V766" s="564"/>
      <c r="W766" s="564"/>
      <c r="X766" s="564"/>
      <c r="Y766" s="564"/>
      <c r="Z766" s="564"/>
      <c r="AA766" s="564"/>
      <c r="AB766" s="564"/>
      <c r="AC766" s="564"/>
      <c r="AD766" s="564"/>
      <c r="AE766" s="564"/>
      <c r="AF766" s="564"/>
      <c r="AG766" s="564"/>
      <c r="AH766" s="564"/>
      <c r="AI766" s="564"/>
      <c r="AJ766" s="564"/>
      <c r="AK766" s="564"/>
      <c r="AL766" s="564"/>
      <c r="AM766" s="564"/>
      <c r="AN766" s="564"/>
      <c r="AO766" s="564"/>
    </row>
    <row r="767" spans="2:41" x14ac:dyDescent="0.15">
      <c r="B767" s="565">
        <v>3</v>
      </c>
      <c r="C767" s="564"/>
      <c r="D767" s="564"/>
      <c r="E767" s="564"/>
      <c r="F767" s="564"/>
      <c r="G767" s="564"/>
      <c r="H767" s="564"/>
      <c r="I767" s="564"/>
      <c r="J767" s="564"/>
      <c r="K767" s="564"/>
      <c r="L767" s="564"/>
      <c r="M767" s="564"/>
      <c r="N767" s="564"/>
      <c r="O767" s="564"/>
      <c r="P767" s="564"/>
      <c r="Q767" s="564"/>
      <c r="R767" s="564"/>
      <c r="S767" s="564"/>
      <c r="T767" s="564"/>
      <c r="U767" s="564"/>
      <c r="V767" s="564"/>
      <c r="W767" s="564"/>
      <c r="X767" s="564"/>
      <c r="Y767" s="564"/>
      <c r="Z767" s="564"/>
      <c r="AA767" s="564"/>
      <c r="AB767" s="564"/>
      <c r="AC767" s="564"/>
      <c r="AD767" s="564"/>
      <c r="AE767" s="564"/>
      <c r="AF767" s="564"/>
      <c r="AG767" s="564"/>
      <c r="AH767" s="564"/>
      <c r="AI767" s="564"/>
      <c r="AJ767" s="564"/>
      <c r="AK767" s="564"/>
      <c r="AL767" s="564"/>
      <c r="AM767" s="564"/>
      <c r="AN767" s="564"/>
      <c r="AO767" s="564"/>
    </row>
    <row r="768" spans="2:41" x14ac:dyDescent="0.15">
      <c r="B768" s="565">
        <v>4</v>
      </c>
      <c r="C768" s="564"/>
      <c r="D768" s="564"/>
      <c r="E768" s="564"/>
      <c r="F768" s="564"/>
      <c r="G768" s="564"/>
      <c r="H768" s="564"/>
      <c r="I768" s="564"/>
      <c r="J768" s="564"/>
      <c r="K768" s="564"/>
      <c r="L768" s="564"/>
      <c r="M768" s="564"/>
      <c r="N768" s="564"/>
      <c r="O768" s="564"/>
      <c r="P768" s="564"/>
      <c r="Q768" s="564"/>
      <c r="R768" s="564"/>
      <c r="S768" s="564"/>
      <c r="T768" s="564"/>
      <c r="U768" s="564"/>
      <c r="V768" s="564"/>
      <c r="W768" s="564"/>
      <c r="X768" s="564"/>
      <c r="Y768" s="564"/>
      <c r="Z768" s="564"/>
      <c r="AA768" s="564"/>
      <c r="AB768" s="564"/>
      <c r="AC768" s="564"/>
      <c r="AD768" s="564"/>
      <c r="AE768" s="564"/>
      <c r="AF768" s="564"/>
      <c r="AG768" s="564"/>
      <c r="AH768" s="564"/>
      <c r="AI768" s="564"/>
      <c r="AJ768" s="564"/>
      <c r="AK768" s="564"/>
      <c r="AL768" s="564"/>
      <c r="AM768" s="564"/>
      <c r="AN768" s="564"/>
      <c r="AO768" s="564"/>
    </row>
    <row r="769" spans="2:41" x14ac:dyDescent="0.15">
      <c r="B769" s="565">
        <v>5</v>
      </c>
      <c r="C769" s="564"/>
      <c r="D769" s="564"/>
      <c r="E769" s="564"/>
      <c r="F769" s="564"/>
      <c r="G769" s="564"/>
      <c r="H769" s="564"/>
      <c r="I769" s="564"/>
      <c r="J769" s="564"/>
      <c r="K769" s="564"/>
      <c r="L769" s="564"/>
      <c r="M769" s="564"/>
      <c r="N769" s="564"/>
      <c r="O769" s="564"/>
      <c r="P769" s="564"/>
      <c r="Q769" s="564"/>
      <c r="R769" s="564"/>
      <c r="S769" s="564"/>
      <c r="T769" s="564"/>
      <c r="U769" s="564"/>
      <c r="V769" s="564"/>
      <c r="W769" s="564"/>
      <c r="X769" s="564"/>
      <c r="Y769" s="564"/>
      <c r="Z769" s="564"/>
      <c r="AA769" s="564"/>
      <c r="AB769" s="564"/>
      <c r="AC769" s="564"/>
      <c r="AD769" s="564"/>
      <c r="AE769" s="564"/>
      <c r="AF769" s="564"/>
      <c r="AG769" s="564"/>
      <c r="AH769" s="564"/>
      <c r="AI769" s="564"/>
      <c r="AJ769" s="564"/>
      <c r="AK769" s="564"/>
      <c r="AL769" s="564"/>
      <c r="AM769" s="564"/>
      <c r="AN769" s="564"/>
      <c r="AO769" s="564"/>
    </row>
    <row r="770" spans="2:41" x14ac:dyDescent="0.15">
      <c r="B770" s="565">
        <v>6</v>
      </c>
      <c r="C770" s="564"/>
      <c r="D770" s="564"/>
      <c r="E770" s="564"/>
      <c r="F770" s="564"/>
      <c r="G770" s="564"/>
      <c r="H770" s="564"/>
      <c r="I770" s="564"/>
      <c r="J770" s="564"/>
      <c r="K770" s="564"/>
      <c r="L770" s="564"/>
      <c r="M770" s="564"/>
      <c r="N770" s="564"/>
      <c r="O770" s="564"/>
      <c r="P770" s="564"/>
      <c r="Q770" s="564"/>
      <c r="R770" s="564"/>
      <c r="S770" s="564"/>
      <c r="T770" s="564"/>
      <c r="U770" s="564"/>
      <c r="V770" s="564"/>
      <c r="W770" s="564"/>
      <c r="X770" s="564"/>
      <c r="Y770" s="564"/>
      <c r="Z770" s="564"/>
      <c r="AA770" s="564"/>
      <c r="AB770" s="564"/>
      <c r="AC770" s="564"/>
      <c r="AD770" s="564"/>
      <c r="AE770" s="564"/>
      <c r="AF770" s="564"/>
      <c r="AG770" s="564"/>
      <c r="AH770" s="564"/>
      <c r="AI770" s="564"/>
      <c r="AJ770" s="564"/>
      <c r="AK770" s="564"/>
      <c r="AL770" s="564"/>
      <c r="AM770" s="564"/>
      <c r="AN770" s="564"/>
      <c r="AO770" s="564"/>
    </row>
    <row r="771" spans="2:41" x14ac:dyDescent="0.15">
      <c r="B771" s="565">
        <v>7</v>
      </c>
      <c r="C771" s="564"/>
      <c r="D771" s="564"/>
      <c r="E771" s="564"/>
      <c r="F771" s="564"/>
      <c r="G771" s="564"/>
      <c r="H771" s="564"/>
      <c r="I771" s="564"/>
      <c r="J771" s="564"/>
      <c r="K771" s="564"/>
      <c r="L771" s="564"/>
      <c r="M771" s="564"/>
      <c r="N771" s="564"/>
      <c r="O771" s="564"/>
      <c r="P771" s="564"/>
      <c r="Q771" s="564"/>
      <c r="R771" s="564"/>
      <c r="S771" s="564"/>
      <c r="T771" s="564"/>
      <c r="U771" s="564"/>
      <c r="V771" s="564"/>
      <c r="W771" s="564"/>
      <c r="X771" s="564"/>
      <c r="Y771" s="564"/>
      <c r="Z771" s="564"/>
      <c r="AA771" s="564"/>
      <c r="AB771" s="564"/>
      <c r="AC771" s="564"/>
      <c r="AD771" s="564"/>
      <c r="AE771" s="564"/>
      <c r="AF771" s="564"/>
      <c r="AG771" s="564"/>
      <c r="AH771" s="564"/>
      <c r="AI771" s="564"/>
      <c r="AJ771" s="564"/>
      <c r="AK771" s="564"/>
      <c r="AL771" s="564"/>
      <c r="AM771" s="564"/>
      <c r="AN771" s="564"/>
      <c r="AO771" s="564"/>
    </row>
    <row r="772" spans="2:41" x14ac:dyDescent="0.15">
      <c r="B772" s="565">
        <v>8</v>
      </c>
      <c r="C772" s="564"/>
      <c r="D772" s="564"/>
      <c r="E772" s="564"/>
      <c r="F772" s="564"/>
      <c r="G772" s="564"/>
      <c r="H772" s="564"/>
      <c r="I772" s="564"/>
      <c r="J772" s="564"/>
      <c r="K772" s="564"/>
      <c r="L772" s="564"/>
      <c r="M772" s="564"/>
      <c r="N772" s="564"/>
      <c r="O772" s="564"/>
      <c r="P772" s="564"/>
      <c r="Q772" s="564"/>
      <c r="R772" s="564"/>
      <c r="S772" s="564"/>
      <c r="T772" s="564"/>
      <c r="U772" s="564"/>
      <c r="V772" s="564"/>
      <c r="W772" s="564"/>
      <c r="X772" s="564"/>
      <c r="Y772" s="564"/>
      <c r="Z772" s="564"/>
      <c r="AA772" s="564"/>
      <c r="AB772" s="564"/>
      <c r="AC772" s="564"/>
      <c r="AD772" s="564"/>
      <c r="AE772" s="564"/>
      <c r="AF772" s="564"/>
      <c r="AG772" s="564"/>
      <c r="AH772" s="564"/>
      <c r="AI772" s="564"/>
      <c r="AJ772" s="564"/>
      <c r="AK772" s="564"/>
      <c r="AL772" s="564"/>
      <c r="AM772" s="564"/>
      <c r="AN772" s="564"/>
      <c r="AO772" s="564"/>
    </row>
    <row r="773" spans="2:41" x14ac:dyDescent="0.15">
      <c r="B773" s="565">
        <v>9</v>
      </c>
      <c r="C773" s="564"/>
      <c r="D773" s="564"/>
      <c r="E773" s="564"/>
      <c r="F773" s="564"/>
      <c r="G773" s="564"/>
      <c r="H773" s="564"/>
      <c r="I773" s="564"/>
      <c r="J773" s="564"/>
      <c r="K773" s="564"/>
      <c r="L773" s="564"/>
      <c r="M773" s="564"/>
      <c r="N773" s="564"/>
      <c r="O773" s="564"/>
      <c r="P773" s="564"/>
      <c r="Q773" s="564"/>
      <c r="R773" s="564"/>
      <c r="S773" s="564"/>
      <c r="T773" s="564"/>
      <c r="U773" s="564"/>
      <c r="V773" s="564"/>
      <c r="W773" s="564"/>
      <c r="X773" s="564"/>
      <c r="Y773" s="564"/>
      <c r="Z773" s="564"/>
      <c r="AA773" s="564"/>
      <c r="AB773" s="564"/>
      <c r="AC773" s="564"/>
      <c r="AD773" s="564"/>
      <c r="AE773" s="564"/>
      <c r="AF773" s="564"/>
      <c r="AG773" s="564"/>
      <c r="AH773" s="564"/>
      <c r="AI773" s="564"/>
      <c r="AJ773" s="564"/>
      <c r="AK773" s="564"/>
      <c r="AL773" s="564"/>
      <c r="AM773" s="564"/>
      <c r="AN773" s="564"/>
      <c r="AO773" s="564"/>
    </row>
    <row r="774" spans="2:41" x14ac:dyDescent="0.15">
      <c r="B774" s="565">
        <v>10</v>
      </c>
      <c r="C774" s="564"/>
      <c r="D774" s="564"/>
      <c r="E774" s="564"/>
      <c r="F774" s="564"/>
      <c r="G774" s="564"/>
      <c r="H774" s="564"/>
      <c r="I774" s="564"/>
      <c r="J774" s="564"/>
      <c r="K774" s="564"/>
      <c r="L774" s="564"/>
      <c r="M774" s="564"/>
      <c r="N774" s="564"/>
      <c r="O774" s="564"/>
      <c r="P774" s="564"/>
      <c r="Q774" s="564"/>
      <c r="R774" s="564"/>
      <c r="S774" s="564"/>
      <c r="T774" s="564"/>
      <c r="U774" s="564"/>
      <c r="V774" s="564"/>
      <c r="W774" s="564"/>
      <c r="X774" s="564"/>
      <c r="Y774" s="564"/>
      <c r="Z774" s="564"/>
      <c r="AA774" s="564"/>
      <c r="AB774" s="564"/>
      <c r="AC774" s="564"/>
      <c r="AD774" s="564"/>
      <c r="AE774" s="564"/>
      <c r="AF774" s="564"/>
      <c r="AG774" s="564"/>
      <c r="AH774" s="564"/>
      <c r="AI774" s="564"/>
      <c r="AJ774" s="564"/>
      <c r="AK774" s="564"/>
      <c r="AL774" s="564"/>
      <c r="AM774" s="564"/>
      <c r="AN774" s="564"/>
      <c r="AO774" s="564"/>
    </row>
    <row r="775" spans="2:41" x14ac:dyDescent="0.15">
      <c r="B775" s="565">
        <v>11</v>
      </c>
      <c r="C775" s="564"/>
      <c r="D775" s="564"/>
      <c r="E775" s="564"/>
      <c r="F775" s="564"/>
      <c r="G775" s="564"/>
      <c r="H775" s="564"/>
      <c r="I775" s="564"/>
      <c r="J775" s="564"/>
      <c r="K775" s="564"/>
      <c r="L775" s="564"/>
      <c r="M775" s="564"/>
      <c r="N775" s="564"/>
      <c r="O775" s="564"/>
      <c r="P775" s="564"/>
      <c r="Q775" s="564"/>
      <c r="R775" s="564"/>
      <c r="S775" s="564"/>
      <c r="T775" s="564"/>
      <c r="U775" s="564"/>
      <c r="V775" s="564"/>
      <c r="W775" s="564"/>
      <c r="X775" s="564"/>
      <c r="Y775" s="564"/>
      <c r="Z775" s="564"/>
      <c r="AA775" s="564"/>
      <c r="AB775" s="564"/>
      <c r="AC775" s="564"/>
      <c r="AD775" s="564"/>
      <c r="AE775" s="564"/>
      <c r="AF775" s="564"/>
      <c r="AG775" s="564"/>
      <c r="AH775" s="564"/>
      <c r="AI775" s="564"/>
      <c r="AJ775" s="564"/>
      <c r="AK775" s="564"/>
      <c r="AL775" s="564"/>
      <c r="AM775" s="564"/>
      <c r="AN775" s="564"/>
      <c r="AO775" s="564"/>
    </row>
    <row r="776" spans="2:41" x14ac:dyDescent="0.15">
      <c r="B776" s="565">
        <v>12</v>
      </c>
      <c r="C776" s="564"/>
      <c r="D776" s="564"/>
      <c r="E776" s="564"/>
      <c r="F776" s="564"/>
      <c r="G776" s="564"/>
      <c r="H776" s="564"/>
      <c r="I776" s="564"/>
      <c r="J776" s="564"/>
      <c r="K776" s="564"/>
      <c r="L776" s="564"/>
      <c r="M776" s="564"/>
      <c r="N776" s="564"/>
      <c r="O776" s="564"/>
      <c r="P776" s="564"/>
      <c r="Q776" s="564"/>
      <c r="R776" s="564"/>
      <c r="S776" s="564"/>
      <c r="T776" s="564"/>
      <c r="U776" s="564"/>
      <c r="V776" s="564"/>
      <c r="W776" s="564"/>
      <c r="X776" s="564"/>
      <c r="Y776" s="564"/>
      <c r="Z776" s="564"/>
      <c r="AA776" s="564"/>
      <c r="AB776" s="564"/>
      <c r="AC776" s="564"/>
      <c r="AD776" s="564"/>
      <c r="AE776" s="564"/>
      <c r="AF776" s="564"/>
      <c r="AG776" s="564"/>
      <c r="AH776" s="564"/>
      <c r="AI776" s="564"/>
      <c r="AJ776" s="564"/>
      <c r="AK776" s="564"/>
      <c r="AL776" s="564"/>
      <c r="AM776" s="564"/>
      <c r="AN776" s="564"/>
      <c r="AO776" s="564"/>
    </row>
    <row r="777" spans="2:41" x14ac:dyDescent="0.15">
      <c r="B777" s="565">
        <v>13</v>
      </c>
      <c r="C777" s="564"/>
      <c r="D777" s="564"/>
      <c r="E777" s="564"/>
      <c r="F777" s="564"/>
      <c r="G777" s="564"/>
      <c r="H777" s="564"/>
      <c r="I777" s="564"/>
      <c r="J777" s="564"/>
      <c r="K777" s="564"/>
      <c r="L777" s="564"/>
      <c r="M777" s="564"/>
      <c r="N777" s="564"/>
      <c r="O777" s="564"/>
      <c r="P777" s="564"/>
      <c r="Q777" s="564"/>
      <c r="R777" s="564"/>
      <c r="S777" s="564"/>
      <c r="T777" s="564"/>
      <c r="U777" s="564"/>
      <c r="V777" s="564"/>
      <c r="W777" s="564"/>
      <c r="X777" s="564"/>
      <c r="Y777" s="564"/>
      <c r="Z777" s="564"/>
      <c r="AA777" s="564"/>
      <c r="AB777" s="564"/>
      <c r="AC777" s="564"/>
      <c r="AD777" s="564"/>
      <c r="AE777" s="564"/>
      <c r="AF777" s="564"/>
      <c r="AG777" s="564"/>
      <c r="AH777" s="564"/>
      <c r="AI777" s="564"/>
      <c r="AJ777" s="564"/>
      <c r="AK777" s="564"/>
      <c r="AL777" s="564"/>
      <c r="AM777" s="564"/>
      <c r="AN777" s="564"/>
      <c r="AO777" s="564"/>
    </row>
    <row r="778" spans="2:41" x14ac:dyDescent="0.15">
      <c r="B778" s="565">
        <v>14</v>
      </c>
      <c r="C778" s="564"/>
      <c r="D778" s="564"/>
      <c r="E778" s="564"/>
      <c r="F778" s="564"/>
      <c r="G778" s="564"/>
      <c r="H778" s="564"/>
      <c r="I778" s="564"/>
      <c r="J778" s="564"/>
      <c r="K778" s="564"/>
      <c r="L778" s="564"/>
      <c r="M778" s="564"/>
      <c r="N778" s="564"/>
      <c r="O778" s="564"/>
      <c r="P778" s="564"/>
      <c r="Q778" s="564"/>
      <c r="R778" s="564"/>
      <c r="S778" s="564"/>
      <c r="T778" s="564"/>
      <c r="U778" s="564"/>
      <c r="V778" s="564"/>
      <c r="W778" s="564"/>
      <c r="X778" s="564"/>
      <c r="Y778" s="564"/>
      <c r="Z778" s="564"/>
      <c r="AA778" s="564"/>
      <c r="AB778" s="564"/>
      <c r="AC778" s="564"/>
      <c r="AD778" s="564"/>
      <c r="AE778" s="564"/>
      <c r="AF778" s="564"/>
      <c r="AG778" s="564"/>
      <c r="AH778" s="564"/>
      <c r="AI778" s="564"/>
      <c r="AJ778" s="564"/>
      <c r="AK778" s="564"/>
      <c r="AL778" s="564"/>
      <c r="AM778" s="564"/>
      <c r="AN778" s="564"/>
      <c r="AO778" s="564"/>
    </row>
    <row r="779" spans="2:41" x14ac:dyDescent="0.15">
      <c r="B779" s="565">
        <v>15</v>
      </c>
      <c r="C779" s="564"/>
      <c r="D779" s="564"/>
      <c r="E779" s="564"/>
      <c r="F779" s="564"/>
      <c r="G779" s="564"/>
      <c r="H779" s="564"/>
      <c r="I779" s="564"/>
      <c r="J779" s="564"/>
      <c r="K779" s="564"/>
      <c r="L779" s="564"/>
      <c r="M779" s="564"/>
      <c r="N779" s="564"/>
      <c r="O779" s="564"/>
      <c r="P779" s="564"/>
      <c r="Q779" s="564"/>
      <c r="R779" s="564"/>
      <c r="S779" s="564"/>
      <c r="T779" s="564"/>
      <c r="U779" s="564"/>
      <c r="V779" s="564"/>
      <c r="W779" s="564"/>
      <c r="X779" s="564"/>
      <c r="Y779" s="564"/>
      <c r="Z779" s="564"/>
      <c r="AA779" s="564"/>
      <c r="AB779" s="564"/>
      <c r="AC779" s="564"/>
      <c r="AD779" s="564"/>
      <c r="AE779" s="564"/>
      <c r="AF779" s="564"/>
      <c r="AG779" s="564"/>
      <c r="AH779" s="564"/>
      <c r="AI779" s="564"/>
      <c r="AJ779" s="564"/>
      <c r="AK779" s="564"/>
      <c r="AL779" s="564"/>
      <c r="AM779" s="564"/>
      <c r="AN779" s="564"/>
      <c r="AO779" s="564"/>
    </row>
    <row r="780" spans="2:41" x14ac:dyDescent="0.15">
      <c r="B780" s="565">
        <v>16</v>
      </c>
      <c r="C780" s="564"/>
      <c r="D780" s="564"/>
      <c r="E780" s="564"/>
      <c r="F780" s="564"/>
      <c r="G780" s="564"/>
      <c r="H780" s="564"/>
      <c r="I780" s="564"/>
      <c r="J780" s="564"/>
      <c r="K780" s="564"/>
      <c r="L780" s="564"/>
      <c r="M780" s="564"/>
      <c r="N780" s="564"/>
      <c r="O780" s="564"/>
      <c r="P780" s="564"/>
      <c r="Q780" s="564"/>
      <c r="R780" s="564"/>
      <c r="S780" s="564"/>
      <c r="T780" s="564"/>
      <c r="U780" s="564"/>
      <c r="V780" s="564"/>
      <c r="W780" s="564"/>
      <c r="X780" s="564"/>
      <c r="Y780" s="564"/>
      <c r="Z780" s="564"/>
      <c r="AA780" s="564"/>
      <c r="AB780" s="564"/>
      <c r="AC780" s="564"/>
      <c r="AD780" s="564"/>
      <c r="AE780" s="564"/>
      <c r="AF780" s="564"/>
      <c r="AG780" s="564"/>
      <c r="AH780" s="564"/>
      <c r="AI780" s="564"/>
      <c r="AJ780" s="564"/>
      <c r="AK780" s="564"/>
      <c r="AL780" s="564"/>
      <c r="AM780" s="564"/>
      <c r="AN780" s="564"/>
      <c r="AO780" s="564"/>
    </row>
    <row r="781" spans="2:41" x14ac:dyDescent="0.15">
      <c r="B781" s="565">
        <v>17</v>
      </c>
      <c r="C781" s="564"/>
      <c r="D781" s="564"/>
      <c r="E781" s="564"/>
      <c r="F781" s="564"/>
      <c r="G781" s="564"/>
      <c r="H781" s="564"/>
      <c r="I781" s="564"/>
      <c r="J781" s="564"/>
      <c r="K781" s="564"/>
      <c r="L781" s="564"/>
      <c r="M781" s="564"/>
      <c r="N781" s="564"/>
      <c r="O781" s="564"/>
      <c r="P781" s="564"/>
      <c r="Q781" s="564"/>
      <c r="R781" s="564"/>
      <c r="S781" s="564"/>
      <c r="T781" s="564"/>
      <c r="U781" s="564"/>
      <c r="V781" s="564"/>
      <c r="W781" s="564"/>
      <c r="X781" s="564"/>
      <c r="Y781" s="564"/>
      <c r="Z781" s="564"/>
      <c r="AA781" s="564"/>
      <c r="AB781" s="564"/>
      <c r="AC781" s="564"/>
      <c r="AD781" s="564"/>
      <c r="AE781" s="564"/>
      <c r="AF781" s="564"/>
      <c r="AG781" s="564"/>
      <c r="AH781" s="564"/>
      <c r="AI781" s="564"/>
      <c r="AJ781" s="564"/>
      <c r="AK781" s="564"/>
      <c r="AL781" s="564"/>
      <c r="AM781" s="564"/>
      <c r="AN781" s="564"/>
      <c r="AO781" s="564"/>
    </row>
    <row r="782" spans="2:41" x14ac:dyDescent="0.15">
      <c r="B782" s="565">
        <v>18</v>
      </c>
      <c r="C782" s="564"/>
      <c r="D782" s="564"/>
      <c r="E782" s="564"/>
      <c r="F782" s="564"/>
      <c r="G782" s="564"/>
      <c r="H782" s="564"/>
      <c r="I782" s="564"/>
      <c r="J782" s="564"/>
      <c r="K782" s="564"/>
      <c r="L782" s="564"/>
      <c r="M782" s="564"/>
      <c r="N782" s="564"/>
      <c r="O782" s="564"/>
      <c r="P782" s="564"/>
      <c r="Q782" s="564"/>
      <c r="R782" s="564"/>
      <c r="S782" s="564"/>
      <c r="T782" s="564"/>
      <c r="U782" s="564"/>
      <c r="V782" s="564"/>
      <c r="W782" s="564"/>
      <c r="X782" s="564"/>
      <c r="Y782" s="564"/>
      <c r="Z782" s="564"/>
      <c r="AA782" s="564"/>
      <c r="AB782" s="564"/>
      <c r="AC782" s="564"/>
      <c r="AD782" s="564"/>
      <c r="AE782" s="564"/>
      <c r="AF782" s="564"/>
      <c r="AG782" s="564"/>
      <c r="AH782" s="564"/>
      <c r="AI782" s="564"/>
      <c r="AJ782" s="564"/>
      <c r="AK782" s="564"/>
      <c r="AL782" s="564"/>
      <c r="AM782" s="564"/>
      <c r="AN782" s="564"/>
      <c r="AO782" s="564"/>
    </row>
    <row r="783" spans="2:41" x14ac:dyDescent="0.15">
      <c r="B783" s="565">
        <v>19</v>
      </c>
      <c r="C783" s="564"/>
      <c r="D783" s="564"/>
      <c r="E783" s="564"/>
      <c r="F783" s="564"/>
      <c r="G783" s="564"/>
      <c r="H783" s="564"/>
      <c r="I783" s="564"/>
      <c r="J783" s="564"/>
      <c r="K783" s="564"/>
      <c r="L783" s="564"/>
      <c r="M783" s="564"/>
      <c r="N783" s="564"/>
      <c r="O783" s="564"/>
      <c r="P783" s="564"/>
      <c r="Q783" s="564"/>
      <c r="R783" s="564"/>
      <c r="S783" s="564"/>
      <c r="T783" s="564"/>
      <c r="U783" s="564"/>
      <c r="V783" s="564"/>
      <c r="W783" s="564"/>
      <c r="X783" s="564"/>
      <c r="Y783" s="564"/>
      <c r="Z783" s="564"/>
      <c r="AA783" s="564"/>
      <c r="AB783" s="564"/>
      <c r="AC783" s="564"/>
      <c r="AD783" s="564"/>
      <c r="AE783" s="564"/>
      <c r="AF783" s="564"/>
      <c r="AG783" s="564"/>
      <c r="AH783" s="564"/>
      <c r="AI783" s="564"/>
      <c r="AJ783" s="564"/>
      <c r="AK783" s="564"/>
      <c r="AL783" s="564"/>
      <c r="AM783" s="564"/>
      <c r="AN783" s="564"/>
      <c r="AO783" s="564"/>
    </row>
    <row r="784" spans="2:41" x14ac:dyDescent="0.15">
      <c r="B784" s="565">
        <v>20</v>
      </c>
      <c r="C784" s="564"/>
      <c r="D784" s="564"/>
      <c r="E784" s="564"/>
      <c r="F784" s="564"/>
      <c r="G784" s="564"/>
      <c r="H784" s="564"/>
      <c r="I784" s="564"/>
      <c r="J784" s="564"/>
      <c r="K784" s="564"/>
      <c r="L784" s="564"/>
      <c r="M784" s="564"/>
      <c r="N784" s="564"/>
      <c r="O784" s="564"/>
      <c r="P784" s="564"/>
      <c r="Q784" s="564"/>
      <c r="R784" s="564"/>
      <c r="S784" s="564"/>
      <c r="T784" s="564"/>
      <c r="U784" s="564"/>
      <c r="V784" s="564"/>
      <c r="W784" s="564"/>
      <c r="X784" s="564"/>
      <c r="Y784" s="564"/>
      <c r="Z784" s="564"/>
      <c r="AA784" s="564"/>
      <c r="AB784" s="564"/>
      <c r="AC784" s="564"/>
      <c r="AD784" s="564"/>
      <c r="AE784" s="564"/>
      <c r="AF784" s="564"/>
      <c r="AG784" s="564"/>
      <c r="AH784" s="564"/>
      <c r="AI784" s="564"/>
      <c r="AJ784" s="564"/>
      <c r="AK784" s="564"/>
      <c r="AL784" s="564"/>
      <c r="AM784" s="564"/>
      <c r="AN784" s="564"/>
      <c r="AO784" s="564"/>
    </row>
    <row r="785" spans="2:41" x14ac:dyDescent="0.15">
      <c r="B785" s="565">
        <v>21</v>
      </c>
      <c r="C785" s="564"/>
      <c r="D785" s="564"/>
      <c r="E785" s="564"/>
      <c r="F785" s="564"/>
      <c r="G785" s="564"/>
      <c r="H785" s="564"/>
      <c r="I785" s="564"/>
      <c r="J785" s="564"/>
      <c r="K785" s="564"/>
      <c r="L785" s="564"/>
      <c r="M785" s="564"/>
      <c r="N785" s="564"/>
      <c r="O785" s="564"/>
      <c r="P785" s="564"/>
      <c r="Q785" s="564"/>
      <c r="R785" s="564"/>
      <c r="S785" s="564"/>
      <c r="T785" s="564"/>
      <c r="U785" s="564"/>
      <c r="V785" s="564"/>
      <c r="W785" s="564"/>
      <c r="X785" s="564"/>
      <c r="Y785" s="564"/>
      <c r="Z785" s="564"/>
      <c r="AA785" s="564"/>
      <c r="AB785" s="564"/>
      <c r="AC785" s="564"/>
      <c r="AD785" s="564"/>
      <c r="AE785" s="564"/>
      <c r="AF785" s="564"/>
      <c r="AG785" s="564"/>
      <c r="AH785" s="564"/>
      <c r="AI785" s="564"/>
      <c r="AJ785" s="564"/>
      <c r="AK785" s="564"/>
      <c r="AL785" s="564"/>
      <c r="AM785" s="564"/>
      <c r="AN785" s="564"/>
      <c r="AO785" s="564"/>
    </row>
    <row r="786" spans="2:41" x14ac:dyDescent="0.15">
      <c r="B786" s="565">
        <v>22</v>
      </c>
      <c r="C786" s="564"/>
      <c r="D786" s="564"/>
      <c r="E786" s="564"/>
      <c r="F786" s="564"/>
      <c r="G786" s="564"/>
      <c r="H786" s="564"/>
      <c r="I786" s="564"/>
      <c r="J786" s="564"/>
      <c r="K786" s="564"/>
      <c r="L786" s="564"/>
      <c r="M786" s="564"/>
      <c r="N786" s="564"/>
      <c r="O786" s="564"/>
      <c r="P786" s="564"/>
      <c r="Q786" s="564"/>
      <c r="R786" s="564"/>
      <c r="S786" s="564"/>
      <c r="T786" s="564"/>
      <c r="U786" s="564"/>
      <c r="V786" s="564"/>
      <c r="W786" s="564"/>
      <c r="X786" s="564"/>
      <c r="Y786" s="564"/>
      <c r="Z786" s="564"/>
      <c r="AA786" s="564"/>
      <c r="AB786" s="564"/>
      <c r="AC786" s="564"/>
      <c r="AD786" s="564"/>
      <c r="AE786" s="564"/>
      <c r="AF786" s="564"/>
      <c r="AG786" s="564"/>
      <c r="AH786" s="564"/>
      <c r="AI786" s="564"/>
      <c r="AJ786" s="564"/>
      <c r="AK786" s="564"/>
      <c r="AL786" s="564"/>
      <c r="AM786" s="564"/>
      <c r="AN786" s="564"/>
      <c r="AO786" s="564"/>
    </row>
    <row r="787" spans="2:41" x14ac:dyDescent="0.15">
      <c r="B787" s="565">
        <v>23</v>
      </c>
      <c r="C787" s="564"/>
      <c r="D787" s="564"/>
      <c r="E787" s="564"/>
      <c r="F787" s="564"/>
      <c r="G787" s="564"/>
      <c r="H787" s="564"/>
      <c r="I787" s="564"/>
      <c r="J787" s="564"/>
      <c r="K787" s="564"/>
      <c r="L787" s="564"/>
      <c r="M787" s="564"/>
      <c r="N787" s="564"/>
      <c r="O787" s="564"/>
      <c r="P787" s="564"/>
      <c r="Q787" s="564"/>
      <c r="R787" s="564"/>
      <c r="S787" s="564"/>
      <c r="T787" s="564"/>
      <c r="U787" s="564"/>
      <c r="V787" s="564"/>
      <c r="W787" s="564"/>
      <c r="X787" s="564"/>
      <c r="Y787" s="564"/>
      <c r="Z787" s="564"/>
      <c r="AA787" s="564"/>
      <c r="AB787" s="564"/>
      <c r="AC787" s="564"/>
      <c r="AD787" s="564"/>
      <c r="AE787" s="564"/>
      <c r="AF787" s="564"/>
      <c r="AG787" s="564"/>
      <c r="AH787" s="564"/>
      <c r="AI787" s="564"/>
      <c r="AJ787" s="564"/>
      <c r="AK787" s="564"/>
      <c r="AL787" s="564"/>
      <c r="AM787" s="564"/>
      <c r="AN787" s="564"/>
      <c r="AO787" s="564"/>
    </row>
    <row r="788" spans="2:41" x14ac:dyDescent="0.15">
      <c r="B788" s="565">
        <v>24</v>
      </c>
      <c r="C788" s="564"/>
      <c r="D788" s="564"/>
      <c r="E788" s="564"/>
      <c r="F788" s="564"/>
      <c r="G788" s="564"/>
      <c r="H788" s="564"/>
      <c r="I788" s="564"/>
      <c r="J788" s="564"/>
      <c r="K788" s="564"/>
      <c r="L788" s="564"/>
      <c r="M788" s="564"/>
      <c r="N788" s="564"/>
      <c r="O788" s="564"/>
      <c r="P788" s="564"/>
      <c r="Q788" s="564"/>
      <c r="R788" s="564"/>
      <c r="S788" s="564"/>
      <c r="T788" s="564"/>
      <c r="U788" s="564"/>
      <c r="V788" s="564"/>
      <c r="W788" s="564"/>
      <c r="X788" s="564"/>
      <c r="Y788" s="564"/>
      <c r="Z788" s="564"/>
      <c r="AA788" s="564"/>
      <c r="AB788" s="564"/>
      <c r="AC788" s="564"/>
      <c r="AD788" s="564"/>
      <c r="AE788" s="564"/>
      <c r="AF788" s="564"/>
      <c r="AG788" s="564"/>
      <c r="AH788" s="564"/>
      <c r="AI788" s="564"/>
      <c r="AJ788" s="564"/>
      <c r="AK788" s="564"/>
      <c r="AL788" s="564"/>
      <c r="AM788" s="564"/>
      <c r="AN788" s="564"/>
      <c r="AO788" s="564"/>
    </row>
    <row r="789" spans="2:41" x14ac:dyDescent="0.15">
      <c r="B789" s="565">
        <v>25</v>
      </c>
      <c r="C789" s="564"/>
      <c r="D789" s="564"/>
      <c r="E789" s="564"/>
      <c r="F789" s="564"/>
      <c r="G789" s="564"/>
      <c r="H789" s="564"/>
      <c r="I789" s="564"/>
      <c r="J789" s="564"/>
      <c r="K789" s="564"/>
      <c r="L789" s="564"/>
      <c r="M789" s="564"/>
      <c r="N789" s="564"/>
      <c r="O789" s="564"/>
      <c r="P789" s="564"/>
      <c r="Q789" s="564"/>
      <c r="R789" s="564"/>
      <c r="S789" s="564"/>
      <c r="T789" s="564"/>
      <c r="U789" s="564"/>
      <c r="V789" s="564"/>
      <c r="W789" s="564"/>
      <c r="X789" s="564"/>
      <c r="Y789" s="564"/>
      <c r="Z789" s="564"/>
      <c r="AA789" s="564"/>
      <c r="AB789" s="564"/>
      <c r="AC789" s="564"/>
      <c r="AD789" s="564"/>
      <c r="AE789" s="564"/>
      <c r="AF789" s="564"/>
      <c r="AG789" s="564"/>
      <c r="AH789" s="564"/>
      <c r="AI789" s="564"/>
      <c r="AJ789" s="564"/>
      <c r="AK789" s="564"/>
      <c r="AL789" s="564"/>
      <c r="AM789" s="564"/>
      <c r="AN789" s="564"/>
      <c r="AO789" s="564"/>
    </row>
    <row r="790" spans="2:41" x14ac:dyDescent="0.15">
      <c r="B790" s="565">
        <v>26</v>
      </c>
      <c r="C790" s="564"/>
      <c r="D790" s="564"/>
      <c r="E790" s="564"/>
      <c r="F790" s="564"/>
      <c r="G790" s="564"/>
      <c r="H790" s="564"/>
      <c r="I790" s="564"/>
      <c r="J790" s="564"/>
      <c r="K790" s="564"/>
      <c r="L790" s="564"/>
      <c r="M790" s="564"/>
      <c r="N790" s="564"/>
      <c r="O790" s="564"/>
      <c r="P790" s="564"/>
      <c r="Q790" s="564"/>
      <c r="R790" s="564"/>
      <c r="S790" s="564"/>
      <c r="T790" s="564"/>
      <c r="U790" s="564"/>
      <c r="V790" s="564"/>
      <c r="W790" s="564"/>
      <c r="X790" s="564"/>
      <c r="Y790" s="564"/>
      <c r="Z790" s="564"/>
      <c r="AA790" s="564"/>
      <c r="AB790" s="564"/>
      <c r="AC790" s="564"/>
      <c r="AD790" s="564"/>
      <c r="AE790" s="564"/>
      <c r="AF790" s="564"/>
      <c r="AG790" s="564"/>
      <c r="AH790" s="564"/>
      <c r="AI790" s="564"/>
      <c r="AJ790" s="564"/>
      <c r="AK790" s="564"/>
      <c r="AL790" s="564"/>
      <c r="AM790" s="564"/>
      <c r="AN790" s="564"/>
      <c r="AO790" s="564"/>
    </row>
    <row r="791" spans="2:41" x14ac:dyDescent="0.15">
      <c r="B791" s="565">
        <v>27</v>
      </c>
      <c r="C791" s="564"/>
      <c r="D791" s="564"/>
      <c r="E791" s="564"/>
      <c r="F791" s="564"/>
      <c r="G791" s="564"/>
      <c r="H791" s="564"/>
      <c r="I791" s="564"/>
      <c r="J791" s="564"/>
      <c r="K791" s="564"/>
      <c r="L791" s="564"/>
      <c r="M791" s="564"/>
      <c r="N791" s="564"/>
      <c r="O791" s="564"/>
      <c r="P791" s="564"/>
      <c r="Q791" s="564"/>
      <c r="R791" s="564"/>
      <c r="S791" s="564"/>
      <c r="T791" s="564"/>
      <c r="U791" s="564"/>
      <c r="V791" s="564"/>
      <c r="W791" s="564"/>
      <c r="X791" s="564"/>
      <c r="Y791" s="564"/>
      <c r="Z791" s="564"/>
      <c r="AA791" s="564"/>
      <c r="AB791" s="564"/>
      <c r="AC791" s="564"/>
      <c r="AD791" s="564"/>
      <c r="AE791" s="564"/>
      <c r="AF791" s="564"/>
      <c r="AG791" s="564"/>
      <c r="AH791" s="564"/>
      <c r="AI791" s="564"/>
      <c r="AJ791" s="564"/>
      <c r="AK791" s="564"/>
      <c r="AL791" s="564"/>
      <c r="AM791" s="564"/>
      <c r="AN791" s="564"/>
      <c r="AO791" s="564"/>
    </row>
    <row r="792" spans="2:41" x14ac:dyDescent="0.15">
      <c r="B792" s="565">
        <v>28</v>
      </c>
      <c r="C792" s="564"/>
      <c r="D792" s="564"/>
      <c r="E792" s="564"/>
      <c r="F792" s="564"/>
      <c r="G792" s="564"/>
      <c r="H792" s="564"/>
      <c r="I792" s="564"/>
      <c r="J792" s="564"/>
      <c r="K792" s="564"/>
      <c r="L792" s="564"/>
      <c r="M792" s="564"/>
      <c r="N792" s="564"/>
      <c r="O792" s="564"/>
      <c r="P792" s="564"/>
      <c r="Q792" s="564"/>
      <c r="R792" s="564"/>
      <c r="S792" s="564"/>
      <c r="T792" s="564"/>
      <c r="U792" s="564"/>
      <c r="V792" s="564"/>
      <c r="W792" s="564"/>
      <c r="X792" s="564"/>
      <c r="Y792" s="564"/>
      <c r="Z792" s="564"/>
      <c r="AA792" s="564"/>
      <c r="AB792" s="564"/>
      <c r="AC792" s="564"/>
      <c r="AD792" s="564"/>
      <c r="AE792" s="564"/>
      <c r="AF792" s="564"/>
      <c r="AG792" s="564"/>
      <c r="AH792" s="564"/>
      <c r="AI792" s="564"/>
      <c r="AJ792" s="564"/>
      <c r="AK792" s="564"/>
      <c r="AL792" s="564"/>
      <c r="AM792" s="564"/>
      <c r="AN792" s="564"/>
      <c r="AO792" s="564"/>
    </row>
    <row r="793" spans="2:41" x14ac:dyDescent="0.15">
      <c r="B793" s="565">
        <v>29</v>
      </c>
      <c r="C793" s="564"/>
      <c r="D793" s="564"/>
      <c r="E793" s="564"/>
      <c r="F793" s="564"/>
      <c r="G793" s="564"/>
      <c r="H793" s="564"/>
      <c r="I793" s="564"/>
      <c r="J793" s="564"/>
      <c r="K793" s="564"/>
      <c r="L793" s="564"/>
      <c r="M793" s="564"/>
      <c r="N793" s="564"/>
      <c r="O793" s="564"/>
      <c r="P793" s="564"/>
      <c r="Q793" s="564"/>
      <c r="R793" s="564"/>
      <c r="S793" s="564"/>
      <c r="T793" s="564"/>
      <c r="U793" s="564"/>
      <c r="V793" s="564"/>
      <c r="W793" s="564"/>
      <c r="X793" s="564"/>
      <c r="Y793" s="564"/>
      <c r="Z793" s="564"/>
      <c r="AA793" s="564"/>
      <c r="AB793" s="564"/>
      <c r="AC793" s="564"/>
      <c r="AD793" s="564"/>
      <c r="AE793" s="564"/>
      <c r="AF793" s="564"/>
      <c r="AG793" s="564"/>
      <c r="AH793" s="564"/>
      <c r="AI793" s="564"/>
      <c r="AJ793" s="564"/>
      <c r="AK793" s="564"/>
      <c r="AL793" s="564"/>
      <c r="AM793" s="564"/>
      <c r="AN793" s="564"/>
      <c r="AO793" s="564"/>
    </row>
    <row r="794" spans="2:41" x14ac:dyDescent="0.15">
      <c r="B794" s="565">
        <v>30</v>
      </c>
      <c r="C794" s="564"/>
      <c r="D794" s="564"/>
      <c r="E794" s="564"/>
      <c r="F794" s="564"/>
      <c r="G794" s="564"/>
      <c r="H794" s="564"/>
      <c r="I794" s="564"/>
      <c r="J794" s="564"/>
      <c r="K794" s="564"/>
      <c r="L794" s="564"/>
      <c r="M794" s="564"/>
      <c r="N794" s="564"/>
      <c r="O794" s="564"/>
      <c r="P794" s="564"/>
      <c r="Q794" s="564"/>
      <c r="R794" s="564"/>
      <c r="S794" s="564"/>
      <c r="T794" s="564"/>
      <c r="U794" s="564"/>
      <c r="V794" s="564"/>
      <c r="W794" s="564"/>
      <c r="X794" s="564"/>
      <c r="Y794" s="564"/>
      <c r="Z794" s="564"/>
      <c r="AA794" s="564"/>
      <c r="AB794" s="564"/>
      <c r="AC794" s="564"/>
      <c r="AD794" s="564"/>
      <c r="AE794" s="564"/>
      <c r="AF794" s="564"/>
      <c r="AG794" s="564"/>
      <c r="AH794" s="564"/>
      <c r="AI794" s="564"/>
      <c r="AJ794" s="564"/>
      <c r="AK794" s="564"/>
      <c r="AL794" s="564"/>
      <c r="AM794" s="564"/>
      <c r="AN794" s="564"/>
      <c r="AO794" s="564"/>
    </row>
    <row r="795" spans="2:41" x14ac:dyDescent="0.15">
      <c r="B795" s="565">
        <v>31</v>
      </c>
      <c r="C795" s="564"/>
      <c r="D795" s="564"/>
      <c r="E795" s="564"/>
      <c r="F795" s="564"/>
      <c r="G795" s="564"/>
      <c r="H795" s="564"/>
      <c r="I795" s="564"/>
      <c r="J795" s="564"/>
      <c r="K795" s="564"/>
      <c r="L795" s="564"/>
      <c r="M795" s="564"/>
      <c r="N795" s="564"/>
      <c r="O795" s="564"/>
      <c r="P795" s="564"/>
      <c r="Q795" s="564"/>
      <c r="R795" s="564"/>
      <c r="S795" s="564"/>
      <c r="T795" s="564"/>
      <c r="U795" s="564"/>
      <c r="V795" s="564"/>
      <c r="W795" s="564"/>
      <c r="X795" s="564"/>
      <c r="Y795" s="564"/>
      <c r="Z795" s="564"/>
      <c r="AA795" s="564"/>
      <c r="AB795" s="564"/>
      <c r="AC795" s="564"/>
      <c r="AD795" s="564"/>
      <c r="AE795" s="564"/>
      <c r="AF795" s="564"/>
      <c r="AG795" s="564"/>
      <c r="AH795" s="564"/>
      <c r="AI795" s="564"/>
      <c r="AJ795" s="564"/>
      <c r="AK795" s="564"/>
      <c r="AL795" s="564"/>
      <c r="AM795" s="564"/>
      <c r="AN795" s="564"/>
      <c r="AO795" s="564"/>
    </row>
    <row r="796" spans="2:41" x14ac:dyDescent="0.15">
      <c r="B796" s="565">
        <v>32</v>
      </c>
      <c r="C796" s="564"/>
      <c r="D796" s="564"/>
      <c r="E796" s="564"/>
      <c r="F796" s="564"/>
      <c r="G796" s="564"/>
      <c r="H796" s="564"/>
      <c r="I796" s="564"/>
      <c r="J796" s="564"/>
      <c r="K796" s="564"/>
      <c r="L796" s="564"/>
      <c r="M796" s="564"/>
      <c r="N796" s="564"/>
      <c r="O796" s="564"/>
      <c r="P796" s="564"/>
      <c r="Q796" s="564"/>
      <c r="R796" s="564"/>
      <c r="S796" s="564"/>
      <c r="T796" s="564"/>
      <c r="U796" s="564"/>
      <c r="V796" s="564"/>
      <c r="W796" s="564"/>
      <c r="X796" s="564"/>
      <c r="Y796" s="564"/>
      <c r="Z796" s="564"/>
      <c r="AA796" s="564"/>
      <c r="AB796" s="564"/>
      <c r="AC796" s="564"/>
      <c r="AD796" s="564"/>
      <c r="AE796" s="564"/>
      <c r="AF796" s="564"/>
      <c r="AG796" s="564"/>
      <c r="AH796" s="564"/>
      <c r="AI796" s="564"/>
      <c r="AJ796" s="564"/>
      <c r="AK796" s="564"/>
      <c r="AL796" s="564"/>
      <c r="AM796" s="564"/>
      <c r="AN796" s="564"/>
      <c r="AO796" s="564"/>
    </row>
    <row r="797" spans="2:41" x14ac:dyDescent="0.15">
      <c r="B797" s="565">
        <v>33</v>
      </c>
      <c r="C797" s="564"/>
      <c r="D797" s="564"/>
      <c r="E797" s="564"/>
      <c r="F797" s="564"/>
      <c r="G797" s="564"/>
      <c r="H797" s="564"/>
      <c r="I797" s="564"/>
      <c r="J797" s="564"/>
      <c r="K797" s="564"/>
      <c r="L797" s="564"/>
      <c r="M797" s="564"/>
      <c r="N797" s="564"/>
      <c r="O797" s="564"/>
      <c r="P797" s="564"/>
      <c r="Q797" s="564"/>
      <c r="R797" s="564"/>
      <c r="S797" s="564"/>
      <c r="T797" s="564"/>
      <c r="U797" s="564"/>
      <c r="V797" s="564"/>
      <c r="W797" s="564"/>
      <c r="X797" s="564"/>
      <c r="Y797" s="564"/>
      <c r="Z797" s="564"/>
      <c r="AA797" s="564"/>
      <c r="AB797" s="564"/>
      <c r="AC797" s="564"/>
      <c r="AD797" s="564"/>
      <c r="AE797" s="564"/>
      <c r="AF797" s="564"/>
      <c r="AG797" s="564"/>
      <c r="AH797" s="564"/>
      <c r="AI797" s="564"/>
      <c r="AJ797" s="564"/>
      <c r="AK797" s="564"/>
      <c r="AL797" s="564"/>
      <c r="AM797" s="564"/>
      <c r="AN797" s="564"/>
      <c r="AO797" s="564"/>
    </row>
    <row r="798" spans="2:41" x14ac:dyDescent="0.15">
      <c r="B798" s="565">
        <v>34</v>
      </c>
      <c r="C798" s="564"/>
      <c r="D798" s="564"/>
      <c r="E798" s="564"/>
      <c r="F798" s="564"/>
      <c r="G798" s="564"/>
      <c r="H798" s="564"/>
      <c r="I798" s="564"/>
      <c r="J798" s="564"/>
      <c r="K798" s="564"/>
      <c r="L798" s="564"/>
      <c r="M798" s="564"/>
      <c r="N798" s="564"/>
      <c r="O798" s="564"/>
      <c r="P798" s="564"/>
      <c r="Q798" s="564"/>
      <c r="R798" s="564"/>
      <c r="S798" s="564"/>
      <c r="T798" s="564"/>
      <c r="U798" s="564"/>
      <c r="V798" s="564"/>
      <c r="W798" s="564"/>
      <c r="X798" s="564"/>
      <c r="Y798" s="564"/>
      <c r="Z798" s="564"/>
      <c r="AA798" s="564"/>
      <c r="AB798" s="564"/>
      <c r="AC798" s="564"/>
      <c r="AD798" s="564"/>
      <c r="AE798" s="564"/>
      <c r="AF798" s="564"/>
      <c r="AG798" s="564"/>
      <c r="AH798" s="564"/>
      <c r="AI798" s="564"/>
      <c r="AJ798" s="564"/>
      <c r="AK798" s="564"/>
      <c r="AL798" s="564"/>
      <c r="AM798" s="564"/>
      <c r="AN798" s="564"/>
      <c r="AO798" s="564"/>
    </row>
    <row r="799" spans="2:41" x14ac:dyDescent="0.15">
      <c r="B799" s="565">
        <v>35</v>
      </c>
      <c r="C799" s="564"/>
      <c r="D799" s="564"/>
      <c r="E799" s="564"/>
      <c r="F799" s="564"/>
      <c r="G799" s="564"/>
      <c r="H799" s="564"/>
      <c r="I799" s="564"/>
      <c r="J799" s="564"/>
      <c r="K799" s="564"/>
      <c r="L799" s="564"/>
      <c r="M799" s="564"/>
      <c r="N799" s="564"/>
      <c r="O799" s="564"/>
      <c r="P799" s="564"/>
      <c r="Q799" s="564"/>
      <c r="R799" s="564"/>
      <c r="S799" s="564"/>
      <c r="T799" s="564"/>
      <c r="U799" s="564"/>
      <c r="V799" s="564"/>
      <c r="W799" s="564"/>
      <c r="X799" s="564"/>
      <c r="Y799" s="564"/>
      <c r="Z799" s="564"/>
      <c r="AA799" s="564"/>
      <c r="AB799" s="564"/>
      <c r="AC799" s="564"/>
      <c r="AD799" s="564"/>
      <c r="AE799" s="564"/>
      <c r="AF799" s="564"/>
      <c r="AG799" s="564"/>
      <c r="AH799" s="564"/>
      <c r="AI799" s="564"/>
      <c r="AJ799" s="564"/>
      <c r="AK799" s="564"/>
      <c r="AL799" s="564"/>
      <c r="AM799" s="564"/>
      <c r="AN799" s="564"/>
      <c r="AO799" s="564"/>
    </row>
    <row r="800" spans="2:41" x14ac:dyDescent="0.15">
      <c r="B800" s="565">
        <v>36</v>
      </c>
      <c r="C800" s="564"/>
      <c r="D800" s="564"/>
      <c r="E800" s="564"/>
      <c r="F800" s="564"/>
      <c r="G800" s="564"/>
      <c r="H800" s="564"/>
      <c r="I800" s="564"/>
      <c r="J800" s="564"/>
      <c r="K800" s="564"/>
      <c r="L800" s="564"/>
      <c r="M800" s="564"/>
      <c r="N800" s="564"/>
      <c r="O800" s="564"/>
      <c r="P800" s="564"/>
      <c r="Q800" s="564"/>
      <c r="R800" s="564"/>
      <c r="S800" s="564"/>
      <c r="T800" s="564"/>
      <c r="U800" s="564"/>
      <c r="V800" s="564"/>
      <c r="W800" s="564"/>
      <c r="X800" s="564"/>
      <c r="Y800" s="564"/>
      <c r="Z800" s="564"/>
      <c r="AA800" s="564"/>
      <c r="AB800" s="564"/>
      <c r="AC800" s="564"/>
      <c r="AD800" s="564"/>
      <c r="AE800" s="564"/>
      <c r="AF800" s="564"/>
      <c r="AG800" s="564"/>
      <c r="AH800" s="564"/>
      <c r="AI800" s="564"/>
      <c r="AJ800" s="564"/>
      <c r="AK800" s="564"/>
      <c r="AL800" s="564"/>
      <c r="AM800" s="564"/>
      <c r="AN800" s="564"/>
      <c r="AO800" s="564"/>
    </row>
    <row r="801" spans="2:41" x14ac:dyDescent="0.15">
      <c r="B801" s="565">
        <v>37</v>
      </c>
      <c r="C801" s="564"/>
      <c r="D801" s="564"/>
      <c r="E801" s="564"/>
      <c r="F801" s="564"/>
      <c r="G801" s="564"/>
      <c r="H801" s="564"/>
      <c r="I801" s="564"/>
      <c r="J801" s="564"/>
      <c r="K801" s="564"/>
      <c r="L801" s="564"/>
      <c r="M801" s="564"/>
      <c r="N801" s="564"/>
      <c r="O801" s="564"/>
      <c r="P801" s="564"/>
      <c r="Q801" s="564"/>
      <c r="R801" s="564"/>
      <c r="S801" s="564"/>
      <c r="T801" s="564"/>
      <c r="U801" s="564"/>
      <c r="V801" s="564"/>
      <c r="W801" s="564"/>
      <c r="X801" s="564"/>
      <c r="Y801" s="564"/>
      <c r="Z801" s="564"/>
      <c r="AA801" s="564"/>
      <c r="AB801" s="564"/>
      <c r="AC801" s="564"/>
      <c r="AD801" s="564"/>
      <c r="AE801" s="564"/>
      <c r="AF801" s="564"/>
      <c r="AG801" s="564"/>
      <c r="AH801" s="564"/>
      <c r="AI801" s="564"/>
      <c r="AJ801" s="564"/>
      <c r="AK801" s="564"/>
      <c r="AL801" s="564"/>
      <c r="AM801" s="564"/>
      <c r="AN801" s="564"/>
      <c r="AO801" s="564"/>
    </row>
    <row r="802" spans="2:41" x14ac:dyDescent="0.15">
      <c r="B802" s="565">
        <v>38</v>
      </c>
      <c r="C802" s="564"/>
      <c r="D802" s="564"/>
      <c r="E802" s="564"/>
      <c r="F802" s="564"/>
      <c r="G802" s="564"/>
      <c r="H802" s="564"/>
      <c r="I802" s="564"/>
      <c r="J802" s="564"/>
      <c r="K802" s="564"/>
      <c r="L802" s="564"/>
      <c r="M802" s="564"/>
      <c r="N802" s="564"/>
      <c r="O802" s="564"/>
      <c r="P802" s="564"/>
      <c r="Q802" s="564"/>
      <c r="R802" s="564"/>
      <c r="S802" s="564"/>
      <c r="T802" s="564"/>
      <c r="U802" s="564"/>
      <c r="V802" s="564"/>
      <c r="W802" s="564"/>
      <c r="X802" s="564"/>
      <c r="Y802" s="564"/>
      <c r="Z802" s="564"/>
      <c r="AA802" s="564"/>
      <c r="AB802" s="564"/>
      <c r="AC802" s="564"/>
      <c r="AD802" s="564"/>
      <c r="AE802" s="564"/>
      <c r="AF802" s="564"/>
      <c r="AG802" s="564"/>
      <c r="AH802" s="564"/>
      <c r="AI802" s="564"/>
      <c r="AJ802" s="564"/>
      <c r="AK802" s="564"/>
      <c r="AL802" s="564"/>
      <c r="AM802" s="564"/>
      <c r="AN802" s="564"/>
      <c r="AO802" s="564"/>
    </row>
    <row r="803" spans="2:41" x14ac:dyDescent="0.15">
      <c r="B803" s="565">
        <v>39</v>
      </c>
      <c r="C803" s="564"/>
      <c r="D803" s="564"/>
      <c r="E803" s="564"/>
      <c r="F803" s="564"/>
      <c r="G803" s="564"/>
      <c r="H803" s="564"/>
      <c r="I803" s="564"/>
      <c r="J803" s="564"/>
      <c r="K803" s="564"/>
      <c r="L803" s="564"/>
      <c r="M803" s="564"/>
      <c r="N803" s="564"/>
      <c r="O803" s="564"/>
      <c r="P803" s="564"/>
      <c r="Q803" s="564"/>
      <c r="R803" s="564"/>
      <c r="S803" s="564"/>
      <c r="T803" s="564"/>
      <c r="U803" s="564"/>
      <c r="V803" s="564"/>
      <c r="W803" s="564"/>
      <c r="X803" s="564"/>
      <c r="Y803" s="564"/>
      <c r="Z803" s="564"/>
      <c r="AA803" s="564"/>
      <c r="AB803" s="564"/>
      <c r="AC803" s="564"/>
      <c r="AD803" s="564"/>
      <c r="AE803" s="564"/>
      <c r="AF803" s="564"/>
      <c r="AG803" s="564"/>
      <c r="AH803" s="564"/>
      <c r="AI803" s="564"/>
      <c r="AJ803" s="564"/>
      <c r="AK803" s="564"/>
      <c r="AL803" s="564"/>
      <c r="AM803" s="564"/>
      <c r="AN803" s="564"/>
      <c r="AO803" s="564"/>
    </row>
    <row r="804" spans="2:41" x14ac:dyDescent="0.15">
      <c r="B804" s="566">
        <v>40</v>
      </c>
      <c r="C804" s="564"/>
      <c r="D804" s="564"/>
      <c r="E804" s="564"/>
      <c r="F804" s="564"/>
      <c r="G804" s="564"/>
      <c r="H804" s="564"/>
      <c r="I804" s="564"/>
      <c r="J804" s="564"/>
      <c r="K804" s="564"/>
      <c r="L804" s="564"/>
      <c r="M804" s="564"/>
      <c r="N804" s="564"/>
      <c r="O804" s="564"/>
      <c r="P804" s="564"/>
      <c r="Q804" s="564"/>
      <c r="R804" s="564"/>
      <c r="S804" s="564"/>
      <c r="T804" s="564"/>
      <c r="U804" s="564"/>
      <c r="V804" s="564"/>
      <c r="W804" s="564"/>
      <c r="X804" s="564"/>
      <c r="Y804" s="564"/>
      <c r="Z804" s="564"/>
      <c r="AA804" s="564"/>
      <c r="AB804" s="564"/>
      <c r="AC804" s="564"/>
      <c r="AD804" s="564"/>
      <c r="AE804" s="564"/>
      <c r="AF804" s="564"/>
      <c r="AG804" s="564"/>
      <c r="AH804" s="564"/>
      <c r="AI804" s="564"/>
      <c r="AJ804" s="564"/>
      <c r="AK804" s="564"/>
      <c r="AL804" s="564"/>
      <c r="AM804" s="564"/>
      <c r="AN804" s="564"/>
      <c r="AO804" s="564"/>
    </row>
    <row r="813" spans="2:41" s="561" customFormat="1" ht="14" x14ac:dyDescent="0.15">
      <c r="B813" s="558" t="str" cm="1">
        <f t="array" ref="B813:AO813">TRANSPOSE('Syötä kaupungit KIRJASTOLIN_ENT'!$K$1:$K$40)</f>
        <v>MAA 10</v>
      </c>
      <c r="C813" s="562">
        <v>0</v>
      </c>
      <c r="D813" s="562">
        <v>0</v>
      </c>
      <c r="E813" s="562">
        <v>0</v>
      </c>
      <c r="F813" s="562">
        <v>0</v>
      </c>
      <c r="G813" s="562">
        <v>0</v>
      </c>
      <c r="H813" s="562">
        <v>0</v>
      </c>
      <c r="I813" s="562">
        <v>0</v>
      </c>
      <c r="J813" s="562">
        <v>0</v>
      </c>
      <c r="K813" s="562">
        <v>0</v>
      </c>
      <c r="L813" s="562">
        <v>0</v>
      </c>
      <c r="M813" s="562">
        <v>0</v>
      </c>
      <c r="N813" s="562">
        <v>0</v>
      </c>
      <c r="O813" s="562">
        <v>0</v>
      </c>
      <c r="P813" s="562">
        <v>0</v>
      </c>
      <c r="Q813" s="562">
        <v>0</v>
      </c>
      <c r="R813" s="562">
        <v>0</v>
      </c>
      <c r="S813" s="562">
        <v>0</v>
      </c>
      <c r="T813" s="562">
        <v>0</v>
      </c>
      <c r="U813" s="562">
        <v>0</v>
      </c>
      <c r="V813" s="562">
        <v>0</v>
      </c>
      <c r="W813" s="562">
        <v>0</v>
      </c>
      <c r="X813" s="562">
        <v>0</v>
      </c>
      <c r="Y813" s="562">
        <v>0</v>
      </c>
      <c r="Z813" s="562">
        <v>0</v>
      </c>
      <c r="AA813" s="562">
        <v>0</v>
      </c>
      <c r="AB813" s="562">
        <v>0</v>
      </c>
      <c r="AC813" s="562">
        <v>0</v>
      </c>
      <c r="AD813" s="562">
        <v>0</v>
      </c>
      <c r="AE813" s="562">
        <v>0</v>
      </c>
      <c r="AF813" s="562">
        <v>0</v>
      </c>
      <c r="AG813" s="562">
        <v>0</v>
      </c>
      <c r="AH813" s="562">
        <v>0</v>
      </c>
      <c r="AI813" s="562">
        <v>0</v>
      </c>
      <c r="AJ813" s="562">
        <v>0</v>
      </c>
      <c r="AK813" s="562">
        <v>0</v>
      </c>
      <c r="AL813" s="562">
        <v>0</v>
      </c>
      <c r="AM813" s="562">
        <v>0</v>
      </c>
      <c r="AN813" s="562">
        <v>0</v>
      </c>
      <c r="AO813" s="562">
        <v>0</v>
      </c>
    </row>
    <row r="814" spans="2:41" x14ac:dyDescent="0.15">
      <c r="B814" s="563">
        <v>-40</v>
      </c>
      <c r="C814" s="564"/>
      <c r="D814" s="564"/>
      <c r="E814" s="564"/>
      <c r="F814" s="564"/>
      <c r="G814" s="564"/>
      <c r="H814" s="564"/>
      <c r="I814" s="564"/>
      <c r="J814" s="564"/>
      <c r="K814" s="564"/>
      <c r="L814" s="564"/>
      <c r="M814" s="564"/>
      <c r="N814" s="564"/>
      <c r="O814" s="564"/>
      <c r="P814" s="564"/>
      <c r="Q814" s="564"/>
      <c r="R814" s="564"/>
      <c r="S814" s="564"/>
      <c r="T814" s="564"/>
      <c r="U814" s="564"/>
      <c r="V814" s="564"/>
      <c r="W814" s="564"/>
      <c r="X814" s="564"/>
      <c r="Y814" s="564"/>
      <c r="Z814" s="564"/>
      <c r="AA814" s="564"/>
      <c r="AB814" s="564"/>
      <c r="AC814" s="564"/>
      <c r="AD814" s="564"/>
      <c r="AE814" s="564"/>
      <c r="AF814" s="564"/>
      <c r="AG814" s="564"/>
      <c r="AH814" s="564"/>
      <c r="AI814" s="564"/>
      <c r="AJ814" s="564"/>
      <c r="AK814" s="564"/>
      <c r="AL814" s="564"/>
      <c r="AM814" s="564"/>
      <c r="AN814" s="564"/>
      <c r="AO814" s="564"/>
    </row>
    <row r="815" spans="2:41" x14ac:dyDescent="0.15">
      <c r="B815" s="565">
        <v>-39</v>
      </c>
      <c r="C815" s="564"/>
      <c r="D815" s="564"/>
      <c r="E815" s="564"/>
      <c r="F815" s="564"/>
      <c r="G815" s="564"/>
      <c r="H815" s="564"/>
      <c r="I815" s="564"/>
      <c r="J815" s="564"/>
      <c r="K815" s="564"/>
      <c r="L815" s="564"/>
      <c r="M815" s="564"/>
      <c r="N815" s="564"/>
      <c r="O815" s="564"/>
      <c r="P815" s="564"/>
      <c r="Q815" s="564"/>
      <c r="R815" s="564"/>
      <c r="S815" s="564"/>
      <c r="T815" s="564"/>
      <c r="U815" s="564"/>
      <c r="V815" s="564"/>
      <c r="W815" s="564"/>
      <c r="X815" s="564"/>
      <c r="Y815" s="564"/>
      <c r="Z815" s="564"/>
      <c r="AA815" s="564"/>
      <c r="AB815" s="564"/>
      <c r="AC815" s="564"/>
      <c r="AD815" s="564"/>
      <c r="AE815" s="564"/>
      <c r="AF815" s="564"/>
      <c r="AG815" s="564"/>
      <c r="AH815" s="564"/>
      <c r="AI815" s="564"/>
      <c r="AJ815" s="564"/>
      <c r="AK815" s="564"/>
      <c r="AL815" s="564"/>
      <c r="AM815" s="564"/>
      <c r="AN815" s="564"/>
      <c r="AO815" s="564"/>
    </row>
    <row r="816" spans="2:41" x14ac:dyDescent="0.15">
      <c r="B816" s="565">
        <v>-38</v>
      </c>
      <c r="C816" s="564"/>
      <c r="D816" s="564"/>
      <c r="E816" s="564"/>
      <c r="F816" s="564"/>
      <c r="G816" s="564"/>
      <c r="H816" s="564"/>
      <c r="I816" s="564"/>
      <c r="J816" s="564"/>
      <c r="K816" s="564"/>
      <c r="L816" s="564"/>
      <c r="M816" s="564"/>
      <c r="N816" s="564"/>
      <c r="O816" s="564"/>
      <c r="P816" s="564"/>
      <c r="Q816" s="564"/>
      <c r="R816" s="564"/>
      <c r="S816" s="564"/>
      <c r="T816" s="564"/>
      <c r="U816" s="564"/>
      <c r="V816" s="564"/>
      <c r="W816" s="564"/>
      <c r="X816" s="564"/>
      <c r="Y816" s="564"/>
      <c r="Z816" s="564"/>
      <c r="AA816" s="564"/>
      <c r="AB816" s="564"/>
      <c r="AC816" s="564"/>
      <c r="AD816" s="564"/>
      <c r="AE816" s="564"/>
      <c r="AF816" s="564"/>
      <c r="AG816" s="564"/>
      <c r="AH816" s="564"/>
      <c r="AI816" s="564"/>
      <c r="AJ816" s="564"/>
      <c r="AK816" s="564"/>
      <c r="AL816" s="564"/>
      <c r="AM816" s="564"/>
      <c r="AN816" s="564"/>
      <c r="AO816" s="564"/>
    </row>
    <row r="817" spans="2:41" x14ac:dyDescent="0.15">
      <c r="B817" s="565">
        <v>-37</v>
      </c>
      <c r="C817" s="564"/>
      <c r="D817" s="564"/>
      <c r="E817" s="564"/>
      <c r="F817" s="564"/>
      <c r="G817" s="564"/>
      <c r="H817" s="564"/>
      <c r="I817" s="564"/>
      <c r="J817" s="564"/>
      <c r="K817" s="564"/>
      <c r="L817" s="564"/>
      <c r="M817" s="564"/>
      <c r="N817" s="564"/>
      <c r="O817" s="564"/>
      <c r="P817" s="564"/>
      <c r="Q817" s="564"/>
      <c r="R817" s="564"/>
      <c r="S817" s="564"/>
      <c r="T817" s="564"/>
      <c r="U817" s="564"/>
      <c r="V817" s="564"/>
      <c r="W817" s="564"/>
      <c r="X817" s="564"/>
      <c r="Y817" s="564"/>
      <c r="Z817" s="564"/>
      <c r="AA817" s="564"/>
      <c r="AB817" s="564"/>
      <c r="AC817" s="564"/>
      <c r="AD817" s="564"/>
      <c r="AE817" s="564"/>
      <c r="AF817" s="564"/>
      <c r="AG817" s="564"/>
      <c r="AH817" s="564"/>
      <c r="AI817" s="564"/>
      <c r="AJ817" s="564"/>
      <c r="AK817" s="564"/>
      <c r="AL817" s="564"/>
      <c r="AM817" s="564"/>
      <c r="AN817" s="564"/>
      <c r="AO817" s="564"/>
    </row>
    <row r="818" spans="2:41" x14ac:dyDescent="0.15">
      <c r="B818" s="565">
        <v>-36</v>
      </c>
      <c r="C818" s="564"/>
      <c r="D818" s="564"/>
      <c r="E818" s="564"/>
      <c r="F818" s="564"/>
      <c r="G818" s="564"/>
      <c r="H818" s="564"/>
      <c r="I818" s="564"/>
      <c r="J818" s="564"/>
      <c r="K818" s="564"/>
      <c r="L818" s="564"/>
      <c r="M818" s="564"/>
      <c r="N818" s="564"/>
      <c r="O818" s="564"/>
      <c r="P818" s="564"/>
      <c r="Q818" s="564"/>
      <c r="R818" s="564"/>
      <c r="S818" s="564"/>
      <c r="T818" s="564"/>
      <c r="U818" s="564"/>
      <c r="V818" s="564"/>
      <c r="W818" s="564"/>
      <c r="X818" s="564"/>
      <c r="Y818" s="564"/>
      <c r="Z818" s="564"/>
      <c r="AA818" s="564"/>
      <c r="AB818" s="564"/>
      <c r="AC818" s="564"/>
      <c r="AD818" s="564"/>
      <c r="AE818" s="564"/>
      <c r="AF818" s="564"/>
      <c r="AG818" s="564"/>
      <c r="AH818" s="564"/>
      <c r="AI818" s="564"/>
      <c r="AJ818" s="564"/>
      <c r="AK818" s="564"/>
      <c r="AL818" s="564"/>
      <c r="AM818" s="564"/>
      <c r="AN818" s="564"/>
      <c r="AO818" s="564"/>
    </row>
    <row r="819" spans="2:41" x14ac:dyDescent="0.15">
      <c r="B819" s="565">
        <v>-35</v>
      </c>
      <c r="C819" s="564"/>
      <c r="D819" s="564"/>
      <c r="E819" s="564"/>
      <c r="F819" s="564"/>
      <c r="G819" s="564"/>
      <c r="H819" s="564"/>
      <c r="I819" s="564"/>
      <c r="J819" s="564"/>
      <c r="K819" s="564"/>
      <c r="L819" s="564"/>
      <c r="M819" s="564"/>
      <c r="N819" s="564"/>
      <c r="O819" s="564"/>
      <c r="P819" s="564"/>
      <c r="Q819" s="564"/>
      <c r="R819" s="564"/>
      <c r="S819" s="564"/>
      <c r="T819" s="564"/>
      <c r="U819" s="564"/>
      <c r="V819" s="564"/>
      <c r="W819" s="564"/>
      <c r="X819" s="564"/>
      <c r="Y819" s="564"/>
      <c r="Z819" s="564"/>
      <c r="AA819" s="564"/>
      <c r="AB819" s="564"/>
      <c r="AC819" s="564"/>
      <c r="AD819" s="564"/>
      <c r="AE819" s="564"/>
      <c r="AF819" s="564"/>
      <c r="AG819" s="564"/>
      <c r="AH819" s="564"/>
      <c r="AI819" s="564"/>
      <c r="AJ819" s="564"/>
      <c r="AK819" s="564"/>
      <c r="AL819" s="564"/>
      <c r="AM819" s="564"/>
      <c r="AN819" s="564"/>
      <c r="AO819" s="564"/>
    </row>
    <row r="820" spans="2:41" x14ac:dyDescent="0.15">
      <c r="B820" s="565">
        <v>-34</v>
      </c>
      <c r="C820" s="564"/>
      <c r="D820" s="564"/>
      <c r="E820" s="564"/>
      <c r="F820" s="564"/>
      <c r="G820" s="564"/>
      <c r="H820" s="564"/>
      <c r="I820" s="564"/>
      <c r="J820" s="564"/>
      <c r="K820" s="564"/>
      <c r="L820" s="564"/>
      <c r="M820" s="564"/>
      <c r="N820" s="564"/>
      <c r="O820" s="564"/>
      <c r="P820" s="564"/>
      <c r="Q820" s="564"/>
      <c r="R820" s="564"/>
      <c r="S820" s="564"/>
      <c r="T820" s="564"/>
      <c r="U820" s="564"/>
      <c r="V820" s="564"/>
      <c r="W820" s="564"/>
      <c r="X820" s="564"/>
      <c r="Y820" s="564"/>
      <c r="Z820" s="564"/>
      <c r="AA820" s="564"/>
      <c r="AB820" s="564"/>
      <c r="AC820" s="564"/>
      <c r="AD820" s="564"/>
      <c r="AE820" s="564"/>
      <c r="AF820" s="564"/>
      <c r="AG820" s="564"/>
      <c r="AH820" s="564"/>
      <c r="AI820" s="564"/>
      <c r="AJ820" s="564"/>
      <c r="AK820" s="564"/>
      <c r="AL820" s="564"/>
      <c r="AM820" s="564"/>
      <c r="AN820" s="564"/>
      <c r="AO820" s="564"/>
    </row>
    <row r="821" spans="2:41" x14ac:dyDescent="0.15">
      <c r="B821" s="565">
        <v>-33</v>
      </c>
      <c r="C821" s="564"/>
      <c r="D821" s="564"/>
      <c r="E821" s="564"/>
      <c r="F821" s="564"/>
      <c r="G821" s="564"/>
      <c r="H821" s="564"/>
      <c r="I821" s="564"/>
      <c r="J821" s="564"/>
      <c r="K821" s="564"/>
      <c r="L821" s="564"/>
      <c r="M821" s="564"/>
      <c r="N821" s="564"/>
      <c r="O821" s="564"/>
      <c r="P821" s="564"/>
      <c r="Q821" s="564"/>
      <c r="R821" s="564"/>
      <c r="S821" s="564"/>
      <c r="T821" s="564"/>
      <c r="U821" s="564"/>
      <c r="V821" s="564"/>
      <c r="W821" s="564"/>
      <c r="X821" s="564"/>
      <c r="Y821" s="564"/>
      <c r="Z821" s="564"/>
      <c r="AA821" s="564"/>
      <c r="AB821" s="564"/>
      <c r="AC821" s="564"/>
      <c r="AD821" s="564"/>
      <c r="AE821" s="564"/>
      <c r="AF821" s="564"/>
      <c r="AG821" s="564"/>
      <c r="AH821" s="564"/>
      <c r="AI821" s="564"/>
      <c r="AJ821" s="564"/>
      <c r="AK821" s="564"/>
      <c r="AL821" s="564"/>
      <c r="AM821" s="564"/>
      <c r="AN821" s="564"/>
      <c r="AO821" s="564"/>
    </row>
    <row r="822" spans="2:41" x14ac:dyDescent="0.15">
      <c r="B822" s="565">
        <v>-32</v>
      </c>
      <c r="C822" s="564"/>
      <c r="D822" s="564"/>
      <c r="E822" s="564"/>
      <c r="F822" s="564"/>
      <c r="G822" s="564"/>
      <c r="H822" s="564"/>
      <c r="I822" s="564"/>
      <c r="J822" s="564"/>
      <c r="K822" s="564"/>
      <c r="L822" s="564"/>
      <c r="M822" s="564"/>
      <c r="N822" s="564"/>
      <c r="O822" s="564"/>
      <c r="P822" s="564"/>
      <c r="Q822" s="564"/>
      <c r="R822" s="564"/>
      <c r="S822" s="564"/>
      <c r="T822" s="564"/>
      <c r="U822" s="564"/>
      <c r="V822" s="564"/>
      <c r="W822" s="564"/>
      <c r="X822" s="564"/>
      <c r="Y822" s="564"/>
      <c r="Z822" s="564"/>
      <c r="AA822" s="564"/>
      <c r="AB822" s="564"/>
      <c r="AC822" s="564"/>
      <c r="AD822" s="564"/>
      <c r="AE822" s="564"/>
      <c r="AF822" s="564"/>
      <c r="AG822" s="564"/>
      <c r="AH822" s="564"/>
      <c r="AI822" s="564"/>
      <c r="AJ822" s="564"/>
      <c r="AK822" s="564"/>
      <c r="AL822" s="564"/>
      <c r="AM822" s="564"/>
      <c r="AN822" s="564"/>
      <c r="AO822" s="564"/>
    </row>
    <row r="823" spans="2:41" x14ac:dyDescent="0.15">
      <c r="B823" s="565">
        <v>-31</v>
      </c>
      <c r="C823" s="564"/>
      <c r="D823" s="564"/>
      <c r="E823" s="564"/>
      <c r="F823" s="564"/>
      <c r="G823" s="564"/>
      <c r="H823" s="564"/>
      <c r="I823" s="564"/>
      <c r="J823" s="564"/>
      <c r="K823" s="564"/>
      <c r="L823" s="564"/>
      <c r="M823" s="564"/>
      <c r="N823" s="564"/>
      <c r="O823" s="564"/>
      <c r="P823" s="564"/>
      <c r="Q823" s="564"/>
      <c r="R823" s="564"/>
      <c r="S823" s="564"/>
      <c r="T823" s="564"/>
      <c r="U823" s="564"/>
      <c r="V823" s="564"/>
      <c r="W823" s="564"/>
      <c r="X823" s="564"/>
      <c r="Y823" s="564"/>
      <c r="Z823" s="564"/>
      <c r="AA823" s="564"/>
      <c r="AB823" s="564"/>
      <c r="AC823" s="564"/>
      <c r="AD823" s="564"/>
      <c r="AE823" s="564"/>
      <c r="AF823" s="564"/>
      <c r="AG823" s="564"/>
      <c r="AH823" s="564"/>
      <c r="AI823" s="564"/>
      <c r="AJ823" s="564"/>
      <c r="AK823" s="564"/>
      <c r="AL823" s="564"/>
      <c r="AM823" s="564"/>
      <c r="AN823" s="564"/>
      <c r="AO823" s="564"/>
    </row>
    <row r="824" spans="2:41" x14ac:dyDescent="0.15">
      <c r="B824" s="565">
        <v>-30</v>
      </c>
      <c r="C824" s="564"/>
      <c r="D824" s="564"/>
      <c r="E824" s="564"/>
      <c r="F824" s="564"/>
      <c r="G824" s="564"/>
      <c r="H824" s="564"/>
      <c r="I824" s="564"/>
      <c r="J824" s="564"/>
      <c r="K824" s="564"/>
      <c r="L824" s="564"/>
      <c r="M824" s="564"/>
      <c r="N824" s="564"/>
      <c r="O824" s="564"/>
      <c r="P824" s="564"/>
      <c r="Q824" s="564"/>
      <c r="R824" s="564"/>
      <c r="S824" s="564"/>
      <c r="T824" s="564"/>
      <c r="U824" s="564"/>
      <c r="V824" s="564"/>
      <c r="W824" s="564"/>
      <c r="X824" s="564"/>
      <c r="Y824" s="564"/>
      <c r="Z824" s="564"/>
      <c r="AA824" s="564"/>
      <c r="AB824" s="564"/>
      <c r="AC824" s="564"/>
      <c r="AD824" s="564"/>
      <c r="AE824" s="564"/>
      <c r="AF824" s="564"/>
      <c r="AG824" s="564"/>
      <c r="AH824" s="564"/>
      <c r="AI824" s="564"/>
      <c r="AJ824" s="564"/>
      <c r="AK824" s="564"/>
      <c r="AL824" s="564"/>
      <c r="AM824" s="564"/>
      <c r="AN824" s="564"/>
      <c r="AO824" s="564"/>
    </row>
    <row r="825" spans="2:41" x14ac:dyDescent="0.15">
      <c r="B825" s="565">
        <v>-29</v>
      </c>
      <c r="C825" s="564"/>
      <c r="D825" s="564"/>
      <c r="E825" s="564"/>
      <c r="F825" s="564"/>
      <c r="G825" s="564"/>
      <c r="H825" s="564"/>
      <c r="I825" s="564"/>
      <c r="J825" s="564"/>
      <c r="K825" s="564"/>
      <c r="L825" s="564"/>
      <c r="M825" s="564"/>
      <c r="N825" s="564"/>
      <c r="O825" s="564"/>
      <c r="P825" s="564"/>
      <c r="Q825" s="564"/>
      <c r="R825" s="564"/>
      <c r="S825" s="564"/>
      <c r="T825" s="564"/>
      <c r="U825" s="564"/>
      <c r="V825" s="564"/>
      <c r="W825" s="564"/>
      <c r="X825" s="564"/>
      <c r="Y825" s="564"/>
      <c r="Z825" s="564"/>
      <c r="AA825" s="564"/>
      <c r="AB825" s="564"/>
      <c r="AC825" s="564"/>
      <c r="AD825" s="564"/>
      <c r="AE825" s="564"/>
      <c r="AF825" s="564"/>
      <c r="AG825" s="564"/>
      <c r="AH825" s="564"/>
      <c r="AI825" s="564"/>
      <c r="AJ825" s="564"/>
      <c r="AK825" s="564"/>
      <c r="AL825" s="564"/>
      <c r="AM825" s="564"/>
      <c r="AN825" s="564"/>
      <c r="AO825" s="564"/>
    </row>
    <row r="826" spans="2:41" x14ac:dyDescent="0.15">
      <c r="B826" s="565">
        <v>-28</v>
      </c>
      <c r="C826" s="564"/>
      <c r="D826" s="564"/>
      <c r="E826" s="564"/>
      <c r="F826" s="564"/>
      <c r="G826" s="564"/>
      <c r="H826" s="564"/>
      <c r="I826" s="564"/>
      <c r="J826" s="564"/>
      <c r="K826" s="564"/>
      <c r="L826" s="564"/>
      <c r="M826" s="564"/>
      <c r="N826" s="564"/>
      <c r="O826" s="564"/>
      <c r="P826" s="564"/>
      <c r="Q826" s="564"/>
      <c r="R826" s="564"/>
      <c r="S826" s="564"/>
      <c r="T826" s="564"/>
      <c r="U826" s="564"/>
      <c r="V826" s="564"/>
      <c r="W826" s="564"/>
      <c r="X826" s="564"/>
      <c r="Y826" s="564"/>
      <c r="Z826" s="564"/>
      <c r="AA826" s="564"/>
      <c r="AB826" s="564"/>
      <c r="AC826" s="564"/>
      <c r="AD826" s="564"/>
      <c r="AE826" s="564"/>
      <c r="AF826" s="564"/>
      <c r="AG826" s="564"/>
      <c r="AH826" s="564"/>
      <c r="AI826" s="564"/>
      <c r="AJ826" s="564"/>
      <c r="AK826" s="564"/>
      <c r="AL826" s="564"/>
      <c r="AM826" s="564"/>
      <c r="AN826" s="564"/>
      <c r="AO826" s="564"/>
    </row>
    <row r="827" spans="2:41" x14ac:dyDescent="0.15">
      <c r="B827" s="565">
        <v>-27</v>
      </c>
      <c r="C827" s="564"/>
      <c r="D827" s="564"/>
      <c r="E827" s="564"/>
      <c r="F827" s="564"/>
      <c r="G827" s="564"/>
      <c r="H827" s="564"/>
      <c r="I827" s="564"/>
      <c r="J827" s="564"/>
      <c r="K827" s="564"/>
      <c r="L827" s="564"/>
      <c r="M827" s="564"/>
      <c r="N827" s="564"/>
      <c r="O827" s="564"/>
      <c r="P827" s="564"/>
      <c r="Q827" s="564"/>
      <c r="R827" s="564"/>
      <c r="S827" s="564"/>
      <c r="T827" s="564"/>
      <c r="U827" s="564"/>
      <c r="V827" s="564"/>
      <c r="W827" s="564"/>
      <c r="X827" s="564"/>
      <c r="Y827" s="564"/>
      <c r="Z827" s="564"/>
      <c r="AA827" s="564"/>
      <c r="AB827" s="564"/>
      <c r="AC827" s="564"/>
      <c r="AD827" s="564"/>
      <c r="AE827" s="564"/>
      <c r="AF827" s="564"/>
      <c r="AG827" s="564"/>
      <c r="AH827" s="564"/>
      <c r="AI827" s="564"/>
      <c r="AJ827" s="564"/>
      <c r="AK827" s="564"/>
      <c r="AL827" s="564"/>
      <c r="AM827" s="564"/>
      <c r="AN827" s="564"/>
      <c r="AO827" s="564"/>
    </row>
    <row r="828" spans="2:41" x14ac:dyDescent="0.15">
      <c r="B828" s="565">
        <v>-26</v>
      </c>
      <c r="C828" s="564"/>
      <c r="D828" s="564"/>
      <c r="E828" s="564"/>
      <c r="F828" s="564"/>
      <c r="G828" s="564"/>
      <c r="H828" s="564"/>
      <c r="I828" s="564"/>
      <c r="J828" s="564"/>
      <c r="K828" s="564"/>
      <c r="L828" s="564"/>
      <c r="M828" s="564"/>
      <c r="N828" s="564"/>
      <c r="O828" s="564"/>
      <c r="P828" s="564"/>
      <c r="Q828" s="564"/>
      <c r="R828" s="564"/>
      <c r="S828" s="564"/>
      <c r="T828" s="564"/>
      <c r="U828" s="564"/>
      <c r="V828" s="564"/>
      <c r="W828" s="564"/>
      <c r="X828" s="564"/>
      <c r="Y828" s="564"/>
      <c r="Z828" s="564"/>
      <c r="AA828" s="564"/>
      <c r="AB828" s="564"/>
      <c r="AC828" s="564"/>
      <c r="AD828" s="564"/>
      <c r="AE828" s="564"/>
      <c r="AF828" s="564"/>
      <c r="AG828" s="564"/>
      <c r="AH828" s="564"/>
      <c r="AI828" s="564"/>
      <c r="AJ828" s="564"/>
      <c r="AK828" s="564"/>
      <c r="AL828" s="564"/>
      <c r="AM828" s="564"/>
      <c r="AN828" s="564"/>
      <c r="AO828" s="564"/>
    </row>
    <row r="829" spans="2:41" x14ac:dyDescent="0.15">
      <c r="B829" s="565">
        <v>-25</v>
      </c>
      <c r="C829" s="564"/>
      <c r="D829" s="564"/>
      <c r="E829" s="564"/>
      <c r="F829" s="564"/>
      <c r="G829" s="564"/>
      <c r="H829" s="564"/>
      <c r="I829" s="564"/>
      <c r="J829" s="564"/>
      <c r="K829" s="564"/>
      <c r="L829" s="564"/>
      <c r="M829" s="564"/>
      <c r="N829" s="564"/>
      <c r="O829" s="564"/>
      <c r="P829" s="564"/>
      <c r="Q829" s="564"/>
      <c r="R829" s="564"/>
      <c r="S829" s="564"/>
      <c r="T829" s="564"/>
      <c r="U829" s="564"/>
      <c r="V829" s="564"/>
      <c r="W829" s="564"/>
      <c r="X829" s="564"/>
      <c r="Y829" s="564"/>
      <c r="Z829" s="564"/>
      <c r="AA829" s="564"/>
      <c r="AB829" s="564"/>
      <c r="AC829" s="564"/>
      <c r="AD829" s="564"/>
      <c r="AE829" s="564"/>
      <c r="AF829" s="564"/>
      <c r="AG829" s="564"/>
      <c r="AH829" s="564"/>
      <c r="AI829" s="564"/>
      <c r="AJ829" s="564"/>
      <c r="AK829" s="564"/>
      <c r="AL829" s="564"/>
      <c r="AM829" s="564"/>
      <c r="AN829" s="564"/>
      <c r="AO829" s="564"/>
    </row>
    <row r="830" spans="2:41" x14ac:dyDescent="0.15">
      <c r="B830" s="565">
        <v>-24</v>
      </c>
      <c r="C830" s="564"/>
      <c r="D830" s="564"/>
      <c r="E830" s="564"/>
      <c r="F830" s="564"/>
      <c r="G830" s="564"/>
      <c r="H830" s="564"/>
      <c r="I830" s="564"/>
      <c r="J830" s="564"/>
      <c r="K830" s="564"/>
      <c r="L830" s="564"/>
      <c r="M830" s="564"/>
      <c r="N830" s="564"/>
      <c r="O830" s="564"/>
      <c r="P830" s="564"/>
      <c r="Q830" s="564"/>
      <c r="R830" s="564"/>
      <c r="S830" s="564"/>
      <c r="T830" s="564"/>
      <c r="U830" s="564"/>
      <c r="V830" s="564"/>
      <c r="W830" s="564"/>
      <c r="X830" s="564"/>
      <c r="Y830" s="564"/>
      <c r="Z830" s="564"/>
      <c r="AA830" s="564"/>
      <c r="AB830" s="564"/>
      <c r="AC830" s="564"/>
      <c r="AD830" s="564"/>
      <c r="AE830" s="564"/>
      <c r="AF830" s="564"/>
      <c r="AG830" s="564"/>
      <c r="AH830" s="564"/>
      <c r="AI830" s="564"/>
      <c r="AJ830" s="564"/>
      <c r="AK830" s="564"/>
      <c r="AL830" s="564"/>
      <c r="AM830" s="564"/>
      <c r="AN830" s="564"/>
      <c r="AO830" s="564"/>
    </row>
    <row r="831" spans="2:41" x14ac:dyDescent="0.15">
      <c r="B831" s="565">
        <v>-23</v>
      </c>
      <c r="C831" s="564"/>
      <c r="D831" s="564"/>
      <c r="E831" s="564"/>
      <c r="F831" s="564"/>
      <c r="G831" s="564"/>
      <c r="H831" s="564"/>
      <c r="I831" s="564"/>
      <c r="J831" s="564"/>
      <c r="K831" s="564"/>
      <c r="L831" s="564"/>
      <c r="M831" s="564"/>
      <c r="N831" s="564"/>
      <c r="O831" s="564"/>
      <c r="P831" s="564"/>
      <c r="Q831" s="564"/>
      <c r="R831" s="564"/>
      <c r="S831" s="564"/>
      <c r="T831" s="564"/>
      <c r="U831" s="564"/>
      <c r="V831" s="564"/>
      <c r="W831" s="564"/>
      <c r="X831" s="564"/>
      <c r="Y831" s="564"/>
      <c r="Z831" s="564"/>
      <c r="AA831" s="564"/>
      <c r="AB831" s="564"/>
      <c r="AC831" s="564"/>
      <c r="AD831" s="564"/>
      <c r="AE831" s="564"/>
      <c r="AF831" s="564"/>
      <c r="AG831" s="564"/>
      <c r="AH831" s="564"/>
      <c r="AI831" s="564"/>
      <c r="AJ831" s="564"/>
      <c r="AK831" s="564"/>
      <c r="AL831" s="564"/>
      <c r="AM831" s="564"/>
      <c r="AN831" s="564"/>
      <c r="AO831" s="564"/>
    </row>
    <row r="832" spans="2:41" x14ac:dyDescent="0.15">
      <c r="B832" s="565">
        <v>-22</v>
      </c>
      <c r="C832" s="564"/>
      <c r="D832" s="564"/>
      <c r="E832" s="564"/>
      <c r="F832" s="564"/>
      <c r="G832" s="564"/>
      <c r="H832" s="564"/>
      <c r="I832" s="564"/>
      <c r="J832" s="564"/>
      <c r="K832" s="564"/>
      <c r="L832" s="564"/>
      <c r="M832" s="564"/>
      <c r="N832" s="564"/>
      <c r="O832" s="564"/>
      <c r="P832" s="564"/>
      <c r="Q832" s="564"/>
      <c r="R832" s="564"/>
      <c r="S832" s="564"/>
      <c r="T832" s="564"/>
      <c r="U832" s="564"/>
      <c r="V832" s="564"/>
      <c r="W832" s="564"/>
      <c r="X832" s="564"/>
      <c r="Y832" s="564"/>
      <c r="Z832" s="564"/>
      <c r="AA832" s="564"/>
      <c r="AB832" s="564"/>
      <c r="AC832" s="564"/>
      <c r="AD832" s="564"/>
      <c r="AE832" s="564"/>
      <c r="AF832" s="564"/>
      <c r="AG832" s="564"/>
      <c r="AH832" s="564"/>
      <c r="AI832" s="564"/>
      <c r="AJ832" s="564"/>
      <c r="AK832" s="564"/>
      <c r="AL832" s="564"/>
      <c r="AM832" s="564"/>
      <c r="AN832" s="564"/>
      <c r="AO832" s="564"/>
    </row>
    <row r="833" spans="2:41" x14ac:dyDescent="0.15">
      <c r="B833" s="565">
        <v>-21</v>
      </c>
      <c r="C833" s="564"/>
      <c r="D833" s="564"/>
      <c r="E833" s="564"/>
      <c r="F833" s="564"/>
      <c r="G833" s="564"/>
      <c r="H833" s="564"/>
      <c r="I833" s="564"/>
      <c r="J833" s="564"/>
      <c r="K833" s="564"/>
      <c r="L833" s="564"/>
      <c r="M833" s="564"/>
      <c r="N833" s="564"/>
      <c r="O833" s="564"/>
      <c r="P833" s="564"/>
      <c r="Q833" s="564"/>
      <c r="R833" s="564"/>
      <c r="S833" s="564"/>
      <c r="T833" s="564"/>
      <c r="U833" s="564"/>
      <c r="V833" s="564"/>
      <c r="W833" s="564"/>
      <c r="X833" s="564"/>
      <c r="Y833" s="564"/>
      <c r="Z833" s="564"/>
      <c r="AA833" s="564"/>
      <c r="AB833" s="564"/>
      <c r="AC833" s="564"/>
      <c r="AD833" s="564"/>
      <c r="AE833" s="564"/>
      <c r="AF833" s="564"/>
      <c r="AG833" s="564"/>
      <c r="AH833" s="564"/>
      <c r="AI833" s="564"/>
      <c r="AJ833" s="564"/>
      <c r="AK833" s="564"/>
      <c r="AL833" s="564"/>
      <c r="AM833" s="564"/>
      <c r="AN833" s="564"/>
      <c r="AO833" s="564"/>
    </row>
    <row r="834" spans="2:41" x14ac:dyDescent="0.15">
      <c r="B834" s="565">
        <v>-20</v>
      </c>
      <c r="C834" s="564"/>
      <c r="D834" s="564"/>
      <c r="E834" s="564"/>
      <c r="F834" s="564"/>
      <c r="G834" s="564"/>
      <c r="H834" s="564"/>
      <c r="I834" s="564"/>
      <c r="J834" s="564"/>
      <c r="K834" s="564"/>
      <c r="L834" s="564"/>
      <c r="M834" s="564"/>
      <c r="N834" s="564"/>
      <c r="O834" s="564"/>
      <c r="P834" s="564"/>
      <c r="Q834" s="564"/>
      <c r="R834" s="564"/>
      <c r="S834" s="564"/>
      <c r="T834" s="564"/>
      <c r="U834" s="564"/>
      <c r="V834" s="564"/>
      <c r="W834" s="564"/>
      <c r="X834" s="564"/>
      <c r="Y834" s="564"/>
      <c r="Z834" s="564"/>
      <c r="AA834" s="564"/>
      <c r="AB834" s="564"/>
      <c r="AC834" s="564"/>
      <c r="AD834" s="564"/>
      <c r="AE834" s="564"/>
      <c r="AF834" s="564"/>
      <c r="AG834" s="564"/>
      <c r="AH834" s="564"/>
      <c r="AI834" s="564"/>
      <c r="AJ834" s="564"/>
      <c r="AK834" s="564"/>
      <c r="AL834" s="564"/>
      <c r="AM834" s="564"/>
      <c r="AN834" s="564"/>
      <c r="AO834" s="564"/>
    </row>
    <row r="835" spans="2:41" x14ac:dyDescent="0.15">
      <c r="B835" s="565">
        <v>-19</v>
      </c>
      <c r="C835" s="564"/>
      <c r="D835" s="564"/>
      <c r="E835" s="564"/>
      <c r="F835" s="564"/>
      <c r="G835" s="564"/>
      <c r="H835" s="564"/>
      <c r="I835" s="564"/>
      <c r="J835" s="564"/>
      <c r="K835" s="564"/>
      <c r="L835" s="564"/>
      <c r="M835" s="564"/>
      <c r="N835" s="564"/>
      <c r="O835" s="564"/>
      <c r="P835" s="564"/>
      <c r="Q835" s="564"/>
      <c r="R835" s="564"/>
      <c r="S835" s="564"/>
      <c r="T835" s="564"/>
      <c r="U835" s="564"/>
      <c r="V835" s="564"/>
      <c r="W835" s="564"/>
      <c r="X835" s="564"/>
      <c r="Y835" s="564"/>
      <c r="Z835" s="564"/>
      <c r="AA835" s="564"/>
      <c r="AB835" s="564"/>
      <c r="AC835" s="564"/>
      <c r="AD835" s="564"/>
      <c r="AE835" s="564"/>
      <c r="AF835" s="564"/>
      <c r="AG835" s="564"/>
      <c r="AH835" s="564"/>
      <c r="AI835" s="564"/>
      <c r="AJ835" s="564"/>
      <c r="AK835" s="564"/>
      <c r="AL835" s="564"/>
      <c r="AM835" s="564"/>
      <c r="AN835" s="564"/>
      <c r="AO835" s="564"/>
    </row>
    <row r="836" spans="2:41" x14ac:dyDescent="0.15">
      <c r="B836" s="565">
        <v>-18</v>
      </c>
      <c r="C836" s="564"/>
      <c r="D836" s="564"/>
      <c r="E836" s="564"/>
      <c r="F836" s="564"/>
      <c r="G836" s="564"/>
      <c r="H836" s="564"/>
      <c r="I836" s="564"/>
      <c r="J836" s="564"/>
      <c r="K836" s="564"/>
      <c r="L836" s="564"/>
      <c r="M836" s="564"/>
      <c r="N836" s="564"/>
      <c r="O836" s="564"/>
      <c r="P836" s="564"/>
      <c r="Q836" s="564"/>
      <c r="R836" s="564"/>
      <c r="S836" s="564"/>
      <c r="T836" s="564"/>
      <c r="U836" s="564"/>
      <c r="V836" s="564"/>
      <c r="W836" s="564"/>
      <c r="X836" s="564"/>
      <c r="Y836" s="564"/>
      <c r="Z836" s="564"/>
      <c r="AA836" s="564"/>
      <c r="AB836" s="564"/>
      <c r="AC836" s="564"/>
      <c r="AD836" s="564"/>
      <c r="AE836" s="564"/>
      <c r="AF836" s="564"/>
      <c r="AG836" s="564"/>
      <c r="AH836" s="564"/>
      <c r="AI836" s="564"/>
      <c r="AJ836" s="564"/>
      <c r="AK836" s="564"/>
      <c r="AL836" s="564"/>
      <c r="AM836" s="564"/>
      <c r="AN836" s="564"/>
      <c r="AO836" s="564"/>
    </row>
    <row r="837" spans="2:41" x14ac:dyDescent="0.15">
      <c r="B837" s="565">
        <v>-17</v>
      </c>
      <c r="C837" s="564"/>
      <c r="D837" s="564"/>
      <c r="E837" s="564"/>
      <c r="F837" s="564"/>
      <c r="G837" s="564"/>
      <c r="H837" s="564"/>
      <c r="I837" s="564"/>
      <c r="J837" s="564"/>
      <c r="K837" s="564"/>
      <c r="L837" s="564"/>
      <c r="M837" s="564"/>
      <c r="N837" s="564"/>
      <c r="O837" s="564"/>
      <c r="P837" s="564"/>
      <c r="Q837" s="564"/>
      <c r="R837" s="564"/>
      <c r="S837" s="564"/>
      <c r="T837" s="564"/>
      <c r="U837" s="564"/>
      <c r="V837" s="564"/>
      <c r="W837" s="564"/>
      <c r="X837" s="564"/>
      <c r="Y837" s="564"/>
      <c r="Z837" s="564"/>
      <c r="AA837" s="564"/>
      <c r="AB837" s="564"/>
      <c r="AC837" s="564"/>
      <c r="AD837" s="564"/>
      <c r="AE837" s="564"/>
      <c r="AF837" s="564"/>
      <c r="AG837" s="564"/>
      <c r="AH837" s="564"/>
      <c r="AI837" s="564"/>
      <c r="AJ837" s="564"/>
      <c r="AK837" s="564"/>
      <c r="AL837" s="564"/>
      <c r="AM837" s="564"/>
      <c r="AN837" s="564"/>
      <c r="AO837" s="564"/>
    </row>
    <row r="838" spans="2:41" x14ac:dyDescent="0.15">
      <c r="B838" s="565">
        <v>-16</v>
      </c>
      <c r="C838" s="564"/>
      <c r="D838" s="564"/>
      <c r="E838" s="564"/>
      <c r="F838" s="564"/>
      <c r="G838" s="564"/>
      <c r="H838" s="564"/>
      <c r="I838" s="564"/>
      <c r="J838" s="564"/>
      <c r="K838" s="564"/>
      <c r="L838" s="564"/>
      <c r="M838" s="564"/>
      <c r="N838" s="564"/>
      <c r="O838" s="564"/>
      <c r="P838" s="564"/>
      <c r="Q838" s="564"/>
      <c r="R838" s="564"/>
      <c r="S838" s="564"/>
      <c r="T838" s="564"/>
      <c r="U838" s="564"/>
      <c r="V838" s="564"/>
      <c r="W838" s="564"/>
      <c r="X838" s="564"/>
      <c r="Y838" s="564"/>
      <c r="Z838" s="564"/>
      <c r="AA838" s="564"/>
      <c r="AB838" s="564"/>
      <c r="AC838" s="564"/>
      <c r="AD838" s="564"/>
      <c r="AE838" s="564"/>
      <c r="AF838" s="564"/>
      <c r="AG838" s="564"/>
      <c r="AH838" s="564"/>
      <c r="AI838" s="564"/>
      <c r="AJ838" s="564"/>
      <c r="AK838" s="564"/>
      <c r="AL838" s="564"/>
      <c r="AM838" s="564"/>
      <c r="AN838" s="564"/>
      <c r="AO838" s="564"/>
    </row>
    <row r="839" spans="2:41" x14ac:dyDescent="0.15">
      <c r="B839" s="565">
        <v>-15</v>
      </c>
      <c r="C839" s="564"/>
      <c r="D839" s="564"/>
      <c r="E839" s="564"/>
      <c r="F839" s="564"/>
      <c r="G839" s="564"/>
      <c r="H839" s="564"/>
      <c r="I839" s="564"/>
      <c r="J839" s="564"/>
      <c r="K839" s="564"/>
      <c r="L839" s="564"/>
      <c r="M839" s="564"/>
      <c r="N839" s="564"/>
      <c r="O839" s="564"/>
      <c r="P839" s="564"/>
      <c r="Q839" s="564"/>
      <c r="R839" s="564"/>
      <c r="S839" s="564"/>
      <c r="T839" s="564"/>
      <c r="U839" s="564"/>
      <c r="V839" s="564"/>
      <c r="W839" s="564"/>
      <c r="X839" s="564"/>
      <c r="Y839" s="564"/>
      <c r="Z839" s="564"/>
      <c r="AA839" s="564"/>
      <c r="AB839" s="564"/>
      <c r="AC839" s="564"/>
      <c r="AD839" s="564"/>
      <c r="AE839" s="564"/>
      <c r="AF839" s="564"/>
      <c r="AG839" s="564"/>
      <c r="AH839" s="564"/>
      <c r="AI839" s="564"/>
      <c r="AJ839" s="564"/>
      <c r="AK839" s="564"/>
      <c r="AL839" s="564"/>
      <c r="AM839" s="564"/>
      <c r="AN839" s="564"/>
      <c r="AO839" s="564"/>
    </row>
    <row r="840" spans="2:41" x14ac:dyDescent="0.15">
      <c r="B840" s="565">
        <v>-14</v>
      </c>
      <c r="C840" s="564"/>
      <c r="D840" s="564"/>
      <c r="E840" s="564"/>
      <c r="F840" s="564"/>
      <c r="G840" s="564"/>
      <c r="H840" s="564"/>
      <c r="I840" s="564"/>
      <c r="J840" s="564"/>
      <c r="K840" s="564"/>
      <c r="L840" s="564"/>
      <c r="M840" s="564"/>
      <c r="N840" s="564"/>
      <c r="O840" s="564"/>
      <c r="P840" s="564"/>
      <c r="Q840" s="564"/>
      <c r="R840" s="564"/>
      <c r="S840" s="564"/>
      <c r="T840" s="564"/>
      <c r="U840" s="564"/>
      <c r="V840" s="564"/>
      <c r="W840" s="564"/>
      <c r="X840" s="564"/>
      <c r="Y840" s="564"/>
      <c r="Z840" s="564"/>
      <c r="AA840" s="564"/>
      <c r="AB840" s="564"/>
      <c r="AC840" s="564"/>
      <c r="AD840" s="564"/>
      <c r="AE840" s="564"/>
      <c r="AF840" s="564"/>
      <c r="AG840" s="564"/>
      <c r="AH840" s="564"/>
      <c r="AI840" s="564"/>
      <c r="AJ840" s="564"/>
      <c r="AK840" s="564"/>
      <c r="AL840" s="564"/>
      <c r="AM840" s="564"/>
      <c r="AN840" s="564"/>
      <c r="AO840" s="564"/>
    </row>
    <row r="841" spans="2:41" x14ac:dyDescent="0.15">
      <c r="B841" s="565">
        <v>-13</v>
      </c>
      <c r="C841" s="564"/>
      <c r="D841" s="564"/>
      <c r="E841" s="564"/>
      <c r="F841" s="564"/>
      <c r="G841" s="564"/>
      <c r="H841" s="564"/>
      <c r="I841" s="564"/>
      <c r="J841" s="564"/>
      <c r="K841" s="564"/>
      <c r="L841" s="564"/>
      <c r="M841" s="564"/>
      <c r="N841" s="564"/>
      <c r="O841" s="564"/>
      <c r="P841" s="564"/>
      <c r="Q841" s="564"/>
      <c r="R841" s="564"/>
      <c r="S841" s="564"/>
      <c r="T841" s="564"/>
      <c r="U841" s="564"/>
      <c r="V841" s="564"/>
      <c r="W841" s="564"/>
      <c r="X841" s="564"/>
      <c r="Y841" s="564"/>
      <c r="Z841" s="564"/>
      <c r="AA841" s="564"/>
      <c r="AB841" s="564"/>
      <c r="AC841" s="564"/>
      <c r="AD841" s="564"/>
      <c r="AE841" s="564"/>
      <c r="AF841" s="564"/>
      <c r="AG841" s="564"/>
      <c r="AH841" s="564"/>
      <c r="AI841" s="564"/>
      <c r="AJ841" s="564"/>
      <c r="AK841" s="564"/>
      <c r="AL841" s="564"/>
      <c r="AM841" s="564"/>
      <c r="AN841" s="564"/>
      <c r="AO841" s="564"/>
    </row>
    <row r="842" spans="2:41" x14ac:dyDescent="0.15">
      <c r="B842" s="565">
        <v>-12</v>
      </c>
      <c r="C842" s="564"/>
      <c r="D842" s="564"/>
      <c r="E842" s="564"/>
      <c r="F842" s="564"/>
      <c r="G842" s="564"/>
      <c r="H842" s="564"/>
      <c r="I842" s="564"/>
      <c r="J842" s="564"/>
      <c r="K842" s="564"/>
      <c r="L842" s="564"/>
      <c r="M842" s="564"/>
      <c r="N842" s="564"/>
      <c r="O842" s="564"/>
      <c r="P842" s="564"/>
      <c r="Q842" s="564"/>
      <c r="R842" s="564"/>
      <c r="S842" s="564"/>
      <c r="T842" s="564"/>
      <c r="U842" s="564"/>
      <c r="V842" s="564"/>
      <c r="W842" s="564"/>
      <c r="X842" s="564"/>
      <c r="Y842" s="564"/>
      <c r="Z842" s="564"/>
      <c r="AA842" s="564"/>
      <c r="AB842" s="564"/>
      <c r="AC842" s="564"/>
      <c r="AD842" s="564"/>
      <c r="AE842" s="564"/>
      <c r="AF842" s="564"/>
      <c r="AG842" s="564"/>
      <c r="AH842" s="564"/>
      <c r="AI842" s="564"/>
      <c r="AJ842" s="564"/>
      <c r="AK842" s="564"/>
      <c r="AL842" s="564"/>
      <c r="AM842" s="564"/>
      <c r="AN842" s="564"/>
      <c r="AO842" s="564"/>
    </row>
    <row r="843" spans="2:41" x14ac:dyDescent="0.15">
      <c r="B843" s="565">
        <v>-11</v>
      </c>
      <c r="C843" s="564"/>
      <c r="D843" s="564"/>
      <c r="E843" s="564"/>
      <c r="F843" s="564"/>
      <c r="G843" s="564"/>
      <c r="H843" s="564"/>
      <c r="I843" s="564"/>
      <c r="J843" s="564"/>
      <c r="K843" s="564"/>
      <c r="L843" s="564"/>
      <c r="M843" s="564"/>
      <c r="N843" s="564"/>
      <c r="O843" s="564"/>
      <c r="P843" s="564"/>
      <c r="Q843" s="564"/>
      <c r="R843" s="564"/>
      <c r="S843" s="564"/>
      <c r="T843" s="564"/>
      <c r="U843" s="564"/>
      <c r="V843" s="564"/>
      <c r="W843" s="564"/>
      <c r="X843" s="564"/>
      <c r="Y843" s="564"/>
      <c r="Z843" s="564"/>
      <c r="AA843" s="564"/>
      <c r="AB843" s="564"/>
      <c r="AC843" s="564"/>
      <c r="AD843" s="564"/>
      <c r="AE843" s="564"/>
      <c r="AF843" s="564"/>
      <c r="AG843" s="564"/>
      <c r="AH843" s="564"/>
      <c r="AI843" s="564"/>
      <c r="AJ843" s="564"/>
      <c r="AK843" s="564"/>
      <c r="AL843" s="564"/>
      <c r="AM843" s="564"/>
      <c r="AN843" s="564"/>
      <c r="AO843" s="564"/>
    </row>
    <row r="844" spans="2:41" x14ac:dyDescent="0.15">
      <c r="B844" s="565">
        <v>-10</v>
      </c>
      <c r="C844" s="564"/>
      <c r="D844" s="564"/>
      <c r="E844" s="564"/>
      <c r="F844" s="564"/>
      <c r="G844" s="564"/>
      <c r="H844" s="564"/>
      <c r="I844" s="564"/>
      <c r="J844" s="564"/>
      <c r="K844" s="564"/>
      <c r="L844" s="564"/>
      <c r="M844" s="564"/>
      <c r="N844" s="564"/>
      <c r="O844" s="564"/>
      <c r="P844" s="564"/>
      <c r="Q844" s="564"/>
      <c r="R844" s="564"/>
      <c r="S844" s="564"/>
      <c r="T844" s="564"/>
      <c r="U844" s="564"/>
      <c r="V844" s="564"/>
      <c r="W844" s="564"/>
      <c r="X844" s="564"/>
      <c r="Y844" s="564"/>
      <c r="Z844" s="564"/>
      <c r="AA844" s="564"/>
      <c r="AB844" s="564"/>
      <c r="AC844" s="564"/>
      <c r="AD844" s="564"/>
      <c r="AE844" s="564"/>
      <c r="AF844" s="564"/>
      <c r="AG844" s="564"/>
      <c r="AH844" s="564"/>
      <c r="AI844" s="564"/>
      <c r="AJ844" s="564"/>
      <c r="AK844" s="564"/>
      <c r="AL844" s="564"/>
      <c r="AM844" s="564"/>
      <c r="AN844" s="564"/>
      <c r="AO844" s="564"/>
    </row>
    <row r="845" spans="2:41" x14ac:dyDescent="0.15">
      <c r="B845" s="565">
        <v>-9</v>
      </c>
      <c r="C845" s="564"/>
      <c r="D845" s="564"/>
      <c r="E845" s="564"/>
      <c r="F845" s="564"/>
      <c r="G845" s="564"/>
      <c r="H845" s="564"/>
      <c r="I845" s="564"/>
      <c r="J845" s="564"/>
      <c r="K845" s="564"/>
      <c r="L845" s="564"/>
      <c r="M845" s="564"/>
      <c r="N845" s="564"/>
      <c r="O845" s="564"/>
      <c r="P845" s="564"/>
      <c r="Q845" s="564"/>
      <c r="R845" s="564"/>
      <c r="S845" s="564"/>
      <c r="T845" s="564"/>
      <c r="U845" s="564"/>
      <c r="V845" s="564"/>
      <c r="W845" s="564"/>
      <c r="X845" s="564"/>
      <c r="Y845" s="564"/>
      <c r="Z845" s="564"/>
      <c r="AA845" s="564"/>
      <c r="AB845" s="564"/>
      <c r="AC845" s="564"/>
      <c r="AD845" s="564"/>
      <c r="AE845" s="564"/>
      <c r="AF845" s="564"/>
      <c r="AG845" s="564"/>
      <c r="AH845" s="564"/>
      <c r="AI845" s="564"/>
      <c r="AJ845" s="564"/>
      <c r="AK845" s="564"/>
      <c r="AL845" s="564"/>
      <c r="AM845" s="564"/>
      <c r="AN845" s="564"/>
      <c r="AO845" s="564"/>
    </row>
    <row r="846" spans="2:41" x14ac:dyDescent="0.15">
      <c r="B846" s="565">
        <v>-8</v>
      </c>
      <c r="C846" s="564"/>
      <c r="D846" s="564"/>
      <c r="E846" s="564"/>
      <c r="F846" s="564"/>
      <c r="G846" s="564"/>
      <c r="H846" s="564"/>
      <c r="I846" s="564"/>
      <c r="J846" s="564"/>
      <c r="K846" s="564"/>
      <c r="L846" s="564"/>
      <c r="M846" s="564"/>
      <c r="N846" s="564"/>
      <c r="O846" s="564"/>
      <c r="P846" s="564"/>
      <c r="Q846" s="564"/>
      <c r="R846" s="564"/>
      <c r="S846" s="564"/>
      <c r="T846" s="564"/>
      <c r="U846" s="564"/>
      <c r="V846" s="564"/>
      <c r="W846" s="564"/>
      <c r="X846" s="564"/>
      <c r="Y846" s="564"/>
      <c r="Z846" s="564"/>
      <c r="AA846" s="564"/>
      <c r="AB846" s="564"/>
      <c r="AC846" s="564"/>
      <c r="AD846" s="564"/>
      <c r="AE846" s="564"/>
      <c r="AF846" s="564"/>
      <c r="AG846" s="564"/>
      <c r="AH846" s="564"/>
      <c r="AI846" s="564"/>
      <c r="AJ846" s="564"/>
      <c r="AK846" s="564"/>
      <c r="AL846" s="564"/>
      <c r="AM846" s="564"/>
      <c r="AN846" s="564"/>
      <c r="AO846" s="564"/>
    </row>
    <row r="847" spans="2:41" x14ac:dyDescent="0.15">
      <c r="B847" s="565">
        <v>-7</v>
      </c>
      <c r="C847" s="564"/>
      <c r="D847" s="564"/>
      <c r="E847" s="564"/>
      <c r="F847" s="564"/>
      <c r="G847" s="564"/>
      <c r="H847" s="564"/>
      <c r="I847" s="564"/>
      <c r="J847" s="564"/>
      <c r="K847" s="564"/>
      <c r="L847" s="564"/>
      <c r="M847" s="564"/>
      <c r="N847" s="564"/>
      <c r="O847" s="564"/>
      <c r="P847" s="564"/>
      <c r="Q847" s="564"/>
      <c r="R847" s="564"/>
      <c r="S847" s="564"/>
      <c r="T847" s="564"/>
      <c r="U847" s="564"/>
      <c r="V847" s="564"/>
      <c r="W847" s="564"/>
      <c r="X847" s="564"/>
      <c r="Y847" s="564"/>
      <c r="Z847" s="564"/>
      <c r="AA847" s="564"/>
      <c r="AB847" s="564"/>
      <c r="AC847" s="564"/>
      <c r="AD847" s="564"/>
      <c r="AE847" s="564"/>
      <c r="AF847" s="564"/>
      <c r="AG847" s="564"/>
      <c r="AH847" s="564"/>
      <c r="AI847" s="564"/>
      <c r="AJ847" s="564"/>
      <c r="AK847" s="564"/>
      <c r="AL847" s="564"/>
      <c r="AM847" s="564"/>
      <c r="AN847" s="564"/>
      <c r="AO847" s="564"/>
    </row>
    <row r="848" spans="2:41" x14ac:dyDescent="0.15">
      <c r="B848" s="565">
        <v>-6</v>
      </c>
      <c r="C848" s="564"/>
      <c r="D848" s="564"/>
      <c r="E848" s="564"/>
      <c r="F848" s="564"/>
      <c r="G848" s="564"/>
      <c r="H848" s="564"/>
      <c r="I848" s="564"/>
      <c r="J848" s="564"/>
      <c r="K848" s="564"/>
      <c r="L848" s="564"/>
      <c r="M848" s="564"/>
      <c r="N848" s="564"/>
      <c r="O848" s="564"/>
      <c r="P848" s="564"/>
      <c r="Q848" s="564"/>
      <c r="R848" s="564"/>
      <c r="S848" s="564"/>
      <c r="T848" s="564"/>
      <c r="U848" s="564"/>
      <c r="V848" s="564"/>
      <c r="W848" s="564"/>
      <c r="X848" s="564"/>
      <c r="Y848" s="564"/>
      <c r="Z848" s="564"/>
      <c r="AA848" s="564"/>
      <c r="AB848" s="564"/>
      <c r="AC848" s="564"/>
      <c r="AD848" s="564"/>
      <c r="AE848" s="564"/>
      <c r="AF848" s="564"/>
      <c r="AG848" s="564"/>
      <c r="AH848" s="564"/>
      <c r="AI848" s="564"/>
      <c r="AJ848" s="564"/>
      <c r="AK848" s="564"/>
      <c r="AL848" s="564"/>
      <c r="AM848" s="564"/>
      <c r="AN848" s="564"/>
      <c r="AO848" s="564"/>
    </row>
    <row r="849" spans="2:41" x14ac:dyDescent="0.15">
      <c r="B849" s="565">
        <v>-5</v>
      </c>
      <c r="C849" s="564"/>
      <c r="D849" s="564"/>
      <c r="E849" s="564"/>
      <c r="F849" s="564"/>
      <c r="G849" s="564"/>
      <c r="H849" s="564"/>
      <c r="I849" s="564"/>
      <c r="J849" s="564"/>
      <c r="K849" s="564"/>
      <c r="L849" s="564"/>
      <c r="M849" s="564"/>
      <c r="N849" s="564"/>
      <c r="O849" s="564"/>
      <c r="P849" s="564"/>
      <c r="Q849" s="564"/>
      <c r="R849" s="564"/>
      <c r="S849" s="564"/>
      <c r="T849" s="564"/>
      <c r="U849" s="564"/>
      <c r="V849" s="564"/>
      <c r="W849" s="564"/>
      <c r="X849" s="564"/>
      <c r="Y849" s="564"/>
      <c r="Z849" s="564"/>
      <c r="AA849" s="564"/>
      <c r="AB849" s="564"/>
      <c r="AC849" s="564"/>
      <c r="AD849" s="564"/>
      <c r="AE849" s="564"/>
      <c r="AF849" s="564"/>
      <c r="AG849" s="564"/>
      <c r="AH849" s="564"/>
      <c r="AI849" s="564"/>
      <c r="AJ849" s="564"/>
      <c r="AK849" s="564"/>
      <c r="AL849" s="564"/>
      <c r="AM849" s="564"/>
      <c r="AN849" s="564"/>
      <c r="AO849" s="564"/>
    </row>
    <row r="850" spans="2:41" x14ac:dyDescent="0.15">
      <c r="B850" s="565">
        <v>-4</v>
      </c>
      <c r="C850" s="564"/>
      <c r="D850" s="564"/>
      <c r="E850" s="564"/>
      <c r="F850" s="564"/>
      <c r="G850" s="564"/>
      <c r="H850" s="564"/>
      <c r="I850" s="564"/>
      <c r="J850" s="564"/>
      <c r="K850" s="564"/>
      <c r="L850" s="564"/>
      <c r="M850" s="564"/>
      <c r="N850" s="564"/>
      <c r="O850" s="564"/>
      <c r="P850" s="564"/>
      <c r="Q850" s="564"/>
      <c r="R850" s="564"/>
      <c r="S850" s="564"/>
      <c r="T850" s="564"/>
      <c r="U850" s="564"/>
      <c r="V850" s="564"/>
      <c r="W850" s="564"/>
      <c r="X850" s="564"/>
      <c r="Y850" s="564"/>
      <c r="Z850" s="564"/>
      <c r="AA850" s="564"/>
      <c r="AB850" s="564"/>
      <c r="AC850" s="564"/>
      <c r="AD850" s="564"/>
      <c r="AE850" s="564"/>
      <c r="AF850" s="564"/>
      <c r="AG850" s="564"/>
      <c r="AH850" s="564"/>
      <c r="AI850" s="564"/>
      <c r="AJ850" s="564"/>
      <c r="AK850" s="564"/>
      <c r="AL850" s="564"/>
      <c r="AM850" s="564"/>
      <c r="AN850" s="564"/>
      <c r="AO850" s="564"/>
    </row>
    <row r="851" spans="2:41" x14ac:dyDescent="0.15">
      <c r="B851" s="565">
        <v>-3</v>
      </c>
      <c r="C851" s="564"/>
      <c r="D851" s="564"/>
      <c r="E851" s="564"/>
      <c r="F851" s="564"/>
      <c r="G851" s="564"/>
      <c r="H851" s="564"/>
      <c r="I851" s="564"/>
      <c r="J851" s="564"/>
      <c r="K851" s="564"/>
      <c r="L851" s="564"/>
      <c r="M851" s="564"/>
      <c r="N851" s="564"/>
      <c r="O851" s="564"/>
      <c r="P851" s="564"/>
      <c r="Q851" s="564"/>
      <c r="R851" s="564"/>
      <c r="S851" s="564"/>
      <c r="T851" s="564"/>
      <c r="U851" s="564"/>
      <c r="V851" s="564"/>
      <c r="W851" s="564"/>
      <c r="X851" s="564"/>
      <c r="Y851" s="564"/>
      <c r="Z851" s="564"/>
      <c r="AA851" s="564"/>
      <c r="AB851" s="564"/>
      <c r="AC851" s="564"/>
      <c r="AD851" s="564"/>
      <c r="AE851" s="564"/>
      <c r="AF851" s="564"/>
      <c r="AG851" s="564"/>
      <c r="AH851" s="564"/>
      <c r="AI851" s="564"/>
      <c r="AJ851" s="564"/>
      <c r="AK851" s="564"/>
      <c r="AL851" s="564"/>
      <c r="AM851" s="564"/>
      <c r="AN851" s="564"/>
      <c r="AO851" s="564"/>
    </row>
    <row r="852" spans="2:41" x14ac:dyDescent="0.15">
      <c r="B852" s="565">
        <v>-2</v>
      </c>
      <c r="C852" s="564"/>
      <c r="D852" s="564"/>
      <c r="E852" s="564"/>
      <c r="F852" s="564"/>
      <c r="G852" s="564"/>
      <c r="H852" s="564"/>
      <c r="I852" s="564"/>
      <c r="J852" s="564"/>
      <c r="K852" s="564"/>
      <c r="L852" s="564"/>
      <c r="M852" s="564"/>
      <c r="N852" s="564"/>
      <c r="O852" s="564"/>
      <c r="P852" s="564"/>
      <c r="Q852" s="564"/>
      <c r="R852" s="564"/>
      <c r="S852" s="564"/>
      <c r="T852" s="564"/>
      <c r="U852" s="564"/>
      <c r="V852" s="564"/>
      <c r="W852" s="564"/>
      <c r="X852" s="564"/>
      <c r="Y852" s="564"/>
      <c r="Z852" s="564"/>
      <c r="AA852" s="564"/>
      <c r="AB852" s="564"/>
      <c r="AC852" s="564"/>
      <c r="AD852" s="564"/>
      <c r="AE852" s="564"/>
      <c r="AF852" s="564"/>
      <c r="AG852" s="564"/>
      <c r="AH852" s="564"/>
      <c r="AI852" s="564"/>
      <c r="AJ852" s="564"/>
      <c r="AK852" s="564"/>
      <c r="AL852" s="564"/>
      <c r="AM852" s="564"/>
      <c r="AN852" s="564"/>
      <c r="AO852" s="564"/>
    </row>
    <row r="853" spans="2:41" x14ac:dyDescent="0.15">
      <c r="B853" s="565">
        <v>-1</v>
      </c>
      <c r="C853" s="564"/>
      <c r="D853" s="564"/>
      <c r="E853" s="564"/>
      <c r="F853" s="564"/>
      <c r="G853" s="564"/>
      <c r="H853" s="564"/>
      <c r="I853" s="564"/>
      <c r="J853" s="564"/>
      <c r="K853" s="564"/>
      <c r="L853" s="564"/>
      <c r="M853" s="564"/>
      <c r="N853" s="564"/>
      <c r="O853" s="564"/>
      <c r="P853" s="564"/>
      <c r="Q853" s="564"/>
      <c r="R853" s="564"/>
      <c r="S853" s="564"/>
      <c r="T853" s="564"/>
      <c r="U853" s="564"/>
      <c r="V853" s="564"/>
      <c r="W853" s="564"/>
      <c r="X853" s="564"/>
      <c r="Y853" s="564"/>
      <c r="Z853" s="564"/>
      <c r="AA853" s="564"/>
      <c r="AB853" s="564"/>
      <c r="AC853" s="564"/>
      <c r="AD853" s="564"/>
      <c r="AE853" s="564"/>
      <c r="AF853" s="564"/>
      <c r="AG853" s="564"/>
      <c r="AH853" s="564"/>
      <c r="AI853" s="564"/>
      <c r="AJ853" s="564"/>
      <c r="AK853" s="564"/>
      <c r="AL853" s="564"/>
      <c r="AM853" s="564"/>
      <c r="AN853" s="564"/>
      <c r="AO853" s="564"/>
    </row>
    <row r="854" spans="2:41" x14ac:dyDescent="0.15">
      <c r="B854" s="565">
        <v>0</v>
      </c>
      <c r="C854" s="564"/>
      <c r="D854" s="564"/>
      <c r="E854" s="564"/>
      <c r="F854" s="564"/>
      <c r="G854" s="564"/>
      <c r="H854" s="564"/>
      <c r="I854" s="564"/>
      <c r="J854" s="564"/>
      <c r="K854" s="564"/>
      <c r="L854" s="564"/>
      <c r="M854" s="564"/>
      <c r="N854" s="564"/>
      <c r="O854" s="564"/>
      <c r="P854" s="564"/>
      <c r="Q854" s="564"/>
      <c r="R854" s="564"/>
      <c r="S854" s="564"/>
      <c r="T854" s="564"/>
      <c r="U854" s="564"/>
      <c r="V854" s="564"/>
      <c r="W854" s="564"/>
      <c r="X854" s="564"/>
      <c r="Y854" s="564"/>
      <c r="Z854" s="564"/>
      <c r="AA854" s="564"/>
      <c r="AB854" s="564"/>
      <c r="AC854" s="564"/>
      <c r="AD854" s="564"/>
      <c r="AE854" s="564"/>
      <c r="AF854" s="564"/>
      <c r="AG854" s="564"/>
      <c r="AH854" s="564"/>
      <c r="AI854" s="564"/>
      <c r="AJ854" s="564"/>
      <c r="AK854" s="564"/>
      <c r="AL854" s="564"/>
      <c r="AM854" s="564"/>
      <c r="AN854" s="564"/>
      <c r="AO854" s="564"/>
    </row>
    <row r="855" spans="2:41" x14ac:dyDescent="0.15">
      <c r="B855" s="565">
        <v>1</v>
      </c>
      <c r="C855" s="564"/>
      <c r="D855" s="564"/>
      <c r="E855" s="564"/>
      <c r="F855" s="564"/>
      <c r="G855" s="564"/>
      <c r="H855" s="564"/>
      <c r="I855" s="564"/>
      <c r="J855" s="564"/>
      <c r="K855" s="564"/>
      <c r="L855" s="564"/>
      <c r="M855" s="564"/>
      <c r="N855" s="564"/>
      <c r="O855" s="564"/>
      <c r="P855" s="564"/>
      <c r="Q855" s="564"/>
      <c r="R855" s="564"/>
      <c r="S855" s="564"/>
      <c r="T855" s="564"/>
      <c r="U855" s="564"/>
      <c r="V855" s="564"/>
      <c r="W855" s="564"/>
      <c r="X855" s="564"/>
      <c r="Y855" s="564"/>
      <c r="Z855" s="564"/>
      <c r="AA855" s="564"/>
      <c r="AB855" s="564"/>
      <c r="AC855" s="564"/>
      <c r="AD855" s="564"/>
      <c r="AE855" s="564"/>
      <c r="AF855" s="564"/>
      <c r="AG855" s="564"/>
      <c r="AH855" s="564"/>
      <c r="AI855" s="564"/>
      <c r="AJ855" s="564"/>
      <c r="AK855" s="564"/>
      <c r="AL855" s="564"/>
      <c r="AM855" s="564"/>
      <c r="AN855" s="564"/>
      <c r="AO855" s="564"/>
    </row>
    <row r="856" spans="2:41" x14ac:dyDescent="0.15">
      <c r="B856" s="565">
        <v>2</v>
      </c>
      <c r="C856" s="564"/>
      <c r="D856" s="564"/>
      <c r="E856" s="564"/>
      <c r="F856" s="564"/>
      <c r="G856" s="564"/>
      <c r="H856" s="564"/>
      <c r="I856" s="564"/>
      <c r="J856" s="564"/>
      <c r="K856" s="564"/>
      <c r="L856" s="564"/>
      <c r="M856" s="564"/>
      <c r="N856" s="564"/>
      <c r="O856" s="564"/>
      <c r="P856" s="564"/>
      <c r="Q856" s="564"/>
      <c r="R856" s="564"/>
      <c r="S856" s="564"/>
      <c r="T856" s="564"/>
      <c r="U856" s="564"/>
      <c r="V856" s="564"/>
      <c r="W856" s="564"/>
      <c r="X856" s="564"/>
      <c r="Y856" s="564"/>
      <c r="Z856" s="564"/>
      <c r="AA856" s="564"/>
      <c r="AB856" s="564"/>
      <c r="AC856" s="564"/>
      <c r="AD856" s="564"/>
      <c r="AE856" s="564"/>
      <c r="AF856" s="564"/>
      <c r="AG856" s="564"/>
      <c r="AH856" s="564"/>
      <c r="AI856" s="564"/>
      <c r="AJ856" s="564"/>
      <c r="AK856" s="564"/>
      <c r="AL856" s="564"/>
      <c r="AM856" s="564"/>
      <c r="AN856" s="564"/>
      <c r="AO856" s="564"/>
    </row>
    <row r="857" spans="2:41" x14ac:dyDescent="0.15">
      <c r="B857" s="565">
        <v>3</v>
      </c>
      <c r="C857" s="564"/>
      <c r="D857" s="564"/>
      <c r="E857" s="564"/>
      <c r="F857" s="564"/>
      <c r="G857" s="564"/>
      <c r="H857" s="564"/>
      <c r="I857" s="564"/>
      <c r="J857" s="564"/>
      <c r="K857" s="564"/>
      <c r="L857" s="564"/>
      <c r="M857" s="564"/>
      <c r="N857" s="564"/>
      <c r="O857" s="564"/>
      <c r="P857" s="564"/>
      <c r="Q857" s="564"/>
      <c r="R857" s="564"/>
      <c r="S857" s="564"/>
      <c r="T857" s="564"/>
      <c r="U857" s="564"/>
      <c r="V857" s="564"/>
      <c r="W857" s="564"/>
      <c r="X857" s="564"/>
      <c r="Y857" s="564"/>
      <c r="Z857" s="564"/>
      <c r="AA857" s="564"/>
      <c r="AB857" s="564"/>
      <c r="AC857" s="564"/>
      <c r="AD857" s="564"/>
      <c r="AE857" s="564"/>
      <c r="AF857" s="564"/>
      <c r="AG857" s="564"/>
      <c r="AH857" s="564"/>
      <c r="AI857" s="564"/>
      <c r="AJ857" s="564"/>
      <c r="AK857" s="564"/>
      <c r="AL857" s="564"/>
      <c r="AM857" s="564"/>
      <c r="AN857" s="564"/>
      <c r="AO857" s="564"/>
    </row>
    <row r="858" spans="2:41" x14ac:dyDescent="0.15">
      <c r="B858" s="565">
        <v>4</v>
      </c>
      <c r="C858" s="564"/>
      <c r="D858" s="564"/>
      <c r="E858" s="564"/>
      <c r="F858" s="564"/>
      <c r="G858" s="564"/>
      <c r="H858" s="564"/>
      <c r="I858" s="564"/>
      <c r="J858" s="564"/>
      <c r="K858" s="564"/>
      <c r="L858" s="564"/>
      <c r="M858" s="564"/>
      <c r="N858" s="564"/>
      <c r="O858" s="564"/>
      <c r="P858" s="564"/>
      <c r="Q858" s="564"/>
      <c r="R858" s="564"/>
      <c r="S858" s="564"/>
      <c r="T858" s="564"/>
      <c r="U858" s="564"/>
      <c r="V858" s="564"/>
      <c r="W858" s="564"/>
      <c r="X858" s="564"/>
      <c r="Y858" s="564"/>
      <c r="Z858" s="564"/>
      <c r="AA858" s="564"/>
      <c r="AB858" s="564"/>
      <c r="AC858" s="564"/>
      <c r="AD858" s="564"/>
      <c r="AE858" s="564"/>
      <c r="AF858" s="564"/>
      <c r="AG858" s="564"/>
      <c r="AH858" s="564"/>
      <c r="AI858" s="564"/>
      <c r="AJ858" s="564"/>
      <c r="AK858" s="564"/>
      <c r="AL858" s="564"/>
      <c r="AM858" s="564"/>
      <c r="AN858" s="564"/>
      <c r="AO858" s="564"/>
    </row>
    <row r="859" spans="2:41" x14ac:dyDescent="0.15">
      <c r="B859" s="565">
        <v>5</v>
      </c>
      <c r="C859" s="564"/>
      <c r="D859" s="564"/>
      <c r="E859" s="564"/>
      <c r="F859" s="564"/>
      <c r="G859" s="564"/>
      <c r="H859" s="564"/>
      <c r="I859" s="564"/>
      <c r="J859" s="564"/>
      <c r="K859" s="564"/>
      <c r="L859" s="564"/>
      <c r="M859" s="564"/>
      <c r="N859" s="564"/>
      <c r="O859" s="564"/>
      <c r="P859" s="564"/>
      <c r="Q859" s="564"/>
      <c r="R859" s="564"/>
      <c r="S859" s="564"/>
      <c r="T859" s="564"/>
      <c r="U859" s="564"/>
      <c r="V859" s="564"/>
      <c r="W859" s="564"/>
      <c r="X859" s="564"/>
      <c r="Y859" s="564"/>
      <c r="Z859" s="564"/>
      <c r="AA859" s="564"/>
      <c r="AB859" s="564"/>
      <c r="AC859" s="564"/>
      <c r="AD859" s="564"/>
      <c r="AE859" s="564"/>
      <c r="AF859" s="564"/>
      <c r="AG859" s="564"/>
      <c r="AH859" s="564"/>
      <c r="AI859" s="564"/>
      <c r="AJ859" s="564"/>
      <c r="AK859" s="564"/>
      <c r="AL859" s="564"/>
      <c r="AM859" s="564"/>
      <c r="AN859" s="564"/>
      <c r="AO859" s="564"/>
    </row>
    <row r="860" spans="2:41" x14ac:dyDescent="0.15">
      <c r="B860" s="565">
        <v>6</v>
      </c>
      <c r="C860" s="564"/>
      <c r="D860" s="564"/>
      <c r="E860" s="564"/>
      <c r="F860" s="564"/>
      <c r="G860" s="564"/>
      <c r="H860" s="564"/>
      <c r="I860" s="564"/>
      <c r="J860" s="564"/>
      <c r="K860" s="564"/>
      <c r="L860" s="564"/>
      <c r="M860" s="564"/>
      <c r="N860" s="564"/>
      <c r="O860" s="564"/>
      <c r="P860" s="564"/>
      <c r="Q860" s="564"/>
      <c r="R860" s="564"/>
      <c r="S860" s="564"/>
      <c r="T860" s="564"/>
      <c r="U860" s="564"/>
      <c r="V860" s="564"/>
      <c r="W860" s="564"/>
      <c r="X860" s="564"/>
      <c r="Y860" s="564"/>
      <c r="Z860" s="564"/>
      <c r="AA860" s="564"/>
      <c r="AB860" s="564"/>
      <c r="AC860" s="564"/>
      <c r="AD860" s="564"/>
      <c r="AE860" s="564"/>
      <c r="AF860" s="564"/>
      <c r="AG860" s="564"/>
      <c r="AH860" s="564"/>
      <c r="AI860" s="564"/>
      <c r="AJ860" s="564"/>
      <c r="AK860" s="564"/>
      <c r="AL860" s="564"/>
      <c r="AM860" s="564"/>
      <c r="AN860" s="564"/>
      <c r="AO860" s="564"/>
    </row>
    <row r="861" spans="2:41" x14ac:dyDescent="0.15">
      <c r="B861" s="565">
        <v>7</v>
      </c>
      <c r="C861" s="564"/>
      <c r="D861" s="564"/>
      <c r="E861" s="564"/>
      <c r="F861" s="564"/>
      <c r="G861" s="564"/>
      <c r="H861" s="564"/>
      <c r="I861" s="564"/>
      <c r="J861" s="564"/>
      <c r="K861" s="564"/>
      <c r="L861" s="564"/>
      <c r="M861" s="564"/>
      <c r="N861" s="564"/>
      <c r="O861" s="564"/>
      <c r="P861" s="564"/>
      <c r="Q861" s="564"/>
      <c r="R861" s="564"/>
      <c r="S861" s="564"/>
      <c r="T861" s="564"/>
      <c r="U861" s="564"/>
      <c r="V861" s="564"/>
      <c r="W861" s="564"/>
      <c r="X861" s="564"/>
      <c r="Y861" s="564"/>
      <c r="Z861" s="564"/>
      <c r="AA861" s="564"/>
      <c r="AB861" s="564"/>
      <c r="AC861" s="564"/>
      <c r="AD861" s="564"/>
      <c r="AE861" s="564"/>
      <c r="AF861" s="564"/>
      <c r="AG861" s="564"/>
      <c r="AH861" s="564"/>
      <c r="AI861" s="564"/>
      <c r="AJ861" s="564"/>
      <c r="AK861" s="564"/>
      <c r="AL861" s="564"/>
      <c r="AM861" s="564"/>
      <c r="AN861" s="564"/>
      <c r="AO861" s="564"/>
    </row>
    <row r="862" spans="2:41" x14ac:dyDescent="0.15">
      <c r="B862" s="565">
        <v>8</v>
      </c>
      <c r="C862" s="564"/>
      <c r="D862" s="564"/>
      <c r="E862" s="564"/>
      <c r="F862" s="564"/>
      <c r="G862" s="564"/>
      <c r="H862" s="564"/>
      <c r="I862" s="564"/>
      <c r="J862" s="564"/>
      <c r="K862" s="564"/>
      <c r="L862" s="564"/>
      <c r="M862" s="564"/>
      <c r="N862" s="564"/>
      <c r="O862" s="564"/>
      <c r="P862" s="564"/>
      <c r="Q862" s="564"/>
      <c r="R862" s="564"/>
      <c r="S862" s="564"/>
      <c r="T862" s="564"/>
      <c r="U862" s="564"/>
      <c r="V862" s="564"/>
      <c r="W862" s="564"/>
      <c r="X862" s="564"/>
      <c r="Y862" s="564"/>
      <c r="Z862" s="564"/>
      <c r="AA862" s="564"/>
      <c r="AB862" s="564"/>
      <c r="AC862" s="564"/>
      <c r="AD862" s="564"/>
      <c r="AE862" s="564"/>
      <c r="AF862" s="564"/>
      <c r="AG862" s="564"/>
      <c r="AH862" s="564"/>
      <c r="AI862" s="564"/>
      <c r="AJ862" s="564"/>
      <c r="AK862" s="564"/>
      <c r="AL862" s="564"/>
      <c r="AM862" s="564"/>
      <c r="AN862" s="564"/>
      <c r="AO862" s="564"/>
    </row>
    <row r="863" spans="2:41" x14ac:dyDescent="0.15">
      <c r="B863" s="565">
        <v>9</v>
      </c>
      <c r="C863" s="564"/>
      <c r="D863" s="564"/>
      <c r="E863" s="564"/>
      <c r="F863" s="564"/>
      <c r="G863" s="564"/>
      <c r="H863" s="564"/>
      <c r="I863" s="564"/>
      <c r="J863" s="564"/>
      <c r="K863" s="564"/>
      <c r="L863" s="564"/>
      <c r="M863" s="564"/>
      <c r="N863" s="564"/>
      <c r="O863" s="564"/>
      <c r="P863" s="564"/>
      <c r="Q863" s="564"/>
      <c r="R863" s="564"/>
      <c r="S863" s="564"/>
      <c r="T863" s="564"/>
      <c r="U863" s="564"/>
      <c r="V863" s="564"/>
      <c r="W863" s="564"/>
      <c r="X863" s="564"/>
      <c r="Y863" s="564"/>
      <c r="Z863" s="564"/>
      <c r="AA863" s="564"/>
      <c r="AB863" s="564"/>
      <c r="AC863" s="564"/>
      <c r="AD863" s="564"/>
      <c r="AE863" s="564"/>
      <c r="AF863" s="564"/>
      <c r="AG863" s="564"/>
      <c r="AH863" s="564"/>
      <c r="AI863" s="564"/>
      <c r="AJ863" s="564"/>
      <c r="AK863" s="564"/>
      <c r="AL863" s="564"/>
      <c r="AM863" s="564"/>
      <c r="AN863" s="564"/>
      <c r="AO863" s="564"/>
    </row>
    <row r="864" spans="2:41" x14ac:dyDescent="0.15">
      <c r="B864" s="565">
        <v>10</v>
      </c>
      <c r="C864" s="564"/>
      <c r="D864" s="564"/>
      <c r="E864" s="564"/>
      <c r="F864" s="564"/>
      <c r="G864" s="564"/>
      <c r="H864" s="564"/>
      <c r="I864" s="564"/>
      <c r="J864" s="564"/>
      <c r="K864" s="564"/>
      <c r="L864" s="564"/>
      <c r="M864" s="564"/>
      <c r="N864" s="564"/>
      <c r="O864" s="564"/>
      <c r="P864" s="564"/>
      <c r="Q864" s="564"/>
      <c r="R864" s="564"/>
      <c r="S864" s="564"/>
      <c r="T864" s="564"/>
      <c r="U864" s="564"/>
      <c r="V864" s="564"/>
      <c r="W864" s="564"/>
      <c r="X864" s="564"/>
      <c r="Y864" s="564"/>
      <c r="Z864" s="564"/>
      <c r="AA864" s="564"/>
      <c r="AB864" s="564"/>
      <c r="AC864" s="564"/>
      <c r="AD864" s="564"/>
      <c r="AE864" s="564"/>
      <c r="AF864" s="564"/>
      <c r="AG864" s="564"/>
      <c r="AH864" s="564"/>
      <c r="AI864" s="564"/>
      <c r="AJ864" s="564"/>
      <c r="AK864" s="564"/>
      <c r="AL864" s="564"/>
      <c r="AM864" s="564"/>
      <c r="AN864" s="564"/>
      <c r="AO864" s="564"/>
    </row>
    <row r="865" spans="2:41" x14ac:dyDescent="0.15">
      <c r="B865" s="565">
        <v>11</v>
      </c>
      <c r="C865" s="564"/>
      <c r="D865" s="564"/>
      <c r="E865" s="564"/>
      <c r="F865" s="564"/>
      <c r="G865" s="564"/>
      <c r="H865" s="564"/>
      <c r="I865" s="564"/>
      <c r="J865" s="564"/>
      <c r="K865" s="564"/>
      <c r="L865" s="564"/>
      <c r="M865" s="564"/>
      <c r="N865" s="564"/>
      <c r="O865" s="564"/>
      <c r="P865" s="564"/>
      <c r="Q865" s="564"/>
      <c r="R865" s="564"/>
      <c r="S865" s="564"/>
      <c r="T865" s="564"/>
      <c r="U865" s="564"/>
      <c r="V865" s="564"/>
      <c r="W865" s="564"/>
      <c r="X865" s="564"/>
      <c r="Y865" s="564"/>
      <c r="Z865" s="564"/>
      <c r="AA865" s="564"/>
      <c r="AB865" s="564"/>
      <c r="AC865" s="564"/>
      <c r="AD865" s="564"/>
      <c r="AE865" s="564"/>
      <c r="AF865" s="564"/>
      <c r="AG865" s="564"/>
      <c r="AH865" s="564"/>
      <c r="AI865" s="564"/>
      <c r="AJ865" s="564"/>
      <c r="AK865" s="564"/>
      <c r="AL865" s="564"/>
      <c r="AM865" s="564"/>
      <c r="AN865" s="564"/>
      <c r="AO865" s="564"/>
    </row>
    <row r="866" spans="2:41" x14ac:dyDescent="0.15">
      <c r="B866" s="565">
        <v>12</v>
      </c>
      <c r="C866" s="564"/>
      <c r="D866" s="564"/>
      <c r="E866" s="564"/>
      <c r="F866" s="564"/>
      <c r="G866" s="564"/>
      <c r="H866" s="564"/>
      <c r="I866" s="564"/>
      <c r="J866" s="564"/>
      <c r="K866" s="564"/>
      <c r="L866" s="564"/>
      <c r="M866" s="564"/>
      <c r="N866" s="564"/>
      <c r="O866" s="564"/>
      <c r="P866" s="564"/>
      <c r="Q866" s="564"/>
      <c r="R866" s="564"/>
      <c r="S866" s="564"/>
      <c r="T866" s="564"/>
      <c r="U866" s="564"/>
      <c r="V866" s="564"/>
      <c r="W866" s="564"/>
      <c r="X866" s="564"/>
      <c r="Y866" s="564"/>
      <c r="Z866" s="564"/>
      <c r="AA866" s="564"/>
      <c r="AB866" s="564"/>
      <c r="AC866" s="564"/>
      <c r="AD866" s="564"/>
      <c r="AE866" s="564"/>
      <c r="AF866" s="564"/>
      <c r="AG866" s="564"/>
      <c r="AH866" s="564"/>
      <c r="AI866" s="564"/>
      <c r="AJ866" s="564"/>
      <c r="AK866" s="564"/>
      <c r="AL866" s="564"/>
      <c r="AM866" s="564"/>
      <c r="AN866" s="564"/>
      <c r="AO866" s="564"/>
    </row>
    <row r="867" spans="2:41" x14ac:dyDescent="0.15">
      <c r="B867" s="565">
        <v>13</v>
      </c>
      <c r="C867" s="564"/>
      <c r="D867" s="564"/>
      <c r="E867" s="564"/>
      <c r="F867" s="564"/>
      <c r="G867" s="564"/>
      <c r="H867" s="564"/>
      <c r="I867" s="564"/>
      <c r="J867" s="564"/>
      <c r="K867" s="564"/>
      <c r="L867" s="564"/>
      <c r="M867" s="564"/>
      <c r="N867" s="564"/>
      <c r="O867" s="564"/>
      <c r="P867" s="564"/>
      <c r="Q867" s="564"/>
      <c r="R867" s="564"/>
      <c r="S867" s="564"/>
      <c r="T867" s="564"/>
      <c r="U867" s="564"/>
      <c r="V867" s="564"/>
      <c r="W867" s="564"/>
      <c r="X867" s="564"/>
      <c r="Y867" s="564"/>
      <c r="Z867" s="564"/>
      <c r="AA867" s="564"/>
      <c r="AB867" s="564"/>
      <c r="AC867" s="564"/>
      <c r="AD867" s="564"/>
      <c r="AE867" s="564"/>
      <c r="AF867" s="564"/>
      <c r="AG867" s="564"/>
      <c r="AH867" s="564"/>
      <c r="AI867" s="564"/>
      <c r="AJ867" s="564"/>
      <c r="AK867" s="564"/>
      <c r="AL867" s="564"/>
      <c r="AM867" s="564"/>
      <c r="AN867" s="564"/>
      <c r="AO867" s="564"/>
    </row>
    <row r="868" spans="2:41" x14ac:dyDescent="0.15">
      <c r="B868" s="565">
        <v>14</v>
      </c>
      <c r="C868" s="564"/>
      <c r="D868" s="564"/>
      <c r="E868" s="564"/>
      <c r="F868" s="564"/>
      <c r="G868" s="564"/>
      <c r="H868" s="564"/>
      <c r="I868" s="564"/>
      <c r="J868" s="564"/>
      <c r="K868" s="564"/>
      <c r="L868" s="564"/>
      <c r="M868" s="564"/>
      <c r="N868" s="564"/>
      <c r="O868" s="564"/>
      <c r="P868" s="564"/>
      <c r="Q868" s="564"/>
      <c r="R868" s="564"/>
      <c r="S868" s="564"/>
      <c r="T868" s="564"/>
      <c r="U868" s="564"/>
      <c r="V868" s="564"/>
      <c r="W868" s="564"/>
      <c r="X868" s="564"/>
      <c r="Y868" s="564"/>
      <c r="Z868" s="564"/>
      <c r="AA868" s="564"/>
      <c r="AB868" s="564"/>
      <c r="AC868" s="564"/>
      <c r="AD868" s="564"/>
      <c r="AE868" s="564"/>
      <c r="AF868" s="564"/>
      <c r="AG868" s="564"/>
      <c r="AH868" s="564"/>
      <c r="AI868" s="564"/>
      <c r="AJ868" s="564"/>
      <c r="AK868" s="564"/>
      <c r="AL868" s="564"/>
      <c r="AM868" s="564"/>
      <c r="AN868" s="564"/>
      <c r="AO868" s="564"/>
    </row>
    <row r="869" spans="2:41" x14ac:dyDescent="0.15">
      <c r="B869" s="565">
        <v>15</v>
      </c>
      <c r="C869" s="564"/>
      <c r="D869" s="564"/>
      <c r="E869" s="564"/>
      <c r="F869" s="564"/>
      <c r="G869" s="564"/>
      <c r="H869" s="564"/>
      <c r="I869" s="564"/>
      <c r="J869" s="564"/>
      <c r="K869" s="564"/>
      <c r="L869" s="564"/>
      <c r="M869" s="564"/>
      <c r="N869" s="564"/>
      <c r="O869" s="564"/>
      <c r="P869" s="564"/>
      <c r="Q869" s="564"/>
      <c r="R869" s="564"/>
      <c r="S869" s="564"/>
      <c r="T869" s="564"/>
      <c r="U869" s="564"/>
      <c r="V869" s="564"/>
      <c r="W869" s="564"/>
      <c r="X869" s="564"/>
      <c r="Y869" s="564"/>
      <c r="Z869" s="564"/>
      <c r="AA869" s="564"/>
      <c r="AB869" s="564"/>
      <c r="AC869" s="564"/>
      <c r="AD869" s="564"/>
      <c r="AE869" s="564"/>
      <c r="AF869" s="564"/>
      <c r="AG869" s="564"/>
      <c r="AH869" s="564"/>
      <c r="AI869" s="564"/>
      <c r="AJ869" s="564"/>
      <c r="AK869" s="564"/>
      <c r="AL869" s="564"/>
      <c r="AM869" s="564"/>
      <c r="AN869" s="564"/>
      <c r="AO869" s="564"/>
    </row>
    <row r="870" spans="2:41" x14ac:dyDescent="0.15">
      <c r="B870" s="565">
        <v>16</v>
      </c>
      <c r="C870" s="564"/>
      <c r="D870" s="564"/>
      <c r="E870" s="564"/>
      <c r="F870" s="564"/>
      <c r="G870" s="564"/>
      <c r="H870" s="564"/>
      <c r="I870" s="564"/>
      <c r="J870" s="564"/>
      <c r="K870" s="564"/>
      <c r="L870" s="564"/>
      <c r="M870" s="564"/>
      <c r="N870" s="564"/>
      <c r="O870" s="564"/>
      <c r="P870" s="564"/>
      <c r="Q870" s="564"/>
      <c r="R870" s="564"/>
      <c r="S870" s="564"/>
      <c r="T870" s="564"/>
      <c r="U870" s="564"/>
      <c r="V870" s="564"/>
      <c r="W870" s="564"/>
      <c r="X870" s="564"/>
      <c r="Y870" s="564"/>
      <c r="Z870" s="564"/>
      <c r="AA870" s="564"/>
      <c r="AB870" s="564"/>
      <c r="AC870" s="564"/>
      <c r="AD870" s="564"/>
      <c r="AE870" s="564"/>
      <c r="AF870" s="564"/>
      <c r="AG870" s="564"/>
      <c r="AH870" s="564"/>
      <c r="AI870" s="564"/>
      <c r="AJ870" s="564"/>
      <c r="AK870" s="564"/>
      <c r="AL870" s="564"/>
      <c r="AM870" s="564"/>
      <c r="AN870" s="564"/>
      <c r="AO870" s="564"/>
    </row>
    <row r="871" spans="2:41" x14ac:dyDescent="0.15">
      <c r="B871" s="565">
        <v>17</v>
      </c>
      <c r="C871" s="564"/>
      <c r="D871" s="564"/>
      <c r="E871" s="564"/>
      <c r="F871" s="564"/>
      <c r="G871" s="564"/>
      <c r="H871" s="564"/>
      <c r="I871" s="564"/>
      <c r="J871" s="564"/>
      <c r="K871" s="564"/>
      <c r="L871" s="564"/>
      <c r="M871" s="564"/>
      <c r="N871" s="564"/>
      <c r="O871" s="564"/>
      <c r="P871" s="564"/>
      <c r="Q871" s="564"/>
      <c r="R871" s="564"/>
      <c r="S871" s="564"/>
      <c r="T871" s="564"/>
      <c r="U871" s="564"/>
      <c r="V871" s="564"/>
      <c r="W871" s="564"/>
      <c r="X871" s="564"/>
      <c r="Y871" s="564"/>
      <c r="Z871" s="564"/>
      <c r="AA871" s="564"/>
      <c r="AB871" s="564"/>
      <c r="AC871" s="564"/>
      <c r="AD871" s="564"/>
      <c r="AE871" s="564"/>
      <c r="AF871" s="564"/>
      <c r="AG871" s="564"/>
      <c r="AH871" s="564"/>
      <c r="AI871" s="564"/>
      <c r="AJ871" s="564"/>
      <c r="AK871" s="564"/>
      <c r="AL871" s="564"/>
      <c r="AM871" s="564"/>
      <c r="AN871" s="564"/>
      <c r="AO871" s="564"/>
    </row>
    <row r="872" spans="2:41" x14ac:dyDescent="0.15">
      <c r="B872" s="565">
        <v>18</v>
      </c>
      <c r="C872" s="564"/>
      <c r="D872" s="564"/>
      <c r="E872" s="564"/>
      <c r="F872" s="564"/>
      <c r="G872" s="564"/>
      <c r="H872" s="564"/>
      <c r="I872" s="564"/>
      <c r="J872" s="564"/>
      <c r="K872" s="564"/>
      <c r="L872" s="564"/>
      <c r="M872" s="564"/>
      <c r="N872" s="564"/>
      <c r="O872" s="564"/>
      <c r="P872" s="564"/>
      <c r="Q872" s="564"/>
      <c r="R872" s="564"/>
      <c r="S872" s="564"/>
      <c r="T872" s="564"/>
      <c r="U872" s="564"/>
      <c r="V872" s="564"/>
      <c r="W872" s="564"/>
      <c r="X872" s="564"/>
      <c r="Y872" s="564"/>
      <c r="Z872" s="564"/>
      <c r="AA872" s="564"/>
      <c r="AB872" s="564"/>
      <c r="AC872" s="564"/>
      <c r="AD872" s="564"/>
      <c r="AE872" s="564"/>
      <c r="AF872" s="564"/>
      <c r="AG872" s="564"/>
      <c r="AH872" s="564"/>
      <c r="AI872" s="564"/>
      <c r="AJ872" s="564"/>
      <c r="AK872" s="564"/>
      <c r="AL872" s="564"/>
      <c r="AM872" s="564"/>
      <c r="AN872" s="564"/>
      <c r="AO872" s="564"/>
    </row>
    <row r="873" spans="2:41" x14ac:dyDescent="0.15">
      <c r="B873" s="565">
        <v>19</v>
      </c>
      <c r="C873" s="564"/>
      <c r="D873" s="564"/>
      <c r="E873" s="564"/>
      <c r="F873" s="564"/>
      <c r="G873" s="564"/>
      <c r="H873" s="564"/>
      <c r="I873" s="564"/>
      <c r="J873" s="564"/>
      <c r="K873" s="564"/>
      <c r="L873" s="564"/>
      <c r="M873" s="564"/>
      <c r="N873" s="564"/>
      <c r="O873" s="564"/>
      <c r="P873" s="564"/>
      <c r="Q873" s="564"/>
      <c r="R873" s="564"/>
      <c r="S873" s="564"/>
      <c r="T873" s="564"/>
      <c r="U873" s="564"/>
      <c r="V873" s="564"/>
      <c r="W873" s="564"/>
      <c r="X873" s="564"/>
      <c r="Y873" s="564"/>
      <c r="Z873" s="564"/>
      <c r="AA873" s="564"/>
      <c r="AB873" s="564"/>
      <c r="AC873" s="564"/>
      <c r="AD873" s="564"/>
      <c r="AE873" s="564"/>
      <c r="AF873" s="564"/>
      <c r="AG873" s="564"/>
      <c r="AH873" s="564"/>
      <c r="AI873" s="564"/>
      <c r="AJ873" s="564"/>
      <c r="AK873" s="564"/>
      <c r="AL873" s="564"/>
      <c r="AM873" s="564"/>
      <c r="AN873" s="564"/>
      <c r="AO873" s="564"/>
    </row>
    <row r="874" spans="2:41" x14ac:dyDescent="0.15">
      <c r="B874" s="565">
        <v>20</v>
      </c>
      <c r="C874" s="564"/>
      <c r="D874" s="564"/>
      <c r="E874" s="564"/>
      <c r="F874" s="564"/>
      <c r="G874" s="564"/>
      <c r="H874" s="564"/>
      <c r="I874" s="564"/>
      <c r="J874" s="564"/>
      <c r="K874" s="564"/>
      <c r="L874" s="564"/>
      <c r="M874" s="564"/>
      <c r="N874" s="564"/>
      <c r="O874" s="564"/>
      <c r="P874" s="564"/>
      <c r="Q874" s="564"/>
      <c r="R874" s="564"/>
      <c r="S874" s="564"/>
      <c r="T874" s="564"/>
      <c r="U874" s="564"/>
      <c r="V874" s="564"/>
      <c r="W874" s="564"/>
      <c r="X874" s="564"/>
      <c r="Y874" s="564"/>
      <c r="Z874" s="564"/>
      <c r="AA874" s="564"/>
      <c r="AB874" s="564"/>
      <c r="AC874" s="564"/>
      <c r="AD874" s="564"/>
      <c r="AE874" s="564"/>
      <c r="AF874" s="564"/>
      <c r="AG874" s="564"/>
      <c r="AH874" s="564"/>
      <c r="AI874" s="564"/>
      <c r="AJ874" s="564"/>
      <c r="AK874" s="564"/>
      <c r="AL874" s="564"/>
      <c r="AM874" s="564"/>
      <c r="AN874" s="564"/>
      <c r="AO874" s="564"/>
    </row>
    <row r="875" spans="2:41" x14ac:dyDescent="0.15">
      <c r="B875" s="565">
        <v>21</v>
      </c>
      <c r="C875" s="564"/>
      <c r="D875" s="564"/>
      <c r="E875" s="564"/>
      <c r="F875" s="564"/>
      <c r="G875" s="564"/>
      <c r="H875" s="564"/>
      <c r="I875" s="564"/>
      <c r="J875" s="564"/>
      <c r="K875" s="564"/>
      <c r="L875" s="564"/>
      <c r="M875" s="564"/>
      <c r="N875" s="564"/>
      <c r="O875" s="564"/>
      <c r="P875" s="564"/>
      <c r="Q875" s="564"/>
      <c r="R875" s="564"/>
      <c r="S875" s="564"/>
      <c r="T875" s="564"/>
      <c r="U875" s="564"/>
      <c r="V875" s="564"/>
      <c r="W875" s="564"/>
      <c r="X875" s="564"/>
      <c r="Y875" s="564"/>
      <c r="Z875" s="564"/>
      <c r="AA875" s="564"/>
      <c r="AB875" s="564"/>
      <c r="AC875" s="564"/>
      <c r="AD875" s="564"/>
      <c r="AE875" s="564"/>
      <c r="AF875" s="564"/>
      <c r="AG875" s="564"/>
      <c r="AH875" s="564"/>
      <c r="AI875" s="564"/>
      <c r="AJ875" s="564"/>
      <c r="AK875" s="564"/>
      <c r="AL875" s="564"/>
      <c r="AM875" s="564"/>
      <c r="AN875" s="564"/>
      <c r="AO875" s="564"/>
    </row>
    <row r="876" spans="2:41" x14ac:dyDescent="0.15">
      <c r="B876" s="565">
        <v>22</v>
      </c>
      <c r="C876" s="564"/>
      <c r="D876" s="564"/>
      <c r="E876" s="564"/>
      <c r="F876" s="564"/>
      <c r="G876" s="564"/>
      <c r="H876" s="564"/>
      <c r="I876" s="564"/>
      <c r="J876" s="564"/>
      <c r="K876" s="564"/>
      <c r="L876" s="564"/>
      <c r="M876" s="564"/>
      <c r="N876" s="564"/>
      <c r="O876" s="564"/>
      <c r="P876" s="564"/>
      <c r="Q876" s="564"/>
      <c r="R876" s="564"/>
      <c r="S876" s="564"/>
      <c r="T876" s="564"/>
      <c r="U876" s="564"/>
      <c r="V876" s="564"/>
      <c r="W876" s="564"/>
      <c r="X876" s="564"/>
      <c r="Y876" s="564"/>
      <c r="Z876" s="564"/>
      <c r="AA876" s="564"/>
      <c r="AB876" s="564"/>
      <c r="AC876" s="564"/>
      <c r="AD876" s="564"/>
      <c r="AE876" s="564"/>
      <c r="AF876" s="564"/>
      <c r="AG876" s="564"/>
      <c r="AH876" s="564"/>
      <c r="AI876" s="564"/>
      <c r="AJ876" s="564"/>
      <c r="AK876" s="564"/>
      <c r="AL876" s="564"/>
      <c r="AM876" s="564"/>
      <c r="AN876" s="564"/>
      <c r="AO876" s="564"/>
    </row>
    <row r="877" spans="2:41" x14ac:dyDescent="0.15">
      <c r="B877" s="565">
        <v>23</v>
      </c>
      <c r="C877" s="564"/>
      <c r="D877" s="564"/>
      <c r="E877" s="564"/>
      <c r="F877" s="564"/>
      <c r="G877" s="564"/>
      <c r="H877" s="564"/>
      <c r="I877" s="564"/>
      <c r="J877" s="564"/>
      <c r="K877" s="564"/>
      <c r="L877" s="564"/>
      <c r="M877" s="564"/>
      <c r="N877" s="564"/>
      <c r="O877" s="564"/>
      <c r="P877" s="564"/>
      <c r="Q877" s="564"/>
      <c r="R877" s="564"/>
      <c r="S877" s="564"/>
      <c r="T877" s="564"/>
      <c r="U877" s="564"/>
      <c r="V877" s="564"/>
      <c r="W877" s="564"/>
      <c r="X877" s="564"/>
      <c r="Y877" s="564"/>
      <c r="Z877" s="564"/>
      <c r="AA877" s="564"/>
      <c r="AB877" s="564"/>
      <c r="AC877" s="564"/>
      <c r="AD877" s="564"/>
      <c r="AE877" s="564"/>
      <c r="AF877" s="564"/>
      <c r="AG877" s="564"/>
      <c r="AH877" s="564"/>
      <c r="AI877" s="564"/>
      <c r="AJ877" s="564"/>
      <c r="AK877" s="564"/>
      <c r="AL877" s="564"/>
      <c r="AM877" s="564"/>
      <c r="AN877" s="564"/>
      <c r="AO877" s="564"/>
    </row>
    <row r="878" spans="2:41" x14ac:dyDescent="0.15">
      <c r="B878" s="565">
        <v>24</v>
      </c>
      <c r="C878" s="564"/>
      <c r="D878" s="564"/>
      <c r="E878" s="564"/>
      <c r="F878" s="564"/>
      <c r="G878" s="564"/>
      <c r="H878" s="564"/>
      <c r="I878" s="564"/>
      <c r="J878" s="564"/>
      <c r="K878" s="564"/>
      <c r="L878" s="564"/>
      <c r="M878" s="564"/>
      <c r="N878" s="564"/>
      <c r="O878" s="564"/>
      <c r="P878" s="564"/>
      <c r="Q878" s="564"/>
      <c r="R878" s="564"/>
      <c r="S878" s="564"/>
      <c r="T878" s="564"/>
      <c r="U878" s="564"/>
      <c r="V878" s="564"/>
      <c r="W878" s="564"/>
      <c r="X878" s="564"/>
      <c r="Y878" s="564"/>
      <c r="Z878" s="564"/>
      <c r="AA878" s="564"/>
      <c r="AB878" s="564"/>
      <c r="AC878" s="564"/>
      <c r="AD878" s="564"/>
      <c r="AE878" s="564"/>
      <c r="AF878" s="564"/>
      <c r="AG878" s="564"/>
      <c r="AH878" s="564"/>
      <c r="AI878" s="564"/>
      <c r="AJ878" s="564"/>
      <c r="AK878" s="564"/>
      <c r="AL878" s="564"/>
      <c r="AM878" s="564"/>
      <c r="AN878" s="564"/>
      <c r="AO878" s="564"/>
    </row>
    <row r="879" spans="2:41" x14ac:dyDescent="0.15">
      <c r="B879" s="565">
        <v>25</v>
      </c>
      <c r="C879" s="564"/>
      <c r="D879" s="564"/>
      <c r="E879" s="564"/>
      <c r="F879" s="564"/>
      <c r="G879" s="564"/>
      <c r="H879" s="564"/>
      <c r="I879" s="564"/>
      <c r="J879" s="564"/>
      <c r="K879" s="564"/>
      <c r="L879" s="564"/>
      <c r="M879" s="564"/>
      <c r="N879" s="564"/>
      <c r="O879" s="564"/>
      <c r="P879" s="564"/>
      <c r="Q879" s="564"/>
      <c r="R879" s="564"/>
      <c r="S879" s="564"/>
      <c r="T879" s="564"/>
      <c r="U879" s="564"/>
      <c r="V879" s="564"/>
      <c r="W879" s="564"/>
      <c r="X879" s="564"/>
      <c r="Y879" s="564"/>
      <c r="Z879" s="564"/>
      <c r="AA879" s="564"/>
      <c r="AB879" s="564"/>
      <c r="AC879" s="564"/>
      <c r="AD879" s="564"/>
      <c r="AE879" s="564"/>
      <c r="AF879" s="564"/>
      <c r="AG879" s="564"/>
      <c r="AH879" s="564"/>
      <c r="AI879" s="564"/>
      <c r="AJ879" s="564"/>
      <c r="AK879" s="564"/>
      <c r="AL879" s="564"/>
      <c r="AM879" s="564"/>
      <c r="AN879" s="564"/>
      <c r="AO879" s="564"/>
    </row>
    <row r="880" spans="2:41" x14ac:dyDescent="0.15">
      <c r="B880" s="565">
        <v>26</v>
      </c>
      <c r="C880" s="564"/>
      <c r="D880" s="564"/>
      <c r="E880" s="564"/>
      <c r="F880" s="564"/>
      <c r="G880" s="564"/>
      <c r="H880" s="564"/>
      <c r="I880" s="564"/>
      <c r="J880" s="564"/>
      <c r="K880" s="564"/>
      <c r="L880" s="564"/>
      <c r="M880" s="564"/>
      <c r="N880" s="564"/>
      <c r="O880" s="564"/>
      <c r="P880" s="564"/>
      <c r="Q880" s="564"/>
      <c r="R880" s="564"/>
      <c r="S880" s="564"/>
      <c r="T880" s="564"/>
      <c r="U880" s="564"/>
      <c r="V880" s="564"/>
      <c r="W880" s="564"/>
      <c r="X880" s="564"/>
      <c r="Y880" s="564"/>
      <c r="Z880" s="564"/>
      <c r="AA880" s="564"/>
      <c r="AB880" s="564"/>
      <c r="AC880" s="564"/>
      <c r="AD880" s="564"/>
      <c r="AE880" s="564"/>
      <c r="AF880" s="564"/>
      <c r="AG880" s="564"/>
      <c r="AH880" s="564"/>
      <c r="AI880" s="564"/>
      <c r="AJ880" s="564"/>
      <c r="AK880" s="564"/>
      <c r="AL880" s="564"/>
      <c r="AM880" s="564"/>
      <c r="AN880" s="564"/>
      <c r="AO880" s="564"/>
    </row>
    <row r="881" spans="2:41" x14ac:dyDescent="0.15">
      <c r="B881" s="565">
        <v>27</v>
      </c>
      <c r="C881" s="564"/>
      <c r="D881" s="564"/>
      <c r="E881" s="564"/>
      <c r="F881" s="564"/>
      <c r="G881" s="564"/>
      <c r="H881" s="564"/>
      <c r="I881" s="564"/>
      <c r="J881" s="564"/>
      <c r="K881" s="564"/>
      <c r="L881" s="564"/>
      <c r="M881" s="564"/>
      <c r="N881" s="564"/>
      <c r="O881" s="564"/>
      <c r="P881" s="564"/>
      <c r="Q881" s="564"/>
      <c r="R881" s="564"/>
      <c r="S881" s="564"/>
      <c r="T881" s="564"/>
      <c r="U881" s="564"/>
      <c r="V881" s="564"/>
      <c r="W881" s="564"/>
      <c r="X881" s="564"/>
      <c r="Y881" s="564"/>
      <c r="Z881" s="564"/>
      <c r="AA881" s="564"/>
      <c r="AB881" s="564"/>
      <c r="AC881" s="564"/>
      <c r="AD881" s="564"/>
      <c r="AE881" s="564"/>
      <c r="AF881" s="564"/>
      <c r="AG881" s="564"/>
      <c r="AH881" s="564"/>
      <c r="AI881" s="564"/>
      <c r="AJ881" s="564"/>
      <c r="AK881" s="564"/>
      <c r="AL881" s="564"/>
      <c r="AM881" s="564"/>
      <c r="AN881" s="564"/>
      <c r="AO881" s="564"/>
    </row>
    <row r="882" spans="2:41" x14ac:dyDescent="0.15">
      <c r="B882" s="565">
        <v>28</v>
      </c>
      <c r="C882" s="564"/>
      <c r="D882" s="564"/>
      <c r="E882" s="564"/>
      <c r="F882" s="564"/>
      <c r="G882" s="564"/>
      <c r="H882" s="564"/>
      <c r="I882" s="564"/>
      <c r="J882" s="564"/>
      <c r="K882" s="564"/>
      <c r="L882" s="564"/>
      <c r="M882" s="564"/>
      <c r="N882" s="564"/>
      <c r="O882" s="564"/>
      <c r="P882" s="564"/>
      <c r="Q882" s="564"/>
      <c r="R882" s="564"/>
      <c r="S882" s="564"/>
      <c r="T882" s="564"/>
      <c r="U882" s="564"/>
      <c r="V882" s="564"/>
      <c r="W882" s="564"/>
      <c r="X882" s="564"/>
      <c r="Y882" s="564"/>
      <c r="Z882" s="564"/>
      <c r="AA882" s="564"/>
      <c r="AB882" s="564"/>
      <c r="AC882" s="564"/>
      <c r="AD882" s="564"/>
      <c r="AE882" s="564"/>
      <c r="AF882" s="564"/>
      <c r="AG882" s="564"/>
      <c r="AH882" s="564"/>
      <c r="AI882" s="564"/>
      <c r="AJ882" s="564"/>
      <c r="AK882" s="564"/>
      <c r="AL882" s="564"/>
      <c r="AM882" s="564"/>
      <c r="AN882" s="564"/>
      <c r="AO882" s="564"/>
    </row>
    <row r="883" spans="2:41" x14ac:dyDescent="0.15">
      <c r="B883" s="565">
        <v>29</v>
      </c>
      <c r="C883" s="564"/>
      <c r="D883" s="564"/>
      <c r="E883" s="564"/>
      <c r="F883" s="564"/>
      <c r="G883" s="564"/>
      <c r="H883" s="564"/>
      <c r="I883" s="564"/>
      <c r="J883" s="564"/>
      <c r="K883" s="564"/>
      <c r="L883" s="564"/>
      <c r="M883" s="564"/>
      <c r="N883" s="564"/>
      <c r="O883" s="564"/>
      <c r="P883" s="564"/>
      <c r="Q883" s="564"/>
      <c r="R883" s="564"/>
      <c r="S883" s="564"/>
      <c r="T883" s="564"/>
      <c r="U883" s="564"/>
      <c r="V883" s="564"/>
      <c r="W883" s="564"/>
      <c r="X883" s="564"/>
      <c r="Y883" s="564"/>
      <c r="Z883" s="564"/>
      <c r="AA883" s="564"/>
      <c r="AB883" s="564"/>
      <c r="AC883" s="564"/>
      <c r="AD883" s="564"/>
      <c r="AE883" s="564"/>
      <c r="AF883" s="564"/>
      <c r="AG883" s="564"/>
      <c r="AH883" s="564"/>
      <c r="AI883" s="564"/>
      <c r="AJ883" s="564"/>
      <c r="AK883" s="564"/>
      <c r="AL883" s="564"/>
      <c r="AM883" s="564"/>
      <c r="AN883" s="564"/>
      <c r="AO883" s="564"/>
    </row>
    <row r="884" spans="2:41" x14ac:dyDescent="0.15">
      <c r="B884" s="565">
        <v>30</v>
      </c>
      <c r="C884" s="564"/>
      <c r="D884" s="564"/>
      <c r="E884" s="564"/>
      <c r="F884" s="564"/>
      <c r="G884" s="564"/>
      <c r="H884" s="564"/>
      <c r="I884" s="564"/>
      <c r="J884" s="564"/>
      <c r="K884" s="564"/>
      <c r="L884" s="564"/>
      <c r="M884" s="564"/>
      <c r="N884" s="564"/>
      <c r="O884" s="564"/>
      <c r="P884" s="564"/>
      <c r="Q884" s="564"/>
      <c r="R884" s="564"/>
      <c r="S884" s="564"/>
      <c r="T884" s="564"/>
      <c r="U884" s="564"/>
      <c r="V884" s="564"/>
      <c r="W884" s="564"/>
      <c r="X884" s="564"/>
      <c r="Y884" s="564"/>
      <c r="Z884" s="564"/>
      <c r="AA884" s="564"/>
      <c r="AB884" s="564"/>
      <c r="AC884" s="564"/>
      <c r="AD884" s="564"/>
      <c r="AE884" s="564"/>
      <c r="AF884" s="564"/>
      <c r="AG884" s="564"/>
      <c r="AH884" s="564"/>
      <c r="AI884" s="564"/>
      <c r="AJ884" s="564"/>
      <c r="AK884" s="564"/>
      <c r="AL884" s="564"/>
      <c r="AM884" s="564"/>
      <c r="AN884" s="564"/>
      <c r="AO884" s="564"/>
    </row>
    <row r="885" spans="2:41" x14ac:dyDescent="0.15">
      <c r="B885" s="565">
        <v>31</v>
      </c>
      <c r="C885" s="564"/>
      <c r="D885" s="564"/>
      <c r="E885" s="564"/>
      <c r="F885" s="564"/>
      <c r="G885" s="564"/>
      <c r="H885" s="564"/>
      <c r="I885" s="564"/>
      <c r="J885" s="564"/>
      <c r="K885" s="564"/>
      <c r="L885" s="564"/>
      <c r="M885" s="564"/>
      <c r="N885" s="564"/>
      <c r="O885" s="564"/>
      <c r="P885" s="564"/>
      <c r="Q885" s="564"/>
      <c r="R885" s="564"/>
      <c r="S885" s="564"/>
      <c r="T885" s="564"/>
      <c r="U885" s="564"/>
      <c r="V885" s="564"/>
      <c r="W885" s="564"/>
      <c r="X885" s="564"/>
      <c r="Y885" s="564"/>
      <c r="Z885" s="564"/>
      <c r="AA885" s="564"/>
      <c r="AB885" s="564"/>
      <c r="AC885" s="564"/>
      <c r="AD885" s="564"/>
      <c r="AE885" s="564"/>
      <c r="AF885" s="564"/>
      <c r="AG885" s="564"/>
      <c r="AH885" s="564"/>
      <c r="AI885" s="564"/>
      <c r="AJ885" s="564"/>
      <c r="AK885" s="564"/>
      <c r="AL885" s="564"/>
      <c r="AM885" s="564"/>
      <c r="AN885" s="564"/>
      <c r="AO885" s="564"/>
    </row>
    <row r="886" spans="2:41" x14ac:dyDescent="0.15">
      <c r="B886" s="565">
        <v>32</v>
      </c>
      <c r="C886" s="564"/>
      <c r="D886" s="564"/>
      <c r="E886" s="564"/>
      <c r="F886" s="564"/>
      <c r="G886" s="564"/>
      <c r="H886" s="564"/>
      <c r="I886" s="564"/>
      <c r="J886" s="564"/>
      <c r="K886" s="564"/>
      <c r="L886" s="564"/>
      <c r="M886" s="564"/>
      <c r="N886" s="564"/>
      <c r="O886" s="564"/>
      <c r="P886" s="564"/>
      <c r="Q886" s="564"/>
      <c r="R886" s="564"/>
      <c r="S886" s="564"/>
      <c r="T886" s="564"/>
      <c r="U886" s="564"/>
      <c r="V886" s="564"/>
      <c r="W886" s="564"/>
      <c r="X886" s="564"/>
      <c r="Y886" s="564"/>
      <c r="Z886" s="564"/>
      <c r="AA886" s="564"/>
      <c r="AB886" s="564"/>
      <c r="AC886" s="564"/>
      <c r="AD886" s="564"/>
      <c r="AE886" s="564"/>
      <c r="AF886" s="564"/>
      <c r="AG886" s="564"/>
      <c r="AH886" s="564"/>
      <c r="AI886" s="564"/>
      <c r="AJ886" s="564"/>
      <c r="AK886" s="564"/>
      <c r="AL886" s="564"/>
      <c r="AM886" s="564"/>
      <c r="AN886" s="564"/>
      <c r="AO886" s="564"/>
    </row>
    <row r="887" spans="2:41" x14ac:dyDescent="0.15">
      <c r="B887" s="565">
        <v>33</v>
      </c>
      <c r="C887" s="564"/>
      <c r="D887" s="564"/>
      <c r="E887" s="564"/>
      <c r="F887" s="564"/>
      <c r="G887" s="564"/>
      <c r="H887" s="564"/>
      <c r="I887" s="564"/>
      <c r="J887" s="564"/>
      <c r="K887" s="564"/>
      <c r="L887" s="564"/>
      <c r="M887" s="564"/>
      <c r="N887" s="564"/>
      <c r="O887" s="564"/>
      <c r="P887" s="564"/>
      <c r="Q887" s="564"/>
      <c r="R887" s="564"/>
      <c r="S887" s="564"/>
      <c r="T887" s="564"/>
      <c r="U887" s="564"/>
      <c r="V887" s="564"/>
      <c r="W887" s="564"/>
      <c r="X887" s="564"/>
      <c r="Y887" s="564"/>
      <c r="Z887" s="564"/>
      <c r="AA887" s="564"/>
      <c r="AB887" s="564"/>
      <c r="AC887" s="564"/>
      <c r="AD887" s="564"/>
      <c r="AE887" s="564"/>
      <c r="AF887" s="564"/>
      <c r="AG887" s="564"/>
      <c r="AH887" s="564"/>
      <c r="AI887" s="564"/>
      <c r="AJ887" s="564"/>
      <c r="AK887" s="564"/>
      <c r="AL887" s="564"/>
      <c r="AM887" s="564"/>
      <c r="AN887" s="564"/>
      <c r="AO887" s="564"/>
    </row>
    <row r="888" spans="2:41" x14ac:dyDescent="0.15">
      <c r="B888" s="565">
        <v>34</v>
      </c>
      <c r="C888" s="564"/>
      <c r="D888" s="564"/>
      <c r="E888" s="564"/>
      <c r="F888" s="564"/>
      <c r="G888" s="564"/>
      <c r="H888" s="564"/>
      <c r="I888" s="564"/>
      <c r="J888" s="564"/>
      <c r="K888" s="564"/>
      <c r="L888" s="564"/>
      <c r="M888" s="564"/>
      <c r="N888" s="564"/>
      <c r="O888" s="564"/>
      <c r="P888" s="564"/>
      <c r="Q888" s="564"/>
      <c r="R888" s="564"/>
      <c r="S888" s="564"/>
      <c r="T888" s="564"/>
      <c r="U888" s="564"/>
      <c r="V888" s="564"/>
      <c r="W888" s="564"/>
      <c r="X888" s="564"/>
      <c r="Y888" s="564"/>
      <c r="Z888" s="564"/>
      <c r="AA888" s="564"/>
      <c r="AB888" s="564"/>
      <c r="AC888" s="564"/>
      <c r="AD888" s="564"/>
      <c r="AE888" s="564"/>
      <c r="AF888" s="564"/>
      <c r="AG888" s="564"/>
      <c r="AH888" s="564"/>
      <c r="AI888" s="564"/>
      <c r="AJ888" s="564"/>
      <c r="AK888" s="564"/>
      <c r="AL888" s="564"/>
      <c r="AM888" s="564"/>
      <c r="AN888" s="564"/>
      <c r="AO888" s="564"/>
    </row>
    <row r="889" spans="2:41" x14ac:dyDescent="0.15">
      <c r="B889" s="565">
        <v>35</v>
      </c>
      <c r="C889" s="564"/>
      <c r="D889" s="564"/>
      <c r="E889" s="564"/>
      <c r="F889" s="564"/>
      <c r="G889" s="564"/>
      <c r="H889" s="564"/>
      <c r="I889" s="564"/>
      <c r="J889" s="564"/>
      <c r="K889" s="564"/>
      <c r="L889" s="564"/>
      <c r="M889" s="564"/>
      <c r="N889" s="564"/>
      <c r="O889" s="564"/>
      <c r="P889" s="564"/>
      <c r="Q889" s="564"/>
      <c r="R889" s="564"/>
      <c r="S889" s="564"/>
      <c r="T889" s="564"/>
      <c r="U889" s="564"/>
      <c r="V889" s="564"/>
      <c r="W889" s="564"/>
      <c r="X889" s="564"/>
      <c r="Y889" s="564"/>
      <c r="Z889" s="564"/>
      <c r="AA889" s="564"/>
      <c r="AB889" s="564"/>
      <c r="AC889" s="564"/>
      <c r="AD889" s="564"/>
      <c r="AE889" s="564"/>
      <c r="AF889" s="564"/>
      <c r="AG889" s="564"/>
      <c r="AH889" s="564"/>
      <c r="AI889" s="564"/>
      <c r="AJ889" s="564"/>
      <c r="AK889" s="564"/>
      <c r="AL889" s="564"/>
      <c r="AM889" s="564"/>
      <c r="AN889" s="564"/>
      <c r="AO889" s="564"/>
    </row>
    <row r="890" spans="2:41" x14ac:dyDescent="0.15">
      <c r="B890" s="565">
        <v>36</v>
      </c>
      <c r="C890" s="564"/>
      <c r="D890" s="564"/>
      <c r="E890" s="564"/>
      <c r="F890" s="564"/>
      <c r="G890" s="564"/>
      <c r="H890" s="564"/>
      <c r="I890" s="564"/>
      <c r="J890" s="564"/>
      <c r="K890" s="564"/>
      <c r="L890" s="564"/>
      <c r="M890" s="564"/>
      <c r="N890" s="564"/>
      <c r="O890" s="564"/>
      <c r="P890" s="564"/>
      <c r="Q890" s="564"/>
      <c r="R890" s="564"/>
      <c r="S890" s="564"/>
      <c r="T890" s="564"/>
      <c r="U890" s="564"/>
      <c r="V890" s="564"/>
      <c r="W890" s="564"/>
      <c r="X890" s="564"/>
      <c r="Y890" s="564"/>
      <c r="Z890" s="564"/>
      <c r="AA890" s="564"/>
      <c r="AB890" s="564"/>
      <c r="AC890" s="564"/>
      <c r="AD890" s="564"/>
      <c r="AE890" s="564"/>
      <c r="AF890" s="564"/>
      <c r="AG890" s="564"/>
      <c r="AH890" s="564"/>
      <c r="AI890" s="564"/>
      <c r="AJ890" s="564"/>
      <c r="AK890" s="564"/>
      <c r="AL890" s="564"/>
      <c r="AM890" s="564"/>
      <c r="AN890" s="564"/>
      <c r="AO890" s="564"/>
    </row>
    <row r="891" spans="2:41" x14ac:dyDescent="0.15">
      <c r="B891" s="565">
        <v>37</v>
      </c>
      <c r="C891" s="564"/>
      <c r="D891" s="564"/>
      <c r="E891" s="564"/>
      <c r="F891" s="564"/>
      <c r="G891" s="564"/>
      <c r="H891" s="564"/>
      <c r="I891" s="564"/>
      <c r="J891" s="564"/>
      <c r="K891" s="564"/>
      <c r="L891" s="564"/>
      <c r="M891" s="564"/>
      <c r="N891" s="564"/>
      <c r="O891" s="564"/>
      <c r="P891" s="564"/>
      <c r="Q891" s="564"/>
      <c r="R891" s="564"/>
      <c r="S891" s="564"/>
      <c r="T891" s="564"/>
      <c r="U891" s="564"/>
      <c r="V891" s="564"/>
      <c r="W891" s="564"/>
      <c r="X891" s="564"/>
      <c r="Y891" s="564"/>
      <c r="Z891" s="564"/>
      <c r="AA891" s="564"/>
      <c r="AB891" s="564"/>
      <c r="AC891" s="564"/>
      <c r="AD891" s="564"/>
      <c r="AE891" s="564"/>
      <c r="AF891" s="564"/>
      <c r="AG891" s="564"/>
      <c r="AH891" s="564"/>
      <c r="AI891" s="564"/>
      <c r="AJ891" s="564"/>
      <c r="AK891" s="564"/>
      <c r="AL891" s="564"/>
      <c r="AM891" s="564"/>
      <c r="AN891" s="564"/>
      <c r="AO891" s="564"/>
    </row>
    <row r="892" spans="2:41" x14ac:dyDescent="0.15">
      <c r="B892" s="565">
        <v>38</v>
      </c>
      <c r="C892" s="564"/>
      <c r="D892" s="564"/>
      <c r="E892" s="564"/>
      <c r="F892" s="564"/>
      <c r="G892" s="564"/>
      <c r="H892" s="564"/>
      <c r="I892" s="564"/>
      <c r="J892" s="564"/>
      <c r="K892" s="564"/>
      <c r="L892" s="564"/>
      <c r="M892" s="564"/>
      <c r="N892" s="564"/>
      <c r="O892" s="564"/>
      <c r="P892" s="564"/>
      <c r="Q892" s="564"/>
      <c r="R892" s="564"/>
      <c r="S892" s="564"/>
      <c r="T892" s="564"/>
      <c r="U892" s="564"/>
      <c r="V892" s="564"/>
      <c r="W892" s="564"/>
      <c r="X892" s="564"/>
      <c r="Y892" s="564"/>
      <c r="Z892" s="564"/>
      <c r="AA892" s="564"/>
      <c r="AB892" s="564"/>
      <c r="AC892" s="564"/>
      <c r="AD892" s="564"/>
      <c r="AE892" s="564"/>
      <c r="AF892" s="564"/>
      <c r="AG892" s="564"/>
      <c r="AH892" s="564"/>
      <c r="AI892" s="564"/>
      <c r="AJ892" s="564"/>
      <c r="AK892" s="564"/>
      <c r="AL892" s="564"/>
      <c r="AM892" s="564"/>
      <c r="AN892" s="564"/>
      <c r="AO892" s="564"/>
    </row>
    <row r="893" spans="2:41" x14ac:dyDescent="0.15">
      <c r="B893" s="565">
        <v>39</v>
      </c>
      <c r="C893" s="564"/>
      <c r="D893" s="564"/>
      <c r="E893" s="564"/>
      <c r="F893" s="564"/>
      <c r="G893" s="564"/>
      <c r="H893" s="564"/>
      <c r="I893" s="564"/>
      <c r="J893" s="564"/>
      <c r="K893" s="564"/>
      <c r="L893" s="564"/>
      <c r="M893" s="564"/>
      <c r="N893" s="564"/>
      <c r="O893" s="564"/>
      <c r="P893" s="564"/>
      <c r="Q893" s="564"/>
      <c r="R893" s="564"/>
      <c r="S893" s="564"/>
      <c r="T893" s="564"/>
      <c r="U893" s="564"/>
      <c r="V893" s="564"/>
      <c r="W893" s="564"/>
      <c r="X893" s="564"/>
      <c r="Y893" s="564"/>
      <c r="Z893" s="564"/>
      <c r="AA893" s="564"/>
      <c r="AB893" s="564"/>
      <c r="AC893" s="564"/>
      <c r="AD893" s="564"/>
      <c r="AE893" s="564"/>
      <c r="AF893" s="564"/>
      <c r="AG893" s="564"/>
      <c r="AH893" s="564"/>
      <c r="AI893" s="564"/>
      <c r="AJ893" s="564"/>
      <c r="AK893" s="564"/>
      <c r="AL893" s="564"/>
      <c r="AM893" s="564"/>
      <c r="AN893" s="564"/>
      <c r="AO893" s="564"/>
    </row>
    <row r="894" spans="2:41" x14ac:dyDescent="0.15">
      <c r="B894" s="566">
        <v>40</v>
      </c>
      <c r="C894" s="564"/>
      <c r="D894" s="564"/>
      <c r="E894" s="564"/>
      <c r="F894" s="564"/>
      <c r="G894" s="564"/>
      <c r="H894" s="564"/>
      <c r="I894" s="564"/>
      <c r="J894" s="564"/>
      <c r="K894" s="564"/>
      <c r="L894" s="564"/>
      <c r="M894" s="564"/>
      <c r="N894" s="564"/>
      <c r="O894" s="564"/>
      <c r="P894" s="564"/>
      <c r="Q894" s="564"/>
      <c r="R894" s="564"/>
      <c r="S894" s="564"/>
      <c r="T894" s="564"/>
      <c r="U894" s="564"/>
      <c r="V894" s="564"/>
      <c r="W894" s="564"/>
      <c r="X894" s="564"/>
      <c r="Y894" s="564"/>
      <c r="Z894" s="564"/>
      <c r="AA894" s="564"/>
      <c r="AB894" s="564"/>
      <c r="AC894" s="564"/>
      <c r="AD894" s="564"/>
      <c r="AE894" s="564"/>
      <c r="AF894" s="564"/>
      <c r="AG894" s="564"/>
      <c r="AH894" s="564"/>
      <c r="AI894" s="564"/>
      <c r="AJ894" s="564"/>
      <c r="AK894" s="564"/>
      <c r="AL894" s="564"/>
      <c r="AM894" s="564"/>
      <c r="AN894" s="564"/>
      <c r="AO894" s="564"/>
    </row>
    <row r="903" spans="2:41" s="561" customFormat="1" ht="14" x14ac:dyDescent="0.15">
      <c r="B903" s="558" t="str" cm="1">
        <f t="array" ref="B903:AO903">TRANSPOSE('Syötä kaupungit KIRJASTOLIN_ENT'!$L$1:$L$40)</f>
        <v>MAA 11</v>
      </c>
      <c r="C903" s="562">
        <v>0</v>
      </c>
      <c r="D903" s="562">
        <v>0</v>
      </c>
      <c r="E903" s="562">
        <v>0</v>
      </c>
      <c r="F903" s="562">
        <v>0</v>
      </c>
      <c r="G903" s="562">
        <v>0</v>
      </c>
      <c r="H903" s="562">
        <v>0</v>
      </c>
      <c r="I903" s="562">
        <v>0</v>
      </c>
      <c r="J903" s="562">
        <v>0</v>
      </c>
      <c r="K903" s="562">
        <v>0</v>
      </c>
      <c r="L903" s="562">
        <v>0</v>
      </c>
      <c r="M903" s="562">
        <v>0</v>
      </c>
      <c r="N903" s="562">
        <v>0</v>
      </c>
      <c r="O903" s="562">
        <v>0</v>
      </c>
      <c r="P903" s="562">
        <v>0</v>
      </c>
      <c r="Q903" s="562">
        <v>0</v>
      </c>
      <c r="R903" s="562">
        <v>0</v>
      </c>
      <c r="S903" s="562">
        <v>0</v>
      </c>
      <c r="T903" s="562">
        <v>0</v>
      </c>
      <c r="U903" s="562">
        <v>0</v>
      </c>
      <c r="V903" s="562">
        <v>0</v>
      </c>
      <c r="W903" s="562">
        <v>0</v>
      </c>
      <c r="X903" s="562">
        <v>0</v>
      </c>
      <c r="Y903" s="562">
        <v>0</v>
      </c>
      <c r="Z903" s="562">
        <v>0</v>
      </c>
      <c r="AA903" s="562">
        <v>0</v>
      </c>
      <c r="AB903" s="562">
        <v>0</v>
      </c>
      <c r="AC903" s="562">
        <v>0</v>
      </c>
      <c r="AD903" s="562">
        <v>0</v>
      </c>
      <c r="AE903" s="562">
        <v>0</v>
      </c>
      <c r="AF903" s="562">
        <v>0</v>
      </c>
      <c r="AG903" s="562">
        <v>0</v>
      </c>
      <c r="AH903" s="562">
        <v>0</v>
      </c>
      <c r="AI903" s="562">
        <v>0</v>
      </c>
      <c r="AJ903" s="562">
        <v>0</v>
      </c>
      <c r="AK903" s="562">
        <v>0</v>
      </c>
      <c r="AL903" s="562">
        <v>0</v>
      </c>
      <c r="AM903" s="562">
        <v>0</v>
      </c>
      <c r="AN903" s="562">
        <v>0</v>
      </c>
      <c r="AO903" s="562">
        <v>0</v>
      </c>
    </row>
    <row r="904" spans="2:41" x14ac:dyDescent="0.15">
      <c r="B904" s="563">
        <v>-40</v>
      </c>
      <c r="C904" s="564"/>
      <c r="D904" s="564"/>
      <c r="E904" s="564"/>
      <c r="F904" s="564"/>
      <c r="G904" s="564"/>
      <c r="H904" s="564"/>
      <c r="I904" s="564"/>
      <c r="J904" s="564"/>
      <c r="K904" s="564"/>
      <c r="L904" s="564"/>
      <c r="M904" s="564"/>
      <c r="N904" s="564"/>
      <c r="O904" s="564"/>
      <c r="P904" s="564"/>
      <c r="Q904" s="564"/>
      <c r="R904" s="564"/>
      <c r="S904" s="564"/>
      <c r="T904" s="564"/>
      <c r="U904" s="564"/>
      <c r="V904" s="564"/>
      <c r="W904" s="564"/>
      <c r="X904" s="564"/>
      <c r="Y904" s="564"/>
      <c r="Z904" s="564"/>
      <c r="AA904" s="564"/>
      <c r="AB904" s="564"/>
      <c r="AC904" s="564"/>
      <c r="AD904" s="564"/>
      <c r="AE904" s="564"/>
      <c r="AF904" s="564"/>
      <c r="AG904" s="564"/>
      <c r="AH904" s="564"/>
      <c r="AI904" s="564"/>
      <c r="AJ904" s="564"/>
      <c r="AK904" s="564"/>
      <c r="AL904" s="564"/>
      <c r="AM904" s="564"/>
      <c r="AN904" s="564"/>
      <c r="AO904" s="564"/>
    </row>
    <row r="905" spans="2:41" x14ac:dyDescent="0.15">
      <c r="B905" s="565">
        <v>-39</v>
      </c>
      <c r="C905" s="564"/>
      <c r="D905" s="564"/>
      <c r="E905" s="564"/>
      <c r="F905" s="564"/>
      <c r="G905" s="564"/>
      <c r="H905" s="564"/>
      <c r="I905" s="564"/>
      <c r="J905" s="564"/>
      <c r="K905" s="564"/>
      <c r="L905" s="564"/>
      <c r="M905" s="564"/>
      <c r="N905" s="564"/>
      <c r="O905" s="564"/>
      <c r="P905" s="564"/>
      <c r="Q905" s="564"/>
      <c r="R905" s="564"/>
      <c r="S905" s="564"/>
      <c r="T905" s="564"/>
      <c r="U905" s="564"/>
      <c r="V905" s="564"/>
      <c r="W905" s="564"/>
      <c r="X905" s="564"/>
      <c r="Y905" s="564"/>
      <c r="Z905" s="564"/>
      <c r="AA905" s="564"/>
      <c r="AB905" s="564"/>
      <c r="AC905" s="564"/>
      <c r="AD905" s="564"/>
      <c r="AE905" s="564"/>
      <c r="AF905" s="564"/>
      <c r="AG905" s="564"/>
      <c r="AH905" s="564"/>
      <c r="AI905" s="564"/>
      <c r="AJ905" s="564"/>
      <c r="AK905" s="564"/>
      <c r="AL905" s="564"/>
      <c r="AM905" s="564"/>
      <c r="AN905" s="564"/>
      <c r="AO905" s="564"/>
    </row>
    <row r="906" spans="2:41" x14ac:dyDescent="0.15">
      <c r="B906" s="565">
        <v>-38</v>
      </c>
      <c r="C906" s="564"/>
      <c r="D906" s="564"/>
      <c r="E906" s="564"/>
      <c r="F906" s="564"/>
      <c r="G906" s="564"/>
      <c r="H906" s="564"/>
      <c r="I906" s="564"/>
      <c r="J906" s="564"/>
      <c r="K906" s="564"/>
      <c r="L906" s="564"/>
      <c r="M906" s="564"/>
      <c r="N906" s="564"/>
      <c r="O906" s="564"/>
      <c r="P906" s="564"/>
      <c r="Q906" s="564"/>
      <c r="R906" s="564"/>
      <c r="S906" s="564"/>
      <c r="T906" s="564"/>
      <c r="U906" s="564"/>
      <c r="V906" s="564"/>
      <c r="W906" s="564"/>
      <c r="X906" s="564"/>
      <c r="Y906" s="564"/>
      <c r="Z906" s="564"/>
      <c r="AA906" s="564"/>
      <c r="AB906" s="564"/>
      <c r="AC906" s="564"/>
      <c r="AD906" s="564"/>
      <c r="AE906" s="564"/>
      <c r="AF906" s="564"/>
      <c r="AG906" s="564"/>
      <c r="AH906" s="564"/>
      <c r="AI906" s="564"/>
      <c r="AJ906" s="564"/>
      <c r="AK906" s="564"/>
      <c r="AL906" s="564"/>
      <c r="AM906" s="564"/>
      <c r="AN906" s="564"/>
      <c r="AO906" s="564"/>
    </row>
    <row r="907" spans="2:41" x14ac:dyDescent="0.15">
      <c r="B907" s="565">
        <v>-37</v>
      </c>
      <c r="C907" s="564"/>
      <c r="D907" s="564"/>
      <c r="E907" s="564"/>
      <c r="F907" s="564"/>
      <c r="G907" s="564"/>
      <c r="H907" s="564"/>
      <c r="I907" s="564"/>
      <c r="J907" s="564"/>
      <c r="K907" s="564"/>
      <c r="L907" s="564"/>
      <c r="M907" s="564"/>
      <c r="N907" s="564"/>
      <c r="O907" s="564"/>
      <c r="P907" s="564"/>
      <c r="Q907" s="564"/>
      <c r="R907" s="564"/>
      <c r="S907" s="564"/>
      <c r="T907" s="564"/>
      <c r="U907" s="564"/>
      <c r="V907" s="564"/>
      <c r="W907" s="564"/>
      <c r="X907" s="564"/>
      <c r="Y907" s="564"/>
      <c r="Z907" s="564"/>
      <c r="AA907" s="564"/>
      <c r="AB907" s="564"/>
      <c r="AC907" s="564"/>
      <c r="AD907" s="564"/>
      <c r="AE907" s="564"/>
      <c r="AF907" s="564"/>
      <c r="AG907" s="564"/>
      <c r="AH907" s="564"/>
      <c r="AI907" s="564"/>
      <c r="AJ907" s="564"/>
      <c r="AK907" s="564"/>
      <c r="AL907" s="564"/>
      <c r="AM907" s="564"/>
      <c r="AN907" s="564"/>
      <c r="AO907" s="564"/>
    </row>
    <row r="908" spans="2:41" x14ac:dyDescent="0.15">
      <c r="B908" s="565">
        <v>-36</v>
      </c>
      <c r="C908" s="564"/>
      <c r="D908" s="564"/>
      <c r="E908" s="564"/>
      <c r="F908" s="564"/>
      <c r="G908" s="564"/>
      <c r="H908" s="564"/>
      <c r="I908" s="564"/>
      <c r="J908" s="564"/>
      <c r="K908" s="564"/>
      <c r="L908" s="564"/>
      <c r="M908" s="564"/>
      <c r="N908" s="564"/>
      <c r="O908" s="564"/>
      <c r="P908" s="564"/>
      <c r="Q908" s="564"/>
      <c r="R908" s="564"/>
      <c r="S908" s="564"/>
      <c r="T908" s="564"/>
      <c r="U908" s="564"/>
      <c r="V908" s="564"/>
      <c r="W908" s="564"/>
      <c r="X908" s="564"/>
      <c r="Y908" s="564"/>
      <c r="Z908" s="564"/>
      <c r="AA908" s="564"/>
      <c r="AB908" s="564"/>
      <c r="AC908" s="564"/>
      <c r="AD908" s="564"/>
      <c r="AE908" s="564"/>
      <c r="AF908" s="564"/>
      <c r="AG908" s="564"/>
      <c r="AH908" s="564"/>
      <c r="AI908" s="564"/>
      <c r="AJ908" s="564"/>
      <c r="AK908" s="564"/>
      <c r="AL908" s="564"/>
      <c r="AM908" s="564"/>
      <c r="AN908" s="564"/>
      <c r="AO908" s="564"/>
    </row>
    <row r="909" spans="2:41" x14ac:dyDescent="0.15">
      <c r="B909" s="565">
        <v>-35</v>
      </c>
      <c r="C909" s="564"/>
      <c r="D909" s="564"/>
      <c r="E909" s="564"/>
      <c r="F909" s="564"/>
      <c r="G909" s="564"/>
      <c r="H909" s="564"/>
      <c r="I909" s="564"/>
      <c r="J909" s="564"/>
      <c r="K909" s="564"/>
      <c r="L909" s="564"/>
      <c r="M909" s="564"/>
      <c r="N909" s="564"/>
      <c r="O909" s="564"/>
      <c r="P909" s="564"/>
      <c r="Q909" s="564"/>
      <c r="R909" s="564"/>
      <c r="S909" s="564"/>
      <c r="T909" s="564"/>
      <c r="U909" s="564"/>
      <c r="V909" s="564"/>
      <c r="W909" s="564"/>
      <c r="X909" s="564"/>
      <c r="Y909" s="564"/>
      <c r="Z909" s="564"/>
      <c r="AA909" s="564"/>
      <c r="AB909" s="564"/>
      <c r="AC909" s="564"/>
      <c r="AD909" s="564"/>
      <c r="AE909" s="564"/>
      <c r="AF909" s="564"/>
      <c r="AG909" s="564"/>
      <c r="AH909" s="564"/>
      <c r="AI909" s="564"/>
      <c r="AJ909" s="564"/>
      <c r="AK909" s="564"/>
      <c r="AL909" s="564"/>
      <c r="AM909" s="564"/>
      <c r="AN909" s="564"/>
      <c r="AO909" s="564"/>
    </row>
    <row r="910" spans="2:41" x14ac:dyDescent="0.15">
      <c r="B910" s="565">
        <v>-34</v>
      </c>
      <c r="C910" s="564"/>
      <c r="D910" s="564"/>
      <c r="E910" s="564"/>
      <c r="F910" s="564"/>
      <c r="G910" s="564"/>
      <c r="H910" s="564"/>
      <c r="I910" s="564"/>
      <c r="J910" s="564"/>
      <c r="K910" s="564"/>
      <c r="L910" s="564"/>
      <c r="M910" s="564"/>
      <c r="N910" s="564"/>
      <c r="O910" s="564"/>
      <c r="P910" s="564"/>
      <c r="Q910" s="564"/>
      <c r="R910" s="564"/>
      <c r="S910" s="564"/>
      <c r="T910" s="564"/>
      <c r="U910" s="564"/>
      <c r="V910" s="564"/>
      <c r="W910" s="564"/>
      <c r="X910" s="564"/>
      <c r="Y910" s="564"/>
      <c r="Z910" s="564"/>
      <c r="AA910" s="564"/>
      <c r="AB910" s="564"/>
      <c r="AC910" s="564"/>
      <c r="AD910" s="564"/>
      <c r="AE910" s="564"/>
      <c r="AF910" s="564"/>
      <c r="AG910" s="564"/>
      <c r="AH910" s="564"/>
      <c r="AI910" s="564"/>
      <c r="AJ910" s="564"/>
      <c r="AK910" s="564"/>
      <c r="AL910" s="564"/>
      <c r="AM910" s="564"/>
      <c r="AN910" s="564"/>
      <c r="AO910" s="564"/>
    </row>
    <row r="911" spans="2:41" x14ac:dyDescent="0.15">
      <c r="B911" s="565">
        <v>-33</v>
      </c>
      <c r="C911" s="564"/>
      <c r="D911" s="564"/>
      <c r="E911" s="564"/>
      <c r="F911" s="564"/>
      <c r="G911" s="564"/>
      <c r="H911" s="564"/>
      <c r="I911" s="564"/>
      <c r="J911" s="564"/>
      <c r="K911" s="564"/>
      <c r="L911" s="564"/>
      <c r="M911" s="564"/>
      <c r="N911" s="564"/>
      <c r="O911" s="564"/>
      <c r="P911" s="564"/>
      <c r="Q911" s="564"/>
      <c r="R911" s="564"/>
      <c r="S911" s="564"/>
      <c r="T911" s="564"/>
      <c r="U911" s="564"/>
      <c r="V911" s="564"/>
      <c r="W911" s="564"/>
      <c r="X911" s="564"/>
      <c r="Y911" s="564"/>
      <c r="Z911" s="564"/>
      <c r="AA911" s="564"/>
      <c r="AB911" s="564"/>
      <c r="AC911" s="564"/>
      <c r="AD911" s="564"/>
      <c r="AE911" s="564"/>
      <c r="AF911" s="564"/>
      <c r="AG911" s="564"/>
      <c r="AH911" s="564"/>
      <c r="AI911" s="564"/>
      <c r="AJ911" s="564"/>
      <c r="AK911" s="564"/>
      <c r="AL911" s="564"/>
      <c r="AM911" s="564"/>
      <c r="AN911" s="564"/>
      <c r="AO911" s="564"/>
    </row>
    <row r="912" spans="2:41" x14ac:dyDescent="0.15">
      <c r="B912" s="565">
        <v>-32</v>
      </c>
      <c r="C912" s="564"/>
      <c r="D912" s="564"/>
      <c r="E912" s="564"/>
      <c r="F912" s="564"/>
      <c r="G912" s="564"/>
      <c r="H912" s="564"/>
      <c r="I912" s="564"/>
      <c r="J912" s="564"/>
      <c r="K912" s="564"/>
      <c r="L912" s="564"/>
      <c r="M912" s="564"/>
      <c r="N912" s="564"/>
      <c r="O912" s="564"/>
      <c r="P912" s="564"/>
      <c r="Q912" s="564"/>
      <c r="R912" s="564"/>
      <c r="S912" s="564"/>
      <c r="T912" s="564"/>
      <c r="U912" s="564"/>
      <c r="V912" s="564"/>
      <c r="W912" s="564"/>
      <c r="X912" s="564"/>
      <c r="Y912" s="564"/>
      <c r="Z912" s="564"/>
      <c r="AA912" s="564"/>
      <c r="AB912" s="564"/>
      <c r="AC912" s="564"/>
      <c r="AD912" s="564"/>
      <c r="AE912" s="564"/>
      <c r="AF912" s="564"/>
      <c r="AG912" s="564"/>
      <c r="AH912" s="564"/>
      <c r="AI912" s="564"/>
      <c r="AJ912" s="564"/>
      <c r="AK912" s="564"/>
      <c r="AL912" s="564"/>
      <c r="AM912" s="564"/>
      <c r="AN912" s="564"/>
      <c r="AO912" s="564"/>
    </row>
    <row r="913" spans="2:41" x14ac:dyDescent="0.15">
      <c r="B913" s="565">
        <v>-31</v>
      </c>
      <c r="C913" s="564"/>
      <c r="D913" s="564"/>
      <c r="E913" s="564"/>
      <c r="F913" s="564"/>
      <c r="G913" s="564"/>
      <c r="H913" s="564"/>
      <c r="I913" s="564"/>
      <c r="J913" s="564"/>
      <c r="K913" s="564"/>
      <c r="L913" s="564"/>
      <c r="M913" s="564"/>
      <c r="N913" s="564"/>
      <c r="O913" s="564"/>
      <c r="P913" s="564"/>
      <c r="Q913" s="564"/>
      <c r="R913" s="564"/>
      <c r="S913" s="564"/>
      <c r="T913" s="564"/>
      <c r="U913" s="564"/>
      <c r="V913" s="564"/>
      <c r="W913" s="564"/>
      <c r="X913" s="564"/>
      <c r="Y913" s="564"/>
      <c r="Z913" s="564"/>
      <c r="AA913" s="564"/>
      <c r="AB913" s="564"/>
      <c r="AC913" s="564"/>
      <c r="AD913" s="564"/>
      <c r="AE913" s="564"/>
      <c r="AF913" s="564"/>
      <c r="AG913" s="564"/>
      <c r="AH913" s="564"/>
      <c r="AI913" s="564"/>
      <c r="AJ913" s="564"/>
      <c r="AK913" s="564"/>
      <c r="AL913" s="564"/>
      <c r="AM913" s="564"/>
      <c r="AN913" s="564"/>
      <c r="AO913" s="564"/>
    </row>
    <row r="914" spans="2:41" x14ac:dyDescent="0.15">
      <c r="B914" s="565">
        <v>-30</v>
      </c>
      <c r="C914" s="564"/>
      <c r="D914" s="564"/>
      <c r="E914" s="564"/>
      <c r="F914" s="564"/>
      <c r="G914" s="564"/>
      <c r="H914" s="564"/>
      <c r="I914" s="564"/>
      <c r="J914" s="564"/>
      <c r="K914" s="564"/>
      <c r="L914" s="564"/>
      <c r="M914" s="564"/>
      <c r="N914" s="564"/>
      <c r="O914" s="564"/>
      <c r="P914" s="564"/>
      <c r="Q914" s="564"/>
      <c r="R914" s="564"/>
      <c r="S914" s="564"/>
      <c r="T914" s="564"/>
      <c r="U914" s="564"/>
      <c r="V914" s="564"/>
      <c r="W914" s="564"/>
      <c r="X914" s="564"/>
      <c r="Y914" s="564"/>
      <c r="Z914" s="564"/>
      <c r="AA914" s="564"/>
      <c r="AB914" s="564"/>
      <c r="AC914" s="564"/>
      <c r="AD914" s="564"/>
      <c r="AE914" s="564"/>
      <c r="AF914" s="564"/>
      <c r="AG914" s="564"/>
      <c r="AH914" s="564"/>
      <c r="AI914" s="564"/>
      <c r="AJ914" s="564"/>
      <c r="AK914" s="564"/>
      <c r="AL914" s="564"/>
      <c r="AM914" s="564"/>
      <c r="AN914" s="564"/>
      <c r="AO914" s="564"/>
    </row>
    <row r="915" spans="2:41" x14ac:dyDescent="0.15">
      <c r="B915" s="565">
        <v>-29</v>
      </c>
      <c r="C915" s="564"/>
      <c r="D915" s="564"/>
      <c r="E915" s="564"/>
      <c r="F915" s="564"/>
      <c r="G915" s="564"/>
      <c r="H915" s="564"/>
      <c r="I915" s="564"/>
      <c r="J915" s="564"/>
      <c r="K915" s="564"/>
      <c r="L915" s="564"/>
      <c r="M915" s="564"/>
      <c r="N915" s="564"/>
      <c r="O915" s="564"/>
      <c r="P915" s="564"/>
      <c r="Q915" s="564"/>
      <c r="R915" s="564"/>
      <c r="S915" s="564"/>
      <c r="T915" s="564"/>
      <c r="U915" s="564"/>
      <c r="V915" s="564"/>
      <c r="W915" s="564"/>
      <c r="X915" s="564"/>
      <c r="Y915" s="564"/>
      <c r="Z915" s="564"/>
      <c r="AA915" s="564"/>
      <c r="AB915" s="564"/>
      <c r="AC915" s="564"/>
      <c r="AD915" s="564"/>
      <c r="AE915" s="564"/>
      <c r="AF915" s="564"/>
      <c r="AG915" s="564"/>
      <c r="AH915" s="564"/>
      <c r="AI915" s="564"/>
      <c r="AJ915" s="564"/>
      <c r="AK915" s="564"/>
      <c r="AL915" s="564"/>
      <c r="AM915" s="564"/>
      <c r="AN915" s="564"/>
      <c r="AO915" s="564"/>
    </row>
    <row r="916" spans="2:41" x14ac:dyDescent="0.15">
      <c r="B916" s="565">
        <v>-28</v>
      </c>
      <c r="C916" s="564"/>
      <c r="D916" s="564"/>
      <c r="E916" s="564"/>
      <c r="F916" s="564"/>
      <c r="G916" s="564"/>
      <c r="H916" s="564"/>
      <c r="I916" s="564"/>
      <c r="J916" s="564"/>
      <c r="K916" s="564"/>
      <c r="L916" s="564"/>
      <c r="M916" s="564"/>
      <c r="N916" s="564"/>
      <c r="O916" s="564"/>
      <c r="P916" s="564"/>
      <c r="Q916" s="564"/>
      <c r="R916" s="564"/>
      <c r="S916" s="564"/>
      <c r="T916" s="564"/>
      <c r="U916" s="564"/>
      <c r="V916" s="564"/>
      <c r="W916" s="564"/>
      <c r="X916" s="564"/>
      <c r="Y916" s="564"/>
      <c r="Z916" s="564"/>
      <c r="AA916" s="564"/>
      <c r="AB916" s="564"/>
      <c r="AC916" s="564"/>
      <c r="AD916" s="564"/>
      <c r="AE916" s="564"/>
      <c r="AF916" s="564"/>
      <c r="AG916" s="564"/>
      <c r="AH916" s="564"/>
      <c r="AI916" s="564"/>
      <c r="AJ916" s="564"/>
      <c r="AK916" s="564"/>
      <c r="AL916" s="564"/>
      <c r="AM916" s="564"/>
      <c r="AN916" s="564"/>
      <c r="AO916" s="564"/>
    </row>
    <row r="917" spans="2:41" x14ac:dyDescent="0.15">
      <c r="B917" s="565">
        <v>-27</v>
      </c>
      <c r="C917" s="564"/>
      <c r="D917" s="564"/>
      <c r="E917" s="564"/>
      <c r="F917" s="564"/>
      <c r="G917" s="564"/>
      <c r="H917" s="564"/>
      <c r="I917" s="564"/>
      <c r="J917" s="564"/>
      <c r="K917" s="564"/>
      <c r="L917" s="564"/>
      <c r="M917" s="564"/>
      <c r="N917" s="564"/>
      <c r="O917" s="564"/>
      <c r="P917" s="564"/>
      <c r="Q917" s="564"/>
      <c r="R917" s="564"/>
      <c r="S917" s="564"/>
      <c r="T917" s="564"/>
      <c r="U917" s="564"/>
      <c r="V917" s="564"/>
      <c r="W917" s="564"/>
      <c r="X917" s="564"/>
      <c r="Y917" s="564"/>
      <c r="Z917" s="564"/>
      <c r="AA917" s="564"/>
      <c r="AB917" s="564"/>
      <c r="AC917" s="564"/>
      <c r="AD917" s="564"/>
      <c r="AE917" s="564"/>
      <c r="AF917" s="564"/>
      <c r="AG917" s="564"/>
      <c r="AH917" s="564"/>
      <c r="AI917" s="564"/>
      <c r="AJ917" s="564"/>
      <c r="AK917" s="564"/>
      <c r="AL917" s="564"/>
      <c r="AM917" s="564"/>
      <c r="AN917" s="564"/>
      <c r="AO917" s="564"/>
    </row>
    <row r="918" spans="2:41" x14ac:dyDescent="0.15">
      <c r="B918" s="565">
        <v>-26</v>
      </c>
      <c r="C918" s="564"/>
      <c r="D918" s="564"/>
      <c r="E918" s="564"/>
      <c r="F918" s="564"/>
      <c r="G918" s="564"/>
      <c r="H918" s="564"/>
      <c r="I918" s="564"/>
      <c r="J918" s="564"/>
      <c r="K918" s="564"/>
      <c r="L918" s="564"/>
      <c r="M918" s="564"/>
      <c r="N918" s="564"/>
      <c r="O918" s="564"/>
      <c r="P918" s="564"/>
      <c r="Q918" s="564"/>
      <c r="R918" s="564"/>
      <c r="S918" s="564"/>
      <c r="T918" s="564"/>
      <c r="U918" s="564"/>
      <c r="V918" s="564"/>
      <c r="W918" s="564"/>
      <c r="X918" s="564"/>
      <c r="Y918" s="564"/>
      <c r="Z918" s="564"/>
      <c r="AA918" s="564"/>
      <c r="AB918" s="564"/>
      <c r="AC918" s="564"/>
      <c r="AD918" s="564"/>
      <c r="AE918" s="564"/>
      <c r="AF918" s="564"/>
      <c r="AG918" s="564"/>
      <c r="AH918" s="564"/>
      <c r="AI918" s="564"/>
      <c r="AJ918" s="564"/>
      <c r="AK918" s="564"/>
      <c r="AL918" s="564"/>
      <c r="AM918" s="564"/>
      <c r="AN918" s="564"/>
      <c r="AO918" s="564"/>
    </row>
    <row r="919" spans="2:41" x14ac:dyDescent="0.15">
      <c r="B919" s="565">
        <v>-25</v>
      </c>
      <c r="C919" s="564"/>
      <c r="D919" s="564"/>
      <c r="E919" s="564"/>
      <c r="F919" s="564"/>
      <c r="G919" s="564"/>
      <c r="H919" s="564"/>
      <c r="I919" s="564"/>
      <c r="J919" s="564"/>
      <c r="K919" s="564"/>
      <c r="L919" s="564"/>
      <c r="M919" s="564"/>
      <c r="N919" s="564"/>
      <c r="O919" s="564"/>
      <c r="P919" s="564"/>
      <c r="Q919" s="564"/>
      <c r="R919" s="564"/>
      <c r="S919" s="564"/>
      <c r="T919" s="564"/>
      <c r="U919" s="564"/>
      <c r="V919" s="564"/>
      <c r="W919" s="564"/>
      <c r="X919" s="564"/>
      <c r="Y919" s="564"/>
      <c r="Z919" s="564"/>
      <c r="AA919" s="564"/>
      <c r="AB919" s="564"/>
      <c r="AC919" s="564"/>
      <c r="AD919" s="564"/>
      <c r="AE919" s="564"/>
      <c r="AF919" s="564"/>
      <c r="AG919" s="564"/>
      <c r="AH919" s="564"/>
      <c r="AI919" s="564"/>
      <c r="AJ919" s="564"/>
      <c r="AK919" s="564"/>
      <c r="AL919" s="564"/>
      <c r="AM919" s="564"/>
      <c r="AN919" s="564"/>
      <c r="AO919" s="564"/>
    </row>
    <row r="920" spans="2:41" x14ac:dyDescent="0.15">
      <c r="B920" s="565">
        <v>-24</v>
      </c>
      <c r="C920" s="564"/>
      <c r="D920" s="564"/>
      <c r="E920" s="564"/>
      <c r="F920" s="564"/>
      <c r="G920" s="564"/>
      <c r="H920" s="564"/>
      <c r="I920" s="564"/>
      <c r="J920" s="564"/>
      <c r="K920" s="564"/>
      <c r="L920" s="564"/>
      <c r="M920" s="564"/>
      <c r="N920" s="564"/>
      <c r="O920" s="564"/>
      <c r="P920" s="564"/>
      <c r="Q920" s="564"/>
      <c r="R920" s="564"/>
      <c r="S920" s="564"/>
      <c r="T920" s="564"/>
      <c r="U920" s="564"/>
      <c r="V920" s="564"/>
      <c r="W920" s="564"/>
      <c r="X920" s="564"/>
      <c r="Y920" s="564"/>
      <c r="Z920" s="564"/>
      <c r="AA920" s="564"/>
      <c r="AB920" s="564"/>
      <c r="AC920" s="564"/>
      <c r="AD920" s="564"/>
      <c r="AE920" s="564"/>
      <c r="AF920" s="564"/>
      <c r="AG920" s="564"/>
      <c r="AH920" s="564"/>
      <c r="AI920" s="564"/>
      <c r="AJ920" s="564"/>
      <c r="AK920" s="564"/>
      <c r="AL920" s="564"/>
      <c r="AM920" s="564"/>
      <c r="AN920" s="564"/>
      <c r="AO920" s="564"/>
    </row>
    <row r="921" spans="2:41" x14ac:dyDescent="0.15">
      <c r="B921" s="565">
        <v>-23</v>
      </c>
      <c r="C921" s="564"/>
      <c r="D921" s="564"/>
      <c r="E921" s="564"/>
      <c r="F921" s="564"/>
      <c r="G921" s="564"/>
      <c r="H921" s="564"/>
      <c r="I921" s="564"/>
      <c r="J921" s="564"/>
      <c r="K921" s="564"/>
      <c r="L921" s="564"/>
      <c r="M921" s="564"/>
      <c r="N921" s="564"/>
      <c r="O921" s="564"/>
      <c r="P921" s="564"/>
      <c r="Q921" s="564"/>
      <c r="R921" s="564"/>
      <c r="S921" s="564"/>
      <c r="T921" s="564"/>
      <c r="U921" s="564"/>
      <c r="V921" s="564"/>
      <c r="W921" s="564"/>
      <c r="X921" s="564"/>
      <c r="Y921" s="564"/>
      <c r="Z921" s="564"/>
      <c r="AA921" s="564"/>
      <c r="AB921" s="564"/>
      <c r="AC921" s="564"/>
      <c r="AD921" s="564"/>
      <c r="AE921" s="564"/>
      <c r="AF921" s="564"/>
      <c r="AG921" s="564"/>
      <c r="AH921" s="564"/>
      <c r="AI921" s="564"/>
      <c r="AJ921" s="564"/>
      <c r="AK921" s="564"/>
      <c r="AL921" s="564"/>
      <c r="AM921" s="564"/>
      <c r="AN921" s="564"/>
      <c r="AO921" s="564"/>
    </row>
    <row r="922" spans="2:41" x14ac:dyDescent="0.15">
      <c r="B922" s="565">
        <v>-22</v>
      </c>
      <c r="C922" s="564"/>
      <c r="D922" s="564"/>
      <c r="E922" s="564"/>
      <c r="F922" s="564"/>
      <c r="G922" s="564"/>
      <c r="H922" s="564"/>
      <c r="I922" s="564"/>
      <c r="J922" s="564"/>
      <c r="K922" s="564"/>
      <c r="L922" s="564"/>
      <c r="M922" s="564"/>
      <c r="N922" s="564"/>
      <c r="O922" s="564"/>
      <c r="P922" s="564"/>
      <c r="Q922" s="564"/>
      <c r="R922" s="564"/>
      <c r="S922" s="564"/>
      <c r="T922" s="564"/>
      <c r="U922" s="564"/>
      <c r="V922" s="564"/>
      <c r="W922" s="564"/>
      <c r="X922" s="564"/>
      <c r="Y922" s="564"/>
      <c r="Z922" s="564"/>
      <c r="AA922" s="564"/>
      <c r="AB922" s="564"/>
      <c r="AC922" s="564"/>
      <c r="AD922" s="564"/>
      <c r="AE922" s="564"/>
      <c r="AF922" s="564"/>
      <c r="AG922" s="564"/>
      <c r="AH922" s="564"/>
      <c r="AI922" s="564"/>
      <c r="AJ922" s="564"/>
      <c r="AK922" s="564"/>
      <c r="AL922" s="564"/>
      <c r="AM922" s="564"/>
      <c r="AN922" s="564"/>
      <c r="AO922" s="564"/>
    </row>
    <row r="923" spans="2:41" x14ac:dyDescent="0.15">
      <c r="B923" s="565">
        <v>-21</v>
      </c>
      <c r="C923" s="564"/>
      <c r="D923" s="564"/>
      <c r="E923" s="564"/>
      <c r="F923" s="564"/>
      <c r="G923" s="564"/>
      <c r="H923" s="564"/>
      <c r="I923" s="564"/>
      <c r="J923" s="564"/>
      <c r="K923" s="564"/>
      <c r="L923" s="564"/>
      <c r="M923" s="564"/>
      <c r="N923" s="564"/>
      <c r="O923" s="564"/>
      <c r="P923" s="564"/>
      <c r="Q923" s="564"/>
      <c r="R923" s="564"/>
      <c r="S923" s="564"/>
      <c r="T923" s="564"/>
      <c r="U923" s="564"/>
      <c r="V923" s="564"/>
      <c r="W923" s="564"/>
      <c r="X923" s="564"/>
      <c r="Y923" s="564"/>
      <c r="Z923" s="564"/>
      <c r="AA923" s="564"/>
      <c r="AB923" s="564"/>
      <c r="AC923" s="564"/>
      <c r="AD923" s="564"/>
      <c r="AE923" s="564"/>
      <c r="AF923" s="564"/>
      <c r="AG923" s="564"/>
      <c r="AH923" s="564"/>
      <c r="AI923" s="564"/>
      <c r="AJ923" s="564"/>
      <c r="AK923" s="564"/>
      <c r="AL923" s="564"/>
      <c r="AM923" s="564"/>
      <c r="AN923" s="564"/>
      <c r="AO923" s="564"/>
    </row>
    <row r="924" spans="2:41" x14ac:dyDescent="0.15">
      <c r="B924" s="565">
        <v>-20</v>
      </c>
      <c r="C924" s="564"/>
      <c r="D924" s="564"/>
      <c r="E924" s="564"/>
      <c r="F924" s="564"/>
      <c r="G924" s="564"/>
      <c r="H924" s="564"/>
      <c r="I924" s="564"/>
      <c r="J924" s="564"/>
      <c r="K924" s="564"/>
      <c r="L924" s="564"/>
      <c r="M924" s="564"/>
      <c r="N924" s="564"/>
      <c r="O924" s="564"/>
      <c r="P924" s="564"/>
      <c r="Q924" s="564"/>
      <c r="R924" s="564"/>
      <c r="S924" s="564"/>
      <c r="T924" s="564"/>
      <c r="U924" s="564"/>
      <c r="V924" s="564"/>
      <c r="W924" s="564"/>
      <c r="X924" s="564"/>
      <c r="Y924" s="564"/>
      <c r="Z924" s="564"/>
      <c r="AA924" s="564"/>
      <c r="AB924" s="564"/>
      <c r="AC924" s="564"/>
      <c r="AD924" s="564"/>
      <c r="AE924" s="564"/>
      <c r="AF924" s="564"/>
      <c r="AG924" s="564"/>
      <c r="AH924" s="564"/>
      <c r="AI924" s="564"/>
      <c r="AJ924" s="564"/>
      <c r="AK924" s="564"/>
      <c r="AL924" s="564"/>
      <c r="AM924" s="564"/>
      <c r="AN924" s="564"/>
      <c r="AO924" s="564"/>
    </row>
    <row r="925" spans="2:41" x14ac:dyDescent="0.15">
      <c r="B925" s="565">
        <v>-19</v>
      </c>
      <c r="C925" s="564"/>
      <c r="D925" s="564"/>
      <c r="E925" s="564"/>
      <c r="F925" s="564"/>
      <c r="G925" s="564"/>
      <c r="H925" s="564"/>
      <c r="I925" s="564"/>
      <c r="J925" s="564"/>
      <c r="K925" s="564"/>
      <c r="L925" s="564"/>
      <c r="M925" s="564"/>
      <c r="N925" s="564"/>
      <c r="O925" s="564"/>
      <c r="P925" s="564"/>
      <c r="Q925" s="564"/>
      <c r="R925" s="564"/>
      <c r="S925" s="564"/>
      <c r="T925" s="564"/>
      <c r="U925" s="564"/>
      <c r="V925" s="564"/>
      <c r="W925" s="564"/>
      <c r="X925" s="564"/>
      <c r="Y925" s="564"/>
      <c r="Z925" s="564"/>
      <c r="AA925" s="564"/>
      <c r="AB925" s="564"/>
      <c r="AC925" s="564"/>
      <c r="AD925" s="564"/>
      <c r="AE925" s="564"/>
      <c r="AF925" s="564"/>
      <c r="AG925" s="564"/>
      <c r="AH925" s="564"/>
      <c r="AI925" s="564"/>
      <c r="AJ925" s="564"/>
      <c r="AK925" s="564"/>
      <c r="AL925" s="564"/>
      <c r="AM925" s="564"/>
      <c r="AN925" s="564"/>
      <c r="AO925" s="564"/>
    </row>
    <row r="926" spans="2:41" x14ac:dyDescent="0.15">
      <c r="B926" s="565">
        <v>-18</v>
      </c>
      <c r="C926" s="564"/>
      <c r="D926" s="564"/>
      <c r="E926" s="564"/>
      <c r="F926" s="564"/>
      <c r="G926" s="564"/>
      <c r="H926" s="564"/>
      <c r="I926" s="564"/>
      <c r="J926" s="564"/>
      <c r="K926" s="564"/>
      <c r="L926" s="564"/>
      <c r="M926" s="564"/>
      <c r="N926" s="564"/>
      <c r="O926" s="564"/>
      <c r="P926" s="564"/>
      <c r="Q926" s="564"/>
      <c r="R926" s="564"/>
      <c r="S926" s="564"/>
      <c r="T926" s="564"/>
      <c r="U926" s="564"/>
      <c r="V926" s="564"/>
      <c r="W926" s="564"/>
      <c r="X926" s="564"/>
      <c r="Y926" s="564"/>
      <c r="Z926" s="564"/>
      <c r="AA926" s="564"/>
      <c r="AB926" s="564"/>
      <c r="AC926" s="564"/>
      <c r="AD926" s="564"/>
      <c r="AE926" s="564"/>
      <c r="AF926" s="564"/>
      <c r="AG926" s="564"/>
      <c r="AH926" s="564"/>
      <c r="AI926" s="564"/>
      <c r="AJ926" s="564"/>
      <c r="AK926" s="564"/>
      <c r="AL926" s="564"/>
      <c r="AM926" s="564"/>
      <c r="AN926" s="564"/>
      <c r="AO926" s="564"/>
    </row>
    <row r="927" spans="2:41" x14ac:dyDescent="0.15">
      <c r="B927" s="565">
        <v>-17</v>
      </c>
      <c r="C927" s="564"/>
      <c r="D927" s="564"/>
      <c r="E927" s="564"/>
      <c r="F927" s="564"/>
      <c r="G927" s="564"/>
      <c r="H927" s="564"/>
      <c r="I927" s="564"/>
      <c r="J927" s="564"/>
      <c r="K927" s="564"/>
      <c r="L927" s="564"/>
      <c r="M927" s="564"/>
      <c r="N927" s="564"/>
      <c r="O927" s="564"/>
      <c r="P927" s="564"/>
      <c r="Q927" s="564"/>
      <c r="R927" s="564"/>
      <c r="S927" s="564"/>
      <c r="T927" s="564"/>
      <c r="U927" s="564"/>
      <c r="V927" s="564"/>
      <c r="W927" s="564"/>
      <c r="X927" s="564"/>
      <c r="Y927" s="564"/>
      <c r="Z927" s="564"/>
      <c r="AA927" s="564"/>
      <c r="AB927" s="564"/>
      <c r="AC927" s="564"/>
      <c r="AD927" s="564"/>
      <c r="AE927" s="564"/>
      <c r="AF927" s="564"/>
      <c r="AG927" s="564"/>
      <c r="AH927" s="564"/>
      <c r="AI927" s="564"/>
      <c r="AJ927" s="564"/>
      <c r="AK927" s="564"/>
      <c r="AL927" s="564"/>
      <c r="AM927" s="564"/>
      <c r="AN927" s="564"/>
      <c r="AO927" s="564"/>
    </row>
    <row r="928" spans="2:41" x14ac:dyDescent="0.15">
      <c r="B928" s="565">
        <v>-16</v>
      </c>
      <c r="C928" s="564"/>
      <c r="D928" s="564"/>
      <c r="E928" s="564"/>
      <c r="F928" s="564"/>
      <c r="G928" s="564"/>
      <c r="H928" s="564"/>
      <c r="I928" s="564"/>
      <c r="J928" s="564"/>
      <c r="K928" s="564"/>
      <c r="L928" s="564"/>
      <c r="M928" s="564"/>
      <c r="N928" s="564"/>
      <c r="O928" s="564"/>
      <c r="P928" s="564"/>
      <c r="Q928" s="564"/>
      <c r="R928" s="564"/>
      <c r="S928" s="564"/>
      <c r="T928" s="564"/>
      <c r="U928" s="564"/>
      <c r="V928" s="564"/>
      <c r="W928" s="564"/>
      <c r="X928" s="564"/>
      <c r="Y928" s="564"/>
      <c r="Z928" s="564"/>
      <c r="AA928" s="564"/>
      <c r="AB928" s="564"/>
      <c r="AC928" s="564"/>
      <c r="AD928" s="564"/>
      <c r="AE928" s="564"/>
      <c r="AF928" s="564"/>
      <c r="AG928" s="564"/>
      <c r="AH928" s="564"/>
      <c r="AI928" s="564"/>
      <c r="AJ928" s="564"/>
      <c r="AK928" s="564"/>
      <c r="AL928" s="564"/>
      <c r="AM928" s="564"/>
      <c r="AN928" s="564"/>
      <c r="AO928" s="564"/>
    </row>
    <row r="929" spans="2:41" x14ac:dyDescent="0.15">
      <c r="B929" s="565">
        <v>-15</v>
      </c>
      <c r="C929" s="564"/>
      <c r="D929" s="564"/>
      <c r="E929" s="564"/>
      <c r="F929" s="564"/>
      <c r="G929" s="564"/>
      <c r="H929" s="564"/>
      <c r="I929" s="564"/>
      <c r="J929" s="564"/>
      <c r="K929" s="564"/>
      <c r="L929" s="564"/>
      <c r="M929" s="564"/>
      <c r="N929" s="564"/>
      <c r="O929" s="564"/>
      <c r="P929" s="564"/>
      <c r="Q929" s="564"/>
      <c r="R929" s="564"/>
      <c r="S929" s="564"/>
      <c r="T929" s="564"/>
      <c r="U929" s="564"/>
      <c r="V929" s="564"/>
      <c r="W929" s="564"/>
      <c r="X929" s="564"/>
      <c r="Y929" s="564"/>
      <c r="Z929" s="564"/>
      <c r="AA929" s="564"/>
      <c r="AB929" s="564"/>
      <c r="AC929" s="564"/>
      <c r="AD929" s="564"/>
      <c r="AE929" s="564"/>
      <c r="AF929" s="564"/>
      <c r="AG929" s="564"/>
      <c r="AH929" s="564"/>
      <c r="AI929" s="564"/>
      <c r="AJ929" s="564"/>
      <c r="AK929" s="564"/>
      <c r="AL929" s="564"/>
      <c r="AM929" s="564"/>
      <c r="AN929" s="564"/>
      <c r="AO929" s="564"/>
    </row>
    <row r="930" spans="2:41" x14ac:dyDescent="0.15">
      <c r="B930" s="565">
        <v>-14</v>
      </c>
      <c r="C930" s="564"/>
      <c r="D930" s="564"/>
      <c r="E930" s="564"/>
      <c r="F930" s="564"/>
      <c r="G930" s="564"/>
      <c r="H930" s="564"/>
      <c r="I930" s="564"/>
      <c r="J930" s="564"/>
      <c r="K930" s="564"/>
      <c r="L930" s="564"/>
      <c r="M930" s="564"/>
      <c r="N930" s="564"/>
      <c r="O930" s="564"/>
      <c r="P930" s="564"/>
      <c r="Q930" s="564"/>
      <c r="R930" s="564"/>
      <c r="S930" s="564"/>
      <c r="T930" s="564"/>
      <c r="U930" s="564"/>
      <c r="V930" s="564"/>
      <c r="W930" s="564"/>
      <c r="X930" s="564"/>
      <c r="Y930" s="564"/>
      <c r="Z930" s="564"/>
      <c r="AA930" s="564"/>
      <c r="AB930" s="564"/>
      <c r="AC930" s="564"/>
      <c r="AD930" s="564"/>
      <c r="AE930" s="564"/>
      <c r="AF930" s="564"/>
      <c r="AG930" s="564"/>
      <c r="AH930" s="564"/>
      <c r="AI930" s="564"/>
      <c r="AJ930" s="564"/>
      <c r="AK930" s="564"/>
      <c r="AL930" s="564"/>
      <c r="AM930" s="564"/>
      <c r="AN930" s="564"/>
      <c r="AO930" s="564"/>
    </row>
    <row r="931" spans="2:41" x14ac:dyDescent="0.15">
      <c r="B931" s="565">
        <v>-13</v>
      </c>
      <c r="C931" s="564"/>
      <c r="D931" s="564"/>
      <c r="E931" s="564"/>
      <c r="F931" s="564"/>
      <c r="G931" s="564"/>
      <c r="H931" s="564"/>
      <c r="I931" s="564"/>
      <c r="J931" s="564"/>
      <c r="K931" s="564"/>
      <c r="L931" s="564"/>
      <c r="M931" s="564"/>
      <c r="N931" s="564"/>
      <c r="O931" s="564"/>
      <c r="P931" s="564"/>
      <c r="Q931" s="564"/>
      <c r="R931" s="564"/>
      <c r="S931" s="564"/>
      <c r="T931" s="564"/>
      <c r="U931" s="564"/>
      <c r="V931" s="564"/>
      <c r="W931" s="564"/>
      <c r="X931" s="564"/>
      <c r="Y931" s="564"/>
      <c r="Z931" s="564"/>
      <c r="AA931" s="564"/>
      <c r="AB931" s="564"/>
      <c r="AC931" s="564"/>
      <c r="AD931" s="564"/>
      <c r="AE931" s="564"/>
      <c r="AF931" s="564"/>
      <c r="AG931" s="564"/>
      <c r="AH931" s="564"/>
      <c r="AI931" s="564"/>
      <c r="AJ931" s="564"/>
      <c r="AK931" s="564"/>
      <c r="AL931" s="564"/>
      <c r="AM931" s="564"/>
      <c r="AN931" s="564"/>
      <c r="AO931" s="564"/>
    </row>
    <row r="932" spans="2:41" x14ac:dyDescent="0.15">
      <c r="B932" s="565">
        <v>-12</v>
      </c>
      <c r="C932" s="564"/>
      <c r="D932" s="564"/>
      <c r="E932" s="564"/>
      <c r="F932" s="564"/>
      <c r="G932" s="564"/>
      <c r="H932" s="564"/>
      <c r="I932" s="564"/>
      <c r="J932" s="564"/>
      <c r="K932" s="564"/>
      <c r="L932" s="564"/>
      <c r="M932" s="564"/>
      <c r="N932" s="564"/>
      <c r="O932" s="564"/>
      <c r="P932" s="564"/>
      <c r="Q932" s="564"/>
      <c r="R932" s="564"/>
      <c r="S932" s="564"/>
      <c r="T932" s="564"/>
      <c r="U932" s="564"/>
      <c r="V932" s="564"/>
      <c r="W932" s="564"/>
      <c r="X932" s="564"/>
      <c r="Y932" s="564"/>
      <c r="Z932" s="564"/>
      <c r="AA932" s="564"/>
      <c r="AB932" s="564"/>
      <c r="AC932" s="564"/>
      <c r="AD932" s="564"/>
      <c r="AE932" s="564"/>
      <c r="AF932" s="564"/>
      <c r="AG932" s="564"/>
      <c r="AH932" s="564"/>
      <c r="AI932" s="564"/>
      <c r="AJ932" s="564"/>
      <c r="AK932" s="564"/>
      <c r="AL932" s="564"/>
      <c r="AM932" s="564"/>
      <c r="AN932" s="564"/>
      <c r="AO932" s="564"/>
    </row>
    <row r="933" spans="2:41" x14ac:dyDescent="0.15">
      <c r="B933" s="565">
        <v>-11</v>
      </c>
      <c r="C933" s="564"/>
      <c r="D933" s="564"/>
      <c r="E933" s="564"/>
      <c r="F933" s="564"/>
      <c r="G933" s="564"/>
      <c r="H933" s="564"/>
      <c r="I933" s="564"/>
      <c r="J933" s="564"/>
      <c r="K933" s="564"/>
      <c r="L933" s="564"/>
      <c r="M933" s="564"/>
      <c r="N933" s="564"/>
      <c r="O933" s="564"/>
      <c r="P933" s="564"/>
      <c r="Q933" s="564"/>
      <c r="R933" s="564"/>
      <c r="S933" s="564"/>
      <c r="T933" s="564"/>
      <c r="U933" s="564"/>
      <c r="V933" s="564"/>
      <c r="W933" s="564"/>
      <c r="X933" s="564"/>
      <c r="Y933" s="564"/>
      <c r="Z933" s="564"/>
      <c r="AA933" s="564"/>
      <c r="AB933" s="564"/>
      <c r="AC933" s="564"/>
      <c r="AD933" s="564"/>
      <c r="AE933" s="564"/>
      <c r="AF933" s="564"/>
      <c r="AG933" s="564"/>
      <c r="AH933" s="564"/>
      <c r="AI933" s="564"/>
      <c r="AJ933" s="564"/>
      <c r="AK933" s="564"/>
      <c r="AL933" s="564"/>
      <c r="AM933" s="564"/>
      <c r="AN933" s="564"/>
      <c r="AO933" s="564"/>
    </row>
    <row r="934" spans="2:41" x14ac:dyDescent="0.15">
      <c r="B934" s="565">
        <v>-10</v>
      </c>
      <c r="C934" s="564"/>
      <c r="D934" s="564"/>
      <c r="E934" s="564"/>
      <c r="F934" s="564"/>
      <c r="G934" s="564"/>
      <c r="H934" s="564"/>
      <c r="I934" s="564"/>
      <c r="J934" s="564"/>
      <c r="K934" s="564"/>
      <c r="L934" s="564"/>
      <c r="M934" s="564"/>
      <c r="N934" s="564"/>
      <c r="O934" s="564"/>
      <c r="P934" s="564"/>
      <c r="Q934" s="564"/>
      <c r="R934" s="564"/>
      <c r="S934" s="564"/>
      <c r="T934" s="564"/>
      <c r="U934" s="564"/>
      <c r="V934" s="564"/>
      <c r="W934" s="564"/>
      <c r="X934" s="564"/>
      <c r="Y934" s="564"/>
      <c r="Z934" s="564"/>
      <c r="AA934" s="564"/>
      <c r="AB934" s="564"/>
      <c r="AC934" s="564"/>
      <c r="AD934" s="564"/>
      <c r="AE934" s="564"/>
      <c r="AF934" s="564"/>
      <c r="AG934" s="564"/>
      <c r="AH934" s="564"/>
      <c r="AI934" s="564"/>
      <c r="AJ934" s="564"/>
      <c r="AK934" s="564"/>
      <c r="AL934" s="564"/>
      <c r="AM934" s="564"/>
      <c r="AN934" s="564"/>
      <c r="AO934" s="564"/>
    </row>
    <row r="935" spans="2:41" x14ac:dyDescent="0.15">
      <c r="B935" s="565">
        <v>-9</v>
      </c>
      <c r="C935" s="564"/>
      <c r="D935" s="564"/>
      <c r="E935" s="564"/>
      <c r="F935" s="564"/>
      <c r="G935" s="564"/>
      <c r="H935" s="564"/>
      <c r="I935" s="564"/>
      <c r="J935" s="564"/>
      <c r="K935" s="564"/>
      <c r="L935" s="564"/>
      <c r="M935" s="564"/>
      <c r="N935" s="564"/>
      <c r="O935" s="564"/>
      <c r="P935" s="564"/>
      <c r="Q935" s="564"/>
      <c r="R935" s="564"/>
      <c r="S935" s="564"/>
      <c r="T935" s="564"/>
      <c r="U935" s="564"/>
      <c r="V935" s="564"/>
      <c r="W935" s="564"/>
      <c r="X935" s="564"/>
      <c r="Y935" s="564"/>
      <c r="Z935" s="564"/>
      <c r="AA935" s="564"/>
      <c r="AB935" s="564"/>
      <c r="AC935" s="564"/>
      <c r="AD935" s="564"/>
      <c r="AE935" s="564"/>
      <c r="AF935" s="564"/>
      <c r="AG935" s="564"/>
      <c r="AH935" s="564"/>
      <c r="AI935" s="564"/>
      <c r="AJ935" s="564"/>
      <c r="AK935" s="564"/>
      <c r="AL935" s="564"/>
      <c r="AM935" s="564"/>
      <c r="AN935" s="564"/>
      <c r="AO935" s="564"/>
    </row>
    <row r="936" spans="2:41" x14ac:dyDescent="0.15">
      <c r="B936" s="565">
        <v>-8</v>
      </c>
      <c r="C936" s="564"/>
      <c r="D936" s="564"/>
      <c r="E936" s="564"/>
      <c r="F936" s="564"/>
      <c r="G936" s="564"/>
      <c r="H936" s="564"/>
      <c r="I936" s="564"/>
      <c r="J936" s="564"/>
      <c r="K936" s="564"/>
      <c r="L936" s="564"/>
      <c r="M936" s="564"/>
      <c r="N936" s="564"/>
      <c r="O936" s="564"/>
      <c r="P936" s="564"/>
      <c r="Q936" s="564"/>
      <c r="R936" s="564"/>
      <c r="S936" s="564"/>
      <c r="T936" s="564"/>
      <c r="U936" s="564"/>
      <c r="V936" s="564"/>
      <c r="W936" s="564"/>
      <c r="X936" s="564"/>
      <c r="Y936" s="564"/>
      <c r="Z936" s="564"/>
      <c r="AA936" s="564"/>
      <c r="AB936" s="564"/>
      <c r="AC936" s="564"/>
      <c r="AD936" s="564"/>
      <c r="AE936" s="564"/>
      <c r="AF936" s="564"/>
      <c r="AG936" s="564"/>
      <c r="AH936" s="564"/>
      <c r="AI936" s="564"/>
      <c r="AJ936" s="564"/>
      <c r="AK936" s="564"/>
      <c r="AL936" s="564"/>
      <c r="AM936" s="564"/>
      <c r="AN936" s="564"/>
      <c r="AO936" s="564"/>
    </row>
    <row r="937" spans="2:41" x14ac:dyDescent="0.15">
      <c r="B937" s="565">
        <v>-7</v>
      </c>
      <c r="C937" s="564"/>
      <c r="D937" s="564"/>
      <c r="E937" s="564"/>
      <c r="F937" s="564"/>
      <c r="G937" s="564"/>
      <c r="H937" s="564"/>
      <c r="I937" s="564"/>
      <c r="J937" s="564"/>
      <c r="K937" s="564"/>
      <c r="L937" s="564"/>
      <c r="M937" s="564"/>
      <c r="N937" s="564"/>
      <c r="O937" s="564"/>
      <c r="P937" s="564"/>
      <c r="Q937" s="564"/>
      <c r="R937" s="564"/>
      <c r="S937" s="564"/>
      <c r="T937" s="564"/>
      <c r="U937" s="564"/>
      <c r="V937" s="564"/>
      <c r="W937" s="564"/>
      <c r="X937" s="564"/>
      <c r="Y937" s="564"/>
      <c r="Z937" s="564"/>
      <c r="AA937" s="564"/>
      <c r="AB937" s="564"/>
      <c r="AC937" s="564"/>
      <c r="AD937" s="564"/>
      <c r="AE937" s="564"/>
      <c r="AF937" s="564"/>
      <c r="AG937" s="564"/>
      <c r="AH937" s="564"/>
      <c r="AI937" s="564"/>
      <c r="AJ937" s="564"/>
      <c r="AK937" s="564"/>
      <c r="AL937" s="564"/>
      <c r="AM937" s="564"/>
      <c r="AN937" s="564"/>
      <c r="AO937" s="564"/>
    </row>
    <row r="938" spans="2:41" x14ac:dyDescent="0.15">
      <c r="B938" s="565">
        <v>-6</v>
      </c>
      <c r="C938" s="564"/>
      <c r="D938" s="564"/>
      <c r="E938" s="564"/>
      <c r="F938" s="564"/>
      <c r="G938" s="564"/>
      <c r="H938" s="564"/>
      <c r="I938" s="564"/>
      <c r="J938" s="564"/>
      <c r="K938" s="564"/>
      <c r="L938" s="564"/>
      <c r="M938" s="564"/>
      <c r="N938" s="564"/>
      <c r="O938" s="564"/>
      <c r="P938" s="564"/>
      <c r="Q938" s="564"/>
      <c r="R938" s="564"/>
      <c r="S938" s="564"/>
      <c r="T938" s="564"/>
      <c r="U938" s="564"/>
      <c r="V938" s="564"/>
      <c r="W938" s="564"/>
      <c r="X938" s="564"/>
      <c r="Y938" s="564"/>
      <c r="Z938" s="564"/>
      <c r="AA938" s="564"/>
      <c r="AB938" s="564"/>
      <c r="AC938" s="564"/>
      <c r="AD938" s="564"/>
      <c r="AE938" s="564"/>
      <c r="AF938" s="564"/>
      <c r="AG938" s="564"/>
      <c r="AH938" s="564"/>
      <c r="AI938" s="564"/>
      <c r="AJ938" s="564"/>
      <c r="AK938" s="564"/>
      <c r="AL938" s="564"/>
      <c r="AM938" s="564"/>
      <c r="AN938" s="564"/>
      <c r="AO938" s="564"/>
    </row>
    <row r="939" spans="2:41" x14ac:dyDescent="0.15">
      <c r="B939" s="565">
        <v>-5</v>
      </c>
      <c r="C939" s="564"/>
      <c r="D939" s="564"/>
      <c r="E939" s="564"/>
      <c r="F939" s="564"/>
      <c r="G939" s="564"/>
      <c r="H939" s="564"/>
      <c r="I939" s="564"/>
      <c r="J939" s="564"/>
      <c r="K939" s="564"/>
      <c r="L939" s="564"/>
      <c r="M939" s="564"/>
      <c r="N939" s="564"/>
      <c r="O939" s="564"/>
      <c r="P939" s="564"/>
      <c r="Q939" s="564"/>
      <c r="R939" s="564"/>
      <c r="S939" s="564"/>
      <c r="T939" s="564"/>
      <c r="U939" s="564"/>
      <c r="V939" s="564"/>
      <c r="W939" s="564"/>
      <c r="X939" s="564"/>
      <c r="Y939" s="564"/>
      <c r="Z939" s="564"/>
      <c r="AA939" s="564"/>
      <c r="AB939" s="564"/>
      <c r="AC939" s="564"/>
      <c r="AD939" s="564"/>
      <c r="AE939" s="564"/>
      <c r="AF939" s="564"/>
      <c r="AG939" s="564"/>
      <c r="AH939" s="564"/>
      <c r="AI939" s="564"/>
      <c r="AJ939" s="564"/>
      <c r="AK939" s="564"/>
      <c r="AL939" s="564"/>
      <c r="AM939" s="564"/>
      <c r="AN939" s="564"/>
      <c r="AO939" s="564"/>
    </row>
    <row r="940" spans="2:41" x14ac:dyDescent="0.15">
      <c r="B940" s="565">
        <v>-4</v>
      </c>
      <c r="C940" s="564"/>
      <c r="D940" s="564"/>
      <c r="E940" s="564"/>
      <c r="F940" s="564"/>
      <c r="G940" s="564"/>
      <c r="H940" s="564"/>
      <c r="I940" s="564"/>
      <c r="J940" s="564"/>
      <c r="K940" s="564"/>
      <c r="L940" s="564"/>
      <c r="M940" s="564"/>
      <c r="N940" s="564"/>
      <c r="O940" s="564"/>
      <c r="P940" s="564"/>
      <c r="Q940" s="564"/>
      <c r="R940" s="564"/>
      <c r="S940" s="564"/>
      <c r="T940" s="564"/>
      <c r="U940" s="564"/>
      <c r="V940" s="564"/>
      <c r="W940" s="564"/>
      <c r="X940" s="564"/>
      <c r="Y940" s="564"/>
      <c r="Z940" s="564"/>
      <c r="AA940" s="564"/>
      <c r="AB940" s="564"/>
      <c r="AC940" s="564"/>
      <c r="AD940" s="564"/>
      <c r="AE940" s="564"/>
      <c r="AF940" s="564"/>
      <c r="AG940" s="564"/>
      <c r="AH940" s="564"/>
      <c r="AI940" s="564"/>
      <c r="AJ940" s="564"/>
      <c r="AK940" s="564"/>
      <c r="AL940" s="564"/>
      <c r="AM940" s="564"/>
      <c r="AN940" s="564"/>
      <c r="AO940" s="564"/>
    </row>
    <row r="941" spans="2:41" x14ac:dyDescent="0.15">
      <c r="B941" s="565">
        <v>-3</v>
      </c>
      <c r="C941" s="564"/>
      <c r="D941" s="564"/>
      <c r="E941" s="564"/>
      <c r="F941" s="564"/>
      <c r="G941" s="564"/>
      <c r="H941" s="564"/>
      <c r="I941" s="564"/>
      <c r="J941" s="564"/>
      <c r="K941" s="564"/>
      <c r="L941" s="564"/>
      <c r="M941" s="564"/>
      <c r="N941" s="564"/>
      <c r="O941" s="564"/>
      <c r="P941" s="564"/>
      <c r="Q941" s="564"/>
      <c r="R941" s="564"/>
      <c r="S941" s="564"/>
      <c r="T941" s="564"/>
      <c r="U941" s="564"/>
      <c r="V941" s="564"/>
      <c r="W941" s="564"/>
      <c r="X941" s="564"/>
      <c r="Y941" s="564"/>
      <c r="Z941" s="564"/>
      <c r="AA941" s="564"/>
      <c r="AB941" s="564"/>
      <c r="AC941" s="564"/>
      <c r="AD941" s="564"/>
      <c r="AE941" s="564"/>
      <c r="AF941" s="564"/>
      <c r="AG941" s="564"/>
      <c r="AH941" s="564"/>
      <c r="AI941" s="564"/>
      <c r="AJ941" s="564"/>
      <c r="AK941" s="564"/>
      <c r="AL941" s="564"/>
      <c r="AM941" s="564"/>
      <c r="AN941" s="564"/>
      <c r="AO941" s="564"/>
    </row>
    <row r="942" spans="2:41" x14ac:dyDescent="0.15">
      <c r="B942" s="565">
        <v>-2</v>
      </c>
      <c r="C942" s="564"/>
      <c r="D942" s="564"/>
      <c r="E942" s="564"/>
      <c r="F942" s="564"/>
      <c r="G942" s="564"/>
      <c r="H942" s="564"/>
      <c r="I942" s="564"/>
      <c r="J942" s="564"/>
      <c r="K942" s="564"/>
      <c r="L942" s="564"/>
      <c r="M942" s="564"/>
      <c r="N942" s="564"/>
      <c r="O942" s="564"/>
      <c r="P942" s="564"/>
      <c r="Q942" s="564"/>
      <c r="R942" s="564"/>
      <c r="S942" s="564"/>
      <c r="T942" s="564"/>
      <c r="U942" s="564"/>
      <c r="V942" s="564"/>
      <c r="W942" s="564"/>
      <c r="X942" s="564"/>
      <c r="Y942" s="564"/>
      <c r="Z942" s="564"/>
      <c r="AA942" s="564"/>
      <c r="AB942" s="564"/>
      <c r="AC942" s="564"/>
      <c r="AD942" s="564"/>
      <c r="AE942" s="564"/>
      <c r="AF942" s="564"/>
      <c r="AG942" s="564"/>
      <c r="AH942" s="564"/>
      <c r="AI942" s="564"/>
      <c r="AJ942" s="564"/>
      <c r="AK942" s="564"/>
      <c r="AL942" s="564"/>
      <c r="AM942" s="564"/>
      <c r="AN942" s="564"/>
      <c r="AO942" s="564"/>
    </row>
    <row r="943" spans="2:41" x14ac:dyDescent="0.15">
      <c r="B943" s="565">
        <v>-1</v>
      </c>
      <c r="C943" s="564"/>
      <c r="D943" s="564"/>
      <c r="E943" s="564"/>
      <c r="F943" s="564"/>
      <c r="G943" s="564"/>
      <c r="H943" s="564"/>
      <c r="I943" s="564"/>
      <c r="J943" s="564"/>
      <c r="K943" s="564"/>
      <c r="L943" s="564"/>
      <c r="M943" s="564"/>
      <c r="N943" s="564"/>
      <c r="O943" s="564"/>
      <c r="P943" s="564"/>
      <c r="Q943" s="564"/>
      <c r="R943" s="564"/>
      <c r="S943" s="564"/>
      <c r="T943" s="564"/>
      <c r="U943" s="564"/>
      <c r="V943" s="564"/>
      <c r="W943" s="564"/>
      <c r="X943" s="564"/>
      <c r="Y943" s="564"/>
      <c r="Z943" s="564"/>
      <c r="AA943" s="564"/>
      <c r="AB943" s="564"/>
      <c r="AC943" s="564"/>
      <c r="AD943" s="564"/>
      <c r="AE943" s="564"/>
      <c r="AF943" s="564"/>
      <c r="AG943" s="564"/>
      <c r="AH943" s="564"/>
      <c r="AI943" s="564"/>
      <c r="AJ943" s="564"/>
      <c r="AK943" s="564"/>
      <c r="AL943" s="564"/>
      <c r="AM943" s="564"/>
      <c r="AN943" s="564"/>
      <c r="AO943" s="564"/>
    </row>
    <row r="944" spans="2:41" x14ac:dyDescent="0.15">
      <c r="B944" s="565">
        <v>0</v>
      </c>
      <c r="C944" s="564"/>
      <c r="D944" s="564"/>
      <c r="E944" s="564"/>
      <c r="F944" s="564"/>
      <c r="G944" s="564"/>
      <c r="H944" s="564"/>
      <c r="I944" s="564"/>
      <c r="J944" s="564"/>
      <c r="K944" s="564"/>
      <c r="L944" s="564"/>
      <c r="M944" s="564"/>
      <c r="N944" s="564"/>
      <c r="O944" s="564"/>
      <c r="P944" s="564"/>
      <c r="Q944" s="564"/>
      <c r="R944" s="564"/>
      <c r="S944" s="564"/>
      <c r="T944" s="564"/>
      <c r="U944" s="564"/>
      <c r="V944" s="564"/>
      <c r="W944" s="564"/>
      <c r="X944" s="564"/>
      <c r="Y944" s="564"/>
      <c r="Z944" s="564"/>
      <c r="AA944" s="564"/>
      <c r="AB944" s="564"/>
      <c r="AC944" s="564"/>
      <c r="AD944" s="564"/>
      <c r="AE944" s="564"/>
      <c r="AF944" s="564"/>
      <c r="AG944" s="564"/>
      <c r="AH944" s="564"/>
      <c r="AI944" s="564"/>
      <c r="AJ944" s="564"/>
      <c r="AK944" s="564"/>
      <c r="AL944" s="564"/>
      <c r="AM944" s="564"/>
      <c r="AN944" s="564"/>
      <c r="AO944" s="564"/>
    </row>
    <row r="945" spans="2:41" x14ac:dyDescent="0.15">
      <c r="B945" s="565">
        <v>1</v>
      </c>
      <c r="C945" s="564"/>
      <c r="D945" s="564"/>
      <c r="E945" s="564"/>
      <c r="F945" s="564"/>
      <c r="G945" s="564"/>
      <c r="H945" s="564"/>
      <c r="I945" s="564"/>
      <c r="J945" s="564"/>
      <c r="K945" s="564"/>
      <c r="L945" s="564"/>
      <c r="M945" s="564"/>
      <c r="N945" s="564"/>
      <c r="O945" s="564"/>
      <c r="P945" s="564"/>
      <c r="Q945" s="564"/>
      <c r="R945" s="564"/>
      <c r="S945" s="564"/>
      <c r="T945" s="564"/>
      <c r="U945" s="564"/>
      <c r="V945" s="564"/>
      <c r="W945" s="564"/>
      <c r="X945" s="564"/>
      <c r="Y945" s="564"/>
      <c r="Z945" s="564"/>
      <c r="AA945" s="564"/>
      <c r="AB945" s="564"/>
      <c r="AC945" s="564"/>
      <c r="AD945" s="564"/>
      <c r="AE945" s="564"/>
      <c r="AF945" s="564"/>
      <c r="AG945" s="564"/>
      <c r="AH945" s="564"/>
      <c r="AI945" s="564"/>
      <c r="AJ945" s="564"/>
      <c r="AK945" s="564"/>
      <c r="AL945" s="564"/>
      <c r="AM945" s="564"/>
      <c r="AN945" s="564"/>
      <c r="AO945" s="564"/>
    </row>
    <row r="946" spans="2:41" x14ac:dyDescent="0.15">
      <c r="B946" s="565">
        <v>2</v>
      </c>
      <c r="C946" s="564"/>
      <c r="D946" s="564"/>
      <c r="E946" s="564"/>
      <c r="F946" s="564"/>
      <c r="G946" s="564"/>
      <c r="H946" s="564"/>
      <c r="I946" s="564"/>
      <c r="J946" s="564"/>
      <c r="K946" s="564"/>
      <c r="L946" s="564"/>
      <c r="M946" s="564"/>
      <c r="N946" s="564"/>
      <c r="O946" s="564"/>
      <c r="P946" s="564"/>
      <c r="Q946" s="564"/>
      <c r="R946" s="564"/>
      <c r="S946" s="564"/>
      <c r="T946" s="564"/>
      <c r="U946" s="564"/>
      <c r="V946" s="564"/>
      <c r="W946" s="564"/>
      <c r="X946" s="564"/>
      <c r="Y946" s="564"/>
      <c r="Z946" s="564"/>
      <c r="AA946" s="564"/>
      <c r="AB946" s="564"/>
      <c r="AC946" s="564"/>
      <c r="AD946" s="564"/>
      <c r="AE946" s="564"/>
      <c r="AF946" s="564"/>
      <c r="AG946" s="564"/>
      <c r="AH946" s="564"/>
      <c r="AI946" s="564"/>
      <c r="AJ946" s="564"/>
      <c r="AK946" s="564"/>
      <c r="AL946" s="564"/>
      <c r="AM946" s="564"/>
      <c r="AN946" s="564"/>
      <c r="AO946" s="564"/>
    </row>
    <row r="947" spans="2:41" x14ac:dyDescent="0.15">
      <c r="B947" s="565">
        <v>3</v>
      </c>
      <c r="C947" s="564"/>
      <c r="D947" s="564"/>
      <c r="E947" s="564"/>
      <c r="F947" s="564"/>
      <c r="G947" s="564"/>
      <c r="H947" s="564"/>
      <c r="I947" s="564"/>
      <c r="J947" s="564"/>
      <c r="K947" s="564"/>
      <c r="L947" s="564"/>
      <c r="M947" s="564"/>
      <c r="N947" s="564"/>
      <c r="O947" s="564"/>
      <c r="P947" s="564"/>
      <c r="Q947" s="564"/>
      <c r="R947" s="564"/>
      <c r="S947" s="564"/>
      <c r="T947" s="564"/>
      <c r="U947" s="564"/>
      <c r="V947" s="564"/>
      <c r="W947" s="564"/>
      <c r="X947" s="564"/>
      <c r="Y947" s="564"/>
      <c r="Z947" s="564"/>
      <c r="AA947" s="564"/>
      <c r="AB947" s="564"/>
      <c r="AC947" s="564"/>
      <c r="AD947" s="564"/>
      <c r="AE947" s="564"/>
      <c r="AF947" s="564"/>
      <c r="AG947" s="564"/>
      <c r="AH947" s="564"/>
      <c r="AI947" s="564"/>
      <c r="AJ947" s="564"/>
      <c r="AK947" s="564"/>
      <c r="AL947" s="564"/>
      <c r="AM947" s="564"/>
      <c r="AN947" s="564"/>
      <c r="AO947" s="564"/>
    </row>
    <row r="948" spans="2:41" x14ac:dyDescent="0.15">
      <c r="B948" s="565">
        <v>4</v>
      </c>
      <c r="C948" s="564"/>
      <c r="D948" s="564"/>
      <c r="E948" s="564"/>
      <c r="F948" s="564"/>
      <c r="G948" s="564"/>
      <c r="H948" s="564"/>
      <c r="I948" s="564"/>
      <c r="J948" s="564"/>
      <c r="K948" s="564"/>
      <c r="L948" s="564"/>
      <c r="M948" s="564"/>
      <c r="N948" s="564"/>
      <c r="O948" s="564"/>
      <c r="P948" s="564"/>
      <c r="Q948" s="564"/>
      <c r="R948" s="564"/>
      <c r="S948" s="564"/>
      <c r="T948" s="564"/>
      <c r="U948" s="564"/>
      <c r="V948" s="564"/>
      <c r="W948" s="564"/>
      <c r="X948" s="564"/>
      <c r="Y948" s="564"/>
      <c r="Z948" s="564"/>
      <c r="AA948" s="564"/>
      <c r="AB948" s="564"/>
      <c r="AC948" s="564"/>
      <c r="AD948" s="564"/>
      <c r="AE948" s="564"/>
      <c r="AF948" s="564"/>
      <c r="AG948" s="564"/>
      <c r="AH948" s="564"/>
      <c r="AI948" s="564"/>
      <c r="AJ948" s="564"/>
      <c r="AK948" s="564"/>
      <c r="AL948" s="564"/>
      <c r="AM948" s="564"/>
      <c r="AN948" s="564"/>
      <c r="AO948" s="564"/>
    </row>
    <row r="949" spans="2:41" x14ac:dyDescent="0.15">
      <c r="B949" s="565">
        <v>5</v>
      </c>
      <c r="C949" s="564"/>
      <c r="D949" s="564"/>
      <c r="E949" s="564"/>
      <c r="F949" s="564"/>
      <c r="G949" s="564"/>
      <c r="H949" s="564"/>
      <c r="I949" s="564"/>
      <c r="J949" s="564"/>
      <c r="K949" s="564"/>
      <c r="L949" s="564"/>
      <c r="M949" s="564"/>
      <c r="N949" s="564"/>
      <c r="O949" s="564"/>
      <c r="P949" s="564"/>
      <c r="Q949" s="564"/>
      <c r="R949" s="564"/>
      <c r="S949" s="564"/>
      <c r="T949" s="564"/>
      <c r="U949" s="564"/>
      <c r="V949" s="564"/>
      <c r="W949" s="564"/>
      <c r="X949" s="564"/>
      <c r="Y949" s="564"/>
      <c r="Z949" s="564"/>
      <c r="AA949" s="564"/>
      <c r="AB949" s="564"/>
      <c r="AC949" s="564"/>
      <c r="AD949" s="564"/>
      <c r="AE949" s="564"/>
      <c r="AF949" s="564"/>
      <c r="AG949" s="564"/>
      <c r="AH949" s="564"/>
      <c r="AI949" s="564"/>
      <c r="AJ949" s="564"/>
      <c r="AK949" s="564"/>
      <c r="AL949" s="564"/>
      <c r="AM949" s="564"/>
      <c r="AN949" s="564"/>
      <c r="AO949" s="564"/>
    </row>
    <row r="950" spans="2:41" x14ac:dyDescent="0.15">
      <c r="B950" s="565">
        <v>6</v>
      </c>
      <c r="C950" s="564"/>
      <c r="D950" s="564"/>
      <c r="E950" s="564"/>
      <c r="F950" s="564"/>
      <c r="G950" s="564"/>
      <c r="H950" s="564"/>
      <c r="I950" s="564"/>
      <c r="J950" s="564"/>
      <c r="K950" s="564"/>
      <c r="L950" s="564"/>
      <c r="M950" s="564"/>
      <c r="N950" s="564"/>
      <c r="O950" s="564"/>
      <c r="P950" s="564"/>
      <c r="Q950" s="564"/>
      <c r="R950" s="564"/>
      <c r="S950" s="564"/>
      <c r="T950" s="564"/>
      <c r="U950" s="564"/>
      <c r="V950" s="564"/>
      <c r="W950" s="564"/>
      <c r="X950" s="564"/>
      <c r="Y950" s="564"/>
      <c r="Z950" s="564"/>
      <c r="AA950" s="564"/>
      <c r="AB950" s="564"/>
      <c r="AC950" s="564"/>
      <c r="AD950" s="564"/>
      <c r="AE950" s="564"/>
      <c r="AF950" s="564"/>
      <c r="AG950" s="564"/>
      <c r="AH950" s="564"/>
      <c r="AI950" s="564"/>
      <c r="AJ950" s="564"/>
      <c r="AK950" s="564"/>
      <c r="AL950" s="564"/>
      <c r="AM950" s="564"/>
      <c r="AN950" s="564"/>
      <c r="AO950" s="564"/>
    </row>
    <row r="951" spans="2:41" x14ac:dyDescent="0.15">
      <c r="B951" s="565">
        <v>7</v>
      </c>
      <c r="C951" s="564"/>
      <c r="D951" s="564"/>
      <c r="E951" s="564"/>
      <c r="F951" s="564"/>
      <c r="G951" s="564"/>
      <c r="H951" s="564"/>
      <c r="I951" s="564"/>
      <c r="J951" s="564"/>
      <c r="K951" s="564"/>
      <c r="L951" s="564"/>
      <c r="M951" s="564"/>
      <c r="N951" s="564"/>
      <c r="O951" s="564"/>
      <c r="P951" s="564"/>
      <c r="Q951" s="564"/>
      <c r="R951" s="564"/>
      <c r="S951" s="564"/>
      <c r="T951" s="564"/>
      <c r="U951" s="564"/>
      <c r="V951" s="564"/>
      <c r="W951" s="564"/>
      <c r="X951" s="564"/>
      <c r="Y951" s="564"/>
      <c r="Z951" s="564"/>
      <c r="AA951" s="564"/>
      <c r="AB951" s="564"/>
      <c r="AC951" s="564"/>
      <c r="AD951" s="564"/>
      <c r="AE951" s="564"/>
      <c r="AF951" s="564"/>
      <c r="AG951" s="564"/>
      <c r="AH951" s="564"/>
      <c r="AI951" s="564"/>
      <c r="AJ951" s="564"/>
      <c r="AK951" s="564"/>
      <c r="AL951" s="564"/>
      <c r="AM951" s="564"/>
      <c r="AN951" s="564"/>
      <c r="AO951" s="564"/>
    </row>
    <row r="952" spans="2:41" x14ac:dyDescent="0.15">
      <c r="B952" s="565">
        <v>8</v>
      </c>
      <c r="C952" s="564"/>
      <c r="D952" s="564"/>
      <c r="E952" s="564"/>
      <c r="F952" s="564"/>
      <c r="G952" s="564"/>
      <c r="H952" s="564"/>
      <c r="I952" s="564"/>
      <c r="J952" s="564"/>
      <c r="K952" s="564"/>
      <c r="L952" s="564"/>
      <c r="M952" s="564"/>
      <c r="N952" s="564"/>
      <c r="O952" s="564"/>
      <c r="P952" s="564"/>
      <c r="Q952" s="564"/>
      <c r="R952" s="564"/>
      <c r="S952" s="564"/>
      <c r="T952" s="564"/>
      <c r="U952" s="564"/>
      <c r="V952" s="564"/>
      <c r="W952" s="564"/>
      <c r="X952" s="564"/>
      <c r="Y952" s="564"/>
      <c r="Z952" s="564"/>
      <c r="AA952" s="564"/>
      <c r="AB952" s="564"/>
      <c r="AC952" s="564"/>
      <c r="AD952" s="564"/>
      <c r="AE952" s="564"/>
      <c r="AF952" s="564"/>
      <c r="AG952" s="564"/>
      <c r="AH952" s="564"/>
      <c r="AI952" s="564"/>
      <c r="AJ952" s="564"/>
      <c r="AK952" s="564"/>
      <c r="AL952" s="564"/>
      <c r="AM952" s="564"/>
      <c r="AN952" s="564"/>
      <c r="AO952" s="564"/>
    </row>
    <row r="953" spans="2:41" x14ac:dyDescent="0.15">
      <c r="B953" s="565">
        <v>9</v>
      </c>
      <c r="C953" s="564"/>
      <c r="D953" s="564"/>
      <c r="E953" s="564"/>
      <c r="F953" s="564"/>
      <c r="G953" s="564"/>
      <c r="H953" s="564"/>
      <c r="I953" s="564"/>
      <c r="J953" s="564"/>
      <c r="K953" s="564"/>
      <c r="L953" s="564"/>
      <c r="M953" s="564"/>
      <c r="N953" s="564"/>
      <c r="O953" s="564"/>
      <c r="P953" s="564"/>
      <c r="Q953" s="564"/>
      <c r="R953" s="564"/>
      <c r="S953" s="564"/>
      <c r="T953" s="564"/>
      <c r="U953" s="564"/>
      <c r="V953" s="564"/>
      <c r="W953" s="564"/>
      <c r="X953" s="564"/>
      <c r="Y953" s="564"/>
      <c r="Z953" s="564"/>
      <c r="AA953" s="564"/>
      <c r="AB953" s="564"/>
      <c r="AC953" s="564"/>
      <c r="AD953" s="564"/>
      <c r="AE953" s="564"/>
      <c r="AF953" s="564"/>
      <c r="AG953" s="564"/>
      <c r="AH953" s="564"/>
      <c r="AI953" s="564"/>
      <c r="AJ953" s="564"/>
      <c r="AK953" s="564"/>
      <c r="AL953" s="564"/>
      <c r="AM953" s="564"/>
      <c r="AN953" s="564"/>
      <c r="AO953" s="564"/>
    </row>
    <row r="954" spans="2:41" x14ac:dyDescent="0.15">
      <c r="B954" s="565">
        <v>10</v>
      </c>
      <c r="C954" s="564"/>
      <c r="D954" s="564"/>
      <c r="E954" s="564"/>
      <c r="F954" s="564"/>
      <c r="G954" s="564"/>
      <c r="H954" s="564"/>
      <c r="I954" s="564"/>
      <c r="J954" s="564"/>
      <c r="K954" s="564"/>
      <c r="L954" s="564"/>
      <c r="M954" s="564"/>
      <c r="N954" s="564"/>
      <c r="O954" s="564"/>
      <c r="P954" s="564"/>
      <c r="Q954" s="564"/>
      <c r="R954" s="564"/>
      <c r="S954" s="564"/>
      <c r="T954" s="564"/>
      <c r="U954" s="564"/>
      <c r="V954" s="564"/>
      <c r="W954" s="564"/>
      <c r="X954" s="564"/>
      <c r="Y954" s="564"/>
      <c r="Z954" s="564"/>
      <c r="AA954" s="564"/>
      <c r="AB954" s="564"/>
      <c r="AC954" s="564"/>
      <c r="AD954" s="564"/>
      <c r="AE954" s="564"/>
      <c r="AF954" s="564"/>
      <c r="AG954" s="564"/>
      <c r="AH954" s="564"/>
      <c r="AI954" s="564"/>
      <c r="AJ954" s="564"/>
      <c r="AK954" s="564"/>
      <c r="AL954" s="564"/>
      <c r="AM954" s="564"/>
      <c r="AN954" s="564"/>
      <c r="AO954" s="564"/>
    </row>
    <row r="955" spans="2:41" x14ac:dyDescent="0.15">
      <c r="B955" s="565">
        <v>11</v>
      </c>
      <c r="C955" s="564"/>
      <c r="D955" s="564"/>
      <c r="E955" s="564"/>
      <c r="F955" s="564"/>
      <c r="G955" s="564"/>
      <c r="H955" s="564"/>
      <c r="I955" s="564"/>
      <c r="J955" s="564"/>
      <c r="K955" s="564"/>
      <c r="L955" s="564"/>
      <c r="M955" s="564"/>
      <c r="N955" s="564"/>
      <c r="O955" s="564"/>
      <c r="P955" s="564"/>
      <c r="Q955" s="564"/>
      <c r="R955" s="564"/>
      <c r="S955" s="564"/>
      <c r="T955" s="564"/>
      <c r="U955" s="564"/>
      <c r="V955" s="564"/>
      <c r="W955" s="564"/>
      <c r="X955" s="564"/>
      <c r="Y955" s="564"/>
      <c r="Z955" s="564"/>
      <c r="AA955" s="564"/>
      <c r="AB955" s="564"/>
      <c r="AC955" s="564"/>
      <c r="AD955" s="564"/>
      <c r="AE955" s="564"/>
      <c r="AF955" s="564"/>
      <c r="AG955" s="564"/>
      <c r="AH955" s="564"/>
      <c r="AI955" s="564"/>
      <c r="AJ955" s="564"/>
      <c r="AK955" s="564"/>
      <c r="AL955" s="564"/>
      <c r="AM955" s="564"/>
      <c r="AN955" s="564"/>
      <c r="AO955" s="564"/>
    </row>
    <row r="956" spans="2:41" x14ac:dyDescent="0.15">
      <c r="B956" s="565">
        <v>12</v>
      </c>
      <c r="C956" s="564"/>
      <c r="D956" s="564"/>
      <c r="E956" s="564"/>
      <c r="F956" s="564"/>
      <c r="G956" s="564"/>
      <c r="H956" s="564"/>
      <c r="I956" s="564"/>
      <c r="J956" s="564"/>
      <c r="K956" s="564"/>
      <c r="L956" s="564"/>
      <c r="M956" s="564"/>
      <c r="N956" s="564"/>
      <c r="O956" s="564"/>
      <c r="P956" s="564"/>
      <c r="Q956" s="564"/>
      <c r="R956" s="564"/>
      <c r="S956" s="564"/>
      <c r="T956" s="564"/>
      <c r="U956" s="564"/>
      <c r="V956" s="564"/>
      <c r="W956" s="564"/>
      <c r="X956" s="564"/>
      <c r="Y956" s="564"/>
      <c r="Z956" s="564"/>
      <c r="AA956" s="564"/>
      <c r="AB956" s="564"/>
      <c r="AC956" s="564"/>
      <c r="AD956" s="564"/>
      <c r="AE956" s="564"/>
      <c r="AF956" s="564"/>
      <c r="AG956" s="564"/>
      <c r="AH956" s="564"/>
      <c r="AI956" s="564"/>
      <c r="AJ956" s="564"/>
      <c r="AK956" s="564"/>
      <c r="AL956" s="564"/>
      <c r="AM956" s="564"/>
      <c r="AN956" s="564"/>
      <c r="AO956" s="564"/>
    </row>
    <row r="957" spans="2:41" x14ac:dyDescent="0.15">
      <c r="B957" s="565">
        <v>13</v>
      </c>
      <c r="C957" s="564"/>
      <c r="D957" s="564"/>
      <c r="E957" s="564"/>
      <c r="F957" s="564"/>
      <c r="G957" s="564"/>
      <c r="H957" s="564"/>
      <c r="I957" s="564"/>
      <c r="J957" s="564"/>
      <c r="K957" s="564"/>
      <c r="L957" s="564"/>
      <c r="M957" s="564"/>
      <c r="N957" s="564"/>
      <c r="O957" s="564"/>
      <c r="P957" s="564"/>
      <c r="Q957" s="564"/>
      <c r="R957" s="564"/>
      <c r="S957" s="564"/>
      <c r="T957" s="564"/>
      <c r="U957" s="564"/>
      <c r="V957" s="564"/>
      <c r="W957" s="564"/>
      <c r="X957" s="564"/>
      <c r="Y957" s="564"/>
      <c r="Z957" s="564"/>
      <c r="AA957" s="564"/>
      <c r="AB957" s="564"/>
      <c r="AC957" s="564"/>
      <c r="AD957" s="564"/>
      <c r="AE957" s="564"/>
      <c r="AF957" s="564"/>
      <c r="AG957" s="564"/>
      <c r="AH957" s="564"/>
      <c r="AI957" s="564"/>
      <c r="AJ957" s="564"/>
      <c r="AK957" s="564"/>
      <c r="AL957" s="564"/>
      <c r="AM957" s="564"/>
      <c r="AN957" s="564"/>
      <c r="AO957" s="564"/>
    </row>
    <row r="958" spans="2:41" x14ac:dyDescent="0.15">
      <c r="B958" s="565">
        <v>14</v>
      </c>
      <c r="C958" s="564"/>
      <c r="D958" s="564"/>
      <c r="E958" s="564"/>
      <c r="F958" s="564"/>
      <c r="G958" s="564"/>
      <c r="H958" s="564"/>
      <c r="I958" s="564"/>
      <c r="J958" s="564"/>
      <c r="K958" s="564"/>
      <c r="L958" s="564"/>
      <c r="M958" s="564"/>
      <c r="N958" s="564"/>
      <c r="O958" s="564"/>
      <c r="P958" s="564"/>
      <c r="Q958" s="564"/>
      <c r="R958" s="564"/>
      <c r="S958" s="564"/>
      <c r="T958" s="564"/>
      <c r="U958" s="564"/>
      <c r="V958" s="564"/>
      <c r="W958" s="564"/>
      <c r="X958" s="564"/>
      <c r="Y958" s="564"/>
      <c r="Z958" s="564"/>
      <c r="AA958" s="564"/>
      <c r="AB958" s="564"/>
      <c r="AC958" s="564"/>
      <c r="AD958" s="564"/>
      <c r="AE958" s="564"/>
      <c r="AF958" s="564"/>
      <c r="AG958" s="564"/>
      <c r="AH958" s="564"/>
      <c r="AI958" s="564"/>
      <c r="AJ958" s="564"/>
      <c r="AK958" s="564"/>
      <c r="AL958" s="564"/>
      <c r="AM958" s="564"/>
      <c r="AN958" s="564"/>
      <c r="AO958" s="564"/>
    </row>
    <row r="959" spans="2:41" x14ac:dyDescent="0.15">
      <c r="B959" s="565">
        <v>15</v>
      </c>
      <c r="C959" s="564"/>
      <c r="D959" s="564"/>
      <c r="E959" s="564"/>
      <c r="F959" s="564"/>
      <c r="G959" s="564"/>
      <c r="H959" s="564"/>
      <c r="I959" s="564"/>
      <c r="J959" s="564"/>
      <c r="K959" s="564"/>
      <c r="L959" s="564"/>
      <c r="M959" s="564"/>
      <c r="N959" s="564"/>
      <c r="O959" s="564"/>
      <c r="P959" s="564"/>
      <c r="Q959" s="564"/>
      <c r="R959" s="564"/>
      <c r="S959" s="564"/>
      <c r="T959" s="564"/>
      <c r="U959" s="564"/>
      <c r="V959" s="564"/>
      <c r="W959" s="564"/>
      <c r="X959" s="564"/>
      <c r="Y959" s="564"/>
      <c r="Z959" s="564"/>
      <c r="AA959" s="564"/>
      <c r="AB959" s="564"/>
      <c r="AC959" s="564"/>
      <c r="AD959" s="564"/>
      <c r="AE959" s="564"/>
      <c r="AF959" s="564"/>
      <c r="AG959" s="564"/>
      <c r="AH959" s="564"/>
      <c r="AI959" s="564"/>
      <c r="AJ959" s="564"/>
      <c r="AK959" s="564"/>
      <c r="AL959" s="564"/>
      <c r="AM959" s="564"/>
      <c r="AN959" s="564"/>
      <c r="AO959" s="564"/>
    </row>
    <row r="960" spans="2:41" x14ac:dyDescent="0.15">
      <c r="B960" s="565">
        <v>16</v>
      </c>
      <c r="C960" s="564"/>
      <c r="D960" s="564"/>
      <c r="E960" s="564"/>
      <c r="F960" s="564"/>
      <c r="G960" s="564"/>
      <c r="H960" s="564"/>
      <c r="I960" s="564"/>
      <c r="J960" s="564"/>
      <c r="K960" s="564"/>
      <c r="L960" s="564"/>
      <c r="M960" s="564"/>
      <c r="N960" s="564"/>
      <c r="O960" s="564"/>
      <c r="P960" s="564"/>
      <c r="Q960" s="564"/>
      <c r="R960" s="564"/>
      <c r="S960" s="564"/>
      <c r="T960" s="564"/>
      <c r="U960" s="564"/>
      <c r="V960" s="564"/>
      <c r="W960" s="564"/>
      <c r="X960" s="564"/>
      <c r="Y960" s="564"/>
      <c r="Z960" s="564"/>
      <c r="AA960" s="564"/>
      <c r="AB960" s="564"/>
      <c r="AC960" s="564"/>
      <c r="AD960" s="564"/>
      <c r="AE960" s="564"/>
      <c r="AF960" s="564"/>
      <c r="AG960" s="564"/>
      <c r="AH960" s="564"/>
      <c r="AI960" s="564"/>
      <c r="AJ960" s="564"/>
      <c r="AK960" s="564"/>
      <c r="AL960" s="564"/>
      <c r="AM960" s="564"/>
      <c r="AN960" s="564"/>
      <c r="AO960" s="564"/>
    </row>
    <row r="961" spans="2:41" x14ac:dyDescent="0.15">
      <c r="B961" s="565">
        <v>17</v>
      </c>
      <c r="C961" s="564"/>
      <c r="D961" s="564"/>
      <c r="E961" s="564"/>
      <c r="F961" s="564"/>
      <c r="G961" s="564"/>
      <c r="H961" s="564"/>
      <c r="I961" s="564"/>
      <c r="J961" s="564"/>
      <c r="K961" s="564"/>
      <c r="L961" s="564"/>
      <c r="M961" s="564"/>
      <c r="N961" s="564"/>
      <c r="O961" s="564"/>
      <c r="P961" s="564"/>
      <c r="Q961" s="564"/>
      <c r="R961" s="564"/>
      <c r="S961" s="564"/>
      <c r="T961" s="564"/>
      <c r="U961" s="564"/>
      <c r="V961" s="564"/>
      <c r="W961" s="564"/>
      <c r="X961" s="564"/>
      <c r="Y961" s="564"/>
      <c r="Z961" s="564"/>
      <c r="AA961" s="564"/>
      <c r="AB961" s="564"/>
      <c r="AC961" s="564"/>
      <c r="AD961" s="564"/>
      <c r="AE961" s="564"/>
      <c r="AF961" s="564"/>
      <c r="AG961" s="564"/>
      <c r="AH961" s="564"/>
      <c r="AI961" s="564"/>
      <c r="AJ961" s="564"/>
      <c r="AK961" s="564"/>
      <c r="AL961" s="564"/>
      <c r="AM961" s="564"/>
      <c r="AN961" s="564"/>
      <c r="AO961" s="564"/>
    </row>
    <row r="962" spans="2:41" x14ac:dyDescent="0.15">
      <c r="B962" s="565">
        <v>18</v>
      </c>
      <c r="C962" s="564"/>
      <c r="D962" s="564"/>
      <c r="E962" s="564"/>
      <c r="F962" s="564"/>
      <c r="G962" s="564"/>
      <c r="H962" s="564"/>
      <c r="I962" s="564"/>
      <c r="J962" s="564"/>
      <c r="K962" s="564"/>
      <c r="L962" s="564"/>
      <c r="M962" s="564"/>
      <c r="N962" s="564"/>
      <c r="O962" s="564"/>
      <c r="P962" s="564"/>
      <c r="Q962" s="564"/>
      <c r="R962" s="564"/>
      <c r="S962" s="564"/>
      <c r="T962" s="564"/>
      <c r="U962" s="564"/>
      <c r="V962" s="564"/>
      <c r="W962" s="564"/>
      <c r="X962" s="564"/>
      <c r="Y962" s="564"/>
      <c r="Z962" s="564"/>
      <c r="AA962" s="564"/>
      <c r="AB962" s="564"/>
      <c r="AC962" s="564"/>
      <c r="AD962" s="564"/>
      <c r="AE962" s="564"/>
      <c r="AF962" s="564"/>
      <c r="AG962" s="564"/>
      <c r="AH962" s="564"/>
      <c r="AI962" s="564"/>
      <c r="AJ962" s="564"/>
      <c r="AK962" s="564"/>
      <c r="AL962" s="564"/>
      <c r="AM962" s="564"/>
      <c r="AN962" s="564"/>
      <c r="AO962" s="564"/>
    </row>
    <row r="963" spans="2:41" x14ac:dyDescent="0.15">
      <c r="B963" s="565">
        <v>19</v>
      </c>
      <c r="C963" s="564"/>
      <c r="D963" s="564"/>
      <c r="E963" s="564"/>
      <c r="F963" s="564"/>
      <c r="G963" s="564"/>
      <c r="H963" s="564"/>
      <c r="I963" s="564"/>
      <c r="J963" s="564"/>
      <c r="K963" s="564"/>
      <c r="L963" s="564"/>
      <c r="M963" s="564"/>
      <c r="N963" s="564"/>
      <c r="O963" s="564"/>
      <c r="P963" s="564"/>
      <c r="Q963" s="564"/>
      <c r="R963" s="564"/>
      <c r="S963" s="564"/>
      <c r="T963" s="564"/>
      <c r="U963" s="564"/>
      <c r="V963" s="564"/>
      <c r="W963" s="564"/>
      <c r="X963" s="564"/>
      <c r="Y963" s="564"/>
      <c r="Z963" s="564"/>
      <c r="AA963" s="564"/>
      <c r="AB963" s="564"/>
      <c r="AC963" s="564"/>
      <c r="AD963" s="564"/>
      <c r="AE963" s="564"/>
      <c r="AF963" s="564"/>
      <c r="AG963" s="564"/>
      <c r="AH963" s="564"/>
      <c r="AI963" s="564"/>
      <c r="AJ963" s="564"/>
      <c r="AK963" s="564"/>
      <c r="AL963" s="564"/>
      <c r="AM963" s="564"/>
      <c r="AN963" s="564"/>
      <c r="AO963" s="564"/>
    </row>
    <row r="964" spans="2:41" x14ac:dyDescent="0.15">
      <c r="B964" s="565">
        <v>20</v>
      </c>
      <c r="C964" s="564"/>
      <c r="D964" s="564"/>
      <c r="E964" s="564"/>
      <c r="F964" s="564"/>
      <c r="G964" s="564"/>
      <c r="H964" s="564"/>
      <c r="I964" s="564"/>
      <c r="J964" s="564"/>
      <c r="K964" s="564"/>
      <c r="L964" s="564"/>
      <c r="M964" s="564"/>
      <c r="N964" s="564"/>
      <c r="O964" s="564"/>
      <c r="P964" s="564"/>
      <c r="Q964" s="564"/>
      <c r="R964" s="564"/>
      <c r="S964" s="564"/>
      <c r="T964" s="564"/>
      <c r="U964" s="564"/>
      <c r="V964" s="564"/>
      <c r="W964" s="564"/>
      <c r="X964" s="564"/>
      <c r="Y964" s="564"/>
      <c r="Z964" s="564"/>
      <c r="AA964" s="564"/>
      <c r="AB964" s="564"/>
      <c r="AC964" s="564"/>
      <c r="AD964" s="564"/>
      <c r="AE964" s="564"/>
      <c r="AF964" s="564"/>
      <c r="AG964" s="564"/>
      <c r="AH964" s="564"/>
      <c r="AI964" s="564"/>
      <c r="AJ964" s="564"/>
      <c r="AK964" s="564"/>
      <c r="AL964" s="564"/>
      <c r="AM964" s="564"/>
      <c r="AN964" s="564"/>
      <c r="AO964" s="564"/>
    </row>
    <row r="965" spans="2:41" x14ac:dyDescent="0.15">
      <c r="B965" s="565">
        <v>21</v>
      </c>
      <c r="C965" s="564"/>
      <c r="D965" s="564"/>
      <c r="E965" s="564"/>
      <c r="F965" s="564"/>
      <c r="G965" s="564"/>
      <c r="H965" s="564"/>
      <c r="I965" s="564"/>
      <c r="J965" s="564"/>
      <c r="K965" s="564"/>
      <c r="L965" s="564"/>
      <c r="M965" s="564"/>
      <c r="N965" s="564"/>
      <c r="O965" s="564"/>
      <c r="P965" s="564"/>
      <c r="Q965" s="564"/>
      <c r="R965" s="564"/>
      <c r="S965" s="564"/>
      <c r="T965" s="564"/>
      <c r="U965" s="564"/>
      <c r="V965" s="564"/>
      <c r="W965" s="564"/>
      <c r="X965" s="564"/>
      <c r="Y965" s="564"/>
      <c r="Z965" s="564"/>
      <c r="AA965" s="564"/>
      <c r="AB965" s="564"/>
      <c r="AC965" s="564"/>
      <c r="AD965" s="564"/>
      <c r="AE965" s="564"/>
      <c r="AF965" s="564"/>
      <c r="AG965" s="564"/>
      <c r="AH965" s="564"/>
      <c r="AI965" s="564"/>
      <c r="AJ965" s="564"/>
      <c r="AK965" s="564"/>
      <c r="AL965" s="564"/>
      <c r="AM965" s="564"/>
      <c r="AN965" s="564"/>
      <c r="AO965" s="564"/>
    </row>
    <row r="966" spans="2:41" x14ac:dyDescent="0.15">
      <c r="B966" s="565">
        <v>22</v>
      </c>
      <c r="C966" s="564"/>
      <c r="D966" s="564"/>
      <c r="E966" s="564"/>
      <c r="F966" s="564"/>
      <c r="G966" s="564"/>
      <c r="H966" s="564"/>
      <c r="I966" s="564"/>
      <c r="J966" s="564"/>
      <c r="K966" s="564"/>
      <c r="L966" s="564"/>
      <c r="M966" s="564"/>
      <c r="N966" s="564"/>
      <c r="O966" s="564"/>
      <c r="P966" s="564"/>
      <c r="Q966" s="564"/>
      <c r="R966" s="564"/>
      <c r="S966" s="564"/>
      <c r="T966" s="564"/>
      <c r="U966" s="564"/>
      <c r="V966" s="564"/>
      <c r="W966" s="564"/>
      <c r="X966" s="564"/>
      <c r="Y966" s="564"/>
      <c r="Z966" s="564"/>
      <c r="AA966" s="564"/>
      <c r="AB966" s="564"/>
      <c r="AC966" s="564"/>
      <c r="AD966" s="564"/>
      <c r="AE966" s="564"/>
      <c r="AF966" s="564"/>
      <c r="AG966" s="564"/>
      <c r="AH966" s="564"/>
      <c r="AI966" s="564"/>
      <c r="AJ966" s="564"/>
      <c r="AK966" s="564"/>
      <c r="AL966" s="564"/>
      <c r="AM966" s="564"/>
      <c r="AN966" s="564"/>
      <c r="AO966" s="564"/>
    </row>
    <row r="967" spans="2:41" x14ac:dyDescent="0.15">
      <c r="B967" s="565">
        <v>23</v>
      </c>
      <c r="C967" s="564"/>
      <c r="D967" s="564"/>
      <c r="E967" s="564"/>
      <c r="F967" s="564"/>
      <c r="G967" s="564"/>
      <c r="H967" s="564"/>
      <c r="I967" s="564"/>
      <c r="J967" s="564"/>
      <c r="K967" s="564"/>
      <c r="L967" s="564"/>
      <c r="M967" s="564"/>
      <c r="N967" s="564"/>
      <c r="O967" s="564"/>
      <c r="P967" s="564"/>
      <c r="Q967" s="564"/>
      <c r="R967" s="564"/>
      <c r="S967" s="564"/>
      <c r="T967" s="564"/>
      <c r="U967" s="564"/>
      <c r="V967" s="564"/>
      <c r="W967" s="564"/>
      <c r="X967" s="564"/>
      <c r="Y967" s="564"/>
      <c r="Z967" s="564"/>
      <c r="AA967" s="564"/>
      <c r="AB967" s="564"/>
      <c r="AC967" s="564"/>
      <c r="AD967" s="564"/>
      <c r="AE967" s="564"/>
      <c r="AF967" s="564"/>
      <c r="AG967" s="564"/>
      <c r="AH967" s="564"/>
      <c r="AI967" s="564"/>
      <c r="AJ967" s="564"/>
      <c r="AK967" s="564"/>
      <c r="AL967" s="564"/>
      <c r="AM967" s="564"/>
      <c r="AN967" s="564"/>
      <c r="AO967" s="564"/>
    </row>
    <row r="968" spans="2:41" x14ac:dyDescent="0.15">
      <c r="B968" s="565">
        <v>24</v>
      </c>
      <c r="C968" s="564"/>
      <c r="D968" s="564"/>
      <c r="E968" s="564"/>
      <c r="F968" s="564"/>
      <c r="G968" s="564"/>
      <c r="H968" s="564"/>
      <c r="I968" s="564"/>
      <c r="J968" s="564"/>
      <c r="K968" s="564"/>
      <c r="L968" s="564"/>
      <c r="M968" s="564"/>
      <c r="N968" s="564"/>
      <c r="O968" s="564"/>
      <c r="P968" s="564"/>
      <c r="Q968" s="564"/>
      <c r="R968" s="564"/>
      <c r="S968" s="564"/>
      <c r="T968" s="564"/>
      <c r="U968" s="564"/>
      <c r="V968" s="564"/>
      <c r="W968" s="564"/>
      <c r="X968" s="564"/>
      <c r="Y968" s="564"/>
      <c r="Z968" s="564"/>
      <c r="AA968" s="564"/>
      <c r="AB968" s="564"/>
      <c r="AC968" s="564"/>
      <c r="AD968" s="564"/>
      <c r="AE968" s="564"/>
      <c r="AF968" s="564"/>
      <c r="AG968" s="564"/>
      <c r="AH968" s="564"/>
      <c r="AI968" s="564"/>
      <c r="AJ968" s="564"/>
      <c r="AK968" s="564"/>
      <c r="AL968" s="564"/>
      <c r="AM968" s="564"/>
      <c r="AN968" s="564"/>
      <c r="AO968" s="564"/>
    </row>
    <row r="969" spans="2:41" x14ac:dyDescent="0.15">
      <c r="B969" s="565">
        <v>25</v>
      </c>
      <c r="C969" s="564"/>
      <c r="D969" s="564"/>
      <c r="E969" s="564"/>
      <c r="F969" s="564"/>
      <c r="G969" s="564"/>
      <c r="H969" s="564"/>
      <c r="I969" s="564"/>
      <c r="J969" s="564"/>
      <c r="K969" s="564"/>
      <c r="L969" s="564"/>
      <c r="M969" s="564"/>
      <c r="N969" s="564"/>
      <c r="O969" s="564"/>
      <c r="P969" s="564"/>
      <c r="Q969" s="564"/>
      <c r="R969" s="564"/>
      <c r="S969" s="564"/>
      <c r="T969" s="564"/>
      <c r="U969" s="564"/>
      <c r="V969" s="564"/>
      <c r="W969" s="564"/>
      <c r="X969" s="564"/>
      <c r="Y969" s="564"/>
      <c r="Z969" s="564"/>
      <c r="AA969" s="564"/>
      <c r="AB969" s="564"/>
      <c r="AC969" s="564"/>
      <c r="AD969" s="564"/>
      <c r="AE969" s="564"/>
      <c r="AF969" s="564"/>
      <c r="AG969" s="564"/>
      <c r="AH969" s="564"/>
      <c r="AI969" s="564"/>
      <c r="AJ969" s="564"/>
      <c r="AK969" s="564"/>
      <c r="AL969" s="564"/>
      <c r="AM969" s="564"/>
      <c r="AN969" s="564"/>
      <c r="AO969" s="564"/>
    </row>
    <row r="970" spans="2:41" x14ac:dyDescent="0.15">
      <c r="B970" s="565">
        <v>26</v>
      </c>
      <c r="C970" s="564"/>
      <c r="D970" s="564"/>
      <c r="E970" s="564"/>
      <c r="F970" s="564"/>
      <c r="G970" s="564"/>
      <c r="H970" s="564"/>
      <c r="I970" s="564"/>
      <c r="J970" s="564"/>
      <c r="K970" s="564"/>
      <c r="L970" s="564"/>
      <c r="M970" s="564"/>
      <c r="N970" s="564"/>
      <c r="O970" s="564"/>
      <c r="P970" s="564"/>
      <c r="Q970" s="564"/>
      <c r="R970" s="564"/>
      <c r="S970" s="564"/>
      <c r="T970" s="564"/>
      <c r="U970" s="564"/>
      <c r="V970" s="564"/>
      <c r="W970" s="564"/>
      <c r="X970" s="564"/>
      <c r="Y970" s="564"/>
      <c r="Z970" s="564"/>
      <c r="AA970" s="564"/>
      <c r="AB970" s="564"/>
      <c r="AC970" s="564"/>
      <c r="AD970" s="564"/>
      <c r="AE970" s="564"/>
      <c r="AF970" s="564"/>
      <c r="AG970" s="564"/>
      <c r="AH970" s="564"/>
      <c r="AI970" s="564"/>
      <c r="AJ970" s="564"/>
      <c r="AK970" s="564"/>
      <c r="AL970" s="564"/>
      <c r="AM970" s="564"/>
      <c r="AN970" s="564"/>
      <c r="AO970" s="564"/>
    </row>
    <row r="971" spans="2:41" x14ac:dyDescent="0.15">
      <c r="B971" s="565">
        <v>27</v>
      </c>
      <c r="C971" s="564"/>
      <c r="D971" s="564"/>
      <c r="E971" s="564"/>
      <c r="F971" s="564"/>
      <c r="G971" s="564"/>
      <c r="H971" s="564"/>
      <c r="I971" s="564"/>
      <c r="J971" s="564"/>
      <c r="K971" s="564"/>
      <c r="L971" s="564"/>
      <c r="M971" s="564"/>
      <c r="N971" s="564"/>
      <c r="O971" s="564"/>
      <c r="P971" s="564"/>
      <c r="Q971" s="564"/>
      <c r="R971" s="564"/>
      <c r="S971" s="564"/>
      <c r="T971" s="564"/>
      <c r="U971" s="564"/>
      <c r="V971" s="564"/>
      <c r="W971" s="564"/>
      <c r="X971" s="564"/>
      <c r="Y971" s="564"/>
      <c r="Z971" s="564"/>
      <c r="AA971" s="564"/>
      <c r="AB971" s="564"/>
      <c r="AC971" s="564"/>
      <c r="AD971" s="564"/>
      <c r="AE971" s="564"/>
      <c r="AF971" s="564"/>
      <c r="AG971" s="564"/>
      <c r="AH971" s="564"/>
      <c r="AI971" s="564"/>
      <c r="AJ971" s="564"/>
      <c r="AK971" s="564"/>
      <c r="AL971" s="564"/>
      <c r="AM971" s="564"/>
      <c r="AN971" s="564"/>
      <c r="AO971" s="564"/>
    </row>
    <row r="972" spans="2:41" x14ac:dyDescent="0.15">
      <c r="B972" s="565">
        <v>28</v>
      </c>
      <c r="C972" s="564"/>
      <c r="D972" s="564"/>
      <c r="E972" s="564"/>
      <c r="F972" s="564"/>
      <c r="G972" s="564"/>
      <c r="H972" s="564"/>
      <c r="I972" s="564"/>
      <c r="J972" s="564"/>
      <c r="K972" s="564"/>
      <c r="L972" s="564"/>
      <c r="M972" s="564"/>
      <c r="N972" s="564"/>
      <c r="O972" s="564"/>
      <c r="P972" s="564"/>
      <c r="Q972" s="564"/>
      <c r="R972" s="564"/>
      <c r="S972" s="564"/>
      <c r="T972" s="564"/>
      <c r="U972" s="564"/>
      <c r="V972" s="564"/>
      <c r="W972" s="564"/>
      <c r="X972" s="564"/>
      <c r="Y972" s="564"/>
      <c r="Z972" s="564"/>
      <c r="AA972" s="564"/>
      <c r="AB972" s="564"/>
      <c r="AC972" s="564"/>
      <c r="AD972" s="564"/>
      <c r="AE972" s="564"/>
      <c r="AF972" s="564"/>
      <c r="AG972" s="564"/>
      <c r="AH972" s="564"/>
      <c r="AI972" s="564"/>
      <c r="AJ972" s="564"/>
      <c r="AK972" s="564"/>
      <c r="AL972" s="564"/>
      <c r="AM972" s="564"/>
      <c r="AN972" s="564"/>
      <c r="AO972" s="564"/>
    </row>
    <row r="973" spans="2:41" x14ac:dyDescent="0.15">
      <c r="B973" s="565">
        <v>29</v>
      </c>
      <c r="C973" s="564"/>
      <c r="D973" s="564"/>
      <c r="E973" s="564"/>
      <c r="F973" s="564"/>
      <c r="G973" s="564"/>
      <c r="H973" s="564"/>
      <c r="I973" s="564"/>
      <c r="J973" s="564"/>
      <c r="K973" s="564"/>
      <c r="L973" s="564"/>
      <c r="M973" s="564"/>
      <c r="N973" s="564"/>
      <c r="O973" s="564"/>
      <c r="P973" s="564"/>
      <c r="Q973" s="564"/>
      <c r="R973" s="564"/>
      <c r="S973" s="564"/>
      <c r="T973" s="564"/>
      <c r="U973" s="564"/>
      <c r="V973" s="564"/>
      <c r="W973" s="564"/>
      <c r="X973" s="564"/>
      <c r="Y973" s="564"/>
      <c r="Z973" s="564"/>
      <c r="AA973" s="564"/>
      <c r="AB973" s="564"/>
      <c r="AC973" s="564"/>
      <c r="AD973" s="564"/>
      <c r="AE973" s="564"/>
      <c r="AF973" s="564"/>
      <c r="AG973" s="564"/>
      <c r="AH973" s="564"/>
      <c r="AI973" s="564"/>
      <c r="AJ973" s="564"/>
      <c r="AK973" s="564"/>
      <c r="AL973" s="564"/>
      <c r="AM973" s="564"/>
      <c r="AN973" s="564"/>
      <c r="AO973" s="564"/>
    </row>
    <row r="974" spans="2:41" x14ac:dyDescent="0.15">
      <c r="B974" s="565">
        <v>30</v>
      </c>
      <c r="C974" s="564"/>
      <c r="D974" s="564"/>
      <c r="E974" s="564"/>
      <c r="F974" s="564"/>
      <c r="G974" s="564"/>
      <c r="H974" s="564"/>
      <c r="I974" s="564"/>
      <c r="J974" s="564"/>
      <c r="K974" s="564"/>
      <c r="L974" s="564"/>
      <c r="M974" s="564"/>
      <c r="N974" s="564"/>
      <c r="O974" s="564"/>
      <c r="P974" s="564"/>
      <c r="Q974" s="564"/>
      <c r="R974" s="564"/>
      <c r="S974" s="564"/>
      <c r="T974" s="564"/>
      <c r="U974" s="564"/>
      <c r="V974" s="564"/>
      <c r="W974" s="564"/>
      <c r="X974" s="564"/>
      <c r="Y974" s="564"/>
      <c r="Z974" s="564"/>
      <c r="AA974" s="564"/>
      <c r="AB974" s="564"/>
      <c r="AC974" s="564"/>
      <c r="AD974" s="564"/>
      <c r="AE974" s="564"/>
      <c r="AF974" s="564"/>
      <c r="AG974" s="564"/>
      <c r="AH974" s="564"/>
      <c r="AI974" s="564"/>
      <c r="AJ974" s="564"/>
      <c r="AK974" s="564"/>
      <c r="AL974" s="564"/>
      <c r="AM974" s="564"/>
      <c r="AN974" s="564"/>
      <c r="AO974" s="564"/>
    </row>
    <row r="975" spans="2:41" x14ac:dyDescent="0.15">
      <c r="B975" s="565">
        <v>31</v>
      </c>
      <c r="C975" s="564"/>
      <c r="D975" s="564"/>
      <c r="E975" s="564"/>
      <c r="F975" s="564"/>
      <c r="G975" s="564"/>
      <c r="H975" s="564"/>
      <c r="I975" s="564"/>
      <c r="J975" s="564"/>
      <c r="K975" s="564"/>
      <c r="L975" s="564"/>
      <c r="M975" s="564"/>
      <c r="N975" s="564"/>
      <c r="O975" s="564"/>
      <c r="P975" s="564"/>
      <c r="Q975" s="564"/>
      <c r="R975" s="564"/>
      <c r="S975" s="564"/>
      <c r="T975" s="564"/>
      <c r="U975" s="564"/>
      <c r="V975" s="564"/>
      <c r="W975" s="564"/>
      <c r="X975" s="564"/>
      <c r="Y975" s="564"/>
      <c r="Z975" s="564"/>
      <c r="AA975" s="564"/>
      <c r="AB975" s="564"/>
      <c r="AC975" s="564"/>
      <c r="AD975" s="564"/>
      <c r="AE975" s="564"/>
      <c r="AF975" s="564"/>
      <c r="AG975" s="564"/>
      <c r="AH975" s="564"/>
      <c r="AI975" s="564"/>
      <c r="AJ975" s="564"/>
      <c r="AK975" s="564"/>
      <c r="AL975" s="564"/>
      <c r="AM975" s="564"/>
      <c r="AN975" s="564"/>
      <c r="AO975" s="564"/>
    </row>
    <row r="976" spans="2:41" x14ac:dyDescent="0.15">
      <c r="B976" s="565">
        <v>32</v>
      </c>
      <c r="C976" s="564"/>
      <c r="D976" s="564"/>
      <c r="E976" s="564"/>
      <c r="F976" s="564"/>
      <c r="G976" s="564"/>
      <c r="H976" s="564"/>
      <c r="I976" s="564"/>
      <c r="J976" s="564"/>
      <c r="K976" s="564"/>
      <c r="L976" s="564"/>
      <c r="M976" s="564"/>
      <c r="N976" s="564"/>
      <c r="O976" s="564"/>
      <c r="P976" s="564"/>
      <c r="Q976" s="564"/>
      <c r="R976" s="564"/>
      <c r="S976" s="564"/>
      <c r="T976" s="564"/>
      <c r="U976" s="564"/>
      <c r="V976" s="564"/>
      <c r="W976" s="564"/>
      <c r="X976" s="564"/>
      <c r="Y976" s="564"/>
      <c r="Z976" s="564"/>
      <c r="AA976" s="564"/>
      <c r="AB976" s="564"/>
      <c r="AC976" s="564"/>
      <c r="AD976" s="564"/>
      <c r="AE976" s="564"/>
      <c r="AF976" s="564"/>
      <c r="AG976" s="564"/>
      <c r="AH976" s="564"/>
      <c r="AI976" s="564"/>
      <c r="AJ976" s="564"/>
      <c r="AK976" s="564"/>
      <c r="AL976" s="564"/>
      <c r="AM976" s="564"/>
      <c r="AN976" s="564"/>
      <c r="AO976" s="564"/>
    </row>
    <row r="977" spans="2:41" x14ac:dyDescent="0.15">
      <c r="B977" s="565">
        <v>33</v>
      </c>
      <c r="C977" s="564"/>
      <c r="D977" s="564"/>
      <c r="E977" s="564"/>
      <c r="F977" s="564"/>
      <c r="G977" s="564"/>
      <c r="H977" s="564"/>
      <c r="I977" s="564"/>
      <c r="J977" s="564"/>
      <c r="K977" s="564"/>
      <c r="L977" s="564"/>
      <c r="M977" s="564"/>
      <c r="N977" s="564"/>
      <c r="O977" s="564"/>
      <c r="P977" s="564"/>
      <c r="Q977" s="564"/>
      <c r="R977" s="564"/>
      <c r="S977" s="564"/>
      <c r="T977" s="564"/>
      <c r="U977" s="564"/>
      <c r="V977" s="564"/>
      <c r="W977" s="564"/>
      <c r="X977" s="564"/>
      <c r="Y977" s="564"/>
      <c r="Z977" s="564"/>
      <c r="AA977" s="564"/>
      <c r="AB977" s="564"/>
      <c r="AC977" s="564"/>
      <c r="AD977" s="564"/>
      <c r="AE977" s="564"/>
      <c r="AF977" s="564"/>
      <c r="AG977" s="564"/>
      <c r="AH977" s="564"/>
      <c r="AI977" s="564"/>
      <c r="AJ977" s="564"/>
      <c r="AK977" s="564"/>
      <c r="AL977" s="564"/>
      <c r="AM977" s="564"/>
      <c r="AN977" s="564"/>
      <c r="AO977" s="564"/>
    </row>
    <row r="978" spans="2:41" x14ac:dyDescent="0.15">
      <c r="B978" s="565">
        <v>34</v>
      </c>
      <c r="C978" s="564"/>
      <c r="D978" s="564"/>
      <c r="E978" s="564"/>
      <c r="F978" s="564"/>
      <c r="G978" s="564"/>
      <c r="H978" s="564"/>
      <c r="I978" s="564"/>
      <c r="J978" s="564"/>
      <c r="K978" s="564"/>
      <c r="L978" s="564"/>
      <c r="M978" s="564"/>
      <c r="N978" s="564"/>
      <c r="O978" s="564"/>
      <c r="P978" s="564"/>
      <c r="Q978" s="564"/>
      <c r="R978" s="564"/>
      <c r="S978" s="564"/>
      <c r="T978" s="564"/>
      <c r="U978" s="564"/>
      <c r="V978" s="564"/>
      <c r="W978" s="564"/>
      <c r="X978" s="564"/>
      <c r="Y978" s="564"/>
      <c r="Z978" s="564"/>
      <c r="AA978" s="564"/>
      <c r="AB978" s="564"/>
      <c r="AC978" s="564"/>
      <c r="AD978" s="564"/>
      <c r="AE978" s="564"/>
      <c r="AF978" s="564"/>
      <c r="AG978" s="564"/>
      <c r="AH978" s="564"/>
      <c r="AI978" s="564"/>
      <c r="AJ978" s="564"/>
      <c r="AK978" s="564"/>
      <c r="AL978" s="564"/>
      <c r="AM978" s="564"/>
      <c r="AN978" s="564"/>
      <c r="AO978" s="564"/>
    </row>
    <row r="979" spans="2:41" x14ac:dyDescent="0.15">
      <c r="B979" s="565">
        <v>35</v>
      </c>
      <c r="C979" s="564"/>
      <c r="D979" s="564"/>
      <c r="E979" s="564"/>
      <c r="F979" s="564"/>
      <c r="G979" s="564"/>
      <c r="H979" s="564"/>
      <c r="I979" s="564"/>
      <c r="J979" s="564"/>
      <c r="K979" s="564"/>
      <c r="L979" s="564"/>
      <c r="M979" s="564"/>
      <c r="N979" s="564"/>
      <c r="O979" s="564"/>
      <c r="P979" s="564"/>
      <c r="Q979" s="564"/>
      <c r="R979" s="564"/>
      <c r="S979" s="564"/>
      <c r="T979" s="564"/>
      <c r="U979" s="564"/>
      <c r="V979" s="564"/>
      <c r="W979" s="564"/>
      <c r="X979" s="564"/>
      <c r="Y979" s="564"/>
      <c r="Z979" s="564"/>
      <c r="AA979" s="564"/>
      <c r="AB979" s="564"/>
      <c r="AC979" s="564"/>
      <c r="AD979" s="564"/>
      <c r="AE979" s="564"/>
      <c r="AF979" s="564"/>
      <c r="AG979" s="564"/>
      <c r="AH979" s="564"/>
      <c r="AI979" s="564"/>
      <c r="AJ979" s="564"/>
      <c r="AK979" s="564"/>
      <c r="AL979" s="564"/>
      <c r="AM979" s="564"/>
      <c r="AN979" s="564"/>
      <c r="AO979" s="564"/>
    </row>
    <row r="980" spans="2:41" x14ac:dyDescent="0.15">
      <c r="B980" s="565">
        <v>36</v>
      </c>
      <c r="C980" s="564"/>
      <c r="D980" s="564"/>
      <c r="E980" s="564"/>
      <c r="F980" s="564"/>
      <c r="G980" s="564"/>
      <c r="H980" s="564"/>
      <c r="I980" s="564"/>
      <c r="J980" s="564"/>
      <c r="K980" s="564"/>
      <c r="L980" s="564"/>
      <c r="M980" s="564"/>
      <c r="N980" s="564"/>
      <c r="O980" s="564"/>
      <c r="P980" s="564"/>
      <c r="Q980" s="564"/>
      <c r="R980" s="564"/>
      <c r="S980" s="564"/>
      <c r="T980" s="564"/>
      <c r="U980" s="564"/>
      <c r="V980" s="564"/>
      <c r="W980" s="564"/>
      <c r="X980" s="564"/>
      <c r="Y980" s="564"/>
      <c r="Z980" s="564"/>
      <c r="AA980" s="564"/>
      <c r="AB980" s="564"/>
      <c r="AC980" s="564"/>
      <c r="AD980" s="564"/>
      <c r="AE980" s="564"/>
      <c r="AF980" s="564"/>
      <c r="AG980" s="564"/>
      <c r="AH980" s="564"/>
      <c r="AI980" s="564"/>
      <c r="AJ980" s="564"/>
      <c r="AK980" s="564"/>
      <c r="AL980" s="564"/>
      <c r="AM980" s="564"/>
      <c r="AN980" s="564"/>
      <c r="AO980" s="564"/>
    </row>
    <row r="981" spans="2:41" x14ac:dyDescent="0.15">
      <c r="B981" s="565">
        <v>37</v>
      </c>
      <c r="C981" s="564"/>
      <c r="D981" s="564"/>
      <c r="E981" s="564"/>
      <c r="F981" s="564"/>
      <c r="G981" s="564"/>
      <c r="H981" s="564"/>
      <c r="I981" s="564"/>
      <c r="J981" s="564"/>
      <c r="K981" s="564"/>
      <c r="L981" s="564"/>
      <c r="M981" s="564"/>
      <c r="N981" s="564"/>
      <c r="O981" s="564"/>
      <c r="P981" s="564"/>
      <c r="Q981" s="564"/>
      <c r="R981" s="564"/>
      <c r="S981" s="564"/>
      <c r="T981" s="564"/>
      <c r="U981" s="564"/>
      <c r="V981" s="564"/>
      <c r="W981" s="564"/>
      <c r="X981" s="564"/>
      <c r="Y981" s="564"/>
      <c r="Z981" s="564"/>
      <c r="AA981" s="564"/>
      <c r="AB981" s="564"/>
      <c r="AC981" s="564"/>
      <c r="AD981" s="564"/>
      <c r="AE981" s="564"/>
      <c r="AF981" s="564"/>
      <c r="AG981" s="564"/>
      <c r="AH981" s="564"/>
      <c r="AI981" s="564"/>
      <c r="AJ981" s="564"/>
      <c r="AK981" s="564"/>
      <c r="AL981" s="564"/>
      <c r="AM981" s="564"/>
      <c r="AN981" s="564"/>
      <c r="AO981" s="564"/>
    </row>
    <row r="982" spans="2:41" x14ac:dyDescent="0.15">
      <c r="B982" s="565">
        <v>38</v>
      </c>
      <c r="C982" s="564"/>
      <c r="D982" s="564"/>
      <c r="E982" s="564"/>
      <c r="F982" s="564"/>
      <c r="G982" s="564"/>
      <c r="H982" s="564"/>
      <c r="I982" s="564"/>
      <c r="J982" s="564"/>
      <c r="K982" s="564"/>
      <c r="L982" s="564"/>
      <c r="M982" s="564"/>
      <c r="N982" s="564"/>
      <c r="O982" s="564"/>
      <c r="P982" s="564"/>
      <c r="Q982" s="564"/>
      <c r="R982" s="564"/>
      <c r="S982" s="564"/>
      <c r="T982" s="564"/>
      <c r="U982" s="564"/>
      <c r="V982" s="564"/>
      <c r="W982" s="564"/>
      <c r="X982" s="564"/>
      <c r="Y982" s="564"/>
      <c r="Z982" s="564"/>
      <c r="AA982" s="564"/>
      <c r="AB982" s="564"/>
      <c r="AC982" s="564"/>
      <c r="AD982" s="564"/>
      <c r="AE982" s="564"/>
      <c r="AF982" s="564"/>
      <c r="AG982" s="564"/>
      <c r="AH982" s="564"/>
      <c r="AI982" s="564"/>
      <c r="AJ982" s="564"/>
      <c r="AK982" s="564"/>
      <c r="AL982" s="564"/>
      <c r="AM982" s="564"/>
      <c r="AN982" s="564"/>
      <c r="AO982" s="564"/>
    </row>
    <row r="983" spans="2:41" x14ac:dyDescent="0.15">
      <c r="B983" s="565">
        <v>39</v>
      </c>
      <c r="C983" s="564"/>
      <c r="D983" s="564"/>
      <c r="E983" s="564"/>
      <c r="F983" s="564"/>
      <c r="G983" s="564"/>
      <c r="H983" s="564"/>
      <c r="I983" s="564"/>
      <c r="J983" s="564"/>
      <c r="K983" s="564"/>
      <c r="L983" s="564"/>
      <c r="M983" s="564"/>
      <c r="N983" s="564"/>
      <c r="O983" s="564"/>
      <c r="P983" s="564"/>
      <c r="Q983" s="564"/>
      <c r="R983" s="564"/>
      <c r="S983" s="564"/>
      <c r="T983" s="564"/>
      <c r="U983" s="564"/>
      <c r="V983" s="564"/>
      <c r="W983" s="564"/>
      <c r="X983" s="564"/>
      <c r="Y983" s="564"/>
      <c r="Z983" s="564"/>
      <c r="AA983" s="564"/>
      <c r="AB983" s="564"/>
      <c r="AC983" s="564"/>
      <c r="AD983" s="564"/>
      <c r="AE983" s="564"/>
      <c r="AF983" s="564"/>
      <c r="AG983" s="564"/>
      <c r="AH983" s="564"/>
      <c r="AI983" s="564"/>
      <c r="AJ983" s="564"/>
      <c r="AK983" s="564"/>
      <c r="AL983" s="564"/>
      <c r="AM983" s="564"/>
      <c r="AN983" s="564"/>
      <c r="AO983" s="564"/>
    </row>
    <row r="984" spans="2:41" x14ac:dyDescent="0.15">
      <c r="B984" s="566">
        <v>40</v>
      </c>
      <c r="C984" s="564"/>
      <c r="D984" s="564"/>
      <c r="E984" s="564"/>
      <c r="F984" s="564"/>
      <c r="G984" s="564"/>
      <c r="H984" s="564"/>
      <c r="I984" s="564"/>
      <c r="J984" s="564"/>
      <c r="K984" s="564"/>
      <c r="L984" s="564"/>
      <c r="M984" s="564"/>
      <c r="N984" s="564"/>
      <c r="O984" s="564"/>
      <c r="P984" s="564"/>
      <c r="Q984" s="564"/>
      <c r="R984" s="564"/>
      <c r="S984" s="564"/>
      <c r="T984" s="564"/>
      <c r="U984" s="564"/>
      <c r="V984" s="564"/>
      <c r="W984" s="564"/>
      <c r="X984" s="564"/>
      <c r="Y984" s="564"/>
      <c r="Z984" s="564"/>
      <c r="AA984" s="564"/>
      <c r="AB984" s="564"/>
      <c r="AC984" s="564"/>
      <c r="AD984" s="564"/>
      <c r="AE984" s="564"/>
      <c r="AF984" s="564"/>
      <c r="AG984" s="564"/>
      <c r="AH984" s="564"/>
      <c r="AI984" s="564"/>
      <c r="AJ984" s="564"/>
      <c r="AK984" s="564"/>
      <c r="AL984" s="564"/>
      <c r="AM984" s="564"/>
      <c r="AN984" s="564"/>
      <c r="AO984" s="564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B1943-AF8E-4772-8DC2-5967FEE8D5C1}">
  <dimension ref="C4:AC63"/>
  <sheetViews>
    <sheetView workbookViewId="0">
      <selection activeCell="R20" sqref="R20"/>
    </sheetView>
  </sheetViews>
  <sheetFormatPr baseColWidth="10" defaultColWidth="8.83203125" defaultRowHeight="13" x14ac:dyDescent="0.15"/>
  <cols>
    <col min="6" max="6" width="12.1640625" customWidth="1"/>
    <col min="7" max="7" width="7" customWidth="1"/>
    <col min="8" max="8" width="47" bestFit="1" customWidth="1"/>
    <col min="9" max="9" width="9.6640625" customWidth="1"/>
    <col min="11" max="11" width="5.83203125" customWidth="1"/>
    <col min="13" max="13" width="13.1640625" customWidth="1"/>
    <col min="14" max="14" width="9" bestFit="1" customWidth="1"/>
    <col min="15" max="15" width="23" bestFit="1" customWidth="1"/>
    <col min="16" max="16" width="12.5" bestFit="1" customWidth="1"/>
    <col min="17" max="17" width="13" bestFit="1" customWidth="1"/>
    <col min="18" max="18" width="9.5" bestFit="1" customWidth="1"/>
    <col min="19" max="19" width="9.33203125" bestFit="1" customWidth="1"/>
    <col min="20" max="20" width="9.83203125" bestFit="1" customWidth="1"/>
  </cols>
  <sheetData>
    <row r="4" spans="5:29" ht="14" thickBot="1" x14ac:dyDescent="0.2"/>
    <row r="5" spans="5:29" x14ac:dyDescent="0.1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" x14ac:dyDescent="0.15">
      <c r="H6" s="232" t="s">
        <v>485</v>
      </c>
      <c r="I6" s="457">
        <f>'R-series ENT'!E33</f>
        <v>34.722222222222221</v>
      </c>
      <c r="J6" s="364" t="s">
        <v>72</v>
      </c>
      <c r="M6" s="232"/>
      <c r="AC6" s="364"/>
    </row>
    <row r="7" spans="5:29" x14ac:dyDescent="0.15">
      <c r="H7" s="232" t="s">
        <v>486</v>
      </c>
      <c r="I7" s="233">
        <f>I6*1.2*(I9-I8)</f>
        <v>791.66666666666663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15">
      <c r="E8" s="3"/>
      <c r="H8" s="232" t="s">
        <v>489</v>
      </c>
      <c r="I8" s="365">
        <f>'R-series ENT'!F86</f>
        <v>1</v>
      </c>
      <c r="J8" s="364" t="s">
        <v>230</v>
      </c>
      <c r="M8" s="234">
        <v>50</v>
      </c>
      <c r="N8" s="80">
        <v>4388.9688496702984</v>
      </c>
      <c r="O8" s="5">
        <v>0.29666666666665975</v>
      </c>
      <c r="AC8" s="364"/>
    </row>
    <row r="9" spans="5:29" x14ac:dyDescent="0.15">
      <c r="H9" s="232" t="s">
        <v>490</v>
      </c>
      <c r="I9" s="365">
        <f>'R-series ENT'!F87</f>
        <v>20</v>
      </c>
      <c r="J9" s="364" t="s">
        <v>230</v>
      </c>
      <c r="M9" s="234">
        <v>50</v>
      </c>
      <c r="N9" s="80">
        <v>5309.2365116979418</v>
      </c>
      <c r="O9" s="5">
        <v>-0.4704301075268873</v>
      </c>
      <c r="AC9" s="364"/>
    </row>
    <row r="10" spans="5:29" ht="14" thickBot="1" x14ac:dyDescent="0.2">
      <c r="H10" s="234" t="s">
        <v>491</v>
      </c>
      <c r="I10" s="365">
        <f>'R-series ENT'!F88</f>
        <v>50</v>
      </c>
      <c r="J10" s="364" t="s">
        <v>230</v>
      </c>
      <c r="M10" s="234">
        <v>50</v>
      </c>
      <c r="N10" s="80">
        <v>8494.7784187167072</v>
      </c>
      <c r="O10" s="5">
        <v>0.72365591397849016</v>
      </c>
      <c r="AC10" s="364"/>
    </row>
    <row r="11" spans="5:29" ht="14" thickBot="1" x14ac:dyDescent="0.2">
      <c r="H11" s="234" t="s">
        <v>492</v>
      </c>
      <c r="I11" s="365">
        <f>'R-series ENT'!F89</f>
        <v>30</v>
      </c>
      <c r="J11" s="364" t="s">
        <v>230</v>
      </c>
      <c r="M11" s="234">
        <v>50</v>
      </c>
      <c r="N11" s="80">
        <v>4388.9688496702984</v>
      </c>
      <c r="O11" s="5">
        <v>0.29666666666665975</v>
      </c>
      <c r="P11" t="s">
        <v>493</v>
      </c>
      <c r="Q11" s="366">
        <v>0.3</v>
      </c>
      <c r="AC11" s="364"/>
    </row>
    <row r="12" spans="5:29" x14ac:dyDescent="0.15">
      <c r="H12" s="232" t="s">
        <v>494</v>
      </c>
      <c r="I12" s="367">
        <f>$I$7/4186/(20)/1000/((12.5/2000)^2*PI())*0.0125/0.0000005729</f>
        <v>1681.2582287043479</v>
      </c>
      <c r="J12" s="368" t="s">
        <v>393</v>
      </c>
      <c r="M12" s="234">
        <v>50</v>
      </c>
      <c r="N12" s="80">
        <v>3964.2299287344631</v>
      </c>
      <c r="O12" s="5">
        <v>0.41311827956988623</v>
      </c>
      <c r="AC12" s="364"/>
    </row>
    <row r="13" spans="5:29" ht="14" thickBot="1" x14ac:dyDescent="0.2">
      <c r="H13" s="369" t="s">
        <v>495</v>
      </c>
      <c r="I13" s="370">
        <f>I7/1000/($P$48)-$S$22</f>
        <v>8.4894361339312976</v>
      </c>
      <c r="J13" s="239" t="s">
        <v>496</v>
      </c>
      <c r="M13" s="234">
        <v>50</v>
      </c>
      <c r="N13" s="80">
        <v>3539.4910077986274</v>
      </c>
      <c r="O13" s="5">
        <v>-0.4704301075268873</v>
      </c>
      <c r="AC13" s="364"/>
    </row>
    <row r="14" spans="5:29" ht="14" thickBot="1" x14ac:dyDescent="0.2">
      <c r="M14" s="371">
        <v>50</v>
      </c>
      <c r="N14" s="257">
        <v>3114.7520868627926</v>
      </c>
      <c r="O14" s="209">
        <v>-0.85397849462366082</v>
      </c>
      <c r="P14" s="25"/>
      <c r="Q14" s="25"/>
      <c r="AC14" s="364"/>
    </row>
    <row r="15" spans="5:29" x14ac:dyDescent="0.15">
      <c r="H15" s="360" t="s">
        <v>497</v>
      </c>
      <c r="I15" s="372"/>
      <c r="J15" s="362"/>
      <c r="M15" s="234">
        <v>100</v>
      </c>
      <c r="N15" s="80">
        <v>7078.9820155972548</v>
      </c>
      <c r="O15" s="5">
        <v>0.89649814085133528</v>
      </c>
      <c r="AC15" s="364"/>
    </row>
    <row r="16" spans="5:29" x14ac:dyDescent="0.1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8707.1478791846239</v>
      </c>
      <c r="O16" s="5">
        <v>0.61512847549808924</v>
      </c>
      <c r="AC16" s="364"/>
    </row>
    <row r="17" spans="3:29" ht="14" thickBot="1" x14ac:dyDescent="0.2">
      <c r="C17" t="s">
        <v>532</v>
      </c>
      <c r="E17" t="b">
        <f>IF(I17&lt;I8,TRUE,FALSE)</f>
        <v>1</v>
      </c>
      <c r="F17" t="b">
        <f>IF(I17&gt;I16,TRUE,FALSE)</f>
        <v>0</v>
      </c>
      <c r="H17" s="234" t="s">
        <v>492</v>
      </c>
      <c r="I17" s="235">
        <f>(I13+AVERAGE(I8:I9))*2-I10</f>
        <v>-12.021127732137401</v>
      </c>
      <c r="J17" s="364" t="s">
        <v>230</v>
      </c>
      <c r="M17" s="234">
        <v>100</v>
      </c>
      <c r="N17" s="80">
        <v>13591.64546994673</v>
      </c>
      <c r="O17" s="5">
        <v>0.83375881014485387</v>
      </c>
      <c r="AC17" s="364"/>
    </row>
    <row r="18" spans="3:29" ht="16" thickBot="1" x14ac:dyDescent="0.2">
      <c r="E18" t="b">
        <f t="array" ref="E18">IF(ISERROR(I16:I22),TRUE,FALSE)</f>
        <v>0</v>
      </c>
      <c r="H18" s="234" t="s">
        <v>498</v>
      </c>
      <c r="I18" s="373">
        <f>I7/4186/(I16-I17)</f>
        <v>3.0493233297525166E-3</v>
      </c>
      <c r="J18" s="364" t="s">
        <v>72</v>
      </c>
      <c r="M18" s="234">
        <v>100</v>
      </c>
      <c r="N18" s="80">
        <v>3822.6502884225179</v>
      </c>
      <c r="O18" s="5">
        <v>-4.9372606692935204</v>
      </c>
      <c r="P18" t="s">
        <v>493</v>
      </c>
      <c r="Q18" s="366">
        <f>IF($I$12&lt;6000,IF($I$12&lt;3500,-4.5,P20*$I$12+$Q$20),1)</f>
        <v>-4.5</v>
      </c>
      <c r="AC18" s="364"/>
    </row>
    <row r="19" spans="3:29" x14ac:dyDescent="0.15">
      <c r="E19" t="b">
        <f>IF(I18&lt;0,TRUE,IF(I19&gt;50,TRUE,FALSE))</f>
        <v>0</v>
      </c>
      <c r="H19" s="234" t="s">
        <v>499</v>
      </c>
      <c r="I19" s="235">
        <f>$O$62*I18^$M$62</f>
        <v>2.0691823824440202E-2</v>
      </c>
      <c r="J19" s="364" t="s">
        <v>500</v>
      </c>
      <c r="M19" s="234">
        <v>100</v>
      </c>
      <c r="N19" s="80">
        <v>7078.9820155972548</v>
      </c>
      <c r="O19" s="5">
        <v>0.89649814085133528</v>
      </c>
      <c r="AC19" s="364"/>
    </row>
    <row r="20" spans="3:29" x14ac:dyDescent="0.15">
      <c r="E20" t="b">
        <f>IF(I18&lt;0,TRUE,IF(I20&gt;50,TRUE,FALSE))</f>
        <v>0</v>
      </c>
      <c r="H20" s="234" t="s">
        <v>557</v>
      </c>
      <c r="I20" s="235">
        <f>((I18*3.6)/1)^2*100</f>
        <v>1.2050691109107378E-2</v>
      </c>
      <c r="J20" s="364" t="s">
        <v>500</v>
      </c>
      <c r="M20" s="234">
        <v>100</v>
      </c>
      <c r="N20" s="80">
        <v>6512.6634543494738</v>
      </c>
      <c r="O20" s="5">
        <v>1.1047782895832228</v>
      </c>
      <c r="P20" cm="1">
        <f t="array" ref="P20:Q20">LINEST(O18:O22,N18:N22)</f>
        <v>1.787327714179628E-3</v>
      </c>
      <c r="Q20">
        <v>-10.938996315284054</v>
      </c>
      <c r="S20" t="s">
        <v>488</v>
      </c>
      <c r="AC20" s="364"/>
    </row>
    <row r="21" spans="3:29" x14ac:dyDescent="0.15">
      <c r="E21" t="b">
        <f>IF(I22&lt;3000,TRUE,FALSE)</f>
        <v>1</v>
      </c>
      <c r="H21" s="234" t="s">
        <v>501</v>
      </c>
      <c r="I21" s="373">
        <f>I18/1000/((12.5/2000)^2*PI())</f>
        <v>2.4848121907996189E-2</v>
      </c>
      <c r="J21" s="364" t="s">
        <v>502</v>
      </c>
      <c r="M21" s="234">
        <v>100</v>
      </c>
      <c r="N21" s="80">
        <v>5663.1856124778033</v>
      </c>
      <c r="O21" s="5">
        <v>-0.58280148731893533</v>
      </c>
      <c r="AC21" s="364"/>
    </row>
    <row r="22" spans="3:29" ht="14" thickBot="1" x14ac:dyDescent="0.2">
      <c r="D22" s="2" t="s">
        <v>536</v>
      </c>
      <c r="E22" s="2" t="b">
        <f>IF(OR(E17,E18,F17,E21,E19,E20),TRUE,FALSE)</f>
        <v>1</v>
      </c>
      <c r="H22" s="369" t="s">
        <v>487</v>
      </c>
      <c r="I22" s="374">
        <f>I21*0.0125/0.0000005729</f>
        <v>542.156613457763</v>
      </c>
      <c r="J22" s="375" t="s">
        <v>393</v>
      </c>
      <c r="M22" s="371">
        <v>100</v>
      </c>
      <c r="N22" s="257">
        <v>4955.2874109180793</v>
      </c>
      <c r="O22" s="209">
        <v>-1.0724513014040689</v>
      </c>
      <c r="P22" s="25"/>
      <c r="Q22" s="25"/>
      <c r="S22" s="32">
        <f>IF($I$6&lt;50,T24,IF($I$6&gt;300,$T$27,S31*I6^2+T31*I6+U31))</f>
        <v>0.3</v>
      </c>
      <c r="AC22" s="364"/>
    </row>
    <row r="23" spans="3:29" ht="14" thickBot="1" x14ac:dyDescent="0.2">
      <c r="M23" s="234">
        <v>200</v>
      </c>
      <c r="N23" s="80">
        <v>11184.791584643664</v>
      </c>
      <c r="O23" s="5">
        <v>1.4390129038334791</v>
      </c>
      <c r="AC23" s="364"/>
    </row>
    <row r="24" spans="3:29" x14ac:dyDescent="0.15">
      <c r="H24" s="360" t="s">
        <v>503</v>
      </c>
      <c r="I24" s="361"/>
      <c r="J24" s="362"/>
      <c r="M24" s="234">
        <v>200</v>
      </c>
      <c r="N24" s="80">
        <v>13804.014930414649</v>
      </c>
      <c r="O24" s="5">
        <v>1.3612131487237491</v>
      </c>
      <c r="S24" s="233">
        <v>50</v>
      </c>
      <c r="T24" s="376">
        <f>Q11</f>
        <v>0.3</v>
      </c>
      <c r="AC24" s="364"/>
    </row>
    <row r="25" spans="3:29" ht="14" thickBot="1" x14ac:dyDescent="0.2">
      <c r="C25" t="s">
        <v>532</v>
      </c>
      <c r="E25" t="b">
        <f>IF(I26&lt;I8,TRUE,FALSE)</f>
        <v>0</v>
      </c>
      <c r="F25" t="b">
        <f>IF(I26&gt;I25,TRUE,FALSE)</f>
        <v>1</v>
      </c>
      <c r="H25" s="234" t="s">
        <v>491</v>
      </c>
      <c r="I25" s="235">
        <f>(I13+AVERAGE(I8:I9))*2-I11</f>
        <v>7.9788722678625987</v>
      </c>
      <c r="J25" s="364" t="s">
        <v>230</v>
      </c>
      <c r="M25" s="234">
        <v>200</v>
      </c>
      <c r="N25" s="80">
        <v>22511.162809599275</v>
      </c>
      <c r="O25" s="5">
        <v>2.7945276443439795</v>
      </c>
      <c r="S25" s="233">
        <v>100</v>
      </c>
      <c r="T25" s="376">
        <f>Q18</f>
        <v>-4.5</v>
      </c>
      <c r="AC25" s="364"/>
    </row>
    <row r="26" spans="3:29" ht="14" thickBot="1" x14ac:dyDescent="0.2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6158.7143535696114</v>
      </c>
      <c r="O26" s="5">
        <v>-4.338843364415558</v>
      </c>
      <c r="P26" t="s">
        <v>493</v>
      </c>
      <c r="Q26" s="366">
        <f>IF($I$12&lt;11200,IF($I$12&lt;6000,-4.5,P28*$I$12+$Q$28),1.4)</f>
        <v>-4.5</v>
      </c>
      <c r="S26" s="233">
        <v>200</v>
      </c>
      <c r="T26" s="376">
        <f>Q26</f>
        <v>-4.5</v>
      </c>
      <c r="AC26" s="364"/>
    </row>
    <row r="27" spans="3:29" ht="15" x14ac:dyDescent="0.15">
      <c r="H27" s="234" t="s">
        <v>498</v>
      </c>
      <c r="I27" s="373">
        <f>I7/4186/(I25-I26)</f>
        <v>-8.5882282702154263E-3</v>
      </c>
      <c r="J27" s="364" t="s">
        <v>72</v>
      </c>
      <c r="M27" s="234">
        <v>200</v>
      </c>
      <c r="N27" s="80">
        <v>11184.791584643664</v>
      </c>
      <c r="O27" s="5">
        <v>1.4390129038334791</v>
      </c>
      <c r="S27" s="233">
        <v>300</v>
      </c>
      <c r="T27" s="376">
        <f>Q34</f>
        <v>-4.5</v>
      </c>
      <c r="AC27" s="364"/>
    </row>
    <row r="28" spans="3:29" x14ac:dyDescent="0.15">
      <c r="E28" t="b">
        <f>IF(I27&lt;0,TRUE,IF(I28&gt;50,TRUE,FALSE))</f>
        <v>1</v>
      </c>
      <c r="H28" s="234" t="s">
        <v>499</v>
      </c>
      <c r="I28" s="235" t="e">
        <f>$O$62*I27^$M$62</f>
        <v>#NUM!</v>
      </c>
      <c r="J28" s="364" t="s">
        <v>500</v>
      </c>
      <c r="M28" s="234">
        <v>200</v>
      </c>
      <c r="N28" s="80">
        <v>9910.5748218361587</v>
      </c>
      <c r="O28" s="5">
        <v>-0.11100122445134986</v>
      </c>
      <c r="P28" cm="1">
        <f t="array" ref="P28:Q28">LINEST(O26:O30,N26:N30)</f>
        <v>1.1045324592867574E-3</v>
      </c>
      <c r="Q28">
        <v>-11.031351040807914</v>
      </c>
      <c r="AC28" s="364"/>
    </row>
    <row r="29" spans="3:29" x14ac:dyDescent="0.15">
      <c r="E29" t="b">
        <f>IF(I27&lt;0,TRUE,IF(I29&gt;50,TRUE,FALSE))</f>
        <v>1</v>
      </c>
      <c r="H29" s="234" t="s">
        <v>557</v>
      </c>
      <c r="I29" s="235">
        <f>((I27*3.6)/1)^2*100</f>
        <v>9.5589933608440369E-2</v>
      </c>
      <c r="J29" s="364" t="s">
        <v>500</v>
      </c>
      <c r="M29" s="234">
        <v>200</v>
      </c>
      <c r="N29" s="80">
        <v>8494.7784187167072</v>
      </c>
      <c r="O29" s="5">
        <v>-2.1665724781011555</v>
      </c>
      <c r="S29" cm="1">
        <f t="array" ref="S29:T29">LINEST(T24:T27,S24:S27)</f>
        <v>-1.4644067796610174E-2</v>
      </c>
      <c r="T29">
        <v>-0.9203389830508466</v>
      </c>
      <c r="AC29" s="364"/>
    </row>
    <row r="30" spans="3:29" x14ac:dyDescent="0.15">
      <c r="E30" t="b">
        <f>IF(I31&lt;3000,TRUE,FALSE)</f>
        <v>1</v>
      </c>
      <c r="H30" s="234" t="s">
        <v>501</v>
      </c>
      <c r="I30" s="373">
        <f>I27/1000/((12.5/2000)^2*PI())</f>
        <v>-6.998317985824476E-2</v>
      </c>
      <c r="J30" s="364" t="s">
        <v>502</v>
      </c>
      <c r="M30" s="371">
        <v>200</v>
      </c>
      <c r="N30" s="257">
        <v>7503.72093653309</v>
      </c>
      <c r="O30" s="209">
        <v>-2.2054723556560205</v>
      </c>
      <c r="P30" s="25"/>
      <c r="Q30" s="25"/>
      <c r="AC30" s="364"/>
    </row>
    <row r="31" spans="3:29" ht="14" thickBot="1" x14ac:dyDescent="0.2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-1526.9501627300745</v>
      </c>
      <c r="J31" s="375" t="s">
        <v>393</v>
      </c>
      <c r="M31" s="234">
        <v>300</v>
      </c>
      <c r="N31" s="80">
        <v>14299.543671506455</v>
      </c>
      <c r="O31" s="5">
        <v>2.5297009951182972</v>
      </c>
      <c r="S31">
        <f t="array" ref="S31:U31">LINEST(T24:T27,S24:S27^{1,2})</f>
        <v>1.833165829145728E-4</v>
      </c>
      <c r="T31">
        <v>-7.9115577889447217E-2</v>
      </c>
      <c r="U31">
        <v>3.0256281407035157</v>
      </c>
      <c r="AC31" s="364"/>
    </row>
    <row r="32" spans="3:29" x14ac:dyDescent="0.15">
      <c r="M32" s="234">
        <v>300</v>
      </c>
      <c r="N32" s="80">
        <v>17626.665218837166</v>
      </c>
      <c r="O32" s="5">
        <v>2.2719325009388029</v>
      </c>
      <c r="AC32" s="364"/>
    </row>
    <row r="33" spans="9:29" ht="14" thickBot="1" x14ac:dyDescent="0.2">
      <c r="I33" s="213"/>
      <c r="M33" s="234">
        <v>300</v>
      </c>
      <c r="N33" s="80">
        <v>25909.074177085957</v>
      </c>
      <c r="O33" s="5">
        <v>-0.20978454750281017</v>
      </c>
      <c r="AC33" s="364"/>
    </row>
    <row r="34" spans="9:29" ht="14" thickBot="1" x14ac:dyDescent="0.2">
      <c r="M34" s="234">
        <v>300</v>
      </c>
      <c r="N34" s="80">
        <v>7645.3005768450357</v>
      </c>
      <c r="O34" s="5">
        <v>-4.4844630116410027</v>
      </c>
      <c r="P34" t="s">
        <v>493</v>
      </c>
      <c r="Q34" s="366">
        <f>IF($I$12&lt;14000,IF($I$12&lt;7800,-4.5,P36*$I$12+$Q$36),1.7)</f>
        <v>-4.5</v>
      </c>
      <c r="AC34" s="364"/>
    </row>
    <row r="35" spans="9:29" x14ac:dyDescent="0.15">
      <c r="M35" s="234">
        <v>300</v>
      </c>
      <c r="N35" s="80">
        <v>14299.543671506455</v>
      </c>
      <c r="O35" s="5">
        <v>2.5297009951182972</v>
      </c>
      <c r="AC35" s="364"/>
    </row>
    <row r="36" spans="9:29" x14ac:dyDescent="0.15">
      <c r="M36" s="234">
        <v>300</v>
      </c>
      <c r="N36" s="80">
        <v>12175.849066827279</v>
      </c>
      <c r="O36" s="5">
        <v>-0.93510608336461587</v>
      </c>
      <c r="P36" cm="1">
        <f t="array" ref="P36:Q36">LINEST(O34:O38,N34:N38)</f>
        <v>1.0013521659768705E-3</v>
      </c>
      <c r="Q36">
        <v>-12.355446785052449</v>
      </c>
      <c r="AC36" s="364"/>
    </row>
    <row r="37" spans="9:29" x14ac:dyDescent="0.15">
      <c r="M37" s="234">
        <v>300</v>
      </c>
      <c r="N37" s="80">
        <v>10760.052663707826</v>
      </c>
      <c r="O37" s="5">
        <v>-1.7449774690198936</v>
      </c>
      <c r="AC37" s="364"/>
    </row>
    <row r="38" spans="9:29" ht="14" thickBot="1" x14ac:dyDescent="0.2">
      <c r="M38" s="369">
        <v>300</v>
      </c>
      <c r="N38" s="377">
        <v>9202.676620276432</v>
      </c>
      <c r="O38" s="378">
        <v>-2.9858359932406984</v>
      </c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" thickBot="1" x14ac:dyDescent="0.2">
      <c r="M39" s="233"/>
    </row>
    <row r="40" spans="9:29" x14ac:dyDescent="0.1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15">
      <c r="M41" s="232"/>
      <c r="AC41" s="364"/>
    </row>
    <row r="42" spans="9:29" x14ac:dyDescent="0.15">
      <c r="M42" s="232" t="s">
        <v>485</v>
      </c>
      <c r="N42" t="s">
        <v>505</v>
      </c>
      <c r="P42" t="s">
        <v>506</v>
      </c>
      <c r="AC42" s="364"/>
    </row>
    <row r="43" spans="9:29" ht="14" thickBot="1" x14ac:dyDescent="0.2">
      <c r="M43" s="234">
        <v>50</v>
      </c>
      <c r="N43" s="99">
        <v>0.10403848305179553</v>
      </c>
      <c r="P43">
        <f t="array" ref="P43:Q43">LINEST(LN(N43:N46),LN(M43:M46))</f>
        <v>0.45113381931898666</v>
      </c>
      <c r="Q43">
        <v>-4.0232887808944744</v>
      </c>
      <c r="R43">
        <f>EXP(Q43)</f>
        <v>1.7894018555412273E-2</v>
      </c>
      <c r="AC43" s="364"/>
    </row>
    <row r="44" spans="9:29" ht="14" thickBot="1" x14ac:dyDescent="0.2">
      <c r="M44" s="234">
        <v>100</v>
      </c>
      <c r="N44" s="99">
        <v>0.14328085241730276</v>
      </c>
      <c r="P44" s="379">
        <f>R43*I6^(P43)</f>
        <v>8.8660062767047867E-2</v>
      </c>
      <c r="AC44" s="364"/>
    </row>
    <row r="45" spans="9:29" x14ac:dyDescent="0.15">
      <c r="M45" s="234">
        <v>200</v>
      </c>
      <c r="N45" s="99">
        <v>0.19780158360503025</v>
      </c>
      <c r="AC45" s="364"/>
    </row>
    <row r="46" spans="9:29" x14ac:dyDescent="0.15">
      <c r="M46" s="234">
        <v>300</v>
      </c>
      <c r="N46" s="99">
        <v>0.23202548533776235</v>
      </c>
      <c r="P46" t="s">
        <v>507</v>
      </c>
      <c r="AC46" s="364"/>
    </row>
    <row r="47" spans="9:29" ht="14" thickBot="1" x14ac:dyDescent="0.2">
      <c r="M47" s="232"/>
      <c r="P47">
        <f t="array" ref="P47:S47">LINEST(N43:N46,M43:M46^{1,2,3})</f>
        <v>2.3310361205440623E-9</v>
      </c>
      <c r="Q47">
        <v>-2.4134631450762083E-6</v>
      </c>
      <c r="R47">
        <v>1.1060737269620539E-3</v>
      </c>
      <c r="S47">
        <v>5.4477075051315327E-2</v>
      </c>
      <c r="AC47" s="364"/>
    </row>
    <row r="48" spans="9:29" ht="14" thickBot="1" x14ac:dyDescent="0.2">
      <c r="M48" s="232"/>
      <c r="P48" s="379">
        <f>P47*I6^3+Q47*I6^2+R47*I6+S47</f>
        <v>9.0070245076412384E-2</v>
      </c>
      <c r="AC48" s="364"/>
    </row>
    <row r="49" spans="13:29" x14ac:dyDescent="0.15">
      <c r="M49" s="232"/>
      <c r="AC49" s="364"/>
    </row>
    <row r="50" spans="13:29" x14ac:dyDescent="0.15">
      <c r="M50" s="232"/>
      <c r="O50" s="380"/>
      <c r="AC50" s="364"/>
    </row>
    <row r="51" spans="13:29" x14ac:dyDescent="0.15">
      <c r="M51" s="232"/>
      <c r="AC51" s="364"/>
    </row>
    <row r="52" spans="13:29" x14ac:dyDescent="0.15">
      <c r="M52" s="232"/>
      <c r="AC52" s="364"/>
    </row>
    <row r="53" spans="13:29" x14ac:dyDescent="0.15">
      <c r="M53" s="232"/>
      <c r="AC53" s="364"/>
    </row>
    <row r="54" spans="13:29" x14ac:dyDescent="0.15">
      <c r="M54" s="232"/>
      <c r="AC54" s="364"/>
    </row>
    <row r="55" spans="13:29" x14ac:dyDescent="0.15">
      <c r="M55" s="232"/>
      <c r="AC55" s="364"/>
    </row>
    <row r="56" spans="13:29" x14ac:dyDescent="0.15">
      <c r="M56" s="232"/>
      <c r="AC56" s="364"/>
    </row>
    <row r="57" spans="13:29" ht="14" thickBot="1" x14ac:dyDescent="0.2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" thickBot="1" x14ac:dyDescent="0.2"/>
    <row r="60" spans="13:29" x14ac:dyDescent="0.15">
      <c r="M60" s="303" t="s">
        <v>508</v>
      </c>
      <c r="N60" s="230"/>
      <c r="O60" s="230"/>
      <c r="P60" s="231"/>
    </row>
    <row r="61" spans="13:29" x14ac:dyDescent="0.15">
      <c r="M61" s="232"/>
      <c r="P61" s="364"/>
    </row>
    <row r="62" spans="13:29" x14ac:dyDescent="0.15">
      <c r="M62" s="381">
        <v>1.7870277953295908</v>
      </c>
      <c r="N62">
        <v>6.4739415400072904</v>
      </c>
      <c r="O62">
        <f>EXP(N62)</f>
        <v>648.03294752602937</v>
      </c>
      <c r="P62" s="364"/>
    </row>
    <row r="63" spans="13:29" ht="14" thickBot="1" x14ac:dyDescent="0.2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98080-C569-44B6-89D4-C5D21809B169}">
  <sheetPr codeName="Taul3"/>
  <dimension ref="C4:T37"/>
  <sheetViews>
    <sheetView workbookViewId="0">
      <selection activeCell="BL19" sqref="BL19"/>
    </sheetView>
  </sheetViews>
  <sheetFormatPr baseColWidth="10" defaultColWidth="8.83203125" defaultRowHeight="13" x14ac:dyDescent="0.15"/>
  <cols>
    <col min="3" max="3" width="29.5" customWidth="1"/>
    <col min="6" max="6" width="10.5" bestFit="1" customWidth="1"/>
  </cols>
  <sheetData>
    <row r="4" spans="3:20" ht="14" x14ac:dyDescent="0.15">
      <c r="C4" s="83" t="s">
        <v>149</v>
      </c>
    </row>
    <row r="5" spans="3:20" x14ac:dyDescent="0.15">
      <c r="L5" s="74" t="s">
        <v>166</v>
      </c>
      <c r="M5" s="75">
        <f>(F31*F32*F29*I7*I11^(I17)*F37)-(M23*N23*F33^(-1)*F28*(F30-(F29*I11*I7*(1-F34))))+Q23</f>
        <v>-39.949203661680336</v>
      </c>
      <c r="Q5" t="s">
        <v>176</v>
      </c>
      <c r="S5" s="3">
        <f>M5</f>
        <v>-39.949203661680336</v>
      </c>
      <c r="T5" s="104" t="str">
        <f>INDEX(Q7:Q14,IF($S$5&lt;S7,1,MATCH(S5,S7:S14)+1))</f>
        <v>A</v>
      </c>
    </row>
    <row r="6" spans="3:20" x14ac:dyDescent="0.15">
      <c r="C6" s="2" t="s">
        <v>145</v>
      </c>
      <c r="D6" s="2"/>
      <c r="E6" s="2"/>
      <c r="F6" s="2" t="s">
        <v>150</v>
      </c>
      <c r="H6" t="s">
        <v>21</v>
      </c>
      <c r="I6" t="s">
        <v>150</v>
      </c>
    </row>
    <row r="7" spans="3:20" x14ac:dyDescent="0.15">
      <c r="C7" t="str" cm="1">
        <f t="array" ref="C7">INDEX(Kirjasto!D4:K125,59,Kirjasto!B4)</f>
        <v>Powiązany z kanałem</v>
      </c>
      <c r="F7">
        <v>1.1000000000000001</v>
      </c>
      <c r="H7">
        <v>1</v>
      </c>
      <c r="I7">
        <f>INDEX(F7:F8,H7)</f>
        <v>1.1000000000000001</v>
      </c>
      <c r="Q7" s="10" t="s">
        <v>177</v>
      </c>
      <c r="R7" s="22"/>
      <c r="S7" s="22">
        <v>-42</v>
      </c>
      <c r="T7" s="21">
        <f>IF($AC$89&lt;S7,1,0)</f>
        <v>0</v>
      </c>
    </row>
    <row r="8" spans="3:20" x14ac:dyDescent="0.15">
      <c r="C8" t="str" cm="1">
        <f t="array" ref="C8">INDEX(Kirjasto!D4:K125,60,Kirjasto!B4)</f>
        <v>Inne niż powiązane z kanałem</v>
      </c>
      <c r="F8">
        <v>1.21</v>
      </c>
      <c r="Q8" s="74" t="s">
        <v>4</v>
      </c>
      <c r="R8" s="128">
        <v>-42</v>
      </c>
      <c r="S8" s="128">
        <v>-34</v>
      </c>
      <c r="T8" s="75">
        <f>IF(AND($AC$89&gt;=R8,$AC$89&lt;S8),1,0)</f>
        <v>0</v>
      </c>
    </row>
    <row r="9" spans="3:20" x14ac:dyDescent="0.15">
      <c r="Q9" s="12" t="s">
        <v>5</v>
      </c>
      <c r="R9">
        <v>-34</v>
      </c>
      <c r="S9">
        <v>-26</v>
      </c>
      <c r="T9" s="24">
        <f t="shared" ref="T9:T13" si="0">IF(AND($AC$89&gt;=R9,$AC$89&lt;S9),1,0)</f>
        <v>0</v>
      </c>
    </row>
    <row r="10" spans="3:20" x14ac:dyDescent="0.15">
      <c r="C10" s="2" t="s">
        <v>146</v>
      </c>
      <c r="D10" s="2"/>
      <c r="E10" s="2"/>
      <c r="F10" s="2" t="s">
        <v>151</v>
      </c>
      <c r="H10" t="s">
        <v>21</v>
      </c>
      <c r="I10" t="s">
        <v>151</v>
      </c>
      <c r="Q10" s="74" t="s">
        <v>6</v>
      </c>
      <c r="R10" s="128">
        <v>-26</v>
      </c>
      <c r="S10" s="128">
        <v>-23</v>
      </c>
      <c r="T10" s="75">
        <f t="shared" si="0"/>
        <v>0</v>
      </c>
    </row>
    <row r="11" spans="3:20" x14ac:dyDescent="0.15">
      <c r="C11" t="str" cm="1">
        <f t="array" ref="C11">INDEX(Kirjasto!D4:K125,61,Kirjasto!B4)</f>
        <v>Obsługa ręczna (niewymagana) IV)</v>
      </c>
      <c r="F11">
        <v>1</v>
      </c>
      <c r="H11">
        <v>4</v>
      </c>
      <c r="I11">
        <f>INDEX(F11:F14,H11)</f>
        <v>0.65</v>
      </c>
      <c r="Q11" s="12" t="s">
        <v>178</v>
      </c>
      <c r="R11">
        <v>-23</v>
      </c>
      <c r="S11">
        <v>-20</v>
      </c>
      <c r="T11" s="24">
        <f t="shared" si="0"/>
        <v>0</v>
      </c>
    </row>
    <row r="12" spans="3:20" x14ac:dyDescent="0.15">
      <c r="C12" t="str" cm="1">
        <f t="array" ref="C12">INDEX(Kirjasto!D4:K125,62,Kirjasto!B4)</f>
        <v>Sterowanie zegarem (niewymagane) IV)</v>
      </c>
      <c r="F12">
        <v>0.95</v>
      </c>
      <c r="Q12" s="74" t="s">
        <v>179</v>
      </c>
      <c r="R12" s="128">
        <v>-20</v>
      </c>
      <c r="S12" s="128">
        <v>-10</v>
      </c>
      <c r="T12" s="75">
        <f t="shared" si="0"/>
        <v>0</v>
      </c>
    </row>
    <row r="13" spans="3:20" x14ac:dyDescent="0.15">
      <c r="C13" t="str" cm="1">
        <f t="array" ref="C13">INDEX(Kirjasto!D4:K125,63,Kirjasto!B4)</f>
        <v>Scentralizowana kontrola w zależności od potrzeb</v>
      </c>
      <c r="F13">
        <v>0.85</v>
      </c>
      <c r="Q13" s="74" t="s">
        <v>180</v>
      </c>
      <c r="R13" s="128">
        <v>-10</v>
      </c>
      <c r="S13" s="128">
        <v>0</v>
      </c>
      <c r="T13" s="75">
        <f t="shared" si="0"/>
        <v>0</v>
      </c>
    </row>
    <row r="14" spans="3:20" x14ac:dyDescent="0.15">
      <c r="C14" t="str" cm="1">
        <f t="array" ref="C14">INDEX(Kirjasto!D4:K125,64,Kirjasto!B4)</f>
        <v>Lokalna kontrola w zależności od potrzeb</v>
      </c>
      <c r="F14">
        <v>0.65</v>
      </c>
      <c r="Q14" s="14" t="s">
        <v>181</v>
      </c>
      <c r="R14" s="25">
        <v>0</v>
      </c>
      <c r="S14" s="25"/>
      <c r="T14" s="26">
        <f>IF($AC$89&gt;R14,1,0)</f>
        <v>0</v>
      </c>
    </row>
    <row r="16" spans="3:20" x14ac:dyDescent="0.15">
      <c r="C16" s="2" t="s">
        <v>147</v>
      </c>
      <c r="F16" s="2" t="s">
        <v>152</v>
      </c>
      <c r="H16" t="s">
        <v>21</v>
      </c>
      <c r="I16" t="s">
        <v>152</v>
      </c>
    </row>
    <row r="17" spans="3:17" x14ac:dyDescent="0.15">
      <c r="C17" s="39" t="str" cm="1">
        <f t="array" ref="C17">INDEX(Kirjasto!D4:K125,65,Kirjasto!B4)</f>
        <v>Włączanie/wyłączanie i pojedyncza prędkość</v>
      </c>
      <c r="F17">
        <v>1</v>
      </c>
      <c r="H17">
        <v>4</v>
      </c>
      <c r="I17">
        <f>INDEX(F17:F20,H17)</f>
        <v>2</v>
      </c>
    </row>
    <row r="18" spans="3:17" x14ac:dyDescent="0.15">
      <c r="C18" t="str" cm="1">
        <f t="array" ref="C18">INDEX(Kirjasto!D4:K125,66,Kirjasto!B4)</f>
        <v>Dwubiegowy</v>
      </c>
      <c r="F18">
        <v>1.2</v>
      </c>
    </row>
    <row r="19" spans="3:17" x14ac:dyDescent="0.15">
      <c r="C19" t="str" cm="1">
        <f t="array" ref="C19">INDEX(Kirjasto!D4:K125,67,Kirjasto!B4)</f>
        <v>Wieloprędkościowy</v>
      </c>
      <c r="F19">
        <v>1.5</v>
      </c>
    </row>
    <row r="20" spans="3:17" x14ac:dyDescent="0.15">
      <c r="C20" t="str" cm="1">
        <f t="array" ref="C20">INDEX(Kirjasto!D4:K125,68,Kirjasto!B4)</f>
        <v>Bezstopniowa regulacja</v>
      </c>
      <c r="F20">
        <v>2</v>
      </c>
    </row>
    <row r="22" spans="3:17" ht="17" x14ac:dyDescent="0.25">
      <c r="C22" s="2" t="s">
        <v>148</v>
      </c>
      <c r="F22" s="104" t="s">
        <v>167</v>
      </c>
      <c r="G22" s="104" t="s">
        <v>168</v>
      </c>
      <c r="H22" s="104" t="s">
        <v>169</v>
      </c>
      <c r="I22" s="104" t="s">
        <v>170</v>
      </c>
      <c r="J22" s="104" t="s">
        <v>171</v>
      </c>
      <c r="L22" s="4" t="s">
        <v>21</v>
      </c>
      <c r="M22" s="4" t="s">
        <v>156</v>
      </c>
      <c r="N22" s="4" t="s">
        <v>164</v>
      </c>
      <c r="O22" s="4" t="s">
        <v>157</v>
      </c>
      <c r="P22" s="4" t="s">
        <v>165</v>
      </c>
      <c r="Q22" s="4" t="s">
        <v>158</v>
      </c>
    </row>
    <row r="23" spans="3:17" x14ac:dyDescent="0.15">
      <c r="C23" t="str" cm="1">
        <f t="array" ref="C23">INDEX(Kirjasto!D4:K125,69,Kirjasto!B4)</f>
        <v>Zimny</v>
      </c>
      <c r="F23" s="4">
        <v>6552</v>
      </c>
      <c r="G23" s="4">
        <v>14.5</v>
      </c>
      <c r="H23" s="4">
        <v>1003</v>
      </c>
      <c r="I23" s="4">
        <v>5.2</v>
      </c>
      <c r="J23" s="4">
        <v>5.82</v>
      </c>
      <c r="L23">
        <v>2</v>
      </c>
      <c r="M23">
        <f>INDEX(F23:F25,$L$23)</f>
        <v>5112</v>
      </c>
      <c r="N23">
        <f t="shared" ref="N23:Q23" si="1">INDEX(G23:G25,$L$23)</f>
        <v>9.5</v>
      </c>
      <c r="O23">
        <f t="shared" si="1"/>
        <v>168</v>
      </c>
      <c r="P23">
        <f t="shared" si="1"/>
        <v>2.4</v>
      </c>
      <c r="Q23">
        <f t="shared" si="1"/>
        <v>0.45</v>
      </c>
    </row>
    <row r="24" spans="3:17" x14ac:dyDescent="0.15">
      <c r="C24" t="str" cm="1">
        <f t="array" ref="C24">INDEX(Kirjasto!D4:K125,70,Kirjasto!B4)</f>
        <v xml:space="preserve">Umiarkowany </v>
      </c>
      <c r="F24" s="4">
        <v>5112</v>
      </c>
      <c r="G24" s="4">
        <v>9.5</v>
      </c>
      <c r="H24" s="4">
        <v>168</v>
      </c>
      <c r="I24" s="4">
        <v>2.4</v>
      </c>
      <c r="J24" s="4">
        <v>0.45</v>
      </c>
    </row>
    <row r="25" spans="3:17" x14ac:dyDescent="0.15">
      <c r="C25" t="str" cm="1">
        <f t="array" ref="C25">INDEX(Kirjasto!D4:K125,71,Kirjasto!B4)</f>
        <v>Ciepły</v>
      </c>
      <c r="F25" s="4">
        <v>4392</v>
      </c>
      <c r="G25" s="4">
        <v>5</v>
      </c>
      <c r="H25" s="4"/>
      <c r="I25" s="4"/>
      <c r="J25" s="4"/>
    </row>
    <row r="27" spans="3:17" x14ac:dyDescent="0.15">
      <c r="C27" s="2" t="s">
        <v>153</v>
      </c>
      <c r="F27" s="2" t="s">
        <v>155</v>
      </c>
    </row>
    <row r="28" spans="3:17" ht="17" x14ac:dyDescent="0.25">
      <c r="C28" t="s">
        <v>159</v>
      </c>
      <c r="F28">
        <v>3.4400000000000001E-4</v>
      </c>
    </row>
    <row r="29" spans="3:17" ht="17" x14ac:dyDescent="0.25">
      <c r="C29" t="s">
        <v>160</v>
      </c>
      <c r="F29">
        <v>1.3</v>
      </c>
    </row>
    <row r="30" spans="3:17" ht="17" x14ac:dyDescent="0.25">
      <c r="C30" t="s">
        <v>161</v>
      </c>
      <c r="F30">
        <v>2.2000000000000002</v>
      </c>
    </row>
    <row r="31" spans="3:17" ht="17" x14ac:dyDescent="0.25">
      <c r="C31" t="s">
        <v>162</v>
      </c>
      <c r="F31">
        <v>8760</v>
      </c>
    </row>
    <row r="32" spans="3:17" x14ac:dyDescent="0.15">
      <c r="C32" t="s">
        <v>154</v>
      </c>
      <c r="F32">
        <v>2.5</v>
      </c>
    </row>
    <row r="33" spans="3:7" ht="17" x14ac:dyDescent="0.25">
      <c r="C33" t="s">
        <v>163</v>
      </c>
      <c r="F33">
        <v>0.75</v>
      </c>
    </row>
    <row r="34" spans="3:7" x14ac:dyDescent="0.15">
      <c r="C34" t="s">
        <v>172</v>
      </c>
      <c r="F34" s="259">
        <f>Tulokset!O36</f>
        <v>0.79500000000000004</v>
      </c>
    </row>
    <row r="36" spans="3:7" x14ac:dyDescent="0.15">
      <c r="C36" t="s">
        <v>75</v>
      </c>
      <c r="F36" s="125">
        <f>Tulokset!N38</f>
        <v>1.1864630512155652</v>
      </c>
      <c r="G36" t="s">
        <v>175</v>
      </c>
    </row>
    <row r="37" spans="3:7" x14ac:dyDescent="0.15">
      <c r="C37" s="2" t="s">
        <v>173</v>
      </c>
      <c r="F37" s="124">
        <f>F36/(60*60)</f>
        <v>3.2957306978210143E-4</v>
      </c>
      <c r="G37" t="s">
        <v>174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3EB1A-133D-4C72-8E28-8D9798709CAE}">
  <dimension ref="B2:AW181"/>
  <sheetViews>
    <sheetView zoomScale="70" zoomScaleNormal="70" workbookViewId="0">
      <selection activeCell="BL19" sqref="BL19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  <col min="30" max="32" width="10.5" bestFit="1" customWidth="1"/>
  </cols>
  <sheetData>
    <row r="2" spans="3:42" x14ac:dyDescent="0.15">
      <c r="C2" s="2" t="s">
        <v>0</v>
      </c>
      <c r="J2" t="s">
        <v>15</v>
      </c>
    </row>
    <row r="3" spans="3:42" x14ac:dyDescent="0.15">
      <c r="J3" s="7">
        <f>'R-series ALU'!$E$33</f>
        <v>9.7222222222222214</v>
      </c>
      <c r="K3" t="s">
        <v>13</v>
      </c>
      <c r="L3" s="122">
        <f>'R-series ALU'!$E$39</f>
        <v>80</v>
      </c>
      <c r="M3" t="s">
        <v>14</v>
      </c>
      <c r="P3" t="s">
        <v>34</v>
      </c>
      <c r="AA3" s="2" t="s">
        <v>53</v>
      </c>
    </row>
    <row r="4" spans="3:42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2674</v>
      </c>
      <c r="AF4" s="63"/>
      <c r="AG4" s="62" t="s">
        <v>405</v>
      </c>
      <c r="AH4" s="63"/>
      <c r="AI4" t="s">
        <v>10</v>
      </c>
      <c r="AK4" t="s">
        <v>409</v>
      </c>
      <c r="AM4" t="s">
        <v>12</v>
      </c>
      <c r="AO4" t="s">
        <v>410</v>
      </c>
    </row>
    <row r="5" spans="3:42" x14ac:dyDescent="0.15">
      <c r="C5" t="s">
        <v>2</v>
      </c>
      <c r="D5" s="1"/>
      <c r="E5" s="1"/>
      <c r="H5" s="1"/>
      <c r="P5" s="52">
        <f t="array" ref="P5:Q5">LINEST(AI34:AI37,LN(AH34:AH37))</f>
        <v>32.215243259694617</v>
      </c>
      <c r="Q5" s="52">
        <v>-32.082534142528971</v>
      </c>
      <c r="R5" t="s">
        <v>28</v>
      </c>
      <c r="T5" s="4"/>
      <c r="U5" s="39" t="s">
        <v>43</v>
      </c>
      <c r="V5" t="s">
        <v>28</v>
      </c>
      <c r="W5" s="9">
        <f>$P$5*LN($J$3)+$Q$5</f>
        <v>41.188273100099721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I5" s="65" t="s">
        <v>14</v>
      </c>
      <c r="AJ5" s="66" t="s">
        <v>13</v>
      </c>
      <c r="AK5" s="65" t="s">
        <v>14</v>
      </c>
      <c r="AL5" s="66" t="s">
        <v>13</v>
      </c>
      <c r="AM5" s="65" t="s">
        <v>14</v>
      </c>
      <c r="AN5" s="66" t="s">
        <v>13</v>
      </c>
      <c r="AO5" s="65" t="s">
        <v>14</v>
      </c>
      <c r="AP5" s="66" t="s">
        <v>13</v>
      </c>
    </row>
    <row r="6" spans="3:42" x14ac:dyDescent="0.15">
      <c r="C6" s="2" t="s">
        <v>3</v>
      </c>
      <c r="D6" s="1"/>
      <c r="E6" s="1"/>
      <c r="H6" s="1"/>
      <c r="P6" s="52">
        <f t="array" ref="P6:Q6">LINEST(AJ34:AJ37,LN(AH34:AH37))</f>
        <v>27.941888829171265</v>
      </c>
      <c r="Q6" s="52">
        <v>-9.1608081940618291</v>
      </c>
      <c r="R6" t="s">
        <v>7</v>
      </c>
      <c r="T6" s="4"/>
      <c r="U6" s="39" t="s">
        <v>43</v>
      </c>
      <c r="V6" t="s">
        <v>7</v>
      </c>
      <c r="W6" s="9">
        <f>$P$6*LN($J$3)+$Q$6</f>
        <v>54.390620981661087</v>
      </c>
      <c r="X6" t="s">
        <v>31</v>
      </c>
      <c r="AA6" s="55">
        <v>25</v>
      </c>
      <c r="AB6" s="56">
        <f t="shared" ref="AB6:AB12" si="0">(-$D$9-SQRT($D$9^2-(4*$C$9*($E$9-AA6))))/(2*$C$9)</f>
        <v>95.380316017540977</v>
      </c>
      <c r="AC6" s="55">
        <v>20</v>
      </c>
      <c r="AD6" s="57">
        <f t="shared" ref="AD6:AD12" si="1">(-$D$13-SQRT($D$13^2-(4*$C$13*($E$13-AC6))))/(2*$C$13)</f>
        <v>96.337047181791775</v>
      </c>
      <c r="AE6" s="55">
        <v>10</v>
      </c>
      <c r="AF6" s="57">
        <f t="shared" ref="AF6:AF12" si="2">(-$D$17-SQRT($D$17^2-(4*$C$17*($E$17-AE6))))/(2*$C$17)</f>
        <v>84.039568816164177</v>
      </c>
      <c r="AG6" s="56">
        <v>10</v>
      </c>
      <c r="AH6" s="57">
        <f t="shared" ref="AH6:AH11" si="3">(-$D$20-SQRT($D$20^2-(4*$C$20*($E$20-AG6))))/(2*$C$20)</f>
        <v>69.526415226309226</v>
      </c>
      <c r="AI6" s="56">
        <v>10</v>
      </c>
      <c r="AJ6" s="57">
        <f>(-$D$23-SQRT($D$23^2-(4*$C$23*($E$23-AI6))))/(2*$C$23)</f>
        <v>54.760964406628652</v>
      </c>
      <c r="AK6" s="56">
        <v>10</v>
      </c>
      <c r="AL6" s="57">
        <f>(-$D$26-SQRT($D$26^2-(4*$C$26*($E$26-AK6))))/(2*$C$26)</f>
        <v>40.015801166334754</v>
      </c>
      <c r="AM6" s="56">
        <v>8</v>
      </c>
      <c r="AN6" s="57">
        <f>(-$D$29-SQRT($D$29^2-(4*$C$29*($E$29-AM6))))/(2*$C$29)</f>
        <v>25.96175640860292</v>
      </c>
      <c r="AO6" s="56">
        <v>6</v>
      </c>
      <c r="AP6" s="57">
        <f>(-$D$32-SQRT($D$32^2-(4*$C$32*($E$32-AO6))))/(2*$C$32)</f>
        <v>10.7761604447183</v>
      </c>
    </row>
    <row r="7" spans="3:42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88.947735868714446</v>
      </c>
      <c r="AC7" s="55">
        <v>50</v>
      </c>
      <c r="AD7" s="57">
        <f t="shared" si="1"/>
        <v>93.166373727890999</v>
      </c>
      <c r="AE7" s="55">
        <v>40</v>
      </c>
      <c r="AF7" s="57">
        <f t="shared" si="2"/>
        <v>80.225850223781507</v>
      </c>
      <c r="AG7" s="56">
        <v>25</v>
      </c>
      <c r="AH7" s="57">
        <f t="shared" si="3"/>
        <v>67.297184955677153</v>
      </c>
      <c r="AI7" s="56">
        <v>20</v>
      </c>
      <c r="AJ7" s="57">
        <f t="shared" ref="AJ7:AJ11" si="4">(-$D$23-SQRT($D$23^2-(4*$C$23*($E$23-AI7))))/(2*$C$23)</f>
        <v>53.056757316027998</v>
      </c>
      <c r="AK7" s="56">
        <v>20</v>
      </c>
      <c r="AL7" s="57">
        <f t="shared" ref="AL7:AL10" si="5">(-$D$26-SQRT($D$26^2-(4*$C$26*($E$26-AK7))))/(2*$C$26)</f>
        <v>37.747929468346427</v>
      </c>
      <c r="AM7" s="56">
        <v>20</v>
      </c>
      <c r="AN7" s="57">
        <f t="shared" ref="AN7:AN9" si="6">(-$D$29-SQRT($D$29^2-(4*$C$29*($E$29-AM7))))/(2*$C$29)</f>
        <v>22.03903525784218</v>
      </c>
      <c r="AO7" s="56">
        <v>8</v>
      </c>
      <c r="AP7" s="57">
        <f t="shared" ref="AP7:AP9" si="7">(-$D$32-SQRT($D$32^2-(4*$C$32*($E$32-AO7))))/(2*$C$32)</f>
        <v>9.5218408484633397</v>
      </c>
    </row>
    <row r="8" spans="3:42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83.762679772606006</v>
      </c>
      <c r="AC8" s="55">
        <v>100</v>
      </c>
      <c r="AD8" s="57">
        <f t="shared" si="1"/>
        <v>87.544769993364028</v>
      </c>
      <c r="AE8" s="55">
        <v>60</v>
      </c>
      <c r="AF8" s="57">
        <f t="shared" si="2"/>
        <v>77.567381007801956</v>
      </c>
      <c r="AG8" s="56">
        <v>35</v>
      </c>
      <c r="AH8" s="57">
        <f t="shared" si="3"/>
        <v>65.758212482557326</v>
      </c>
      <c r="AI8" s="56">
        <v>40</v>
      </c>
      <c r="AJ8" s="57">
        <f t="shared" si="4"/>
        <v>49.424616329456704</v>
      </c>
      <c r="AK8" s="56">
        <v>40</v>
      </c>
      <c r="AL8" s="57">
        <f t="shared" si="5"/>
        <v>32.617007985442889</v>
      </c>
      <c r="AM8" s="56">
        <v>40</v>
      </c>
      <c r="AN8" s="57">
        <f t="shared" si="6"/>
        <v>12.008452396903799</v>
      </c>
      <c r="AO8" s="56">
        <v>10</v>
      </c>
      <c r="AP8" s="57">
        <f t="shared" si="7"/>
        <v>8.3176997954591556</v>
      </c>
    </row>
    <row r="9" spans="3:42" x14ac:dyDescent="0.15">
      <c r="C9" s="8">
        <f>X60</f>
        <v>-0.10916440188473163</v>
      </c>
      <c r="D9" s="8">
        <f t="shared" ref="D9:E9" si="8">Y60</f>
        <v>5.3534931217486985</v>
      </c>
      <c r="E9" s="8">
        <f t="shared" si="8"/>
        <v>507.49487523908067</v>
      </c>
      <c r="H9" s="2"/>
      <c r="P9" t="s">
        <v>2696</v>
      </c>
      <c r="Q9" s="52">
        <f t="array" ref="Q9:R9">LINEST(AM35:AM41,AL35:AL41)</f>
        <v>2.8432930442346041</v>
      </c>
      <c r="R9" s="52">
        <v>-1.2904976404914308</v>
      </c>
      <c r="S9" s="84">
        <f>(J3-R9)/Q9</f>
        <v>3.8732271670147895</v>
      </c>
      <c r="U9" s="39" t="s">
        <v>42</v>
      </c>
      <c r="V9" t="s">
        <v>44</v>
      </c>
      <c r="W9" s="9">
        <f>IF($J$3&gt;$AO$35,($J$3-$R$10)/$Q$10,($J$3-$R$9)/$Q$9)</f>
        <v>3.8732271670147895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78.926454069340437</v>
      </c>
      <c r="AC9" s="55">
        <v>150</v>
      </c>
      <c r="AD9" s="57">
        <f t="shared" si="1"/>
        <v>81.398298036661288</v>
      </c>
      <c r="AE9" s="55">
        <v>80</v>
      </c>
      <c r="AF9" s="57">
        <f t="shared" si="2"/>
        <v>74.803260102765194</v>
      </c>
      <c r="AG9" s="56">
        <v>55</v>
      </c>
      <c r="AH9" s="57">
        <f t="shared" si="3"/>
        <v>62.53553498412861</v>
      </c>
      <c r="AI9" s="56">
        <v>60</v>
      </c>
      <c r="AJ9" s="57">
        <f t="shared" si="4"/>
        <v>45.415680268947852</v>
      </c>
      <c r="AK9" s="56">
        <v>50</v>
      </c>
      <c r="AL9" s="57">
        <f t="shared" si="5"/>
        <v>29.619409120844775</v>
      </c>
      <c r="AM9" s="1446">
        <v>42</v>
      </c>
      <c r="AN9" s="57">
        <f t="shared" si="6"/>
        <v>10.169893873256173</v>
      </c>
      <c r="AO9" s="1446">
        <v>12</v>
      </c>
      <c r="AP9" s="57">
        <f t="shared" si="7"/>
        <v>7.1581574718994183</v>
      </c>
    </row>
    <row r="10" spans="3:42" x14ac:dyDescent="0.15">
      <c r="C10" s="466"/>
      <c r="D10" s="2"/>
      <c r="E10" s="2"/>
      <c r="H10" s="2"/>
      <c r="P10" t="s">
        <v>2697</v>
      </c>
      <c r="Q10" s="52">
        <f t="array" ref="Q10:R10">LINEST(AO34:AO35,AN34:AN35)</f>
        <v>2.2179558962269335</v>
      </c>
      <c r="R10" s="52">
        <v>3.8372669731714666</v>
      </c>
      <c r="S10" s="84">
        <f>(J3-R10)/Q10</f>
        <v>2.6533238370798635</v>
      </c>
      <c r="W10" t="b">
        <f>IF(AND(W9&gt;=0,W9&lt;=10.01,'R-series ALU'!E33&gt;=W11,P22),TRUE,FALSE)</f>
        <v>0</v>
      </c>
      <c r="AA10" s="55">
        <v>320</v>
      </c>
      <c r="AB10" s="56">
        <f t="shared" si="0"/>
        <v>72.674163985891298</v>
      </c>
      <c r="AC10" s="55">
        <v>170</v>
      </c>
      <c r="AD10" s="57">
        <f t="shared" si="1"/>
        <v>78.755411382447988</v>
      </c>
      <c r="AE10" s="55">
        <v>100</v>
      </c>
      <c r="AF10" s="57">
        <f t="shared" si="2"/>
        <v>71.919790815766788</v>
      </c>
      <c r="AG10" s="56">
        <v>140</v>
      </c>
      <c r="AH10" s="57">
        <f t="shared" si="3"/>
        <v>45.390768542105448</v>
      </c>
      <c r="AI10" s="56">
        <v>120</v>
      </c>
      <c r="AJ10" s="57">
        <f t="shared" si="4"/>
        <v>28.670725134221712</v>
      </c>
      <c r="AK10" s="1446">
        <v>70</v>
      </c>
      <c r="AL10" s="1447">
        <f t="shared" si="5"/>
        <v>21.915925296244261</v>
      </c>
    </row>
    <row r="11" spans="3:42" x14ac:dyDescent="0.15">
      <c r="C11" s="2" t="s">
        <v>408</v>
      </c>
      <c r="D11" s="1"/>
      <c r="E11" s="1"/>
      <c r="H11" s="1"/>
      <c r="V11" t="s">
        <v>348</v>
      </c>
      <c r="W11">
        <v>10</v>
      </c>
      <c r="X11" t="s">
        <v>13</v>
      </c>
      <c r="AA11" s="55">
        <v>370</v>
      </c>
      <c r="AB11" s="56">
        <f t="shared" si="0"/>
        <v>67.656938734011845</v>
      </c>
      <c r="AC11" s="55">
        <v>190</v>
      </c>
      <c r="AD11" s="57">
        <f t="shared" si="1"/>
        <v>75.984592486169944</v>
      </c>
      <c r="AE11" s="55">
        <v>200</v>
      </c>
      <c r="AF11" s="57">
        <f t="shared" si="2"/>
        <v>54.917543457145847</v>
      </c>
      <c r="AG11" s="56">
        <v>175</v>
      </c>
      <c r="AH11" s="57">
        <f t="shared" si="3"/>
        <v>34.60923239891234</v>
      </c>
      <c r="AI11" s="1446">
        <v>125</v>
      </c>
      <c r="AJ11" s="1447">
        <f t="shared" si="4"/>
        <v>26.498598926867743</v>
      </c>
    </row>
    <row r="12" spans="3:42" x14ac:dyDescent="0.15">
      <c r="C12" t="s">
        <v>4</v>
      </c>
      <c r="D12" t="s">
        <v>5</v>
      </c>
      <c r="E12" t="s">
        <v>6</v>
      </c>
      <c r="H12" s="1"/>
      <c r="P12" t="s">
        <v>2692</v>
      </c>
      <c r="AA12" s="58">
        <v>450</v>
      </c>
      <c r="AB12" s="59">
        <f t="shared" si="0"/>
        <v>58.104961702759233</v>
      </c>
      <c r="AC12" s="58">
        <v>330</v>
      </c>
      <c r="AD12" s="60">
        <f t="shared" si="1"/>
        <v>49.818926735208919</v>
      </c>
      <c r="AE12" s="58">
        <v>260</v>
      </c>
      <c r="AF12" s="60">
        <f t="shared" si="2"/>
        <v>40.724118239289034</v>
      </c>
      <c r="AG12" s="59"/>
      <c r="AH12" s="60"/>
    </row>
    <row r="13" spans="3:42" x14ac:dyDescent="0.15">
      <c r="C13" s="8">
        <f>X61</f>
        <v>-6.4539960787553668E-2</v>
      </c>
      <c r="D13" s="8">
        <f t="shared" ref="D13:E13" si="9">Y61</f>
        <v>2.7688310603130377</v>
      </c>
      <c r="E13" s="8">
        <f t="shared" si="9"/>
        <v>352.2431801977703</v>
      </c>
      <c r="P13" s="51">
        <f t="array" ref="P13:S13">LINEST(AE34:AE41,AC34:AC41^{1,2,3})</f>
        <v>6.2611975941046618E-3</v>
      </c>
      <c r="Q13" s="51">
        <v>-9.6715507215127935E-2</v>
      </c>
      <c r="R13" s="51">
        <v>1.5189985936311619</v>
      </c>
      <c r="S13" s="51">
        <v>-1.3501159308127164</v>
      </c>
      <c r="U13" s="39" t="s">
        <v>43</v>
      </c>
      <c r="V13" t="s">
        <v>44</v>
      </c>
      <c r="W13" s="9">
        <f>$P$13*J3^3+$Q$13*J3^2+$R$13*J3+$S$13</f>
        <v>10.030011429004201</v>
      </c>
      <c r="X13" t="s">
        <v>49</v>
      </c>
      <c r="Y13" t="s">
        <v>592</v>
      </c>
    </row>
    <row r="14" spans="3:42" x14ac:dyDescent="0.15">
      <c r="H14" s="2"/>
      <c r="V14" t="s">
        <v>52</v>
      </c>
      <c r="W14" s="3">
        <f>IF(W13&gt;Y14,Y14,W13)</f>
        <v>10.030011429004201</v>
      </c>
      <c r="X14" t="s">
        <v>49</v>
      </c>
      <c r="Y14">
        <v>117</v>
      </c>
      <c r="Z14" t="s">
        <v>49</v>
      </c>
    </row>
    <row r="15" spans="3:42" x14ac:dyDescent="0.15">
      <c r="C15" s="2" t="s">
        <v>2673</v>
      </c>
      <c r="D15" s="1"/>
      <c r="E15" s="1"/>
      <c r="H15" s="2"/>
    </row>
    <row r="16" spans="3:42" x14ac:dyDescent="0.15">
      <c r="C16" t="s">
        <v>4</v>
      </c>
      <c r="D16" t="s">
        <v>5</v>
      </c>
      <c r="E16" t="s">
        <v>6</v>
      </c>
      <c r="H16" s="1"/>
      <c r="V16" t="s">
        <v>58</v>
      </c>
      <c r="W16">
        <f>'Laskenta poistopuoli 53mini'!W13</f>
        <v>9.8753865152497227</v>
      </c>
    </row>
    <row r="17" spans="3:45" ht="14" thickBot="1" x14ac:dyDescent="0.2">
      <c r="C17" s="8">
        <f>X62</f>
        <v>-5.3028701208818363E-2</v>
      </c>
      <c r="D17" s="8">
        <f t="shared" ref="D17:E17" si="10">Y62</f>
        <v>0.84444369005807562</v>
      </c>
      <c r="E17" s="8">
        <f t="shared" si="10"/>
        <v>313.55642668614803</v>
      </c>
      <c r="H17" s="1"/>
      <c r="V17" t="s">
        <v>73</v>
      </c>
      <c r="W17">
        <v>4.4000000000000004</v>
      </c>
    </row>
    <row r="18" spans="3:45" x14ac:dyDescent="0.15">
      <c r="C18" s="2" t="s">
        <v>411</v>
      </c>
      <c r="D18" s="1"/>
      <c r="E18" s="1"/>
      <c r="H18" s="1"/>
      <c r="P18" s="228" t="s">
        <v>605</v>
      </c>
      <c r="Q18" s="230"/>
      <c r="R18" s="231"/>
    </row>
    <row r="19" spans="3:45" x14ac:dyDescent="0.15">
      <c r="C19" t="s">
        <v>4</v>
      </c>
      <c r="D19" t="s">
        <v>5</v>
      </c>
      <c r="E19" t="s">
        <v>6</v>
      </c>
      <c r="P19" s="232" t="s">
        <v>606</v>
      </c>
      <c r="Q19" s="8">
        <v>450</v>
      </c>
      <c r="R19" s="364" t="s">
        <v>14</v>
      </c>
      <c r="V19" s="74" t="s">
        <v>74</v>
      </c>
      <c r="W19" s="77">
        <f>W13+W16+W17</f>
        <v>24.305397944253926</v>
      </c>
      <c r="X19" s="75" t="s">
        <v>49</v>
      </c>
      <c r="AB19" s="6"/>
      <c r="AC19" s="6"/>
    </row>
    <row r="20" spans="3:45" x14ac:dyDescent="0.15">
      <c r="C20" s="8">
        <f>X63</f>
        <v>-6.1285968629719328E-2</v>
      </c>
      <c r="D20" s="8">
        <f t="shared" ref="D20:E20" si="11">Y63</f>
        <v>1.6565868956636227</v>
      </c>
      <c r="E20" s="8">
        <f t="shared" si="11"/>
        <v>191.07506907008366</v>
      </c>
      <c r="H20" s="1"/>
      <c r="P20" s="232" t="s">
        <v>607</v>
      </c>
      <c r="Q20" s="8">
        <v>0.25</v>
      </c>
      <c r="R20" s="364"/>
      <c r="AB20" s="6"/>
      <c r="AC20" s="6"/>
    </row>
    <row r="21" spans="3:45" x14ac:dyDescent="0.15">
      <c r="C21" s="2" t="s">
        <v>10</v>
      </c>
      <c r="H21" s="1"/>
      <c r="P21" s="232"/>
      <c r="R21" s="364"/>
      <c r="V21" t="s">
        <v>78</v>
      </c>
      <c r="W21" s="110">
        <f>MAX(J3,'Laskenta poistopuoli 53mini'!J3)</f>
        <v>9.7222222222222214</v>
      </c>
      <c r="X21" t="s">
        <v>13</v>
      </c>
      <c r="AB21" s="6"/>
      <c r="AC21" s="6"/>
    </row>
    <row r="22" spans="3:45" ht="16" thickBot="1" x14ac:dyDescent="0.2">
      <c r="C22" t="s">
        <v>4</v>
      </c>
      <c r="D22" t="s">
        <v>5</v>
      </c>
      <c r="E22" t="s">
        <v>6</v>
      </c>
      <c r="H22" s="1"/>
      <c r="P22" s="236" t="b">
        <f>IF(OR(L3&gt;Q19,U29&gt;Q20),FALSE,TRUE)</f>
        <v>0</v>
      </c>
      <c r="Q22" s="238"/>
      <c r="R22" s="239"/>
      <c r="V22" t="s">
        <v>75</v>
      </c>
      <c r="W22">
        <f>W19/W21</f>
        <v>2.4999837885518326</v>
      </c>
      <c r="X22" t="s">
        <v>77</v>
      </c>
      <c r="AB22" s="6"/>
      <c r="AC22" s="6"/>
    </row>
    <row r="23" spans="3:45" x14ac:dyDescent="0.15">
      <c r="C23" s="8">
        <f>X64</f>
        <v>-6.7731205545045345E-2</v>
      </c>
      <c r="D23" s="8">
        <f t="shared" ref="D23:E23" si="12">Y64</f>
        <v>1.4347928000013304</v>
      </c>
      <c r="E23" s="8">
        <f t="shared" si="12"/>
        <v>134.53921076883989</v>
      </c>
      <c r="H23" s="1"/>
    </row>
    <row r="24" spans="3:45" x14ac:dyDescent="0.15">
      <c r="C24" s="2" t="s">
        <v>409</v>
      </c>
      <c r="H24" s="1"/>
      <c r="P24">
        <v>13</v>
      </c>
      <c r="Q24">
        <f>$C$23*P24^2+$D$23*P24+$E$23</f>
        <v>141.74494343174453</v>
      </c>
    </row>
    <row r="25" spans="3:45" x14ac:dyDescent="0.15">
      <c r="C25" t="s">
        <v>4</v>
      </c>
      <c r="D25" t="s">
        <v>5</v>
      </c>
      <c r="E25" t="s">
        <v>6</v>
      </c>
      <c r="G25" s="2"/>
      <c r="H25" s="1"/>
      <c r="P25">
        <v>15</v>
      </c>
      <c r="Q25">
        <f>$C$23*P25^2+$D$23*P25+$E$23</f>
        <v>140.82158152122466</v>
      </c>
    </row>
    <row r="26" spans="3:45" x14ac:dyDescent="0.15">
      <c r="C26" s="8">
        <f>X65</f>
        <v>-6.9130897537859337E-2</v>
      </c>
      <c r="D26" s="8">
        <f t="shared" ref="D26:E26" si="13">Y65</f>
        <v>0.96645597547783735</v>
      </c>
      <c r="E26" s="8">
        <f t="shared" si="13"/>
        <v>82.023331075092301</v>
      </c>
      <c r="P26">
        <v>45</v>
      </c>
      <c r="Q26">
        <f>$C$23*P26^2+$D$23*P26+$E$23</f>
        <v>61.949195540182941</v>
      </c>
    </row>
    <row r="27" spans="3:45" x14ac:dyDescent="0.15">
      <c r="C27" s="2" t="s">
        <v>12</v>
      </c>
      <c r="U27" t="s">
        <v>37</v>
      </c>
    </row>
    <row r="28" spans="3:45" x14ac:dyDescent="0.15">
      <c r="C28" t="s">
        <v>4</v>
      </c>
      <c r="D28" t="s">
        <v>5</v>
      </c>
      <c r="E28" t="s">
        <v>6</v>
      </c>
      <c r="U28" s="4" t="s">
        <v>17</v>
      </c>
    </row>
    <row r="29" spans="3:45" x14ac:dyDescent="0.15">
      <c r="C29" s="8">
        <f>X66</f>
        <v>-7.6340261230434928E-2</v>
      </c>
      <c r="D29" s="8">
        <f t="shared" ref="D29:E29" si="14">Y66</f>
        <v>0.60529202479789601</v>
      </c>
      <c r="E29" s="8">
        <f t="shared" si="14"/>
        <v>43.739868801653714</v>
      </c>
      <c r="U29" s="4">
        <f>(L3/J3)^2/L3</f>
        <v>0.84636734693877569</v>
      </c>
    </row>
    <row r="30" spans="3:45" x14ac:dyDescent="0.15">
      <c r="C30" s="2" t="s">
        <v>410</v>
      </c>
      <c r="AN30">
        <v>9</v>
      </c>
      <c r="AO30">
        <f>Q9*AN30+R9</f>
        <v>24.299139757620004</v>
      </c>
      <c r="AP30" t="s">
        <v>13</v>
      </c>
    </row>
    <row r="31" spans="3:45" x14ac:dyDescent="0.15">
      <c r="C31" t="s">
        <v>4</v>
      </c>
      <c r="D31" t="s">
        <v>5</v>
      </c>
      <c r="E31" t="s">
        <v>6</v>
      </c>
      <c r="U31" s="2" t="s">
        <v>16</v>
      </c>
      <c r="AS31" s="2" t="s">
        <v>1110</v>
      </c>
    </row>
    <row r="32" spans="3:45" x14ac:dyDescent="0.15">
      <c r="C32" s="8">
        <f>X67</f>
        <v>2.7027085341929252E-2</v>
      </c>
      <c r="D32" s="8">
        <f t="shared" ref="D32:E32" si="15">Y67</f>
        <v>-2.1430857709414624</v>
      </c>
      <c r="E32" s="8">
        <f t="shared" si="15"/>
        <v>25.955698695837849</v>
      </c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I32" s="10" t="s">
        <v>27</v>
      </c>
      <c r="AJ32" s="21"/>
      <c r="AL32" t="s">
        <v>79</v>
      </c>
      <c r="AN32" t="s">
        <v>2677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G33" s="1466" t="s">
        <v>365</v>
      </c>
      <c r="AH33" s="1466" t="s">
        <v>13</v>
      </c>
      <c r="AI33" s="25" t="s">
        <v>28</v>
      </c>
      <c r="AJ33" s="26" t="s">
        <v>7</v>
      </c>
      <c r="AL33" t="s">
        <v>25</v>
      </c>
      <c r="AM33" t="s">
        <v>13</v>
      </c>
      <c r="AN33" t="s">
        <v>25</v>
      </c>
      <c r="AO33" t="s">
        <v>13</v>
      </c>
      <c r="AS33" s="2" t="s">
        <v>1107</v>
      </c>
      <c r="AV33" t="s">
        <v>1115</v>
      </c>
    </row>
    <row r="34" spans="21:49" x14ac:dyDescent="0.15">
      <c r="U34" s="41">
        <v>10</v>
      </c>
      <c r="V34" s="1425">
        <f>C9</f>
        <v>-0.10916440188473163</v>
      </c>
      <c r="W34" s="1426">
        <f>D9</f>
        <v>5.3534931217486985</v>
      </c>
      <c r="X34" s="1427">
        <f>E9</f>
        <v>507.49487523908067</v>
      </c>
      <c r="Y34" s="1428">
        <f>C9-U29</f>
        <v>-0.95553174882350733</v>
      </c>
      <c r="Z34" s="1429">
        <f>(-W34+SQRT(W34^2-(4*Y34*X34)))/(2*Y34)</f>
        <v>-20.414193549504748</v>
      </c>
      <c r="AA34" s="1430">
        <f>(-W34-SQRT(W34^2-(4*Y34*X34)))/(2*Y34)</f>
        <v>26.016825935440803</v>
      </c>
      <c r="AB34" s="1428">
        <f>AB6</f>
        <v>95.380316017540977</v>
      </c>
      <c r="AC34" s="1431">
        <f>IF(Z34&lt;0,AA34,IF(Z34&gt;AB34,AA34,Z34))</f>
        <v>26.016825935440803</v>
      </c>
      <c r="AD34" s="1431">
        <f>V34*AC34^2+W34*AC34+X34</f>
        <v>572.88509410906977</v>
      </c>
      <c r="AE34" s="1432">
        <f t="shared" ref="AE34:AE41" si="16">AD60*AC34^2+AE60*AC34+AF60</f>
        <v>83.037062862878884</v>
      </c>
      <c r="AG34" s="1466">
        <v>10</v>
      </c>
      <c r="AH34" s="917">
        <f>AC34</f>
        <v>26.016825935440803</v>
      </c>
      <c r="AI34" s="1424">
        <f>$H$60*AH34^2+$I$60*AH34+$J$60</f>
        <v>78.627111748459384</v>
      </c>
      <c r="AJ34" s="53">
        <f>$R$60*AH34^2+$S$60*AH34+$T$60</f>
        <v>84.015486913443283</v>
      </c>
      <c r="AL34">
        <v>10</v>
      </c>
      <c r="AM34" s="3">
        <f t="shared" ref="AM34:AM41" si="17">AC34</f>
        <v>26.016825935440803</v>
      </c>
      <c r="AN34">
        <v>10</v>
      </c>
      <c r="AO34" s="3">
        <f>AM34</f>
        <v>26.016825935440803</v>
      </c>
      <c r="AS34" s="616">
        <f>AC34/$J$3-1</f>
        <v>1.6760163819310541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C13</f>
        <v>-6.4539960787553668E-2</v>
      </c>
      <c r="W35" s="99">
        <f>D13</f>
        <v>2.7688310603130377</v>
      </c>
      <c r="X35" s="100">
        <f>E13</f>
        <v>352.2431801977703</v>
      </c>
      <c r="Y35" s="36">
        <f>C13-U29</f>
        <v>-0.91090730772632933</v>
      </c>
      <c r="Z35" s="28">
        <f t="shared" ref="Z35:Z37" si="18">(-W35+SQRT(W35^2-(4*Y35*X35)))/(2*Y35)</f>
        <v>-18.203382184273892</v>
      </c>
      <c r="AA35" s="29">
        <f t="shared" ref="AA35:AA37" si="19">(-W35-SQRT(W35^2-(4*Y35*X35)))/(2*Y35)</f>
        <v>21.243023031183093</v>
      </c>
      <c r="AB35" s="36">
        <f>AD6</f>
        <v>96.337047181791775</v>
      </c>
      <c r="AC35" s="53">
        <f t="shared" ref="AC35:AC37" si="20">IF(Z35&lt;0,AA35,IF(Z35&gt;AB35,AA35,Z35))</f>
        <v>21.243023031183093</v>
      </c>
      <c r="AD35" s="53">
        <f>V35*AC35^2+W35*AC35+X35</f>
        <v>381.93683046163233</v>
      </c>
      <c r="AE35" s="1433">
        <f t="shared" si="16"/>
        <v>47.783712424393087</v>
      </c>
      <c r="AG35" s="1466">
        <v>7</v>
      </c>
      <c r="AH35" s="917">
        <f>AC36</f>
        <v>19.146986762641678</v>
      </c>
      <c r="AI35" s="1424">
        <f>$H$65*AH35^2+$I$65*AH35+$J$65</f>
        <v>55.762673271617075</v>
      </c>
      <c r="AJ35" s="53">
        <f>$R$65*AH35^2+$S$65*AH35+$T$65</f>
        <v>70.244521408764868</v>
      </c>
      <c r="AL35">
        <v>8</v>
      </c>
      <c r="AM35" s="3">
        <f t="shared" si="17"/>
        <v>21.243023031183093</v>
      </c>
      <c r="AN35">
        <v>8.1999999999999993</v>
      </c>
      <c r="AO35" s="3">
        <f>Q9*AN35+R9</f>
        <v>22.024505322232322</v>
      </c>
      <c r="AS35" t="s">
        <v>1114</v>
      </c>
      <c r="AV35" t="s">
        <v>1116</v>
      </c>
    </row>
    <row r="36" spans="21:49" x14ac:dyDescent="0.15">
      <c r="U36" s="35">
        <v>7</v>
      </c>
      <c r="V36" s="98">
        <f>C17</f>
        <v>-5.3028701208818363E-2</v>
      </c>
      <c r="W36" s="99">
        <f>D17</f>
        <v>0.84444369005807562</v>
      </c>
      <c r="X36" s="100">
        <f>E17</f>
        <v>313.55642668614803</v>
      </c>
      <c r="Y36" s="36">
        <f>C17-U29</f>
        <v>-0.899396048147594</v>
      </c>
      <c r="Z36" s="28">
        <f t="shared" si="18"/>
        <v>-18.20808593936443</v>
      </c>
      <c r="AA36" s="29">
        <f t="shared" si="19"/>
        <v>19.146986762641678</v>
      </c>
      <c r="AB36" s="36">
        <f>AF6</f>
        <v>84.039568816164177</v>
      </c>
      <c r="AC36" s="53">
        <f t="shared" si="20"/>
        <v>19.146986762641678</v>
      </c>
      <c r="AD36" s="53">
        <f>V36*AC36^2+W36*AC36+X36</f>
        <v>310.28428036378983</v>
      </c>
      <c r="AE36" s="1433">
        <f t="shared" si="16"/>
        <v>34.702843968516554</v>
      </c>
      <c r="AG36" s="1466">
        <v>6</v>
      </c>
      <c r="AH36" s="917">
        <f>AC37</f>
        <v>15.450387303939419</v>
      </c>
      <c r="AI36" s="1424">
        <f>$H$70*AH36^2+$I$70*AH36+$J$70</f>
        <v>54.352985303883536</v>
      </c>
      <c r="AJ36" s="53">
        <f>$R$70*AH36^2+$S$70*AH36+$T$70</f>
        <v>67.274181625097597</v>
      </c>
      <c r="AL36">
        <v>7</v>
      </c>
      <c r="AM36" s="3">
        <f t="shared" si="17"/>
        <v>19.146986762641678</v>
      </c>
      <c r="AO36" s="3"/>
      <c r="AS36" s="609">
        <f>Tulokset!$CR$16</f>
        <v>11.666666666666666</v>
      </c>
      <c r="AT36" t="s">
        <v>13</v>
      </c>
      <c r="AV36" s="617">
        <f>IF($AS$36&gt;$AO$35,($AS$36-$R$10)/$Q$10,($AS$36-$R$9)/$Q$9)</f>
        <v>4.5570977403935098</v>
      </c>
      <c r="AW36" t="s">
        <v>25</v>
      </c>
    </row>
    <row r="37" spans="21:49" x14ac:dyDescent="0.15">
      <c r="U37" s="35">
        <v>6</v>
      </c>
      <c r="V37" s="98">
        <f>C20</f>
        <v>-6.1285968629719328E-2</v>
      </c>
      <c r="W37" s="99">
        <f>D20</f>
        <v>1.6565868956636227</v>
      </c>
      <c r="X37" s="100">
        <f>E20</f>
        <v>191.07506907008366</v>
      </c>
      <c r="Y37" s="36">
        <f>C20-$U$29</f>
        <v>-0.90765331556849504</v>
      </c>
      <c r="Z37" s="28">
        <f t="shared" si="18"/>
        <v>-13.62525554135004</v>
      </c>
      <c r="AA37" s="29">
        <f t="shared" si="19"/>
        <v>15.450387303939419</v>
      </c>
      <c r="AB37" s="36">
        <f>AH6</f>
        <v>69.526415226309226</v>
      </c>
      <c r="AC37" s="467">
        <f t="shared" si="20"/>
        <v>15.450387303939419</v>
      </c>
      <c r="AD37" s="467">
        <f>V37*AC37^2+W37*AC37+X37</f>
        <v>202.04013082310874</v>
      </c>
      <c r="AE37" s="1433">
        <f t="shared" si="16"/>
        <v>23.487394850479518</v>
      </c>
      <c r="AG37" s="1466">
        <v>4</v>
      </c>
      <c r="AH37" s="917">
        <f>AC39</f>
        <v>10.007957352461849</v>
      </c>
      <c r="AI37" s="1424">
        <f>$H$75*AH37^2+$I$75*AH37+$J$75</f>
        <v>45.409898824502804</v>
      </c>
      <c r="AJ37" s="53">
        <f>$R$75*AH37^2+$S$75*AH37+$T$75</f>
        <v>56.222011675460173</v>
      </c>
      <c r="AL37">
        <v>6</v>
      </c>
      <c r="AM37" s="3">
        <f t="shared" si="17"/>
        <v>15.450387303939419</v>
      </c>
      <c r="AO37" s="3"/>
      <c r="AS37" s="609">
        <f>Tulokset!$CR$17</f>
        <v>115.19999999999999</v>
      </c>
      <c r="AT37" t="s">
        <v>14</v>
      </c>
    </row>
    <row r="38" spans="21:49" x14ac:dyDescent="0.15">
      <c r="U38" s="35">
        <v>5</v>
      </c>
      <c r="V38" s="98">
        <f>C23</f>
        <v>-6.7731205545045345E-2</v>
      </c>
      <c r="W38" s="99">
        <f t="shared" ref="W38:X38" si="21">D23</f>
        <v>1.4347928000013304</v>
      </c>
      <c r="X38" s="100">
        <f t="shared" si="21"/>
        <v>134.53921076883989</v>
      </c>
      <c r="Y38" s="36">
        <f>C23-$U$29</f>
        <v>-0.91409855248382099</v>
      </c>
      <c r="Z38" s="28">
        <f t="shared" ref="Z38:Z40" si="22">(-W38+SQRT(W38^2-(4*Y38*X38)))/(2*Y38)</f>
        <v>-11.372420375540919</v>
      </c>
      <c r="AA38" s="29">
        <f t="shared" ref="AA38:AA40" si="23">(-W38-SQRT(W38^2-(4*Y38*X38)))/(2*Y38)</f>
        <v>12.942046315875974</v>
      </c>
      <c r="AB38" s="36">
        <f>AJ6</f>
        <v>54.760964406628652</v>
      </c>
      <c r="AC38" s="467">
        <f t="shared" ref="AC38:AC40" si="24">IF(Z38&lt;0,AA38,IF(Z38&gt;AB38,AA38,Z38))</f>
        <v>12.942046315875974</v>
      </c>
      <c r="AD38" s="467">
        <f t="shared" ref="AD38:AD40" si="25">V38*AC38^2+W38*AC38+X38</f>
        <v>141.76362151418348</v>
      </c>
      <c r="AE38" s="1433">
        <f t="shared" si="16"/>
        <v>15.783837547258667</v>
      </c>
      <c r="AL38">
        <v>5</v>
      </c>
      <c r="AM38" s="3">
        <f t="shared" si="17"/>
        <v>12.942046315875974</v>
      </c>
      <c r="AO38" s="3"/>
    </row>
    <row r="39" spans="21:49" x14ac:dyDescent="0.15">
      <c r="U39" s="35">
        <v>4</v>
      </c>
      <c r="V39" s="98">
        <f>C26</f>
        <v>-6.9130897537859337E-2</v>
      </c>
      <c r="W39" s="99">
        <f t="shared" ref="W39:X39" si="26">D26</f>
        <v>0.96645597547783735</v>
      </c>
      <c r="X39" s="100">
        <f t="shared" si="26"/>
        <v>82.023331075092301</v>
      </c>
      <c r="Y39" s="36">
        <f>C26-$U$29</f>
        <v>-0.91549824447663508</v>
      </c>
      <c r="Z39" s="28">
        <f t="shared" si="22"/>
        <v>-8.9522961523354248</v>
      </c>
      <c r="AA39" s="29">
        <f t="shared" si="23"/>
        <v>10.007957352461849</v>
      </c>
      <c r="AB39" s="36">
        <f>AL6</f>
        <v>40.015801166334754</v>
      </c>
      <c r="AC39" s="467">
        <f t="shared" si="24"/>
        <v>10.007957352461849</v>
      </c>
      <c r="AD39" s="467">
        <f t="shared" si="25"/>
        <v>84.771485151235254</v>
      </c>
      <c r="AE39" s="1433">
        <f t="shared" si="16"/>
        <v>10.112341005879266</v>
      </c>
      <c r="AL39">
        <v>4</v>
      </c>
      <c r="AM39" s="3">
        <f t="shared" si="17"/>
        <v>10.007957352461849</v>
      </c>
    </row>
    <row r="40" spans="21:49" x14ac:dyDescent="0.15">
      <c r="U40" s="35">
        <v>3</v>
      </c>
      <c r="V40" s="98">
        <f>C29</f>
        <v>-7.6340261230434928E-2</v>
      </c>
      <c r="W40" s="99">
        <f t="shared" ref="W40:X40" si="27">D29</f>
        <v>0.60529202479789601</v>
      </c>
      <c r="X40" s="100">
        <f t="shared" si="27"/>
        <v>43.739868801653714</v>
      </c>
      <c r="Y40" s="36">
        <f>C29-$U$29</f>
        <v>-0.9227076081692106</v>
      </c>
      <c r="Z40" s="28">
        <f t="shared" si="22"/>
        <v>-6.5648540794137569</v>
      </c>
      <c r="AA40" s="29">
        <f t="shared" si="23"/>
        <v>7.2208495642660875</v>
      </c>
      <c r="AB40" s="36">
        <f>AN6</f>
        <v>25.96175640860292</v>
      </c>
      <c r="AC40" s="1434">
        <f t="shared" si="24"/>
        <v>7.2208495642660875</v>
      </c>
      <c r="AD40" s="1434">
        <f t="shared" si="25"/>
        <v>44.130159206511834</v>
      </c>
      <c r="AE40" s="1433">
        <f t="shared" si="16"/>
        <v>6.4363246734247701</v>
      </c>
      <c r="AL40">
        <v>3</v>
      </c>
      <c r="AM40" s="3">
        <f t="shared" si="17"/>
        <v>7.2208495642660875</v>
      </c>
    </row>
    <row r="41" spans="21:49" x14ac:dyDescent="0.15">
      <c r="U41" s="38">
        <v>2</v>
      </c>
      <c r="V41" s="101">
        <f>C32</f>
        <v>2.7027085341929252E-2</v>
      </c>
      <c r="W41" s="102">
        <f>D32</f>
        <v>-2.1430857709414624</v>
      </c>
      <c r="X41" s="103">
        <f>E32</f>
        <v>25.955698695837849</v>
      </c>
      <c r="Y41" s="37">
        <f>C32-$U$29</f>
        <v>-0.81934026159684648</v>
      </c>
      <c r="Z41" s="30">
        <f>(-W41+SQRT(W41^2-(4*Y41*X41)))/(2*Y41)</f>
        <v>-7.0861463908857676</v>
      </c>
      <c r="AA41" s="31">
        <f>(-W41-SQRT(W41^2-(4*Y41*X41)))/(2*Y41)</f>
        <v>4.4705227344030343</v>
      </c>
      <c r="AB41" s="37">
        <f>AN7</f>
        <v>22.03903525784218</v>
      </c>
      <c r="AC41" s="1434">
        <f>IF(Z41&lt;0,AA41,IF(Z41&gt;AB41,AA41,Z41))</f>
        <v>4.4705227344030343</v>
      </c>
      <c r="AD41" s="1434">
        <f t="shared" ref="AD41" si="28">V41*AC41^2+W41*AC41+X41</f>
        <v>16.915136836168784</v>
      </c>
      <c r="AE41" s="1433">
        <f t="shared" si="16"/>
        <v>4.3922054987342642</v>
      </c>
      <c r="AL41">
        <v>2</v>
      </c>
      <c r="AM41" s="3">
        <f t="shared" si="17"/>
        <v>4.4705227344030343</v>
      </c>
    </row>
    <row r="42" spans="21:49" x14ac:dyDescent="0.15">
      <c r="U42" s="2" t="s">
        <v>35</v>
      </c>
      <c r="W42" t="s">
        <v>36</v>
      </c>
    </row>
    <row r="44" spans="21:49" x14ac:dyDescent="0.15">
      <c r="U44" s="74"/>
      <c r="V44" s="128"/>
      <c r="W44" s="75"/>
      <c r="X44" s="43">
        <v>63</v>
      </c>
      <c r="Y44" s="44">
        <v>125</v>
      </c>
      <c r="Z44" s="44">
        <v>250</v>
      </c>
      <c r="AA44" s="44">
        <v>500</v>
      </c>
      <c r="AB44" s="44">
        <v>1000</v>
      </c>
      <c r="AC44" s="44">
        <v>2000</v>
      </c>
      <c r="AD44" s="44">
        <v>4000</v>
      </c>
      <c r="AE44" s="45">
        <v>8000</v>
      </c>
      <c r="AG44" s="43">
        <v>63</v>
      </c>
      <c r="AH44" s="44">
        <v>125</v>
      </c>
      <c r="AI44" s="44">
        <v>250</v>
      </c>
      <c r="AJ44" s="44">
        <v>500</v>
      </c>
      <c r="AK44" s="44">
        <v>1000</v>
      </c>
      <c r="AL44" s="44">
        <v>2000</v>
      </c>
      <c r="AM44" s="44">
        <v>4000</v>
      </c>
      <c r="AN44" s="45">
        <v>8000</v>
      </c>
      <c r="AO44" t="s">
        <v>70</v>
      </c>
      <c r="AP44" t="s">
        <v>71</v>
      </c>
    </row>
    <row r="45" spans="21:49" x14ac:dyDescent="0.15">
      <c r="U45" s="10" t="s">
        <v>26</v>
      </c>
      <c r="V45" s="21">
        <v>8.6999999999999993</v>
      </c>
      <c r="W45" s="971">
        <f>ABS($W$9-V45)</f>
        <v>4.8267728329852098</v>
      </c>
      <c r="X45" s="1469">
        <v>15</v>
      </c>
      <c r="Y45" s="843">
        <v>13</v>
      </c>
      <c r="Z45" s="843">
        <v>5</v>
      </c>
      <c r="AA45" s="843">
        <v>-7</v>
      </c>
      <c r="AB45" s="843">
        <v>-16</v>
      </c>
      <c r="AC45" s="843">
        <v>-21</v>
      </c>
      <c r="AD45" s="843">
        <v>-29</v>
      </c>
      <c r="AE45" s="843">
        <v>-38</v>
      </c>
      <c r="AF45" s="39" t="s">
        <v>42</v>
      </c>
      <c r="AG45" s="53">
        <f>$W$5+X49</f>
        <v>60.188273100099721</v>
      </c>
      <c r="AH45" s="53">
        <f t="shared" ref="AH45:AN45" si="29">$W$5+Y49</f>
        <v>54.188273100099721</v>
      </c>
      <c r="AI45" s="53">
        <f t="shared" si="29"/>
        <v>44.188273100099721</v>
      </c>
      <c r="AJ45" s="53">
        <f t="shared" si="29"/>
        <v>34.188273100099721</v>
      </c>
      <c r="AK45" s="53">
        <f t="shared" si="29"/>
        <v>24.188273100099721</v>
      </c>
      <c r="AL45" s="53">
        <f t="shared" si="29"/>
        <v>17.188273100099721</v>
      </c>
      <c r="AM45" s="53">
        <f t="shared" si="29"/>
        <v>12.188273100099721</v>
      </c>
      <c r="AN45" s="53">
        <f t="shared" si="29"/>
        <v>17.188273100099721</v>
      </c>
      <c r="AO45" s="5">
        <f t="array" ref="AO45">10*LOG10(SUM(10^(AG45:AN45/10)))</f>
        <v>61.257612347593096</v>
      </c>
      <c r="AP45" s="5">
        <f t="array" ref="AP45">10*LOG10(SUM(10^((AG45:AN45+AG53:AN53)/10)))</f>
        <v>41.52702379144533</v>
      </c>
      <c r="AQ45" t="str">
        <f>IF(ABS(W5-AP45)&lt;0.5,"OK","Tarkista laskenta!")</f>
        <v>OK</v>
      </c>
    </row>
    <row r="46" spans="21:49" x14ac:dyDescent="0.15">
      <c r="U46" s="12"/>
      <c r="V46" s="24">
        <v>7</v>
      </c>
      <c r="W46" s="42">
        <f t="shared" ref="W46:W48" si="30">ABS($W$9-V46)</f>
        <v>3.1267728329852105</v>
      </c>
      <c r="X46" s="1469">
        <v>15</v>
      </c>
      <c r="Y46" s="843">
        <v>13</v>
      </c>
      <c r="Z46" s="843">
        <v>5</v>
      </c>
      <c r="AA46" s="843">
        <v>-8</v>
      </c>
      <c r="AB46" s="843">
        <v>-16</v>
      </c>
      <c r="AC46" s="843">
        <v>-23</v>
      </c>
      <c r="AD46" s="843">
        <v>-30</v>
      </c>
      <c r="AE46" s="843">
        <v>-36</v>
      </c>
    </row>
    <row r="47" spans="21:49" x14ac:dyDescent="0.15">
      <c r="U47" s="12"/>
      <c r="V47" s="24">
        <v>6</v>
      </c>
      <c r="W47" s="42">
        <f t="shared" si="30"/>
        <v>2.1267728329852105</v>
      </c>
      <c r="X47" s="1469">
        <v>17</v>
      </c>
      <c r="Y47" s="843">
        <v>13</v>
      </c>
      <c r="Z47" s="843">
        <v>4</v>
      </c>
      <c r="AA47" s="843">
        <v>-8</v>
      </c>
      <c r="AB47" s="843">
        <v>-16</v>
      </c>
      <c r="AC47" s="843">
        <v>-23</v>
      </c>
      <c r="AD47" s="843">
        <v>-31</v>
      </c>
      <c r="AE47" s="843">
        <v>-33</v>
      </c>
    </row>
    <row r="48" spans="21:49" x14ac:dyDescent="0.15">
      <c r="U48" s="14"/>
      <c r="V48" s="26">
        <v>4</v>
      </c>
      <c r="W48" s="972">
        <f t="shared" si="30"/>
        <v>0.12677283298521047</v>
      </c>
      <c r="X48" s="1470">
        <v>19</v>
      </c>
      <c r="Y48" s="844">
        <v>13</v>
      </c>
      <c r="Z48" s="844">
        <v>3</v>
      </c>
      <c r="AA48" s="844">
        <v>-7</v>
      </c>
      <c r="AB48" s="844">
        <v>-17</v>
      </c>
      <c r="AC48" s="844">
        <v>-24</v>
      </c>
      <c r="AD48" s="844">
        <v>-29</v>
      </c>
      <c r="AE48" s="844">
        <v>-24</v>
      </c>
    </row>
    <row r="49" spans="3:43" x14ac:dyDescent="0.15">
      <c r="V49" s="297" t="s">
        <v>2694</v>
      </c>
      <c r="W49" s="609">
        <f>SMALL(W45:W48,1)</f>
        <v>0.12677283298521047</v>
      </c>
      <c r="X49" s="43">
        <f>INDEX(X45:X48,MATCH($W$49,$W$45:$W$48,0))</f>
        <v>19</v>
      </c>
      <c r="Y49" s="43">
        <f t="shared" ref="Y49:AE49" si="31">INDEX(Y45:Y48,MATCH($W$49,$W$45:$W$48,0))</f>
        <v>13</v>
      </c>
      <c r="Z49" s="43">
        <f t="shared" si="31"/>
        <v>3</v>
      </c>
      <c r="AA49" s="43">
        <f t="shared" si="31"/>
        <v>-7</v>
      </c>
      <c r="AB49" s="43">
        <f t="shared" si="31"/>
        <v>-17</v>
      </c>
      <c r="AC49" s="43">
        <f t="shared" si="31"/>
        <v>-24</v>
      </c>
      <c r="AD49" s="43">
        <f t="shared" si="31"/>
        <v>-29</v>
      </c>
      <c r="AE49" s="43">
        <f t="shared" si="31"/>
        <v>-24</v>
      </c>
      <c r="AG49" s="73"/>
      <c r="AH49" s="73"/>
      <c r="AI49" s="73"/>
      <c r="AJ49" s="73"/>
      <c r="AK49" s="73"/>
      <c r="AL49" s="73"/>
      <c r="AM49" s="73"/>
      <c r="AN49" s="73"/>
    </row>
    <row r="51" spans="3:43" x14ac:dyDescent="0.15">
      <c r="U51" s="10" t="s">
        <v>29</v>
      </c>
      <c r="V51" s="21">
        <v>8.6999999999999993</v>
      </c>
      <c r="W51" s="971">
        <f>ABS($W$9-V51)</f>
        <v>4.8267728329852098</v>
      </c>
      <c r="X51" s="1471">
        <v>9</v>
      </c>
      <c r="Y51" s="1475">
        <v>8</v>
      </c>
      <c r="Z51" s="1475">
        <v>5</v>
      </c>
      <c r="AA51" s="1475">
        <v>-4</v>
      </c>
      <c r="AB51" s="1475">
        <v>-9</v>
      </c>
      <c r="AC51" s="1475">
        <v>-12</v>
      </c>
      <c r="AD51" s="1475">
        <v>-17</v>
      </c>
      <c r="AE51" s="1472">
        <v>-25</v>
      </c>
      <c r="AF51" s="39" t="s">
        <v>43</v>
      </c>
      <c r="AG51" s="53">
        <f>$W$6+X55</f>
        <v>68.390620981661087</v>
      </c>
      <c r="AH51" s="53">
        <f t="shared" ref="AH51:AN51" si="32">$W$6+Y55</f>
        <v>62.390620981661087</v>
      </c>
      <c r="AI51" s="53">
        <f t="shared" si="32"/>
        <v>57.390620981661087</v>
      </c>
      <c r="AJ51" s="53">
        <f t="shared" si="32"/>
        <v>50.390620981661087</v>
      </c>
      <c r="AK51" s="53">
        <f t="shared" si="32"/>
        <v>48.390620981661087</v>
      </c>
      <c r="AL51" s="53">
        <f t="shared" si="32"/>
        <v>42.390620981661087</v>
      </c>
      <c r="AM51" s="53">
        <f t="shared" si="32"/>
        <v>33.390620981661087</v>
      </c>
      <c r="AN51" s="53">
        <f t="shared" si="32"/>
        <v>20.390620981661087</v>
      </c>
      <c r="AO51" s="5">
        <f t="array" ref="AO51">10*LOG10(SUM(10^(AG51:AN51/10)))</f>
        <v>69.723820035769251</v>
      </c>
      <c r="AP51" s="5">
        <f t="array" ref="AP51">10*LOG10(SUM(10^((AG51:AN51+AG53:AN53)/10)))</f>
        <v>54.501165846751348</v>
      </c>
      <c r="AQ51" t="str">
        <f>IF(ABS(W6-AP51)&lt;0.5,"OK","Tarkista laskenta!")</f>
        <v>OK</v>
      </c>
    </row>
    <row r="52" spans="3:43" x14ac:dyDescent="0.15">
      <c r="U52" s="12"/>
      <c r="V52" s="24">
        <v>7</v>
      </c>
      <c r="W52" s="42">
        <f t="shared" ref="W52:W54" si="33">ABS($W$9-V52)</f>
        <v>3.1267728329852105</v>
      </c>
      <c r="X52" s="1469">
        <v>10</v>
      </c>
      <c r="Y52" s="843">
        <v>8</v>
      </c>
      <c r="Z52" s="843">
        <v>4</v>
      </c>
      <c r="AA52" s="843">
        <v>-4</v>
      </c>
      <c r="AB52" s="843">
        <v>-8</v>
      </c>
      <c r="AC52" s="843">
        <v>-11</v>
      </c>
      <c r="AD52" s="843">
        <v>-17</v>
      </c>
      <c r="AE52" s="1474">
        <v>-27</v>
      </c>
    </row>
    <row r="53" spans="3:43" x14ac:dyDescent="0.15">
      <c r="U53" s="12"/>
      <c r="V53" s="24">
        <v>6</v>
      </c>
      <c r="W53" s="42">
        <f t="shared" si="33"/>
        <v>2.1267728329852105</v>
      </c>
      <c r="X53" s="1469">
        <v>11</v>
      </c>
      <c r="Y53" s="843">
        <v>8</v>
      </c>
      <c r="Z53" s="843">
        <v>4</v>
      </c>
      <c r="AA53" s="843">
        <v>-4</v>
      </c>
      <c r="AB53" s="843">
        <v>-8</v>
      </c>
      <c r="AC53" s="843">
        <v>-11</v>
      </c>
      <c r="AD53" s="843">
        <v>-18</v>
      </c>
      <c r="AE53" s="1474">
        <v>-29</v>
      </c>
      <c r="AG53" s="73">
        <v>-26.2</v>
      </c>
      <c r="AH53" s="73">
        <v>-16.100000000000001</v>
      </c>
      <c r="AI53" s="73">
        <v>-8.6</v>
      </c>
      <c r="AJ53" s="73">
        <v>-3.2</v>
      </c>
      <c r="AK53" s="73">
        <v>0</v>
      </c>
      <c r="AL53" s="73">
        <v>1.2</v>
      </c>
      <c r="AM53" s="73">
        <v>1</v>
      </c>
      <c r="AN53" s="73">
        <v>-1.1000000000000001</v>
      </c>
    </row>
    <row r="54" spans="3:43" x14ac:dyDescent="0.15">
      <c r="U54" s="14"/>
      <c r="V54" s="26">
        <v>4</v>
      </c>
      <c r="W54" s="972">
        <f t="shared" si="33"/>
        <v>0.12677283298521047</v>
      </c>
      <c r="X54" s="1470">
        <v>14</v>
      </c>
      <c r="Y54" s="844">
        <v>8</v>
      </c>
      <c r="Z54" s="844">
        <v>3</v>
      </c>
      <c r="AA54" s="844">
        <v>-4</v>
      </c>
      <c r="AB54" s="844">
        <v>-6</v>
      </c>
      <c r="AC54" s="844">
        <v>-12</v>
      </c>
      <c r="AD54" s="844">
        <v>-21</v>
      </c>
      <c r="AE54" s="1473">
        <v>-34</v>
      </c>
    </row>
    <row r="55" spans="3:43" x14ac:dyDescent="0.15">
      <c r="V55" s="297" t="s">
        <v>2694</v>
      </c>
      <c r="W55" s="609">
        <f>SMALL(W51:W54,1)</f>
        <v>0.12677283298521047</v>
      </c>
      <c r="X55" s="43">
        <f>INDEX(X51:X54,MATCH($W$49,$W$45:$W$48,0))</f>
        <v>14</v>
      </c>
      <c r="Y55" s="43">
        <f t="shared" ref="Y55:AE55" si="34">INDEX(Y51:Y54,MATCH($W$49,$W$45:$W$48,0))</f>
        <v>8</v>
      </c>
      <c r="Z55" s="43">
        <f t="shared" si="34"/>
        <v>3</v>
      </c>
      <c r="AA55" s="43">
        <f t="shared" si="34"/>
        <v>-4</v>
      </c>
      <c r="AB55" s="43">
        <f t="shared" si="34"/>
        <v>-6</v>
      </c>
      <c r="AC55" s="43">
        <f t="shared" si="34"/>
        <v>-12</v>
      </c>
      <c r="AD55" s="43">
        <f t="shared" si="34"/>
        <v>-21</v>
      </c>
      <c r="AE55" s="628">
        <f t="shared" si="34"/>
        <v>-34</v>
      </c>
    </row>
    <row r="56" spans="3:43" x14ac:dyDescent="0.15">
      <c r="C56" s="2" t="s">
        <v>45</v>
      </c>
    </row>
    <row r="57" spans="3:43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</row>
    <row r="58" spans="3:43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595</v>
      </c>
      <c r="T58" s="24"/>
      <c r="W58" s="241" t="s">
        <v>2689</v>
      </c>
      <c r="AC58" t="s">
        <v>50</v>
      </c>
    </row>
    <row r="59" spans="3:43" x14ac:dyDescent="0.15">
      <c r="C59" s="10" t="s">
        <v>3</v>
      </c>
      <c r="D59" s="67">
        <v>92.208864266379081</v>
      </c>
      <c r="E59" s="68">
        <v>61.274171526017128</v>
      </c>
      <c r="F59" s="69">
        <v>116.06864537051536</v>
      </c>
      <c r="H59" t="s">
        <v>4</v>
      </c>
      <c r="I59" t="s">
        <v>5</v>
      </c>
      <c r="K59" s="24"/>
      <c r="M59" s="10" t="s">
        <v>3</v>
      </c>
      <c r="N59" s="67">
        <v>92.51719528747023</v>
      </c>
      <c r="O59" s="68">
        <v>76.524353896278924</v>
      </c>
      <c r="P59" s="69">
        <v>116.3395231419871</v>
      </c>
      <c r="R59" t="s">
        <v>4</v>
      </c>
      <c r="S59" t="s">
        <v>5</v>
      </c>
      <c r="T59" s="24" t="s">
        <v>6</v>
      </c>
      <c r="X59" s="4" t="s">
        <v>4</v>
      </c>
      <c r="Y59" s="4" t="s">
        <v>5</v>
      </c>
      <c r="Z59" s="4" t="s">
        <v>6</v>
      </c>
      <c r="AD59" s="4" t="s">
        <v>4</v>
      </c>
      <c r="AE59" s="4" t="s">
        <v>5</v>
      </c>
      <c r="AF59" s="4" t="s">
        <v>6</v>
      </c>
    </row>
    <row r="60" spans="3:43" x14ac:dyDescent="0.15">
      <c r="C60" s="12"/>
      <c r="D60" s="67">
        <v>85.914487240323069</v>
      </c>
      <c r="E60" s="68">
        <v>59.788162984136761</v>
      </c>
      <c r="F60" s="69">
        <v>115.82482921757091</v>
      </c>
      <c r="H60" s="2">
        <f t="array" ref="H60:J60">LINEST(E59:E62,D59:D62^{1,2})</f>
        <v>7.1273571964278826E-3</v>
      </c>
      <c r="I60" s="2">
        <v>-1.1068700435635448</v>
      </c>
      <c r="J60" s="2">
        <v>102.60002545087293</v>
      </c>
      <c r="K60" s="24"/>
      <c r="M60" s="12"/>
      <c r="N60" s="67">
        <v>85.971656356331508</v>
      </c>
      <c r="O60" s="68">
        <v>76.22994011572807</v>
      </c>
      <c r="P60" s="69">
        <v>115.95164875873581</v>
      </c>
      <c r="R60" s="2">
        <f t="array" ref="R60:T60">LINEST(O59:O62,N59:N62^{1,2})</f>
        <v>2.6825924975853875E-3</v>
      </c>
      <c r="S60" s="2">
        <v>-0.43053076701212845</v>
      </c>
      <c r="T60" s="27">
        <v>93.400750520142253</v>
      </c>
      <c r="W60" s="2">
        <v>10</v>
      </c>
      <c r="X60" s="7">
        <f t="array" ref="X60:Z60">LINEST(I85:I95,C85:C95^{1,2})</f>
        <v>-0.10916440188473163</v>
      </c>
      <c r="Y60" s="7">
        <v>5.3534931217486985</v>
      </c>
      <c r="Z60" s="7">
        <v>507.49487523908067</v>
      </c>
      <c r="AC60" t="s">
        <v>3</v>
      </c>
      <c r="AD60" s="54">
        <f t="array" ref="AD60:AF60">LINEST(K85:K99,C85:C99^{1,2})</f>
        <v>-7.6626451157294816E-3</v>
      </c>
      <c r="AE60" s="54">
        <v>1.4111801644464099</v>
      </c>
      <c r="AF60" s="54">
        <v>51.50928884949581</v>
      </c>
    </row>
    <row r="61" spans="3:43" ht="13.5" customHeight="1" x14ac:dyDescent="0.15">
      <c r="C61" s="12"/>
      <c r="D61" s="67">
        <v>77.649489374205316</v>
      </c>
      <c r="E61" s="68">
        <v>59.882295324484154</v>
      </c>
      <c r="F61" s="69">
        <v>114.74776496422585</v>
      </c>
      <c r="K61" s="24"/>
      <c r="M61" s="12"/>
      <c r="N61" s="67">
        <v>77.456897830128071</v>
      </c>
      <c r="O61" s="68">
        <v>76.135253010845418</v>
      </c>
      <c r="P61" s="69">
        <v>115.16419571022183</v>
      </c>
      <c r="T61" s="24"/>
      <c r="W61" s="2">
        <v>8</v>
      </c>
      <c r="X61" s="7">
        <f t="array" ref="X61:Z61">LINEST(I103:I112,C103:C112^{1,2})</f>
        <v>-6.4539960787553668E-2</v>
      </c>
      <c r="Y61" s="7">
        <v>2.7688310603130377</v>
      </c>
      <c r="Z61" s="7">
        <v>352.2431801977703</v>
      </c>
      <c r="AC61" t="s">
        <v>408</v>
      </c>
      <c r="AD61" s="54">
        <f t="array" ref="AD61:AF61">LINEST(K103:K112,C103:C112^{1,2})</f>
        <v>2.3800938989367204E-3</v>
      </c>
      <c r="AE61" s="54">
        <v>0.64879836181014949</v>
      </c>
      <c r="AF61" s="54">
        <v>32.927218363008024</v>
      </c>
    </row>
    <row r="62" spans="3:43" x14ac:dyDescent="0.15">
      <c r="C62" s="14"/>
      <c r="D62" s="67">
        <v>67.619832438075576</v>
      </c>
      <c r="E62" s="68">
        <v>60.274559745133089</v>
      </c>
      <c r="F62" s="69">
        <v>112.43284332409051</v>
      </c>
      <c r="K62" s="24"/>
      <c r="M62" s="14"/>
      <c r="N62" s="67">
        <v>67.542919873403633</v>
      </c>
      <c r="O62" s="68">
        <v>76.562989638955656</v>
      </c>
      <c r="P62" s="69">
        <v>112.37575854673311</v>
      </c>
      <c r="T62" s="24"/>
      <c r="W62" s="2">
        <v>7</v>
      </c>
      <c r="X62" s="7">
        <f t="array" ref="X62:Z62">LINEST(I116:I122,C116:C122^{1,2})</f>
        <v>-5.3028701208818363E-2</v>
      </c>
      <c r="Y62" s="7">
        <v>0.84444369005807562</v>
      </c>
      <c r="Z62" s="7">
        <v>313.55642668614803</v>
      </c>
      <c r="AC62" t="s">
        <v>2673</v>
      </c>
      <c r="AD62" s="54">
        <f t="array" ref="AD62:AF62">LINEST(K116:K127,C116:C127^{1,2})</f>
        <v>2.562595324554961E-3</v>
      </c>
      <c r="AE62" s="54">
        <v>0.44127211423494056</v>
      </c>
      <c r="AF62" s="54">
        <v>25.314346992775903</v>
      </c>
    </row>
    <row r="63" spans="3:43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2">
        <v>6</v>
      </c>
      <c r="X63" s="7">
        <f t="array" ref="X63:Z63">LINEST(I131:I139,C131:C139^{1,2})</f>
        <v>-6.1285968629719328E-2</v>
      </c>
      <c r="Y63" s="7">
        <v>1.6565868956636227</v>
      </c>
      <c r="Z63" s="7">
        <v>191.07506907008366</v>
      </c>
      <c r="AC63" t="s">
        <v>411</v>
      </c>
      <c r="AD63" s="54">
        <f t="array" ref="AD63:AF63">LINEST(K131:K143,C131:C143^{1,2})</f>
        <v>8.529294986566959E-4</v>
      </c>
      <c r="AE63" s="54">
        <v>0.42037965698634339</v>
      </c>
      <c r="AF63" s="54">
        <v>16.788759723964962</v>
      </c>
    </row>
    <row r="64" spans="3:43" x14ac:dyDescent="0.15">
      <c r="C64" s="10" t="s">
        <v>408</v>
      </c>
      <c r="D64" s="67">
        <v>78.090334198261289</v>
      </c>
      <c r="E64" s="68">
        <v>57.769543972600623</v>
      </c>
      <c r="F64" s="69">
        <v>75.054294109803209</v>
      </c>
      <c r="H64" t="s">
        <v>4</v>
      </c>
      <c r="I64" t="s">
        <v>5</v>
      </c>
      <c r="K64" s="24"/>
      <c r="M64" s="10" t="s">
        <v>2673</v>
      </c>
      <c r="N64" s="67">
        <v>78.126219403864539</v>
      </c>
      <c r="O64" s="68">
        <v>72.528763239506318</v>
      </c>
      <c r="P64" s="69">
        <v>75.549282385964176</v>
      </c>
      <c r="R64" t="s">
        <v>4</v>
      </c>
      <c r="S64" t="s">
        <v>5</v>
      </c>
      <c r="T64" s="24" t="s">
        <v>6</v>
      </c>
      <c r="W64" s="2">
        <v>5</v>
      </c>
      <c r="X64" s="7">
        <f t="array" ref="X64:Z64">LINEST(I147:I154,C147:C154^{1,2})</f>
        <v>-6.7731205545045345E-2</v>
      </c>
      <c r="Y64" s="7">
        <v>1.4347928000013304</v>
      </c>
      <c r="Z64" s="7">
        <v>134.53921076883989</v>
      </c>
      <c r="AC64" t="s">
        <v>10</v>
      </c>
      <c r="AD64" s="54">
        <f t="array" ref="AD64:AF64">LINEST(K147:K154,C147:C154^{1,2})</f>
        <v>1.8164097765457584E-3</v>
      </c>
      <c r="AE64" s="54">
        <v>0.22382462546375081</v>
      </c>
      <c r="AF64" s="54">
        <v>12.582846483588684</v>
      </c>
    </row>
    <row r="65" spans="3:32" x14ac:dyDescent="0.15">
      <c r="C65" s="12"/>
      <c r="D65" s="67">
        <v>71.054290512587201</v>
      </c>
      <c r="E65" s="68">
        <v>56.656298830243443</v>
      </c>
      <c r="F65" s="69">
        <v>69.736716594120963</v>
      </c>
      <c r="H65" s="2">
        <f t="array" ref="H65:J65">LINEST(E64:E67,D64:D67^{1,2})</f>
        <v>1.8813316634331877E-3</v>
      </c>
      <c r="I65" s="2">
        <v>-0.14986198547740467</v>
      </c>
      <c r="J65" s="2">
        <v>57.942369174577045</v>
      </c>
      <c r="K65" s="24"/>
      <c r="M65" s="12"/>
      <c r="N65" s="67">
        <v>71.063022065508562</v>
      </c>
      <c r="O65" s="68">
        <v>71.92768072809983</v>
      </c>
      <c r="P65" s="69">
        <v>69.56896225196374</v>
      </c>
      <c r="R65" s="2">
        <f t="array" ref="R65:T65">LINEST(O64:O67,N64:N67^{1,2})</f>
        <v>1.0571859392559944E-3</v>
      </c>
      <c r="S65" s="2">
        <v>-6.3787609806084625E-2</v>
      </c>
      <c r="T65" s="27">
        <v>71.078290055782887</v>
      </c>
      <c r="W65" s="2">
        <v>4</v>
      </c>
      <c r="X65" s="7">
        <f t="array" ref="X65:Z65">LINEST(I158:I164,C158:C164^{1,2})</f>
        <v>-6.9130897537859337E-2</v>
      </c>
      <c r="Y65" s="7">
        <v>0.96645597547783735</v>
      </c>
      <c r="Z65" s="7">
        <v>82.023331075092301</v>
      </c>
      <c r="AC65" t="s">
        <v>409</v>
      </c>
      <c r="AD65" s="54">
        <f t="array" ref="AD65:AF65">LINEST(K158:K168,C158:C168^{1,2})</f>
        <v>1.0897479172623811E-3</v>
      </c>
      <c r="AE65" s="54">
        <v>0.1621517542037145</v>
      </c>
      <c r="AF65" s="54">
        <v>8.3803848742876852</v>
      </c>
    </row>
    <row r="66" spans="3:32" x14ac:dyDescent="0.15">
      <c r="C66" s="12"/>
      <c r="D66" s="67">
        <v>61.630342534175419</v>
      </c>
      <c r="E66" s="68">
        <v>55.9635967131656</v>
      </c>
      <c r="F66" s="69">
        <v>63.046532555251112</v>
      </c>
      <c r="K66" s="24"/>
      <c r="M66" s="12"/>
      <c r="N66" s="67">
        <v>61.257710681232382</v>
      </c>
      <c r="O66" s="68">
        <v>71.102572149844761</v>
      </c>
      <c r="P66" s="69">
        <v>62.654615389940865</v>
      </c>
      <c r="T66" s="24"/>
      <c r="W66" s="2">
        <v>3</v>
      </c>
      <c r="X66" s="7">
        <f t="array" ref="X66:Z66">LINEST(I172:I175,C172:C175^{1,2})</f>
        <v>-7.6340261230434928E-2</v>
      </c>
      <c r="Y66" s="7">
        <v>0.60529202479789601</v>
      </c>
      <c r="Z66" s="7">
        <v>43.739868801653714</v>
      </c>
      <c r="AC66" t="s">
        <v>12</v>
      </c>
      <c r="AD66" s="54">
        <f t="array" ref="AD66:AF66">LINEST(K172:K175,C172:C175^{1,2})</f>
        <v>1.5235151508891597E-3</v>
      </c>
      <c r="AE66" s="54">
        <v>6.4740329835494811E-2</v>
      </c>
      <c r="AF66" s="54">
        <v>5.8894073926114645</v>
      </c>
    </row>
    <row r="67" spans="3:32" x14ac:dyDescent="0.15">
      <c r="C67" s="14"/>
      <c r="D67" s="67">
        <v>51.341596907423138</v>
      </c>
      <c r="E67" s="68">
        <v>55.174554357451846</v>
      </c>
      <c r="F67" s="69">
        <v>55.022883509587118</v>
      </c>
      <c r="K67" s="24"/>
      <c r="M67" s="14"/>
      <c r="N67" s="67">
        <v>50.779180423158394</v>
      </c>
      <c r="O67" s="68">
        <v>70.575723544336398</v>
      </c>
      <c r="P67" s="69">
        <v>54.698784338712194</v>
      </c>
      <c r="T67" s="24"/>
      <c r="W67" s="2">
        <v>2</v>
      </c>
      <c r="X67" s="7">
        <f t="array" ref="X67:Z67">LINEST(I179:I181,C179:C181^{1,2})</f>
        <v>2.7027085341929252E-2</v>
      </c>
      <c r="Y67" s="7">
        <v>-2.1430857709414624</v>
      </c>
      <c r="Z67" s="7">
        <v>25.955698695837849</v>
      </c>
      <c r="AC67" t="s">
        <v>410</v>
      </c>
      <c r="AD67" s="54">
        <f t="array" ref="AD67:AF67">LINEST(K179:K181,C179:C181^{1,2})</f>
        <v>4.5541199394891025E-3</v>
      </c>
      <c r="AE67" s="54">
        <v>-4.1759694112440279E-2</v>
      </c>
      <c r="AF67" s="54">
        <v>4.4878764617814868</v>
      </c>
    </row>
    <row r="68" spans="3:32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</row>
    <row r="69" spans="3:32" x14ac:dyDescent="0.15">
      <c r="C69" s="10" t="s">
        <v>411</v>
      </c>
      <c r="D69" s="67">
        <v>66.525256503016237</v>
      </c>
      <c r="E69" s="68">
        <v>54.283952713595298</v>
      </c>
      <c r="F69" s="69">
        <v>48.717494562927861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66.07437797183222</v>
      </c>
      <c r="O69" s="68">
        <v>68.675735253102147</v>
      </c>
      <c r="P69" s="69">
        <v>48.247425296229011</v>
      </c>
      <c r="R69" t="s">
        <v>4</v>
      </c>
      <c r="S69" t="s">
        <v>5</v>
      </c>
      <c r="T69" s="24" t="s">
        <v>6</v>
      </c>
    </row>
    <row r="70" spans="3:32" x14ac:dyDescent="0.15">
      <c r="C70" s="12"/>
      <c r="D70" s="67">
        <v>60.751202111356157</v>
      </c>
      <c r="E70" s="68">
        <v>52.935194980770433</v>
      </c>
      <c r="F70" s="69">
        <v>44.787935209291774</v>
      </c>
      <c r="H70" s="2">
        <f t="array" ref="H70:J70">LINEST(E69:E72,D69:D72^{1,2})</f>
        <v>3.9895746493358109E-3</v>
      </c>
      <c r="I70" s="2">
        <v>-0.33048028651934802</v>
      </c>
      <c r="J70" s="2">
        <v>58.506664537593267</v>
      </c>
      <c r="K70" s="24"/>
      <c r="M70" s="12"/>
      <c r="N70" s="67">
        <v>60.736620463698408</v>
      </c>
      <c r="O70" s="68">
        <v>68.000333869387376</v>
      </c>
      <c r="P70" s="69">
        <v>44.909569634425793</v>
      </c>
      <c r="R70" s="2">
        <f t="array" ref="R70:T70">LINEST(O69:O72,N69:N72^{1,2})</f>
        <v>1.6434783386266036E-3</v>
      </c>
      <c r="S70" s="2">
        <v>-0.1072150737864811</v>
      </c>
      <c r="T70" s="27">
        <v>68.538373982904503</v>
      </c>
    </row>
    <row r="71" spans="3:32" x14ac:dyDescent="0.15">
      <c r="C71" s="12"/>
      <c r="D71" s="67">
        <v>51.521768300431745</v>
      </c>
      <c r="E71" s="68">
        <v>52.216580385357283</v>
      </c>
      <c r="F71" s="69">
        <v>40.700617324817784</v>
      </c>
      <c r="K71" s="24"/>
      <c r="M71" s="12"/>
      <c r="N71" s="67">
        <v>51.023413859620192</v>
      </c>
      <c r="O71" s="68">
        <v>67.401713029957151</v>
      </c>
      <c r="P71" s="69">
        <v>40.435122809199662</v>
      </c>
      <c r="T71" s="24"/>
    </row>
    <row r="72" spans="3:32" x14ac:dyDescent="0.15">
      <c r="C72" s="14"/>
      <c r="D72" s="67">
        <v>39.062391135313241</v>
      </c>
      <c r="E72" s="68">
        <v>51.650818664504186</v>
      </c>
      <c r="F72" s="69">
        <v>36.504062912189255</v>
      </c>
      <c r="K72" s="24"/>
      <c r="M72" s="14"/>
      <c r="N72" s="67">
        <v>38.107442768055868</v>
      </c>
      <c r="O72" s="68">
        <v>66.826551042557327</v>
      </c>
      <c r="P72" s="69">
        <v>35.936627601992882</v>
      </c>
      <c r="T72" s="24"/>
    </row>
    <row r="73" spans="3:32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</row>
    <row r="74" spans="3:32" x14ac:dyDescent="0.15">
      <c r="C74" s="10" t="s">
        <v>409</v>
      </c>
      <c r="D74" s="67">
        <v>39.233197570699382</v>
      </c>
      <c r="E74" s="68">
        <v>44.627027031629972</v>
      </c>
      <c r="F74" s="69">
        <v>16.655258084596007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39.475997985609681</v>
      </c>
      <c r="O74" s="68">
        <v>58.140517289590825</v>
      </c>
      <c r="P74" s="69">
        <v>16.597364474282625</v>
      </c>
      <c r="R74" t="s">
        <v>4</v>
      </c>
      <c r="S74" t="s">
        <v>5</v>
      </c>
      <c r="T74" s="24" t="s">
        <v>6</v>
      </c>
    </row>
    <row r="75" spans="3:32" ht="15.75" customHeight="1" x14ac:dyDescent="0.15">
      <c r="C75" s="12"/>
      <c r="D75" s="67">
        <v>36.387864836203569</v>
      </c>
      <c r="E75" s="68">
        <v>42.897867194101742</v>
      </c>
      <c r="F75" s="69">
        <v>15.729708755207172</v>
      </c>
      <c r="H75" s="2">
        <f t="array" ref="H75:J75">LINEST(E74:E77,D74:D77^{1,2})</f>
        <v>1.5178622725179745E-2</v>
      </c>
      <c r="I75" s="2">
        <v>-0.78208553538700143</v>
      </c>
      <c r="J75" s="2">
        <v>51.716698641994867</v>
      </c>
      <c r="K75" s="24"/>
      <c r="M75" s="12"/>
      <c r="N75" s="67">
        <v>36.528782330877029</v>
      </c>
      <c r="O75" s="68">
        <v>57.780773039492558</v>
      </c>
      <c r="P75" s="69">
        <v>15.735562266904543</v>
      </c>
      <c r="R75" s="2">
        <f t="array" ref="R75:T75">LINEST(O74:O77,N74:N77^{1,2})</f>
        <v>1.5744170476084823E-3</v>
      </c>
      <c r="S75" s="2">
        <v>-1.3340668198616549E-2</v>
      </c>
      <c r="T75" s="27">
        <v>56.197832145565791</v>
      </c>
    </row>
    <row r="76" spans="3:32" x14ac:dyDescent="0.15">
      <c r="C76" s="12"/>
      <c r="D76" s="67">
        <v>31.665338481542531</v>
      </c>
      <c r="E76" s="68">
        <v>42.457779304360287</v>
      </c>
      <c r="F76" s="69">
        <v>14.729173962607398</v>
      </c>
      <c r="K76" s="24"/>
      <c r="M76" s="12"/>
      <c r="N76" s="67">
        <v>31.337857744647224</v>
      </c>
      <c r="O76" s="68">
        <v>57.344675138755122</v>
      </c>
      <c r="P76" s="69">
        <v>14.645314177297895</v>
      </c>
      <c r="T76" s="24"/>
    </row>
    <row r="77" spans="3:32" x14ac:dyDescent="0.15">
      <c r="C77" s="14"/>
      <c r="D77" s="67">
        <v>24.552841058481452</v>
      </c>
      <c r="E77" s="68">
        <v>41.605638643581962</v>
      </c>
      <c r="F77" s="69">
        <v>13.519299549304087</v>
      </c>
      <c r="G77" s="25"/>
      <c r="H77" s="25"/>
      <c r="I77" s="25"/>
      <c r="J77" s="25"/>
      <c r="K77" s="26"/>
      <c r="M77" s="14"/>
      <c r="N77" s="67">
        <v>23.843033292862099</v>
      </c>
      <c r="O77" s="68">
        <v>56.770799616907006</v>
      </c>
      <c r="P77" s="69">
        <v>13.394503822480059</v>
      </c>
      <c r="Q77" s="25"/>
      <c r="R77" s="25"/>
      <c r="S77" s="25"/>
      <c r="T77" s="26"/>
    </row>
    <row r="79" spans="3:32" x14ac:dyDescent="0.15">
      <c r="F79" s="5"/>
    </row>
    <row r="81" spans="2:13" x14ac:dyDescent="0.15">
      <c r="F81" s="5"/>
    </row>
    <row r="82" spans="2:13" x14ac:dyDescent="0.15">
      <c r="C82" s="2" t="s">
        <v>2690</v>
      </c>
    </row>
    <row r="83" spans="2:13" ht="13.5" customHeight="1" x14ac:dyDescent="0.15">
      <c r="C83" s="1826" t="s">
        <v>3</v>
      </c>
      <c r="D83" s="1826"/>
      <c r="E83" s="1826"/>
      <c r="F83" s="1826"/>
      <c r="G83" s="1826"/>
      <c r="H83" s="1826"/>
      <c r="I83" s="1826"/>
      <c r="J83" s="1826"/>
      <c r="K83" s="1826"/>
      <c r="L83" s="1826"/>
      <c r="M83" s="1826"/>
    </row>
    <row r="84" spans="2:13" ht="42" x14ac:dyDescent="0.15">
      <c r="C84" s="1435" t="s">
        <v>2678</v>
      </c>
      <c r="D84" s="1435" t="s">
        <v>2679</v>
      </c>
      <c r="E84" s="1435" t="s">
        <v>2680</v>
      </c>
      <c r="F84" s="1435" t="s">
        <v>2681</v>
      </c>
      <c r="G84" s="1435" t="s">
        <v>2682</v>
      </c>
      <c r="H84" s="1435" t="s">
        <v>2683</v>
      </c>
      <c r="I84" s="1435" t="s">
        <v>2686</v>
      </c>
      <c r="J84" s="1435" t="s">
        <v>2684</v>
      </c>
      <c r="K84" s="1435" t="s">
        <v>2685</v>
      </c>
      <c r="L84" s="1435" t="s">
        <v>2687</v>
      </c>
      <c r="M84" s="1435" t="s">
        <v>2688</v>
      </c>
    </row>
    <row r="85" spans="2:13" x14ac:dyDescent="0.15">
      <c r="C85" s="67">
        <v>21.555491314587435</v>
      </c>
      <c r="D85" s="67">
        <v>1.7564994526673958</v>
      </c>
      <c r="E85" s="67">
        <v>1.7564994526673958</v>
      </c>
      <c r="F85" s="67">
        <v>579.71731918982539</v>
      </c>
      <c r="G85" s="67">
        <v>-284.1355782552061</v>
      </c>
      <c r="H85" s="67">
        <v>295.60300203466193</v>
      </c>
      <c r="I85" s="67">
        <v>579.73858028986797</v>
      </c>
      <c r="J85" s="67">
        <v>577.88740609353545</v>
      </c>
      <c r="K85" s="67">
        <v>79.833228063191797</v>
      </c>
      <c r="L85" s="67">
        <v>3613.3333333333335</v>
      </c>
      <c r="M85" s="67">
        <v>3.7036144014572083</v>
      </c>
    </row>
    <row r="86" spans="2:13" x14ac:dyDescent="0.15">
      <c r="C86" s="67">
        <v>30.777305569227099</v>
      </c>
      <c r="D86" s="67">
        <v>2.507960481992813</v>
      </c>
      <c r="E86" s="67">
        <v>2.507960481992813</v>
      </c>
      <c r="F86" s="67">
        <v>551.77669869104318</v>
      </c>
      <c r="G86" s="67">
        <v>-304.66036288589032</v>
      </c>
      <c r="H86" s="67">
        <v>246.82655418289124</v>
      </c>
      <c r="I86" s="67">
        <v>551.48691706878162</v>
      </c>
      <c r="J86" s="67">
        <v>547.71299760123907</v>
      </c>
      <c r="K86" s="67">
        <v>85.508359439021973</v>
      </c>
      <c r="L86" s="67">
        <v>3606.6666666666665</v>
      </c>
      <c r="M86" s="67">
        <v>2.7782925716706695</v>
      </c>
    </row>
    <row r="87" spans="2:13" x14ac:dyDescent="0.15">
      <c r="C87" s="67">
        <v>56.188237201733436</v>
      </c>
      <c r="D87" s="67">
        <v>4.578629475469211</v>
      </c>
      <c r="E87" s="67">
        <v>4.578629475469211</v>
      </c>
      <c r="F87" s="67">
        <v>482.60936900790847</v>
      </c>
      <c r="G87" s="67">
        <v>-228.94410329162565</v>
      </c>
      <c r="H87" s="67">
        <v>253.64998985568312</v>
      </c>
      <c r="I87" s="67">
        <v>482.59409314730874</v>
      </c>
      <c r="J87" s="67">
        <v>470.01578442312746</v>
      </c>
      <c r="K87" s="67">
        <v>106.70803150841374</v>
      </c>
      <c r="L87" s="67">
        <v>3480</v>
      </c>
      <c r="M87" s="67">
        <v>1.8991169116998343</v>
      </c>
    </row>
    <row r="88" spans="2:13" x14ac:dyDescent="0.15">
      <c r="C88" s="67">
        <v>62.160267773358939</v>
      </c>
      <c r="D88" s="67">
        <v>5.0652743065835102</v>
      </c>
      <c r="E88" s="67">
        <v>5.0652743065835102</v>
      </c>
      <c r="F88" s="67">
        <v>424.83163169557071</v>
      </c>
      <c r="G88" s="67">
        <v>-209.84030823818532</v>
      </c>
      <c r="H88" s="67">
        <v>214.89672237061768</v>
      </c>
      <c r="I88" s="67">
        <v>424.73703060880302</v>
      </c>
      <c r="J88" s="67">
        <v>409.34282832824198</v>
      </c>
      <c r="K88" s="67">
        <v>109.77884220048772</v>
      </c>
      <c r="L88" s="67">
        <v>3400</v>
      </c>
      <c r="M88" s="67">
        <v>1.7660612821159285</v>
      </c>
    </row>
    <row r="89" spans="2:13" x14ac:dyDescent="0.15">
      <c r="C89" s="67">
        <v>68.571821229975711</v>
      </c>
      <c r="D89" s="67">
        <v>5.587734684448975</v>
      </c>
      <c r="E89" s="67">
        <v>5.587734684448975</v>
      </c>
      <c r="F89" s="67">
        <v>362.42613889122612</v>
      </c>
      <c r="G89" s="67">
        <v>-165.48287174778329</v>
      </c>
      <c r="H89" s="67">
        <v>196.91613622115955</v>
      </c>
      <c r="I89" s="67">
        <v>362.39900796894284</v>
      </c>
      <c r="J89" s="67">
        <v>343.66534062666636</v>
      </c>
      <c r="K89" s="67">
        <v>112.69302133214126</v>
      </c>
      <c r="L89" s="67">
        <v>3333.3333333333335</v>
      </c>
      <c r="M89" s="67">
        <v>1.6434304836995968</v>
      </c>
    </row>
    <row r="90" spans="2:13" x14ac:dyDescent="0.15">
      <c r="C90" s="67">
        <v>74.128215204822709</v>
      </c>
      <c r="D90" s="67">
        <v>6.0405103986827928</v>
      </c>
      <c r="E90" s="67">
        <v>6.0405103986827928</v>
      </c>
      <c r="F90" s="67">
        <v>300.87893672195338</v>
      </c>
      <c r="G90" s="67">
        <v>-120.5526472631386</v>
      </c>
      <c r="H90" s="67">
        <v>180.35143841641377</v>
      </c>
      <c r="I90" s="67">
        <v>300.9040856795524</v>
      </c>
      <c r="J90" s="67">
        <v>279.01142615359544</v>
      </c>
      <c r="K90" s="67">
        <v>114.09709521245601</v>
      </c>
      <c r="L90" s="67">
        <v>3246.6666666666665</v>
      </c>
      <c r="M90" s="67">
        <v>1.539185786372919</v>
      </c>
    </row>
    <row r="91" spans="2:13" x14ac:dyDescent="0.15">
      <c r="C91" s="67">
        <v>78.595763873017845</v>
      </c>
      <c r="D91" s="67">
        <v>6.4045590151547893</v>
      </c>
      <c r="E91" s="67">
        <v>6.4045590151547893</v>
      </c>
      <c r="F91" s="67">
        <v>247.07814827652683</v>
      </c>
      <c r="G91" s="67">
        <v>-98.395786310650237</v>
      </c>
      <c r="H91" s="67">
        <v>148.67598027969424</v>
      </c>
      <c r="I91" s="67">
        <v>247.07176659034448</v>
      </c>
      <c r="J91" s="67">
        <v>222.4607408831842</v>
      </c>
      <c r="K91" s="67">
        <v>114.99991068548066</v>
      </c>
      <c r="L91" s="67">
        <v>3180</v>
      </c>
      <c r="M91" s="67">
        <v>1.4631820472064967</v>
      </c>
    </row>
    <row r="92" spans="2:13" x14ac:dyDescent="0.15">
      <c r="C92" s="67">
        <v>83.229908738096086</v>
      </c>
      <c r="D92" s="67">
        <v>6.7821831110427269</v>
      </c>
      <c r="E92" s="67">
        <v>6.7821831110427269</v>
      </c>
      <c r="F92" s="67">
        <v>186.1593443500667</v>
      </c>
      <c r="G92" s="67">
        <v>-59.368261949831464</v>
      </c>
      <c r="H92" s="67">
        <v>126.80065682729668</v>
      </c>
      <c r="I92" s="67">
        <v>186.16891877712814</v>
      </c>
      <c r="J92" s="67">
        <v>158.57011412610021</v>
      </c>
      <c r="K92" s="67">
        <v>115.70038413934974</v>
      </c>
      <c r="L92" s="67">
        <v>3126.6666666666665</v>
      </c>
      <c r="M92" s="67">
        <v>1.3901298931304875</v>
      </c>
    </row>
    <row r="93" spans="2:13" ht="13.5" customHeight="1" x14ac:dyDescent="0.15">
      <c r="C93" s="67">
        <v>87.798014439928195</v>
      </c>
      <c r="D93" s="67">
        <v>7.154425851785307</v>
      </c>
      <c r="E93" s="67">
        <v>7.154425851785307</v>
      </c>
      <c r="F93" s="67">
        <v>127.61361844580544</v>
      </c>
      <c r="G93" s="67">
        <v>-31.024909433156186</v>
      </c>
      <c r="H93" s="67">
        <v>96.587647643653526</v>
      </c>
      <c r="I93" s="67">
        <v>127.61255707680971</v>
      </c>
      <c r="J93" s="67">
        <v>96.901071515593358</v>
      </c>
      <c r="K93" s="67">
        <v>116.00959767143212</v>
      </c>
      <c r="L93" s="67">
        <v>3060</v>
      </c>
      <c r="M93" s="67">
        <v>1.3213237043168717</v>
      </c>
    </row>
    <row r="94" spans="2:13" x14ac:dyDescent="0.15">
      <c r="C94" s="67">
        <v>92.354452179170124</v>
      </c>
      <c r="D94" s="67">
        <v>7.5257178013998036</v>
      </c>
      <c r="E94" s="67">
        <v>7.5257178013998036</v>
      </c>
      <c r="F94" s="67">
        <v>69.39312927178274</v>
      </c>
      <c r="G94" s="67">
        <v>-3.8094132411786177</v>
      </c>
      <c r="H94" s="67">
        <v>65.577910069101094</v>
      </c>
      <c r="I94" s="67">
        <v>69.387323310279712</v>
      </c>
      <c r="J94" s="67">
        <v>35.405466254496176</v>
      </c>
      <c r="K94" s="67">
        <v>116.17031625326662</v>
      </c>
      <c r="L94" s="67">
        <v>3013.3333333333335</v>
      </c>
      <c r="M94" s="67">
        <v>1.2578745638368694</v>
      </c>
    </row>
    <row r="95" spans="2:13" x14ac:dyDescent="0.15">
      <c r="C95" s="67">
        <v>97.314878666915007</v>
      </c>
      <c r="D95" s="67">
        <v>7.9299297158285089</v>
      </c>
      <c r="E95" s="67">
        <v>7.9299297158285089</v>
      </c>
      <c r="F95" s="67">
        <v>9.102086784935647</v>
      </c>
      <c r="G95" s="67">
        <v>36.335044984775358</v>
      </c>
      <c r="H95" s="67">
        <v>45.437131423139888</v>
      </c>
      <c r="I95" s="67">
        <v>9.1020864383645304</v>
      </c>
      <c r="J95" s="67">
        <v>-28.628184740423478</v>
      </c>
      <c r="K95" s="67">
        <v>116.65431448208044</v>
      </c>
      <c r="L95" s="67">
        <v>2946.6666666666665</v>
      </c>
      <c r="M95" s="67">
        <v>1.1987305135667854</v>
      </c>
    </row>
    <row r="96" spans="2:13" x14ac:dyDescent="0.15">
      <c r="B96" t="s">
        <v>2693</v>
      </c>
      <c r="C96" s="1468">
        <f>N59</f>
        <v>92.51719528747023</v>
      </c>
      <c r="D96" s="1467"/>
      <c r="E96" s="1467"/>
      <c r="F96" s="1467"/>
      <c r="G96" s="1467"/>
      <c r="H96" s="1467"/>
      <c r="I96" s="1467"/>
      <c r="J96" s="1467"/>
      <c r="K96" s="1468">
        <f>P59</f>
        <v>116.3395231419871</v>
      </c>
      <c r="L96" s="1467"/>
      <c r="M96" s="1467"/>
    </row>
    <row r="97" spans="3:13" x14ac:dyDescent="0.15">
      <c r="C97" s="1468">
        <f t="shared" ref="C97:C99" si="35">N60</f>
        <v>85.971656356331508</v>
      </c>
      <c r="D97" s="1467"/>
      <c r="E97" s="1467"/>
      <c r="F97" s="1467"/>
      <c r="G97" s="1467"/>
      <c r="H97" s="1467"/>
      <c r="I97" s="1467"/>
      <c r="J97" s="1467"/>
      <c r="K97" s="1468">
        <f t="shared" ref="K97:K99" si="36">P60</f>
        <v>115.95164875873581</v>
      </c>
      <c r="L97" s="1467"/>
      <c r="M97" s="1467"/>
    </row>
    <row r="98" spans="3:13" x14ac:dyDescent="0.15">
      <c r="C98" s="1468">
        <f t="shared" si="35"/>
        <v>77.456897830128071</v>
      </c>
      <c r="D98" s="1467"/>
      <c r="E98" s="1467"/>
      <c r="F98" s="1467"/>
      <c r="G98" s="1467"/>
      <c r="H98" s="1467"/>
      <c r="I98" s="1467"/>
      <c r="J98" s="1467"/>
      <c r="K98" s="1468">
        <f t="shared" si="36"/>
        <v>115.16419571022183</v>
      </c>
      <c r="L98" s="1467"/>
      <c r="M98" s="1467"/>
    </row>
    <row r="99" spans="3:13" x14ac:dyDescent="0.15">
      <c r="C99" s="1468">
        <f t="shared" si="35"/>
        <v>67.542919873403633</v>
      </c>
      <c r="D99" s="1467"/>
      <c r="E99" s="1467"/>
      <c r="F99" s="1467"/>
      <c r="G99" s="1467"/>
      <c r="H99" s="1467"/>
      <c r="I99" s="1467"/>
      <c r="J99" s="1467"/>
      <c r="K99" s="1468">
        <f t="shared" si="36"/>
        <v>112.37575854673311</v>
      </c>
      <c r="L99" s="1467"/>
      <c r="M99" s="1467"/>
    </row>
    <row r="101" spans="3:13" ht="14" x14ac:dyDescent="0.15">
      <c r="C101" s="1826" t="s">
        <v>408</v>
      </c>
      <c r="D101" s="1826"/>
      <c r="E101" s="1826"/>
      <c r="F101" s="1826"/>
      <c r="G101" s="1826"/>
      <c r="H101" s="1826"/>
      <c r="I101" s="1826"/>
      <c r="J101" s="1826"/>
      <c r="K101" s="1826"/>
      <c r="L101" s="1826"/>
      <c r="M101" s="1826"/>
    </row>
    <row r="102" spans="3:13" ht="42" x14ac:dyDescent="0.15">
      <c r="C102" s="1435" t="s">
        <v>2678</v>
      </c>
      <c r="D102" s="1435" t="s">
        <v>2679</v>
      </c>
      <c r="E102" s="1435" t="s">
        <v>2680</v>
      </c>
      <c r="F102" s="1435" t="s">
        <v>2681</v>
      </c>
      <c r="G102" s="1435" t="s">
        <v>2682</v>
      </c>
      <c r="H102" s="1435" t="s">
        <v>2683</v>
      </c>
      <c r="I102" s="1435" t="s">
        <v>2686</v>
      </c>
      <c r="J102" s="1435" t="s">
        <v>2684</v>
      </c>
      <c r="K102" s="1435" t="s">
        <v>2685</v>
      </c>
      <c r="L102" s="1435" t="s">
        <v>2687</v>
      </c>
      <c r="M102" s="1435" t="s">
        <v>2688</v>
      </c>
    </row>
    <row r="103" spans="3:13" x14ac:dyDescent="0.15">
      <c r="C103" s="67">
        <v>17.311290112813221</v>
      </c>
      <c r="D103" s="67">
        <v>1.4106508250890641</v>
      </c>
      <c r="E103" s="67">
        <v>1.4106508250890641</v>
      </c>
      <c r="F103" s="67">
        <v>392.7682241980425</v>
      </c>
      <c r="G103" s="67">
        <v>-179.55139279853321</v>
      </c>
      <c r="H103" s="67">
        <v>213.30184388051504</v>
      </c>
      <c r="I103" s="67">
        <v>392.85323667904822</v>
      </c>
      <c r="J103" s="67">
        <v>391.65927522885357</v>
      </c>
      <c r="K103" s="67">
        <v>46.318045923583355</v>
      </c>
      <c r="L103" s="67">
        <v>3000</v>
      </c>
      <c r="M103" s="67">
        <v>2.675597579483711</v>
      </c>
    </row>
    <row r="104" spans="3:13" x14ac:dyDescent="0.15">
      <c r="C104" s="67">
        <v>25.484394938404527</v>
      </c>
      <c r="D104" s="67">
        <v>2.0766553221904172</v>
      </c>
      <c r="E104" s="67">
        <v>2.0766553221904172</v>
      </c>
      <c r="F104" s="67">
        <v>363.99999992847569</v>
      </c>
      <c r="G104" s="67">
        <v>-171.79491833079055</v>
      </c>
      <c r="H104" s="67">
        <v>192.24181417274195</v>
      </c>
      <c r="I104" s="67">
        <v>364.03673250353251</v>
      </c>
      <c r="J104" s="67">
        <v>361.44923410722345</v>
      </c>
      <c r="K104" s="67">
        <v>49.537054466581459</v>
      </c>
      <c r="L104" s="67">
        <v>2980</v>
      </c>
      <c r="M104" s="67">
        <v>1.943819132701087</v>
      </c>
    </row>
    <row r="105" spans="3:13" x14ac:dyDescent="0.15">
      <c r="C105" s="67">
        <v>52.397968756254464</v>
      </c>
      <c r="D105" s="67">
        <v>4.2697706165926856</v>
      </c>
      <c r="E105" s="67">
        <v>4.2697706165926856</v>
      </c>
      <c r="F105" s="67">
        <v>325.64404081433213</v>
      </c>
      <c r="G105" s="67">
        <v>-147.3133656211055</v>
      </c>
      <c r="H105" s="67">
        <v>178.34616589456203</v>
      </c>
      <c r="I105" s="67">
        <v>325.65953151566754</v>
      </c>
      <c r="J105" s="67">
        <v>314.72096684467658</v>
      </c>
      <c r="K105" s="67">
        <v>72.442216508977879</v>
      </c>
      <c r="L105" s="67">
        <v>2966.6666666666665</v>
      </c>
      <c r="M105" s="67">
        <v>1.3825386408768152</v>
      </c>
    </row>
    <row r="106" spans="3:13" x14ac:dyDescent="0.15">
      <c r="C106" s="67">
        <v>60.273508524315986</v>
      </c>
      <c r="D106" s="67">
        <v>4.911527331397826</v>
      </c>
      <c r="E106" s="67">
        <v>4.911527331397826</v>
      </c>
      <c r="F106" s="67">
        <v>283.50593253245705</v>
      </c>
      <c r="G106" s="67">
        <v>-127.28518928881522</v>
      </c>
      <c r="H106" s="67">
        <v>156.21438759727366</v>
      </c>
      <c r="I106" s="67">
        <v>283.4995768860889</v>
      </c>
      <c r="J106" s="67">
        <v>269.02571644984818</v>
      </c>
      <c r="K106" s="67">
        <v>79.923247286743404</v>
      </c>
      <c r="L106" s="67">
        <v>2980</v>
      </c>
      <c r="M106" s="67">
        <v>1.3260095395724338</v>
      </c>
    </row>
    <row r="107" spans="3:13" x14ac:dyDescent="0.15">
      <c r="C107" s="67">
        <v>67.091944946704729</v>
      </c>
      <c r="D107" s="67">
        <v>5.4671435161176918</v>
      </c>
      <c r="E107" s="67">
        <v>5.4671435161176918</v>
      </c>
      <c r="F107" s="67">
        <v>246.57050591580449</v>
      </c>
      <c r="G107" s="67">
        <v>-112.17695430705804</v>
      </c>
      <c r="H107" s="67">
        <v>134.36210946553774</v>
      </c>
      <c r="I107" s="67">
        <v>246.5390637725958</v>
      </c>
      <c r="J107" s="67">
        <v>228.60526883709917</v>
      </c>
      <c r="K107" s="67">
        <v>87.914736075772325</v>
      </c>
      <c r="L107" s="67">
        <v>2973.3333333333335</v>
      </c>
      <c r="M107" s="67">
        <v>1.3103620135861083</v>
      </c>
    </row>
    <row r="108" spans="3:13" x14ac:dyDescent="0.15">
      <c r="C108" s="67">
        <v>74.202841470813595</v>
      </c>
      <c r="D108" s="67">
        <v>6.0465914939106664</v>
      </c>
      <c r="E108" s="67">
        <v>6.0465914939106664</v>
      </c>
      <c r="F108" s="67">
        <v>203.36950818320946</v>
      </c>
      <c r="G108" s="67">
        <v>-77.798476742615236</v>
      </c>
      <c r="H108" s="67">
        <v>125.5708535329095</v>
      </c>
      <c r="I108" s="67">
        <v>203.36933027552473</v>
      </c>
      <c r="J108" s="67">
        <v>181.43256905898505</v>
      </c>
      <c r="K108" s="67">
        <v>94.918318641988293</v>
      </c>
      <c r="L108" s="67">
        <v>2973.3333333333335</v>
      </c>
      <c r="M108" s="67">
        <v>1.279173637566464</v>
      </c>
    </row>
    <row r="109" spans="3:13" x14ac:dyDescent="0.15">
      <c r="C109" s="67">
        <v>79.524705173243134</v>
      </c>
      <c r="D109" s="67">
        <v>6.4802559622385996</v>
      </c>
      <c r="E109" s="67">
        <v>6.4802559622385996</v>
      </c>
      <c r="F109" s="67">
        <v>166.02884874894133</v>
      </c>
      <c r="G109" s="67">
        <v>-54.263530629160996</v>
      </c>
      <c r="H109" s="67">
        <v>111.76842722475138</v>
      </c>
      <c r="I109" s="67">
        <v>166.03195785391239</v>
      </c>
      <c r="J109" s="67">
        <v>140.83572745223503</v>
      </c>
      <c r="K109" s="67">
        <v>100.2589313610363</v>
      </c>
      <c r="L109" s="67">
        <v>2966.6666666666665</v>
      </c>
      <c r="M109" s="67">
        <v>1.2607268539081538</v>
      </c>
    </row>
    <row r="110" spans="3:13" x14ac:dyDescent="0.15">
      <c r="C110" s="67">
        <v>85.762973684653119</v>
      </c>
      <c r="D110" s="67">
        <v>6.9885958124404146</v>
      </c>
      <c r="E110" s="67">
        <v>6.9885958124404146</v>
      </c>
      <c r="F110" s="67">
        <v>116.76698538171294</v>
      </c>
      <c r="G110" s="67">
        <v>-25.753634077983524</v>
      </c>
      <c r="H110" s="67">
        <v>91.014630672212093</v>
      </c>
      <c r="I110" s="67">
        <v>116.76826475019561</v>
      </c>
      <c r="J110" s="67">
        <v>87.463981892399801</v>
      </c>
      <c r="K110" s="67">
        <v>106.86559330971659</v>
      </c>
      <c r="L110" s="67">
        <v>2973.3333333333335</v>
      </c>
      <c r="M110" s="67">
        <v>1.2460574618442792</v>
      </c>
    </row>
    <row r="111" spans="3:13" x14ac:dyDescent="0.15">
      <c r="C111" s="67">
        <v>91.476719889010795</v>
      </c>
      <c r="D111" s="67">
        <v>7.454193739862407</v>
      </c>
      <c r="E111" s="67">
        <v>7.454193739862407</v>
      </c>
      <c r="F111" s="67">
        <v>64.983161444227974</v>
      </c>
      <c r="G111" s="67">
        <v>6.7442151303384925</v>
      </c>
      <c r="H111" s="67">
        <v>71.729868686459085</v>
      </c>
      <c r="I111" s="67">
        <v>64.985653556120596</v>
      </c>
      <c r="J111" s="67">
        <v>31.646650969278262</v>
      </c>
      <c r="K111" s="67">
        <v>112.68238817630187</v>
      </c>
      <c r="L111" s="67">
        <v>2986.6666666666665</v>
      </c>
      <c r="M111" s="67">
        <v>1.2318149176426529</v>
      </c>
    </row>
    <row r="112" spans="3:13" ht="13.5" customHeight="1" x14ac:dyDescent="0.15">
      <c r="C112" s="67">
        <v>97.128922438489539</v>
      </c>
      <c r="D112" s="67">
        <v>7.9147766391167593</v>
      </c>
      <c r="E112" s="67">
        <v>7.9147766391167593</v>
      </c>
      <c r="F112" s="67">
        <v>9.6310113382601799</v>
      </c>
      <c r="G112" s="67">
        <v>35.633297487012641</v>
      </c>
      <c r="H112" s="67">
        <v>45.264302905473187</v>
      </c>
      <c r="I112" s="67">
        <v>9.6310054184605463</v>
      </c>
      <c r="J112" s="67">
        <v>-27.955208129804483</v>
      </c>
      <c r="K112" s="67">
        <v>116.74346733878755</v>
      </c>
      <c r="L112" s="67">
        <v>2960</v>
      </c>
      <c r="M112" s="67">
        <v>1.2019434006664662</v>
      </c>
    </row>
    <row r="114" spans="2:13" ht="14" x14ac:dyDescent="0.15">
      <c r="C114" s="1826" t="s">
        <v>2673</v>
      </c>
      <c r="D114" s="1826"/>
      <c r="E114" s="1826"/>
      <c r="F114" s="1826"/>
      <c r="G114" s="1826"/>
      <c r="H114" s="1826"/>
      <c r="I114" s="1826"/>
      <c r="J114" s="1826"/>
      <c r="K114" s="1826"/>
      <c r="L114" s="1826"/>
      <c r="M114" s="1826"/>
    </row>
    <row r="115" spans="2:13" ht="42" x14ac:dyDescent="0.15">
      <c r="C115" s="1435" t="s">
        <v>2678</v>
      </c>
      <c r="D115" s="1435" t="s">
        <v>2679</v>
      </c>
      <c r="E115" s="1435" t="s">
        <v>2680</v>
      </c>
      <c r="F115" s="1435" t="s">
        <v>2681</v>
      </c>
      <c r="G115" s="1435" t="s">
        <v>2682</v>
      </c>
      <c r="H115" s="1435" t="s">
        <v>2683</v>
      </c>
      <c r="I115" s="1435" t="s">
        <v>2686</v>
      </c>
      <c r="J115" s="1435" t="s">
        <v>2684</v>
      </c>
      <c r="K115" s="1435" t="s">
        <v>2685</v>
      </c>
      <c r="L115" s="1435" t="s">
        <v>2687</v>
      </c>
      <c r="M115" s="1435" t="s">
        <v>2688</v>
      </c>
    </row>
    <row r="116" spans="2:13" x14ac:dyDescent="0.15">
      <c r="C116" s="67">
        <v>84.226713042912976</v>
      </c>
      <c r="D116" s="67">
        <v>6.8634100332350529</v>
      </c>
      <c r="E116" s="67">
        <v>6.8634100332350529</v>
      </c>
      <c r="F116" s="67">
        <v>8.352124541716071</v>
      </c>
      <c r="G116" s="67">
        <v>25.725069640561181</v>
      </c>
      <c r="H116" s="67">
        <v>34.077167477732225</v>
      </c>
      <c r="I116" s="67">
        <v>8.3520978371710441</v>
      </c>
      <c r="J116" s="67">
        <v>-19.911740533415909</v>
      </c>
      <c r="K116" s="67">
        <v>80.128791902988354</v>
      </c>
      <c r="L116" s="67">
        <v>2613.3333333333335</v>
      </c>
      <c r="M116" s="67">
        <v>0.95134653850451512</v>
      </c>
    </row>
    <row r="117" spans="2:13" x14ac:dyDescent="0.15">
      <c r="C117" s="67">
        <v>78.787850205729612</v>
      </c>
      <c r="D117" s="67">
        <v>6.4202116177027433</v>
      </c>
      <c r="E117" s="67">
        <v>6.4202116177027433</v>
      </c>
      <c r="F117" s="67">
        <v>50.730569337091303</v>
      </c>
      <c r="G117" s="67">
        <v>1.1555804708703583</v>
      </c>
      <c r="H117" s="67">
        <v>51.885935729090974</v>
      </c>
      <c r="I117" s="67">
        <v>50.730355258220612</v>
      </c>
      <c r="J117" s="67">
        <v>25.998884928569449</v>
      </c>
      <c r="K117" s="67">
        <v>75.874090088360788</v>
      </c>
      <c r="L117" s="67">
        <v>2613.3333333333335</v>
      </c>
      <c r="M117" s="67">
        <v>0.96301764663256506</v>
      </c>
    </row>
    <row r="118" spans="2:13" x14ac:dyDescent="0.15">
      <c r="C118" s="67">
        <v>72.566443529441287</v>
      </c>
      <c r="D118" s="67">
        <v>5.9132457934384464</v>
      </c>
      <c r="E118" s="67">
        <v>5.9132457934384464</v>
      </c>
      <c r="F118" s="67">
        <v>96.028392976560156</v>
      </c>
      <c r="G118" s="67">
        <v>-25.882864810721301</v>
      </c>
      <c r="H118" s="67">
        <v>70.144629969169273</v>
      </c>
      <c r="I118" s="67">
        <v>96.027494779890574</v>
      </c>
      <c r="J118" s="67">
        <v>75.047609291720093</v>
      </c>
      <c r="K118" s="67">
        <v>71.022856389795251</v>
      </c>
      <c r="L118" s="67">
        <v>2620</v>
      </c>
      <c r="M118" s="67">
        <v>0.97872863730713522</v>
      </c>
    </row>
    <row r="119" spans="2:13" x14ac:dyDescent="0.15">
      <c r="C119" s="67">
        <v>65.926059549039294</v>
      </c>
      <c r="D119" s="67">
        <v>5.3721386269697291</v>
      </c>
      <c r="E119" s="67">
        <v>5.3721386269697291</v>
      </c>
      <c r="F119" s="67">
        <v>137.98560297216605</v>
      </c>
      <c r="G119" s="67">
        <v>-47.657920039617167</v>
      </c>
      <c r="H119" s="67">
        <v>90.33254303411276</v>
      </c>
      <c r="I119" s="67">
        <v>137.99046307372993</v>
      </c>
      <c r="J119" s="67">
        <v>120.67453901730181</v>
      </c>
      <c r="K119" s="67">
        <v>65.915415226586148</v>
      </c>
      <c r="L119" s="67">
        <v>2633.3333333333335</v>
      </c>
      <c r="M119" s="67">
        <v>0.99983854150352747</v>
      </c>
    </row>
    <row r="120" spans="2:13" x14ac:dyDescent="0.15">
      <c r="C120" s="67">
        <v>58.590613625391555</v>
      </c>
      <c r="D120" s="67">
        <v>4.7743927179614314</v>
      </c>
      <c r="E120" s="67">
        <v>4.7743927179614314</v>
      </c>
      <c r="F120" s="67">
        <v>183.25641320798019</v>
      </c>
      <c r="G120" s="67">
        <v>-74.482181273444382</v>
      </c>
      <c r="H120" s="67">
        <v>108.78002117868257</v>
      </c>
      <c r="I120" s="67">
        <v>183.26220245212696</v>
      </c>
      <c r="J120" s="67">
        <v>169.58530695693307</v>
      </c>
      <c r="K120" s="67">
        <v>60.032900875661596</v>
      </c>
      <c r="L120" s="67">
        <v>2606.6666666666665</v>
      </c>
      <c r="M120" s="67">
        <v>1.0246163533888131</v>
      </c>
    </row>
    <row r="121" spans="2:13" x14ac:dyDescent="0.15">
      <c r="C121" s="67">
        <v>48.879036273450126</v>
      </c>
      <c r="D121" s="67">
        <v>3.9830222010816732</v>
      </c>
      <c r="E121" s="67">
        <v>3.9830222010816732</v>
      </c>
      <c r="F121" s="67">
        <v>225.62177647348975</v>
      </c>
      <c r="G121" s="67">
        <v>-103.15176827260645</v>
      </c>
      <c r="H121" s="67">
        <v>122.46717784598262</v>
      </c>
      <c r="I121" s="67">
        <v>225.61894611858907</v>
      </c>
      <c r="J121" s="67">
        <v>216.10026660600337</v>
      </c>
      <c r="K121" s="67">
        <v>52.77292953908929</v>
      </c>
      <c r="L121" s="67">
        <v>2606.6666666666665</v>
      </c>
      <c r="M121" s="67">
        <v>1.07966387151856</v>
      </c>
    </row>
    <row r="122" spans="2:13" x14ac:dyDescent="0.15">
      <c r="C122" s="67">
        <v>38.592276049878052</v>
      </c>
      <c r="D122" s="67">
        <v>3.1447815672345896</v>
      </c>
      <c r="E122" s="67">
        <v>3.1447815672345896</v>
      </c>
      <c r="F122" s="67">
        <v>268.05865356887352</v>
      </c>
      <c r="G122" s="67">
        <v>-127.47685021563501</v>
      </c>
      <c r="H122" s="67">
        <v>140.5812141959305</v>
      </c>
      <c r="I122" s="67">
        <v>268.05806441156551</v>
      </c>
      <c r="J122" s="67">
        <v>262.12427374819447</v>
      </c>
      <c r="K122" s="67">
        <v>44.836555604768606</v>
      </c>
      <c r="L122" s="67">
        <v>2606.6666666666665</v>
      </c>
      <c r="M122" s="67">
        <v>1.1618012771991013</v>
      </c>
    </row>
    <row r="123" spans="2:13" x14ac:dyDescent="0.15">
      <c r="C123" s="67">
        <v>15.072467348295577</v>
      </c>
      <c r="D123" s="67">
        <v>1.2282151337330858</v>
      </c>
      <c r="E123" s="67">
        <v>1.2282151337330858</v>
      </c>
      <c r="F123" s="67">
        <v>294.0577684642393</v>
      </c>
      <c r="G123" s="67">
        <v>-132.90215259729484</v>
      </c>
      <c r="H123" s="67">
        <v>161.20991425605766</v>
      </c>
      <c r="I123" s="67">
        <v>294.11206685335253</v>
      </c>
      <c r="J123" s="67">
        <v>293.20695940451395</v>
      </c>
      <c r="K123" s="67">
        <v>32.982831580131908</v>
      </c>
      <c r="L123" s="67">
        <v>2606.6666666666665</v>
      </c>
      <c r="M123" s="67">
        <v>2.1882834985117197</v>
      </c>
    </row>
    <row r="124" spans="2:13" x14ac:dyDescent="0.15">
      <c r="B124" t="s">
        <v>2693</v>
      </c>
      <c r="C124" s="1468">
        <f>N64</f>
        <v>78.126219403864539</v>
      </c>
      <c r="D124" s="1467"/>
      <c r="E124" s="1467"/>
      <c r="F124" s="1467"/>
      <c r="G124" s="1467"/>
      <c r="H124" s="1467"/>
      <c r="I124" s="1467"/>
      <c r="J124" s="1467"/>
      <c r="K124" s="1468">
        <f>P64</f>
        <v>75.549282385964176</v>
      </c>
      <c r="L124" s="1467"/>
      <c r="M124" s="1467"/>
    </row>
    <row r="125" spans="2:13" x14ac:dyDescent="0.15">
      <c r="C125" s="1468">
        <f t="shared" ref="C125:C127" si="37">N65</f>
        <v>71.063022065508562</v>
      </c>
      <c r="D125" s="1467"/>
      <c r="E125" s="1467"/>
      <c r="F125" s="1467"/>
      <c r="G125" s="1467"/>
      <c r="H125" s="1467"/>
      <c r="I125" s="1467"/>
      <c r="J125" s="1467"/>
      <c r="K125" s="1468">
        <f t="shared" ref="K125:K127" si="38">P65</f>
        <v>69.56896225196374</v>
      </c>
      <c r="L125" s="1467"/>
      <c r="M125" s="1467"/>
    </row>
    <row r="126" spans="2:13" x14ac:dyDescent="0.15">
      <c r="C126" s="1468">
        <f t="shared" si="37"/>
        <v>61.257710681232382</v>
      </c>
      <c r="D126" s="1467"/>
      <c r="E126" s="1467"/>
      <c r="F126" s="1467"/>
      <c r="G126" s="1467"/>
      <c r="H126" s="1467"/>
      <c r="I126" s="1467"/>
      <c r="J126" s="1467"/>
      <c r="K126" s="1468">
        <f t="shared" si="38"/>
        <v>62.654615389940865</v>
      </c>
      <c r="L126" s="1467"/>
      <c r="M126" s="1467"/>
    </row>
    <row r="127" spans="2:13" x14ac:dyDescent="0.15">
      <c r="C127" s="1468">
        <f t="shared" si="37"/>
        <v>50.779180423158394</v>
      </c>
      <c r="D127" s="1467"/>
      <c r="E127" s="1467"/>
      <c r="F127" s="1467"/>
      <c r="G127" s="1467"/>
      <c r="H127" s="1467"/>
      <c r="I127" s="1467"/>
      <c r="J127" s="1467"/>
      <c r="K127" s="1468">
        <f t="shared" si="38"/>
        <v>54.698784338712194</v>
      </c>
      <c r="L127" s="1467"/>
      <c r="M127" s="1467"/>
    </row>
    <row r="129" spans="2:13" ht="13.5" customHeight="1" x14ac:dyDescent="0.15">
      <c r="C129" s="1826" t="s">
        <v>411</v>
      </c>
      <c r="D129" s="1826"/>
      <c r="E129" s="1826"/>
      <c r="F129" s="1826"/>
      <c r="G129" s="1826"/>
      <c r="H129" s="1826"/>
      <c r="I129" s="1826"/>
      <c r="J129" s="1826"/>
      <c r="K129" s="1826"/>
      <c r="L129" s="1826"/>
      <c r="M129" s="1826"/>
    </row>
    <row r="130" spans="2:13" ht="42" x14ac:dyDescent="0.15">
      <c r="C130" s="1435" t="s">
        <v>2678</v>
      </c>
      <c r="D130" s="1435" t="s">
        <v>2679</v>
      </c>
      <c r="E130" s="1435" t="s">
        <v>2680</v>
      </c>
      <c r="F130" s="1435" t="s">
        <v>2681</v>
      </c>
      <c r="G130" s="1435" t="s">
        <v>2682</v>
      </c>
      <c r="H130" s="1435" t="s">
        <v>2683</v>
      </c>
      <c r="I130" s="1435" t="s">
        <v>2686</v>
      </c>
      <c r="J130" s="1435" t="s">
        <v>2684</v>
      </c>
      <c r="K130" s="1435" t="s">
        <v>2685</v>
      </c>
      <c r="L130" s="1435" t="s">
        <v>2687</v>
      </c>
      <c r="M130" s="1435" t="s">
        <v>2688</v>
      </c>
    </row>
    <row r="131" spans="2:13" x14ac:dyDescent="0.15">
      <c r="C131" s="67">
        <v>13.400951363531069</v>
      </c>
      <c r="D131" s="67">
        <v>1.0920077576397029</v>
      </c>
      <c r="E131" s="67">
        <v>1.0920077576397029</v>
      </c>
      <c r="F131" s="67">
        <v>207.88675891586212</v>
      </c>
      <c r="G131" s="67">
        <v>-99.587524050238301</v>
      </c>
      <c r="H131" s="67">
        <v>108.30966694444589</v>
      </c>
      <c r="I131" s="67">
        <v>207.89719099468419</v>
      </c>
      <c r="J131" s="67">
        <v>207.18170242903702</v>
      </c>
      <c r="K131" s="67">
        <v>22.994892084400352</v>
      </c>
      <c r="L131" s="67">
        <v>2260</v>
      </c>
      <c r="M131" s="67">
        <v>1.7159148974286955</v>
      </c>
    </row>
    <row r="132" spans="2:13" x14ac:dyDescent="0.15">
      <c r="C132" s="67">
        <v>24.485731807549911</v>
      </c>
      <c r="D132" s="67">
        <v>1.9952769292257373</v>
      </c>
      <c r="E132" s="67">
        <v>1.9952769292257373</v>
      </c>
      <c r="F132" s="67">
        <v>183.90136785533301</v>
      </c>
      <c r="G132" s="67">
        <v>-94.089056672832015</v>
      </c>
      <c r="H132" s="67">
        <v>89.798891024944439</v>
      </c>
      <c r="I132" s="67">
        <v>183.88794769777644</v>
      </c>
      <c r="J132" s="67">
        <v>181.49926968319616</v>
      </c>
      <c r="K132" s="67">
        <v>26.305964820498399</v>
      </c>
      <c r="L132" s="67">
        <v>2253.3333333333335</v>
      </c>
      <c r="M132" s="67">
        <v>1.0743385179277034</v>
      </c>
    </row>
    <row r="133" spans="2:13" x14ac:dyDescent="0.15">
      <c r="C133" s="67">
        <v>41.959682054283981</v>
      </c>
      <c r="D133" s="67">
        <v>3.4191824944658373</v>
      </c>
      <c r="E133" s="67">
        <v>3.4191824944658373</v>
      </c>
      <c r="F133" s="67">
        <v>156.86387866613248</v>
      </c>
      <c r="G133" s="67">
        <v>-75.820134377202706</v>
      </c>
      <c r="H133" s="67">
        <v>81.031779881740789</v>
      </c>
      <c r="I133" s="67">
        <v>156.85191425894351</v>
      </c>
      <c r="J133" s="67">
        <v>149.83742890066654</v>
      </c>
      <c r="K133" s="67">
        <v>35.439644262882311</v>
      </c>
      <c r="L133" s="67">
        <v>2253.3333333333335</v>
      </c>
      <c r="M133" s="67">
        <v>0.84461183993323441</v>
      </c>
    </row>
    <row r="134" spans="2:13" x14ac:dyDescent="0.15">
      <c r="C134" s="67">
        <v>47.58124337864745</v>
      </c>
      <c r="D134" s="67">
        <v>3.8772685220711716</v>
      </c>
      <c r="E134" s="67">
        <v>3.8772685220711716</v>
      </c>
      <c r="F134" s="67">
        <v>134.08732409730516</v>
      </c>
      <c r="G134" s="67">
        <v>-57.755965629267223</v>
      </c>
      <c r="H134" s="67">
        <v>76.330253635957476</v>
      </c>
      <c r="I134" s="67">
        <v>134.08621926522471</v>
      </c>
      <c r="J134" s="67">
        <v>125.06629254987834</v>
      </c>
      <c r="K134" s="67">
        <v>38.357748035227793</v>
      </c>
      <c r="L134" s="67">
        <v>2240</v>
      </c>
      <c r="M134" s="67">
        <v>0.80615270454326149</v>
      </c>
    </row>
    <row r="135" spans="2:13" x14ac:dyDescent="0.15">
      <c r="C135" s="67">
        <v>52.662169366406111</v>
      </c>
      <c r="D135" s="67">
        <v>4.2912996191263328</v>
      </c>
      <c r="E135" s="67">
        <v>4.2912996191263328</v>
      </c>
      <c r="F135" s="67">
        <v>108.75049043454507</v>
      </c>
      <c r="G135" s="67">
        <v>-45.177250323650995</v>
      </c>
      <c r="H135" s="67">
        <v>63.568709436805989</v>
      </c>
      <c r="I135" s="67">
        <v>108.74595976045698</v>
      </c>
      <c r="J135" s="67">
        <v>97.6968083077887</v>
      </c>
      <c r="K135" s="67">
        <v>41.319098954789858</v>
      </c>
      <c r="L135" s="67">
        <v>2246.6666666666665</v>
      </c>
      <c r="M135" s="67">
        <v>0.7846068525454224</v>
      </c>
    </row>
    <row r="136" spans="2:13" x14ac:dyDescent="0.15">
      <c r="C136" s="67">
        <v>57.120989296818244</v>
      </c>
      <c r="D136" s="67">
        <v>4.65463695405459</v>
      </c>
      <c r="E136" s="67">
        <v>4.65463695405459</v>
      </c>
      <c r="F136" s="67">
        <v>84.941850903567811</v>
      </c>
      <c r="G136" s="67">
        <v>-29.041107415075842</v>
      </c>
      <c r="H136" s="67">
        <v>55.899891589648561</v>
      </c>
      <c r="I136" s="67">
        <v>84.940999004724404</v>
      </c>
      <c r="J136" s="67">
        <v>71.941611900294049</v>
      </c>
      <c r="K136" s="67">
        <v>43.67338065470377</v>
      </c>
      <c r="L136" s="67">
        <v>2246.6666666666665</v>
      </c>
      <c r="M136" s="67">
        <v>0.76457675527577862</v>
      </c>
    </row>
    <row r="137" spans="2:13" x14ac:dyDescent="0.15">
      <c r="C137" s="67">
        <v>62.682990876029329</v>
      </c>
      <c r="D137" s="67">
        <v>5.1078696170005724</v>
      </c>
      <c r="E137" s="67">
        <v>5.1078696170005724</v>
      </c>
      <c r="F137" s="67">
        <v>54.720312714519437</v>
      </c>
      <c r="G137" s="67">
        <v>-13.383283671032039</v>
      </c>
      <c r="H137" s="67">
        <v>41.334655885959791</v>
      </c>
      <c r="I137" s="67">
        <v>54.71793955699183</v>
      </c>
      <c r="J137" s="67">
        <v>39.063740342425284</v>
      </c>
      <c r="K137" s="67">
        <v>46.538351182866229</v>
      </c>
      <c r="L137" s="67">
        <v>2260</v>
      </c>
      <c r="M137" s="67">
        <v>0.7424398633898468</v>
      </c>
    </row>
    <row r="138" spans="2:13" x14ac:dyDescent="0.15">
      <c r="C138" s="67">
        <v>67.037622114153848</v>
      </c>
      <c r="D138" s="67">
        <v>5.4627168934881993</v>
      </c>
      <c r="E138" s="67">
        <v>5.4627168934881993</v>
      </c>
      <c r="F138" s="67">
        <v>26.1792158236237</v>
      </c>
      <c r="G138" s="67">
        <v>5.9901500911891929</v>
      </c>
      <c r="H138" s="67">
        <v>32.169250921235864</v>
      </c>
      <c r="I138" s="67">
        <v>26.179100830046671</v>
      </c>
      <c r="J138" s="67">
        <v>8.2743353150058532</v>
      </c>
      <c r="K138" s="67">
        <v>48.910793114921432</v>
      </c>
      <c r="L138" s="67">
        <v>2246.6666666666665</v>
      </c>
      <c r="M138" s="67">
        <v>0.72960214835237647</v>
      </c>
    </row>
    <row r="139" spans="2:13" x14ac:dyDescent="0.15">
      <c r="C139" s="67">
        <v>70.08964803924313</v>
      </c>
      <c r="D139" s="67">
        <v>5.7114183398485574</v>
      </c>
      <c r="E139" s="67">
        <v>5.7114183398485574</v>
      </c>
      <c r="F139" s="67">
        <v>4.7068047543694584</v>
      </c>
      <c r="G139" s="67">
        <v>18.940754772587006</v>
      </c>
      <c r="H139" s="67">
        <v>23.647559670350756</v>
      </c>
      <c r="I139" s="67">
        <v>4.7068048977637496</v>
      </c>
      <c r="J139" s="67">
        <v>-14.865374773891322</v>
      </c>
      <c r="K139" s="67">
        <v>50.626905030896587</v>
      </c>
      <c r="L139" s="67">
        <v>2253.3333333333335</v>
      </c>
      <c r="M139" s="67">
        <v>0.72231643969093162</v>
      </c>
    </row>
    <row r="140" spans="2:13" x14ac:dyDescent="0.15">
      <c r="B140" t="s">
        <v>2693</v>
      </c>
      <c r="C140" s="1468">
        <f>N69</f>
        <v>66.07437797183222</v>
      </c>
      <c r="D140" s="1467"/>
      <c r="E140" s="1467"/>
      <c r="F140" s="1467"/>
      <c r="G140" s="1467"/>
      <c r="H140" s="1467"/>
      <c r="I140" s="1467"/>
      <c r="J140" s="1467"/>
      <c r="K140" s="1468">
        <f>P69</f>
        <v>48.247425296229011</v>
      </c>
      <c r="L140" s="1467"/>
      <c r="M140" s="1467"/>
    </row>
    <row r="141" spans="2:13" x14ac:dyDescent="0.15">
      <c r="C141" s="1468">
        <f t="shared" ref="C141:C143" si="39">N70</f>
        <v>60.736620463698408</v>
      </c>
      <c r="D141" s="1467"/>
      <c r="E141" s="1467"/>
      <c r="F141" s="1467"/>
      <c r="G141" s="1467"/>
      <c r="H141" s="1467"/>
      <c r="I141" s="1467"/>
      <c r="J141" s="1467"/>
      <c r="K141" s="1468">
        <f t="shared" ref="K141:K143" si="40">P70</f>
        <v>44.909569634425793</v>
      </c>
      <c r="L141" s="1467"/>
      <c r="M141" s="1467"/>
    </row>
    <row r="142" spans="2:13" x14ac:dyDescent="0.15">
      <c r="C142" s="1468">
        <f t="shared" si="39"/>
        <v>51.023413859620192</v>
      </c>
      <c r="D142" s="1467"/>
      <c r="E142" s="1467"/>
      <c r="F142" s="1467"/>
      <c r="G142" s="1467"/>
      <c r="H142" s="1467"/>
      <c r="I142" s="1467"/>
      <c r="J142" s="1467"/>
      <c r="K142" s="1468">
        <f t="shared" si="40"/>
        <v>40.435122809199662</v>
      </c>
      <c r="L142" s="1467"/>
      <c r="M142" s="1467"/>
    </row>
    <row r="143" spans="2:13" x14ac:dyDescent="0.15">
      <c r="C143" s="1468">
        <f t="shared" si="39"/>
        <v>38.107442768055868</v>
      </c>
      <c r="D143" s="1467"/>
      <c r="E143" s="1467"/>
      <c r="F143" s="1467"/>
      <c r="G143" s="1467"/>
      <c r="H143" s="1467"/>
      <c r="I143" s="1467"/>
      <c r="J143" s="1467"/>
      <c r="K143" s="1468">
        <f t="shared" si="40"/>
        <v>35.936627601992882</v>
      </c>
      <c r="L143" s="1467"/>
      <c r="M143" s="1467"/>
    </row>
    <row r="145" spans="3:13" ht="14" x14ac:dyDescent="0.15">
      <c r="C145" s="1826" t="s">
        <v>10</v>
      </c>
      <c r="D145" s="1826"/>
      <c r="E145" s="1826"/>
      <c r="F145" s="1826"/>
      <c r="G145" s="1826"/>
      <c r="H145" s="1826"/>
      <c r="I145" s="1826"/>
      <c r="J145" s="1826"/>
      <c r="K145" s="1826"/>
      <c r="L145" s="1826"/>
      <c r="M145" s="1826"/>
    </row>
    <row r="146" spans="3:13" ht="42" x14ac:dyDescent="0.15">
      <c r="C146" s="1435" t="s">
        <v>2678</v>
      </c>
      <c r="D146" s="1435" t="s">
        <v>2679</v>
      </c>
      <c r="E146" s="1435" t="s">
        <v>2680</v>
      </c>
      <c r="F146" s="1435" t="s">
        <v>2681</v>
      </c>
      <c r="G146" s="1435" t="s">
        <v>2682</v>
      </c>
      <c r="H146" s="1435" t="s">
        <v>2683</v>
      </c>
      <c r="I146" s="1435" t="s">
        <v>2686</v>
      </c>
      <c r="J146" s="1435" t="s">
        <v>2684</v>
      </c>
      <c r="K146" s="1435" t="s">
        <v>2685</v>
      </c>
      <c r="L146" s="1435" t="s">
        <v>2687</v>
      </c>
      <c r="M146" s="1435" t="s">
        <v>2688</v>
      </c>
    </row>
    <row r="147" spans="3:13" x14ac:dyDescent="0.15">
      <c r="C147" s="67">
        <v>56.108706043813946</v>
      </c>
      <c r="D147" s="67">
        <v>4.5721486936899032</v>
      </c>
      <c r="E147" s="67">
        <v>4.5721486936899032</v>
      </c>
      <c r="F147" s="67">
        <v>3.0314831692413424</v>
      </c>
      <c r="G147" s="67">
        <v>12.180507328643742</v>
      </c>
      <c r="H147" s="67">
        <v>15.211990612205355</v>
      </c>
      <c r="I147" s="67">
        <v>3.031483283561613</v>
      </c>
      <c r="J147" s="67">
        <v>-9.5112429227645592</v>
      </c>
      <c r="K147" s="67">
        <v>30.657160598072295</v>
      </c>
      <c r="L147" s="67">
        <v>1913.3333333333333</v>
      </c>
      <c r="M147" s="67">
        <v>0.5463886580120535</v>
      </c>
    </row>
    <row r="148" spans="3:13" x14ac:dyDescent="0.15">
      <c r="C148" s="67">
        <v>52.610803297029939</v>
      </c>
      <c r="D148" s="67">
        <v>4.2871139352359426</v>
      </c>
      <c r="E148" s="67">
        <v>4.2871139352359426</v>
      </c>
      <c r="F148" s="67">
        <v>22.438191946485549</v>
      </c>
      <c r="G148" s="67">
        <v>9.2900187366344866E-2</v>
      </c>
      <c r="H148" s="67">
        <v>22.530895192759431</v>
      </c>
      <c r="I148" s="67">
        <v>22.437995005393084</v>
      </c>
      <c r="J148" s="67">
        <v>11.410387469176557</v>
      </c>
      <c r="K148" s="67">
        <v>29.427278430174766</v>
      </c>
      <c r="L148" s="67">
        <v>1906.6666666666667</v>
      </c>
      <c r="M148" s="67">
        <v>0.55933908220397843</v>
      </c>
    </row>
    <row r="149" spans="3:13" x14ac:dyDescent="0.15">
      <c r="C149" s="67">
        <v>49.022927183474209</v>
      </c>
      <c r="D149" s="67">
        <v>3.9947474872749908</v>
      </c>
      <c r="E149" s="67">
        <v>3.9947474872749908</v>
      </c>
      <c r="F149" s="67">
        <v>41.884130596394748</v>
      </c>
      <c r="G149" s="67">
        <v>-9.6121740357179437</v>
      </c>
      <c r="H149" s="67">
        <v>32.272497261246919</v>
      </c>
      <c r="I149" s="67">
        <v>41.884671296964861</v>
      </c>
      <c r="J149" s="67">
        <v>32.30986680471095</v>
      </c>
      <c r="K149" s="67">
        <v>27.997652349199392</v>
      </c>
      <c r="L149" s="67">
        <v>1913.3333333333333</v>
      </c>
      <c r="M149" s="67">
        <v>0.57111343523847125</v>
      </c>
    </row>
    <row r="150" spans="3:13" x14ac:dyDescent="0.15">
      <c r="C150" s="67">
        <v>44.73207655672141</v>
      </c>
      <c r="D150" s="67">
        <v>3.6450975225688582</v>
      </c>
      <c r="E150" s="67">
        <v>3.6450975225688582</v>
      </c>
      <c r="F150" s="67">
        <v>61.983978276333843</v>
      </c>
      <c r="G150" s="67">
        <v>-23.110589831188673</v>
      </c>
      <c r="H150" s="67">
        <v>38.872687420823574</v>
      </c>
      <c r="I150" s="67">
        <v>61.983277252012243</v>
      </c>
      <c r="J150" s="67">
        <v>54.011235682589671</v>
      </c>
      <c r="K150" s="67">
        <v>26.425259410215936</v>
      </c>
      <c r="L150" s="67">
        <v>1873.3333333333333</v>
      </c>
      <c r="M150" s="67">
        <v>0.59074519772646894</v>
      </c>
    </row>
    <row r="151" spans="3:13" x14ac:dyDescent="0.15">
      <c r="C151" s="67">
        <v>40.151805346700648</v>
      </c>
      <c r="D151" s="67">
        <v>3.2718634470353924</v>
      </c>
      <c r="E151" s="67">
        <v>3.2718634470353924</v>
      </c>
      <c r="F151" s="67">
        <v>80.954282301486245</v>
      </c>
      <c r="G151" s="67">
        <v>-34.143853528474409</v>
      </c>
      <c r="H151" s="67">
        <v>46.80965031602215</v>
      </c>
      <c r="I151" s="67">
        <v>80.953503844496566</v>
      </c>
      <c r="J151" s="67">
        <v>74.53044959486877</v>
      </c>
      <c r="K151" s="67">
        <v>24.692228909601873</v>
      </c>
      <c r="L151" s="67">
        <v>1920</v>
      </c>
      <c r="M151" s="67">
        <v>0.61497182247200954</v>
      </c>
    </row>
    <row r="152" spans="3:13" x14ac:dyDescent="0.15">
      <c r="C152" s="67">
        <v>35.428056320100808</v>
      </c>
      <c r="D152" s="67">
        <v>2.8869377471908386</v>
      </c>
      <c r="E152" s="67">
        <v>2.8869377471908386</v>
      </c>
      <c r="F152" s="67">
        <v>100.53672844642975</v>
      </c>
      <c r="G152" s="67">
        <v>-45.238078776055183</v>
      </c>
      <c r="H152" s="67">
        <v>55.29801281734823</v>
      </c>
      <c r="I152" s="67">
        <v>100.53609159340341</v>
      </c>
      <c r="J152" s="67">
        <v>95.535445859710222</v>
      </c>
      <c r="K152" s="67">
        <v>22.712623576796137</v>
      </c>
      <c r="L152" s="67">
        <v>1906.6666666666667</v>
      </c>
      <c r="M152" s="67">
        <v>0.64109143814106673</v>
      </c>
    </row>
    <row r="153" spans="3:13" x14ac:dyDescent="0.15">
      <c r="C153" s="67">
        <v>29.946480485233359</v>
      </c>
      <c r="D153" s="67">
        <v>2.4402587634840933</v>
      </c>
      <c r="E153" s="67">
        <v>2.4402587634840933</v>
      </c>
      <c r="F153" s="67">
        <v>119.55921645753392</v>
      </c>
      <c r="G153" s="67">
        <v>-54.675202827970487</v>
      </c>
      <c r="H153" s="67">
        <v>64.886066813569357</v>
      </c>
      <c r="I153" s="67">
        <v>119.56126964153984</v>
      </c>
      <c r="J153" s="67">
        <v>115.98835194188329</v>
      </c>
      <c r="K153" s="67">
        <v>20.60691836010993</v>
      </c>
      <c r="L153" s="67">
        <v>1893.3333333333333</v>
      </c>
      <c r="M153" s="67">
        <v>0.68812488233037006</v>
      </c>
    </row>
    <row r="154" spans="3:13" x14ac:dyDescent="0.15">
      <c r="C154" s="67">
        <v>11.179272393277332</v>
      </c>
      <c r="D154" s="67">
        <v>0.91096906831915536</v>
      </c>
      <c r="E154" s="67">
        <v>0.91096906831915536</v>
      </c>
      <c r="F154" s="67">
        <v>141.46523406268221</v>
      </c>
      <c r="G154" s="67">
        <v>-70.304618087081977</v>
      </c>
      <c r="H154" s="67">
        <v>71.16022604141331</v>
      </c>
      <c r="I154" s="67">
        <v>141.46484412849529</v>
      </c>
      <c r="J154" s="67">
        <v>140.96692534243473</v>
      </c>
      <c r="K154" s="67">
        <v>15.394065069985658</v>
      </c>
      <c r="L154" s="67">
        <v>1886.6666666666667</v>
      </c>
      <c r="M154" s="67">
        <v>1.3770185150191794</v>
      </c>
    </row>
    <row r="156" spans="3:13" ht="14" x14ac:dyDescent="0.15">
      <c r="C156" s="1826" t="s">
        <v>409</v>
      </c>
      <c r="D156" s="1826"/>
      <c r="E156" s="1826"/>
      <c r="F156" s="1826"/>
      <c r="G156" s="1826"/>
      <c r="H156" s="1826"/>
      <c r="I156" s="1826"/>
      <c r="J156" s="1826"/>
      <c r="K156" s="1826"/>
      <c r="L156" s="1826"/>
      <c r="M156" s="1826"/>
    </row>
    <row r="157" spans="3:13" ht="42" x14ac:dyDescent="0.15">
      <c r="C157" s="1435" t="s">
        <v>2678</v>
      </c>
      <c r="D157" s="1435" t="s">
        <v>2679</v>
      </c>
      <c r="E157" s="1435" t="s">
        <v>2680</v>
      </c>
      <c r="F157" s="1435" t="s">
        <v>2681</v>
      </c>
      <c r="G157" s="1435" t="s">
        <v>2682</v>
      </c>
      <c r="H157" s="1435" t="s">
        <v>2683</v>
      </c>
      <c r="I157" s="1435" t="s">
        <v>2686</v>
      </c>
      <c r="J157" s="1435" t="s">
        <v>2684</v>
      </c>
      <c r="K157" s="1435" t="s">
        <v>2685</v>
      </c>
      <c r="L157" s="1435" t="s">
        <v>2687</v>
      </c>
      <c r="M157" s="1435" t="s">
        <v>2688</v>
      </c>
    </row>
    <row r="158" spans="3:13" x14ac:dyDescent="0.15">
      <c r="C158" s="67">
        <v>8.7020229843785071</v>
      </c>
      <c r="D158" s="67">
        <v>0.70910462610592084</v>
      </c>
      <c r="E158" s="67">
        <v>0.70910462610592084</v>
      </c>
      <c r="F158" s="67">
        <v>87.002309020212607</v>
      </c>
      <c r="G158" s="67">
        <v>-44.231427390011739</v>
      </c>
      <c r="H158" s="67">
        <v>42.769474154078111</v>
      </c>
      <c r="I158" s="67">
        <v>87.000901544089857</v>
      </c>
      <c r="J158" s="67">
        <v>86.699203921630968</v>
      </c>
      <c r="K158" s="67">
        <v>9.9647819443576005</v>
      </c>
      <c r="L158" s="67">
        <v>1520</v>
      </c>
      <c r="M158" s="67">
        <v>1.1451109658347196</v>
      </c>
    </row>
    <row r="159" spans="3:13" x14ac:dyDescent="0.15">
      <c r="C159" s="67">
        <v>18.138656964471075</v>
      </c>
      <c r="D159" s="67">
        <v>1.4780707414752283</v>
      </c>
      <c r="E159" s="67">
        <v>1.4780707414752283</v>
      </c>
      <c r="F159" s="67">
        <v>71.696937568478447</v>
      </c>
      <c r="G159" s="67">
        <v>-35.991611326987069</v>
      </c>
      <c r="H159" s="67">
        <v>35.703629915644662</v>
      </c>
      <c r="I159" s="67">
        <v>71.695241242631738</v>
      </c>
      <c r="J159" s="67">
        <v>70.384425372548662</v>
      </c>
      <c r="K159" s="67">
        <v>11.285940922643414</v>
      </c>
      <c r="L159" s="67">
        <v>1526.6666666666667</v>
      </c>
      <c r="M159" s="67">
        <v>0.62220377973681551</v>
      </c>
    </row>
    <row r="160" spans="3:13" x14ac:dyDescent="0.15">
      <c r="C160" s="67">
        <v>26.092460237557564</v>
      </c>
      <c r="D160" s="67">
        <v>2.1262049404088406</v>
      </c>
      <c r="E160" s="67">
        <v>2.1262049404088406</v>
      </c>
      <c r="F160" s="67">
        <v>63.168624704572274</v>
      </c>
      <c r="G160" s="67">
        <v>-30.701591122426954</v>
      </c>
      <c r="H160" s="67">
        <v>32.465070834029383</v>
      </c>
      <c r="I160" s="67">
        <v>63.166661956456338</v>
      </c>
      <c r="J160" s="67">
        <v>60.45421348728496</v>
      </c>
      <c r="K160" s="67">
        <v>13.152668359229462</v>
      </c>
      <c r="L160" s="67">
        <v>1520</v>
      </c>
      <c r="M160" s="67">
        <v>0.50407927192306201</v>
      </c>
    </row>
    <row r="161" spans="2:13" x14ac:dyDescent="0.15">
      <c r="C161" s="67">
        <v>31.482845779390328</v>
      </c>
      <c r="D161" s="67">
        <v>2.5654530705355696</v>
      </c>
      <c r="E161" s="67">
        <v>2.5654530705355696</v>
      </c>
      <c r="F161" s="67">
        <v>45.181476357088066</v>
      </c>
      <c r="G161" s="67">
        <v>-16.202391965007916</v>
      </c>
      <c r="H161" s="67">
        <v>28.98041383191666</v>
      </c>
      <c r="I161" s="67">
        <v>45.182805796924576</v>
      </c>
      <c r="J161" s="67">
        <v>41.233876122652347</v>
      </c>
      <c r="K161" s="67">
        <v>14.467230176886737</v>
      </c>
      <c r="L161" s="67">
        <v>1520</v>
      </c>
      <c r="M161" s="67">
        <v>0.45952739718203767</v>
      </c>
    </row>
    <row r="162" spans="2:13" x14ac:dyDescent="0.15">
      <c r="C162" s="67">
        <v>35.399179583348761</v>
      </c>
      <c r="D162" s="67">
        <v>2.8845846589888797</v>
      </c>
      <c r="E162" s="67">
        <v>2.8845846589888797</v>
      </c>
      <c r="F162" s="67">
        <v>30.186242614669236</v>
      </c>
      <c r="G162" s="67">
        <v>-8.7261293256052213</v>
      </c>
      <c r="H162" s="67">
        <v>21.460510967016713</v>
      </c>
      <c r="I162" s="67">
        <v>30.186640292621934</v>
      </c>
      <c r="J162" s="67">
        <v>25.194143099697541</v>
      </c>
      <c r="K162" s="67">
        <v>15.457217416852041</v>
      </c>
      <c r="L162" s="67">
        <v>1526.6666666666667</v>
      </c>
      <c r="M162" s="67">
        <v>0.43665467953734394</v>
      </c>
    </row>
    <row r="163" spans="2:13" x14ac:dyDescent="0.15">
      <c r="C163" s="67">
        <v>38.576192202519259</v>
      </c>
      <c r="D163" s="67">
        <v>3.1434709374433125</v>
      </c>
      <c r="E163" s="67">
        <v>3.1434709374433125</v>
      </c>
      <c r="F163" s="67">
        <v>15.770547504324202</v>
      </c>
      <c r="G163" s="67">
        <v>-2.0499831369258024</v>
      </c>
      <c r="H163" s="67">
        <v>13.720433440176526</v>
      </c>
      <c r="I163" s="67">
        <v>15.770416577102328</v>
      </c>
      <c r="J163" s="67">
        <v>9.8415708563718844</v>
      </c>
      <c r="K163" s="67">
        <v>16.211045468066871</v>
      </c>
      <c r="L163" s="67">
        <v>1520</v>
      </c>
      <c r="M163" s="67">
        <v>0.42023446438055106</v>
      </c>
    </row>
    <row r="164" spans="2:13" x14ac:dyDescent="0.15">
      <c r="C164" s="67">
        <v>41.605917277547576</v>
      </c>
      <c r="D164" s="67">
        <v>3.390355147056225</v>
      </c>
      <c r="E164" s="67">
        <v>3.390355147056225</v>
      </c>
      <c r="F164" s="67">
        <v>1.7110318428161686</v>
      </c>
      <c r="G164" s="67">
        <v>6.7260329317732266</v>
      </c>
      <c r="H164" s="67">
        <v>8.4370648605839005</v>
      </c>
      <c r="I164" s="67">
        <v>1.7110319288106739</v>
      </c>
      <c r="J164" s="67">
        <v>-5.1856728850917078</v>
      </c>
      <c r="K164" s="67">
        <v>16.953289405090995</v>
      </c>
      <c r="L164" s="67">
        <v>1520</v>
      </c>
      <c r="M164" s="67">
        <v>0.40747303543382646</v>
      </c>
    </row>
    <row r="165" spans="2:13" x14ac:dyDescent="0.15">
      <c r="B165" t="s">
        <v>2693</v>
      </c>
      <c r="C165" s="1468">
        <f>N74</f>
        <v>39.475997985609681</v>
      </c>
      <c r="D165" s="1467"/>
      <c r="E165" s="1467"/>
      <c r="F165" s="1467"/>
      <c r="G165" s="1467"/>
      <c r="H165" s="1467"/>
      <c r="I165" s="1467"/>
      <c r="J165" s="1467"/>
      <c r="K165" s="1468">
        <f>P74</f>
        <v>16.597364474282625</v>
      </c>
      <c r="L165" s="1467"/>
      <c r="M165" s="1467"/>
    </row>
    <row r="166" spans="2:13" x14ac:dyDescent="0.15">
      <c r="C166" s="1468">
        <f t="shared" ref="C166:C168" si="41">N75</f>
        <v>36.528782330877029</v>
      </c>
      <c r="D166" s="1467"/>
      <c r="E166" s="1467"/>
      <c r="F166" s="1467"/>
      <c r="G166" s="1467"/>
      <c r="H166" s="1467"/>
      <c r="I166" s="1467"/>
      <c r="J166" s="1467"/>
      <c r="K166" s="1468">
        <f t="shared" ref="K166:K168" si="42">P75</f>
        <v>15.735562266904543</v>
      </c>
      <c r="L166" s="1467"/>
      <c r="M166" s="1467"/>
    </row>
    <row r="167" spans="2:13" x14ac:dyDescent="0.15">
      <c r="C167" s="1468">
        <f t="shared" si="41"/>
        <v>31.337857744647224</v>
      </c>
      <c r="D167" s="1467"/>
      <c r="E167" s="1467"/>
      <c r="F167" s="1467"/>
      <c r="G167" s="1467"/>
      <c r="H167" s="1467"/>
      <c r="I167" s="1467"/>
      <c r="J167" s="1467"/>
      <c r="K167" s="1468">
        <f t="shared" si="42"/>
        <v>14.645314177297895</v>
      </c>
      <c r="L167" s="1467"/>
      <c r="M167" s="1467"/>
    </row>
    <row r="168" spans="2:13" x14ac:dyDescent="0.15">
      <c r="C168" s="1468">
        <f t="shared" si="41"/>
        <v>23.843033292862099</v>
      </c>
      <c r="D168" s="1467"/>
      <c r="E168" s="1467"/>
      <c r="F168" s="1467"/>
      <c r="G168" s="1467"/>
      <c r="H168" s="1467"/>
      <c r="I168" s="1467"/>
      <c r="J168" s="1467"/>
      <c r="K168" s="1468">
        <f t="shared" si="42"/>
        <v>13.394503822480059</v>
      </c>
      <c r="L168" s="1467"/>
      <c r="M168" s="1467"/>
    </row>
    <row r="170" spans="2:13" ht="14" x14ac:dyDescent="0.15">
      <c r="C170" s="1826" t="s">
        <v>12</v>
      </c>
      <c r="D170" s="1826"/>
      <c r="E170" s="1826"/>
      <c r="F170" s="1826"/>
      <c r="G170" s="1826"/>
      <c r="H170" s="1826"/>
      <c r="I170" s="1826"/>
      <c r="J170" s="1826"/>
      <c r="K170" s="1826"/>
      <c r="L170" s="1826"/>
      <c r="M170" s="1826"/>
    </row>
    <row r="171" spans="2:13" ht="42" x14ac:dyDescent="0.15">
      <c r="C171" s="1435" t="s">
        <v>2678</v>
      </c>
      <c r="D171" s="1435" t="s">
        <v>2679</v>
      </c>
      <c r="E171" s="1435" t="s">
        <v>2680</v>
      </c>
      <c r="F171" s="1435" t="s">
        <v>2681</v>
      </c>
      <c r="G171" s="1435" t="s">
        <v>2682</v>
      </c>
      <c r="H171" s="1435" t="s">
        <v>2683</v>
      </c>
      <c r="I171" s="1435" t="s">
        <v>2686</v>
      </c>
      <c r="J171" s="1435" t="s">
        <v>2684</v>
      </c>
      <c r="K171" s="1435" t="s">
        <v>2685</v>
      </c>
      <c r="L171" s="1435" t="s">
        <v>2687</v>
      </c>
      <c r="M171" s="1435" t="s">
        <v>2688</v>
      </c>
    </row>
    <row r="172" spans="2:13" x14ac:dyDescent="0.15">
      <c r="C172" s="67">
        <v>27.807071669221358</v>
      </c>
      <c r="D172" s="67">
        <v>2.2659240494423964</v>
      </c>
      <c r="E172" s="67">
        <v>2.2659240494423964</v>
      </c>
      <c r="F172" s="67">
        <v>1.5203887717469562</v>
      </c>
      <c r="G172" s="67">
        <v>2.3373520034298609</v>
      </c>
      <c r="H172" s="67">
        <v>3.8577372461696182</v>
      </c>
      <c r="I172" s="67">
        <v>1.5203852427397573</v>
      </c>
      <c r="J172" s="67">
        <v>-1.560261835965099</v>
      </c>
      <c r="K172" s="67">
        <v>8.8598195584635651</v>
      </c>
      <c r="L172" s="67">
        <v>1140</v>
      </c>
      <c r="M172" s="67">
        <v>0.31861749643599396</v>
      </c>
    </row>
    <row r="173" spans="2:13" x14ac:dyDescent="0.15">
      <c r="C173" s="67">
        <v>25.144328944340472</v>
      </c>
      <c r="D173" s="67">
        <v>2.048944252016847</v>
      </c>
      <c r="E173" s="67">
        <v>2.048944252016847</v>
      </c>
      <c r="F173" s="67">
        <v>10.740571825598977</v>
      </c>
      <c r="G173" s="67">
        <v>-4.2457818683554489</v>
      </c>
      <c r="H173" s="67">
        <v>6.494522817202089</v>
      </c>
      <c r="I173" s="67">
        <v>10.740304685557538</v>
      </c>
      <c r="J173" s="67">
        <v>8.2214011568338119</v>
      </c>
      <c r="K173" s="67">
        <v>8.4968509198557758</v>
      </c>
      <c r="L173" s="67">
        <v>1140</v>
      </c>
      <c r="M173" s="67">
        <v>0.33792315311593396</v>
      </c>
    </row>
    <row r="174" spans="2:13" x14ac:dyDescent="0.15">
      <c r="C174" s="67">
        <v>21.877979611299835</v>
      </c>
      <c r="D174" s="67">
        <v>1.7827781632010609</v>
      </c>
      <c r="E174" s="67">
        <v>1.7827781632010609</v>
      </c>
      <c r="F174" s="67">
        <v>20.417269217194512</v>
      </c>
      <c r="G174" s="67">
        <v>-8.046626139707671</v>
      </c>
      <c r="H174" s="67">
        <v>12.370670014144611</v>
      </c>
      <c r="I174" s="67">
        <v>20.417296153852284</v>
      </c>
      <c r="J174" s="67">
        <v>18.510317366340356</v>
      </c>
      <c r="K174" s="67">
        <v>8.0260468020024707</v>
      </c>
      <c r="L174" s="67">
        <v>1173.3333333333333</v>
      </c>
      <c r="M174" s="67">
        <v>0.36685502704541645</v>
      </c>
    </row>
    <row r="175" spans="2:13" x14ac:dyDescent="0.15">
      <c r="C175" s="67">
        <v>7.0716056604581814</v>
      </c>
      <c r="D175" s="67">
        <v>0.57624627018677599</v>
      </c>
      <c r="E175" s="67">
        <v>0.57624627018677599</v>
      </c>
      <c r="F175" s="67">
        <v>44.203067101198272</v>
      </c>
      <c r="G175" s="67">
        <v>-20.477518938493827</v>
      </c>
      <c r="H175" s="67">
        <v>23.726443851533311</v>
      </c>
      <c r="I175" s="67">
        <v>44.203962790027134</v>
      </c>
      <c r="J175" s="67">
        <v>44.00472693168463</v>
      </c>
      <c r="K175" s="67">
        <v>6.4238765175608652</v>
      </c>
      <c r="L175" s="67">
        <v>1140</v>
      </c>
      <c r="M175" s="67">
        <v>0.90840423321125219</v>
      </c>
    </row>
    <row r="177" spans="3:13" ht="14" x14ac:dyDescent="0.15">
      <c r="C177" s="1826" t="s">
        <v>410</v>
      </c>
      <c r="D177" s="1826"/>
      <c r="E177" s="1826"/>
      <c r="F177" s="1826"/>
      <c r="G177" s="1826"/>
      <c r="H177" s="1826"/>
      <c r="I177" s="1826"/>
      <c r="J177" s="1826"/>
      <c r="K177" s="1826"/>
      <c r="L177" s="1826"/>
      <c r="M177" s="1826"/>
    </row>
    <row r="178" spans="3:13" ht="42" x14ac:dyDescent="0.15">
      <c r="C178" s="1435" t="s">
        <v>2678</v>
      </c>
      <c r="D178" s="1435" t="s">
        <v>2679</v>
      </c>
      <c r="E178" s="1435" t="s">
        <v>2680</v>
      </c>
      <c r="F178" s="1435" t="s">
        <v>2681</v>
      </c>
      <c r="G178" s="1435" t="s">
        <v>2682</v>
      </c>
      <c r="H178" s="1435" t="s">
        <v>2683</v>
      </c>
      <c r="I178" s="1435" t="s">
        <v>2686</v>
      </c>
      <c r="J178" s="1435" t="s">
        <v>2684</v>
      </c>
      <c r="K178" s="1435" t="s">
        <v>2685</v>
      </c>
      <c r="L178" s="1435" t="s">
        <v>2687</v>
      </c>
      <c r="M178" s="1435" t="s">
        <v>2688</v>
      </c>
    </row>
    <row r="179" spans="3:13" x14ac:dyDescent="0.15">
      <c r="C179" s="67">
        <v>3.7710077831888471</v>
      </c>
      <c r="D179" s="67">
        <v>0.30728935891584785</v>
      </c>
      <c r="E179" s="67">
        <v>0.30728935891584785</v>
      </c>
      <c r="F179" s="67">
        <v>18.258333560174759</v>
      </c>
      <c r="G179" s="67">
        <v>-8.649747823191392</v>
      </c>
      <c r="H179" s="67">
        <v>9.6086964094052494</v>
      </c>
      <c r="I179" s="67">
        <v>18.258444232596641</v>
      </c>
      <c r="J179" s="67">
        <v>18.201788182534894</v>
      </c>
      <c r="K179" s="67">
        <v>4.3951621914971239</v>
      </c>
      <c r="L179" s="67">
        <v>760</v>
      </c>
      <c r="M179" s="67">
        <v>1.1655139538801158</v>
      </c>
    </row>
    <row r="180" spans="3:13" x14ac:dyDescent="0.15">
      <c r="C180" s="67">
        <v>7.6690941209584045</v>
      </c>
      <c r="D180" s="67">
        <v>0.62493401005441229</v>
      </c>
      <c r="E180" s="67">
        <v>0.62493401005441229</v>
      </c>
      <c r="F180" s="67">
        <v>11.109884644634137</v>
      </c>
      <c r="G180" s="67">
        <v>-5.9723802794414009</v>
      </c>
      <c r="H180" s="67">
        <v>5.137390079446015</v>
      </c>
      <c r="I180" s="67">
        <v>11.109770358887417</v>
      </c>
      <c r="J180" s="67">
        <v>10.875444848733803</v>
      </c>
      <c r="K180" s="67">
        <v>4.4354680225252423</v>
      </c>
      <c r="L180" s="67">
        <v>760</v>
      </c>
      <c r="M180" s="67">
        <v>0.57835618556353607</v>
      </c>
    </row>
    <row r="181" spans="3:13" x14ac:dyDescent="0.15">
      <c r="C181" s="67">
        <v>14.476565670296269</v>
      </c>
      <c r="D181" s="67">
        <v>1.1796566965361093</v>
      </c>
      <c r="E181" s="67">
        <v>1.1796566965361093</v>
      </c>
      <c r="F181" s="67">
        <v>0.5952691030656635</v>
      </c>
      <c r="G181" s="67">
        <v>0.56756606465494897</v>
      </c>
      <c r="H181" s="67">
        <v>1.1628349086908905</v>
      </c>
      <c r="I181" s="67">
        <v>0.59526884403594149</v>
      </c>
      <c r="J181" s="67">
        <v>-0.23968510897355022</v>
      </c>
      <c r="K181" s="67">
        <v>4.8377507661479147</v>
      </c>
      <c r="L181" s="67">
        <v>753.33333333333337</v>
      </c>
      <c r="M181" s="67">
        <v>0.33417806932442895</v>
      </c>
    </row>
  </sheetData>
  <mergeCells count="8">
    <mergeCell ref="C177:M177"/>
    <mergeCell ref="C170:M170"/>
    <mergeCell ref="C83:M83"/>
    <mergeCell ref="C101:M101"/>
    <mergeCell ref="C114:M114"/>
    <mergeCell ref="C129:M129"/>
    <mergeCell ref="C145:M145"/>
    <mergeCell ref="C156:M156"/>
  </mergeCell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6C745-C495-40A1-8463-3E9FC803AACA}">
  <dimension ref="B2:AW193"/>
  <sheetViews>
    <sheetView topLeftCell="A13" zoomScale="70" zoomScaleNormal="70" workbookViewId="0">
      <selection activeCell="BL19" sqref="BL19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42" x14ac:dyDescent="0.15">
      <c r="C2" s="2" t="s">
        <v>0</v>
      </c>
      <c r="J2" t="s">
        <v>15</v>
      </c>
    </row>
    <row r="3" spans="3:42" x14ac:dyDescent="0.15">
      <c r="J3" s="850">
        <f>'R-series ALU'!$G$33</f>
        <v>9.7222222222222214</v>
      </c>
      <c r="K3" t="s">
        <v>13</v>
      </c>
      <c r="L3" s="122">
        <f>'R-series ALU'!$G$39</f>
        <v>100</v>
      </c>
      <c r="M3" t="s">
        <v>14</v>
      </c>
      <c r="P3" t="s">
        <v>34</v>
      </c>
      <c r="AA3" s="2" t="s">
        <v>53</v>
      </c>
    </row>
    <row r="4" spans="3:42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2674</v>
      </c>
      <c r="AF4" s="63"/>
      <c r="AG4" s="62" t="s">
        <v>405</v>
      </c>
      <c r="AH4" s="63"/>
      <c r="AI4" t="s">
        <v>10</v>
      </c>
      <c r="AK4" t="s">
        <v>409</v>
      </c>
      <c r="AM4" t="s">
        <v>12</v>
      </c>
      <c r="AO4" t="s">
        <v>410</v>
      </c>
    </row>
    <row r="5" spans="3:42" x14ac:dyDescent="0.15">
      <c r="C5" t="s">
        <v>2</v>
      </c>
      <c r="D5" s="1"/>
      <c r="E5" s="1"/>
      <c r="H5" s="1"/>
      <c r="P5" s="52">
        <f t="array" ref="P5:Q5">LINEST(AI34:AI37,LN(AH34:AH37))</f>
        <v>13.082233523876539</v>
      </c>
      <c r="Q5" s="52">
        <v>16.293652457168861</v>
      </c>
      <c r="R5" t="str">
        <f>AI33</f>
        <v>Poisto</v>
      </c>
      <c r="T5" s="4"/>
      <c r="U5" s="39" t="s">
        <v>43</v>
      </c>
      <c r="V5" t="s">
        <v>28</v>
      </c>
      <c r="W5" s="9">
        <f>$P$5*LN($J$3)+$Q$5</f>
        <v>46.048070361263228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I5" s="65" t="s">
        <v>14</v>
      </c>
      <c r="AJ5" s="66" t="s">
        <v>13</v>
      </c>
      <c r="AK5" s="65" t="s">
        <v>14</v>
      </c>
      <c r="AL5" s="66" t="s">
        <v>13</v>
      </c>
      <c r="AM5" s="65" t="s">
        <v>14</v>
      </c>
      <c r="AN5" s="66" t="s">
        <v>13</v>
      </c>
      <c r="AO5" s="65" t="s">
        <v>14</v>
      </c>
      <c r="AP5" s="66" t="s">
        <v>13</v>
      </c>
    </row>
    <row r="6" spans="3:42" x14ac:dyDescent="0.15">
      <c r="C6" s="2" t="s">
        <v>3</v>
      </c>
      <c r="D6" s="1"/>
      <c r="E6" s="1"/>
      <c r="H6" s="1"/>
      <c r="P6" s="52">
        <f t="array" ref="P6:Q6">LINEST(AJ34:AJ37,LN(AH34:AH37))</f>
        <v>21.699984619325271</v>
      </c>
      <c r="Q6" s="52">
        <v>11.377958408987709</v>
      </c>
      <c r="R6" t="str">
        <f>AJ33</f>
        <v>Jäte</v>
      </c>
      <c r="T6" s="4"/>
      <c r="U6" s="39" t="s">
        <v>43</v>
      </c>
      <c r="V6" t="s">
        <v>7</v>
      </c>
      <c r="W6" s="9">
        <f>$P$6*LN($J$3)+$Q$6</f>
        <v>60.732711914755939</v>
      </c>
      <c r="X6" t="s">
        <v>31</v>
      </c>
      <c r="AA6" s="55">
        <v>15</v>
      </c>
      <c r="AB6" s="56">
        <f t="shared" ref="AB6:AB12" si="0">(-$D$9-SQRT($D$9^2-(4*$C$9*($E$9-AA6))))/(2*$C$9)</f>
        <v>103.57553241263072</v>
      </c>
      <c r="AC6" s="55">
        <v>15</v>
      </c>
      <c r="AD6" s="57">
        <f t="shared" ref="AD6:AD12" si="1">(-$D$13-SQRT($D$13^2-(4*$C$13*($E$13-AC6))))/(2*$C$13)</f>
        <v>103.56426593475659</v>
      </c>
      <c r="AE6" s="55">
        <v>10</v>
      </c>
      <c r="AF6" s="57">
        <f t="shared" ref="AF6:AF12" si="2">(-$D$17-SQRT($D$17^2-(4*$C$17*($E$17-AE6))))/(2*$C$17)</f>
        <v>98.863748472513095</v>
      </c>
      <c r="AG6" s="56">
        <v>10</v>
      </c>
      <c r="AH6" s="57">
        <f t="shared" ref="AH6:AH11" si="3">(-$D$20-SQRT($D$20^2-(4*$C$20*($E$20-AG6))))/(2*$C$20)</f>
        <v>81.983013493976628</v>
      </c>
      <c r="AI6" s="56">
        <v>10</v>
      </c>
      <c r="AJ6" s="57">
        <f>(-$D$23-SQRT($D$23^2-(4*$C$23*($E$23-AI6))))/(2*$C$23)</f>
        <v>65.508263329639192</v>
      </c>
      <c r="AK6" s="56">
        <v>10</v>
      </c>
      <c r="AL6" s="57">
        <f>(-$D$26-SQRT($D$26^2-(4*$C$26*($E$26-AK6))))/(2*$C$26)</f>
        <v>48.797613651027639</v>
      </c>
      <c r="AM6" s="56">
        <v>8</v>
      </c>
      <c r="AN6" s="57">
        <f>(-$D$29-SQRT($D$29^2-(4*$C$29*($E$29-AM6))))/(2*$C$29)</f>
        <v>32.198829381813553</v>
      </c>
      <c r="AO6" s="56">
        <v>5</v>
      </c>
      <c r="AP6" s="57">
        <f>(-$D$32-SQRT($D$32^2-(4*$C$32*($E$32-AO6))))/(2*$C$32)</f>
        <v>16.041783235142876</v>
      </c>
    </row>
    <row r="7" spans="3:42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94.880901963147465</v>
      </c>
      <c r="AC7" s="55">
        <v>50</v>
      </c>
      <c r="AD7" s="57">
        <f t="shared" si="1"/>
        <v>100.68992023693473</v>
      </c>
      <c r="AE7" s="55">
        <v>40</v>
      </c>
      <c r="AF7" s="57">
        <f t="shared" si="2"/>
        <v>94.863745143000813</v>
      </c>
      <c r="AG7" s="56">
        <v>25</v>
      </c>
      <c r="AH7" s="57">
        <f t="shared" si="3"/>
        <v>79.696567243836242</v>
      </c>
      <c r="AI7" s="56">
        <v>20</v>
      </c>
      <c r="AJ7" s="57">
        <f t="shared" ref="AJ7:AJ11" si="4">(-$D$23-SQRT($D$23^2-(4*$C$23*($E$23-AI7))))/(2*$C$23)</f>
        <v>63.637604496298707</v>
      </c>
      <c r="AK7" s="56">
        <v>20</v>
      </c>
      <c r="AL7" s="57">
        <f t="shared" ref="AL7:AL10" si="5">(-$D$26-SQRT($D$26^2-(4*$C$26*($E$26-AK7))))/(2*$C$26)</f>
        <v>46.415338122451843</v>
      </c>
      <c r="AM7" s="56">
        <v>20</v>
      </c>
      <c r="AN7" s="57">
        <f t="shared" ref="AN7:AN9" si="6">(-$D$29-SQRT($D$29^2-(4*$C$29*($E$29-AM7))))/(2*$C$29)</f>
        <v>28.017033069008061</v>
      </c>
      <c r="AO7" s="56">
        <v>10</v>
      </c>
      <c r="AP7" s="57">
        <f t="shared" ref="AP7:AP9" si="7">(-$D$32-SQRT($D$32^2-(4*$C$32*($E$32-AO7))))/(2*$C$32)</f>
        <v>13.000281264577914</v>
      </c>
    </row>
    <row r="8" spans="3:42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88.807959332100708</v>
      </c>
      <c r="AC8" s="55">
        <v>100</v>
      </c>
      <c r="AD8" s="57">
        <f t="shared" si="1"/>
        <v>96.312360679370698</v>
      </c>
      <c r="AE8" s="55">
        <v>60</v>
      </c>
      <c r="AF8" s="57">
        <f t="shared" si="2"/>
        <v>92.068115196745225</v>
      </c>
      <c r="AG8" s="56">
        <v>35</v>
      </c>
      <c r="AH8" s="57">
        <f t="shared" si="3"/>
        <v>78.122767590392229</v>
      </c>
      <c r="AI8" s="56">
        <v>40</v>
      </c>
      <c r="AJ8" s="57">
        <f t="shared" si="4"/>
        <v>59.6662850941036</v>
      </c>
      <c r="AK8" s="56">
        <v>60</v>
      </c>
      <c r="AL8" s="57">
        <f t="shared" si="5"/>
        <v>34.64658196138771</v>
      </c>
      <c r="AM8" s="56">
        <v>40</v>
      </c>
      <c r="AN8" s="57">
        <f t="shared" si="6"/>
        <v>18.151133945730049</v>
      </c>
      <c r="AO8" s="56">
        <v>12</v>
      </c>
      <c r="AP8" s="57">
        <f t="shared" si="7"/>
        <v>11.527166136435172</v>
      </c>
    </row>
    <row r="9" spans="3:42" x14ac:dyDescent="0.15">
      <c r="C9" s="8">
        <f>X60</f>
        <v>-3.723574726091862E-2</v>
      </c>
      <c r="D9" s="8">
        <f>Y60</f>
        <v>-4.6867453260920282</v>
      </c>
      <c r="E9" s="8">
        <f>Z60</f>
        <v>899.89317716964842</v>
      </c>
      <c r="H9" s="2"/>
      <c r="P9" t="s">
        <v>2675</v>
      </c>
      <c r="Q9" s="52">
        <f t="array" ref="Q9:R9">LINEST(AM35:AM41,AL35:AL41)</f>
        <v>2.3077788055313579</v>
      </c>
      <c r="R9" s="52">
        <v>-2.2347912160959993E-2</v>
      </c>
      <c r="S9" s="84">
        <f>(J3-R9)/Q9</f>
        <v>4.2224887892319165</v>
      </c>
      <c r="U9" s="39" t="s">
        <v>42</v>
      </c>
      <c r="V9" t="s">
        <v>44</v>
      </c>
      <c r="W9" s="9">
        <f>IF($J$3&gt;$AO$35,($J$3-$R$10)/$Q$10,($J$3-$R$9)/$Q$9)</f>
        <v>4.2224887892319165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83.402123627509837</v>
      </c>
      <c r="AC9" s="55">
        <v>150</v>
      </c>
      <c r="AD9" s="57">
        <f t="shared" si="1"/>
        <v>91.536434304785857</v>
      </c>
      <c r="AE9" s="55">
        <v>80</v>
      </c>
      <c r="AF9" s="57">
        <f t="shared" si="2"/>
        <v>89.154081732102</v>
      </c>
      <c r="AG9" s="56">
        <v>55</v>
      </c>
      <c r="AH9" s="57">
        <f t="shared" si="3"/>
        <v>74.841120229685856</v>
      </c>
      <c r="AI9" s="56">
        <v>60</v>
      </c>
      <c r="AJ9" s="57">
        <f t="shared" si="4"/>
        <v>55.313706862535192</v>
      </c>
      <c r="AK9" s="56">
        <v>80</v>
      </c>
      <c r="AL9" s="57">
        <f t="shared" si="5"/>
        <v>25.668533811416562</v>
      </c>
      <c r="AM9" s="1446">
        <v>42</v>
      </c>
      <c r="AN9" s="57">
        <f t="shared" si="6"/>
        <v>16.665786921223916</v>
      </c>
      <c r="AO9" s="1446">
        <v>14</v>
      </c>
      <c r="AP9" s="57">
        <f t="shared" si="7"/>
        <v>9.7946796341437654</v>
      </c>
    </row>
    <row r="10" spans="3:42" x14ac:dyDescent="0.15">
      <c r="C10" s="466"/>
      <c r="D10" s="2"/>
      <c r="E10" s="2"/>
      <c r="H10" s="2"/>
      <c r="P10" t="s">
        <v>2676</v>
      </c>
      <c r="Q10" s="52">
        <f t="array" ref="Q10:R10">LINEST(AO34:AO35,AN34:AN35)</f>
        <v>4.0825177822994654</v>
      </c>
      <c r="R10" s="52">
        <v>-14.220259726305816</v>
      </c>
      <c r="S10" s="84">
        <f>(J3-R10)/Q10</f>
        <v>5.8646362919312285</v>
      </c>
      <c r="W10" t="b">
        <f>IF(AND(W9&gt;=0,W9&lt;=10.01,'R-series ALU'!E33&gt;=W11,P22),TRUE,FALSE)</f>
        <v>0</v>
      </c>
      <c r="AA10" s="55">
        <v>320</v>
      </c>
      <c r="AB10" s="56">
        <f t="shared" si="0"/>
        <v>76.831301252434912</v>
      </c>
      <c r="AC10" s="55">
        <v>170</v>
      </c>
      <c r="AD10" s="57">
        <f t="shared" si="1"/>
        <v>89.48699640745069</v>
      </c>
      <c r="AE10" s="55">
        <v>100</v>
      </c>
      <c r="AF10" s="57">
        <f t="shared" si="2"/>
        <v>86.10519059739714</v>
      </c>
      <c r="AG10" s="56">
        <v>180</v>
      </c>
      <c r="AH10" s="57">
        <f t="shared" si="3"/>
        <v>46.436616599215917</v>
      </c>
      <c r="AI10" s="56">
        <v>120</v>
      </c>
      <c r="AJ10" s="57">
        <f t="shared" si="4"/>
        <v>37.871590945814823</v>
      </c>
      <c r="AK10" s="1446">
        <v>82</v>
      </c>
      <c r="AL10" s="1447">
        <f t="shared" si="5"/>
        <v>24.458258401494632</v>
      </c>
    </row>
    <row r="11" spans="3:42" x14ac:dyDescent="0.15">
      <c r="C11" s="2" t="s">
        <v>408</v>
      </c>
      <c r="D11" s="1"/>
      <c r="E11" s="1"/>
      <c r="H11" s="1"/>
      <c r="V11" t="s">
        <v>348</v>
      </c>
      <c r="W11">
        <v>10</v>
      </c>
      <c r="X11" t="s">
        <v>13</v>
      </c>
      <c r="AA11" s="55">
        <v>370</v>
      </c>
      <c r="AB11" s="56">
        <f t="shared" si="0"/>
        <v>71.942009838283937</v>
      </c>
      <c r="AC11" s="55">
        <v>190</v>
      </c>
      <c r="AD11" s="57">
        <f t="shared" si="1"/>
        <v>87.341571419937026</v>
      </c>
      <c r="AE11" s="55">
        <v>270</v>
      </c>
      <c r="AF11" s="57">
        <f t="shared" si="2"/>
        <v>48.048861693966089</v>
      </c>
      <c r="AG11" s="56">
        <v>200</v>
      </c>
      <c r="AH11" s="57">
        <f t="shared" si="3"/>
        <v>38.256987148325678</v>
      </c>
      <c r="AI11" s="1446">
        <v>125</v>
      </c>
      <c r="AJ11" s="1447">
        <f t="shared" si="4"/>
        <v>35.792961681016124</v>
      </c>
    </row>
    <row r="12" spans="3:42" x14ac:dyDescent="0.15">
      <c r="C12" t="s">
        <v>4</v>
      </c>
      <c r="D12" t="s">
        <v>5</v>
      </c>
      <c r="E12" t="s">
        <v>6</v>
      </c>
      <c r="H12" s="1"/>
      <c r="P12" t="s">
        <v>51</v>
      </c>
      <c r="AA12" s="58">
        <v>460</v>
      </c>
      <c r="AB12" s="59">
        <f t="shared" si="0"/>
        <v>62.662556243440676</v>
      </c>
      <c r="AC12" s="58">
        <v>360</v>
      </c>
      <c r="AD12" s="60">
        <f t="shared" si="1"/>
        <v>60.282027789731337</v>
      </c>
      <c r="AE12" s="58">
        <v>280</v>
      </c>
      <c r="AF12" s="60">
        <f t="shared" si="2"/>
        <v>43.718181696062231</v>
      </c>
      <c r="AG12" s="59"/>
      <c r="AH12" s="60"/>
    </row>
    <row r="13" spans="3:42" x14ac:dyDescent="0.15">
      <c r="C13" s="8">
        <f>X61</f>
        <v>-0.10408231780376659</v>
      </c>
      <c r="D13" s="8">
        <f>Y61</f>
        <v>9.0825648636003962</v>
      </c>
      <c r="E13" s="8">
        <f>Z61</f>
        <v>190.71168798244662</v>
      </c>
      <c r="P13" s="51">
        <f t="array" ref="P13:S13">LINEST(AE34:AE41,AC34:AC41^{1,2,3})</f>
        <v>-5.0785288799780623E-3</v>
      </c>
      <c r="Q13" s="51">
        <v>0.40025536526743566</v>
      </c>
      <c r="R13" s="51">
        <v>-3.9341684780139259</v>
      </c>
      <c r="S13" s="51">
        <v>14.958432351300495</v>
      </c>
      <c r="U13" s="39" t="s">
        <v>43</v>
      </c>
      <c r="V13" t="s">
        <v>44</v>
      </c>
      <c r="W13" s="9">
        <f>$P$13*J3^3+$Q$13*J3^2+$R$13*J3+$S$13</f>
        <v>9.8753865152497227</v>
      </c>
      <c r="X13" t="s">
        <v>49</v>
      </c>
      <c r="Y13" t="s">
        <v>592</v>
      </c>
    </row>
    <row r="14" spans="3:42" x14ac:dyDescent="0.15">
      <c r="H14" s="2"/>
      <c r="V14" t="s">
        <v>52</v>
      </c>
      <c r="W14" s="3">
        <f>IF(W13&gt;Y14,Y14,W13)</f>
        <v>9.8753865152497227</v>
      </c>
      <c r="X14" t="s">
        <v>49</v>
      </c>
      <c r="Y14" s="8">
        <v>120.6</v>
      </c>
      <c r="Z14" t="s">
        <v>49</v>
      </c>
    </row>
    <row r="15" spans="3:42" x14ac:dyDescent="0.15">
      <c r="C15" s="2" t="s">
        <v>2673</v>
      </c>
      <c r="D15" s="1"/>
      <c r="E15" s="1"/>
      <c r="H15" s="2"/>
    </row>
    <row r="16" spans="3:42" x14ac:dyDescent="0.15">
      <c r="C16" t="s">
        <v>4</v>
      </c>
      <c r="D16" t="s">
        <v>5</v>
      </c>
      <c r="E16" t="s">
        <v>6</v>
      </c>
      <c r="H16" s="1"/>
      <c r="V16" t="s">
        <v>44</v>
      </c>
      <c r="W16">
        <f>'Laskenta tulopuoli 53mini'!W14</f>
        <v>10.030011429004201</v>
      </c>
    </row>
    <row r="17" spans="3:45" ht="14" thickBot="1" x14ac:dyDescent="0.2">
      <c r="C17" s="8">
        <f>X62</f>
        <v>-5.0910794856209869E-2</v>
      </c>
      <c r="D17" s="8">
        <f>Y62</f>
        <v>2.3628269282974625</v>
      </c>
      <c r="E17" s="8">
        <f>Z62</f>
        <v>274.00625702898395</v>
      </c>
      <c r="H17" s="1"/>
      <c r="V17" t="s">
        <v>73</v>
      </c>
      <c r="W17">
        <v>4.4000000000000004</v>
      </c>
    </row>
    <row r="18" spans="3:45" x14ac:dyDescent="0.15">
      <c r="C18" s="2" t="s">
        <v>411</v>
      </c>
      <c r="D18" s="1"/>
      <c r="E18" s="1"/>
      <c r="H18" s="1"/>
      <c r="P18" s="228" t="s">
        <v>605</v>
      </c>
      <c r="Q18" s="230"/>
      <c r="R18" s="231"/>
    </row>
    <row r="19" spans="3:45" x14ac:dyDescent="0.15">
      <c r="C19" t="s">
        <v>4</v>
      </c>
      <c r="D19" t="s">
        <v>5</v>
      </c>
      <c r="E19" t="s">
        <v>6</v>
      </c>
      <c r="P19" s="232" t="s">
        <v>606</v>
      </c>
      <c r="Q19" s="8">
        <v>450</v>
      </c>
      <c r="R19" s="364" t="s">
        <v>14</v>
      </c>
      <c r="V19" s="74" t="s">
        <v>74</v>
      </c>
      <c r="W19" s="77">
        <f>W13+W16+W17</f>
        <v>24.305397944253926</v>
      </c>
      <c r="X19" s="75" t="s">
        <v>49</v>
      </c>
      <c r="AB19" s="6"/>
      <c r="AC19" s="6"/>
    </row>
    <row r="20" spans="3:45" x14ac:dyDescent="0.15">
      <c r="C20" s="8">
        <f>X63</f>
        <v>-5.345519740871111E-2</v>
      </c>
      <c r="D20" s="8">
        <f>Y63</f>
        <v>2.0822147710169085</v>
      </c>
      <c r="E20" s="8">
        <f>Z63</f>
        <v>198.57760633720039</v>
      </c>
      <c r="H20" s="1"/>
      <c r="P20" s="232" t="s">
        <v>607</v>
      </c>
      <c r="Q20" s="8">
        <v>0.25</v>
      </c>
      <c r="R20" s="364"/>
      <c r="AB20" s="6"/>
      <c r="AC20" s="6"/>
    </row>
    <row r="21" spans="3:45" x14ac:dyDescent="0.15">
      <c r="C21" s="2" t="s">
        <v>10</v>
      </c>
      <c r="H21" s="1"/>
      <c r="P21" s="232"/>
      <c r="R21" s="364"/>
      <c r="V21" t="s">
        <v>78</v>
      </c>
      <c r="W21" s="110">
        <f>MAX(J3,'Laskenta tulopuoli 53mini'!J3)</f>
        <v>9.7222222222222214</v>
      </c>
      <c r="X21" t="s">
        <v>13</v>
      </c>
      <c r="AB21" s="6"/>
      <c r="AC21" s="6"/>
    </row>
    <row r="22" spans="3:45" ht="16" thickBot="1" x14ac:dyDescent="0.2">
      <c r="C22" t="s">
        <v>4</v>
      </c>
      <c r="D22" t="s">
        <v>5</v>
      </c>
      <c r="E22" t="s">
        <v>6</v>
      </c>
      <c r="H22" s="1"/>
      <c r="P22" s="236" t="b">
        <f>IF(AND(L3&gt;Q19,U29&gt;Q20),FALSE,TRUE)</f>
        <v>1</v>
      </c>
      <c r="Q22" s="238"/>
      <c r="R22" s="239"/>
      <c r="V22" t="s">
        <v>75</v>
      </c>
      <c r="W22">
        <f>W19/W21</f>
        <v>2.4999837885518326</v>
      </c>
      <c r="X22" t="s">
        <v>77</v>
      </c>
      <c r="AB22" s="6"/>
      <c r="AC22" s="6"/>
    </row>
    <row r="23" spans="3:45" x14ac:dyDescent="0.15">
      <c r="C23" s="8">
        <f>X64</f>
        <v>-5.2995838968433011E-2</v>
      </c>
      <c r="D23" s="8">
        <f>Y64</f>
        <v>1.498483418007283</v>
      </c>
      <c r="E23" s="8">
        <f>Z64</f>
        <v>139.25972320447949</v>
      </c>
      <c r="H23" s="1"/>
    </row>
    <row r="24" spans="3:45" x14ac:dyDescent="0.15">
      <c r="C24" s="2" t="s">
        <v>409</v>
      </c>
      <c r="H24" s="1"/>
      <c r="P24">
        <v>13</v>
      </c>
      <c r="Q24">
        <f>$C$23*P24^2+$D$23*P24+$E$23</f>
        <v>149.783710852909</v>
      </c>
    </row>
    <row r="25" spans="3:45" x14ac:dyDescent="0.15">
      <c r="C25" t="s">
        <v>4</v>
      </c>
      <c r="D25" t="s">
        <v>5</v>
      </c>
      <c r="E25" t="s">
        <v>6</v>
      </c>
      <c r="G25" s="2"/>
      <c r="H25" s="1"/>
      <c r="P25">
        <v>15</v>
      </c>
      <c r="Q25">
        <f>$C$23*P25^2+$D$23*P25+$E$23</f>
        <v>149.8129107066913</v>
      </c>
    </row>
    <row r="26" spans="3:45" x14ac:dyDescent="0.15">
      <c r="C26" s="8">
        <f>X65</f>
        <v>-5.6450823457149156E-2</v>
      </c>
      <c r="D26" s="8">
        <f>Y65</f>
        <v>1.1771822674537094</v>
      </c>
      <c r="E26" s="8">
        <f>Z65</f>
        <v>86.977416022035143</v>
      </c>
      <c r="P26">
        <v>45</v>
      </c>
      <c r="Q26">
        <f>$C$23*P26^2+$D$23*P26+$E$23</f>
        <v>99.374903103730375</v>
      </c>
    </row>
    <row r="27" spans="3:45" x14ac:dyDescent="0.15">
      <c r="C27" s="2" t="s">
        <v>12</v>
      </c>
      <c r="U27" t="s">
        <v>37</v>
      </c>
    </row>
    <row r="28" spans="3:45" x14ac:dyDescent="0.15">
      <c r="C28" t="s">
        <v>4</v>
      </c>
      <c r="D28" t="s">
        <v>5</v>
      </c>
      <c r="E28" t="s">
        <v>6</v>
      </c>
      <c r="U28" s="4" t="s">
        <v>17</v>
      </c>
      <c r="AM28">
        <v>9</v>
      </c>
      <c r="AN28">
        <f>Q9*AM28+R9</f>
        <v>20.74766133762126</v>
      </c>
      <c r="AO28" t="s">
        <v>13</v>
      </c>
    </row>
    <row r="29" spans="3:45" x14ac:dyDescent="0.15">
      <c r="C29" s="8">
        <f>X66</f>
        <v>-5.9966811135600998E-2</v>
      </c>
      <c r="D29" s="8">
        <f>Y66</f>
        <v>0.74137302696118745</v>
      </c>
      <c r="E29" s="8">
        <f>Z66</f>
        <v>46.300124169973344</v>
      </c>
      <c r="U29" s="4">
        <f>(L3/J3)^2/L3</f>
        <v>1.0579591836734696</v>
      </c>
    </row>
    <row r="30" spans="3:45" x14ac:dyDescent="0.15">
      <c r="C30" s="2" t="s">
        <v>410</v>
      </c>
    </row>
    <row r="31" spans="3:45" x14ac:dyDescent="0.15">
      <c r="C31" t="s">
        <v>4</v>
      </c>
      <c r="D31" t="s">
        <v>5</v>
      </c>
      <c r="E31" t="s">
        <v>6</v>
      </c>
      <c r="U31" s="2" t="s">
        <v>16</v>
      </c>
      <c r="AS31" s="2" t="s">
        <v>1110</v>
      </c>
    </row>
    <row r="32" spans="3:45" x14ac:dyDescent="0.15">
      <c r="C32" s="8">
        <f>X67</f>
        <v>-6.3406815061642571E-2</v>
      </c>
      <c r="D32" s="8">
        <f>Y67</f>
        <v>0.19754018326988027</v>
      </c>
      <c r="E32" s="8">
        <f>Z67</f>
        <v>18.148137493236938</v>
      </c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I32" s="10" t="s">
        <v>27</v>
      </c>
      <c r="AJ32" s="21"/>
      <c r="AL32" t="s">
        <v>79</v>
      </c>
      <c r="AN32" t="s">
        <v>2677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G33" s="1466" t="s">
        <v>365</v>
      </c>
      <c r="AH33" s="1466" t="s">
        <v>13</v>
      </c>
      <c r="AI33" s="14" t="s">
        <v>8</v>
      </c>
      <c r="AJ33" s="26" t="s">
        <v>57</v>
      </c>
      <c r="AL33" t="s">
        <v>25</v>
      </c>
      <c r="AM33" t="s">
        <v>13</v>
      </c>
      <c r="AN33" t="s">
        <v>25</v>
      </c>
      <c r="AO33" t="s">
        <v>13</v>
      </c>
      <c r="AS33" s="2" t="s">
        <v>1107</v>
      </c>
      <c r="AV33" t="s">
        <v>1115</v>
      </c>
    </row>
    <row r="34" spans="21:49" x14ac:dyDescent="0.15">
      <c r="U34" s="41">
        <v>10</v>
      </c>
      <c r="V34" s="1425">
        <f>C9</f>
        <v>-3.723574726091862E-2</v>
      </c>
      <c r="W34" s="1426">
        <f>D9</f>
        <v>-4.6867453260920282</v>
      </c>
      <c r="X34" s="1427">
        <f>E9</f>
        <v>899.89317716964842</v>
      </c>
      <c r="Y34" s="1428">
        <f>C9-U29</f>
        <v>-1.0951949309343882</v>
      </c>
      <c r="Z34" s="1429">
        <f>(-W34+SQRT(W34^2-(4*Y34*X34)))/(2*Y34)</f>
        <v>-30.884289004745753</v>
      </c>
      <c r="AA34" s="1430">
        <f>(-W34-SQRT(W34^2-(4*Y34*X34)))/(2*Y34)</f>
        <v>26.604918096688834</v>
      </c>
      <c r="AB34" s="1428">
        <f>AB6</f>
        <v>103.57553241263072</v>
      </c>
      <c r="AC34" s="1431">
        <f>IF(Z34&lt;0,AA34,IF(Z34&gt;AB34,AA34,Z34))</f>
        <v>26.604918096688834</v>
      </c>
      <c r="AD34" s="1431">
        <f>V34*AC34^2+W34*AC34+X34</f>
        <v>748.84643293326656</v>
      </c>
      <c r="AE34" s="1432">
        <f t="shared" ref="AE34:AE41" si="8">AD60*AC34^2+AE60*AC34+AF60</f>
        <v>97.77516159417371</v>
      </c>
      <c r="AG34" s="1466">
        <v>10</v>
      </c>
      <c r="AH34" s="917">
        <f>AC34</f>
        <v>26.604918096688834</v>
      </c>
      <c r="AI34" s="1424">
        <f>$H$60*AH34^2+$I$60*AH34+$J$60</f>
        <v>57.564656561428002</v>
      </c>
      <c r="AJ34" s="53">
        <f>$R$60*AH34^2+$S$60*AH34+$T$60</f>
        <v>82.280283368158209</v>
      </c>
      <c r="AL34">
        <v>10</v>
      </c>
      <c r="AM34" s="3">
        <f t="shared" ref="AM34:AM41" si="9">AC34</f>
        <v>26.604918096688834</v>
      </c>
      <c r="AN34">
        <v>10</v>
      </c>
      <c r="AO34" s="3">
        <f>AM34</f>
        <v>26.604918096688834</v>
      </c>
      <c r="AS34" s="616">
        <f>AC34/$J$3-1</f>
        <v>1.736505861373709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C13</f>
        <v>-0.10408231780376659</v>
      </c>
      <c r="W35" s="99">
        <f>D13</f>
        <v>9.0825648636003962</v>
      </c>
      <c r="X35" s="100">
        <f>E13</f>
        <v>190.71168798244662</v>
      </c>
      <c r="Y35" s="36">
        <f>C13-U29</f>
        <v>-1.1620415014772363</v>
      </c>
      <c r="Z35" s="28">
        <f t="shared" ref="Z35:Z40" si="10">(-W35+SQRT(W35^2-(4*Y35*X35)))/(2*Y35)</f>
        <v>-9.4856500771203223</v>
      </c>
      <c r="AA35" s="29">
        <f t="shared" ref="AA35:AA40" si="11">(-W35-SQRT(W35^2-(4*Y35*X35)))/(2*Y35)</f>
        <v>17.301691803731856</v>
      </c>
      <c r="AB35" s="36">
        <f>AD6</f>
        <v>103.56426593475659</v>
      </c>
      <c r="AC35" s="53">
        <f t="shared" ref="AC35:AC40" si="12">IF(Z35&lt;0,AA35,IF(Z35&gt;AB35,AA35,Z35))</f>
        <v>17.301691803731856</v>
      </c>
      <c r="AD35" s="53">
        <f>V35*AC35^2+W35*AC35+X35</f>
        <v>316.6985362413335</v>
      </c>
      <c r="AE35" s="1433">
        <f t="shared" si="8"/>
        <v>45.528721815858574</v>
      </c>
      <c r="AG35" s="1466">
        <v>7</v>
      </c>
      <c r="AH35" s="917">
        <f>AC36</f>
        <v>16.821028572680941</v>
      </c>
      <c r="AI35" s="1424">
        <f>$H$65*AH35^2+$I$65*AH35+$J$65</f>
        <v>54.124446469359235</v>
      </c>
      <c r="AJ35" s="53">
        <f>$R$65*AH35^2+$S$65*AH35+$T$65</f>
        <v>73.164976290393994</v>
      </c>
      <c r="AL35">
        <v>8</v>
      </c>
      <c r="AM35" s="3">
        <f t="shared" si="9"/>
        <v>17.301691803731856</v>
      </c>
      <c r="AN35">
        <v>8</v>
      </c>
      <c r="AO35" s="3">
        <f>Q9*AN35+R9</f>
        <v>18.439882532089904</v>
      </c>
      <c r="AS35" t="s">
        <v>1114</v>
      </c>
      <c r="AV35" t="s">
        <v>1116</v>
      </c>
    </row>
    <row r="36" spans="21:49" x14ac:dyDescent="0.15">
      <c r="U36" s="35">
        <v>7</v>
      </c>
      <c r="V36" s="98">
        <f>C17</f>
        <v>-5.0910794856209869E-2</v>
      </c>
      <c r="W36" s="99">
        <f>D17</f>
        <v>2.3628269282974625</v>
      </c>
      <c r="X36" s="100">
        <f>E17</f>
        <v>274.00625702898395</v>
      </c>
      <c r="Y36" s="36">
        <f>C17-U29</f>
        <v>-1.1088699785296796</v>
      </c>
      <c r="Z36" s="28">
        <f t="shared" si="10"/>
        <v>-14.690186387350531</v>
      </c>
      <c r="AA36" s="29">
        <f t="shared" si="11"/>
        <v>16.821028572680941</v>
      </c>
      <c r="AB36" s="36">
        <f>AF6</f>
        <v>98.863748472513095</v>
      </c>
      <c r="AC36" s="53">
        <f t="shared" si="12"/>
        <v>16.821028572680941</v>
      </c>
      <c r="AD36" s="53">
        <f>V36*AC36^2+W36*AC36+X36</f>
        <v>299.34637951580521</v>
      </c>
      <c r="AE36" s="1433">
        <f t="shared" si="8"/>
        <v>34.492707859387735</v>
      </c>
      <c r="AG36" s="1466">
        <v>6</v>
      </c>
      <c r="AH36" s="917">
        <f>AC37</f>
        <v>14.336314184673641</v>
      </c>
      <c r="AI36" s="1424">
        <f>$H$70*AH36^2+$I$70*AH36+$J$70</f>
        <v>53.945281169063811</v>
      </c>
      <c r="AJ36" s="53">
        <f>$R$70*AH36^2+$S$70*AH36+$T$70</f>
        <v>69.15343767050588</v>
      </c>
      <c r="AL36">
        <v>7</v>
      </c>
      <c r="AM36" s="3">
        <f t="shared" si="9"/>
        <v>16.821028572680941</v>
      </c>
      <c r="AS36" s="609">
        <f>Tulokset!$CR$16</f>
        <v>11.666666666666666</v>
      </c>
      <c r="AT36" t="s">
        <v>13</v>
      </c>
      <c r="AV36" s="617">
        <f>IF($AS$36&gt;$AO$35,($AS$36-$R$10)/$Q$10,($AS$36-$R$9)/$Q$9)</f>
        <v>5.0650498006182492</v>
      </c>
      <c r="AW36" t="s">
        <v>25</v>
      </c>
    </row>
    <row r="37" spans="21:49" x14ac:dyDescent="0.15">
      <c r="U37" s="35">
        <v>6</v>
      </c>
      <c r="V37" s="98">
        <f>C20</f>
        <v>-5.345519740871111E-2</v>
      </c>
      <c r="W37" s="99">
        <f>D20</f>
        <v>2.0822147710169085</v>
      </c>
      <c r="X37" s="100">
        <f>E20</f>
        <v>198.57760633720039</v>
      </c>
      <c r="Y37" s="36">
        <f>C20-$U$29</f>
        <v>-1.1114143810821808</v>
      </c>
      <c r="Z37" s="28">
        <f t="shared" si="10"/>
        <v>-12.462832244490844</v>
      </c>
      <c r="AA37" s="29">
        <f t="shared" si="11"/>
        <v>14.336314184673641</v>
      </c>
      <c r="AB37" s="36">
        <f>AH6</f>
        <v>81.983013493976628</v>
      </c>
      <c r="AC37" s="467">
        <f t="shared" si="12"/>
        <v>14.336314184673641</v>
      </c>
      <c r="AD37" s="467">
        <f>V37*AC37^2+W37*AC37+X37</f>
        <v>217.44224988128204</v>
      </c>
      <c r="AE37" s="1433">
        <f t="shared" si="8"/>
        <v>23.407821971370602</v>
      </c>
      <c r="AG37" s="1466">
        <v>4</v>
      </c>
      <c r="AH37" s="917">
        <f>AC39</f>
        <v>9.3784128587041202</v>
      </c>
      <c r="AI37" s="1424">
        <f>$H$75*AH37^2+$I$75*AH37+$J$75</f>
        <v>43.509318709746701</v>
      </c>
      <c r="AJ37" s="53">
        <f>$R$75*AH37^2+$S$75*AH37+$T$75</f>
        <v>59.719995992766748</v>
      </c>
      <c r="AL37">
        <v>6</v>
      </c>
      <c r="AM37" s="3">
        <f t="shared" si="9"/>
        <v>14.336314184673641</v>
      </c>
      <c r="AS37" s="609">
        <f>Tulokset!$CR$17</f>
        <v>115.19999999999999</v>
      </c>
      <c r="AT37" t="s">
        <v>14</v>
      </c>
    </row>
    <row r="38" spans="21:49" x14ac:dyDescent="0.15">
      <c r="U38" s="35">
        <v>5</v>
      </c>
      <c r="V38" s="98">
        <f>C23</f>
        <v>-5.2995838968433011E-2</v>
      </c>
      <c r="W38" s="99">
        <f t="shared" ref="W38:X38" si="13">D23</f>
        <v>1.498483418007283</v>
      </c>
      <c r="X38" s="100">
        <f t="shared" si="13"/>
        <v>139.25972320447949</v>
      </c>
      <c r="Y38" s="36">
        <f>C23-$U$29</f>
        <v>-1.1109550226419027</v>
      </c>
      <c r="Z38" s="28">
        <f t="shared" si="10"/>
        <v>-10.541923669597956</v>
      </c>
      <c r="AA38" s="29">
        <f t="shared" si="11"/>
        <v>11.890748228169031</v>
      </c>
      <c r="AB38" s="36">
        <f>AJ6</f>
        <v>65.508263329639192</v>
      </c>
      <c r="AC38" s="467">
        <f t="shared" si="12"/>
        <v>11.890748228169031</v>
      </c>
      <c r="AD38" s="467">
        <f t="shared" ref="AD38:AD40" si="14">V38*AC38^2+W38*AC38+X38</f>
        <v>149.5847362283377</v>
      </c>
      <c r="AE38" s="1433">
        <f t="shared" si="8"/>
        <v>15.694328929644222</v>
      </c>
      <c r="AL38">
        <v>5</v>
      </c>
      <c r="AM38" s="3">
        <f t="shared" si="9"/>
        <v>11.890748228169031</v>
      </c>
    </row>
    <row r="39" spans="21:49" x14ac:dyDescent="0.15">
      <c r="U39" s="35">
        <v>4</v>
      </c>
      <c r="V39" s="98">
        <f>C26</f>
        <v>-5.6450823457149156E-2</v>
      </c>
      <c r="W39" s="99">
        <f t="shared" ref="W39:X39" si="15">D26</f>
        <v>1.1771822674537094</v>
      </c>
      <c r="X39" s="100">
        <f t="shared" si="15"/>
        <v>86.977416022035143</v>
      </c>
      <c r="Y39" s="36">
        <f>C26-$U$29</f>
        <v>-1.1144100071306189</v>
      </c>
      <c r="Z39" s="28">
        <f t="shared" si="10"/>
        <v>-8.3220850620032305</v>
      </c>
      <c r="AA39" s="29">
        <f t="shared" si="11"/>
        <v>9.3784128587041202</v>
      </c>
      <c r="AB39" s="36">
        <f>AL6</f>
        <v>48.797613651027639</v>
      </c>
      <c r="AC39" s="467">
        <f t="shared" si="12"/>
        <v>9.3784128587041202</v>
      </c>
      <c r="AD39" s="467">
        <f t="shared" si="14"/>
        <v>93.05240617290255</v>
      </c>
      <c r="AE39" s="1433">
        <f t="shared" si="8"/>
        <v>10.036046404632911</v>
      </c>
      <c r="AL39">
        <v>4</v>
      </c>
      <c r="AM39" s="3">
        <f t="shared" si="9"/>
        <v>9.3784128587041202</v>
      </c>
    </row>
    <row r="40" spans="21:49" x14ac:dyDescent="0.15">
      <c r="U40" s="35">
        <v>3</v>
      </c>
      <c r="V40" s="98">
        <f>C29</f>
        <v>-5.9966811135600998E-2</v>
      </c>
      <c r="W40" s="99">
        <f t="shared" ref="W40:X40" si="16">D29</f>
        <v>0.74137302696118745</v>
      </c>
      <c r="X40" s="100">
        <f t="shared" si="16"/>
        <v>46.300124169973344</v>
      </c>
      <c r="Y40" s="36">
        <f>C29-$U$29</f>
        <v>-1.1179259948090707</v>
      </c>
      <c r="Z40" s="28">
        <f t="shared" si="10"/>
        <v>-6.1124859026734102</v>
      </c>
      <c r="AA40" s="29">
        <f t="shared" si="11"/>
        <v>6.7756541538847133</v>
      </c>
      <c r="AB40" s="36">
        <f>AN6</f>
        <v>32.198829381813553</v>
      </c>
      <c r="AC40" s="1434">
        <f t="shared" si="12"/>
        <v>6.7756541538847133</v>
      </c>
      <c r="AD40" s="1434">
        <f t="shared" si="14"/>
        <v>48.57036573070981</v>
      </c>
      <c r="AE40" s="1433">
        <f t="shared" si="8"/>
        <v>6.4581543664554317</v>
      </c>
      <c r="AL40">
        <v>3</v>
      </c>
      <c r="AM40" s="3">
        <f t="shared" si="9"/>
        <v>6.7756541538847133</v>
      </c>
    </row>
    <row r="41" spans="21:49" x14ac:dyDescent="0.15">
      <c r="U41" s="38">
        <v>2</v>
      </c>
      <c r="V41" s="101">
        <f>C32</f>
        <v>-6.3406815061642571E-2</v>
      </c>
      <c r="W41" s="102">
        <f>D32</f>
        <v>0.19754018326988027</v>
      </c>
      <c r="X41" s="103">
        <f>E32</f>
        <v>18.148137493236938</v>
      </c>
      <c r="Y41" s="37">
        <f>C32-$U$29</f>
        <v>-1.1213659987351121</v>
      </c>
      <c r="Z41" s="30">
        <f>(-W41+SQRT(W41^2-(4*Y41*X41)))/(2*Y41)</f>
        <v>-3.9358126954589587</v>
      </c>
      <c r="AA41" s="31">
        <f t="shared" ref="AA41" si="17">(-W41-SQRT(W41^2-(4*Y41*X41)))/(2*Y41)</f>
        <v>4.1119730066265028</v>
      </c>
      <c r="AB41" s="37">
        <f>AN7</f>
        <v>28.017033069008061</v>
      </c>
      <c r="AC41" s="1434">
        <f t="shared" ref="AC41" si="18">IF(Z41&lt;0,AA41,IF(Z41&gt;AB41,AA41,Z41))</f>
        <v>4.1119730066265028</v>
      </c>
      <c r="AD41" s="1434">
        <f t="shared" ref="AD41" si="19">V41*AC41^2+W41*AC41+X41</f>
        <v>17.88831454805192</v>
      </c>
      <c r="AE41" s="1433">
        <f t="shared" si="8"/>
        <v>4.2956354653847457</v>
      </c>
      <c r="AL41">
        <v>2</v>
      </c>
      <c r="AM41" s="3">
        <f t="shared" si="9"/>
        <v>4.1119730066265028</v>
      </c>
    </row>
    <row r="42" spans="21:49" x14ac:dyDescent="0.15">
      <c r="U42" s="2" t="s">
        <v>35</v>
      </c>
      <c r="W42" t="s">
        <v>36</v>
      </c>
    </row>
    <row r="44" spans="21:49" x14ac:dyDescent="0.15">
      <c r="U44" s="74"/>
      <c r="V44" s="128"/>
      <c r="W44" s="75"/>
      <c r="X44" s="43">
        <v>63</v>
      </c>
      <c r="Y44" s="44">
        <v>125</v>
      </c>
      <c r="Z44" s="44">
        <v>250</v>
      </c>
      <c r="AA44" s="44">
        <v>500</v>
      </c>
      <c r="AB44" s="44">
        <v>1000</v>
      </c>
      <c r="AC44" s="44">
        <v>2000</v>
      </c>
      <c r="AD44" s="44">
        <v>4000</v>
      </c>
      <c r="AE44" s="45">
        <v>8000</v>
      </c>
      <c r="AG44" s="43">
        <v>63</v>
      </c>
      <c r="AH44" s="44">
        <v>125</v>
      </c>
      <c r="AI44" s="44">
        <v>250</v>
      </c>
      <c r="AJ44" s="44">
        <v>500</v>
      </c>
      <c r="AK44" s="44">
        <v>1000</v>
      </c>
      <c r="AL44" s="44">
        <v>2000</v>
      </c>
      <c r="AM44" s="44">
        <v>4000</v>
      </c>
      <c r="AN44" s="45">
        <v>8000</v>
      </c>
      <c r="AO44" t="s">
        <v>70</v>
      </c>
      <c r="AP44" t="s">
        <v>71</v>
      </c>
    </row>
    <row r="45" spans="21:49" x14ac:dyDescent="0.15">
      <c r="U45" s="10" t="s">
        <v>55</v>
      </c>
      <c r="V45" s="21">
        <v>8.6999999999999993</v>
      </c>
      <c r="W45" s="971">
        <f>ABS($W$9-V45)</f>
        <v>4.4775112107680828</v>
      </c>
      <c r="X45" s="1469">
        <v>12</v>
      </c>
      <c r="Y45" s="843">
        <v>12</v>
      </c>
      <c r="Z45" s="843">
        <v>6</v>
      </c>
      <c r="AA45" s="843">
        <v>-7</v>
      </c>
      <c r="AB45" s="843">
        <v>-13</v>
      </c>
      <c r="AC45" s="843">
        <v>-25</v>
      </c>
      <c r="AD45" s="843">
        <v>-35</v>
      </c>
      <c r="AE45" s="843">
        <v>-41</v>
      </c>
      <c r="AF45" s="39" t="s">
        <v>42</v>
      </c>
      <c r="AG45" s="53">
        <f>$W$5+X49</f>
        <v>62.048070361263228</v>
      </c>
      <c r="AH45" s="53">
        <f t="shared" ref="AH45:AN45" si="20">$W$5+Y49</f>
        <v>59.048070361263228</v>
      </c>
      <c r="AI45" s="53">
        <f t="shared" si="20"/>
        <v>50.048070361263228</v>
      </c>
      <c r="AJ45" s="53">
        <f t="shared" si="20"/>
        <v>38.048070361263228</v>
      </c>
      <c r="AK45" s="53">
        <f t="shared" si="20"/>
        <v>34.048070361263228</v>
      </c>
      <c r="AL45" s="53">
        <f t="shared" si="20"/>
        <v>20.048070361263228</v>
      </c>
      <c r="AM45" s="53">
        <f t="shared" si="20"/>
        <v>14.048070361263228</v>
      </c>
      <c r="AN45" s="53">
        <f t="shared" si="20"/>
        <v>20.048070361263228</v>
      </c>
      <c r="AO45" s="5">
        <f t="array" ref="AO45">10*LOG10(SUM(10^(AG45:AN45/10)))</f>
        <v>64.007041915769051</v>
      </c>
      <c r="AP45" s="5">
        <f t="array" ref="AP45">10*LOG10(SUM(10^((AG45:AN45+AG53:AN53)/10)))</f>
        <v>46.370323786480299</v>
      </c>
      <c r="AQ45" t="str">
        <f>IF(ABS(W5-AP45)&lt;0.5,"OK","Tarkista laskenta!")</f>
        <v>OK</v>
      </c>
    </row>
    <row r="46" spans="21:49" x14ac:dyDescent="0.15">
      <c r="U46" s="12"/>
      <c r="V46" s="24">
        <v>7</v>
      </c>
      <c r="W46" s="42">
        <f t="shared" ref="W46:W48" si="21">ABS($W$9-V46)</f>
        <v>2.7775112107680835</v>
      </c>
      <c r="X46" s="1469">
        <v>13</v>
      </c>
      <c r="Y46" s="843">
        <v>13</v>
      </c>
      <c r="Z46" s="843">
        <v>5</v>
      </c>
      <c r="AA46" s="843">
        <v>-7</v>
      </c>
      <c r="AB46" s="843">
        <v>-13</v>
      </c>
      <c r="AC46" s="843">
        <v>-26</v>
      </c>
      <c r="AD46" s="843">
        <v>-36</v>
      </c>
      <c r="AE46" s="843">
        <v>-39</v>
      </c>
    </row>
    <row r="47" spans="21:49" x14ac:dyDescent="0.15">
      <c r="U47" s="12"/>
      <c r="V47" s="24">
        <v>6</v>
      </c>
      <c r="W47" s="42">
        <f t="shared" si="21"/>
        <v>1.7775112107680835</v>
      </c>
      <c r="X47" s="1469">
        <v>16</v>
      </c>
      <c r="Y47" s="843">
        <v>13</v>
      </c>
      <c r="Z47" s="843">
        <v>5</v>
      </c>
      <c r="AA47" s="843">
        <v>-8</v>
      </c>
      <c r="AB47" s="843">
        <v>-12</v>
      </c>
      <c r="AC47" s="843">
        <v>-26</v>
      </c>
      <c r="AD47" s="843">
        <v>-37</v>
      </c>
      <c r="AE47" s="843">
        <v>-36</v>
      </c>
    </row>
    <row r="48" spans="21:49" x14ac:dyDescent="0.15">
      <c r="U48" s="14"/>
      <c r="V48" s="26">
        <v>4</v>
      </c>
      <c r="W48" s="972">
        <f t="shared" si="21"/>
        <v>0.22248878923191651</v>
      </c>
      <c r="X48" s="1470">
        <v>16</v>
      </c>
      <c r="Y48" s="844">
        <v>13</v>
      </c>
      <c r="Z48" s="844">
        <v>4</v>
      </c>
      <c r="AA48" s="844">
        <v>-8</v>
      </c>
      <c r="AB48" s="844">
        <v>-12</v>
      </c>
      <c r="AC48" s="844">
        <v>-26</v>
      </c>
      <c r="AD48" s="844">
        <v>-32</v>
      </c>
      <c r="AE48" s="844">
        <v>-26</v>
      </c>
    </row>
    <row r="49" spans="3:43" x14ac:dyDescent="0.15">
      <c r="V49" s="297" t="s">
        <v>2694</v>
      </c>
      <c r="W49" s="609">
        <f>SMALL(W45:W48,1)</f>
        <v>0.22248878923191651</v>
      </c>
      <c r="X49" s="43">
        <f>INDEX(X45:X48,MATCH($W$49,$W$45:$W$48,0))</f>
        <v>16</v>
      </c>
      <c r="Y49" s="43">
        <f t="shared" ref="Y49:AE49" si="22">INDEX(Y45:Y48,MATCH($W$49,$W$45:$W$48,0))</f>
        <v>13</v>
      </c>
      <c r="Z49" s="43">
        <f t="shared" si="22"/>
        <v>4</v>
      </c>
      <c r="AA49" s="43">
        <f t="shared" si="22"/>
        <v>-8</v>
      </c>
      <c r="AB49" s="43">
        <f t="shared" si="22"/>
        <v>-12</v>
      </c>
      <c r="AC49" s="43">
        <f t="shared" si="22"/>
        <v>-26</v>
      </c>
      <c r="AD49" s="43">
        <f t="shared" si="22"/>
        <v>-32</v>
      </c>
      <c r="AE49" s="43">
        <f t="shared" si="22"/>
        <v>-26</v>
      </c>
      <c r="AG49" s="73"/>
      <c r="AH49" s="73"/>
      <c r="AI49" s="73"/>
      <c r="AJ49" s="73"/>
      <c r="AK49" s="73"/>
      <c r="AL49" s="73"/>
      <c r="AM49" s="73"/>
      <c r="AN49" s="73"/>
    </row>
    <row r="51" spans="3:43" x14ac:dyDescent="0.15">
      <c r="U51" s="10" t="s">
        <v>56</v>
      </c>
      <c r="V51" s="21">
        <v>8.6999999999999993</v>
      </c>
      <c r="W51" s="971">
        <f>ABS($W$9-V51)</f>
        <v>4.4775112107680828</v>
      </c>
      <c r="X51" s="1469">
        <v>8</v>
      </c>
      <c r="Y51" s="843">
        <v>7</v>
      </c>
      <c r="Z51" s="843">
        <v>4</v>
      </c>
      <c r="AA51" s="843">
        <v>-2</v>
      </c>
      <c r="AB51" s="843">
        <v>-7</v>
      </c>
      <c r="AC51" s="843">
        <v>-11</v>
      </c>
      <c r="AD51" s="843">
        <v>-17</v>
      </c>
      <c r="AE51" s="843">
        <v>-25</v>
      </c>
      <c r="AF51" s="39" t="s">
        <v>43</v>
      </c>
      <c r="AG51" s="53">
        <f>$W$6+X55</f>
        <v>72.732711914755939</v>
      </c>
      <c r="AH51" s="53">
        <f t="shared" ref="AH51:AN51" si="23">$W$6+Y55</f>
        <v>67.732711914755939</v>
      </c>
      <c r="AI51" s="53">
        <f t="shared" si="23"/>
        <v>62.732711914755939</v>
      </c>
      <c r="AJ51" s="53">
        <f t="shared" si="23"/>
        <v>57.732711914755939</v>
      </c>
      <c r="AK51" s="53">
        <f t="shared" si="23"/>
        <v>55.732711914755939</v>
      </c>
      <c r="AL51" s="53">
        <f t="shared" si="23"/>
        <v>48.732711914755939</v>
      </c>
      <c r="AM51" s="53">
        <f t="shared" si="23"/>
        <v>39.732711914755939</v>
      </c>
      <c r="AN51" s="53">
        <f t="shared" si="23"/>
        <v>28.732711914755939</v>
      </c>
      <c r="AO51" s="5">
        <f t="array" ref="AO51">10*LOG10(SUM(10^(AG51:AN51/10)))</f>
        <v>74.412749473658124</v>
      </c>
      <c r="AP51" s="5">
        <f t="array" ref="AP51">10*LOG10(SUM(10^((AG51:AN51+AG53:AN53)/10)))</f>
        <v>60.859393849537028</v>
      </c>
      <c r="AQ51" t="str">
        <f>IF(ABS(W6-AP51)&lt;0.5,"OK","Tarkista laskenta!")</f>
        <v>OK</v>
      </c>
    </row>
    <row r="52" spans="3:43" x14ac:dyDescent="0.15">
      <c r="U52" s="12"/>
      <c r="V52" s="24">
        <v>7</v>
      </c>
      <c r="W52" s="42">
        <f t="shared" ref="W52:W54" si="24">ABS($W$9-V52)</f>
        <v>2.7775112107680835</v>
      </c>
      <c r="X52" s="1469">
        <v>10</v>
      </c>
      <c r="Y52" s="843">
        <v>7</v>
      </c>
      <c r="Z52" s="843">
        <v>4</v>
      </c>
      <c r="AA52" s="843">
        <v>-3</v>
      </c>
      <c r="AB52" s="843">
        <v>-7</v>
      </c>
      <c r="AC52" s="843">
        <v>-11</v>
      </c>
      <c r="AD52" s="843">
        <v>-18</v>
      </c>
      <c r="AE52" s="843">
        <v>-26</v>
      </c>
    </row>
    <row r="53" spans="3:43" x14ac:dyDescent="0.15">
      <c r="U53" s="12"/>
      <c r="V53" s="24">
        <v>6</v>
      </c>
      <c r="W53" s="42">
        <f t="shared" si="24"/>
        <v>1.7775112107680835</v>
      </c>
      <c r="X53" s="1469">
        <v>11</v>
      </c>
      <c r="Y53" s="843">
        <v>7</v>
      </c>
      <c r="Z53" s="843">
        <v>4</v>
      </c>
      <c r="AA53" s="843">
        <v>-3</v>
      </c>
      <c r="AB53" s="843">
        <v>-6</v>
      </c>
      <c r="AC53" s="843">
        <v>-11</v>
      </c>
      <c r="AD53" s="843">
        <v>-18</v>
      </c>
      <c r="AE53" s="843">
        <v>-27</v>
      </c>
      <c r="AG53" s="73">
        <v>-26.2</v>
      </c>
      <c r="AH53" s="73">
        <v>-16.100000000000001</v>
      </c>
      <c r="AI53" s="73">
        <v>-8.6</v>
      </c>
      <c r="AJ53" s="73">
        <v>-3.2</v>
      </c>
      <c r="AK53" s="73">
        <v>0</v>
      </c>
      <c r="AL53" s="73">
        <v>1.2</v>
      </c>
      <c r="AM53" s="73">
        <v>1</v>
      </c>
      <c r="AN53" s="73">
        <v>-1.1000000000000001</v>
      </c>
    </row>
    <row r="54" spans="3:43" x14ac:dyDescent="0.15">
      <c r="U54" s="14"/>
      <c r="V54" s="26">
        <v>4</v>
      </c>
      <c r="W54" s="972">
        <f t="shared" si="24"/>
        <v>0.22248878923191651</v>
      </c>
      <c r="X54" s="1470">
        <v>12</v>
      </c>
      <c r="Y54" s="844">
        <v>7</v>
      </c>
      <c r="Z54" s="844">
        <v>2</v>
      </c>
      <c r="AA54" s="844">
        <v>-3</v>
      </c>
      <c r="AB54" s="844">
        <v>-5</v>
      </c>
      <c r="AC54" s="844">
        <v>-12</v>
      </c>
      <c r="AD54" s="844">
        <v>-21</v>
      </c>
      <c r="AE54" s="844">
        <v>-32</v>
      </c>
    </row>
    <row r="55" spans="3:43" x14ac:dyDescent="0.15">
      <c r="V55" s="297" t="s">
        <v>2694</v>
      </c>
      <c r="W55" s="609">
        <f>SMALL(W51:W54,1)</f>
        <v>0.22248878923191651</v>
      </c>
      <c r="X55" s="43">
        <f>INDEX(X51:X54,MATCH($W$49,$W$45:$W$48,0))</f>
        <v>12</v>
      </c>
      <c r="Y55" s="43">
        <f t="shared" ref="Y55" si="25">INDEX(Y51:Y54,MATCH($W$49,$W$45:$W$48,0))</f>
        <v>7</v>
      </c>
      <c r="Z55" s="43">
        <f t="shared" ref="Z55" si="26">INDEX(Z51:Z54,MATCH($W$49,$W$45:$W$48,0))</f>
        <v>2</v>
      </c>
      <c r="AA55" s="43">
        <f t="shared" ref="AA55" si="27">INDEX(AA51:AA54,MATCH($W$49,$W$45:$W$48,0))</f>
        <v>-3</v>
      </c>
      <c r="AB55" s="43">
        <f t="shared" ref="AB55" si="28">INDEX(AB51:AB54,MATCH($W$49,$W$45:$W$48,0))</f>
        <v>-5</v>
      </c>
      <c r="AC55" s="43">
        <f t="shared" ref="AC55" si="29">INDEX(AC51:AC54,MATCH($W$49,$W$45:$W$48,0))</f>
        <v>-12</v>
      </c>
      <c r="AD55" s="43">
        <f t="shared" ref="AD55" si="30">INDEX(AD51:AD54,MATCH($W$49,$W$45:$W$48,0))</f>
        <v>-21</v>
      </c>
      <c r="AE55" s="43">
        <f t="shared" ref="AE55" si="31">INDEX(AE51:AE54,MATCH($W$49,$W$45:$W$48,0))</f>
        <v>-32</v>
      </c>
    </row>
    <row r="56" spans="3:43" x14ac:dyDescent="0.15">
      <c r="C56" s="2" t="s">
        <v>45</v>
      </c>
    </row>
    <row r="57" spans="3:43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</row>
    <row r="58" spans="3:43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595</v>
      </c>
      <c r="T58" s="24"/>
      <c r="W58" s="241" t="s">
        <v>2689</v>
      </c>
      <c r="AC58" s="2" t="s">
        <v>50</v>
      </c>
    </row>
    <row r="59" spans="3:43" x14ac:dyDescent="0.15">
      <c r="C59" s="10" t="s">
        <v>3</v>
      </c>
      <c r="D59" s="67">
        <v>98.742746590211411</v>
      </c>
      <c r="E59" s="68">
        <v>61.265531640187902</v>
      </c>
      <c r="F59" s="69">
        <v>116.21024435328435</v>
      </c>
      <c r="H59" t="s">
        <v>4</v>
      </c>
      <c r="I59" t="s">
        <v>5</v>
      </c>
      <c r="K59" s="24"/>
      <c r="M59" s="10" t="s">
        <v>3</v>
      </c>
      <c r="N59" s="67">
        <v>98.652487497614416</v>
      </c>
      <c r="O59" s="68">
        <v>77.93610461192263</v>
      </c>
      <c r="P59" s="69">
        <v>116.5274562748061</v>
      </c>
      <c r="R59" t="s">
        <v>4</v>
      </c>
      <c r="S59" t="s">
        <v>5</v>
      </c>
      <c r="T59" s="24" t="s">
        <v>6</v>
      </c>
      <c r="X59" s="4" t="s">
        <v>4</v>
      </c>
      <c r="Y59" s="4" t="s">
        <v>5</v>
      </c>
      <c r="Z59" s="4" t="s">
        <v>6</v>
      </c>
      <c r="AD59" s="4" t="s">
        <v>4</v>
      </c>
      <c r="AE59" s="4" t="s">
        <v>5</v>
      </c>
      <c r="AF59" s="4" t="s">
        <v>6</v>
      </c>
    </row>
    <row r="60" spans="3:43" x14ac:dyDescent="0.15">
      <c r="C60" s="12"/>
      <c r="D60" s="67">
        <v>91.307230306676516</v>
      </c>
      <c r="E60" s="68">
        <v>62.209822222790692</v>
      </c>
      <c r="F60" s="69">
        <v>115.03221834091013</v>
      </c>
      <c r="H60" s="2">
        <f t="array" ref="H60:J60">LINEST(E59:E62,D59:D62^{1,2})</f>
        <v>-1.5869900074473315E-3</v>
      </c>
      <c r="I60" s="2">
        <v>0.25239613059470506</v>
      </c>
      <c r="J60" s="2">
        <v>51.97298409150973</v>
      </c>
      <c r="K60" s="24"/>
      <c r="M60" s="12"/>
      <c r="N60" s="67">
        <v>91.691329274443603</v>
      </c>
      <c r="O60" s="68">
        <v>77.444489766490562</v>
      </c>
      <c r="P60" s="69">
        <v>116.11077717775966</v>
      </c>
      <c r="R60" s="2">
        <f t="array" ref="R60:T60">LINEST(O59:O62,N59:N62^{1,2})</f>
        <v>1.9767571418684202E-3</v>
      </c>
      <c r="S60" s="2">
        <v>-0.30796909225502123</v>
      </c>
      <c r="T60" s="27">
        <v>89.074584308638563</v>
      </c>
      <c r="W60" s="2">
        <v>10</v>
      </c>
      <c r="X60" s="7">
        <f t="array" ref="X60:Z60">LINEST(I86:I95,C86:C95^{1,2})</f>
        <v>-3.723574726091862E-2</v>
      </c>
      <c r="Y60" s="7">
        <v>-4.6867453260920282</v>
      </c>
      <c r="Z60" s="7">
        <v>899.89317716964842</v>
      </c>
      <c r="AC60" t="s">
        <v>3</v>
      </c>
      <c r="AD60" s="54">
        <f t="array" ref="AD60:AF60">LINEST(K86:K102,C86:C102^{1,2})</f>
        <v>-3.2524659663453644E-3</v>
      </c>
      <c r="AE60" s="54">
        <v>0.6697971664420288</v>
      </c>
      <c r="AF60" s="54">
        <v>82.257428721525883</v>
      </c>
    </row>
    <row r="61" spans="3:43" ht="13.5" customHeight="1" x14ac:dyDescent="0.15">
      <c r="C61" s="12"/>
      <c r="D61" s="67">
        <v>82.853756230402922</v>
      </c>
      <c r="E61" s="68">
        <v>61.599338678817837</v>
      </c>
      <c r="F61" s="69">
        <v>113.87960125221184</v>
      </c>
      <c r="K61" s="24"/>
      <c r="M61" s="12"/>
      <c r="N61" s="67">
        <v>81.263362550605734</v>
      </c>
      <c r="O61" s="68">
        <v>77.111012956821682</v>
      </c>
      <c r="P61" s="69">
        <v>115.11642203590731</v>
      </c>
      <c r="T61" s="24"/>
      <c r="W61" s="2">
        <v>8</v>
      </c>
      <c r="X61" s="7">
        <f t="array" ref="X61:Z61">LINEST(I106:I115,C106:C115^{1,2})</f>
        <v>-0.10408231780376659</v>
      </c>
      <c r="Y61" s="7">
        <v>9.0825648636003962</v>
      </c>
      <c r="Z61" s="7">
        <v>190.71168798244662</v>
      </c>
      <c r="AC61" t="s">
        <v>408</v>
      </c>
      <c r="AD61" s="54">
        <f t="array" ref="AD61:AF61">LINEST(K110:K116,C110:C116^{1,2})</f>
        <v>1.5610007742922619E-3</v>
      </c>
      <c r="AE61" s="54">
        <v>0.85767953590354917</v>
      </c>
      <c r="AF61" s="54">
        <v>30.222131517701804</v>
      </c>
    </row>
    <row r="62" spans="3:43" x14ac:dyDescent="0.15">
      <c r="C62" s="14"/>
      <c r="D62" s="67">
        <v>74.241934545069</v>
      </c>
      <c r="E62" s="68">
        <v>62.089800135990373</v>
      </c>
      <c r="F62" s="69">
        <v>112.12193536557662</v>
      </c>
      <c r="K62" s="24"/>
      <c r="M62" s="14"/>
      <c r="N62" s="67">
        <v>71.053550839244878</v>
      </c>
      <c r="O62" s="68">
        <v>77.169274378833549</v>
      </c>
      <c r="P62" s="69">
        <v>114.40508998907229</v>
      </c>
      <c r="T62" s="24"/>
      <c r="W62" s="2">
        <v>7</v>
      </c>
      <c r="X62" s="7">
        <f t="array" ref="X62:Z62">LINEST(I120:I128,C120:C128^{1,2})</f>
        <v>-5.0910794856209869E-2</v>
      </c>
      <c r="Y62" s="7">
        <v>2.3628269282974625</v>
      </c>
      <c r="Z62" s="7">
        <v>274.00625702898395</v>
      </c>
      <c r="AC62" t="s">
        <v>2673</v>
      </c>
      <c r="AD62" s="54">
        <f t="array" ref="AD62:AF62">LINEST(K120:K134,C120:C134^{1,2})</f>
        <v>2.2193328023320368E-3</v>
      </c>
      <c r="AE62" s="54">
        <v>0.58162681287622731</v>
      </c>
      <c r="AF62" s="54">
        <v>24.081193057960071</v>
      </c>
    </row>
    <row r="63" spans="3:43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2">
        <v>6</v>
      </c>
      <c r="X63" s="7">
        <f t="array" ref="X63:Z63">LINEST(I138:I147,C138:C147^{1,2})</f>
        <v>-5.345519740871111E-2</v>
      </c>
      <c r="Y63" s="7">
        <v>2.0822147710169085</v>
      </c>
      <c r="Z63" s="7">
        <v>198.57760633720039</v>
      </c>
      <c r="AC63" t="s">
        <v>411</v>
      </c>
      <c r="AD63" s="54">
        <f t="array" ref="AD63:AF63">LINEST(K138:K153,C138:C153^{1,2})</f>
        <v>2.060251488830895E-3</v>
      </c>
      <c r="AE63" s="54">
        <v>0.4132037032112435</v>
      </c>
      <c r="AF63" s="54">
        <v>17.060560568320753</v>
      </c>
    </row>
    <row r="64" spans="3:43" x14ac:dyDescent="0.15">
      <c r="C64" s="10" t="s">
        <v>2673</v>
      </c>
      <c r="D64" s="67">
        <v>94.190053945822427</v>
      </c>
      <c r="E64" s="68">
        <v>59.705673498474269</v>
      </c>
      <c r="F64" s="69">
        <v>98.661858881069861</v>
      </c>
      <c r="H64" t="s">
        <v>4</v>
      </c>
      <c r="I64" t="s">
        <v>5</v>
      </c>
      <c r="K64" s="24"/>
      <c r="M64" s="10" t="s">
        <v>2673</v>
      </c>
      <c r="N64" s="67">
        <v>93.684238593623874</v>
      </c>
      <c r="O64" s="68">
        <v>76.373501407128956</v>
      </c>
      <c r="P64" s="69">
        <v>97.143807702138176</v>
      </c>
      <c r="R64" t="s">
        <v>4</v>
      </c>
      <c r="S64" t="s">
        <v>5</v>
      </c>
      <c r="T64" s="24" t="s">
        <v>6</v>
      </c>
      <c r="W64" s="2">
        <v>5</v>
      </c>
      <c r="X64" s="7">
        <f t="array" ref="X64:Z64">LINEST(I157:I164,C157:C164^{1,2})</f>
        <v>-5.2995838968433011E-2</v>
      </c>
      <c r="Y64" s="7">
        <v>1.498483418007283</v>
      </c>
      <c r="Z64" s="7">
        <v>139.25972320447949</v>
      </c>
      <c r="AC64" t="s">
        <v>10</v>
      </c>
      <c r="AD64" s="54">
        <f t="array" ref="AD64:AF64">LINEST(K157:K164,C157:C164^{1,2})</f>
        <v>1.6454534947341814E-3</v>
      </c>
      <c r="AE64" s="54">
        <v>0.29441752449449399</v>
      </c>
      <c r="AF64" s="54">
        <v>11.960833777661986</v>
      </c>
    </row>
    <row r="65" spans="3:32" x14ac:dyDescent="0.15">
      <c r="C65" s="12"/>
      <c r="D65" s="67">
        <v>84.079536443313629</v>
      </c>
      <c r="E65" s="68">
        <v>59.796816837604069</v>
      </c>
      <c r="F65" s="69">
        <v>86.695619421533181</v>
      </c>
      <c r="H65" s="2">
        <f t="array" ref="H65:J65">LINEST(E64:E67,D64:D67^{1,2})</f>
        <v>-4.0553283714940319E-4</v>
      </c>
      <c r="I65" s="2">
        <v>0.11941017792250978</v>
      </c>
      <c r="J65" s="2">
        <v>52.230588755238287</v>
      </c>
      <c r="K65" s="24"/>
      <c r="M65" s="12"/>
      <c r="N65" s="67">
        <v>84.938969521756022</v>
      </c>
      <c r="O65" s="68">
        <v>74.854988684210909</v>
      </c>
      <c r="P65" s="69">
        <v>86.483732412262924</v>
      </c>
      <c r="R65" s="2">
        <f t="array" ref="R65:T65">LINEST(O64:O67,N64:N67^{1,2})</f>
        <v>1.5614276710530961E-3</v>
      </c>
      <c r="S65" s="2">
        <v>-0.13186180809440309</v>
      </c>
      <c r="T65" s="27">
        <v>74.941226253251656</v>
      </c>
      <c r="W65" s="2">
        <v>4</v>
      </c>
      <c r="X65" s="7">
        <f t="array" ref="X65:Z65">LINEST(I168:I175,C168:C175^{1,2})</f>
        <v>-5.6450823457149156E-2</v>
      </c>
      <c r="Y65" s="7">
        <v>1.1771822674537094</v>
      </c>
      <c r="Z65" s="7">
        <v>86.977416022035143</v>
      </c>
      <c r="AC65" t="s">
        <v>409</v>
      </c>
      <c r="AD65" s="54">
        <f t="array" ref="AD65:AF65">LINEST(K168:K179,C168:C179^{1,2})</f>
        <v>9.1320250684533437E-4</v>
      </c>
      <c r="AE65" s="54">
        <v>0.21348217594901348</v>
      </c>
      <c r="AF65" s="54">
        <v>7.953602034060145</v>
      </c>
    </row>
    <row r="66" spans="3:32" x14ac:dyDescent="0.15">
      <c r="C66" s="12"/>
      <c r="D66" s="67">
        <v>69.435413257497288</v>
      </c>
      <c r="E66" s="68">
        <v>58.255891169795191</v>
      </c>
      <c r="F66" s="69">
        <v>76.36872224980641</v>
      </c>
      <c r="K66" s="24"/>
      <c r="M66" s="12"/>
      <c r="N66" s="67">
        <v>67.236714157684546</v>
      </c>
      <c r="O66" s="68">
        <v>73.232404836893735</v>
      </c>
      <c r="P66" s="69">
        <v>74.070932265823956</v>
      </c>
      <c r="T66" s="24"/>
      <c r="W66" s="2">
        <v>3</v>
      </c>
      <c r="X66" s="7">
        <f t="array" ref="X66:Z66">LINEST(I183:I187,C183:C187^{1,2})</f>
        <v>-5.9966811135600998E-2</v>
      </c>
      <c r="Y66" s="7">
        <v>0.74137302696118745</v>
      </c>
      <c r="Z66" s="7">
        <v>46.300124169973344</v>
      </c>
      <c r="AC66" t="s">
        <v>12</v>
      </c>
      <c r="AD66" s="54">
        <f t="array" ref="AD66:AF66">LINEST(K183:K187,C183:C187^{1,2})</f>
        <v>1.0529165371742438E-3</v>
      </c>
      <c r="AE66" s="54">
        <v>0.100601772299414</v>
      </c>
      <c r="AF66" s="54">
        <v>5.7281726896810952</v>
      </c>
    </row>
    <row r="67" spans="3:32" x14ac:dyDescent="0.15">
      <c r="C67" s="14"/>
      <c r="D67" s="67">
        <v>53.784361557743459</v>
      </c>
      <c r="E67" s="68">
        <v>57.571924509460288</v>
      </c>
      <c r="F67" s="69">
        <v>66.938060307139878</v>
      </c>
      <c r="K67" s="24"/>
      <c r="M67" s="14"/>
      <c r="N67" s="67">
        <v>48.914015326659239</v>
      </c>
      <c r="O67" s="68">
        <v>72.198652001358937</v>
      </c>
      <c r="P67" s="69">
        <v>63.873282244398268</v>
      </c>
      <c r="T67" s="24"/>
      <c r="W67" s="2">
        <v>2</v>
      </c>
      <c r="X67" s="7">
        <f t="array" ref="X67:Z67">LINEST(I191:I193,C191:C193^{1,2})</f>
        <v>-6.3406815061642571E-2</v>
      </c>
      <c r="Y67" s="7">
        <v>0.19754018326988027</v>
      </c>
      <c r="Z67" s="7">
        <v>18.148137493236938</v>
      </c>
      <c r="AC67" t="s">
        <v>410</v>
      </c>
      <c r="AD67" s="54">
        <f t="array" ref="AD67:AF67">LINEST(K191:K193,C191:C193^{1,2})</f>
        <v>1.2052533555816345E-3</v>
      </c>
      <c r="AE67" s="54">
        <v>3.2854437083050053E-2</v>
      </c>
      <c r="AF67" s="54">
        <v>4.1401600951148723</v>
      </c>
    </row>
    <row r="68" spans="3:32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</row>
    <row r="69" spans="3:32" x14ac:dyDescent="0.15">
      <c r="C69" s="10" t="s">
        <v>411</v>
      </c>
      <c r="D69" s="67">
        <v>78.286672626886102</v>
      </c>
      <c r="E69" s="68">
        <v>55.730044858160277</v>
      </c>
      <c r="F69" s="69">
        <v>61.834991560803509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78.629009779933412</v>
      </c>
      <c r="O69" s="68">
        <v>72.305242314882378</v>
      </c>
      <c r="P69" s="69">
        <v>62.705350004708741</v>
      </c>
      <c r="R69" t="s">
        <v>4</v>
      </c>
      <c r="S69" t="s">
        <v>5</v>
      </c>
      <c r="T69" s="24" t="s">
        <v>6</v>
      </c>
    </row>
    <row r="70" spans="3:32" x14ac:dyDescent="0.15">
      <c r="C70" s="12"/>
      <c r="D70" s="67">
        <v>70.13631814653786</v>
      </c>
      <c r="E70" s="68">
        <v>56.062204993388313</v>
      </c>
      <c r="F70" s="69">
        <v>55.197267659479841</v>
      </c>
      <c r="H70" s="2">
        <f t="array" ref="H70:J70">LINEST(E69:E72,D69:D72^{1,2})</f>
        <v>6.2013721464693335E-4</v>
      </c>
      <c r="I70" s="2">
        <v>-2.5387851361095892E-2</v>
      </c>
      <c r="J70" s="2">
        <v>54.181792640207973</v>
      </c>
      <c r="K70" s="24"/>
      <c r="M70" s="12"/>
      <c r="N70" s="67">
        <v>70.86179174027356</v>
      </c>
      <c r="O70" s="68">
        <v>70.929871069723376</v>
      </c>
      <c r="P70" s="69">
        <v>55.250037167637878</v>
      </c>
      <c r="R70" s="2">
        <f t="array" ref="R70:T70">LINEST(O69:O72,N69:N72^{1,2})</f>
        <v>1.9935214981797469E-3</v>
      </c>
      <c r="S70" s="2">
        <v>-0.1369557887646132</v>
      </c>
      <c r="T70" s="27">
        <v>70.70715060470161</v>
      </c>
    </row>
    <row r="71" spans="3:32" x14ac:dyDescent="0.15">
      <c r="C71" s="12"/>
      <c r="D71" s="67">
        <v>58.92131648445168</v>
      </c>
      <c r="E71" s="68">
        <v>54.362652724338176</v>
      </c>
      <c r="F71" s="69">
        <v>49.394813375094301</v>
      </c>
      <c r="K71" s="24"/>
      <c r="M71" s="12"/>
      <c r="N71" s="67">
        <v>56.953288719972342</v>
      </c>
      <c r="O71" s="68">
        <v>69.430318017613317</v>
      </c>
      <c r="P71" s="69">
        <v>47.631701083523424</v>
      </c>
      <c r="T71" s="24"/>
    </row>
    <row r="72" spans="3:32" x14ac:dyDescent="0.15">
      <c r="C72" s="14"/>
      <c r="D72" s="67">
        <v>45.778382609119895</v>
      </c>
      <c r="E72" s="68">
        <v>54.449785231889216</v>
      </c>
      <c r="F72" s="69">
        <v>43.392466041452437</v>
      </c>
      <c r="K72" s="24"/>
      <c r="M72" s="14"/>
      <c r="N72" s="67">
        <v>41.878833404632474</v>
      </c>
      <c r="O72" s="68">
        <v>68.451805138444385</v>
      </c>
      <c r="P72" s="69">
        <v>41.748943278383145</v>
      </c>
      <c r="T72" s="24"/>
    </row>
    <row r="73" spans="3:32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</row>
    <row r="74" spans="3:32" x14ac:dyDescent="0.15">
      <c r="C74" s="10" t="s">
        <v>409</v>
      </c>
      <c r="D74" s="67">
        <v>48.102429720469871</v>
      </c>
      <c r="E74" s="68">
        <v>45.556998303940148</v>
      </c>
      <c r="F74" s="69">
        <v>20.519391977210955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48.308451150254491</v>
      </c>
      <c r="O74" s="68">
        <v>61.383090130980236</v>
      </c>
      <c r="P74" s="69">
        <v>20.794763782396601</v>
      </c>
      <c r="R74" t="s">
        <v>4</v>
      </c>
      <c r="S74" t="s">
        <v>5</v>
      </c>
      <c r="T74" s="24" t="s">
        <v>6</v>
      </c>
    </row>
    <row r="75" spans="3:32" ht="15.75" customHeight="1" x14ac:dyDescent="0.15">
      <c r="C75" s="12"/>
      <c r="D75" s="67">
        <v>43.402594673017632</v>
      </c>
      <c r="E75" s="68">
        <v>45.29870597031541</v>
      </c>
      <c r="F75" s="69">
        <v>18.794457888074728</v>
      </c>
      <c r="H75" s="2">
        <f t="array" ref="H75:J75">LINEST(E74:E77,D74:D77^{1,2})</f>
        <v>7.6180118277779875E-4</v>
      </c>
      <c r="I75" s="2">
        <v>9.997751628399722E-3</v>
      </c>
      <c r="J75" s="2">
        <v>43.348551727867346</v>
      </c>
      <c r="K75" s="24"/>
      <c r="M75" s="12"/>
      <c r="N75" s="67">
        <v>43.742563491964916</v>
      </c>
      <c r="O75" s="68">
        <v>60.335167484587622</v>
      </c>
      <c r="P75" s="69">
        <v>18.728323193390299</v>
      </c>
      <c r="R75" s="2">
        <f t="array" ref="R75:T75">LINEST(O74:O77,N74:N77^{1,2})</f>
        <v>5.1380988824727709E-3</v>
      </c>
      <c r="S75" s="2">
        <v>-0.25409322094515385</v>
      </c>
      <c r="T75" s="27">
        <v>61.651067548846441</v>
      </c>
    </row>
    <row r="76" spans="3:32" x14ac:dyDescent="0.15">
      <c r="C76" s="12"/>
      <c r="D76" s="67">
        <v>37.059545515229644</v>
      </c>
      <c r="E76" s="68">
        <v>44.703669707368292</v>
      </c>
      <c r="F76" s="69">
        <v>17.429035529323933</v>
      </c>
      <c r="K76" s="24"/>
      <c r="M76" s="12"/>
      <c r="N76" s="67">
        <v>36.047788278297979</v>
      </c>
      <c r="O76" s="68">
        <v>59.190493799307653</v>
      </c>
      <c r="P76" s="69">
        <v>16.810299124934843</v>
      </c>
      <c r="T76" s="24"/>
    </row>
    <row r="77" spans="3:32" x14ac:dyDescent="0.15">
      <c r="C77" s="14"/>
      <c r="D77" s="67">
        <v>28.980933579546868</v>
      </c>
      <c r="E77" s="68">
        <v>44.293790386380152</v>
      </c>
      <c r="F77" s="69">
        <v>15.644540282791711</v>
      </c>
      <c r="G77" s="25"/>
      <c r="H77" s="25"/>
      <c r="I77" s="25"/>
      <c r="J77" s="25"/>
      <c r="K77" s="26"/>
      <c r="M77" s="14"/>
      <c r="N77" s="67">
        <v>26.870389836662625</v>
      </c>
      <c r="O77" s="68">
        <v>58.527477243791985</v>
      </c>
      <c r="P77" s="69">
        <v>15.213662513524133</v>
      </c>
      <c r="Q77" s="25"/>
      <c r="R77" s="25"/>
      <c r="S77" s="25"/>
      <c r="T77" s="26"/>
    </row>
    <row r="79" spans="3:32" x14ac:dyDescent="0.15">
      <c r="F79" s="5"/>
    </row>
    <row r="81" spans="2:13" x14ac:dyDescent="0.15">
      <c r="F81" s="5"/>
    </row>
    <row r="82" spans="2:13" x14ac:dyDescent="0.15">
      <c r="C82" s="2" t="s">
        <v>2690</v>
      </c>
    </row>
    <row r="83" spans="2:13" ht="13.5" customHeight="1" x14ac:dyDescent="0.15">
      <c r="C83" s="1826" t="s">
        <v>3</v>
      </c>
      <c r="D83" s="1826"/>
      <c r="E83" s="1826"/>
      <c r="F83" s="1826"/>
      <c r="G83" s="1826"/>
      <c r="H83" s="1826"/>
      <c r="I83" s="1826"/>
      <c r="J83" s="1826"/>
      <c r="K83" s="1826"/>
      <c r="L83" s="1826"/>
      <c r="M83" s="1826"/>
    </row>
    <row r="84" spans="2:13" ht="42" x14ac:dyDescent="0.15">
      <c r="C84" s="1435" t="s">
        <v>2678</v>
      </c>
      <c r="D84" s="1435" t="s">
        <v>2679</v>
      </c>
      <c r="E84" s="1435" t="s">
        <v>2680</v>
      </c>
      <c r="F84" s="1435" t="s">
        <v>2681</v>
      </c>
      <c r="G84" s="1435" t="s">
        <v>2682</v>
      </c>
      <c r="H84" s="1435" t="s">
        <v>2683</v>
      </c>
      <c r="I84" s="1435" t="s">
        <v>2686</v>
      </c>
      <c r="J84" s="1435" t="s">
        <v>2684</v>
      </c>
      <c r="K84" s="1435" t="s">
        <v>2685</v>
      </c>
      <c r="L84" s="1435" t="s">
        <v>2687</v>
      </c>
      <c r="M84" s="1435" t="s">
        <v>2688</v>
      </c>
    </row>
    <row r="85" spans="2:13" x14ac:dyDescent="0.15">
      <c r="C85" s="67">
        <v>21.614526689891914</v>
      </c>
      <c r="D85" s="67">
        <v>1.7613100878274561</v>
      </c>
      <c r="E85" s="67">
        <v>1.7613100878274561</v>
      </c>
      <c r="F85" s="67">
        <v>584.80513325703646</v>
      </c>
      <c r="G85" s="67">
        <v>-284.08439457117191</v>
      </c>
      <c r="H85" s="67">
        <v>300.76424757144861</v>
      </c>
      <c r="I85" s="67">
        <v>584.84864214262052</v>
      </c>
      <c r="J85" s="67">
        <v>582.98731420733088</v>
      </c>
      <c r="K85" s="67">
        <v>78.146310751985936</v>
      </c>
      <c r="L85" s="67">
        <v>3620</v>
      </c>
      <c r="M85" s="67">
        <v>3.6154532492507112</v>
      </c>
    </row>
    <row r="86" spans="2:13" x14ac:dyDescent="0.15">
      <c r="C86" s="67">
        <v>52.935794480610994</v>
      </c>
      <c r="D86" s="67">
        <v>4.3135965993399861</v>
      </c>
      <c r="E86" s="67">
        <v>4.3135965993399861</v>
      </c>
      <c r="F86" s="67">
        <v>542.640964446309</v>
      </c>
      <c r="G86" s="67">
        <v>-257.91519984200988</v>
      </c>
      <c r="H86" s="67">
        <v>284.72747516758307</v>
      </c>
      <c r="I86" s="67">
        <v>542.64267500959295</v>
      </c>
      <c r="J86" s="67">
        <v>531.47840563649049</v>
      </c>
      <c r="K86" s="67">
        <v>107.1717419780138</v>
      </c>
      <c r="L86" s="67">
        <v>3435</v>
      </c>
      <c r="M86" s="67">
        <v>2.0245609427335225</v>
      </c>
    </row>
    <row r="87" spans="2:13" x14ac:dyDescent="0.15">
      <c r="C87" s="67">
        <v>60.196416414121977</v>
      </c>
      <c r="D87" s="67">
        <v>4.9052453011075166</v>
      </c>
      <c r="E87" s="67">
        <v>4.9052453011075166</v>
      </c>
      <c r="F87" s="67">
        <v>487.02719907906192</v>
      </c>
      <c r="G87" s="67">
        <v>-228.18002977161933</v>
      </c>
      <c r="H87" s="67">
        <v>258.83857278191107</v>
      </c>
      <c r="I87" s="67">
        <v>487.0186025535304</v>
      </c>
      <c r="J87" s="67">
        <v>472.58174367510799</v>
      </c>
      <c r="K87" s="67">
        <v>111.86402712305474</v>
      </c>
      <c r="L87" s="67">
        <v>3333.3333333333335</v>
      </c>
      <c r="M87" s="67">
        <v>1.8583170525216122</v>
      </c>
    </row>
    <row r="88" spans="2:13" x14ac:dyDescent="0.15">
      <c r="C88" s="67">
        <v>66.850049956983753</v>
      </c>
      <c r="D88" s="67">
        <v>5.4474321390561844</v>
      </c>
      <c r="E88" s="67">
        <v>5.4474321390561844</v>
      </c>
      <c r="F88" s="67">
        <v>424.32853627377204</v>
      </c>
      <c r="G88" s="67">
        <v>-196.17183916674418</v>
      </c>
      <c r="H88" s="67">
        <v>228.13177047434243</v>
      </c>
      <c r="I88" s="67">
        <v>424.30360964108661</v>
      </c>
      <c r="J88" s="67">
        <v>406.49889949531325</v>
      </c>
      <c r="K88" s="67">
        <v>114.05230252357103</v>
      </c>
      <c r="L88" s="67">
        <v>3253.3333333333335</v>
      </c>
      <c r="M88" s="67">
        <v>1.7060915077394958</v>
      </c>
    </row>
    <row r="89" spans="2:13" x14ac:dyDescent="0.15">
      <c r="C89" s="67">
        <v>72.092515518762838</v>
      </c>
      <c r="D89" s="67">
        <v>5.8746266648270238</v>
      </c>
      <c r="E89" s="67">
        <v>5.8746266648270238</v>
      </c>
      <c r="F89" s="67">
        <v>367.98954559371833</v>
      </c>
      <c r="G89" s="67">
        <v>-172.91088304571173</v>
      </c>
      <c r="H89" s="67">
        <v>195.01345114337914</v>
      </c>
      <c r="I89" s="67">
        <v>367.92433418909087</v>
      </c>
      <c r="J89" s="67">
        <v>347.21759111843289</v>
      </c>
      <c r="K89" s="67">
        <v>115.20550247884994</v>
      </c>
      <c r="L89" s="67">
        <v>3180</v>
      </c>
      <c r="M89" s="67">
        <v>1.5980230631412284</v>
      </c>
    </row>
    <row r="90" spans="2:13" x14ac:dyDescent="0.15">
      <c r="C90" s="67">
        <v>78.430238209908183</v>
      </c>
      <c r="D90" s="67">
        <v>6.3910707706786472</v>
      </c>
      <c r="E90" s="67">
        <v>6.3910707706786472</v>
      </c>
      <c r="F90" s="67">
        <v>304.88207316610732</v>
      </c>
      <c r="G90" s="67">
        <v>-128.86591032112594</v>
      </c>
      <c r="H90" s="67">
        <v>176.00120338061569</v>
      </c>
      <c r="I90" s="67">
        <v>304.86711370174163</v>
      </c>
      <c r="J90" s="67">
        <v>280.35964234424785</v>
      </c>
      <c r="K90" s="67">
        <v>115.33462837521566</v>
      </c>
      <c r="L90" s="67">
        <v>3066.6666666666665</v>
      </c>
      <c r="M90" s="67">
        <v>1.4705377799126116</v>
      </c>
    </row>
    <row r="91" spans="2:13" x14ac:dyDescent="0.15">
      <c r="C91" s="67">
        <v>83.705668780180915</v>
      </c>
      <c r="D91" s="67">
        <v>6.8209515270035119</v>
      </c>
      <c r="E91" s="67">
        <v>6.8209515270035119</v>
      </c>
      <c r="F91" s="67">
        <v>245.91857633332859</v>
      </c>
      <c r="G91" s="67">
        <v>-91.277492575142361</v>
      </c>
      <c r="H91" s="67">
        <v>154.64526289734272</v>
      </c>
      <c r="I91" s="67">
        <v>245.92275547248508</v>
      </c>
      <c r="J91" s="67">
        <v>218.00752763224617</v>
      </c>
      <c r="K91" s="67">
        <v>115.89167490537216</v>
      </c>
      <c r="L91" s="67">
        <v>2986.6666666666665</v>
      </c>
      <c r="M91" s="67">
        <v>1.3845140549526553</v>
      </c>
    </row>
    <row r="92" spans="2:13" x14ac:dyDescent="0.15">
      <c r="C92" s="67">
        <v>88.850876918216699</v>
      </c>
      <c r="D92" s="67">
        <v>7.240220804906893</v>
      </c>
      <c r="E92" s="67">
        <v>7.240220804906893</v>
      </c>
      <c r="F92" s="67">
        <v>184.48556975373617</v>
      </c>
      <c r="G92" s="67">
        <v>-53.814142213620244</v>
      </c>
      <c r="H92" s="67">
        <v>130.68223303631169</v>
      </c>
      <c r="I92" s="67">
        <v>184.49637524993193</v>
      </c>
      <c r="J92" s="67">
        <v>153.04389686764796</v>
      </c>
      <c r="K92" s="67">
        <v>116.43062639071822</v>
      </c>
      <c r="L92" s="67">
        <v>2920</v>
      </c>
      <c r="M92" s="67">
        <v>1.3104049214718214</v>
      </c>
    </row>
    <row r="93" spans="2:13" ht="13.5" customHeight="1" x14ac:dyDescent="0.15">
      <c r="C93" s="67">
        <v>94.351532550284048</v>
      </c>
      <c r="D93" s="67">
        <v>7.6884545503608663</v>
      </c>
      <c r="E93" s="67">
        <v>7.6884545503608663</v>
      </c>
      <c r="F93" s="67">
        <v>124.67984643799007</v>
      </c>
      <c r="G93" s="67">
        <v>-17.843950214407705</v>
      </c>
      <c r="H93" s="67">
        <v>106.84580947288055</v>
      </c>
      <c r="I93" s="67">
        <v>124.68975968728824</v>
      </c>
      <c r="J93" s="67">
        <v>89.222359663509422</v>
      </c>
      <c r="K93" s="67">
        <v>116.88174825791347</v>
      </c>
      <c r="L93" s="67">
        <v>2833.3333333333335</v>
      </c>
      <c r="M93" s="67">
        <v>1.2387901404317103</v>
      </c>
    </row>
    <row r="94" spans="2:13" ht="13.5" customHeight="1" x14ac:dyDescent="0.15">
      <c r="C94" s="67">
        <v>99.246817401902931</v>
      </c>
      <c r="D94" s="67">
        <v>8.0873582467336131</v>
      </c>
      <c r="E94" s="67">
        <v>8.0873582467336131</v>
      </c>
      <c r="F94" s="67">
        <v>66.713699892832949</v>
      </c>
      <c r="G94" s="67">
        <v>10.536494034950135</v>
      </c>
      <c r="H94" s="67">
        <v>77.251285765467685</v>
      </c>
      <c r="I94" s="67">
        <v>66.714791730517547</v>
      </c>
      <c r="J94" s="67">
        <v>27.471573683911437</v>
      </c>
      <c r="K94" s="67">
        <v>117.27725841655079</v>
      </c>
      <c r="L94" s="67">
        <v>2760</v>
      </c>
      <c r="M94" s="67">
        <v>1.1816727375915044</v>
      </c>
    </row>
    <row r="95" spans="2:13" x14ac:dyDescent="0.15">
      <c r="C95" s="67">
        <v>104.32503301510096</v>
      </c>
      <c r="D95" s="67">
        <v>8.5011684826001908</v>
      </c>
      <c r="E95" s="67">
        <v>8.5011684826001908</v>
      </c>
      <c r="F95" s="67">
        <v>9.7234024467003746</v>
      </c>
      <c r="G95" s="67">
        <v>42.472088551606063</v>
      </c>
      <c r="H95" s="67">
        <v>52.195489139234887</v>
      </c>
      <c r="I95" s="67">
        <v>9.7234005876288236</v>
      </c>
      <c r="J95" s="67">
        <v>-33.638518754104069</v>
      </c>
      <c r="K95" s="67">
        <v>117.44447919875502</v>
      </c>
      <c r="L95" s="67">
        <v>2700</v>
      </c>
      <c r="M95" s="67">
        <v>1.125755495152875</v>
      </c>
    </row>
    <row r="96" spans="2:13" x14ac:dyDescent="0.15">
      <c r="B96" s="297" t="s">
        <v>2695</v>
      </c>
      <c r="C96" s="1468">
        <f>D59</f>
        <v>98.742746590211411</v>
      </c>
      <c r="D96" s="1467"/>
      <c r="E96" s="1467"/>
      <c r="F96" s="1467"/>
      <c r="G96" s="1467"/>
      <c r="H96" s="1467"/>
      <c r="I96" s="1467"/>
      <c r="J96" s="1467"/>
      <c r="K96" s="1468">
        <f>F59</f>
        <v>116.21024435328435</v>
      </c>
      <c r="L96" s="1467"/>
      <c r="M96" s="1467"/>
    </row>
    <row r="97" spans="3:13" x14ac:dyDescent="0.15">
      <c r="C97" s="1468">
        <f t="shared" ref="C97:C99" si="32">D60</f>
        <v>91.307230306676516</v>
      </c>
      <c r="D97" s="1467"/>
      <c r="E97" s="1467"/>
      <c r="F97" s="1467"/>
      <c r="G97" s="1467"/>
      <c r="H97" s="1467"/>
      <c r="I97" s="1467"/>
      <c r="J97" s="1467"/>
      <c r="K97" s="1468">
        <f t="shared" ref="K97:K99" si="33">F60</f>
        <v>115.03221834091013</v>
      </c>
      <c r="L97" s="1467"/>
      <c r="M97" s="1467"/>
    </row>
    <row r="98" spans="3:13" x14ac:dyDescent="0.15">
      <c r="C98" s="1468">
        <f t="shared" si="32"/>
        <v>82.853756230402922</v>
      </c>
      <c r="D98" s="1467"/>
      <c r="E98" s="1467"/>
      <c r="F98" s="1467"/>
      <c r="G98" s="1467"/>
      <c r="H98" s="1467"/>
      <c r="I98" s="1467"/>
      <c r="J98" s="1467"/>
      <c r="K98" s="1468">
        <f t="shared" si="33"/>
        <v>113.87960125221184</v>
      </c>
      <c r="L98" s="1467"/>
      <c r="M98" s="1467"/>
    </row>
    <row r="99" spans="3:13" x14ac:dyDescent="0.15">
      <c r="C99" s="1468">
        <f t="shared" si="32"/>
        <v>74.241934545069</v>
      </c>
      <c r="D99" s="1467"/>
      <c r="E99" s="1467"/>
      <c r="F99" s="1467"/>
      <c r="G99" s="1467"/>
      <c r="H99" s="1467"/>
      <c r="I99" s="1467"/>
      <c r="J99" s="1467"/>
      <c r="K99" s="1468">
        <f t="shared" si="33"/>
        <v>112.12193536557662</v>
      </c>
      <c r="L99" s="1467"/>
      <c r="M99" s="1467"/>
    </row>
    <row r="100" spans="3:13" x14ac:dyDescent="0.15">
      <c r="C100" s="1468">
        <f>N59</f>
        <v>98.652487497614416</v>
      </c>
      <c r="D100" s="1467"/>
      <c r="E100" s="1467"/>
      <c r="F100" s="1467"/>
      <c r="G100" s="1467"/>
      <c r="H100" s="1467"/>
      <c r="I100" s="1467"/>
      <c r="J100" s="1467"/>
      <c r="K100" s="1468">
        <f>P59</f>
        <v>116.5274562748061</v>
      </c>
      <c r="L100" s="1467"/>
      <c r="M100" s="1467"/>
    </row>
    <row r="101" spans="3:13" x14ac:dyDescent="0.15">
      <c r="C101" s="1468">
        <f t="shared" ref="C101:C102" si="34">N60</f>
        <v>91.691329274443603</v>
      </c>
      <c r="D101" s="1467"/>
      <c r="E101" s="1467"/>
      <c r="F101" s="1467"/>
      <c r="G101" s="1467"/>
      <c r="H101" s="1467"/>
      <c r="I101" s="1467"/>
      <c r="J101" s="1467"/>
      <c r="K101" s="1468">
        <f t="shared" ref="K101:K102" si="35">P60</f>
        <v>116.11077717775966</v>
      </c>
      <c r="L101" s="1467"/>
      <c r="M101" s="1467"/>
    </row>
    <row r="102" spans="3:13" x14ac:dyDescent="0.15">
      <c r="C102" s="1468">
        <f t="shared" si="34"/>
        <v>81.263362550605734</v>
      </c>
      <c r="D102" s="1467"/>
      <c r="E102" s="1467"/>
      <c r="F102" s="1467"/>
      <c r="G102" s="1467"/>
      <c r="H102" s="1467"/>
      <c r="I102" s="1467"/>
      <c r="J102" s="1467"/>
      <c r="K102" s="1468">
        <f t="shared" si="35"/>
        <v>115.11642203590731</v>
      </c>
      <c r="L102" s="1467"/>
      <c r="M102" s="1467"/>
    </row>
    <row r="104" spans="3:13" ht="14" x14ac:dyDescent="0.15">
      <c r="C104" s="1826" t="s">
        <v>408</v>
      </c>
      <c r="D104" s="1826"/>
      <c r="E104" s="1826"/>
      <c r="F104" s="1826"/>
      <c r="G104" s="1826"/>
      <c r="H104" s="1826"/>
      <c r="I104" s="1826"/>
      <c r="J104" s="1826"/>
      <c r="K104" s="1826"/>
      <c r="L104" s="1826"/>
      <c r="M104" s="1826"/>
    </row>
    <row r="105" spans="3:13" ht="42" x14ac:dyDescent="0.15">
      <c r="C105" s="1435" t="s">
        <v>2678</v>
      </c>
      <c r="D105" s="1435" t="s">
        <v>2679</v>
      </c>
      <c r="E105" s="1435" t="s">
        <v>2680</v>
      </c>
      <c r="F105" s="1435" t="s">
        <v>2681</v>
      </c>
      <c r="G105" s="1435" t="s">
        <v>2682</v>
      </c>
      <c r="H105" s="1435" t="s">
        <v>2683</v>
      </c>
      <c r="I105" s="1435" t="s">
        <v>2686</v>
      </c>
      <c r="J105" s="1435" t="s">
        <v>2684</v>
      </c>
      <c r="K105" s="1435" t="s">
        <v>2685</v>
      </c>
      <c r="L105" s="1435" t="s">
        <v>2687</v>
      </c>
      <c r="M105" s="1435" t="s">
        <v>2688</v>
      </c>
    </row>
    <row r="106" spans="3:13" x14ac:dyDescent="0.15">
      <c r="C106" s="67">
        <v>103.94174588353437</v>
      </c>
      <c r="D106" s="67">
        <v>8.4699354372946747</v>
      </c>
      <c r="E106" s="67">
        <v>8.4699354372946747</v>
      </c>
      <c r="F106" s="67">
        <v>11.969622874873078</v>
      </c>
      <c r="G106" s="67">
        <v>39.842961555169239</v>
      </c>
      <c r="H106" s="67">
        <v>51.812550084074402</v>
      </c>
      <c r="I106" s="67">
        <v>11.969588528905163</v>
      </c>
      <c r="J106" s="67">
        <v>-31.074295258258914</v>
      </c>
      <c r="K106" s="67">
        <v>116.70707987965309</v>
      </c>
      <c r="L106" s="67">
        <v>2706.6666666666665</v>
      </c>
      <c r="M106" s="67">
        <v>1.1228123877236211</v>
      </c>
    </row>
    <row r="107" spans="3:13" x14ac:dyDescent="0.15">
      <c r="C107" s="67">
        <v>100.53159996989147</v>
      </c>
      <c r="D107" s="67">
        <v>8.1920517489383755</v>
      </c>
      <c r="E107" s="67">
        <v>8.1920517489383755</v>
      </c>
      <c r="F107" s="67">
        <v>48.810503935524295</v>
      </c>
      <c r="G107" s="67">
        <v>18.705213081888836</v>
      </c>
      <c r="H107" s="67">
        <v>67.515371862900636</v>
      </c>
      <c r="I107" s="67">
        <v>48.8101587810118</v>
      </c>
      <c r="J107" s="67">
        <v>8.5443316666412272</v>
      </c>
      <c r="K107" s="67">
        <v>116.505022128734</v>
      </c>
      <c r="L107" s="67">
        <v>2733.3333333333335</v>
      </c>
      <c r="M107" s="67">
        <v>1.1588895647102648</v>
      </c>
    </row>
    <row r="108" spans="3:13" x14ac:dyDescent="0.15">
      <c r="C108" s="67">
        <v>96.237647420561686</v>
      </c>
      <c r="D108" s="67">
        <v>7.8421490168409012</v>
      </c>
      <c r="E108" s="67">
        <v>7.8421490168409012</v>
      </c>
      <c r="F108" s="67">
        <v>94.552358210893857</v>
      </c>
      <c r="G108" s="67">
        <v>-5.9032430113954888</v>
      </c>
      <c r="H108" s="67">
        <v>88.650767506981992</v>
      </c>
      <c r="I108" s="67">
        <v>94.554010518377481</v>
      </c>
      <c r="J108" s="67">
        <v>57.654429796974256</v>
      </c>
      <c r="K108" s="67">
        <v>116.10515324618711</v>
      </c>
      <c r="L108" s="67">
        <v>2806.6666666666665</v>
      </c>
      <c r="M108" s="67">
        <v>1.2064421394135267</v>
      </c>
    </row>
    <row r="109" spans="3:13" x14ac:dyDescent="0.15">
      <c r="C109" s="67">
        <v>91.842526989409251</v>
      </c>
      <c r="D109" s="67">
        <v>7.4840023840846293</v>
      </c>
      <c r="E109" s="67">
        <v>7.4840023840846293</v>
      </c>
      <c r="F109" s="67">
        <v>144.72222178543288</v>
      </c>
      <c r="G109" s="67">
        <v>-39.596260673609102</v>
      </c>
      <c r="H109" s="67">
        <v>105.11817271550782</v>
      </c>
      <c r="I109" s="67">
        <v>144.71443338911692</v>
      </c>
      <c r="J109" s="67">
        <v>111.10825837812627</v>
      </c>
      <c r="K109" s="67">
        <v>115.91022483481552</v>
      </c>
      <c r="L109" s="67">
        <v>2853.3333333333335</v>
      </c>
      <c r="M109" s="67">
        <v>1.2620539594711022</v>
      </c>
    </row>
    <row r="110" spans="3:13" x14ac:dyDescent="0.15">
      <c r="C110" s="67">
        <v>88.346620615970906</v>
      </c>
      <c r="D110" s="67">
        <v>7.1991303047660118</v>
      </c>
      <c r="E110" s="67">
        <v>7.1991303047660118</v>
      </c>
      <c r="F110" s="67">
        <v>183.19878715510382</v>
      </c>
      <c r="G110" s="67">
        <v>-59.265265613300734</v>
      </c>
      <c r="H110" s="67">
        <v>123.92952967860099</v>
      </c>
      <c r="I110" s="67">
        <v>183.19479529190173</v>
      </c>
      <c r="J110" s="67">
        <v>152.09830900490149</v>
      </c>
      <c r="K110" s="67">
        <v>115.62401354560232</v>
      </c>
      <c r="L110" s="67">
        <v>2906.6666666666665</v>
      </c>
      <c r="M110" s="67">
        <v>1.3087542312252329</v>
      </c>
    </row>
    <row r="111" spans="3:13" x14ac:dyDescent="0.15">
      <c r="C111" s="67">
        <v>84.392974971168883</v>
      </c>
      <c r="D111" s="67">
        <v>6.8769582739927708</v>
      </c>
      <c r="E111" s="67">
        <v>6.8769582739927708</v>
      </c>
      <c r="F111" s="67">
        <v>230.85335979251471</v>
      </c>
      <c r="G111" s="67">
        <v>-80.571787434053348</v>
      </c>
      <c r="H111" s="67">
        <v>150.29434043259261</v>
      </c>
      <c r="I111" s="67">
        <v>230.86612786664597</v>
      </c>
      <c r="J111" s="67">
        <v>202.4905948053034</v>
      </c>
      <c r="K111" s="67">
        <v>115.03512976188136</v>
      </c>
      <c r="L111" s="67">
        <v>2946.6666666666665</v>
      </c>
      <c r="M111" s="67">
        <v>1.3630889277357594</v>
      </c>
    </row>
    <row r="112" spans="3:13" x14ac:dyDescent="0.15">
      <c r="C112" s="67">
        <v>77.579823889888303</v>
      </c>
      <c r="D112" s="67">
        <v>6.3217727776125114</v>
      </c>
      <c r="E112" s="67">
        <v>6.3217727776125114</v>
      </c>
      <c r="F112" s="67">
        <v>271.94137929945913</v>
      </c>
      <c r="G112" s="67">
        <v>-109.24041687331498</v>
      </c>
      <c r="H112" s="67">
        <v>162.70274157105339</v>
      </c>
      <c r="I112" s="67">
        <v>271.94315844436835</v>
      </c>
      <c r="J112" s="67">
        <v>247.96427181331077</v>
      </c>
      <c r="K112" s="67">
        <v>108.0412609734754</v>
      </c>
      <c r="L112" s="67">
        <v>2960</v>
      </c>
      <c r="M112" s="67">
        <v>1.3926463809304601</v>
      </c>
    </row>
    <row r="113" spans="3:13" x14ac:dyDescent="0.15">
      <c r="C113" s="67">
        <v>68.157968954652915</v>
      </c>
      <c r="D113" s="67">
        <v>5.5540109671613198</v>
      </c>
      <c r="E113" s="67">
        <v>5.5540109671613198</v>
      </c>
      <c r="F113" s="67">
        <v>316.68688236203548</v>
      </c>
      <c r="G113" s="67">
        <v>-139.41476984999315</v>
      </c>
      <c r="H113" s="67">
        <v>177.26507746185524</v>
      </c>
      <c r="I113" s="67">
        <v>316.67984731184839</v>
      </c>
      <c r="J113" s="67">
        <v>298.17162461783948</v>
      </c>
      <c r="K113" s="67">
        <v>96.67737759856962</v>
      </c>
      <c r="L113" s="67">
        <v>2973.3333333333335</v>
      </c>
      <c r="M113" s="67">
        <v>1.4184310225395849</v>
      </c>
    </row>
    <row r="114" spans="3:13" x14ac:dyDescent="0.15">
      <c r="C114" s="67">
        <v>57.088283609370528</v>
      </c>
      <c r="D114" s="67">
        <v>4.6519718548804345</v>
      </c>
      <c r="E114" s="67">
        <v>4.6519718548804345</v>
      </c>
      <c r="F114" s="67">
        <v>363.31489631742176</v>
      </c>
      <c r="G114" s="67">
        <v>-170.95662108915326</v>
      </c>
      <c r="H114" s="67">
        <v>192.3374284433979</v>
      </c>
      <c r="I114" s="67">
        <v>363.29404953255118</v>
      </c>
      <c r="J114" s="67">
        <v>350.30954424939137</v>
      </c>
      <c r="K114" s="67">
        <v>83.928908513481048</v>
      </c>
      <c r="L114" s="67">
        <v>2980</v>
      </c>
      <c r="M114" s="67">
        <v>1.4701599558986369</v>
      </c>
    </row>
    <row r="115" spans="3:13" ht="13.5" customHeight="1" x14ac:dyDescent="0.15">
      <c r="C115" s="67">
        <v>45.821199046294701</v>
      </c>
      <c r="D115" s="67">
        <v>3.7338472072271065</v>
      </c>
      <c r="E115" s="67">
        <v>3.7338472072271065</v>
      </c>
      <c r="F115" s="67">
        <v>394.02345599025341</v>
      </c>
      <c r="G115" s="67">
        <v>-179.1771421897534</v>
      </c>
      <c r="H115" s="67">
        <v>214.89335134679015</v>
      </c>
      <c r="I115" s="67">
        <v>394.07049353654355</v>
      </c>
      <c r="J115" s="67">
        <v>385.70552455639296</v>
      </c>
      <c r="K115" s="67">
        <v>71.26197544176398</v>
      </c>
      <c r="L115" s="67">
        <v>2973.3333333333335</v>
      </c>
      <c r="M115" s="67">
        <v>1.5552184780185609</v>
      </c>
    </row>
    <row r="116" spans="3:13" x14ac:dyDescent="0.15">
      <c r="C116" s="67">
        <v>16.03249318817603</v>
      </c>
      <c r="D116" s="67">
        <v>1.306445076984502</v>
      </c>
      <c r="E116" s="67">
        <v>1.306445076984502</v>
      </c>
      <c r="F116" s="67">
        <v>402.79193494976369</v>
      </c>
      <c r="G116" s="67">
        <v>-143.06465823564255</v>
      </c>
      <c r="H116" s="67">
        <v>260.03396952318616</v>
      </c>
      <c r="I116" s="67">
        <v>403.09862775882868</v>
      </c>
      <c r="J116" s="67">
        <v>402.07454851532248</v>
      </c>
      <c r="K116" s="67">
        <v>44.86625036767358</v>
      </c>
      <c r="L116" s="67">
        <v>2973.3333333333335</v>
      </c>
      <c r="M116" s="67">
        <v>2.7984574726507576</v>
      </c>
    </row>
    <row r="118" spans="3:13" ht="14" x14ac:dyDescent="0.15">
      <c r="C118" s="1826" t="s">
        <v>2673</v>
      </c>
      <c r="D118" s="1826"/>
      <c r="E118" s="1826"/>
      <c r="F118" s="1826"/>
      <c r="G118" s="1826"/>
      <c r="H118" s="1826"/>
      <c r="I118" s="1826"/>
      <c r="J118" s="1826"/>
      <c r="K118" s="1826"/>
      <c r="L118" s="1826"/>
      <c r="M118" s="1826"/>
    </row>
    <row r="119" spans="3:13" ht="42" x14ac:dyDescent="0.15">
      <c r="C119" s="1435" t="s">
        <v>2678</v>
      </c>
      <c r="D119" s="1435" t="s">
        <v>2679</v>
      </c>
      <c r="E119" s="1435" t="s">
        <v>2680</v>
      </c>
      <c r="F119" s="1435" t="s">
        <v>2681</v>
      </c>
      <c r="G119" s="1435" t="s">
        <v>2682</v>
      </c>
      <c r="H119" s="1435" t="s">
        <v>2683</v>
      </c>
      <c r="I119" s="1435" t="s">
        <v>2686</v>
      </c>
      <c r="J119" s="1435" t="s">
        <v>2684</v>
      </c>
      <c r="K119" s="1435" t="s">
        <v>2685</v>
      </c>
      <c r="L119" s="1435" t="s">
        <v>2687</v>
      </c>
      <c r="M119" s="1435" t="s">
        <v>2688</v>
      </c>
    </row>
    <row r="120" spans="3:13" x14ac:dyDescent="0.15">
      <c r="C120" s="67">
        <v>15.799549507199115</v>
      </c>
      <c r="D120" s="67">
        <v>1.2874631181802794</v>
      </c>
      <c r="E120" s="67">
        <v>1.2874631181802794</v>
      </c>
      <c r="F120" s="67">
        <v>297.1479875287705</v>
      </c>
      <c r="G120" s="67">
        <v>-147.31758772996028</v>
      </c>
      <c r="H120" s="67">
        <v>149.8297422441718</v>
      </c>
      <c r="I120" s="67">
        <v>297.14732997413205</v>
      </c>
      <c r="J120" s="67">
        <v>296.15279320572733</v>
      </c>
      <c r="K120" s="67">
        <v>33.596537743665735</v>
      </c>
      <c r="L120" s="67">
        <v>2613.3333333333335</v>
      </c>
      <c r="M120" s="67">
        <v>2.1264237773588017</v>
      </c>
    </row>
    <row r="121" spans="3:13" x14ac:dyDescent="0.15">
      <c r="C121" s="67">
        <v>51.128838371369135</v>
      </c>
      <c r="D121" s="67">
        <v>4.1663525690111847</v>
      </c>
      <c r="E121" s="67">
        <v>4.1663525690111847</v>
      </c>
      <c r="F121" s="67">
        <v>267.08732112660431</v>
      </c>
      <c r="G121" s="67">
        <v>-119.79478975392821</v>
      </c>
      <c r="H121" s="67">
        <v>147.30108444281089</v>
      </c>
      <c r="I121" s="67">
        <v>267.09587419673909</v>
      </c>
      <c r="J121" s="67">
        <v>256.68077795915542</v>
      </c>
      <c r="K121" s="67">
        <v>59.590984922988532</v>
      </c>
      <c r="L121" s="67">
        <v>2622</v>
      </c>
      <c r="M121" s="67">
        <v>1.1655063330435058</v>
      </c>
    </row>
    <row r="122" spans="3:13" x14ac:dyDescent="0.15">
      <c r="C122" s="67">
        <v>60.245452542821475</v>
      </c>
      <c r="D122" s="67">
        <v>4.9092411243510954</v>
      </c>
      <c r="E122" s="67">
        <v>4.9092411243510954</v>
      </c>
      <c r="F122" s="67">
        <v>232.48755947138167</v>
      </c>
      <c r="G122" s="67">
        <v>-108.7815856976239</v>
      </c>
      <c r="H122" s="67">
        <v>123.67666511922583</v>
      </c>
      <c r="I122" s="67">
        <v>232.45825081684973</v>
      </c>
      <c r="J122" s="67">
        <v>217.99786176663773</v>
      </c>
      <c r="K122" s="67">
        <v>67.555205370176154</v>
      </c>
      <c r="L122" s="67">
        <v>2613.3333333333335</v>
      </c>
      <c r="M122" s="67">
        <v>1.1213328561547284</v>
      </c>
    </row>
    <row r="123" spans="3:13" x14ac:dyDescent="0.15">
      <c r="C123" s="67">
        <v>68.191354988839507</v>
      </c>
      <c r="D123" s="67">
        <v>5.5567315059752884</v>
      </c>
      <c r="E123" s="67">
        <v>5.5567315059752884</v>
      </c>
      <c r="F123" s="67">
        <v>197.48260916158716</v>
      </c>
      <c r="G123" s="67">
        <v>-87.229479814147652</v>
      </c>
      <c r="H123" s="67">
        <v>110.22735281784522</v>
      </c>
      <c r="I123" s="67">
        <v>197.45683263199288</v>
      </c>
      <c r="J123" s="67">
        <v>178.93047361429385</v>
      </c>
      <c r="K123" s="67">
        <v>73.937935233279433</v>
      </c>
      <c r="L123" s="67">
        <v>2620</v>
      </c>
      <c r="M123" s="67">
        <v>1.0842713896120768</v>
      </c>
    </row>
    <row r="124" spans="3:13" x14ac:dyDescent="0.15">
      <c r="C124" s="67">
        <v>74.926029613736688</v>
      </c>
      <c r="D124" s="67">
        <v>6.1055221653892753</v>
      </c>
      <c r="E124" s="67">
        <v>6.1055221653892753</v>
      </c>
      <c r="F124" s="67">
        <v>163.49706181938268</v>
      </c>
      <c r="G124" s="67">
        <v>-55.436159967058572</v>
      </c>
      <c r="H124" s="67">
        <v>108.06544713282136</v>
      </c>
      <c r="I124" s="67">
        <v>163.50160709987995</v>
      </c>
      <c r="J124" s="67">
        <v>141.13516655264411</v>
      </c>
      <c r="K124" s="67">
        <v>80.254864853355954</v>
      </c>
      <c r="L124" s="67">
        <v>2626.6666666666665</v>
      </c>
      <c r="M124" s="67">
        <v>1.0711212814437228</v>
      </c>
    </row>
    <row r="125" spans="3:13" x14ac:dyDescent="0.15">
      <c r="C125" s="67">
        <v>80.815123949068777</v>
      </c>
      <c r="D125" s="67">
        <v>6.5854087439761964</v>
      </c>
      <c r="E125" s="67">
        <v>6.5854087439761964</v>
      </c>
      <c r="F125" s="67">
        <v>129.53771293323427</v>
      </c>
      <c r="G125" s="67">
        <v>-38.28803592044283</v>
      </c>
      <c r="H125" s="67">
        <v>91.246334866437806</v>
      </c>
      <c r="I125" s="67">
        <v>129.53437078688063</v>
      </c>
      <c r="J125" s="67">
        <v>103.51380579173774</v>
      </c>
      <c r="K125" s="67">
        <v>86.055215808458428</v>
      </c>
      <c r="L125" s="67">
        <v>2613.3333333333335</v>
      </c>
      <c r="M125" s="67">
        <v>1.0648404853365325</v>
      </c>
    </row>
    <row r="126" spans="3:13" x14ac:dyDescent="0.15">
      <c r="C126" s="67">
        <v>86.150582458184942</v>
      </c>
      <c r="D126" s="67">
        <v>7.0201810168146235</v>
      </c>
      <c r="E126" s="67">
        <v>7.0201810168146235</v>
      </c>
      <c r="F126" s="67">
        <v>96.663503058982343</v>
      </c>
      <c r="G126" s="67">
        <v>-17.382438075715282</v>
      </c>
      <c r="H126" s="67">
        <v>79.279502585631832</v>
      </c>
      <c r="I126" s="67">
        <v>96.661940661347117</v>
      </c>
      <c r="J126" s="67">
        <v>67.092175756040476</v>
      </c>
      <c r="K126" s="67">
        <v>91.158449534674943</v>
      </c>
      <c r="L126" s="67">
        <v>2613.3333333333335</v>
      </c>
      <c r="M126" s="67">
        <v>1.0581292306284833</v>
      </c>
    </row>
    <row r="127" spans="3:13" x14ac:dyDescent="0.15">
      <c r="C127" s="67">
        <v>93.769133628379237</v>
      </c>
      <c r="D127" s="67">
        <v>7.6409964167173268</v>
      </c>
      <c r="E127" s="67">
        <v>7.6409964167173268</v>
      </c>
      <c r="F127" s="67">
        <v>47.380804853844268</v>
      </c>
      <c r="G127" s="67">
        <v>12.155690935504772</v>
      </c>
      <c r="H127" s="67">
        <v>59.535187577854686</v>
      </c>
      <c r="I127" s="67">
        <v>47.379496642349913</v>
      </c>
      <c r="J127" s="67">
        <v>12.3486008981777</v>
      </c>
      <c r="K127" s="67">
        <v>99.227558659690871</v>
      </c>
      <c r="L127" s="67">
        <v>2620</v>
      </c>
      <c r="M127" s="67">
        <v>1.0582113198671983</v>
      </c>
    </row>
    <row r="128" spans="3:13" x14ac:dyDescent="0.15">
      <c r="C128" s="67">
        <v>99.530285532717997</v>
      </c>
      <c r="D128" s="67">
        <v>8.1104573080984714</v>
      </c>
      <c r="E128" s="67">
        <v>8.1104573080984714</v>
      </c>
      <c r="F128" s="67">
        <v>9.2542602186117691</v>
      </c>
      <c r="G128" s="67">
        <v>38.266709428937759</v>
      </c>
      <c r="H128" s="67">
        <v>47.520969783868566</v>
      </c>
      <c r="I128" s="67">
        <v>9.2542603549308069</v>
      </c>
      <c r="J128" s="67">
        <v>-30.21345029296193</v>
      </c>
      <c r="K128" s="67">
        <v>105.49298198277867</v>
      </c>
      <c r="L128" s="67">
        <v>2620</v>
      </c>
      <c r="M128" s="67">
        <v>1.0599083627475439</v>
      </c>
    </row>
    <row r="129" spans="3:13" x14ac:dyDescent="0.15">
      <c r="C129" s="1468">
        <f>D64</f>
        <v>94.190053945822427</v>
      </c>
      <c r="D129" s="1467"/>
      <c r="E129" s="1467"/>
      <c r="F129" s="1467"/>
      <c r="G129" s="1467"/>
      <c r="H129" s="1467"/>
      <c r="I129" s="1467"/>
      <c r="J129" s="1467"/>
      <c r="K129" s="1468">
        <f>F64</f>
        <v>98.661858881069861</v>
      </c>
      <c r="L129" s="1467"/>
      <c r="M129" s="1467"/>
    </row>
    <row r="130" spans="3:13" x14ac:dyDescent="0.15">
      <c r="C130" s="1468">
        <f>D65</f>
        <v>84.079536443313629</v>
      </c>
      <c r="D130" s="1467"/>
      <c r="E130" s="1467"/>
      <c r="F130" s="1467"/>
      <c r="G130" s="1467"/>
      <c r="H130" s="1467"/>
      <c r="I130" s="1467"/>
      <c r="J130" s="1467"/>
      <c r="K130" s="1468">
        <f>F65</f>
        <v>86.695619421533181</v>
      </c>
      <c r="L130" s="1467"/>
      <c r="M130" s="1467"/>
    </row>
    <row r="131" spans="3:13" x14ac:dyDescent="0.15">
      <c r="C131" s="1468">
        <f>D66</f>
        <v>69.435413257497288</v>
      </c>
      <c r="D131" s="1467"/>
      <c r="E131" s="1467"/>
      <c r="F131" s="1467"/>
      <c r="G131" s="1467"/>
      <c r="H131" s="1467"/>
      <c r="I131" s="1467"/>
      <c r="J131" s="1467"/>
      <c r="K131" s="1468">
        <f>F66</f>
        <v>76.36872224980641</v>
      </c>
      <c r="L131" s="1467"/>
      <c r="M131" s="1467"/>
    </row>
    <row r="132" spans="3:13" x14ac:dyDescent="0.15">
      <c r="C132" s="1468">
        <f>N64</f>
        <v>93.684238593623874</v>
      </c>
      <c r="D132" s="1467"/>
      <c r="E132" s="1467"/>
      <c r="F132" s="1467"/>
      <c r="G132" s="1467"/>
      <c r="H132" s="1467"/>
      <c r="I132" s="1467"/>
      <c r="J132" s="1467"/>
      <c r="K132" s="1468">
        <f>P64</f>
        <v>97.143807702138176</v>
      </c>
      <c r="L132" s="1467"/>
      <c r="M132" s="1467"/>
    </row>
    <row r="133" spans="3:13" x14ac:dyDescent="0.15">
      <c r="C133" s="1468">
        <f t="shared" ref="C133:C134" si="36">N65</f>
        <v>84.938969521756022</v>
      </c>
      <c r="D133" s="1467"/>
      <c r="E133" s="1467"/>
      <c r="F133" s="1467"/>
      <c r="G133" s="1467"/>
      <c r="H133" s="1467"/>
      <c r="I133" s="1467"/>
      <c r="J133" s="1467"/>
      <c r="K133" s="1468">
        <f t="shared" ref="K133:K134" si="37">P65</f>
        <v>86.483732412262924</v>
      </c>
      <c r="L133" s="1467"/>
      <c r="M133" s="1467"/>
    </row>
    <row r="134" spans="3:13" x14ac:dyDescent="0.15">
      <c r="C134" s="1468">
        <f t="shared" si="36"/>
        <v>67.236714157684546</v>
      </c>
      <c r="D134" s="1467"/>
      <c r="E134" s="1467"/>
      <c r="F134" s="1467"/>
      <c r="G134" s="1467"/>
      <c r="H134" s="1467"/>
      <c r="I134" s="1467"/>
      <c r="J134" s="1467"/>
      <c r="K134" s="1468">
        <f t="shared" si="37"/>
        <v>74.070932265823956</v>
      </c>
      <c r="L134" s="1467"/>
      <c r="M134" s="1467"/>
    </row>
    <row r="136" spans="3:13" ht="13.5" customHeight="1" x14ac:dyDescent="0.15">
      <c r="C136" s="1827" t="s">
        <v>411</v>
      </c>
      <c r="D136" s="1828"/>
      <c r="E136" s="1828"/>
      <c r="F136" s="1828"/>
      <c r="G136" s="1828"/>
      <c r="H136" s="1828"/>
      <c r="I136" s="1828"/>
      <c r="J136" s="1828"/>
      <c r="K136" s="1828"/>
      <c r="L136" s="1828"/>
      <c r="M136" s="1829"/>
    </row>
    <row r="137" spans="3:13" ht="42" x14ac:dyDescent="0.15">
      <c r="C137" s="1435" t="s">
        <v>2678</v>
      </c>
      <c r="D137" s="1435" t="s">
        <v>2679</v>
      </c>
      <c r="E137" s="1435" t="s">
        <v>2680</v>
      </c>
      <c r="F137" s="1435" t="s">
        <v>2681</v>
      </c>
      <c r="G137" s="1435" t="s">
        <v>2682</v>
      </c>
      <c r="H137" s="1435" t="s">
        <v>2683</v>
      </c>
      <c r="I137" s="1435" t="s">
        <v>2686</v>
      </c>
      <c r="J137" s="1435" t="s">
        <v>2684</v>
      </c>
      <c r="K137" s="1435" t="s">
        <v>2685</v>
      </c>
      <c r="L137" s="1435" t="s">
        <v>2687</v>
      </c>
      <c r="M137" s="1435" t="s">
        <v>2688</v>
      </c>
    </row>
    <row r="138" spans="3:13" x14ac:dyDescent="0.15">
      <c r="C138" s="67">
        <v>82.810183971981445</v>
      </c>
      <c r="D138" s="67">
        <v>6.7479808601549269</v>
      </c>
      <c r="E138" s="67">
        <v>6.7479808601549269</v>
      </c>
      <c r="F138" s="67">
        <v>7.2654027805923924</v>
      </c>
      <c r="G138" s="67">
        <v>25.679743597835966</v>
      </c>
      <c r="H138" s="67">
        <v>32.945140493401809</v>
      </c>
      <c r="I138" s="67">
        <v>7.2653968955658428</v>
      </c>
      <c r="J138" s="67">
        <v>-20.055750517844494</v>
      </c>
      <c r="K138" s="67">
        <v>65.56240342406528</v>
      </c>
      <c r="L138" s="67">
        <v>2253.3333333333335</v>
      </c>
      <c r="M138" s="67">
        <v>0.7917190891188951</v>
      </c>
    </row>
    <row r="139" spans="3:13" x14ac:dyDescent="0.15">
      <c r="C139" s="67">
        <v>79.019673818076285</v>
      </c>
      <c r="D139" s="67">
        <v>6.4391023051039049</v>
      </c>
      <c r="E139" s="67">
        <v>6.4391023051039049</v>
      </c>
      <c r="F139" s="67">
        <v>29.716572985175993</v>
      </c>
      <c r="G139" s="67">
        <v>13.328557766147489</v>
      </c>
      <c r="H139" s="67">
        <v>43.045540265104648</v>
      </c>
      <c r="I139" s="67">
        <v>29.716982498957158</v>
      </c>
      <c r="J139" s="67">
        <v>4.8397594016005065</v>
      </c>
      <c r="K139" s="67">
        <v>62.81907768749317</v>
      </c>
      <c r="L139" s="67">
        <v>2246.6666666666665</v>
      </c>
      <c r="M139" s="67">
        <v>0.79498022014263092</v>
      </c>
    </row>
    <row r="140" spans="3:13" x14ac:dyDescent="0.15">
      <c r="C140" s="67">
        <v>75.001399095710752</v>
      </c>
      <c r="D140" s="67">
        <v>6.1116638233038723</v>
      </c>
      <c r="E140" s="67">
        <v>6.1116638233038723</v>
      </c>
      <c r="F140" s="67">
        <v>52.575757769306058</v>
      </c>
      <c r="G140" s="67">
        <v>-0.11782657561618848</v>
      </c>
      <c r="H140" s="67">
        <v>52.45919314760944</v>
      </c>
      <c r="I140" s="67">
        <v>52.577019723225632</v>
      </c>
      <c r="J140" s="67">
        <v>30.165558909776848</v>
      </c>
      <c r="K140" s="67">
        <v>60.138119223103722</v>
      </c>
      <c r="L140" s="67">
        <v>2253.3333333333335</v>
      </c>
      <c r="M140" s="67">
        <v>0.80182663187869729</v>
      </c>
    </row>
    <row r="141" spans="3:13" x14ac:dyDescent="0.15">
      <c r="C141" s="67">
        <v>70.47230092636191</v>
      </c>
      <c r="D141" s="67">
        <v>5.7425997022669071</v>
      </c>
      <c r="E141" s="67">
        <v>5.7425997022669071</v>
      </c>
      <c r="F141" s="67">
        <v>78.201509656302292</v>
      </c>
      <c r="G141" s="67">
        <v>-17.080243488150302</v>
      </c>
      <c r="H141" s="67">
        <v>61.121843961684533</v>
      </c>
      <c r="I141" s="67">
        <v>78.202087449834835</v>
      </c>
      <c r="J141" s="67">
        <v>58.41561664554925</v>
      </c>
      <c r="K141" s="67">
        <v>56.91973067067552</v>
      </c>
      <c r="L141" s="67">
        <v>2253.3333333333335</v>
      </c>
      <c r="M141" s="67">
        <v>0.80768940310537363</v>
      </c>
    </row>
    <row r="142" spans="3:13" x14ac:dyDescent="0.15">
      <c r="C142" s="67">
        <v>65.987694006431695</v>
      </c>
      <c r="D142" s="67">
        <v>5.3771610543918289</v>
      </c>
      <c r="E142" s="67">
        <v>5.3771610543918289</v>
      </c>
      <c r="F142" s="67">
        <v>102.52630353344513</v>
      </c>
      <c r="G142" s="67">
        <v>-31.94458936281768</v>
      </c>
      <c r="H142" s="67">
        <v>70.582383310119297</v>
      </c>
      <c r="I142" s="67">
        <v>102.52697267293698</v>
      </c>
      <c r="J142" s="67">
        <v>85.178656070016032</v>
      </c>
      <c r="K142" s="67">
        <v>53.094380526806766</v>
      </c>
      <c r="L142" s="67">
        <v>2253.3333333333335</v>
      </c>
      <c r="M142" s="67">
        <v>0.80461033418794359</v>
      </c>
    </row>
    <row r="143" spans="3:13" x14ac:dyDescent="0.15">
      <c r="C143" s="67">
        <v>60.592487002274083</v>
      </c>
      <c r="D143" s="67">
        <v>4.9375200361693903</v>
      </c>
      <c r="E143" s="67">
        <v>4.9375200361693903</v>
      </c>
      <c r="F143" s="67">
        <v>126.65649735950618</v>
      </c>
      <c r="G143" s="67">
        <v>-43.174155272522334</v>
      </c>
      <c r="H143" s="67">
        <v>83.489889739893172</v>
      </c>
      <c r="I143" s="67">
        <v>126.6640450124155</v>
      </c>
      <c r="J143" s="67">
        <v>112.03658254787099</v>
      </c>
      <c r="K143" s="67">
        <v>49.519056101056613</v>
      </c>
      <c r="L143" s="67">
        <v>2266.6666666666665</v>
      </c>
      <c r="M143" s="67">
        <v>0.81724746005553661</v>
      </c>
    </row>
    <row r="144" spans="3:13" x14ac:dyDescent="0.15">
      <c r="C144" s="67">
        <v>54.391055371869335</v>
      </c>
      <c r="D144" s="67">
        <v>4.4321819250780123</v>
      </c>
      <c r="E144" s="67">
        <v>4.4321819250780123</v>
      </c>
      <c r="F144" s="67">
        <v>151.58539566253739</v>
      </c>
      <c r="G144" s="67">
        <v>-62.888428969834301</v>
      </c>
      <c r="H144" s="67">
        <v>88.697041380826391</v>
      </c>
      <c r="I144" s="67">
        <v>151.5854703506607</v>
      </c>
      <c r="J144" s="67">
        <v>139.79892838046777</v>
      </c>
      <c r="K144" s="67">
        <v>45.677174086315709</v>
      </c>
      <c r="L144" s="67">
        <v>2253.3333333333335</v>
      </c>
      <c r="M144" s="67">
        <v>0.83979201679435733</v>
      </c>
    </row>
    <row r="145" spans="3:13" x14ac:dyDescent="0.15">
      <c r="C145" s="67">
        <v>49.007052658519648</v>
      </c>
      <c r="D145" s="67">
        <v>3.9934539146077253</v>
      </c>
      <c r="E145" s="67">
        <v>3.9934539146077253</v>
      </c>
      <c r="F145" s="67">
        <v>173.71229598685386</v>
      </c>
      <c r="G145" s="67">
        <v>-76.113489978823864</v>
      </c>
      <c r="H145" s="67">
        <v>97.59944567873444</v>
      </c>
      <c r="I145" s="67">
        <v>173.71293565755832</v>
      </c>
      <c r="J145" s="67">
        <v>164.14433115670087</v>
      </c>
      <c r="K145" s="67">
        <v>42.371673394046965</v>
      </c>
      <c r="L145" s="67">
        <v>2253.3333333333335</v>
      </c>
      <c r="M145" s="67">
        <v>0.86460358449409525</v>
      </c>
    </row>
    <row r="146" spans="3:13" x14ac:dyDescent="0.15">
      <c r="C146" s="67">
        <v>40.785937356594836</v>
      </c>
      <c r="D146" s="67">
        <v>3.3235371719364912</v>
      </c>
      <c r="E146" s="67">
        <v>3.3235371719364912</v>
      </c>
      <c r="F146" s="67">
        <v>198.92912734636795</v>
      </c>
      <c r="G146" s="67">
        <v>-91.55749640558156</v>
      </c>
      <c r="H146" s="67">
        <v>107.37330243810416</v>
      </c>
      <c r="I146" s="67">
        <v>198.93079884368572</v>
      </c>
      <c r="J146" s="67">
        <v>192.30325924373955</v>
      </c>
      <c r="K146" s="67">
        <v>37.175480838667852</v>
      </c>
      <c r="L146" s="67">
        <v>2253.3333333333335</v>
      </c>
      <c r="M146" s="67">
        <v>0.91147790753561786</v>
      </c>
    </row>
    <row r="147" spans="3:13" ht="15.5" customHeight="1" x14ac:dyDescent="0.15">
      <c r="C147" s="67">
        <v>13.907472545168961</v>
      </c>
      <c r="D147" s="67">
        <v>1.1332828167569731</v>
      </c>
      <c r="E147" s="67">
        <v>1.1332828167569731</v>
      </c>
      <c r="F147" s="67">
        <v>215.87468137456113</v>
      </c>
      <c r="G147" s="67">
        <v>-104.56816336930532</v>
      </c>
      <c r="H147" s="67">
        <v>111.31401741987577</v>
      </c>
      <c r="I147" s="67">
        <v>215.88218078918109</v>
      </c>
      <c r="J147" s="67">
        <v>215.11158282352713</v>
      </c>
      <c r="K147" s="67">
        <v>23.160696903004986</v>
      </c>
      <c r="L147" s="67">
        <v>2253.3333333333335</v>
      </c>
      <c r="M147" s="67">
        <v>1.6653419108168808</v>
      </c>
    </row>
    <row r="148" spans="3:13" ht="15.5" customHeight="1" x14ac:dyDescent="0.15">
      <c r="C148" s="1468">
        <f>D69</f>
        <v>78.286672626886102</v>
      </c>
      <c r="D148" s="1467"/>
      <c r="E148" s="1467"/>
      <c r="F148" s="1467"/>
      <c r="G148" s="1467"/>
      <c r="H148" s="1467"/>
      <c r="I148" s="1467"/>
      <c r="J148" s="1467"/>
      <c r="K148" s="1468">
        <f>F69</f>
        <v>61.834991560803509</v>
      </c>
      <c r="L148" s="1467"/>
      <c r="M148" s="1467"/>
    </row>
    <row r="149" spans="3:13" ht="15.5" customHeight="1" x14ac:dyDescent="0.15">
      <c r="C149" s="1468">
        <f>D70</f>
        <v>70.13631814653786</v>
      </c>
      <c r="D149" s="1467"/>
      <c r="E149" s="1467"/>
      <c r="F149" s="1467"/>
      <c r="G149" s="1467"/>
      <c r="H149" s="1467"/>
      <c r="I149" s="1467"/>
      <c r="J149" s="1467"/>
      <c r="K149" s="1468">
        <f>F70</f>
        <v>55.197267659479841</v>
      </c>
      <c r="L149" s="1467"/>
      <c r="M149" s="1467"/>
    </row>
    <row r="150" spans="3:13" ht="15.5" customHeight="1" x14ac:dyDescent="0.15">
      <c r="C150" s="1468">
        <f>D71</f>
        <v>58.92131648445168</v>
      </c>
      <c r="D150" s="1467"/>
      <c r="E150" s="1467"/>
      <c r="F150" s="1467"/>
      <c r="G150" s="1467"/>
      <c r="H150" s="1467"/>
      <c r="I150" s="1467"/>
      <c r="J150" s="1467"/>
      <c r="K150" s="1468">
        <f>F71</f>
        <v>49.394813375094301</v>
      </c>
      <c r="L150" s="1467"/>
      <c r="M150" s="1467"/>
    </row>
    <row r="151" spans="3:13" ht="15.5" customHeight="1" x14ac:dyDescent="0.15">
      <c r="C151" s="1468">
        <f>N69</f>
        <v>78.629009779933412</v>
      </c>
      <c r="D151" s="1467"/>
      <c r="E151" s="1467"/>
      <c r="F151" s="1467"/>
      <c r="G151" s="1467"/>
      <c r="H151" s="1467"/>
      <c r="I151" s="1467"/>
      <c r="J151" s="1467"/>
      <c r="K151" s="1468">
        <f>P69</f>
        <v>62.705350004708741</v>
      </c>
      <c r="L151" s="1467"/>
      <c r="M151" s="1467"/>
    </row>
    <row r="152" spans="3:13" ht="15.5" customHeight="1" x14ac:dyDescent="0.15">
      <c r="C152" s="1468">
        <f t="shared" ref="C152:C153" si="38">N70</f>
        <v>70.86179174027356</v>
      </c>
      <c r="D152" s="1467"/>
      <c r="E152" s="1467"/>
      <c r="F152" s="1467"/>
      <c r="G152" s="1467"/>
      <c r="H152" s="1467"/>
      <c r="I152" s="1467"/>
      <c r="J152" s="1467"/>
      <c r="K152" s="1468">
        <f t="shared" ref="K152:K153" si="39">P70</f>
        <v>55.250037167637878</v>
      </c>
      <c r="L152" s="1467"/>
      <c r="M152" s="1467"/>
    </row>
    <row r="153" spans="3:13" ht="15.5" customHeight="1" x14ac:dyDescent="0.15">
      <c r="C153" s="1468">
        <f t="shared" si="38"/>
        <v>56.953288719972342</v>
      </c>
      <c r="D153" s="1467"/>
      <c r="E153" s="1467"/>
      <c r="F153" s="1467"/>
      <c r="G153" s="1467"/>
      <c r="H153" s="1467"/>
      <c r="I153" s="1467"/>
      <c r="J153" s="1467"/>
      <c r="K153" s="1468">
        <f t="shared" si="39"/>
        <v>47.631701083523424</v>
      </c>
      <c r="L153" s="1467"/>
      <c r="M153" s="1467"/>
    </row>
    <row r="155" spans="3:13" ht="14" x14ac:dyDescent="0.15">
      <c r="C155" s="1826" t="s">
        <v>10</v>
      </c>
      <c r="D155" s="1826"/>
      <c r="E155" s="1826"/>
      <c r="F155" s="1826"/>
      <c r="G155" s="1826"/>
      <c r="H155" s="1826"/>
      <c r="I155" s="1826"/>
      <c r="J155" s="1826"/>
      <c r="K155" s="1826"/>
      <c r="L155" s="1826"/>
      <c r="M155" s="1826"/>
    </row>
    <row r="156" spans="3:13" ht="42" x14ac:dyDescent="0.15">
      <c r="C156" s="1435" t="s">
        <v>2678</v>
      </c>
      <c r="D156" s="1435" t="s">
        <v>2679</v>
      </c>
      <c r="E156" s="1435" t="s">
        <v>2680</v>
      </c>
      <c r="F156" s="1435" t="s">
        <v>2681</v>
      </c>
      <c r="G156" s="1435" t="s">
        <v>2682</v>
      </c>
      <c r="H156" s="1435" t="s">
        <v>2683</v>
      </c>
      <c r="I156" s="1435" t="s">
        <v>2686</v>
      </c>
      <c r="J156" s="1435" t="s">
        <v>2684</v>
      </c>
      <c r="K156" s="1435" t="s">
        <v>2685</v>
      </c>
      <c r="L156" s="1435" t="s">
        <v>2687</v>
      </c>
      <c r="M156" s="1435" t="s">
        <v>2688</v>
      </c>
    </row>
    <row r="157" spans="3:13" x14ac:dyDescent="0.15">
      <c r="C157" s="67">
        <v>11.384846984323948</v>
      </c>
      <c r="D157" s="67">
        <v>0.92772079303680721</v>
      </c>
      <c r="E157" s="67">
        <v>0.92772079303680721</v>
      </c>
      <c r="F157" s="67">
        <v>148.60895894033044</v>
      </c>
      <c r="G157" s="67">
        <v>-74.826436390081071</v>
      </c>
      <c r="H157" s="67">
        <v>73.779946961353261</v>
      </c>
      <c r="I157" s="67">
        <v>148.60638335143432</v>
      </c>
      <c r="J157" s="67">
        <v>148.08998382953462</v>
      </c>
      <c r="K157" s="67">
        <v>15.527629952437218</v>
      </c>
      <c r="L157" s="67">
        <v>1893.3333333333333</v>
      </c>
      <c r="M157" s="67">
        <v>1.3638856959445798</v>
      </c>
    </row>
    <row r="158" spans="3:13" x14ac:dyDescent="0.15">
      <c r="C158" s="67">
        <v>34.531370705214478</v>
      </c>
      <c r="D158" s="67">
        <v>2.8138692298104586</v>
      </c>
      <c r="E158" s="67">
        <v>2.8138692298104586</v>
      </c>
      <c r="F158" s="67">
        <v>130.63606825211616</v>
      </c>
      <c r="G158" s="67">
        <v>-61.076364250998559</v>
      </c>
      <c r="H158" s="67">
        <v>69.557822465328371</v>
      </c>
      <c r="I158" s="67">
        <v>130.63418671632692</v>
      </c>
      <c r="J158" s="67">
        <v>125.88347069084246</v>
      </c>
      <c r="K158" s="67">
        <v>24.064636961853513</v>
      </c>
      <c r="L158" s="67">
        <v>1893.3333333333333</v>
      </c>
      <c r="M158" s="67">
        <v>0.69689202804276706</v>
      </c>
    </row>
    <row r="159" spans="3:13" x14ac:dyDescent="0.15">
      <c r="C159" s="67">
        <v>41.425278265669888</v>
      </c>
      <c r="D159" s="67">
        <v>3.3756353561285737</v>
      </c>
      <c r="E159" s="67">
        <v>3.3756353561285737</v>
      </c>
      <c r="F159" s="67">
        <v>111.74038377015309</v>
      </c>
      <c r="G159" s="67">
        <v>-51.228163752278391</v>
      </c>
      <c r="H159" s="67">
        <v>60.507535477398022</v>
      </c>
      <c r="I159" s="67">
        <v>111.73569922967641</v>
      </c>
      <c r="J159" s="67">
        <v>104.89875079514924</v>
      </c>
      <c r="K159" s="67">
        <v>27.131810416410989</v>
      </c>
      <c r="L159" s="67">
        <v>1893.3333333333333</v>
      </c>
      <c r="M159" s="67">
        <v>0.65495783136104513</v>
      </c>
    </row>
    <row r="160" spans="3:13" x14ac:dyDescent="0.15">
      <c r="C160" s="67">
        <v>47.231349507173377</v>
      </c>
      <c r="D160" s="67">
        <v>3.8487566043994104</v>
      </c>
      <c r="E160" s="67">
        <v>3.8487566043994104</v>
      </c>
      <c r="F160" s="67">
        <v>90.643683723109632</v>
      </c>
      <c r="G160" s="67">
        <v>-34.642822177484391</v>
      </c>
      <c r="H160" s="67">
        <v>56.002173143237464</v>
      </c>
      <c r="I160" s="67">
        <v>90.644995320721847</v>
      </c>
      <c r="J160" s="67">
        <v>81.757238880776995</v>
      </c>
      <c r="K160" s="67">
        <v>29.313014435953669</v>
      </c>
      <c r="L160" s="67">
        <v>1893.3333333333333</v>
      </c>
      <c r="M160" s="67">
        <v>0.62062623113281323</v>
      </c>
    </row>
    <row r="161" spans="3:13" x14ac:dyDescent="0.15">
      <c r="C161" s="67">
        <v>51.746791312718564</v>
      </c>
      <c r="D161" s="67">
        <v>4.216707904800721</v>
      </c>
      <c r="E161" s="67">
        <v>4.216707904800721</v>
      </c>
      <c r="F161" s="67">
        <v>72.56020742214352</v>
      </c>
      <c r="G161" s="67">
        <v>-25.996847451370567</v>
      </c>
      <c r="H161" s="67">
        <v>46.561983783230986</v>
      </c>
      <c r="I161" s="67">
        <v>72.558831234601556</v>
      </c>
      <c r="J161" s="67">
        <v>61.890455901956223</v>
      </c>
      <c r="K161" s="67">
        <v>31.539347102768506</v>
      </c>
      <c r="L161" s="67">
        <v>1886.6666666666667</v>
      </c>
      <c r="M161" s="67">
        <v>0.60949377348188583</v>
      </c>
    </row>
    <row r="162" spans="3:13" x14ac:dyDescent="0.15">
      <c r="C162" s="67">
        <v>56.14997598416398</v>
      </c>
      <c r="D162" s="67">
        <v>4.5755116709739045</v>
      </c>
      <c r="E162" s="67">
        <v>4.5755116709739045</v>
      </c>
      <c r="F162" s="67">
        <v>54.07586684964636</v>
      </c>
      <c r="G162" s="67">
        <v>-14.645801929799346</v>
      </c>
      <c r="H162" s="67">
        <v>39.429106224713451</v>
      </c>
      <c r="I162" s="67">
        <v>54.074908154512798</v>
      </c>
      <c r="J162" s="67">
        <v>41.513723923781754</v>
      </c>
      <c r="K162" s="67">
        <v>33.892000573467882</v>
      </c>
      <c r="L162" s="67">
        <v>1893.3333333333333</v>
      </c>
      <c r="M162" s="67">
        <v>0.60359777505562018</v>
      </c>
    </row>
    <row r="163" spans="3:13" x14ac:dyDescent="0.15">
      <c r="C163" s="67">
        <v>61.498409350401033</v>
      </c>
      <c r="D163" s="67">
        <v>5.0113412302874423</v>
      </c>
      <c r="E163" s="67">
        <v>5.0113412302874423</v>
      </c>
      <c r="F163" s="67">
        <v>31.595123783917959</v>
      </c>
      <c r="G163" s="67">
        <v>1.5517978644458683</v>
      </c>
      <c r="H163" s="67">
        <v>33.147327325905216</v>
      </c>
      <c r="I163" s="67">
        <v>31.59552946145935</v>
      </c>
      <c r="J163" s="67">
        <v>16.527404905632036</v>
      </c>
      <c r="K163" s="67">
        <v>36.283209317974041</v>
      </c>
      <c r="L163" s="67">
        <v>1893.3333333333333</v>
      </c>
      <c r="M163" s="67">
        <v>0.5899861427511448</v>
      </c>
    </row>
    <row r="164" spans="3:13" x14ac:dyDescent="0.15">
      <c r="C164" s="67">
        <v>66.727911144381636</v>
      </c>
      <c r="D164" s="67">
        <v>5.4374793732224553</v>
      </c>
      <c r="E164" s="67">
        <v>5.4374793732224553</v>
      </c>
      <c r="F164" s="67">
        <v>5.0819555526250824</v>
      </c>
      <c r="G164" s="67">
        <v>16.365197226058413</v>
      </c>
      <c r="H164" s="67">
        <v>21.44714656477171</v>
      </c>
      <c r="I164" s="67">
        <v>5.0819493387132972</v>
      </c>
      <c r="J164" s="67">
        <v>-12.657759821818502</v>
      </c>
      <c r="K164" s="67">
        <v>38.887767903398796</v>
      </c>
      <c r="L164" s="67">
        <v>1900</v>
      </c>
      <c r="M164" s="67">
        <v>0.58278113665593245</v>
      </c>
    </row>
    <row r="166" spans="3:13" ht="14" x14ac:dyDescent="0.15">
      <c r="C166" s="1826" t="s">
        <v>409</v>
      </c>
      <c r="D166" s="1826"/>
      <c r="E166" s="1826"/>
      <c r="F166" s="1826"/>
      <c r="G166" s="1826"/>
      <c r="H166" s="1826"/>
      <c r="I166" s="1826"/>
      <c r="J166" s="1826"/>
      <c r="K166" s="1826"/>
      <c r="L166" s="1826"/>
      <c r="M166" s="1826"/>
    </row>
    <row r="167" spans="3:13" ht="42" x14ac:dyDescent="0.15">
      <c r="C167" s="1435" t="s">
        <v>2678</v>
      </c>
      <c r="D167" s="1435" t="s">
        <v>2679</v>
      </c>
      <c r="E167" s="1435" t="s">
        <v>2680</v>
      </c>
      <c r="F167" s="1435" t="s">
        <v>2681</v>
      </c>
      <c r="G167" s="1435" t="s">
        <v>2682</v>
      </c>
      <c r="H167" s="1435" t="s">
        <v>2683</v>
      </c>
      <c r="I167" s="1435" t="s">
        <v>2686</v>
      </c>
      <c r="J167" s="1435" t="s">
        <v>2684</v>
      </c>
      <c r="K167" s="1435" t="s">
        <v>2685</v>
      </c>
      <c r="L167" s="1435" t="s">
        <v>2687</v>
      </c>
      <c r="M167" s="1435" t="s">
        <v>2688</v>
      </c>
    </row>
    <row r="168" spans="3:13" x14ac:dyDescent="0.15">
      <c r="C168" s="67">
        <v>50.594110477267272</v>
      </c>
      <c r="D168" s="67">
        <v>4.1227790201828034</v>
      </c>
      <c r="E168" s="67">
        <v>4.1227790201828034</v>
      </c>
      <c r="F168" s="67">
        <v>2.9736129685587187</v>
      </c>
      <c r="G168" s="67">
        <v>9.4239386561221288</v>
      </c>
      <c r="H168" s="67">
        <v>12.397549952725434</v>
      </c>
      <c r="I168" s="67">
        <v>2.9736112966033055</v>
      </c>
      <c r="J168" s="67">
        <v>-7.2247728129523807</v>
      </c>
      <c r="K168" s="67">
        <v>21.095299339979306</v>
      </c>
      <c r="L168" s="67">
        <v>1520</v>
      </c>
      <c r="M168" s="67">
        <v>0.41695167957262053</v>
      </c>
    </row>
    <row r="169" spans="3:13" x14ac:dyDescent="0.15">
      <c r="C169" s="67">
        <v>47.171129229978334</v>
      </c>
      <c r="D169" s="67">
        <v>3.8438494147469529</v>
      </c>
      <c r="E169" s="67">
        <v>3.8438494147469529</v>
      </c>
      <c r="F169" s="67">
        <v>16.669559700257711</v>
      </c>
      <c r="G169" s="67">
        <v>1.297609579533396</v>
      </c>
      <c r="H169" s="67">
        <v>17.967172084695051</v>
      </c>
      <c r="I169" s="67">
        <v>16.669562505161654</v>
      </c>
      <c r="J169" s="67">
        <v>7.8044555112113585</v>
      </c>
      <c r="K169" s="67">
        <v>19.99420264023642</v>
      </c>
      <c r="L169" s="67">
        <v>1520</v>
      </c>
      <c r="M169" s="67">
        <v>0.42386525331536151</v>
      </c>
    </row>
    <row r="170" spans="3:13" x14ac:dyDescent="0.15">
      <c r="C170" s="67">
        <v>43.806261938415503</v>
      </c>
      <c r="D170" s="67">
        <v>3.5696553604491164</v>
      </c>
      <c r="E170" s="67">
        <v>3.5696553604491164</v>
      </c>
      <c r="F170" s="67">
        <v>30.049318638378267</v>
      </c>
      <c r="G170" s="67">
        <v>-4.7613696880298324</v>
      </c>
      <c r="H170" s="67">
        <v>25.288734012905039</v>
      </c>
      <c r="I170" s="67">
        <v>30.050103700934869</v>
      </c>
      <c r="J170" s="67">
        <v>22.404640065505003</v>
      </c>
      <c r="K170" s="67">
        <v>18.842965972102125</v>
      </c>
      <c r="L170" s="67">
        <v>1520</v>
      </c>
      <c r="M170" s="67">
        <v>0.43014320643455672</v>
      </c>
    </row>
    <row r="171" spans="3:13" x14ac:dyDescent="0.15">
      <c r="C171" s="67">
        <v>38.974923126839606</v>
      </c>
      <c r="D171" s="67">
        <v>3.1759624561987341</v>
      </c>
      <c r="E171" s="67">
        <v>3.1759624561987341</v>
      </c>
      <c r="F171" s="67">
        <v>45.540664344881343</v>
      </c>
      <c r="G171" s="67">
        <v>-16.746482681169841</v>
      </c>
      <c r="H171" s="67">
        <v>28.793818790621856</v>
      </c>
      <c r="I171" s="67">
        <v>45.540301471791693</v>
      </c>
      <c r="J171" s="67">
        <v>39.488258957881357</v>
      </c>
      <c r="K171" s="67">
        <v>17.599541615480167</v>
      </c>
      <c r="L171" s="67">
        <v>1520</v>
      </c>
      <c r="M171" s="67">
        <v>0.4515606498620765</v>
      </c>
    </row>
    <row r="172" spans="3:13" x14ac:dyDescent="0.15">
      <c r="C172" s="67">
        <v>34.217164679266496</v>
      </c>
      <c r="D172" s="67">
        <v>2.7882654194148717</v>
      </c>
      <c r="E172" s="67">
        <v>2.7882654194148717</v>
      </c>
      <c r="F172" s="67">
        <v>60.724689246455455</v>
      </c>
      <c r="G172" s="67">
        <v>-27.123111830952677</v>
      </c>
      <c r="H172" s="67">
        <v>33.599922649883496</v>
      </c>
      <c r="I172" s="67">
        <v>60.723034480836176</v>
      </c>
      <c r="J172" s="67">
        <v>56.058380051373305</v>
      </c>
      <c r="K172" s="67">
        <v>16.188317881157047</v>
      </c>
      <c r="L172" s="67">
        <v>1520</v>
      </c>
      <c r="M172" s="67">
        <v>0.47310518077396913</v>
      </c>
    </row>
    <row r="173" spans="3:13" x14ac:dyDescent="0.15">
      <c r="C173" s="67">
        <v>29.225164199935808</v>
      </c>
      <c r="D173" s="67">
        <v>2.3814806246871454</v>
      </c>
      <c r="E173" s="67">
        <v>2.3814806246871454</v>
      </c>
      <c r="F173" s="67">
        <v>74.297780966848876</v>
      </c>
      <c r="G173" s="67">
        <v>-32.284436882051864</v>
      </c>
      <c r="H173" s="67">
        <v>42.014586794794262</v>
      </c>
      <c r="I173" s="67">
        <v>74.299023676846133</v>
      </c>
      <c r="J173" s="67">
        <v>70.896153697389963</v>
      </c>
      <c r="K173" s="67">
        <v>14.808779834216191</v>
      </c>
      <c r="L173" s="67">
        <v>1513.3333333333333</v>
      </c>
      <c r="M173" s="67">
        <v>0.50671331503583883</v>
      </c>
    </row>
    <row r="174" spans="3:13" x14ac:dyDescent="0.15">
      <c r="C174" s="67">
        <v>21.708027585537948</v>
      </c>
      <c r="D174" s="67">
        <v>1.7689292262469563</v>
      </c>
      <c r="E174" s="67">
        <v>1.7689292262469563</v>
      </c>
      <c r="F174" s="67">
        <v>86.752424057317086</v>
      </c>
      <c r="G174" s="67">
        <v>-37.600579042421934</v>
      </c>
      <c r="H174" s="67">
        <v>49.156461295456431</v>
      </c>
      <c r="I174" s="67">
        <v>86.757040337878365</v>
      </c>
      <c r="J174" s="67">
        <v>84.879573973395978</v>
      </c>
      <c r="K174" s="67">
        <v>12.450211901002875</v>
      </c>
      <c r="L174" s="67">
        <v>1520</v>
      </c>
      <c r="M174" s="67">
        <v>0.57353031508478924</v>
      </c>
    </row>
    <row r="175" spans="3:13" x14ac:dyDescent="0.15">
      <c r="C175" s="67">
        <v>8.8472126181212989</v>
      </c>
      <c r="D175" s="67">
        <v>0.72093574182860476</v>
      </c>
      <c r="E175" s="67">
        <v>0.72093574182860476</v>
      </c>
      <c r="F175" s="67">
        <v>92.472834832666805</v>
      </c>
      <c r="G175" s="67">
        <v>-43.715840210346116</v>
      </c>
      <c r="H175" s="67">
        <v>48.759896293986955</v>
      </c>
      <c r="I175" s="67">
        <v>92.475736504333071</v>
      </c>
      <c r="J175" s="67">
        <v>92.163887498025488</v>
      </c>
      <c r="K175" s="67">
        <v>10.034532155755411</v>
      </c>
      <c r="L175" s="67">
        <v>1526.6666666666667</v>
      </c>
      <c r="M175" s="67">
        <v>1.134202667990841</v>
      </c>
    </row>
    <row r="176" spans="3:13" x14ac:dyDescent="0.15">
      <c r="C176" s="1468">
        <f>D74</f>
        <v>48.102429720469871</v>
      </c>
      <c r="D176" s="1467"/>
      <c r="E176" s="1467"/>
      <c r="F176" s="1467"/>
      <c r="G176" s="1467"/>
      <c r="H176" s="1467"/>
      <c r="I176" s="1467"/>
      <c r="J176" s="1467"/>
      <c r="K176" s="1468">
        <f>F74</f>
        <v>20.519391977210955</v>
      </c>
      <c r="L176" s="1467"/>
      <c r="M176" s="1467"/>
    </row>
    <row r="177" spans="3:13" x14ac:dyDescent="0.15">
      <c r="C177" s="1468">
        <f t="shared" ref="C177:C179" si="40">D75</f>
        <v>43.402594673017632</v>
      </c>
      <c r="D177" s="1467"/>
      <c r="E177" s="1467"/>
      <c r="F177" s="1467"/>
      <c r="G177" s="1467"/>
      <c r="H177" s="1467"/>
      <c r="I177" s="1467"/>
      <c r="J177" s="1467"/>
      <c r="K177" s="1468">
        <f t="shared" ref="K177:K179" si="41">F75</f>
        <v>18.794457888074728</v>
      </c>
      <c r="L177" s="1467"/>
      <c r="M177" s="1467"/>
    </row>
    <row r="178" spans="3:13" x14ac:dyDescent="0.15">
      <c r="C178" s="1468">
        <f t="shared" si="40"/>
        <v>37.059545515229644</v>
      </c>
      <c r="D178" s="1467"/>
      <c r="E178" s="1467"/>
      <c r="F178" s="1467"/>
      <c r="G178" s="1467"/>
      <c r="H178" s="1467"/>
      <c r="I178" s="1467"/>
      <c r="J178" s="1467"/>
      <c r="K178" s="1468">
        <f t="shared" si="41"/>
        <v>17.429035529323933</v>
      </c>
      <c r="L178" s="1467"/>
      <c r="M178" s="1467"/>
    </row>
    <row r="179" spans="3:13" x14ac:dyDescent="0.15">
      <c r="C179" s="1468">
        <f t="shared" si="40"/>
        <v>28.980933579546868</v>
      </c>
      <c r="D179" s="1467"/>
      <c r="E179" s="1467"/>
      <c r="F179" s="1467"/>
      <c r="G179" s="1467"/>
      <c r="H179" s="1467"/>
      <c r="I179" s="1467"/>
      <c r="J179" s="1467"/>
      <c r="K179" s="1468">
        <f t="shared" si="41"/>
        <v>15.644540282791711</v>
      </c>
      <c r="L179" s="1467"/>
      <c r="M179" s="1467"/>
    </row>
    <row r="181" spans="3:13" ht="14" x14ac:dyDescent="0.15">
      <c r="C181" s="1826" t="s">
        <v>12</v>
      </c>
      <c r="D181" s="1826"/>
      <c r="E181" s="1826"/>
      <c r="F181" s="1826"/>
      <c r="G181" s="1826"/>
      <c r="H181" s="1826"/>
      <c r="I181" s="1826"/>
      <c r="J181" s="1826"/>
      <c r="K181" s="1826"/>
      <c r="L181" s="1826"/>
      <c r="M181" s="1826"/>
    </row>
    <row r="182" spans="3:13" ht="42" x14ac:dyDescent="0.15">
      <c r="C182" s="1435" t="s">
        <v>2678</v>
      </c>
      <c r="D182" s="1435" t="s">
        <v>2679</v>
      </c>
      <c r="E182" s="1435" t="s">
        <v>2680</v>
      </c>
      <c r="F182" s="1435" t="s">
        <v>2681</v>
      </c>
      <c r="G182" s="1435" t="s">
        <v>2682</v>
      </c>
      <c r="H182" s="1435" t="s">
        <v>2683</v>
      </c>
      <c r="I182" s="1435" t="s">
        <v>2686</v>
      </c>
      <c r="J182" s="1435" t="s">
        <v>2684</v>
      </c>
      <c r="K182" s="1435" t="s">
        <v>2685</v>
      </c>
      <c r="L182" s="1435" t="s">
        <v>2687</v>
      </c>
      <c r="M182" s="1435" t="s">
        <v>2688</v>
      </c>
    </row>
    <row r="183" spans="3:13" x14ac:dyDescent="0.15">
      <c r="C183" s="67">
        <v>6.5509089256984874</v>
      </c>
      <c r="D183" s="67">
        <v>0.53381608308210282</v>
      </c>
      <c r="E183" s="67">
        <v>0.53381608308210282</v>
      </c>
      <c r="F183" s="67">
        <v>48.533314450392858</v>
      </c>
      <c r="G183" s="67">
        <v>-21.890101453633385</v>
      </c>
      <c r="H183" s="67">
        <v>26.64473441633514</v>
      </c>
      <c r="I183" s="67">
        <v>48.534835869968525</v>
      </c>
      <c r="J183" s="67">
        <v>48.363860103634252</v>
      </c>
      <c r="K183" s="67">
        <v>6.4300818035165612</v>
      </c>
      <c r="L183" s="67">
        <v>1146.6666666666667</v>
      </c>
      <c r="M183" s="67">
        <v>0.9815556705867281</v>
      </c>
    </row>
    <row r="184" spans="3:13" x14ac:dyDescent="0.15">
      <c r="C184" s="67">
        <v>19.707226791678767</v>
      </c>
      <c r="D184" s="67">
        <v>1.6058893099666993</v>
      </c>
      <c r="E184" s="67">
        <v>1.6058893099666993</v>
      </c>
      <c r="F184" s="67">
        <v>37.827364027348374</v>
      </c>
      <c r="G184" s="67">
        <v>-18.479212326924063</v>
      </c>
      <c r="H184" s="67">
        <v>19.347443092161818</v>
      </c>
      <c r="I184" s="67">
        <v>37.826655419085881</v>
      </c>
      <c r="J184" s="67">
        <v>36.279327133566689</v>
      </c>
      <c r="K184" s="67">
        <v>8.1252998518277533</v>
      </c>
      <c r="L184" s="67">
        <v>1146.6666666666667</v>
      </c>
      <c r="M184" s="67">
        <v>0.41230051989144417</v>
      </c>
    </row>
    <row r="185" spans="3:13" x14ac:dyDescent="0.15">
      <c r="C185" s="67">
        <v>26.753510871053262</v>
      </c>
      <c r="D185" s="67">
        <v>2.1800721920977333</v>
      </c>
      <c r="E185" s="67">
        <v>2.1800721920977333</v>
      </c>
      <c r="F185" s="67">
        <v>23.17925758513595</v>
      </c>
      <c r="G185" s="67">
        <v>-6.1593219524755929</v>
      </c>
      <c r="H185" s="67">
        <v>17.020659867482436</v>
      </c>
      <c r="I185" s="67">
        <v>23.17998181995803</v>
      </c>
      <c r="J185" s="67">
        <v>20.328352962303342</v>
      </c>
      <c r="K185" s="67">
        <v>9.1930343735982234</v>
      </c>
      <c r="L185" s="67">
        <v>1146.6666666666667</v>
      </c>
      <c r="M185" s="67">
        <v>0.34361973715924116</v>
      </c>
    </row>
    <row r="186" spans="3:13" x14ac:dyDescent="0.15">
      <c r="C186" s="67">
        <v>30.989531465025948</v>
      </c>
      <c r="D186" s="67">
        <v>2.5252542037814809</v>
      </c>
      <c r="E186" s="67">
        <v>2.5252542037814809</v>
      </c>
      <c r="F186" s="67">
        <v>11.269357387789519</v>
      </c>
      <c r="G186" s="67">
        <v>-0.97456058616668484</v>
      </c>
      <c r="H186" s="67">
        <v>10.294872418285184</v>
      </c>
      <c r="I186" s="67">
        <v>11.269433004451869</v>
      </c>
      <c r="J186" s="67">
        <v>7.4432877282222449</v>
      </c>
      <c r="K186" s="67">
        <v>9.8071738647800277</v>
      </c>
      <c r="L186" s="67">
        <v>1140</v>
      </c>
      <c r="M186" s="67">
        <v>0.31646731657908966</v>
      </c>
    </row>
    <row r="187" spans="3:13" x14ac:dyDescent="0.15">
      <c r="C187" s="67">
        <v>34.392515764513497</v>
      </c>
      <c r="D187" s="67">
        <v>2.8025543113155886</v>
      </c>
      <c r="E187" s="67">
        <v>2.8025543113155886</v>
      </c>
      <c r="F187" s="67">
        <v>1.1586606632004879</v>
      </c>
      <c r="G187" s="67">
        <v>4.6559433760410682</v>
      </c>
      <c r="H187" s="67">
        <v>5.8146040272312325</v>
      </c>
      <c r="I187" s="67">
        <v>1.1586606511901643</v>
      </c>
      <c r="J187" s="67">
        <v>-3.5539257495339918</v>
      </c>
      <c r="K187" s="67">
        <v>10.460232604253974</v>
      </c>
      <c r="L187" s="67">
        <v>1153.3333333333333</v>
      </c>
      <c r="M187" s="67">
        <v>0.30414269999541399</v>
      </c>
    </row>
    <row r="189" spans="3:13" ht="14" x14ac:dyDescent="0.15">
      <c r="C189" s="1826" t="s">
        <v>410</v>
      </c>
      <c r="D189" s="1826"/>
      <c r="E189" s="1826"/>
      <c r="F189" s="1826"/>
      <c r="G189" s="1826"/>
      <c r="H189" s="1826"/>
      <c r="I189" s="1826"/>
      <c r="J189" s="1826"/>
      <c r="K189" s="1826"/>
      <c r="L189" s="1826"/>
      <c r="M189" s="1826"/>
    </row>
    <row r="190" spans="3:13" ht="42" x14ac:dyDescent="0.15">
      <c r="C190" s="1435" t="s">
        <v>2678</v>
      </c>
      <c r="D190" s="1435" t="s">
        <v>2679</v>
      </c>
      <c r="E190" s="1435" t="s">
        <v>2680</v>
      </c>
      <c r="F190" s="1435" t="s">
        <v>2681</v>
      </c>
      <c r="G190" s="1435" t="s">
        <v>2682</v>
      </c>
      <c r="H190" s="1435" t="s">
        <v>2683</v>
      </c>
      <c r="I190" s="1435" t="s">
        <v>2686</v>
      </c>
      <c r="J190" s="1435" t="s">
        <v>2684</v>
      </c>
      <c r="K190" s="1435" t="s">
        <v>2685</v>
      </c>
      <c r="L190" s="1435" t="s">
        <v>2687</v>
      </c>
      <c r="M190" s="1435" t="s">
        <v>2688</v>
      </c>
    </row>
    <row r="191" spans="3:13" x14ac:dyDescent="0.15">
      <c r="C191" s="67">
        <v>18.490570762254922</v>
      </c>
      <c r="D191" s="67">
        <v>1.5067472575505132</v>
      </c>
      <c r="E191" s="67">
        <v>1.5067472575505132</v>
      </c>
      <c r="F191" s="67">
        <v>0.12190298688911994</v>
      </c>
      <c r="G191" s="67">
        <v>1.672202023317154</v>
      </c>
      <c r="H191" s="67">
        <v>1.7941036448676262</v>
      </c>
      <c r="I191" s="67">
        <v>0.12190162155047224</v>
      </c>
      <c r="J191" s="67">
        <v>-1.2402707573311231</v>
      </c>
      <c r="K191" s="67">
        <v>5.159734966004569</v>
      </c>
      <c r="L191" s="67">
        <v>760</v>
      </c>
      <c r="M191" s="67">
        <v>0.27904681971944384</v>
      </c>
    </row>
    <row r="192" spans="3:13" x14ac:dyDescent="0.15">
      <c r="C192" s="67">
        <v>11.623931053752894</v>
      </c>
      <c r="D192" s="67">
        <v>0.94720311570644844</v>
      </c>
      <c r="E192" s="67">
        <v>0.94720311570644844</v>
      </c>
      <c r="F192" s="67">
        <v>11.876947434021959</v>
      </c>
      <c r="G192" s="67">
        <v>-4.6178438120338132</v>
      </c>
      <c r="H192" s="67">
        <v>7.2592263123268603</v>
      </c>
      <c r="I192" s="67">
        <v>11.877070124360674</v>
      </c>
      <c r="J192" s="67">
        <v>11.338753878918272</v>
      </c>
      <c r="K192" s="67">
        <v>4.6849065455499943</v>
      </c>
      <c r="L192" s="67">
        <v>766.66666666666663</v>
      </c>
      <c r="M192" s="67">
        <v>0.40303977405624997</v>
      </c>
    </row>
    <row r="193" spans="3:13" x14ac:dyDescent="0.15">
      <c r="C193" s="67">
        <v>4.8404189048077955</v>
      </c>
      <c r="D193" s="67">
        <v>0.39443281681183695</v>
      </c>
      <c r="E193" s="67">
        <v>0.39443281681183695</v>
      </c>
      <c r="F193" s="67">
        <v>17.618149040831021</v>
      </c>
      <c r="G193" s="67">
        <v>-6.3186289269164702</v>
      </c>
      <c r="H193" s="67">
        <v>11.300085991302007</v>
      </c>
      <c r="I193" s="67">
        <v>17.618714918218476</v>
      </c>
      <c r="J193" s="67">
        <v>17.525368570031603</v>
      </c>
      <c r="K193" s="67">
        <v>4.3274280039970954</v>
      </c>
      <c r="L193" s="67">
        <v>760</v>
      </c>
      <c r="M193" s="67">
        <v>0.89401931715018168</v>
      </c>
    </row>
  </sheetData>
  <mergeCells count="8">
    <mergeCell ref="C189:M189"/>
    <mergeCell ref="C181:M181"/>
    <mergeCell ref="C83:M83"/>
    <mergeCell ref="C104:M104"/>
    <mergeCell ref="C118:M118"/>
    <mergeCell ref="C136:M136"/>
    <mergeCell ref="C155:M155"/>
    <mergeCell ref="C166:M166"/>
  </mergeCell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6EA51-1389-4896-BC14-E575D972CC55}">
  <dimension ref="C2:AW99"/>
  <sheetViews>
    <sheetView topLeftCell="A69" zoomScale="85" zoomScaleNormal="85" workbookViewId="0">
      <selection activeCell="AE53" sqref="AE53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 ALU'!$G$33</f>
        <v>9.7222222222222214</v>
      </c>
      <c r="K3" t="s">
        <v>13</v>
      </c>
      <c r="L3" s="7">
        <f>'R-series ALU'!$G$39</f>
        <v>100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40.859963992787456</v>
      </c>
      <c r="Q5" s="52">
        <v>-51.380381150954243</v>
      </c>
      <c r="R5" t="s">
        <v>28</v>
      </c>
      <c r="T5" s="4"/>
      <c r="U5" s="39" t="s">
        <v>43</v>
      </c>
      <c r="V5" t="s">
        <v>8</v>
      </c>
      <c r="W5" s="9">
        <f>$P$5*LN($J$3)+$Q$5</f>
        <v>41.55210182060717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44.08621560033864</v>
      </c>
      <c r="Q6" s="52">
        <v>-42.392217400899909</v>
      </c>
      <c r="R6" t="s">
        <v>7</v>
      </c>
      <c r="T6" s="4"/>
      <c r="U6" s="39" t="s">
        <v>43</v>
      </c>
      <c r="V6" t="s">
        <v>57</v>
      </c>
      <c r="W6" s="9">
        <f>$P$6*LN($J$3)+$Q$6</f>
        <v>57.878098091357003</v>
      </c>
      <c r="X6" t="s">
        <v>31</v>
      </c>
      <c r="AA6" s="55">
        <v>25</v>
      </c>
      <c r="AB6" s="56">
        <f t="shared" ref="AB6:AB12" si="0">(-$D$9-SQRT($D$9^2-(4*$C$9*($E$9-AA6))))/(2*$C$9)</f>
        <v>149.37198438834608</v>
      </c>
      <c r="AC6" s="55">
        <v>20</v>
      </c>
      <c r="AD6" s="57">
        <f t="shared" ref="AD6:AD12" si="1">(-$D$14-SQRT($D$14^2-(4*$C$14*($E$14-AC6))))/(2*$C$14)</f>
        <v>133.17332240375293</v>
      </c>
      <c r="AE6" s="55">
        <v>15</v>
      </c>
      <c r="AF6" s="57">
        <f t="shared" ref="AF6:AF11" si="2">(-$D$19-SQRT($D$19^2-(4*$C$19*($E$19-AE6))))/(2*$C$19)</f>
        <v>99.999058386718588</v>
      </c>
      <c r="AG6" s="56">
        <v>10</v>
      </c>
      <c r="AH6" s="57">
        <f>(-$D$24-SQRT($D$24^2-(4*$C$24*($E$24-AG6))))/(2*$C$24)</f>
        <v>61.555446560450939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140.44019694340693</v>
      </c>
      <c r="AC7" s="55">
        <v>50</v>
      </c>
      <c r="AD7" s="57">
        <f t="shared" si="1"/>
        <v>128.50888008908166</v>
      </c>
      <c r="AE7" s="55">
        <v>40</v>
      </c>
      <c r="AF7" s="57">
        <f t="shared" si="2"/>
        <v>94.108238875868778</v>
      </c>
      <c r="AG7" s="56">
        <v>20</v>
      </c>
      <c r="AH7" s="57">
        <f>(-$D$24-SQRT($D$24^2-(4*$C$24*($E$24-AG7))))/(2*$C$24)</f>
        <v>57.822327947272591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133.12312176781919</v>
      </c>
      <c r="AC8" s="55">
        <v>100</v>
      </c>
      <c r="AD8" s="57">
        <f t="shared" si="1"/>
        <v>120.21047153971138</v>
      </c>
      <c r="AE8" s="55">
        <v>60</v>
      </c>
      <c r="AF8" s="57">
        <f t="shared" si="2"/>
        <v>89.069837468278507</v>
      </c>
      <c r="AG8" s="56">
        <v>30</v>
      </c>
      <c r="AH8" s="57">
        <f>(-$D$24-SQRT($D$24^2-(4*$C$24*($E$24-AG8))))/(2*$C$24)</f>
        <v>53.830589598087514</v>
      </c>
    </row>
    <row r="9" spans="3:34" x14ac:dyDescent="0.15">
      <c r="C9" s="8">
        <v>-6.5820291370216596E-2</v>
      </c>
      <c r="D9" s="8">
        <v>8.4393533003468324</v>
      </c>
      <c r="E9" s="8">
        <v>232.97871499992539</v>
      </c>
      <c r="H9" s="2"/>
      <c r="P9" t="s">
        <v>616</v>
      </c>
      <c r="Q9" s="52">
        <f t="array" ref="Q9:R9">LINEST(AM35:AM38,AL35:AL38)</f>
        <v>2.0021097638584746</v>
      </c>
      <c r="R9" s="52">
        <v>1.6935068472235475</v>
      </c>
      <c r="S9" s="84">
        <f>(J3-R9)/Q9</f>
        <v>4.0101274764904495</v>
      </c>
      <c r="U9" s="39" t="s">
        <v>42</v>
      </c>
      <c r="V9" t="s">
        <v>58</v>
      </c>
      <c r="W9" s="9">
        <f>IF($J$3&gt;$AM$35,($J$3-$R$10)/$Q$10,($J$3-$R$9)/$Q$9)</f>
        <v>4.0101274764904495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126.16844933408204</v>
      </c>
      <c r="AC9" s="55">
        <v>150</v>
      </c>
      <c r="AD9" s="57">
        <f t="shared" si="1"/>
        <v>111.08472606866653</v>
      </c>
      <c r="AE9" s="55">
        <v>80</v>
      </c>
      <c r="AF9" s="57">
        <f t="shared" si="2"/>
        <v>83.675510586883604</v>
      </c>
      <c r="AG9" s="56">
        <v>35</v>
      </c>
      <c r="AH9" s="57">
        <f>(-$D$24-SQRT($D$24^2-(4*$C$24*($E$24-AG9))))/(2*$C$24)</f>
        <v>51.71915361429582</v>
      </c>
    </row>
    <row r="10" spans="3:34" x14ac:dyDescent="0.15">
      <c r="C10" s="2"/>
      <c r="D10" s="2"/>
      <c r="E10" s="2"/>
      <c r="H10" s="2"/>
      <c r="P10" t="s">
        <v>614</v>
      </c>
      <c r="Q10" s="52">
        <f t="array" ref="Q10:R10">LINEST(AM34:AM35,AL34:AL35)</f>
        <v>-0.3336080764578</v>
      </c>
      <c r="R10" s="52">
        <v>21.971044257418118</v>
      </c>
      <c r="S10" s="84">
        <f>(J3-R10)/Q10</f>
        <v>36.716203532156754</v>
      </c>
      <c r="W10" t="b">
        <f>IF(AND(W9&gt;=0,W9&lt;=10.01,'R-series ALU'!G33&gt;=W11,P21),TRUE,FALSE)</f>
        <v>0</v>
      </c>
      <c r="AA10" s="55">
        <v>320</v>
      </c>
      <c r="AB10" s="56">
        <f t="shared" si="0"/>
        <v>116.90930697190107</v>
      </c>
      <c r="AC10" s="55">
        <v>170</v>
      </c>
      <c r="AD10" s="57">
        <f t="shared" si="1"/>
        <v>107.1393496264217</v>
      </c>
      <c r="AE10" s="55">
        <v>100</v>
      </c>
      <c r="AF10" s="57">
        <f t="shared" si="2"/>
        <v>77.837118713065038</v>
      </c>
      <c r="AG10" s="56">
        <v>80</v>
      </c>
      <c r="AH10" s="57">
        <f>(-$D$24-SQRT($D$24^2-(4*$C$24*($E$24-AG10))))/(2*$C$24)</f>
        <v>25.847865510561171</v>
      </c>
    </row>
    <row r="11" spans="3:34" x14ac:dyDescent="0.15">
      <c r="C11" s="2" t="s">
        <v>404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105.63452662019705</v>
      </c>
      <c r="AC11" s="55">
        <v>190</v>
      </c>
      <c r="AD11" s="57">
        <f t="shared" si="1"/>
        <v>102.9859461818326</v>
      </c>
      <c r="AE11" s="55">
        <v>185</v>
      </c>
      <c r="AF11" s="57">
        <f t="shared" si="2"/>
        <v>42.180912652297032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89.816310441248532</v>
      </c>
      <c r="AC12" s="58">
        <v>325</v>
      </c>
      <c r="AD12" s="60">
        <f t="shared" si="1"/>
        <v>64.002142123508037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LINEST(AE34:AE38,AC34:AC38^{1,2})</f>
        <v>0.60869054628382879</v>
      </c>
      <c r="Q13" s="51">
        <v>-11.72923420048717</v>
      </c>
      <c r="R13" s="51">
        <v>67.366169104890332</v>
      </c>
      <c r="U13" s="39" t="s">
        <v>43</v>
      </c>
      <c r="V13" t="s">
        <v>44</v>
      </c>
      <c r="W13" s="9">
        <f>$P$13*J3^2+$Q$13*J3+$R$13</f>
        <v>10.866355056765862</v>
      </c>
      <c r="X13" t="s">
        <v>49</v>
      </c>
      <c r="Y13" t="s">
        <v>592</v>
      </c>
    </row>
    <row r="14" spans="3:34" x14ac:dyDescent="0.15">
      <c r="C14" s="8">
        <v>-3.1350000000000003E-2</v>
      </c>
      <c r="D14" s="8">
        <v>1.7721</v>
      </c>
      <c r="E14" s="8">
        <v>340</v>
      </c>
      <c r="H14" s="2"/>
      <c r="V14" t="s">
        <v>52</v>
      </c>
      <c r="W14" s="3">
        <f>IF(W13&gt;Y14,Y14,W13)</f>
        <v>10.866355056765862</v>
      </c>
      <c r="X14" t="s">
        <v>49</v>
      </c>
      <c r="Y14">
        <v>168</v>
      </c>
    </row>
    <row r="15" spans="3:34" x14ac:dyDescent="0.15">
      <c r="C15" s="2"/>
      <c r="D15" s="2"/>
      <c r="E15" s="2"/>
      <c r="H15" s="2"/>
    </row>
    <row r="16" spans="3:34" ht="14" thickBot="1" x14ac:dyDescent="0.2">
      <c r="C16" s="2" t="s">
        <v>411</v>
      </c>
      <c r="D16" s="1"/>
      <c r="E16" s="1"/>
      <c r="H16" s="1"/>
      <c r="V16" t="s">
        <v>44</v>
      </c>
      <c r="W16">
        <f>'Laskenta tulopuoli 53mini'!W13</f>
        <v>10.030011429004201</v>
      </c>
    </row>
    <row r="17" spans="3:45" x14ac:dyDescent="0.15">
      <c r="C17" t="s">
        <v>11</v>
      </c>
      <c r="D17" s="1"/>
      <c r="E17" s="1"/>
      <c r="H17" s="1"/>
      <c r="P17" s="228" t="s">
        <v>605</v>
      </c>
      <c r="Q17" s="230"/>
      <c r="R17" s="231"/>
      <c r="V17" t="s">
        <v>73</v>
      </c>
      <c r="W17">
        <v>4.4000000000000004</v>
      </c>
    </row>
    <row r="18" spans="3:45" x14ac:dyDescent="0.15">
      <c r="C18" t="s">
        <v>4</v>
      </c>
      <c r="D18" t="s">
        <v>5</v>
      </c>
      <c r="E18" t="s">
        <v>6</v>
      </c>
      <c r="H18" s="1"/>
      <c r="P18" s="232" t="s">
        <v>606</v>
      </c>
      <c r="Q18">
        <v>350</v>
      </c>
      <c r="R18" s="364" t="s">
        <v>14</v>
      </c>
    </row>
    <row r="19" spans="3:45" x14ac:dyDescent="0.15">
      <c r="C19" s="8">
        <v>-2.5105053209823747E-2</v>
      </c>
      <c r="D19" s="8">
        <v>0.62918233099532539</v>
      </c>
      <c r="E19" s="8">
        <v>203.12816361709667</v>
      </c>
      <c r="P19" s="232" t="s">
        <v>607</v>
      </c>
      <c r="Q19">
        <v>0.32</v>
      </c>
      <c r="R19" s="364"/>
      <c r="V19" s="74" t="s">
        <v>74</v>
      </c>
      <c r="W19" s="77">
        <f>W13+W16+W17</f>
        <v>25.296366485770065</v>
      </c>
      <c r="X19" s="75" t="s">
        <v>49</v>
      </c>
      <c r="AB19" s="6"/>
      <c r="AC19" s="6"/>
    </row>
    <row r="20" spans="3:45" x14ac:dyDescent="0.15">
      <c r="C20" s="2"/>
      <c r="D20" s="2"/>
      <c r="E20" s="2"/>
      <c r="H20" s="1"/>
      <c r="P20" s="232"/>
      <c r="R20" s="364"/>
      <c r="AB20" s="6"/>
      <c r="AC20" s="6"/>
    </row>
    <row r="21" spans="3:45" ht="14" thickBot="1" x14ac:dyDescent="0.2">
      <c r="C21" s="2" t="s">
        <v>409</v>
      </c>
      <c r="D21" s="1"/>
      <c r="E21" s="1"/>
      <c r="H21" s="1"/>
      <c r="P21" s="236" t="b">
        <f>IF(AND(L3&gt;Q18,U29&gt;Q19),FALSE,TRUE)</f>
        <v>1</v>
      </c>
      <c r="Q21" s="238"/>
      <c r="R21" s="239"/>
      <c r="V21" t="s">
        <v>78</v>
      </c>
      <c r="W21">
        <f>MAX(J3,'Laskenta poistopuoli 60'!J3)</f>
        <v>9.7222222222222214</v>
      </c>
      <c r="X21" t="s">
        <v>13</v>
      </c>
      <c r="AB21" s="6"/>
      <c r="AC21" s="6"/>
    </row>
    <row r="22" spans="3:45" ht="15" x14ac:dyDescent="0.15">
      <c r="C22" t="s">
        <v>11</v>
      </c>
      <c r="D22" s="1"/>
      <c r="E22" s="1"/>
      <c r="H22" s="1"/>
      <c r="V22" t="s">
        <v>75</v>
      </c>
      <c r="W22">
        <f>W19/W21</f>
        <v>2.6019119813934926</v>
      </c>
      <c r="X22" t="s">
        <v>77</v>
      </c>
      <c r="AB22" s="6"/>
      <c r="AC22" s="6"/>
    </row>
    <row r="23" spans="3:45" x14ac:dyDescent="0.15">
      <c r="C23" t="s">
        <v>4</v>
      </c>
      <c r="D23" t="s">
        <v>5</v>
      </c>
      <c r="E23" t="s">
        <v>6</v>
      </c>
      <c r="H23" s="1"/>
      <c r="P23">
        <v>80</v>
      </c>
      <c r="Q23">
        <f>$C$27*P23^2+$D$27*P23+$E$27</f>
        <v>382.29368625398979</v>
      </c>
    </row>
    <row r="24" spans="3:45" x14ac:dyDescent="0.15">
      <c r="C24" s="8">
        <v>-2.2466600463323962E-2</v>
      </c>
      <c r="D24" s="8">
        <v>3.287270399782534E-3</v>
      </c>
      <c r="E24" s="8">
        <v>94.925239848174741</v>
      </c>
      <c r="H24" s="1"/>
      <c r="P24">
        <v>90</v>
      </c>
      <c r="Q24">
        <f t="shared" ref="Q24:Q25" si="3">$C$27*P24^2+$D$27*P24+$E$27</f>
        <v>354.53081848682547</v>
      </c>
    </row>
    <row r="25" spans="3:45" x14ac:dyDescent="0.15">
      <c r="E25" s="2"/>
      <c r="F25" s="2"/>
      <c r="G25" s="2"/>
      <c r="H25" s="1"/>
      <c r="P25">
        <v>135</v>
      </c>
      <c r="Q25">
        <f t="shared" si="3"/>
        <v>131.92949072175963</v>
      </c>
    </row>
    <row r="26" spans="3:45" x14ac:dyDescent="0.15">
      <c r="C26" s="2" t="s">
        <v>591</v>
      </c>
    </row>
    <row r="27" spans="3:45" x14ac:dyDescent="0.15">
      <c r="C27" s="8">
        <v>-3.946198901528352E-2</v>
      </c>
      <c r="D27" s="8">
        <v>3.9322513558817733</v>
      </c>
      <c r="E27" s="8">
        <v>320.27030748126242</v>
      </c>
      <c r="U27" t="s">
        <v>37</v>
      </c>
    </row>
    <row r="28" spans="3:45" x14ac:dyDescent="0.15">
      <c r="C28" s="466" t="s">
        <v>594</v>
      </c>
      <c r="U28" s="4" t="s">
        <v>17</v>
      </c>
    </row>
    <row r="29" spans="3:45" x14ac:dyDescent="0.15">
      <c r="U29" s="4">
        <f>(L3/J3)^2/L3</f>
        <v>1.0579591836734696</v>
      </c>
    </row>
    <row r="31" spans="3:45" x14ac:dyDescent="0.15">
      <c r="U31" s="2" t="s">
        <v>16</v>
      </c>
      <c r="AS31" s="2" t="s">
        <v>1110</v>
      </c>
    </row>
    <row r="32" spans="3:4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</row>
    <row r="34" spans="21:49" x14ac:dyDescent="0.15">
      <c r="U34" s="35">
        <v>10</v>
      </c>
      <c r="V34" s="98">
        <f>C9</f>
        <v>-6.5820291370216596E-2</v>
      </c>
      <c r="W34" s="99">
        <f>D9</f>
        <v>8.4393533003468324</v>
      </c>
      <c r="X34" s="100">
        <f>E9</f>
        <v>232.97871499992539</v>
      </c>
      <c r="Y34" s="36">
        <f>C9-U29</f>
        <v>-1.1237794750436862</v>
      </c>
      <c r="Z34" s="28">
        <f>(-W34+SQRT(W34^2-(4*Y34*X34)))/(2*Y34)</f>
        <v>-11.125168655184131</v>
      </c>
      <c r="AA34" s="29">
        <f>(-W34-SQRT(W34^2-(4*Y34*X34)))/(2*Y34)</f>
        <v>18.634963492840118</v>
      </c>
      <c r="AB34" s="36">
        <f>AB6</f>
        <v>149.37198438834608</v>
      </c>
      <c r="AC34" s="53">
        <f>IF(Z34&lt;0,AA34,IF(Z34&gt;AB34,AA34,Z34))</f>
        <v>18.634963492840118</v>
      </c>
      <c r="AD34" s="53">
        <f>V34*AC34^2+W34*AC34+X34</f>
        <v>367.38887855984609</v>
      </c>
      <c r="AE34" s="53">
        <f>X51*AC34^2+Y51*AC34+Z51</f>
        <v>70.154931206864731</v>
      </c>
      <c r="AF34" s="53">
        <f>$H$60*AC34^2+$I$60*AC34+$J$60</f>
        <v>64.313601679932304</v>
      </c>
      <c r="AG34" s="53">
        <f>$R$60*AC34^2+$S$60*AC34+$T$60</f>
        <v>89.843876460133714</v>
      </c>
      <c r="AI34">
        <v>10</v>
      </c>
      <c r="AJ34" s="3">
        <f>AC34</f>
        <v>18.634963492840118</v>
      </c>
      <c r="AL34">
        <v>10</v>
      </c>
      <c r="AM34" s="3">
        <f>AJ34</f>
        <v>18.634963492840118</v>
      </c>
      <c r="AS34" s="616">
        <f>AC34/$J$3-1</f>
        <v>0.91673910212069809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C14</f>
        <v>-3.1350000000000003E-2</v>
      </c>
      <c r="W35" s="99">
        <f>D14</f>
        <v>1.7721</v>
      </c>
      <c r="X35" s="100">
        <f>E14</f>
        <v>340</v>
      </c>
      <c r="Y35" s="36">
        <f>C14-U29</f>
        <v>-1.0893091836734696</v>
      </c>
      <c r="Z35" s="28">
        <f t="shared" ref="Z35:Z38" si="4">(-W35+SQRT(W35^2-(4*Y35*X35)))/(2*Y35)</f>
        <v>-16.872352997583238</v>
      </c>
      <c r="AA35" s="29">
        <f t="shared" ref="AA35:AA38" si="5">(-W35-SQRT(W35^2-(4*Y35*X35)))/(2*Y35)</f>
        <v>18.499163848496991</v>
      </c>
      <c r="AB35" s="36">
        <f>AD6</f>
        <v>133.17332240375293</v>
      </c>
      <c r="AC35" s="53">
        <f t="shared" ref="AC35:AC38" si="6">IF(Z35&lt;0,AA35,IF(Z35&gt;AB35,AA35,Z35))</f>
        <v>18.499163848496991</v>
      </c>
      <c r="AD35" s="53">
        <f>V35*AC35^2+W35*AC35+X35</f>
        <v>362.0538006279391</v>
      </c>
      <c r="AE35" s="53">
        <f t="shared" ref="AE35:AE37" si="7">X52*AC35^2+Y52*AC35+Z52</f>
        <v>45.594456409541138</v>
      </c>
      <c r="AF35" s="53">
        <f>$H$65*AC35^2+$I$65*AC35+$J$65</f>
        <v>68.893445796700803</v>
      </c>
      <c r="AG35" s="53">
        <f>$R$65*AC35^2+$S$65*AC35+$T$65</f>
        <v>85.784294027871582</v>
      </c>
      <c r="AI35">
        <v>8</v>
      </c>
      <c r="AJ35" s="3">
        <f t="shared" ref="AJ35:AJ38" si="8">AC35</f>
        <v>18.499163848496991</v>
      </c>
      <c r="AL35">
        <v>9</v>
      </c>
      <c r="AM35" s="3">
        <f>AJ38</f>
        <v>18.968571569297918</v>
      </c>
      <c r="AO35">
        <v>9</v>
      </c>
      <c r="AP35">
        <f>Q9*AO35+R9</f>
        <v>19.712494721949817</v>
      </c>
      <c r="AQ35" t="s">
        <v>13</v>
      </c>
      <c r="AS35" t="s">
        <v>1114</v>
      </c>
      <c r="AV35" t="s">
        <v>1116</v>
      </c>
    </row>
    <row r="36" spans="21:49" x14ac:dyDescent="0.15">
      <c r="U36" s="35">
        <v>6</v>
      </c>
      <c r="V36" s="98">
        <f>C19</f>
        <v>-2.5105053209823747E-2</v>
      </c>
      <c r="W36" s="99">
        <f>D19</f>
        <v>0.62918233099532539</v>
      </c>
      <c r="X36" s="100">
        <f>E19</f>
        <v>203.12816361709667</v>
      </c>
      <c r="Y36" s="36">
        <f>C19-U29</f>
        <v>-1.0830642368832935</v>
      </c>
      <c r="Z36" s="28">
        <f t="shared" si="4"/>
        <v>-13.407487540434044</v>
      </c>
      <c r="AA36" s="29">
        <f t="shared" si="5"/>
        <v>13.988415531192842</v>
      </c>
      <c r="AB36" s="36">
        <f>AF6</f>
        <v>99.999058386718588</v>
      </c>
      <c r="AC36" s="53">
        <f t="shared" si="6"/>
        <v>13.988415531192842</v>
      </c>
      <c r="AD36" s="53">
        <f>V36*AC36^2+W36*AC36+X36</f>
        <v>207.016976913485</v>
      </c>
      <c r="AE36" s="53">
        <f t="shared" si="7"/>
        <v>23.497156585053748</v>
      </c>
      <c r="AF36" s="53">
        <f>$H$70*AC36^2+$I$70*AC36+$J$70</f>
        <v>61.187514173591907</v>
      </c>
      <c r="AG36" s="53">
        <f>$R$70*AC36^2+$S$70*AC36+$T$70</f>
        <v>69.055657784981463</v>
      </c>
      <c r="AI36">
        <v>6</v>
      </c>
      <c r="AJ36" s="3">
        <f t="shared" si="8"/>
        <v>13.988415531192842</v>
      </c>
      <c r="AL36">
        <v>8</v>
      </c>
      <c r="AM36" s="3">
        <f>AJ35</f>
        <v>18.499163848496991</v>
      </c>
      <c r="AS36" s="279">
        <f>Tulokset!$CS$16</f>
        <v>11.666666666666666</v>
      </c>
      <c r="AT36" t="s">
        <v>13</v>
      </c>
      <c r="AV36" s="617">
        <f>IF($AS$36&gt;$AM$35,($AS$36-$R$10)/$Q$10,($AS$36-$R$9)/$Q$9)</f>
        <v>4.9813251997846519</v>
      </c>
      <c r="AW36" t="s">
        <v>25</v>
      </c>
    </row>
    <row r="37" spans="21:49" ht="14" thickBot="1" x14ac:dyDescent="0.2">
      <c r="U37" s="38">
        <v>4</v>
      </c>
      <c r="V37" s="101">
        <f>C24</f>
        <v>-2.2466600463323962E-2</v>
      </c>
      <c r="W37" s="102">
        <f>D24</f>
        <v>3.287270399782534E-3</v>
      </c>
      <c r="X37" s="103">
        <f>E24</f>
        <v>94.925239848174741</v>
      </c>
      <c r="Y37" s="37">
        <f>C24-U29</f>
        <v>-1.0804257841367937</v>
      </c>
      <c r="Z37" s="30">
        <f t="shared" si="4"/>
        <v>-9.371797494713018</v>
      </c>
      <c r="AA37" s="31">
        <f t="shared" si="5"/>
        <v>9.3748400640852481</v>
      </c>
      <c r="AB37" s="37">
        <f>AH6</f>
        <v>61.555446560450939</v>
      </c>
      <c r="AC37" s="53">
        <f t="shared" si="6"/>
        <v>9.3748400640852481</v>
      </c>
      <c r="AD37" s="53">
        <f>V37*AC37^2+W37*AC37+X37</f>
        <v>92.981521298304145</v>
      </c>
      <c r="AE37" s="53">
        <f t="shared" si="7"/>
        <v>10.626131292627683</v>
      </c>
      <c r="AF37" s="53">
        <f>$H$75*AC37^2+$I$75*AC37+$J$75</f>
        <v>38.062854326063324</v>
      </c>
      <c r="AG37" s="53">
        <f>$R$75*AC37^2+$S$75*AC37+$T$75</f>
        <v>58.308511580935303</v>
      </c>
      <c r="AI37">
        <v>4</v>
      </c>
      <c r="AJ37" s="3">
        <f t="shared" si="8"/>
        <v>9.3748400640852481</v>
      </c>
      <c r="AL37">
        <v>6</v>
      </c>
      <c r="AM37" s="3">
        <f t="shared" ref="AM37:AM38" si="9">AJ36</f>
        <v>13.988415531192842</v>
      </c>
      <c r="AS37" s="279">
        <f>Tulokset!$CS$17</f>
        <v>143.99999999999997</v>
      </c>
      <c r="AT37" t="s">
        <v>14</v>
      </c>
    </row>
    <row r="38" spans="21:49" ht="14" thickBot="1" x14ac:dyDescent="0.2">
      <c r="U38" s="468">
        <v>9</v>
      </c>
      <c r="V38" s="469">
        <f>C27</f>
        <v>-3.946198901528352E-2</v>
      </c>
      <c r="W38" s="469">
        <f t="shared" ref="W38:X38" si="10">D27</f>
        <v>3.9322513558817733</v>
      </c>
      <c r="X38" s="469">
        <f t="shared" si="10"/>
        <v>320.27030748126242</v>
      </c>
      <c r="Y38" s="470">
        <f>C27-U29</f>
        <v>-1.0974211726887531</v>
      </c>
      <c r="Z38" s="471">
        <f t="shared" si="4"/>
        <v>-15.385397256880102</v>
      </c>
      <c r="AA38" s="472">
        <f t="shared" si="5"/>
        <v>18.968571569297918</v>
      </c>
      <c r="AB38" s="473">
        <v>120</v>
      </c>
      <c r="AC38" s="474">
        <f t="shared" si="6"/>
        <v>18.968571569297918</v>
      </c>
      <c r="AD38" s="475">
        <f>V38*AC38^2+W38*AC38+X38</f>
        <v>380.6608104195364</v>
      </c>
      <c r="AE38" s="53">
        <f>X55*AC38^2+Y55*AC38+Z55</f>
        <v>66.177200324101648</v>
      </c>
      <c r="AI38">
        <v>9</v>
      </c>
      <c r="AJ38" s="3">
        <f t="shared" si="8"/>
        <v>18.968571569297918</v>
      </c>
      <c r="AL38">
        <v>4</v>
      </c>
      <c r="AM38" s="3">
        <f t="shared" si="9"/>
        <v>9.3748400640852481</v>
      </c>
    </row>
    <row r="40" spans="21:49" x14ac:dyDescent="0.15">
      <c r="U40" s="2" t="s">
        <v>35</v>
      </c>
      <c r="W40" t="s">
        <v>36</v>
      </c>
    </row>
    <row r="42" spans="21:49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15">
      <c r="U43" s="10" t="s">
        <v>55</v>
      </c>
      <c r="V43" s="21"/>
      <c r="W43" s="49">
        <v>11</v>
      </c>
      <c r="X43" s="49">
        <v>9</v>
      </c>
      <c r="Y43" s="49">
        <v>2</v>
      </c>
      <c r="Z43" s="49">
        <v>-3</v>
      </c>
      <c r="AA43" s="49">
        <v>-6</v>
      </c>
      <c r="AB43" s="49">
        <v>-13</v>
      </c>
      <c r="AC43" s="49">
        <v>-24</v>
      </c>
      <c r="AD43" s="49">
        <v>-32</v>
      </c>
      <c r="AE43" s="39" t="s">
        <v>42</v>
      </c>
      <c r="AF43" s="53">
        <f>$W$5+W43</f>
        <v>52.55210182060717</v>
      </c>
      <c r="AG43" s="53">
        <f t="shared" ref="AG43:AM43" si="11">$W$5+X43</f>
        <v>50.55210182060717</v>
      </c>
      <c r="AH43" s="53">
        <f t="shared" si="11"/>
        <v>43.55210182060717</v>
      </c>
      <c r="AI43" s="53">
        <f t="shared" si="11"/>
        <v>38.55210182060717</v>
      </c>
      <c r="AJ43" s="53">
        <f t="shared" si="11"/>
        <v>35.55210182060717</v>
      </c>
      <c r="AK43" s="53">
        <f t="shared" si="11"/>
        <v>28.55210182060717</v>
      </c>
      <c r="AL43" s="53">
        <f t="shared" si="11"/>
        <v>17.55210182060717</v>
      </c>
      <c r="AM43" s="53">
        <f t="shared" si="11"/>
        <v>9.5521018206071702</v>
      </c>
      <c r="AN43" s="5">
        <f t="array" ref="AN43">10*LOG10(SUM(10^(AF43:AM43/10)))</f>
        <v>55.155107416653777</v>
      </c>
      <c r="AO43" s="5">
        <f t="array" ref="AO43">10*LOG10(SUM(10^((AF43:AM43+AF46:AM46)/10)))</f>
        <v>41.580684329139018</v>
      </c>
      <c r="AP43" t="str">
        <f>IF(ABS(W5-AO43)&lt;0.5,"OK","Tarkista laskenta!")</f>
        <v>OK</v>
      </c>
    </row>
    <row r="44" spans="21:49" x14ac:dyDescent="0.15">
      <c r="U44" s="14" t="s">
        <v>56</v>
      </c>
      <c r="V44" s="26"/>
      <c r="W44" s="49">
        <v>9</v>
      </c>
      <c r="X44" s="49">
        <v>7</v>
      </c>
      <c r="Y44" s="49">
        <v>3</v>
      </c>
      <c r="Z44" s="49">
        <v>-3</v>
      </c>
      <c r="AA44" s="49">
        <v>-7</v>
      </c>
      <c r="AB44" s="49">
        <v>-9</v>
      </c>
      <c r="AC44" s="49">
        <v>-16</v>
      </c>
      <c r="AD44" s="49">
        <v>-26</v>
      </c>
      <c r="AE44" s="39" t="s">
        <v>43</v>
      </c>
      <c r="AF44" s="53">
        <f>$W$6+W44</f>
        <v>66.878098091357003</v>
      </c>
      <c r="AG44" s="53">
        <f t="shared" ref="AG44:AM44" si="12">$W$6+X44</f>
        <v>64.878098091357003</v>
      </c>
      <c r="AH44" s="53">
        <f t="shared" si="12"/>
        <v>60.878098091357003</v>
      </c>
      <c r="AI44" s="53">
        <f t="shared" si="12"/>
        <v>54.878098091357003</v>
      </c>
      <c r="AJ44" s="53">
        <f t="shared" si="12"/>
        <v>50.878098091357003</v>
      </c>
      <c r="AK44" s="53">
        <f t="shared" si="12"/>
        <v>48.878098091357003</v>
      </c>
      <c r="AL44" s="53">
        <f t="shared" si="12"/>
        <v>41.878098091357003</v>
      </c>
      <c r="AM44" s="53">
        <f t="shared" si="12"/>
        <v>31.878098091357003</v>
      </c>
      <c r="AN44" s="5">
        <f t="array" ref="AN44">10*LOG10(SUM(10^(AF44:AM44/10)))</f>
        <v>69.865947949988765</v>
      </c>
      <c r="AO44" s="5">
        <f t="array" ref="AO44">10*LOG10(SUM(10^((AF44:AM44+AF46:AM46)/10)))</f>
        <v>58.116567792181719</v>
      </c>
      <c r="AP44" t="str">
        <f>IF(ABS(W6-AO44)&lt;0.5,"OK","Tarkista laskenta!")</f>
        <v>OK</v>
      </c>
    </row>
    <row r="46" spans="21:49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LINEST(Y63:Y68,X63:X68^{1,2})</f>
        <v>-3.0274832563156016E-3</v>
      </c>
      <c r="Y51" s="54">
        <v>1.3879338969223955</v>
      </c>
      <c r="Z51" s="54">
        <v>45.342163187206395</v>
      </c>
    </row>
    <row r="52" spans="3:26" x14ac:dyDescent="0.15">
      <c r="W52" t="s">
        <v>408</v>
      </c>
      <c r="X52" s="54">
        <f t="array" ref="X52:Z52">LINEST(Y70:Y76,X70:X76^{1,2})</f>
        <v>-6.9375042848578584E-4</v>
      </c>
      <c r="Y52" s="54">
        <v>0.77076346759496583</v>
      </c>
      <c r="Z52" s="54">
        <v>31.573391355723313</v>
      </c>
    </row>
    <row r="53" spans="3:26" x14ac:dyDescent="0.15">
      <c r="W53" t="s">
        <v>411</v>
      </c>
      <c r="X53" s="54">
        <f t="array" ref="X53:Z53">LINEST(Y78:Y82,X78:X82^{1,2})</f>
        <v>7.6069351029504787E-4</v>
      </c>
      <c r="Y53" s="54">
        <v>0.31458730059891832</v>
      </c>
      <c r="Z53" s="54">
        <v>18.947729415783744</v>
      </c>
    </row>
    <row r="54" spans="3:26" x14ac:dyDescent="0.15">
      <c r="W54" t="s">
        <v>409</v>
      </c>
      <c r="X54" s="54">
        <f t="array" ref="X54:Z54">LINEST(Y86:Y89,X86:X89^{1,2})</f>
        <v>8.5683317291663282E-4</v>
      </c>
      <c r="Y54" s="54">
        <v>0.11014162815087163</v>
      </c>
      <c r="Z54" s="54">
        <v>9.5182661106749684</v>
      </c>
    </row>
    <row r="55" spans="3:26" x14ac:dyDescent="0.15">
      <c r="W55" t="s">
        <v>590</v>
      </c>
      <c r="X55" s="54">
        <f t="array" ref="X55:Z55">LINEST(Y92:Y96,X92:X96^{1,2})</f>
        <v>9.9771165119116856E-4</v>
      </c>
      <c r="Y55" s="54">
        <v>0.77679628183755234</v>
      </c>
      <c r="Z55" s="54">
        <v>51.083501113172183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598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598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142.33692589140077</v>
      </c>
      <c r="E59" s="68">
        <v>63.504792074772809</v>
      </c>
      <c r="F59" s="69">
        <v>168.33790315370854</v>
      </c>
      <c r="H59" t="s">
        <v>4</v>
      </c>
      <c r="I59" t="s">
        <v>5</v>
      </c>
      <c r="K59" s="24"/>
      <c r="M59" s="10" t="s">
        <v>3</v>
      </c>
      <c r="N59" s="67">
        <v>142.31089483268275</v>
      </c>
      <c r="O59" s="68">
        <v>76.38069339977983</v>
      </c>
      <c r="P59" s="69">
        <v>167.82975742013372</v>
      </c>
      <c r="R59" t="s">
        <v>4</v>
      </c>
      <c r="S59" t="s">
        <v>5</v>
      </c>
      <c r="T59" s="24" t="s">
        <v>6</v>
      </c>
      <c r="W59" s="10" t="s">
        <v>3</v>
      </c>
      <c r="X59" s="476">
        <v>145.93280562131633</v>
      </c>
      <c r="Y59" s="476">
        <v>171.33659884692841</v>
      </c>
    </row>
    <row r="60" spans="3:26" x14ac:dyDescent="0.15">
      <c r="C60" s="12"/>
      <c r="D60" s="67">
        <v>135.55354520352333</v>
      </c>
      <c r="E60" s="68">
        <v>63.293976534273817</v>
      </c>
      <c r="F60" s="69">
        <v>167.96119247536888</v>
      </c>
      <c r="H60" s="2">
        <f t="array" ref="H60:J60">LINEST(E59:E62,D59:D62^{1,2})</f>
        <v>-9.1850769573138257E-5</v>
      </c>
      <c r="I60" s="2">
        <v>7.2580390796304749E-3</v>
      </c>
      <c r="J60" s="2">
        <v>64.210244656140446</v>
      </c>
      <c r="K60" s="24"/>
      <c r="M60" s="12"/>
      <c r="N60" s="67">
        <v>135.75297833011399</v>
      </c>
      <c r="O60" s="68">
        <v>75.606125966760828</v>
      </c>
      <c r="P60" s="69">
        <v>167.76294559554921</v>
      </c>
      <c r="R60" s="2">
        <f t="array" ref="R60:T60">LINEST(O59:O62,N59:N62^{1,2})</f>
        <v>1.581334526101662E-3</v>
      </c>
      <c r="S60" s="2">
        <v>-0.36419370419520597</v>
      </c>
      <c r="T60" s="27">
        <v>96.081475666391881</v>
      </c>
      <c r="W60" s="12"/>
      <c r="X60" s="476">
        <v>141.05384772765888</v>
      </c>
      <c r="Y60" s="476">
        <v>171.20476167067767</v>
      </c>
    </row>
    <row r="61" spans="3:26" x14ac:dyDescent="0.15">
      <c r="C61" s="12"/>
      <c r="D61" s="67">
        <v>120.87292567048598</v>
      </c>
      <c r="E61" s="68">
        <v>63.858494061413182</v>
      </c>
      <c r="F61" s="69">
        <v>167.82594932956198</v>
      </c>
      <c r="K61" s="24"/>
      <c r="M61" s="12"/>
      <c r="N61" s="67">
        <v>121.88498248796257</v>
      </c>
      <c r="O61" s="68">
        <v>75.27508361363077</v>
      </c>
      <c r="P61" s="69">
        <v>167.4384519738862</v>
      </c>
      <c r="T61" s="24"/>
      <c r="W61" s="12"/>
      <c r="X61" s="476">
        <v>137.14938858370206</v>
      </c>
      <c r="Y61" s="476">
        <v>170.53321022331545</v>
      </c>
    </row>
    <row r="62" spans="3:26" x14ac:dyDescent="0.15">
      <c r="C62" s="14"/>
      <c r="D62" s="67">
        <v>99.354279744439367</v>
      </c>
      <c r="E62" s="68">
        <v>64.001811053093547</v>
      </c>
      <c r="F62" s="69">
        <v>159.19453835625194</v>
      </c>
      <c r="K62" s="24"/>
      <c r="M62" s="14"/>
      <c r="N62" s="67">
        <v>98.845904208709058</v>
      </c>
      <c r="O62" s="68">
        <v>75.51677763329937</v>
      </c>
      <c r="P62" s="69">
        <v>158.82836306866963</v>
      </c>
      <c r="T62" s="24"/>
      <c r="W62" s="12"/>
      <c r="X62" s="476">
        <v>131.55494143634706</v>
      </c>
      <c r="Y62" s="476">
        <v>170.80421961235893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6">
        <v>126.45313821471686</v>
      </c>
      <c r="Y63" s="476">
        <v>170.40340335914607</v>
      </c>
    </row>
    <row r="64" spans="3:26" x14ac:dyDescent="0.15">
      <c r="C64" s="10" t="s">
        <v>408</v>
      </c>
      <c r="D64" s="67">
        <v>124.39615122000632</v>
      </c>
      <c r="E64" s="68">
        <v>60.755407441724529</v>
      </c>
      <c r="F64" s="69">
        <v>113.60317789708478</v>
      </c>
      <c r="H64" t="s">
        <v>4</v>
      </c>
      <c r="I64" t="s">
        <v>5</v>
      </c>
      <c r="K64" s="24"/>
      <c r="M64" s="10" t="s">
        <v>408</v>
      </c>
      <c r="N64" s="67">
        <v>124.39645653823712</v>
      </c>
      <c r="O64" s="68">
        <v>73.274158998284477</v>
      </c>
      <c r="P64" s="69">
        <v>113.30264950492825</v>
      </c>
      <c r="R64" t="s">
        <v>4</v>
      </c>
      <c r="S64" t="s">
        <v>5</v>
      </c>
      <c r="T64" s="24" t="s">
        <v>6</v>
      </c>
      <c r="W64" s="12"/>
      <c r="X64" s="476">
        <v>121.46818656102965</v>
      </c>
      <c r="Y64" s="476">
        <v>169.75780539499809</v>
      </c>
    </row>
    <row r="65" spans="3:25" x14ac:dyDescent="0.15">
      <c r="C65" s="12"/>
      <c r="D65" s="67">
        <v>115.28578026929198</v>
      </c>
      <c r="E65" s="68">
        <v>59.863910817556906</v>
      </c>
      <c r="F65" s="69">
        <v>105.55857205937565</v>
      </c>
      <c r="H65" s="2">
        <f t="array" ref="H65:J65">LINEST(E64:E67,D64:D67^{1,2})</f>
        <v>1.6134374569970276E-3</v>
      </c>
      <c r="I65" s="2">
        <v>-0.30791360766971593</v>
      </c>
      <c r="J65" s="2">
        <v>74.03744102127115</v>
      </c>
      <c r="K65" s="24"/>
      <c r="M65" s="12"/>
      <c r="N65" s="67">
        <v>115.27995865272432</v>
      </c>
      <c r="O65" s="68">
        <v>72.04948224384114</v>
      </c>
      <c r="P65" s="69">
        <v>105.29860193076772</v>
      </c>
      <c r="R65" s="2">
        <f t="array" ref="R65:T65">LINEST(O64:O67,N64:N67^{1,2})</f>
        <v>2.5889618018373542E-3</v>
      </c>
      <c r="S65" s="2">
        <v>-0.48813921193497006</v>
      </c>
      <c r="T65" s="27">
        <v>93.928469208123047</v>
      </c>
      <c r="W65" s="12"/>
      <c r="X65" s="476">
        <v>113.97454094383536</v>
      </c>
      <c r="Y65" s="476">
        <v>167.39901054092508</v>
      </c>
    </row>
    <row r="66" spans="3:25" x14ac:dyDescent="0.15">
      <c r="C66" s="12"/>
      <c r="D66" s="67">
        <v>101.60052829387213</v>
      </c>
      <c r="E66" s="68">
        <v>59.500309027733529</v>
      </c>
      <c r="F66" s="69">
        <v>97.976349714782643</v>
      </c>
      <c r="K66" s="24"/>
      <c r="M66" s="12"/>
      <c r="N66" s="67">
        <v>101.91624124775765</v>
      </c>
      <c r="O66" s="68">
        <v>71.079127309114256</v>
      </c>
      <c r="P66" s="69">
        <v>97.765855378849452</v>
      </c>
      <c r="T66" s="24"/>
      <c r="W66" s="12"/>
      <c r="X66" s="476">
        <v>98.894194031361593</v>
      </c>
      <c r="Y66" s="476">
        <v>151.94567006146681</v>
      </c>
    </row>
    <row r="67" spans="3:25" x14ac:dyDescent="0.15">
      <c r="C67" s="14"/>
      <c r="D67" s="67">
        <v>86.887542381488743</v>
      </c>
      <c r="E67" s="68">
        <v>59.437175303534943</v>
      </c>
      <c r="F67" s="69">
        <v>86.958592380060594</v>
      </c>
      <c r="K67" s="24"/>
      <c r="M67" s="14"/>
      <c r="N67" s="67">
        <v>83.81228756595587</v>
      </c>
      <c r="O67" s="68">
        <v>71.200535622630397</v>
      </c>
      <c r="P67" s="69">
        <v>86.752896620101637</v>
      </c>
      <c r="T67" s="24"/>
      <c r="W67" s="12"/>
      <c r="X67" s="476">
        <v>82.599850212683407</v>
      </c>
      <c r="Y67" s="476">
        <v>138.15078073532626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6">
        <v>59.628845690569321</v>
      </c>
      <c r="Y68" s="476">
        <v>117.90995300763927</v>
      </c>
    </row>
    <row r="69" spans="3:25" x14ac:dyDescent="0.15">
      <c r="C69" s="10" t="s">
        <v>411</v>
      </c>
      <c r="D69" s="67">
        <v>93.509550571045949</v>
      </c>
      <c r="E69" s="68">
        <v>54.415504897675802</v>
      </c>
      <c r="F69" s="69">
        <v>51.963408020334164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93.746035380865251</v>
      </c>
      <c r="O69" s="68">
        <v>66.574724987435175</v>
      </c>
      <c r="P69" s="69">
        <v>51.840740552727752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15">
      <c r="C70" s="12"/>
      <c r="D70" s="67">
        <v>84.603189103799437</v>
      </c>
      <c r="E70" s="68">
        <v>53.466522438874719</v>
      </c>
      <c r="F70" s="69">
        <v>49.172956811497492</v>
      </c>
      <c r="H70" s="2">
        <f t="array" ref="H70:J70">LINEST(E69:E72,D69:D72^{1,2})</f>
        <v>2.6630451607203005E-3</v>
      </c>
      <c r="I70" s="2">
        <v>-0.37155138973968388</v>
      </c>
      <c r="J70" s="2">
        <v>65.863835994561867</v>
      </c>
      <c r="K70" s="24"/>
      <c r="M70" s="12"/>
      <c r="N70" s="67">
        <v>83.885724032891446</v>
      </c>
      <c r="O70" s="68">
        <v>65.900228657656129</v>
      </c>
      <c r="P70" s="69">
        <v>49.063899227254822</v>
      </c>
      <c r="R70" s="2">
        <f t="array" ref="R70:T70">LINEST(O69:O72,N69:N72^{1,2})</f>
        <v>1.9061650395799758E-3</v>
      </c>
      <c r="S70" s="2">
        <v>-0.2353363488863206</v>
      </c>
      <c r="T70" s="27">
        <v>71.974650112696608</v>
      </c>
      <c r="W70" s="10" t="s">
        <v>408</v>
      </c>
      <c r="X70" s="68">
        <v>48.113768648848222</v>
      </c>
      <c r="Y70" s="68">
        <v>66.989400705630914</v>
      </c>
    </row>
    <row r="71" spans="3:25" x14ac:dyDescent="0.15">
      <c r="C71" s="12"/>
      <c r="D71" s="67">
        <v>73.637239543770193</v>
      </c>
      <c r="E71" s="68">
        <v>52.965459876340411</v>
      </c>
      <c r="F71" s="69">
        <v>44.587210284777143</v>
      </c>
      <c r="K71" s="24"/>
      <c r="M71" s="12"/>
      <c r="N71" s="67">
        <v>73.528916154304341</v>
      </c>
      <c r="O71" s="68">
        <v>64.745187392101812</v>
      </c>
      <c r="P71" s="69">
        <v>44.520187546631931</v>
      </c>
      <c r="T71" s="24"/>
      <c r="W71" s="12"/>
      <c r="X71" s="68">
        <v>69.725952249164479</v>
      </c>
      <c r="Y71" s="68">
        <v>81.624373459526382</v>
      </c>
    </row>
    <row r="72" spans="3:25" x14ac:dyDescent="0.15">
      <c r="C72" s="14"/>
      <c r="D72" s="67">
        <v>62.440986792248914</v>
      </c>
      <c r="E72" s="68">
        <v>53.03990267809472</v>
      </c>
      <c r="F72" s="69">
        <v>37.958786520928079</v>
      </c>
      <c r="K72" s="24"/>
      <c r="M72" s="14"/>
      <c r="N72" s="67">
        <v>61.604561271906874</v>
      </c>
      <c r="O72" s="68">
        <v>64.778560386905198</v>
      </c>
      <c r="P72" s="69">
        <v>37.896921857869309</v>
      </c>
      <c r="T72" s="24"/>
      <c r="W72" s="12"/>
      <c r="X72" s="68">
        <v>94.145823061534287</v>
      </c>
      <c r="Y72" s="68">
        <v>99.999477318025953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104.21457877159305</v>
      </c>
      <c r="Y73" s="68">
        <v>103.48805129721504</v>
      </c>
    </row>
    <row r="74" spans="3:25" x14ac:dyDescent="0.15">
      <c r="C74" s="10" t="s">
        <v>409</v>
      </c>
      <c r="D74" s="67">
        <v>58.440074597319764</v>
      </c>
      <c r="E74" s="68">
        <v>45.027312949970536</v>
      </c>
      <c r="F74" s="69">
        <v>18.288711059751751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58.419544531154315</v>
      </c>
      <c r="O74" s="68">
        <v>57.040901964604288</v>
      </c>
      <c r="P74" s="69">
        <v>18.223283778167332</v>
      </c>
      <c r="R74" t="s">
        <v>4</v>
      </c>
      <c r="S74" t="s">
        <v>5</v>
      </c>
      <c r="T74" s="24" t="s">
        <v>6</v>
      </c>
      <c r="W74" s="12"/>
      <c r="X74" s="68">
        <v>112.57223888931715</v>
      </c>
      <c r="Y74" s="68">
        <v>108.26752691162672</v>
      </c>
    </row>
    <row r="75" spans="3:25" x14ac:dyDescent="0.15">
      <c r="C75" s="12"/>
      <c r="D75" s="67">
        <v>52.756041556422801</v>
      </c>
      <c r="E75" s="68">
        <v>45.390878440304824</v>
      </c>
      <c r="F75" s="69">
        <v>17.173412186741277</v>
      </c>
      <c r="H75" s="2">
        <f t="array" ref="H75:J75">LINEST(E74:E77,D74:D77^{1,2})</f>
        <v>-3.866361630894018E-3</v>
      </c>
      <c r="I75" s="2">
        <v>0.40537622724715378</v>
      </c>
      <c r="J75" s="2">
        <v>34.602322375714095</v>
      </c>
      <c r="K75" s="24"/>
      <c r="M75" s="12"/>
      <c r="N75" s="67">
        <v>52.196889475840962</v>
      </c>
      <c r="O75" s="68">
        <v>56.496554636920223</v>
      </c>
      <c r="P75" s="69">
        <v>17.13701321504886</v>
      </c>
      <c r="R75" s="2">
        <f t="array" ref="R75:T75">LINEST(O74:O77,N74:N77^{1,2})</f>
        <v>3.1592328051334062E-3</v>
      </c>
      <c r="S75" s="2">
        <v>-0.23928025485327195</v>
      </c>
      <c r="T75" s="27">
        <v>60.274068228736084</v>
      </c>
      <c r="W75" s="12"/>
      <c r="X75" s="68">
        <v>121.08321064793208</v>
      </c>
      <c r="Y75" s="68">
        <v>114.19640879671721</v>
      </c>
    </row>
    <row r="76" spans="3:25" x14ac:dyDescent="0.15">
      <c r="C76" s="12"/>
      <c r="D76" s="67">
        <v>46.383102435328567</v>
      </c>
      <c r="E76" s="68">
        <v>44.940241651074359</v>
      </c>
      <c r="F76" s="69">
        <v>15.976519793234619</v>
      </c>
      <c r="K76" s="24"/>
      <c r="M76" s="12"/>
      <c r="N76" s="67">
        <v>45.892068901589042</v>
      </c>
      <c r="O76" s="68">
        <v>55.851746083342412</v>
      </c>
      <c r="P76" s="69">
        <v>15.9708209629559</v>
      </c>
      <c r="T76" s="24"/>
      <c r="W76" s="14"/>
      <c r="X76" s="68">
        <v>128.25979843355867</v>
      </c>
      <c r="Y76" s="68">
        <v>120.0773159902373</v>
      </c>
    </row>
    <row r="77" spans="3:25" x14ac:dyDescent="0.15">
      <c r="C77" s="14"/>
      <c r="D77" s="67">
        <v>39.332106321431894</v>
      </c>
      <c r="E77" s="71">
        <v>44.609229142732467</v>
      </c>
      <c r="F77" s="69">
        <v>14.286412768134158</v>
      </c>
      <c r="G77" s="25"/>
      <c r="H77" s="25"/>
      <c r="I77" s="25"/>
      <c r="J77" s="25"/>
      <c r="K77" s="26"/>
      <c r="M77" s="14"/>
      <c r="N77" s="67">
        <v>38.225352061782701</v>
      </c>
      <c r="O77" s="71">
        <v>55.770251275797165</v>
      </c>
      <c r="P77" s="69">
        <v>14.253213470630605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15">
      <c r="W78" s="10" t="s">
        <v>411</v>
      </c>
      <c r="X78" s="68">
        <v>95.288588606918864</v>
      </c>
      <c r="Y78" s="68">
        <v>55.926419615573145</v>
      </c>
    </row>
    <row r="79" spans="3:25" x14ac:dyDescent="0.15">
      <c r="F79" s="5"/>
      <c r="W79" s="12"/>
      <c r="X79" s="68">
        <v>84.236237037741418</v>
      </c>
      <c r="Y79" s="68">
        <v>50.599349202971588</v>
      </c>
    </row>
    <row r="80" spans="3:25" x14ac:dyDescent="0.15">
      <c r="F80" s="5"/>
      <c r="W80" s="12"/>
      <c r="X80" s="68">
        <v>67.284582916698795</v>
      </c>
      <c r="Y80" s="68">
        <v>43.796688567953638</v>
      </c>
    </row>
    <row r="81" spans="6:25" x14ac:dyDescent="0.15">
      <c r="F81" s="5"/>
      <c r="W81" s="12"/>
      <c r="X81" s="68">
        <v>38.781474840211665</v>
      </c>
      <c r="Y81" s="68">
        <v>32.110345134320482</v>
      </c>
    </row>
    <row r="82" spans="6:25" x14ac:dyDescent="0.15">
      <c r="F82" s="5"/>
      <c r="W82" s="12"/>
      <c r="X82" s="68">
        <v>28.199869006956831</v>
      </c>
      <c r="Y82" s="68">
        <v>28.517985540807324</v>
      </c>
    </row>
    <row r="83" spans="6:25" x14ac:dyDescent="0.15">
      <c r="W83" s="12"/>
      <c r="X83" s="17"/>
      <c r="Y83" s="13"/>
    </row>
    <row r="84" spans="6:25" x14ac:dyDescent="0.15">
      <c r="W84" s="14"/>
      <c r="X84" s="18"/>
      <c r="Y84" s="15"/>
    </row>
    <row r="85" spans="6:25" x14ac:dyDescent="0.15">
      <c r="W85" s="12"/>
      <c r="X85" s="16" t="s">
        <v>13</v>
      </c>
      <c r="Y85" s="11" t="s">
        <v>49</v>
      </c>
    </row>
    <row r="86" spans="6:25" x14ac:dyDescent="0.15">
      <c r="W86" s="10" t="s">
        <v>409</v>
      </c>
      <c r="X86" s="68">
        <v>18.229681878656653</v>
      </c>
      <c r="Y86" s="68">
        <v>11.829330691825657</v>
      </c>
    </row>
    <row r="87" spans="6:25" x14ac:dyDescent="0.15">
      <c r="F87" s="5"/>
      <c r="W87" s="12"/>
      <c r="X87" s="68">
        <v>38.356644506032225</v>
      </c>
      <c r="Y87" s="68">
        <v>14.906650602251696</v>
      </c>
    </row>
    <row r="88" spans="6:25" x14ac:dyDescent="0.15">
      <c r="F88" s="5"/>
      <c r="W88" s="12"/>
      <c r="X88" s="68">
        <v>50.652024686808119</v>
      </c>
      <c r="Y88" s="68">
        <v>17.447344781188477</v>
      </c>
    </row>
    <row r="89" spans="6:25" x14ac:dyDescent="0.15">
      <c r="F89" s="5"/>
      <c r="W89" s="12"/>
      <c r="X89" s="68">
        <v>58.713396920140099</v>
      </c>
      <c r="Y89" s="68">
        <v>18.86532265222845</v>
      </c>
    </row>
    <row r="90" spans="6:25" x14ac:dyDescent="0.15">
      <c r="F90" s="5"/>
      <c r="W90" s="12"/>
      <c r="X90" s="17"/>
      <c r="Y90" s="13"/>
    </row>
    <row r="91" spans="6:25" x14ac:dyDescent="0.15">
      <c r="F91" s="5"/>
      <c r="W91" s="12"/>
      <c r="X91" s="16" t="s">
        <v>13</v>
      </c>
      <c r="Y91" s="11" t="s">
        <v>49</v>
      </c>
    </row>
    <row r="92" spans="6:25" x14ac:dyDescent="0.15">
      <c r="F92" s="5"/>
      <c r="W92" s="10" t="s">
        <v>590</v>
      </c>
      <c r="X92" s="68">
        <v>120.12416008604148</v>
      </c>
      <c r="Y92" s="68">
        <v>158.71858363035491</v>
      </c>
    </row>
    <row r="93" spans="6:25" x14ac:dyDescent="0.15">
      <c r="F93" s="5"/>
      <c r="W93" s="12"/>
      <c r="X93" s="68">
        <v>104.28237943386655</v>
      </c>
      <c r="Y93" s="68">
        <v>143.40845802475638</v>
      </c>
    </row>
    <row r="94" spans="6:25" x14ac:dyDescent="0.15">
      <c r="F94" s="5"/>
      <c r="W94" s="12"/>
      <c r="X94" s="68">
        <v>70.69056308182347</v>
      </c>
      <c r="Y94" s="68">
        <v>111.60794943452888</v>
      </c>
    </row>
    <row r="95" spans="6:25" x14ac:dyDescent="0.15">
      <c r="F95" s="5"/>
      <c r="W95" s="12"/>
      <c r="X95" s="68">
        <v>49.564301038903714</v>
      </c>
      <c r="Y95" s="68">
        <v>91.87637660025311</v>
      </c>
    </row>
    <row r="96" spans="6:25" x14ac:dyDescent="0.15">
      <c r="F96" s="5"/>
      <c r="W96" s="14"/>
      <c r="X96" s="68">
        <v>88.638894657469507</v>
      </c>
      <c r="Y96" s="68">
        <v>126.91451442541967</v>
      </c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848C2-DA84-4D59-8C94-D0F4A4F012BE}">
  <dimension ref="B3:AC91"/>
  <sheetViews>
    <sheetView topLeftCell="A18" workbookViewId="0">
      <selection activeCell="BL19" sqref="BL19"/>
    </sheetView>
  </sheetViews>
  <sheetFormatPr baseColWidth="10" defaultColWidth="8.83203125" defaultRowHeight="13" x14ac:dyDescent="0.15"/>
  <cols>
    <col min="2" max="2" width="22.5" customWidth="1"/>
  </cols>
  <sheetData>
    <row r="3" spans="2:12" x14ac:dyDescent="0.15">
      <c r="B3" s="2" t="s">
        <v>79</v>
      </c>
      <c r="E3" t="s">
        <v>2700</v>
      </c>
    </row>
    <row r="4" spans="2:12" x14ac:dyDescent="0.15">
      <c r="B4" t="s">
        <v>7</v>
      </c>
      <c r="C4" s="3">
        <f>'Laskenta tulopuoli 53mini'!W9</f>
        <v>3.8732271670147895</v>
      </c>
      <c r="D4" t="s">
        <v>25</v>
      </c>
      <c r="E4" s="3">
        <f>IF(C4&gt;K11,K11,C4)</f>
        <v>3.8732271670147895</v>
      </c>
      <c r="F4" t="s">
        <v>25</v>
      </c>
    </row>
    <row r="5" spans="2:12" x14ac:dyDescent="0.15">
      <c r="B5" t="s">
        <v>8</v>
      </c>
      <c r="C5" s="3">
        <f>'Laskenta poistopuoli 53mini'!W9</f>
        <v>4.2224887892319165</v>
      </c>
      <c r="D5" t="s">
        <v>25</v>
      </c>
      <c r="E5" s="3">
        <f>IF(C5&gt;8.5,8.5,C5)</f>
        <v>4.2224887892319165</v>
      </c>
      <c r="F5" t="s">
        <v>25</v>
      </c>
    </row>
    <row r="7" spans="2:12" x14ac:dyDescent="0.15">
      <c r="B7" s="2" t="s">
        <v>88</v>
      </c>
    </row>
    <row r="8" spans="2:12" x14ac:dyDescent="0.15">
      <c r="B8" t="s">
        <v>90</v>
      </c>
    </row>
    <row r="9" spans="2:12" x14ac:dyDescent="0.15">
      <c r="B9" t="s">
        <v>601</v>
      </c>
      <c r="K9" t="s">
        <v>599</v>
      </c>
    </row>
    <row r="10" spans="2:12" x14ac:dyDescent="0.15">
      <c r="K10" t="s">
        <v>365</v>
      </c>
      <c r="L10" t="s">
        <v>27</v>
      </c>
    </row>
    <row r="11" spans="2:12" x14ac:dyDescent="0.15">
      <c r="C11" t="s">
        <v>4</v>
      </c>
      <c r="D11" t="s">
        <v>5</v>
      </c>
      <c r="K11" s="8">
        <v>8.3000000000000007</v>
      </c>
      <c r="L11" s="479">
        <f>T21</f>
        <v>49.553859374815694</v>
      </c>
    </row>
    <row r="12" spans="2:12" x14ac:dyDescent="0.15">
      <c r="B12" t="s">
        <v>600</v>
      </c>
      <c r="C12" s="107">
        <f t="array" ref="C12:D12">LINEST(L11:L14,LN(K11:K14))</f>
        <v>22.836887047064646</v>
      </c>
      <c r="D12" s="107">
        <v>1.3011463277733739</v>
      </c>
      <c r="K12" s="8">
        <v>7</v>
      </c>
      <c r="L12" s="479">
        <f t="shared" ref="L12:L14" si="0">T22</f>
        <v>45.807948790518893</v>
      </c>
    </row>
    <row r="13" spans="2:12" x14ac:dyDescent="0.15">
      <c r="K13" s="8">
        <v>6</v>
      </c>
      <c r="L13" s="479">
        <f t="shared" si="0"/>
        <v>42.261905297078613</v>
      </c>
    </row>
    <row r="14" spans="2:12" x14ac:dyDescent="0.15">
      <c r="K14" s="8">
        <v>4</v>
      </c>
      <c r="L14" s="479">
        <f t="shared" si="0"/>
        <v>32.924946633813931</v>
      </c>
    </row>
    <row r="15" spans="2:12" x14ac:dyDescent="0.15">
      <c r="B15" t="s">
        <v>91</v>
      </c>
      <c r="C15" s="3">
        <f>MAX(E4,E5)</f>
        <v>4.2224887892319165</v>
      </c>
      <c r="D15" t="s">
        <v>25</v>
      </c>
      <c r="E15" s="82" t="s">
        <v>42</v>
      </c>
      <c r="F15" s="5">
        <f>$C$12*LN(C15)+$D$12</f>
        <v>34.195962836927542</v>
      </c>
      <c r="G15" t="s">
        <v>31</v>
      </c>
    </row>
    <row r="16" spans="2:12" x14ac:dyDescent="0.15">
      <c r="B16" t="s">
        <v>92</v>
      </c>
      <c r="C16" s="79">
        <f>(2*MAX(E4,E5)+MIN(E4,E5))/3</f>
        <v>4.1060682484928739</v>
      </c>
      <c r="D16" t="s">
        <v>25</v>
      </c>
      <c r="E16" s="82" t="s">
        <v>42</v>
      </c>
      <c r="F16" s="5">
        <f>$C$12*LN(C16)+$D$12</f>
        <v>33.557471459848266</v>
      </c>
      <c r="G16" t="s">
        <v>31</v>
      </c>
    </row>
    <row r="18" spans="2:21" ht="14" x14ac:dyDescent="0.15">
      <c r="B18" s="83" t="s">
        <v>82</v>
      </c>
    </row>
    <row r="20" spans="2:21" x14ac:dyDescent="0.15">
      <c r="B20" s="2" t="s">
        <v>84</v>
      </c>
      <c r="K20" s="16">
        <v>63</v>
      </c>
      <c r="L20" s="208">
        <v>125</v>
      </c>
      <c r="M20" s="208">
        <v>250</v>
      </c>
      <c r="N20" s="208">
        <v>500</v>
      </c>
      <c r="O20" s="208">
        <v>1000</v>
      </c>
      <c r="P20" s="208">
        <v>2000</v>
      </c>
      <c r="Q20" s="208">
        <v>4000</v>
      </c>
      <c r="R20" s="11">
        <v>8000</v>
      </c>
      <c r="S20" s="4" t="s">
        <v>391</v>
      </c>
      <c r="T20" s="4" t="s">
        <v>27</v>
      </c>
    </row>
    <row r="21" spans="2:21" x14ac:dyDescent="0.15">
      <c r="B21" t="s">
        <v>85</v>
      </c>
      <c r="C21" t="s">
        <v>28</v>
      </c>
      <c r="D21" s="3" t="str">
        <f>'R-series ALU'!N54</f>
        <v>-</v>
      </c>
      <c r="E21" t="s">
        <v>31</v>
      </c>
      <c r="J21" t="s">
        <v>2701</v>
      </c>
      <c r="K21" s="67">
        <f>N71</f>
        <v>62.653029259735398</v>
      </c>
      <c r="L21" s="68">
        <f t="shared" ref="L21:R24" si="1">O71</f>
        <v>60.506924487575631</v>
      </c>
      <c r="M21" s="68">
        <f t="shared" si="1"/>
        <v>55.940141049269116</v>
      </c>
      <c r="N21" s="68">
        <f t="shared" si="1"/>
        <v>43.080884046207942</v>
      </c>
      <c r="O21" s="68">
        <f t="shared" si="1"/>
        <v>34.34867450894226</v>
      </c>
      <c r="P21" s="68">
        <f t="shared" si="1"/>
        <v>28.470261744240361</v>
      </c>
      <c r="Q21" s="68">
        <f t="shared" si="1"/>
        <v>25.352642470228304</v>
      </c>
      <c r="R21" s="69">
        <f t="shared" si="1"/>
        <v>22.918047458230912</v>
      </c>
      <c r="S21" s="482">
        <f>V71</f>
        <v>65.292781728430796</v>
      </c>
      <c r="T21" s="482">
        <f>W71</f>
        <v>49.553859374815694</v>
      </c>
    </row>
    <row r="22" spans="2:21" x14ac:dyDescent="0.15">
      <c r="B22" s="25"/>
      <c r="C22" s="25" t="s">
        <v>8</v>
      </c>
      <c r="D22" s="81" t="str">
        <f>'R-series ALU'!N55</f>
        <v>-</v>
      </c>
      <c r="E22" t="s">
        <v>31</v>
      </c>
      <c r="J22" t="s">
        <v>2674</v>
      </c>
      <c r="K22" s="67">
        <f t="shared" ref="K22:K24" si="2">N72</f>
        <v>59.993931557001488</v>
      </c>
      <c r="L22" s="68">
        <f t="shared" si="1"/>
        <v>56.788747085959415</v>
      </c>
      <c r="M22" s="68">
        <f t="shared" si="1"/>
        <v>51.825046379537056</v>
      </c>
      <c r="N22" s="68">
        <f t="shared" si="1"/>
        <v>39.202749376109381</v>
      </c>
      <c r="O22" s="68">
        <f t="shared" si="1"/>
        <v>31.637135893529869</v>
      </c>
      <c r="P22" s="68">
        <f t="shared" si="1"/>
        <v>24.921497417494649</v>
      </c>
      <c r="Q22" s="68">
        <f t="shared" si="1"/>
        <v>21.868338915937663</v>
      </c>
      <c r="R22" s="69">
        <f t="shared" si="1"/>
        <v>18.396406537435915</v>
      </c>
      <c r="S22" s="482">
        <f t="shared" ref="S22:T24" si="3">V72</f>
        <v>62.144572960121138</v>
      </c>
      <c r="T22" s="482">
        <f t="shared" si="3"/>
        <v>45.807948790518893</v>
      </c>
    </row>
    <row r="23" spans="2:21" x14ac:dyDescent="0.15">
      <c r="C23" t="s">
        <v>87</v>
      </c>
      <c r="D23" s="3" t="e">
        <f>ABS(D21-D22)</f>
        <v>#VALUE!</v>
      </c>
      <c r="E23" t="s">
        <v>31</v>
      </c>
      <c r="J23" t="s">
        <v>405</v>
      </c>
      <c r="K23" s="67">
        <f t="shared" si="2"/>
        <v>56.850498602132042</v>
      </c>
      <c r="L23" s="68">
        <f t="shared" si="1"/>
        <v>54.179013560759245</v>
      </c>
      <c r="M23" s="68">
        <f t="shared" si="1"/>
        <v>47.864733713624013</v>
      </c>
      <c r="N23" s="68">
        <f t="shared" si="1"/>
        <v>35.735540941273015</v>
      </c>
      <c r="O23" s="68">
        <f t="shared" si="1"/>
        <v>28.84006146710599</v>
      </c>
      <c r="P23" s="68">
        <f t="shared" si="1"/>
        <v>21.573322111126462</v>
      </c>
      <c r="Q23" s="68">
        <f t="shared" si="1"/>
        <v>16.447985309194316</v>
      </c>
      <c r="R23" s="69">
        <f t="shared" si="1"/>
        <v>12.649026250202555</v>
      </c>
      <c r="S23" s="482">
        <f t="shared" si="3"/>
        <v>59.094839876503293</v>
      </c>
      <c r="T23" s="482">
        <f t="shared" si="3"/>
        <v>42.261905297078613</v>
      </c>
    </row>
    <row r="24" spans="2:21" x14ac:dyDescent="0.15">
      <c r="D24" s="3"/>
      <c r="J24" t="s">
        <v>406</v>
      </c>
      <c r="K24" s="67">
        <f t="shared" si="2"/>
        <v>51.608056744119033</v>
      </c>
      <c r="L24" s="71">
        <f t="shared" si="1"/>
        <v>44.63703172711709</v>
      </c>
      <c r="M24" s="71">
        <f t="shared" si="1"/>
        <v>37.330095427470894</v>
      </c>
      <c r="N24" s="71">
        <f t="shared" si="1"/>
        <v>25.799358600884709</v>
      </c>
      <c r="O24" s="71">
        <f t="shared" si="1"/>
        <v>20.321908282425998</v>
      </c>
      <c r="P24" s="71">
        <f t="shared" si="1"/>
        <v>12.199912204068715</v>
      </c>
      <c r="Q24" s="71">
        <f t="shared" si="1"/>
        <v>7.3910394231879746</v>
      </c>
      <c r="R24" s="72">
        <f t="shared" si="1"/>
        <v>5.141297766164362</v>
      </c>
      <c r="S24" s="482">
        <f t="shared" si="3"/>
        <v>52.548391866221692</v>
      </c>
      <c r="T24" s="482">
        <f t="shared" si="3"/>
        <v>32.924946633813931</v>
      </c>
    </row>
    <row r="25" spans="2:21" x14ac:dyDescent="0.15">
      <c r="B25" t="s">
        <v>86</v>
      </c>
      <c r="C25" t="s">
        <v>7</v>
      </c>
      <c r="D25" s="3" t="str">
        <f>'R-series ALU'!N53</f>
        <v>-</v>
      </c>
      <c r="E25" t="s">
        <v>31</v>
      </c>
    </row>
    <row r="26" spans="2:21" x14ac:dyDescent="0.15">
      <c r="B26" s="25"/>
      <c r="C26" s="25" t="s">
        <v>57</v>
      </c>
      <c r="D26" s="81" t="str">
        <f>'R-series ALU'!N56</f>
        <v>-</v>
      </c>
      <c r="E26" t="s">
        <v>31</v>
      </c>
      <c r="K26" s="19">
        <f>K21-$T21</f>
        <v>13.099169884919704</v>
      </c>
      <c r="L26" s="481">
        <f t="shared" ref="L26:R26" si="4">L21-$T21</f>
        <v>10.953065112759937</v>
      </c>
      <c r="M26" s="481">
        <f t="shared" si="4"/>
        <v>6.3862816744534214</v>
      </c>
      <c r="N26" s="481">
        <f t="shared" si="4"/>
        <v>-6.4729753286077525</v>
      </c>
      <c r="O26" s="481">
        <f t="shared" si="4"/>
        <v>-15.205184865873434</v>
      </c>
      <c r="P26" s="481">
        <f t="shared" si="4"/>
        <v>-21.083597630575333</v>
      </c>
      <c r="Q26" s="481">
        <f t="shared" si="4"/>
        <v>-24.20121690458739</v>
      </c>
      <c r="R26" s="20">
        <f t="shared" si="4"/>
        <v>-26.635811916584782</v>
      </c>
    </row>
    <row r="27" spans="2:21" x14ac:dyDescent="0.15">
      <c r="C27" t="s">
        <v>87</v>
      </c>
      <c r="D27" s="3" t="e">
        <f>ABS(D25-D26)</f>
        <v>#VALUE!</v>
      </c>
      <c r="E27" t="s">
        <v>31</v>
      </c>
      <c r="K27" s="17">
        <f t="shared" ref="K27:R29" si="5">K22-$T22</f>
        <v>14.185982766482596</v>
      </c>
      <c r="L27" s="5">
        <f t="shared" si="5"/>
        <v>10.980798295440522</v>
      </c>
      <c r="M27" s="5">
        <f t="shared" si="5"/>
        <v>6.0170975890181637</v>
      </c>
      <c r="N27" s="5">
        <f t="shared" si="5"/>
        <v>-6.6051994144095119</v>
      </c>
      <c r="O27" s="5">
        <f t="shared" si="5"/>
        <v>-14.170812896989023</v>
      </c>
      <c r="P27" s="5">
        <f t="shared" si="5"/>
        <v>-20.886451373024244</v>
      </c>
      <c r="Q27" s="5">
        <f t="shared" si="5"/>
        <v>-23.93960987458123</v>
      </c>
      <c r="R27" s="13">
        <f t="shared" si="5"/>
        <v>-27.411542253082978</v>
      </c>
    </row>
    <row r="28" spans="2:21" x14ac:dyDescent="0.15">
      <c r="K28" s="17">
        <f t="shared" si="5"/>
        <v>14.588593305053429</v>
      </c>
      <c r="L28" s="5">
        <f t="shared" si="5"/>
        <v>11.917108263680632</v>
      </c>
      <c r="M28" s="5">
        <f t="shared" si="5"/>
        <v>5.6028284165453996</v>
      </c>
      <c r="N28" s="5">
        <f t="shared" si="5"/>
        <v>-6.5263643558055975</v>
      </c>
      <c r="O28" s="5">
        <f t="shared" si="5"/>
        <v>-13.421843829972623</v>
      </c>
      <c r="P28" s="5">
        <f t="shared" si="5"/>
        <v>-20.688583185952151</v>
      </c>
      <c r="Q28" s="5">
        <f t="shared" si="5"/>
        <v>-25.813919987884297</v>
      </c>
      <c r="R28" s="13">
        <f t="shared" si="5"/>
        <v>-29.61287904687606</v>
      </c>
    </row>
    <row r="29" spans="2:21" x14ac:dyDescent="0.15">
      <c r="B29" t="s">
        <v>94</v>
      </c>
      <c r="C29" s="3" t="e">
        <f>AVERAGE(D27,D23)</f>
        <v>#VALUE!</v>
      </c>
      <c r="D29" t="s">
        <v>31</v>
      </c>
      <c r="K29" s="18">
        <f t="shared" si="5"/>
        <v>18.683110110305101</v>
      </c>
      <c r="L29" s="209">
        <f t="shared" si="5"/>
        <v>11.712085093303159</v>
      </c>
      <c r="M29" s="209">
        <f t="shared" si="5"/>
        <v>4.4051487936569629</v>
      </c>
      <c r="N29" s="209">
        <f t="shared" si="5"/>
        <v>-7.1255880329292225</v>
      </c>
      <c r="O29" s="209">
        <f t="shared" si="5"/>
        <v>-12.603038351387934</v>
      </c>
      <c r="P29" s="209">
        <f t="shared" si="5"/>
        <v>-20.725034429745214</v>
      </c>
      <c r="Q29" s="209">
        <f t="shared" si="5"/>
        <v>-25.533907210625955</v>
      </c>
      <c r="R29" s="15">
        <f t="shared" si="5"/>
        <v>-27.783648867649568</v>
      </c>
    </row>
    <row r="30" spans="2:21" x14ac:dyDescent="0.15">
      <c r="B30" t="s">
        <v>93</v>
      </c>
      <c r="C30" s="3" t="e">
        <f>-10*LOG10((1-10^(-C29/10)))-3</f>
        <v>#VALUE!</v>
      </c>
      <c r="D30" t="s">
        <v>31</v>
      </c>
      <c r="J30" t="s">
        <v>419</v>
      </c>
      <c r="K30" s="6">
        <f>AVERAGE(K26:K29)</f>
        <v>15.139214016690207</v>
      </c>
      <c r="L30" s="6">
        <f t="shared" ref="L30:R30" si="6">AVERAGE(L26:L29)</f>
        <v>11.390764191296062</v>
      </c>
      <c r="M30" s="6">
        <f t="shared" si="6"/>
        <v>5.6028391184184869</v>
      </c>
      <c r="N30" s="6">
        <f t="shared" si="6"/>
        <v>-6.6825317829380211</v>
      </c>
      <c r="O30" s="6">
        <f t="shared" si="6"/>
        <v>-13.850219986055755</v>
      </c>
      <c r="P30" s="6">
        <f t="shared" si="6"/>
        <v>-20.845916654824237</v>
      </c>
      <c r="Q30" s="6">
        <f t="shared" si="6"/>
        <v>-24.872163494419716</v>
      </c>
      <c r="R30" s="6">
        <f t="shared" si="6"/>
        <v>-27.860970521048344</v>
      </c>
      <c r="T30" t="s">
        <v>604</v>
      </c>
    </row>
    <row r="31" spans="2:21" x14ac:dyDescent="0.15">
      <c r="J31" t="s">
        <v>602</v>
      </c>
      <c r="K31" s="108">
        <f>ROUND(K30,0)</f>
        <v>15</v>
      </c>
      <c r="L31" s="108">
        <f t="shared" ref="L31:R31" si="7">ROUND(L30,0)</f>
        <v>11</v>
      </c>
      <c r="M31" s="108">
        <f t="shared" si="7"/>
        <v>6</v>
      </c>
      <c r="N31" s="108">
        <f t="shared" si="7"/>
        <v>-7</v>
      </c>
      <c r="O31" s="108">
        <f t="shared" si="7"/>
        <v>-14</v>
      </c>
      <c r="P31" s="108">
        <f t="shared" si="7"/>
        <v>-21</v>
      </c>
      <c r="Q31" s="108">
        <f t="shared" si="7"/>
        <v>-25</v>
      </c>
      <c r="R31" s="108">
        <f t="shared" si="7"/>
        <v>-28</v>
      </c>
      <c r="T31" s="5">
        <f t="array" ref="T31">10*LOG10(SUM(10^((K31:R31+L43:S43)/10)))</f>
        <v>0.35598130228587072</v>
      </c>
      <c r="U31" t="s">
        <v>603</v>
      </c>
    </row>
    <row r="32" spans="2:21" x14ac:dyDescent="0.15">
      <c r="B32" t="s">
        <v>83</v>
      </c>
      <c r="C32" s="3" t="e">
        <f>F15+C30</f>
        <v>#VALUE!</v>
      </c>
      <c r="D32" t="s">
        <v>31</v>
      </c>
    </row>
    <row r="33" spans="2:23" x14ac:dyDescent="0.15">
      <c r="B33" t="s">
        <v>95</v>
      </c>
      <c r="C33" s="3">
        <f>F15-2.6</f>
        <v>31.595962836927541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 t="e">
        <f>MIN(F15,IF(C29&lt;3,F16,IF(C29&gt;10,C33,C32)))</f>
        <v>#VALUE!</v>
      </c>
      <c r="D35" s="2" t="s">
        <v>31</v>
      </c>
      <c r="F35" s="5" t="e">
        <f>C35+C36+10*LOG10(4/10)</f>
        <v>#VALUE!</v>
      </c>
      <c r="G35" s="5" t="e">
        <f>C35+C36+10*LOG10(4/2.5)</f>
        <v>#VALUE!</v>
      </c>
    </row>
    <row r="36" spans="2:23" x14ac:dyDescent="0.15">
      <c r="B36" s="2" t="s">
        <v>2705</v>
      </c>
      <c r="C36" s="84">
        <f>W91</f>
        <v>-1.5</v>
      </c>
      <c r="D36" s="2" t="s">
        <v>31</v>
      </c>
      <c r="F36" s="5"/>
      <c r="G36" s="5"/>
    </row>
    <row r="37" spans="2:23" x14ac:dyDescent="0.15">
      <c r="B37" s="2" t="s">
        <v>121</v>
      </c>
      <c r="C37" s="84" t="e">
        <f>C35+C36</f>
        <v>#VALUE!</v>
      </c>
      <c r="D37" s="2" t="s">
        <v>31</v>
      </c>
      <c r="V37" s="3"/>
    </row>
    <row r="38" spans="2:23" x14ac:dyDescent="0.15">
      <c r="B38" s="2"/>
      <c r="C38" s="84"/>
      <c r="D38" s="2"/>
      <c r="V38" s="3"/>
    </row>
    <row r="39" spans="2:23" x14ac:dyDescent="0.15">
      <c r="B39" s="2" t="s">
        <v>35</v>
      </c>
      <c r="C39" t="s">
        <v>36</v>
      </c>
    </row>
    <row r="40" spans="2:23" x14ac:dyDescent="0.15">
      <c r="B40" s="10"/>
      <c r="C40" s="43">
        <v>63</v>
      </c>
      <c r="D40" s="44">
        <v>125</v>
      </c>
      <c r="E40" s="44">
        <v>250</v>
      </c>
      <c r="F40" s="44">
        <v>500</v>
      </c>
      <c r="G40" s="44">
        <v>1000</v>
      </c>
      <c r="H40" s="44">
        <v>2000</v>
      </c>
      <c r="I40" s="44">
        <v>4000</v>
      </c>
      <c r="J40" s="45">
        <v>8000</v>
      </c>
      <c r="L40" s="43">
        <v>63</v>
      </c>
      <c r="M40" s="44">
        <v>125</v>
      </c>
      <c r="N40" s="44">
        <v>250</v>
      </c>
      <c r="O40" s="44">
        <v>500</v>
      </c>
      <c r="P40" s="44">
        <v>1000</v>
      </c>
      <c r="Q40" s="44">
        <v>2000</v>
      </c>
      <c r="R40" s="44">
        <v>4000</v>
      </c>
      <c r="S40" s="45">
        <v>8000</v>
      </c>
      <c r="T40" t="s">
        <v>70</v>
      </c>
      <c r="U40" t="s">
        <v>71</v>
      </c>
    </row>
    <row r="41" spans="2:23" x14ac:dyDescent="0.15">
      <c r="B41" s="74" t="s">
        <v>96</v>
      </c>
      <c r="C41" s="480">
        <f t="shared" ref="C41:J41" si="8">K31</f>
        <v>15</v>
      </c>
      <c r="D41" s="480">
        <f t="shared" si="8"/>
        <v>11</v>
      </c>
      <c r="E41" s="480">
        <f t="shared" si="8"/>
        <v>6</v>
      </c>
      <c r="F41" s="480">
        <f t="shared" si="8"/>
        <v>-7</v>
      </c>
      <c r="G41" s="480">
        <f t="shared" si="8"/>
        <v>-14</v>
      </c>
      <c r="H41" s="480">
        <f t="shared" si="8"/>
        <v>-21</v>
      </c>
      <c r="I41" s="480">
        <f t="shared" si="8"/>
        <v>-25</v>
      </c>
      <c r="J41" s="480">
        <f t="shared" si="8"/>
        <v>-28</v>
      </c>
      <c r="K41" s="87" t="s">
        <v>42</v>
      </c>
      <c r="L41" s="86" t="e">
        <f>$C$35+$C$36+C41</f>
        <v>#VALUE!</v>
      </c>
      <c r="M41" s="86" t="e">
        <f t="shared" ref="M41:S41" si="9">$C$35+$C$36+D41</f>
        <v>#VALUE!</v>
      </c>
      <c r="N41" s="86" t="e">
        <f t="shared" si="9"/>
        <v>#VALUE!</v>
      </c>
      <c r="O41" s="86" t="e">
        <f t="shared" si="9"/>
        <v>#VALUE!</v>
      </c>
      <c r="P41" s="86" t="e">
        <f t="shared" si="9"/>
        <v>#VALUE!</v>
      </c>
      <c r="Q41" s="86" t="e">
        <f t="shared" si="9"/>
        <v>#VALUE!</v>
      </c>
      <c r="R41" s="86" t="e">
        <f t="shared" si="9"/>
        <v>#VALUE!</v>
      </c>
      <c r="S41" s="86" t="e">
        <f t="shared" si="9"/>
        <v>#VALUE!</v>
      </c>
      <c r="T41" s="5" t="e">
        <f t="array" ref="T41">10*LOG10(SUM(10^(L41:S41/10)))</f>
        <v>#VALUE!</v>
      </c>
      <c r="U41" s="5" t="e">
        <f t="array" ref="U41">10*LOG10(SUM(10^((L41:S41+L43:S43)/10)))</f>
        <v>#VALUE!</v>
      </c>
      <c r="W41" t="e">
        <f>IF(ABS(C37-U41)&lt;0.5,"OK","Tarkista laskenta!")</f>
        <v>#VALUE!</v>
      </c>
    </row>
    <row r="42" spans="2:23" x14ac:dyDescent="0.15">
      <c r="C42" s="394"/>
    </row>
    <row r="43" spans="2:23" x14ac:dyDescent="0.15">
      <c r="L43" s="73">
        <v>-26.2</v>
      </c>
      <c r="M43" s="73">
        <v>-16.100000000000001</v>
      </c>
      <c r="N43" s="73">
        <v>-8.6</v>
      </c>
      <c r="O43" s="73">
        <v>-3.2</v>
      </c>
      <c r="P43" s="73">
        <v>0</v>
      </c>
      <c r="Q43" s="73">
        <v>1.2</v>
      </c>
      <c r="R43" s="73">
        <v>1</v>
      </c>
      <c r="S43" s="73">
        <v>-1.1000000000000001</v>
      </c>
    </row>
    <row r="49" spans="3:29" x14ac:dyDescent="0.15">
      <c r="P49" s="4"/>
      <c r="Q49" s="4"/>
    </row>
    <row r="50" spans="3:29" ht="14" thickBot="1" x14ac:dyDescent="0.2">
      <c r="P50" s="80"/>
      <c r="Q50" s="32"/>
    </row>
    <row r="51" spans="3:29" ht="18" thickBot="1" x14ac:dyDescent="0.2">
      <c r="C51" s="1840" t="s">
        <v>427</v>
      </c>
      <c r="D51" s="1841"/>
      <c r="E51" s="1841"/>
      <c r="F51" s="1841"/>
      <c r="G51" s="1842"/>
      <c r="H51" s="1840" t="s">
        <v>428</v>
      </c>
      <c r="I51" s="1841"/>
      <c r="J51" s="1841"/>
      <c r="K51" s="1841"/>
      <c r="L51" s="1842"/>
      <c r="M51" s="1843" t="s">
        <v>429</v>
      </c>
      <c r="N51" s="1815" t="s">
        <v>313</v>
      </c>
      <c r="O51" s="1816"/>
      <c r="P51" s="1816"/>
      <c r="Q51" s="1816"/>
      <c r="R51" s="1816"/>
      <c r="S51" s="1816"/>
      <c r="T51" s="1816"/>
      <c r="U51" s="1846"/>
      <c r="V51" s="1830" t="s">
        <v>430</v>
      </c>
      <c r="W51" s="1810" t="s">
        <v>431</v>
      </c>
    </row>
    <row r="52" spans="3:29" x14ac:dyDescent="0.15">
      <c r="C52" s="1834" t="s">
        <v>439</v>
      </c>
      <c r="D52" s="1836" t="s">
        <v>440</v>
      </c>
      <c r="E52" s="1836" t="s">
        <v>441</v>
      </c>
      <c r="F52" s="1836" t="s">
        <v>442</v>
      </c>
      <c r="G52" s="1838" t="s">
        <v>443</v>
      </c>
      <c r="H52" s="1834" t="s">
        <v>439</v>
      </c>
      <c r="I52" s="1836" t="s">
        <v>440</v>
      </c>
      <c r="J52" s="1836" t="s">
        <v>441</v>
      </c>
      <c r="K52" s="1836" t="s">
        <v>442</v>
      </c>
      <c r="L52" s="1838" t="s">
        <v>443</v>
      </c>
      <c r="M52" s="1844"/>
      <c r="N52" s="1848" t="s">
        <v>61</v>
      </c>
      <c r="O52" s="1809" t="s">
        <v>62</v>
      </c>
      <c r="P52" s="1809" t="s">
        <v>63</v>
      </c>
      <c r="Q52" s="1809" t="s">
        <v>64</v>
      </c>
      <c r="R52" s="1809" t="s">
        <v>65</v>
      </c>
      <c r="S52" s="1809" t="s">
        <v>66</v>
      </c>
      <c r="T52" s="1809" t="s">
        <v>67</v>
      </c>
      <c r="U52" s="1812" t="s">
        <v>68</v>
      </c>
      <c r="V52" s="1831"/>
      <c r="W52" s="1811"/>
      <c r="AA52" t="s">
        <v>2699</v>
      </c>
    </row>
    <row r="53" spans="3:29" ht="14" thickBot="1" x14ac:dyDescent="0.2">
      <c r="C53" s="1835"/>
      <c r="D53" s="1837"/>
      <c r="E53" s="1837"/>
      <c r="F53" s="1837"/>
      <c r="G53" s="1839"/>
      <c r="H53" s="1835"/>
      <c r="I53" s="1837"/>
      <c r="J53" s="1837"/>
      <c r="K53" s="1837"/>
      <c r="L53" s="1839"/>
      <c r="M53" s="1845"/>
      <c r="N53" s="1832"/>
      <c r="O53" s="1847"/>
      <c r="P53" s="1847"/>
      <c r="Q53" s="1847"/>
      <c r="R53" s="1847"/>
      <c r="S53" s="1847"/>
      <c r="T53" s="1847"/>
      <c r="U53" s="1833"/>
      <c r="V53" s="1832"/>
      <c r="W53" s="1833"/>
      <c r="Y53" t="s">
        <v>289</v>
      </c>
      <c r="Z53" t="s">
        <v>2698</v>
      </c>
      <c r="AA53" t="s">
        <v>17</v>
      </c>
    </row>
    <row r="54" spans="3:29" x14ac:dyDescent="0.15">
      <c r="C54" s="1479">
        <v>9.9943000000000008</v>
      </c>
      <c r="D54" s="1480">
        <v>92.736964330593551</v>
      </c>
      <c r="E54" s="1480">
        <v>-47.581956082212365</v>
      </c>
      <c r="F54" s="1480">
        <v>19.724250109392315</v>
      </c>
      <c r="G54" s="1481">
        <v>67.306206191604687</v>
      </c>
      <c r="H54" s="1482">
        <v>9.9943000000000008</v>
      </c>
      <c r="I54" s="1483">
        <v>98.809682297478119</v>
      </c>
      <c r="J54" s="1483">
        <v>-61.228806178399125</v>
      </c>
      <c r="K54" s="1483">
        <v>12.318810791103584</v>
      </c>
      <c r="L54" s="1484">
        <v>73.547616969502698</v>
      </c>
      <c r="M54" s="1485">
        <v>227.6162989988963</v>
      </c>
      <c r="N54" s="1486">
        <v>61.276759378913717</v>
      </c>
      <c r="O54" s="1480">
        <v>59.94355808801793</v>
      </c>
      <c r="P54" s="1480">
        <v>55.6740630534388</v>
      </c>
      <c r="Q54" s="1480">
        <v>43.676348358224942</v>
      </c>
      <c r="R54" s="1480">
        <v>35.175157312522344</v>
      </c>
      <c r="S54" s="1480">
        <v>28.185688548998993</v>
      </c>
      <c r="T54" s="1480">
        <v>24.536890696443692</v>
      </c>
      <c r="U54" s="1481">
        <v>21.913373878452003</v>
      </c>
      <c r="V54" s="1486">
        <v>64.355066882313395</v>
      </c>
      <c r="W54" s="1481">
        <v>49.374731096006954</v>
      </c>
      <c r="Y54" s="3">
        <f>AVERAGE(D54,I54)</f>
        <v>95.773323314035835</v>
      </c>
      <c r="Z54" s="3">
        <f>AVERAGE(G54,L54)</f>
        <v>70.426911580553693</v>
      </c>
      <c r="AA54" s="314">
        <f>(Z54/Y54^2)</f>
        <v>7.6780251181868637E-3</v>
      </c>
      <c r="AB54" s="3">
        <f>W54</f>
        <v>49.374731096006954</v>
      </c>
    </row>
    <row r="55" spans="3:29" x14ac:dyDescent="0.15">
      <c r="C55" s="1487">
        <v>9.9969999999999999</v>
      </c>
      <c r="D55" s="1488">
        <v>85.408147370083441</v>
      </c>
      <c r="E55" s="1488">
        <v>-80.203359629471237</v>
      </c>
      <c r="F55" s="1488">
        <v>82.91457774368584</v>
      </c>
      <c r="G55" s="1489">
        <v>163.11793737315708</v>
      </c>
      <c r="H55" s="1490">
        <v>9.9969999999999999</v>
      </c>
      <c r="I55" s="1491">
        <v>91.078070181651725</v>
      </c>
      <c r="J55" s="1491">
        <v>-85.930489308098515</v>
      </c>
      <c r="K55" s="1491">
        <v>78.922231506530665</v>
      </c>
      <c r="L55" s="1492">
        <v>164.85272081462918</v>
      </c>
      <c r="M55" s="1493">
        <v>226.81025105225081</v>
      </c>
      <c r="N55" s="1494">
        <v>62.792098197535083</v>
      </c>
      <c r="O55" s="1488">
        <v>60.171057383759539</v>
      </c>
      <c r="P55" s="1488">
        <v>55.940957448595611</v>
      </c>
      <c r="Q55" s="1488">
        <v>42.930794896156954</v>
      </c>
      <c r="R55" s="1488">
        <v>34.478182260628806</v>
      </c>
      <c r="S55" s="1488">
        <v>28.141731571446286</v>
      </c>
      <c r="T55" s="1488">
        <v>25.005449622882626</v>
      </c>
      <c r="U55" s="1489">
        <v>22.706790367550532</v>
      </c>
      <c r="V55" s="1494">
        <v>65.261451367572732</v>
      </c>
      <c r="W55" s="1489">
        <v>49.489374154097106</v>
      </c>
      <c r="Y55" s="3">
        <f t="shared" ref="Y55:Y69" si="10">AVERAGE(D55,I55)</f>
        <v>88.243108775867583</v>
      </c>
      <c r="Z55" s="3">
        <f t="shared" ref="Z55:Z69" si="11">AVERAGE(G55,L55)</f>
        <v>163.98532909389314</v>
      </c>
      <c r="AA55" s="314">
        <f t="shared" ref="AA55:AA69" si="12">(Z55/Y55^2)</f>
        <v>2.1059274050657315E-2</v>
      </c>
      <c r="AB55" s="3">
        <f t="shared" ref="AB55:AB69" si="13">W55</f>
        <v>49.489374154097106</v>
      </c>
    </row>
    <row r="56" spans="3:29" x14ac:dyDescent="0.15">
      <c r="C56" s="1487">
        <v>9.9958999999999989</v>
      </c>
      <c r="D56" s="1488">
        <v>76.683107105776557</v>
      </c>
      <c r="E56" s="1488">
        <v>-132.64238595286795</v>
      </c>
      <c r="F56" s="1488">
        <v>135.18458448445915</v>
      </c>
      <c r="G56" s="1489">
        <v>267.82697043732713</v>
      </c>
      <c r="H56" s="1490">
        <v>9.9958999999999989</v>
      </c>
      <c r="I56" s="1491">
        <v>81.744995386636546</v>
      </c>
      <c r="J56" s="1491">
        <v>-135.91608484558526</v>
      </c>
      <c r="K56" s="1491">
        <v>131.89301320887699</v>
      </c>
      <c r="L56" s="1492">
        <v>267.80909805446225</v>
      </c>
      <c r="M56" s="1493">
        <v>225.34712831814045</v>
      </c>
      <c r="N56" s="1494">
        <v>63.399222997874091</v>
      </c>
      <c r="O56" s="1488">
        <v>60.82041313335624</v>
      </c>
      <c r="P56" s="1488">
        <v>55.899587396524652</v>
      </c>
      <c r="Q56" s="1488">
        <v>42.750979420894467</v>
      </c>
      <c r="R56" s="1488">
        <v>33.945649952462936</v>
      </c>
      <c r="S56" s="1488">
        <v>28.590245504696753</v>
      </c>
      <c r="T56" s="1488">
        <v>25.632962060216467</v>
      </c>
      <c r="U56" s="1489">
        <v>22.924775875271756</v>
      </c>
      <c r="V56" s="1494">
        <v>65.805729869687411</v>
      </c>
      <c r="W56" s="1489">
        <v>49.55414099035287</v>
      </c>
      <c r="Y56" s="3">
        <f t="shared" si="10"/>
        <v>79.214051246206552</v>
      </c>
      <c r="Z56" s="3">
        <f t="shared" si="11"/>
        <v>267.81803424589469</v>
      </c>
      <c r="AA56" s="314">
        <f t="shared" si="12"/>
        <v>4.2681076835865292E-2</v>
      </c>
      <c r="AB56" s="3">
        <f t="shared" si="13"/>
        <v>49.55414099035287</v>
      </c>
    </row>
    <row r="57" spans="3:29" x14ac:dyDescent="0.15">
      <c r="C57" s="1487">
        <v>9.9913000000000007</v>
      </c>
      <c r="D57" s="1488">
        <v>66.851710429871645</v>
      </c>
      <c r="E57" s="1488">
        <v>-190.4475943965291</v>
      </c>
      <c r="F57" s="1488">
        <v>185.94056289184326</v>
      </c>
      <c r="G57" s="1489">
        <v>376.38815728837238</v>
      </c>
      <c r="H57" s="1490">
        <v>9.9913000000000007</v>
      </c>
      <c r="I57" s="1491">
        <v>71.67609082413054</v>
      </c>
      <c r="J57" s="1491">
        <v>-191.37990124592113</v>
      </c>
      <c r="K57" s="1491">
        <v>180.26561818453015</v>
      </c>
      <c r="L57" s="1492">
        <v>371.64551943045126</v>
      </c>
      <c r="M57" s="1493">
        <v>222.48499251202432</v>
      </c>
      <c r="N57" s="1494">
        <v>62.871509306369163</v>
      </c>
      <c r="O57" s="1488">
        <v>61.003862032536567</v>
      </c>
      <c r="P57" s="1488">
        <v>56.228024614156247</v>
      </c>
      <c r="Q57" s="1488">
        <v>42.904336586632105</v>
      </c>
      <c r="R57" s="1488">
        <v>33.636404032169224</v>
      </c>
      <c r="S57" s="1488">
        <v>28.916712561961901</v>
      </c>
      <c r="T57" s="1488">
        <v>26.076630511649121</v>
      </c>
      <c r="U57" s="1489">
        <v>23.895669528305014</v>
      </c>
      <c r="V57" s="1494">
        <v>65.610973644221119</v>
      </c>
      <c r="W57" s="1489">
        <v>49.786715378373472</v>
      </c>
      <c r="Y57" s="3">
        <f t="shared" si="10"/>
        <v>69.263900627001092</v>
      </c>
      <c r="Z57" s="3">
        <f t="shared" si="11"/>
        <v>374.01683835941185</v>
      </c>
      <c r="AA57" s="314">
        <f t="shared" si="12"/>
        <v>7.7960975371163047E-2</v>
      </c>
      <c r="AB57" s="3">
        <f t="shared" si="13"/>
        <v>49.786715378373472</v>
      </c>
      <c r="AC57" s="3"/>
    </row>
    <row r="58" spans="3:29" x14ac:dyDescent="0.15">
      <c r="C58" s="1487">
        <v>6.9930000000000003</v>
      </c>
      <c r="D58" s="1488">
        <v>79.267508520228475</v>
      </c>
      <c r="E58" s="1488">
        <v>-34.740991917284184</v>
      </c>
      <c r="F58" s="1488">
        <v>14.780040442988103</v>
      </c>
      <c r="G58" s="1489">
        <v>49.521032360272287</v>
      </c>
      <c r="H58" s="1490">
        <v>6.9930000000000003</v>
      </c>
      <c r="I58" s="1491">
        <v>93.686890793928868</v>
      </c>
      <c r="J58" s="1491">
        <v>-53.567851217070675</v>
      </c>
      <c r="K58" s="1491">
        <v>10.734957679068152</v>
      </c>
      <c r="L58" s="1492">
        <v>64.302808896138828</v>
      </c>
      <c r="M58" s="1493">
        <v>170.12191147183401</v>
      </c>
      <c r="N58" s="1494">
        <v>60.395607229538996</v>
      </c>
      <c r="O58" s="1488">
        <v>57.912405724720379</v>
      </c>
      <c r="P58" s="1488">
        <v>52.927045006505409</v>
      </c>
      <c r="Q58" s="1488">
        <v>40.808990833882255</v>
      </c>
      <c r="R58" s="1488">
        <v>33.119988142851973</v>
      </c>
      <c r="S58" s="1488">
        <v>25.840565035778926</v>
      </c>
      <c r="T58" s="1488">
        <v>21.747879887310127</v>
      </c>
      <c r="U58" s="1489">
        <v>19.282542166488387</v>
      </c>
      <c r="V58" s="1494">
        <v>62.843512714401477</v>
      </c>
      <c r="W58" s="1489">
        <v>47.024640295855804</v>
      </c>
      <c r="Y58" s="3">
        <f t="shared" si="10"/>
        <v>86.477199657078671</v>
      </c>
      <c r="Z58" s="3">
        <f t="shared" si="11"/>
        <v>56.911920628205557</v>
      </c>
      <c r="AA58" s="314">
        <f t="shared" si="12"/>
        <v>7.6102689790380458E-3</v>
      </c>
      <c r="AB58" s="3">
        <f t="shared" si="13"/>
        <v>47.024640295855804</v>
      </c>
      <c r="AC58" s="3">
        <f>AB58-$W$72</f>
        <v>1.216691505336911</v>
      </c>
    </row>
    <row r="59" spans="3:29" x14ac:dyDescent="0.15">
      <c r="C59" s="1487">
        <v>6.9949999999999992</v>
      </c>
      <c r="D59" s="1488">
        <v>70.51905992152524</v>
      </c>
      <c r="E59" s="1488">
        <v>-55.447021112394687</v>
      </c>
      <c r="F59" s="1488">
        <v>56.256196080690124</v>
      </c>
      <c r="G59" s="1489">
        <v>111.70321719308481</v>
      </c>
      <c r="H59" s="1490">
        <v>6.9949999999999992</v>
      </c>
      <c r="I59" s="1491">
        <v>84.076380954643469</v>
      </c>
      <c r="J59" s="1491">
        <v>-68.350970519330275</v>
      </c>
      <c r="K59" s="1491">
        <v>63.198527192870493</v>
      </c>
      <c r="L59" s="1492">
        <v>131.54949771220078</v>
      </c>
      <c r="M59" s="1493">
        <v>152.79226389037495</v>
      </c>
      <c r="N59" s="1494">
        <v>60.950937469259216</v>
      </c>
      <c r="O59" s="1488">
        <v>57.05321385785885</v>
      </c>
      <c r="P59" s="1488">
        <v>52.298995627667864</v>
      </c>
      <c r="Q59" s="1488">
        <v>39.4451541208742</v>
      </c>
      <c r="R59" s="1488">
        <v>32.432763291264443</v>
      </c>
      <c r="S59" s="1488">
        <v>25.40545115890588</v>
      </c>
      <c r="T59" s="1488">
        <v>24.057102161156653</v>
      </c>
      <c r="U59" s="1489">
        <v>18.647665411742175</v>
      </c>
      <c r="V59" s="1494">
        <v>62.862680158363425</v>
      </c>
      <c r="W59" s="1489">
        <v>46.25440157653405</v>
      </c>
      <c r="Y59" s="3">
        <f t="shared" si="10"/>
        <v>77.297720438084355</v>
      </c>
      <c r="Z59" s="3">
        <f t="shared" si="11"/>
        <v>121.62635745264279</v>
      </c>
      <c r="AA59" s="314">
        <f t="shared" si="12"/>
        <v>2.0356088364759866E-2</v>
      </c>
      <c r="AB59" s="3">
        <f t="shared" si="13"/>
        <v>46.25440157653405</v>
      </c>
      <c r="AC59" s="3">
        <f>AB59-$W$72</f>
        <v>0.4464527860151577</v>
      </c>
    </row>
    <row r="60" spans="3:29" x14ac:dyDescent="0.15">
      <c r="C60" s="1487">
        <v>6.9939999999999998</v>
      </c>
      <c r="D60" s="1488">
        <v>60.489467793608135</v>
      </c>
      <c r="E60" s="1488">
        <v>-84.558066754258007</v>
      </c>
      <c r="F60" s="1488">
        <v>84.620042591546124</v>
      </c>
      <c r="G60" s="1489">
        <v>169.17810934580413</v>
      </c>
      <c r="H60" s="1490">
        <v>6.9939999999999998</v>
      </c>
      <c r="I60" s="1491">
        <v>68.197113315319712</v>
      </c>
      <c r="J60" s="1491">
        <v>-97.537866680210513</v>
      </c>
      <c r="K60" s="1491">
        <v>95.761815860479871</v>
      </c>
      <c r="L60" s="1492">
        <v>193.29968254069036</v>
      </c>
      <c r="M60" s="1493">
        <v>134.38452078171318</v>
      </c>
      <c r="N60" s="1494">
        <v>59.671331474800894</v>
      </c>
      <c r="O60" s="1488">
        <v>56.221610165799149</v>
      </c>
      <c r="P60" s="1488">
        <v>51.232918553222973</v>
      </c>
      <c r="Q60" s="1488">
        <v>38.549811730233344</v>
      </c>
      <c r="R60" s="1488">
        <v>30.890456391311449</v>
      </c>
      <c r="S60" s="1488">
        <v>24.229784641043828</v>
      </c>
      <c r="T60" s="1488">
        <v>20.476008865620368</v>
      </c>
      <c r="U60" s="1489">
        <v>17.945414624259929</v>
      </c>
      <c r="V60" s="1494">
        <v>61.725209038973148</v>
      </c>
      <c r="W60" s="1489">
        <v>45.154815379323054</v>
      </c>
      <c r="Y60" s="3">
        <f t="shared" si="10"/>
        <v>64.34329055446392</v>
      </c>
      <c r="Z60" s="3">
        <f t="shared" si="11"/>
        <v>181.23889594324726</v>
      </c>
      <c r="AA60" s="314">
        <f t="shared" si="12"/>
        <v>4.3776886807526484E-2</v>
      </c>
      <c r="AB60" s="3">
        <f t="shared" si="13"/>
        <v>45.154815379323054</v>
      </c>
      <c r="AC60" s="3">
        <f>AB60-$W$72</f>
        <v>-0.65313341119583868</v>
      </c>
    </row>
    <row r="61" spans="3:29" x14ac:dyDescent="0.15">
      <c r="C61" s="1487">
        <v>6.9930000000000003</v>
      </c>
      <c r="D61" s="1488">
        <v>50.536143429560525</v>
      </c>
      <c r="E61" s="1488">
        <v>-111.15744722903051</v>
      </c>
      <c r="F61" s="1488">
        <v>106.73938912552676</v>
      </c>
      <c r="G61" s="1489">
        <v>217.89683635455725</v>
      </c>
      <c r="H61" s="1490">
        <v>6.9930000000000003</v>
      </c>
      <c r="I61" s="1491">
        <v>50.72568453002863</v>
      </c>
      <c r="J61" s="1491">
        <v>-124.33509736034819</v>
      </c>
      <c r="K61" s="1491">
        <v>118.10244488420859</v>
      </c>
      <c r="L61" s="1492">
        <v>242.43754224455677</v>
      </c>
      <c r="M61" s="1493">
        <v>116.5378865202901</v>
      </c>
      <c r="N61" s="1494">
        <v>58.616226120500976</v>
      </c>
      <c r="O61" s="1488">
        <v>55.621648007661634</v>
      </c>
      <c r="P61" s="1488">
        <v>50.418263583841672</v>
      </c>
      <c r="Q61" s="1488">
        <v>37.228208698141728</v>
      </c>
      <c r="R61" s="1488">
        <v>29.040253287886628</v>
      </c>
      <c r="S61" s="1488">
        <v>23.91791711895797</v>
      </c>
      <c r="T61" s="1488">
        <v>19.97295313924463</v>
      </c>
      <c r="U61" s="1489">
        <v>17.495850244567929</v>
      </c>
      <c r="V61" s="1494">
        <v>60.822955216989996</v>
      </c>
      <c r="W61" s="1489">
        <v>44.30843449976468</v>
      </c>
      <c r="Y61" s="3">
        <f t="shared" si="10"/>
        <v>50.630913979794578</v>
      </c>
      <c r="Z61" s="3">
        <f t="shared" si="11"/>
        <v>230.16718929955701</v>
      </c>
      <c r="AA61" s="314">
        <f t="shared" si="12"/>
        <v>8.9786673107239187E-2</v>
      </c>
      <c r="AB61" s="3">
        <f t="shared" si="13"/>
        <v>44.30843449976468</v>
      </c>
      <c r="AC61" s="3">
        <f>AB61-$W$72</f>
        <v>-1.4995142907542132</v>
      </c>
    </row>
    <row r="62" spans="3:29" x14ac:dyDescent="0.15">
      <c r="C62" s="1487">
        <v>5.9954000000000001</v>
      </c>
      <c r="D62" s="1488">
        <v>66.661987290810899</v>
      </c>
      <c r="E62" s="1488">
        <v>-24.587092529593175</v>
      </c>
      <c r="F62" s="1488">
        <v>10.860816137416712</v>
      </c>
      <c r="G62" s="1489">
        <v>35.447908667009891</v>
      </c>
      <c r="H62" s="1490">
        <v>5.9954000000000001</v>
      </c>
      <c r="I62" s="1491">
        <v>77.905715438534216</v>
      </c>
      <c r="J62" s="1491">
        <v>-37.667511135693474</v>
      </c>
      <c r="K62" s="1491">
        <v>7.7907594965927212</v>
      </c>
      <c r="L62" s="1492">
        <v>45.458270632286187</v>
      </c>
      <c r="M62" s="1493">
        <v>107.71468608225588</v>
      </c>
      <c r="N62" s="1494">
        <v>57.616181162318121</v>
      </c>
      <c r="O62" s="1488">
        <v>54.982189821666765</v>
      </c>
      <c r="P62" s="1488">
        <v>49.045504936898453</v>
      </c>
      <c r="Q62" s="1488">
        <v>37.163026547887505</v>
      </c>
      <c r="R62" s="1488">
        <v>29.112961822829281</v>
      </c>
      <c r="S62" s="1488">
        <v>22.320120165908548</v>
      </c>
      <c r="T62" s="1488">
        <v>16.958637039023564</v>
      </c>
      <c r="U62" s="1489">
        <v>13.726545057870943</v>
      </c>
      <c r="V62" s="1494">
        <v>59.908065148741834</v>
      </c>
      <c r="W62" s="1489">
        <v>43.376751224041797</v>
      </c>
      <c r="Y62" s="3">
        <f t="shared" si="10"/>
        <v>72.283851364672557</v>
      </c>
      <c r="Z62" s="3">
        <f t="shared" si="11"/>
        <v>40.453089649648035</v>
      </c>
      <c r="AA62" s="314">
        <f t="shared" si="12"/>
        <v>7.7422845456261349E-3</v>
      </c>
      <c r="AB62" s="3">
        <f t="shared" si="13"/>
        <v>43.376751224041797</v>
      </c>
      <c r="AC62" s="3">
        <f>AB62-$W$73</f>
        <v>1.1148459269631843</v>
      </c>
    </row>
    <row r="63" spans="3:29" x14ac:dyDescent="0.15">
      <c r="C63" s="1487">
        <v>5.9960000000000013</v>
      </c>
      <c r="D63" s="1488">
        <v>60.306760963215211</v>
      </c>
      <c r="E63" s="1488">
        <v>-39.899770956034025</v>
      </c>
      <c r="F63" s="1488">
        <v>39.454779478653833</v>
      </c>
      <c r="G63" s="1489">
        <v>79.354550434687866</v>
      </c>
      <c r="H63" s="1490">
        <v>5.9960000000000013</v>
      </c>
      <c r="I63" s="1491">
        <v>70.259162660060099</v>
      </c>
      <c r="J63" s="1491">
        <v>-48.368473128445068</v>
      </c>
      <c r="K63" s="1491">
        <v>45.084079992657706</v>
      </c>
      <c r="L63" s="1492">
        <v>93.452553121102767</v>
      </c>
      <c r="M63" s="1493">
        <v>97.482866862093942</v>
      </c>
      <c r="N63" s="1494">
        <v>56.98179137160799</v>
      </c>
      <c r="O63" s="1488">
        <v>54.18830898869934</v>
      </c>
      <c r="P63" s="1488">
        <v>48.189317675363341</v>
      </c>
      <c r="Q63" s="1488">
        <v>35.933999653067382</v>
      </c>
      <c r="R63" s="1488">
        <v>28.311111010901211</v>
      </c>
      <c r="S63" s="1488">
        <v>21.107716919524421</v>
      </c>
      <c r="T63" s="1488">
        <v>16.732535054892193</v>
      </c>
      <c r="U63" s="1489">
        <v>12.432150975986499</v>
      </c>
      <c r="V63" s="1494">
        <v>59.2018051558967</v>
      </c>
      <c r="W63" s="1489">
        <v>42.452032543265943</v>
      </c>
      <c r="Y63" s="3">
        <f t="shared" si="10"/>
        <v>65.282961811637648</v>
      </c>
      <c r="Z63" s="3">
        <f t="shared" si="11"/>
        <v>86.403551777895316</v>
      </c>
      <c r="AA63" s="314">
        <f t="shared" si="12"/>
        <v>2.0273647732094342E-2</v>
      </c>
      <c r="AB63" s="3">
        <f t="shared" si="13"/>
        <v>42.452032543265943</v>
      </c>
      <c r="AC63" s="3">
        <f>AB63-$W$73</f>
        <v>0.19012724618733046</v>
      </c>
    </row>
    <row r="64" spans="3:29" x14ac:dyDescent="0.15">
      <c r="C64" s="1487">
        <v>5.9960000000000013</v>
      </c>
      <c r="D64" s="1488">
        <v>50.557276181169627</v>
      </c>
      <c r="E64" s="1488">
        <v>-59.565700040029412</v>
      </c>
      <c r="F64" s="1488">
        <v>59.213262668352485</v>
      </c>
      <c r="G64" s="1489">
        <v>118.7789627083819</v>
      </c>
      <c r="H64" s="1490">
        <v>5.9960000000000013</v>
      </c>
      <c r="I64" s="1491">
        <v>57.738914271820875</v>
      </c>
      <c r="J64" s="1491">
        <v>-69.291546793891101</v>
      </c>
      <c r="K64" s="1491">
        <v>68.769781760469158</v>
      </c>
      <c r="L64" s="1492">
        <v>138.06132855436027</v>
      </c>
      <c r="M64" s="1493">
        <v>86.514824007603764</v>
      </c>
      <c r="N64" s="1494">
        <v>56.855265605312091</v>
      </c>
      <c r="O64" s="1488">
        <v>53.75456267086836</v>
      </c>
      <c r="P64" s="1488">
        <v>47.443812275923193</v>
      </c>
      <c r="Q64" s="1488">
        <v>35.476992280070085</v>
      </c>
      <c r="R64" s="1488">
        <v>30.61820731896432</v>
      </c>
      <c r="S64" s="1488">
        <v>22.04765385141128</v>
      </c>
      <c r="T64" s="1488">
        <v>16.317573759724542</v>
      </c>
      <c r="U64" s="1489">
        <v>12.239441476155513</v>
      </c>
      <c r="V64" s="1494">
        <v>58.935175640548387</v>
      </c>
      <c r="W64" s="1489">
        <v>41.936959298349102</v>
      </c>
      <c r="Y64" s="3">
        <f t="shared" si="10"/>
        <v>54.148095226495251</v>
      </c>
      <c r="Z64" s="3">
        <f t="shared" si="11"/>
        <v>128.4201456313711</v>
      </c>
      <c r="AA64" s="314">
        <f t="shared" si="12"/>
        <v>4.3799261716828373E-2</v>
      </c>
      <c r="AB64" s="3">
        <f t="shared" si="13"/>
        <v>41.936959298349102</v>
      </c>
      <c r="AC64" s="3">
        <f>AB64-$W$73</f>
        <v>-0.32494599872951113</v>
      </c>
    </row>
    <row r="65" spans="3:29" x14ac:dyDescent="0.15">
      <c r="C65" s="1487">
        <v>5.9949999999999992</v>
      </c>
      <c r="D65" s="1488">
        <v>38.438428037457328</v>
      </c>
      <c r="E65" s="1488">
        <v>-79.025350539441675</v>
      </c>
      <c r="F65" s="1488">
        <v>75.399292437475026</v>
      </c>
      <c r="G65" s="1489">
        <v>154.42464297691672</v>
      </c>
      <c r="H65" s="1490">
        <v>5.9949999999999992</v>
      </c>
      <c r="I65" s="1491">
        <v>43.858391344977704</v>
      </c>
      <c r="J65" s="1491">
        <v>-89.324941410559703</v>
      </c>
      <c r="K65" s="1491">
        <v>84.64758313821217</v>
      </c>
      <c r="L65" s="1492">
        <v>173.97252454877187</v>
      </c>
      <c r="M65" s="1493">
        <v>76.675106845732017</v>
      </c>
      <c r="N65" s="1494">
        <v>55.745796636600659</v>
      </c>
      <c r="O65" s="1488">
        <v>53.662275954652785</v>
      </c>
      <c r="P65" s="1488">
        <v>46.33018982092716</v>
      </c>
      <c r="Q65" s="1488">
        <v>33.672679868242874</v>
      </c>
      <c r="R65" s="1488">
        <v>26.194873199733625</v>
      </c>
      <c r="S65" s="1488">
        <v>20.596777197351074</v>
      </c>
      <c r="T65" s="1488">
        <v>15.675728393443185</v>
      </c>
      <c r="U65" s="1489">
        <v>11.979404821204184</v>
      </c>
      <c r="V65" s="1494">
        <v>58.15403819851602</v>
      </c>
      <c r="W65" s="1489">
        <v>40.922883343440034</v>
      </c>
      <c r="Y65" s="3">
        <f t="shared" si="10"/>
        <v>41.148409691217516</v>
      </c>
      <c r="Z65" s="3">
        <f t="shared" si="11"/>
        <v>164.19858376284429</v>
      </c>
      <c r="AA65" s="314">
        <f t="shared" si="12"/>
        <v>9.6975783373867405E-2</v>
      </c>
      <c r="AB65" s="3">
        <f t="shared" si="13"/>
        <v>40.922883343440034</v>
      </c>
      <c r="AC65" s="3">
        <f>AB65-$W$73</f>
        <v>-1.3390219536385786</v>
      </c>
    </row>
    <row r="66" spans="3:29" x14ac:dyDescent="0.15">
      <c r="C66" s="1487">
        <v>3.996</v>
      </c>
      <c r="D66" s="1488">
        <v>39.760922688497821</v>
      </c>
      <c r="E66" s="1488">
        <v>-8.7516756891165866</v>
      </c>
      <c r="F66" s="1488">
        <v>4.1968578718141334</v>
      </c>
      <c r="G66" s="1489">
        <v>12.94853356093072</v>
      </c>
      <c r="H66" s="1490">
        <v>3.996</v>
      </c>
      <c r="I66" s="1491">
        <v>47.871827008256481</v>
      </c>
      <c r="J66" s="1491">
        <v>-13.856749274862091</v>
      </c>
      <c r="K66" s="1491">
        <v>3.2798584199663265</v>
      </c>
      <c r="L66" s="1492">
        <v>17.13660769482842</v>
      </c>
      <c r="M66" s="1493">
        <v>35.623106886576402</v>
      </c>
      <c r="N66" s="1494">
        <v>51.832963173122828</v>
      </c>
      <c r="O66" s="1488">
        <v>45.369512677228592</v>
      </c>
      <c r="P66" s="1488">
        <v>38.761910876663087</v>
      </c>
      <c r="Q66" s="1488">
        <v>25.934114678548919</v>
      </c>
      <c r="R66" s="1488">
        <v>19.549831047813747</v>
      </c>
      <c r="S66" s="1488">
        <v>11.451973422235378</v>
      </c>
      <c r="T66" s="1488">
        <v>7.1520128446334095</v>
      </c>
      <c r="U66" s="1489">
        <v>3.744376093229826</v>
      </c>
      <c r="V66" s="1494">
        <v>52.899538874650801</v>
      </c>
      <c r="W66" s="1489">
        <v>33.750642023560445</v>
      </c>
      <c r="Y66" s="3">
        <f t="shared" si="10"/>
        <v>43.816374848377151</v>
      </c>
      <c r="Z66" s="3">
        <f t="shared" si="11"/>
        <v>15.04257062787957</v>
      </c>
      <c r="AA66" s="314">
        <f t="shared" si="12"/>
        <v>7.8351835095548279E-3</v>
      </c>
      <c r="AB66" s="3">
        <f t="shared" si="13"/>
        <v>33.750642023560445</v>
      </c>
      <c r="AC66" s="3">
        <f>AB66-$W$74</f>
        <v>0.8256953897465138</v>
      </c>
    </row>
    <row r="67" spans="3:29" x14ac:dyDescent="0.15">
      <c r="C67" s="1487">
        <v>3.996</v>
      </c>
      <c r="D67" s="1488">
        <v>36.523986261180021</v>
      </c>
      <c r="E67" s="1488">
        <v>-15.307010075930037</v>
      </c>
      <c r="F67" s="1488">
        <v>14.404343352352328</v>
      </c>
      <c r="G67" s="1489">
        <v>29.711353428282365</v>
      </c>
      <c r="H67" s="1490">
        <v>3.996</v>
      </c>
      <c r="I67" s="1491">
        <v>43.516843559237529</v>
      </c>
      <c r="J67" s="1491">
        <v>-18.473520442886667</v>
      </c>
      <c r="K67" s="1491">
        <v>18.254758488885329</v>
      </c>
      <c r="L67" s="1492">
        <v>36.728278931771996</v>
      </c>
      <c r="M67" s="1493">
        <v>33.203511348574423</v>
      </c>
      <c r="N67" s="1494">
        <v>52.267518352519133</v>
      </c>
      <c r="O67" s="1488">
        <v>44.723673673652186</v>
      </c>
      <c r="P67" s="1488">
        <v>36.804871041999114</v>
      </c>
      <c r="Q67" s="1488">
        <v>26.795163880215025</v>
      </c>
      <c r="R67" s="1488">
        <v>23.208859116310222</v>
      </c>
      <c r="S67" s="1488">
        <v>13.575098066992382</v>
      </c>
      <c r="T67" s="1488">
        <v>8.0026780652342495</v>
      </c>
      <c r="U67" s="1489">
        <v>5.5035704824450837</v>
      </c>
      <c r="V67" s="1494">
        <v>53.090851030298523</v>
      </c>
      <c r="W67" s="1489">
        <v>33.171207878116931</v>
      </c>
      <c r="Y67" s="3">
        <f t="shared" si="10"/>
        <v>40.020414910208771</v>
      </c>
      <c r="Z67" s="3">
        <f t="shared" si="11"/>
        <v>33.219816180027181</v>
      </c>
      <c r="AA67" s="314">
        <f t="shared" si="12"/>
        <v>2.074120821467363E-2</v>
      </c>
      <c r="AB67" s="3">
        <f t="shared" si="13"/>
        <v>33.171207878116931</v>
      </c>
      <c r="AC67" s="3">
        <f t="shared" ref="AC67:AC69" si="14">AB67-$W$74</f>
        <v>0.24626124430299967</v>
      </c>
    </row>
    <row r="68" spans="3:29" x14ac:dyDescent="0.15">
      <c r="C68" s="1487">
        <v>3.996</v>
      </c>
      <c r="D68" s="1488">
        <v>31.504143674519401</v>
      </c>
      <c r="E68" s="1488">
        <v>-23.27777308010895</v>
      </c>
      <c r="F68" s="1488">
        <v>22.218796799645389</v>
      </c>
      <c r="G68" s="1489">
        <v>45.49656987975434</v>
      </c>
      <c r="H68" s="1490">
        <v>3.996</v>
      </c>
      <c r="I68" s="1491">
        <v>36.675279273713343</v>
      </c>
      <c r="J68" s="1491">
        <v>-27.194349208142565</v>
      </c>
      <c r="K68" s="1491">
        <v>27.576565817200461</v>
      </c>
      <c r="L68" s="1492">
        <v>54.770915025343022</v>
      </c>
      <c r="M68" s="1493">
        <v>30.579007713431782</v>
      </c>
      <c r="N68" s="1494">
        <v>51.31668581289204</v>
      </c>
      <c r="O68" s="1488">
        <v>44.636417600921064</v>
      </c>
      <c r="P68" s="1488">
        <v>37.503641103964355</v>
      </c>
      <c r="Q68" s="1488">
        <v>24.450514048609101</v>
      </c>
      <c r="R68" s="1488">
        <v>16.932373021764342</v>
      </c>
      <c r="S68" s="1488">
        <v>11.708479507008443</v>
      </c>
      <c r="T68" s="1488">
        <v>7.6225254654009014</v>
      </c>
      <c r="U68" s="1489">
        <v>5.5841778243247662</v>
      </c>
      <c r="V68" s="1494">
        <v>52.316710826074512</v>
      </c>
      <c r="W68" s="1489">
        <v>32.710798038784162</v>
      </c>
      <c r="Y68" s="3">
        <f t="shared" si="10"/>
        <v>34.08971147411637</v>
      </c>
      <c r="Z68" s="3">
        <f t="shared" si="11"/>
        <v>50.133742452548681</v>
      </c>
      <c r="AA68" s="314">
        <f t="shared" si="12"/>
        <v>4.3140331166919822E-2</v>
      </c>
      <c r="AB68" s="3">
        <f t="shared" si="13"/>
        <v>32.710798038784162</v>
      </c>
      <c r="AC68" s="3">
        <f t="shared" si="14"/>
        <v>-0.21414859502976924</v>
      </c>
    </row>
    <row r="69" spans="3:29" ht="14" thickBot="1" x14ac:dyDescent="0.2">
      <c r="C69" s="1495">
        <v>3.9950000000000001</v>
      </c>
      <c r="D69" s="1496">
        <v>24.718489330743246</v>
      </c>
      <c r="E69" s="1496">
        <v>-31.633121808796027</v>
      </c>
      <c r="F69" s="1496">
        <v>29.336780123978677</v>
      </c>
      <c r="G69" s="1497">
        <v>60.969901932774704</v>
      </c>
      <c r="H69" s="1498">
        <v>3.9950000000000001</v>
      </c>
      <c r="I69" s="1499">
        <v>29.040082914131659</v>
      </c>
      <c r="J69" s="1499">
        <v>-35.832140723153842</v>
      </c>
      <c r="K69" s="1499">
        <v>33.715248952908468</v>
      </c>
      <c r="L69" s="1500">
        <v>69.547389676062309</v>
      </c>
      <c r="M69" s="1501">
        <v>27.990643567113821</v>
      </c>
      <c r="N69" s="1502">
        <v>50.890769762529231</v>
      </c>
      <c r="O69" s="1496">
        <v>43.647654065583808</v>
      </c>
      <c r="P69" s="1496">
        <v>35.671804381626991</v>
      </c>
      <c r="Q69" s="1496">
        <v>25.701660338636504</v>
      </c>
      <c r="R69" s="1496">
        <v>19.133960046199405</v>
      </c>
      <c r="S69" s="1496">
        <v>11.706845383746483</v>
      </c>
      <c r="T69" s="1496">
        <v>6.6727864962459291</v>
      </c>
      <c r="U69" s="1497">
        <v>5.4783419017886796</v>
      </c>
      <c r="V69" s="1502">
        <v>51.763662641570455</v>
      </c>
      <c r="W69" s="1497">
        <v>31.847966293203463</v>
      </c>
      <c r="Y69" s="3">
        <f t="shared" si="10"/>
        <v>26.879286122437453</v>
      </c>
      <c r="Z69" s="3">
        <f t="shared" si="11"/>
        <v>65.258645804418506</v>
      </c>
      <c r="AA69" s="314">
        <f t="shared" si="12"/>
        <v>9.0323882452608001E-2</v>
      </c>
      <c r="AB69" s="3">
        <f t="shared" si="13"/>
        <v>31.847966293203463</v>
      </c>
      <c r="AC69" s="3">
        <f t="shared" si="14"/>
        <v>-1.0769803406104685</v>
      </c>
    </row>
    <row r="71" spans="3:29" x14ac:dyDescent="0.15">
      <c r="M71" s="1477">
        <v>10</v>
      </c>
      <c r="N71" s="994">
        <f t="array" ref="N71">10*LOG10(AVERAGE(10^(N54:N57/10)))</f>
        <v>62.653029259735398</v>
      </c>
      <c r="O71" s="994">
        <f t="array" ref="O71">10*LOG10(AVERAGE(10^(O54:O57/10)))</f>
        <v>60.506924487575631</v>
      </c>
      <c r="P71" s="994">
        <f t="array" ref="P71">10*LOG10(AVERAGE(10^(P54:P57/10)))</f>
        <v>55.940141049269116</v>
      </c>
      <c r="Q71" s="994">
        <f t="array" ref="Q71">10*LOG10(AVERAGE(10^(Q54:Q57/10)))</f>
        <v>43.080884046207942</v>
      </c>
      <c r="R71" s="994">
        <f t="array" ref="R71">10*LOG10(AVERAGE(10^(R54:R57/10)))</f>
        <v>34.34867450894226</v>
      </c>
      <c r="S71" s="994">
        <f t="array" ref="S71">10*LOG10(AVERAGE(10^(S54:S57/10)))</f>
        <v>28.470261744240361</v>
      </c>
      <c r="T71" s="994">
        <f t="array" ref="T71">10*LOG10(AVERAGE(10^(T54:T57/10)))</f>
        <v>25.352642470228304</v>
      </c>
      <c r="U71" s="994">
        <f t="array" ref="U71">10*LOG10(AVERAGE(10^(U54:U57/10)))</f>
        <v>22.918047458230912</v>
      </c>
      <c r="V71" s="994">
        <f t="array" ref="V71">10*LOG10(AVERAGE(10^(V54:V57/10)))</f>
        <v>65.292781728430796</v>
      </c>
      <c r="W71" s="994">
        <f t="array" ref="W71">10*LOG10(AVERAGE(10^(W54:W57/10)))</f>
        <v>49.553859374815694</v>
      </c>
    </row>
    <row r="72" spans="3:29" x14ac:dyDescent="0.15">
      <c r="C72" s="1476"/>
      <c r="M72" s="1477">
        <v>7</v>
      </c>
      <c r="N72" s="994">
        <f t="array" ref="N72">10*LOG10(AVERAGE(10^(N58:N61/10)))</f>
        <v>59.993931557001488</v>
      </c>
      <c r="O72" s="994">
        <f t="array" ref="O72">10*LOG10(AVERAGE(10^(O58:O61/10)))</f>
        <v>56.788747085959415</v>
      </c>
      <c r="P72" s="994">
        <f t="array" ref="P72">10*LOG10(AVERAGE(10^(P58:P61/10)))</f>
        <v>51.825046379537056</v>
      </c>
      <c r="Q72" s="994">
        <f t="array" ref="Q72">10*LOG10(AVERAGE(10^(Q58:Q61/10)))</f>
        <v>39.202749376109381</v>
      </c>
      <c r="R72" s="994">
        <f t="array" ref="R72">10*LOG10(AVERAGE(10^(R58:R61/10)))</f>
        <v>31.637135893529869</v>
      </c>
      <c r="S72" s="994">
        <f t="array" ref="S72">10*LOG10(AVERAGE(10^(S58:S61/10)))</f>
        <v>24.921497417494649</v>
      </c>
      <c r="T72" s="994">
        <f t="array" ref="T72">10*LOG10(AVERAGE(10^(T58:T61/10)))</f>
        <v>21.868338915937663</v>
      </c>
      <c r="U72" s="994">
        <f t="array" ref="U72">10*LOG10(AVERAGE(10^(U58:U61/10)))</f>
        <v>18.396406537435915</v>
      </c>
      <c r="V72" s="994">
        <f t="array" ref="V72">10*LOG10(AVERAGE(10^(V58:V61/10)))</f>
        <v>62.144572960121138</v>
      </c>
      <c r="W72" s="994">
        <f t="array" ref="W72">10*LOG10(AVERAGE(10^(W58:W61/10)))</f>
        <v>45.807948790518893</v>
      </c>
    </row>
    <row r="73" spans="3:29" x14ac:dyDescent="0.15">
      <c r="C73" s="1476"/>
      <c r="M73" s="1477">
        <v>6</v>
      </c>
      <c r="N73" s="994">
        <f t="array" ref="N73">10*LOG10(AVERAGE(10^(N62:N65/10)))</f>
        <v>56.850498602132042</v>
      </c>
      <c r="O73" s="994">
        <f t="array" ref="O73">10*LOG10(AVERAGE(10^(O62:O65/10)))</f>
        <v>54.179013560759245</v>
      </c>
      <c r="P73" s="994">
        <f t="array" ref="P73">10*LOG10(AVERAGE(10^(P62:P65/10)))</f>
        <v>47.864733713624013</v>
      </c>
      <c r="Q73" s="994">
        <f t="array" ref="Q73">10*LOG10(AVERAGE(10^(Q62:Q65/10)))</f>
        <v>35.735540941273015</v>
      </c>
      <c r="R73" s="994">
        <f t="array" ref="R73">10*LOG10(AVERAGE(10^(R62:R65/10)))</f>
        <v>28.84006146710599</v>
      </c>
      <c r="S73" s="994">
        <f t="array" ref="S73">10*LOG10(AVERAGE(10^(S62:S65/10)))</f>
        <v>21.573322111126462</v>
      </c>
      <c r="T73" s="994">
        <f t="array" ref="T73">10*LOG10(AVERAGE(10^(T62:T65/10)))</f>
        <v>16.447985309194316</v>
      </c>
      <c r="U73" s="994">
        <f t="array" ref="U73">10*LOG10(AVERAGE(10^(U62:U65/10)))</f>
        <v>12.649026250202555</v>
      </c>
      <c r="V73" s="994">
        <f t="array" ref="V73">10*LOG10(AVERAGE(10^(V62:V65/10)))</f>
        <v>59.094839876503293</v>
      </c>
      <c r="W73" s="994">
        <f t="array" ref="W73">10*LOG10(AVERAGE(10^(W62:W65/10)))</f>
        <v>42.261905297078613</v>
      </c>
    </row>
    <row r="74" spans="3:29" x14ac:dyDescent="0.15">
      <c r="C74" s="1476"/>
      <c r="M74" s="1477">
        <v>4</v>
      </c>
      <c r="N74" s="994">
        <f t="array" ref="N74">10*LOG10(AVERAGE(10^(N66:N69/10)))</f>
        <v>51.608056744119033</v>
      </c>
      <c r="O74" s="994">
        <f t="array" ref="O74">10*LOG10(AVERAGE(10^(O66:O69/10)))</f>
        <v>44.63703172711709</v>
      </c>
      <c r="P74" s="994">
        <f t="array" ref="P74">10*LOG10(AVERAGE(10^(P66:P69/10)))</f>
        <v>37.330095427470894</v>
      </c>
      <c r="Q74" s="994">
        <f t="array" ref="Q74">10*LOG10(AVERAGE(10^(Q66:Q69/10)))</f>
        <v>25.799358600884709</v>
      </c>
      <c r="R74" s="994">
        <f t="array" ref="R74">10*LOG10(AVERAGE(10^(R66:R69/10)))</f>
        <v>20.321908282425998</v>
      </c>
      <c r="S74" s="994">
        <f t="array" ref="S74">10*LOG10(AVERAGE(10^(S66:S69/10)))</f>
        <v>12.199912204068715</v>
      </c>
      <c r="T74" s="994">
        <f t="array" ref="T74">10*LOG10(AVERAGE(10^(T66:T69/10)))</f>
        <v>7.3910394231879746</v>
      </c>
      <c r="U74" s="994">
        <f t="array" ref="U74">10*LOG10(AVERAGE(10^(U66:U69/10)))</f>
        <v>5.141297766164362</v>
      </c>
      <c r="V74" s="994">
        <f t="array" ref="V74">10*LOG10(AVERAGE(10^(V66:V69/10)))</f>
        <v>52.548391866221692</v>
      </c>
      <c r="W74" s="994" cm="1">
        <f t="array" ref="W74">10*LOG10(AVERAGE(10^(W66:W69/10)))</f>
        <v>32.924946633813931</v>
      </c>
    </row>
    <row r="75" spans="3:29" x14ac:dyDescent="0.15">
      <c r="C75" s="1476"/>
    </row>
    <row r="77" spans="3:29" x14ac:dyDescent="0.15">
      <c r="V77" t="s">
        <v>2702</v>
      </c>
    </row>
    <row r="78" spans="3:29" x14ac:dyDescent="0.15">
      <c r="V78">
        <f t="array" ref="V78:W78">LINEST(AC58:AC69,LN(AA58:AA69))</f>
        <v>-0.94214030490828837</v>
      </c>
      <c r="W78">
        <v>-3.4496606767773428</v>
      </c>
    </row>
    <row r="80" spans="3:29" x14ac:dyDescent="0.15">
      <c r="V80" t="s">
        <v>13</v>
      </c>
      <c r="W80" s="110">
        <f>AVERAGE('Laskenta tulopuoli 53mini'!J3,'Laskenta poistopuoli 53mini'!J3)</f>
        <v>9.7222222222222214</v>
      </c>
    </row>
    <row r="81" spans="22:24" x14ac:dyDescent="0.15">
      <c r="V81" t="s">
        <v>14</v>
      </c>
      <c r="W81">
        <f>AVERAGE('Laskenta tulopuoli 53mini'!L3,'Laskenta poistopuoli 53mini'!L3)</f>
        <v>90</v>
      </c>
    </row>
    <row r="82" spans="22:24" x14ac:dyDescent="0.15">
      <c r="V82" t="s">
        <v>17</v>
      </c>
      <c r="W82" s="213">
        <f>W81/W80^2</f>
        <v>0.95216326530612261</v>
      </c>
    </row>
    <row r="84" spans="22:24" x14ac:dyDescent="0.15">
      <c r="V84" t="s">
        <v>82</v>
      </c>
      <c r="W84" s="314">
        <f>V78*LN(W82)+W78</f>
        <v>-3.4034781256600581</v>
      </c>
      <c r="X84" t="s">
        <v>31</v>
      </c>
    </row>
    <row r="86" spans="22:24" x14ac:dyDescent="0.15">
      <c r="V86" t="s">
        <v>2704</v>
      </c>
      <c r="W86">
        <v>0</v>
      </c>
    </row>
    <row r="87" spans="22:24" x14ac:dyDescent="0.15">
      <c r="V87" t="s">
        <v>117</v>
      </c>
      <c r="W87" s="314">
        <f>IF(AVERAGE(C15:C16)&gt;7.5,0,W84)</f>
        <v>-3.4034781256600581</v>
      </c>
      <c r="X87" t="s">
        <v>31</v>
      </c>
    </row>
    <row r="89" spans="22:24" x14ac:dyDescent="0.15">
      <c r="V89" t="s">
        <v>592</v>
      </c>
      <c r="W89">
        <v>1.5</v>
      </c>
    </row>
    <row r="90" spans="22:24" x14ac:dyDescent="0.15">
      <c r="V90" t="s">
        <v>2703</v>
      </c>
      <c r="W90">
        <v>-1.5</v>
      </c>
    </row>
    <row r="91" spans="22:24" x14ac:dyDescent="0.15">
      <c r="V91" t="s">
        <v>52</v>
      </c>
      <c r="W91" s="1478">
        <f>IF(W87&gt;W89,W89,IF(W87&lt;W90,W90,W87))</f>
        <v>-1.5</v>
      </c>
      <c r="X91" t="s">
        <v>31</v>
      </c>
    </row>
  </sheetData>
  <mergeCells count="24">
    <mergeCell ref="M51:M53"/>
    <mergeCell ref="N51:U51"/>
    <mergeCell ref="V51:V53"/>
    <mergeCell ref="I52:I53"/>
    <mergeCell ref="J52:J53"/>
    <mergeCell ref="W51:W53"/>
    <mergeCell ref="N52:N53"/>
    <mergeCell ref="O52:O53"/>
    <mergeCell ref="P52:P53"/>
    <mergeCell ref="Q52:Q53"/>
    <mergeCell ref="R52:R53"/>
    <mergeCell ref="S52:S53"/>
    <mergeCell ref="T52:T53"/>
    <mergeCell ref="U52:U53"/>
    <mergeCell ref="C52:C53"/>
    <mergeCell ref="H52:H53"/>
    <mergeCell ref="C51:G51"/>
    <mergeCell ref="H51:L51"/>
    <mergeCell ref="K52:K53"/>
    <mergeCell ref="L52:L53"/>
    <mergeCell ref="D52:D53"/>
    <mergeCell ref="E52:E53"/>
    <mergeCell ref="F52:F53"/>
    <mergeCell ref="G52:G53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BF63E-B509-4A7B-AE34-ED97C21B2298}">
  <sheetPr codeName="Taul4"/>
  <dimension ref="C2:AW99"/>
  <sheetViews>
    <sheetView zoomScale="70" zoomScaleNormal="70" workbookViewId="0">
      <selection activeCell="AE53" sqref="AE53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 ALU'!$E$33</f>
        <v>9.7222222222222214</v>
      </c>
      <c r="K3" t="s">
        <v>13</v>
      </c>
      <c r="L3" s="122">
        <f>'R-series ALU'!$E$39</f>
        <v>80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27.036045728263584</v>
      </c>
      <c r="Q5" s="52">
        <v>-20.688917272143001</v>
      </c>
      <c r="R5" t="s">
        <v>28</v>
      </c>
      <c r="T5" s="4"/>
      <c r="U5" s="39" t="s">
        <v>43</v>
      </c>
      <c r="V5" t="s">
        <v>28</v>
      </c>
      <c r="W5" s="9">
        <f>$P$5*LN($J$3)+$Q$5</f>
        <v>40.802249477385189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29.348382025149736</v>
      </c>
      <c r="Q6" s="52">
        <v>-13.397952945877989</v>
      </c>
      <c r="R6" t="s">
        <v>7</v>
      </c>
      <c r="T6" s="4"/>
      <c r="U6" s="39" t="s">
        <v>43</v>
      </c>
      <c r="V6" t="s">
        <v>7</v>
      </c>
      <c r="W6" s="9">
        <f>$P$6*LN($J$3)+$Q$6</f>
        <v>53.3524243495241</v>
      </c>
      <c r="X6" t="s">
        <v>31</v>
      </c>
      <c r="AA6" s="55">
        <v>25</v>
      </c>
      <c r="AB6" s="56">
        <f t="shared" ref="AB6:AB12" si="0">(-$D$9-SQRT($D$9^2-(4*$C$9*($E$9-AA6))))/(2*$C$9)</f>
        <v>131.65147221131414</v>
      </c>
      <c r="AC6" s="55">
        <v>20</v>
      </c>
      <c r="AD6" s="57">
        <f t="shared" ref="AD6:AD12" si="1">(-$D$14-SQRT($D$14^2-(4*$C$14*($E$14-AC6))))/(2*$C$14)</f>
        <v>116.85450849239542</v>
      </c>
      <c r="AE6" s="55">
        <v>10</v>
      </c>
      <c r="AF6" s="57">
        <f t="shared" ref="AF6:AF11" si="2">(-$D$19-SQRT($D$19^2-(4*$C$19*($E$19-AE6))))/(2*$C$19)</f>
        <v>86.014925141186822</v>
      </c>
      <c r="AG6" s="56">
        <v>10</v>
      </c>
      <c r="AH6" s="57">
        <f>(-$D$24-SQRT($D$24^2-(4*$C$24*($E$24-AG6))))/(2*$C$24)</f>
        <v>49.481696828913591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122.52946208046407</v>
      </c>
      <c r="AC7" s="55">
        <v>50</v>
      </c>
      <c r="AD7" s="57">
        <f t="shared" si="1"/>
        <v>112.30721540202725</v>
      </c>
      <c r="AE7" s="55">
        <v>40</v>
      </c>
      <c r="AF7" s="57">
        <f t="shared" si="2"/>
        <v>78.95043720955195</v>
      </c>
      <c r="AG7" s="56">
        <v>20</v>
      </c>
      <c r="AH7" s="57">
        <f>(-$D$24-SQRT($D$24^2-(4*$C$24*($E$24-AG7))))/(2*$C$24)</f>
        <v>45.39455871587581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115.04274265297924</v>
      </c>
      <c r="AC8" s="55">
        <v>100</v>
      </c>
      <c r="AD8" s="57">
        <f t="shared" si="1"/>
        <v>104.21936943528442</v>
      </c>
      <c r="AE8" s="55">
        <v>60</v>
      </c>
      <c r="AF8" s="57">
        <f t="shared" si="2"/>
        <v>73.965772403943234</v>
      </c>
      <c r="AG8" s="56">
        <v>25</v>
      </c>
      <c r="AH8" s="57">
        <f>(-$D$24-SQRT($D$24^2-(4*$C$24*($E$24-AG8))))/(2*$C$24)</f>
        <v>43.286302856281061</v>
      </c>
    </row>
    <row r="9" spans="3:34" x14ac:dyDescent="0.15">
      <c r="C9" s="8">
        <v>-6.409169683999047E-2</v>
      </c>
      <c r="D9" s="8">
        <v>5.876516138498558</v>
      </c>
      <c r="E9" s="8">
        <v>362.19234728891263</v>
      </c>
      <c r="H9" s="2"/>
      <c r="P9" t="s">
        <v>615</v>
      </c>
      <c r="Q9" s="52">
        <f t="array" ref="Q9:R9">LINEST(AM35:AM38,AL35:AL38)</f>
        <v>2.6304155855297715</v>
      </c>
      <c r="R9" s="52">
        <v>-4.1831791249862249E-2</v>
      </c>
      <c r="S9" s="84">
        <f>(J3-R9)/Q9</f>
        <v>3.7119815086198944</v>
      </c>
      <c r="U9" s="39" t="s">
        <v>42</v>
      </c>
      <c r="V9" t="s">
        <v>44</v>
      </c>
      <c r="W9" s="9">
        <f>IF($J$3&gt;$AM$35,($J$3-$R$10)/$Q$10,($J$3-$R$9)/$Q$9)</f>
        <v>3.7119815086198944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107.91088932436708</v>
      </c>
      <c r="AC9" s="55">
        <v>150</v>
      </c>
      <c r="AD9" s="57">
        <f t="shared" si="1"/>
        <v>95.329191153990706</v>
      </c>
      <c r="AE9" s="55">
        <v>80</v>
      </c>
      <c r="AF9" s="57">
        <f t="shared" si="2"/>
        <v>68.721115310129704</v>
      </c>
      <c r="AG9" s="56">
        <v>30</v>
      </c>
      <c r="AH9" s="57">
        <f>(-$D$24-SQRT($D$24^2-(4*$C$24*($E$24-AG9))))/(2*$C$24)</f>
        <v>41.131100017601455</v>
      </c>
    </row>
    <row r="10" spans="3:34" x14ac:dyDescent="0.15">
      <c r="C10" s="466" t="s">
        <v>589</v>
      </c>
      <c r="D10" s="2"/>
      <c r="E10" s="2"/>
      <c r="H10" s="2"/>
      <c r="P10" t="s">
        <v>614</v>
      </c>
      <c r="Q10" s="52">
        <f t="array" ref="Q10:R10">LINEST(AM34:AM35,AL34:AL35)</f>
        <v>-0.21844230686429</v>
      </c>
      <c r="R10" s="52">
        <v>25.616300312425253</v>
      </c>
      <c r="S10" s="84">
        <f>(J3-R10)/Q10</f>
        <v>72.76098809960574</v>
      </c>
      <c r="W10" t="b">
        <f>IF(AND(W9&gt;=0,W9&lt;=10.01,'R-series ALU'!E33&gt;=W11,P22),TRUE,FALSE)</f>
        <v>0</v>
      </c>
      <c r="AA10" s="55">
        <v>320</v>
      </c>
      <c r="AB10" s="56">
        <f t="shared" si="0"/>
        <v>98.380674781731599</v>
      </c>
      <c r="AC10" s="55">
        <v>170</v>
      </c>
      <c r="AD10" s="57">
        <f t="shared" si="1"/>
        <v>91.487310242307103</v>
      </c>
      <c r="AE10" s="55">
        <v>100</v>
      </c>
      <c r="AF10" s="57">
        <f t="shared" si="2"/>
        <v>63.170968273780559</v>
      </c>
      <c r="AG10" s="56">
        <v>70</v>
      </c>
      <c r="AH10" s="57">
        <f>(-$D$24-SQRT($D$24^2-(4*$C$24*($E$24-AG10))))/(2*$C$24)</f>
        <v>21.698347502443017</v>
      </c>
    </row>
    <row r="11" spans="3:34" x14ac:dyDescent="0.15">
      <c r="C11" s="2" t="s">
        <v>408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86.68396882006833</v>
      </c>
      <c r="AC11" s="55">
        <v>190</v>
      </c>
      <c r="AD11" s="57">
        <f t="shared" si="1"/>
        <v>87.444183357892655</v>
      </c>
      <c r="AE11" s="55">
        <v>180</v>
      </c>
      <c r="AF11" s="57">
        <f t="shared" si="2"/>
        <v>36.255180897120141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69.837702333332686</v>
      </c>
      <c r="AC12" s="58">
        <v>320</v>
      </c>
      <c r="AD12" s="60">
        <f t="shared" si="1"/>
        <v>51.732198585414771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LINEST(AE34:AE38,AC34:AC38^{1,2})</f>
        <v>0.31521325138120987</v>
      </c>
      <c r="Q13" s="51">
        <v>-6.039731586334641</v>
      </c>
      <c r="R13" s="51">
        <v>39.401291546593072</v>
      </c>
      <c r="U13" s="39" t="s">
        <v>43</v>
      </c>
      <c r="V13" t="s">
        <v>44</v>
      </c>
      <c r="W13" s="9">
        <f>$P$13*J3^2+$Q$13*J3+$R$13</f>
        <v>10.476141320035765</v>
      </c>
      <c r="X13" t="s">
        <v>49</v>
      </c>
      <c r="Y13" t="s">
        <v>592</v>
      </c>
    </row>
    <row r="14" spans="3:34" x14ac:dyDescent="0.15">
      <c r="C14" s="8">
        <v>-3.2861985306926245E-2</v>
      </c>
      <c r="D14" s="8">
        <v>0.93337769139334081</v>
      </c>
      <c r="E14" s="8">
        <v>359.66023440648013</v>
      </c>
      <c r="H14" s="2"/>
      <c r="V14" t="s">
        <v>52</v>
      </c>
      <c r="W14" s="3">
        <f>IF(W13&gt;Y14,Y14,W13)</f>
        <v>10.476141320035765</v>
      </c>
      <c r="X14" t="s">
        <v>49</v>
      </c>
      <c r="Y14">
        <v>168</v>
      </c>
      <c r="Z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411</v>
      </c>
      <c r="D16" s="1"/>
      <c r="E16" s="1"/>
      <c r="H16" s="1"/>
      <c r="V16" t="s">
        <v>58</v>
      </c>
      <c r="W16">
        <f>'Laskenta poistopuoli 130'!W13</f>
        <v>10.866355056765862</v>
      </c>
    </row>
    <row r="17" spans="3:45" ht="14" thickBot="1" x14ac:dyDescent="0.2">
      <c r="C17" t="s">
        <v>11</v>
      </c>
      <c r="D17" s="1"/>
      <c r="E17" s="1"/>
      <c r="H17" s="1"/>
      <c r="V17" t="s">
        <v>73</v>
      </c>
      <c r="W17">
        <v>4.4000000000000004</v>
      </c>
    </row>
    <row r="18" spans="3:45" x14ac:dyDescent="0.15">
      <c r="C18" t="s">
        <v>4</v>
      </c>
      <c r="D18" t="s">
        <v>5</v>
      </c>
      <c r="E18" t="s">
        <v>6</v>
      </c>
      <c r="H18" s="1"/>
      <c r="P18" s="228" t="s">
        <v>605</v>
      </c>
      <c r="Q18" s="230"/>
      <c r="R18" s="231"/>
    </row>
    <row r="19" spans="3:45" x14ac:dyDescent="0.15">
      <c r="C19" s="8">
        <v>-1.9444221456467313E-2</v>
      </c>
      <c r="D19" s="8">
        <v>-1.0389692541728106</v>
      </c>
      <c r="E19" s="8">
        <v>243.22624457817986</v>
      </c>
      <c r="P19" s="232" t="s">
        <v>606</v>
      </c>
      <c r="Q19">
        <v>350</v>
      </c>
      <c r="R19" s="364" t="s">
        <v>14</v>
      </c>
      <c r="V19" s="74" t="s">
        <v>74</v>
      </c>
      <c r="W19" s="77">
        <f>W13+W16+W17</f>
        <v>25.742496376801626</v>
      </c>
      <c r="X19" s="75" t="s">
        <v>49</v>
      </c>
      <c r="AB19" s="6"/>
      <c r="AC19" s="6"/>
    </row>
    <row r="20" spans="3:45" x14ac:dyDescent="0.15">
      <c r="C20" s="2"/>
      <c r="D20" s="2"/>
      <c r="E20" s="2"/>
      <c r="H20" s="1"/>
      <c r="P20" s="232" t="s">
        <v>607</v>
      </c>
      <c r="Q20">
        <v>0.45</v>
      </c>
      <c r="R20" s="364"/>
      <c r="AB20" s="6"/>
      <c r="AC20" s="6"/>
    </row>
    <row r="21" spans="3:45" x14ac:dyDescent="0.15">
      <c r="C21" s="2" t="s">
        <v>409</v>
      </c>
      <c r="D21" s="1"/>
      <c r="E21" s="1"/>
      <c r="H21" s="1"/>
      <c r="P21" s="232"/>
      <c r="R21" s="364"/>
      <c r="V21" t="s">
        <v>78</v>
      </c>
      <c r="W21">
        <f>MAX(J3,'Laskenta poistopuoli 130'!J3)</f>
        <v>9.7222222222222214</v>
      </c>
      <c r="X21" t="s">
        <v>13</v>
      </c>
      <c r="AB21" s="6"/>
      <c r="AC21" s="6"/>
    </row>
    <row r="22" spans="3:45" ht="16" thickBot="1" x14ac:dyDescent="0.2">
      <c r="C22" t="s">
        <v>11</v>
      </c>
      <c r="D22" s="1"/>
      <c r="E22" s="1"/>
      <c r="H22" s="1"/>
      <c r="P22" s="236" t="b">
        <f>IF(AND(L3&gt;Q19,U29&gt;Q20),FALSE,TRUE)</f>
        <v>1</v>
      </c>
      <c r="Q22" s="238"/>
      <c r="R22" s="239"/>
      <c r="V22" t="s">
        <v>75</v>
      </c>
      <c r="W22">
        <f>W19/W21</f>
        <v>2.6477996273281672</v>
      </c>
      <c r="X22" t="s">
        <v>77</v>
      </c>
      <c r="AB22" s="6"/>
      <c r="AC22" s="6"/>
    </row>
    <row r="23" spans="3:45" x14ac:dyDescent="0.15">
      <c r="C23" t="s">
        <v>4</v>
      </c>
      <c r="D23" t="s">
        <v>5</v>
      </c>
      <c r="E23" t="s">
        <v>6</v>
      </c>
      <c r="H23" s="1"/>
    </row>
    <row r="24" spans="3:45" x14ac:dyDescent="0.15">
      <c r="C24" s="8">
        <v>-1.2117251709307388E-2</v>
      </c>
      <c r="D24" s="8">
        <v>-1.2970603294116825</v>
      </c>
      <c r="E24" s="8">
        <v>103.84908941986085</v>
      </c>
      <c r="H24" s="1"/>
      <c r="P24">
        <v>60</v>
      </c>
      <c r="Q24">
        <f>$C$27*P24^2+$D$27*P24+$E$27</f>
        <v>412.9606628462916</v>
      </c>
    </row>
    <row r="25" spans="3:45" x14ac:dyDescent="0.15">
      <c r="G25" s="2"/>
      <c r="H25" s="1"/>
      <c r="P25">
        <v>90</v>
      </c>
      <c r="Q25">
        <f t="shared" ref="Q25:Q26" si="3">$C$27*P25^2+$D$27*P25+$E$27</f>
        <v>294.88862109012308</v>
      </c>
    </row>
    <row r="26" spans="3:45" x14ac:dyDescent="0.15">
      <c r="C26" s="2" t="s">
        <v>591</v>
      </c>
      <c r="P26">
        <v>120</v>
      </c>
      <c r="Q26">
        <f t="shared" si="3"/>
        <v>115.15577786811809</v>
      </c>
    </row>
    <row r="27" spans="3:45" x14ac:dyDescent="0.15">
      <c r="C27" s="8">
        <v>-3.4256000814353607E-2</v>
      </c>
      <c r="D27" s="8">
        <v>1.2026653969474246</v>
      </c>
      <c r="E27" s="8">
        <v>464.1223419611191</v>
      </c>
      <c r="U27" t="s">
        <v>37</v>
      </c>
    </row>
    <row r="28" spans="3:45" x14ac:dyDescent="0.15">
      <c r="U28" s="4" t="s">
        <v>17</v>
      </c>
    </row>
    <row r="29" spans="3:45" x14ac:dyDescent="0.15">
      <c r="U29" s="4">
        <f>(L3/J3)^2/L3</f>
        <v>0.84636734693877569</v>
      </c>
    </row>
    <row r="31" spans="3:45" x14ac:dyDescent="0.15">
      <c r="U31" s="2" t="s">
        <v>16</v>
      </c>
      <c r="AS31" s="2" t="s">
        <v>1110</v>
      </c>
    </row>
    <row r="32" spans="3:4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</row>
    <row r="34" spans="21:49" x14ac:dyDescent="0.15">
      <c r="U34" s="35">
        <v>10</v>
      </c>
      <c r="V34" s="98">
        <f>C9</f>
        <v>-6.409169683999047E-2</v>
      </c>
      <c r="W34" s="99">
        <f>D9</f>
        <v>5.876516138498558</v>
      </c>
      <c r="X34" s="100">
        <f>E9</f>
        <v>362.19234728891263</v>
      </c>
      <c r="Y34" s="36">
        <f>C9-U29</f>
        <v>-0.91045904377876619</v>
      </c>
      <c r="Z34" s="28">
        <f>(-W34+SQRT(W34^2-(4*Y34*X34)))/(2*Y34)</f>
        <v>-16.977423110284281</v>
      </c>
      <c r="AA34" s="29">
        <f>(-W34-SQRT(W34^2-(4*Y34*X34)))/(2*Y34)</f>
        <v>23.431877243782353</v>
      </c>
      <c r="AB34" s="36">
        <f>AB6</f>
        <v>131.65147221131414</v>
      </c>
      <c r="AC34" s="53">
        <f>IF(Z34&lt;0,AA34,IF(Z34&gt;AB34,AA34,Z34))</f>
        <v>23.431877243782353</v>
      </c>
      <c r="AD34" s="53">
        <f>V34*AC34^2+W34*AC34+X34</f>
        <v>464.7004218993111</v>
      </c>
      <c r="AE34" s="53">
        <f>X51*AC34^2+Y51*AC34+Z51</f>
        <v>71.699793300536356</v>
      </c>
      <c r="AF34" s="53">
        <f>$H$60*AC34^2+$I$60*AC34+$J$60</f>
        <v>64.167236439541142</v>
      </c>
      <c r="AG34" s="53">
        <f>$R$60*AC34^2+$S$60*AC34+$T$60</f>
        <v>79.082757784319782</v>
      </c>
      <c r="AI34">
        <v>10</v>
      </c>
      <c r="AJ34" s="3">
        <f>AC34</f>
        <v>23.431877243782353</v>
      </c>
      <c r="AL34">
        <v>10</v>
      </c>
      <c r="AM34" s="3">
        <f>AJ34</f>
        <v>23.431877243782353</v>
      </c>
      <c r="AS34" s="616">
        <f>AC34/$J$3-1</f>
        <v>1.4101359450747566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C14</f>
        <v>-3.2861985306926245E-2</v>
      </c>
      <c r="W35" s="99">
        <f>D14</f>
        <v>0.93337769139334081</v>
      </c>
      <c r="X35" s="100">
        <f>E14</f>
        <v>359.66023440648013</v>
      </c>
      <c r="Y35" s="36">
        <f>C14-U29</f>
        <v>-0.87922933224570188</v>
      </c>
      <c r="Z35" s="28">
        <f t="shared" ref="Z35:Z37" si="4">(-W35+SQRT(W35^2-(4*Y35*X35)))/(2*Y35)</f>
        <v>-19.701478015300527</v>
      </c>
      <c r="AA35" s="29">
        <f t="shared" ref="AA35:AA37" si="5">(-W35-SQRT(W35^2-(4*Y35*X35)))/(2*Y35)</f>
        <v>20.763064176227772</v>
      </c>
      <c r="AB35" s="36">
        <f>AD6</f>
        <v>116.85450849239542</v>
      </c>
      <c r="AC35" s="53">
        <f t="shared" ref="AC35:AC37" si="6">IF(Z35&lt;0,AA35,IF(Z35&gt;AB35,AA35,Z35))</f>
        <v>20.763064176227772</v>
      </c>
      <c r="AD35" s="53">
        <f>V35*AC35^2+W35*AC35+X35</f>
        <v>364.87305459334152</v>
      </c>
      <c r="AE35" s="53">
        <f t="shared" ref="AE35:AE37" si="7">X52*AC35^2+Y52*AC35+Z52</f>
        <v>49.011269348021692</v>
      </c>
      <c r="AF35" s="53">
        <f>$H$65*AC35^2+$I$65*AC35+$J$65</f>
        <v>61.85735582979467</v>
      </c>
      <c r="AG35" s="53">
        <f>$R$65*AC35^2+$S$65*AC35+$T$65</f>
        <v>75.936788490205899</v>
      </c>
      <c r="AI35">
        <v>8</v>
      </c>
      <c r="AJ35" s="3">
        <f t="shared" ref="AJ35:AJ38" si="8">AC35</f>
        <v>20.763064176227772</v>
      </c>
      <c r="AL35">
        <v>9</v>
      </c>
      <c r="AM35" s="3">
        <f>AJ38</f>
        <v>23.650319550646643</v>
      </c>
      <c r="AO35">
        <v>9</v>
      </c>
      <c r="AP35">
        <f>Q9*AO35+R9</f>
        <v>23.631908478518081</v>
      </c>
      <c r="AQ35" t="s">
        <v>13</v>
      </c>
      <c r="AS35" t="s">
        <v>1114</v>
      </c>
      <c r="AV35" t="s">
        <v>1116</v>
      </c>
    </row>
    <row r="36" spans="21:49" x14ac:dyDescent="0.15">
      <c r="U36" s="35">
        <v>6</v>
      </c>
      <c r="V36" s="98">
        <f>C19</f>
        <v>-1.9444221456467313E-2</v>
      </c>
      <c r="W36" s="99">
        <f>D19</f>
        <v>-1.0389692541728106</v>
      </c>
      <c r="X36" s="100">
        <f>E19</f>
        <v>243.22624457817986</v>
      </c>
      <c r="Y36" s="36">
        <f>C19-U29</f>
        <v>-0.86581156839524298</v>
      </c>
      <c r="Z36" s="28">
        <f t="shared" si="4"/>
        <v>-17.371486129968307</v>
      </c>
      <c r="AA36" s="29">
        <f t="shared" si="5"/>
        <v>16.171491475128441</v>
      </c>
      <c r="AB36" s="36">
        <f>AF6</f>
        <v>86.014925141186822</v>
      </c>
      <c r="AC36" s="53">
        <f t="shared" si="6"/>
        <v>16.171491475128441</v>
      </c>
      <c r="AD36" s="53">
        <f>V36*AC36^2+W36*AC36+X36</f>
        <v>221.33956502405022</v>
      </c>
      <c r="AE36" s="53">
        <f t="shared" si="7"/>
        <v>24.71621321078652</v>
      </c>
      <c r="AF36" s="53">
        <f>$H$70*AC36^2+$I$70*AC36+$J$70</f>
        <v>54.479762245695234</v>
      </c>
      <c r="AG36" s="53">
        <f>$R$70*AC36^2+$S$70*AC36+$T$70</f>
        <v>67.954048927695993</v>
      </c>
      <c r="AI36">
        <v>6</v>
      </c>
      <c r="AJ36" s="3">
        <f t="shared" si="8"/>
        <v>16.171491475128441</v>
      </c>
      <c r="AL36">
        <v>8</v>
      </c>
      <c r="AM36" s="3">
        <f>AJ35</f>
        <v>20.763064176227772</v>
      </c>
      <c r="AS36" s="609">
        <f>Tulokset!$CR$16</f>
        <v>11.666666666666666</v>
      </c>
      <c r="AT36" t="s">
        <v>13</v>
      </c>
      <c r="AV36" s="617">
        <f>IF($AS$36&gt;$AM$35,($AS$36-$R$10)/$Q$10,($AS$36-$R$9)/$Q$9)</f>
        <v>4.4511971881273702</v>
      </c>
      <c r="AW36" t="s">
        <v>25</v>
      </c>
    </row>
    <row r="37" spans="21:49" ht="14" thickBot="1" x14ac:dyDescent="0.2">
      <c r="U37" s="35">
        <v>4</v>
      </c>
      <c r="V37" s="98">
        <f>C24</f>
        <v>-1.2117251709307388E-2</v>
      </c>
      <c r="W37" s="99">
        <f>D24</f>
        <v>-1.2970603294116825</v>
      </c>
      <c r="X37" s="100">
        <f>E24</f>
        <v>103.84908941986085</v>
      </c>
      <c r="Y37" s="36">
        <f>C24-U29</f>
        <v>-0.85848459864808313</v>
      </c>
      <c r="Z37" s="28">
        <f t="shared" si="4"/>
        <v>-11.779890427022343</v>
      </c>
      <c r="AA37" s="29">
        <f t="shared" si="5"/>
        <v>10.269018442301528</v>
      </c>
      <c r="AB37" s="36">
        <f>AH6</f>
        <v>49.481696828913591</v>
      </c>
      <c r="AC37" s="467">
        <f t="shared" si="6"/>
        <v>10.269018442301528</v>
      </c>
      <c r="AD37" s="467">
        <f>V37*AC37^2+W37*AC37+X37</f>
        <v>89.251755585145659</v>
      </c>
      <c r="AE37" s="53">
        <f t="shared" si="7"/>
        <v>10.487235523914437</v>
      </c>
      <c r="AF37" s="53">
        <f>$H$75*AC37^2+$I$75*AC37+$J$75</f>
        <v>42.237948623386693</v>
      </c>
      <c r="AG37" s="53">
        <f>$R$75*AC37^2+$S$75*AC37+$T$75</f>
        <v>55.06116618037565</v>
      </c>
      <c r="AI37">
        <v>4</v>
      </c>
      <c r="AJ37" s="3">
        <f t="shared" si="8"/>
        <v>10.269018442301528</v>
      </c>
      <c r="AL37">
        <v>6</v>
      </c>
      <c r="AM37" s="3">
        <f t="shared" ref="AM37:AM38" si="9">AJ36</f>
        <v>16.171491475128441</v>
      </c>
      <c r="AS37" s="609">
        <f>Tulokset!$CR$17</f>
        <v>115.19999999999999</v>
      </c>
      <c r="AT37" t="s">
        <v>14</v>
      </c>
    </row>
    <row r="38" spans="21:49" ht="14" thickBot="1" x14ac:dyDescent="0.2">
      <c r="U38" s="468">
        <v>9</v>
      </c>
      <c r="V38" s="469">
        <f>C27</f>
        <v>-3.4256000814353607E-2</v>
      </c>
      <c r="W38" s="469">
        <f t="shared" ref="W38:X38" si="10">D27</f>
        <v>1.2026653969474246</v>
      </c>
      <c r="X38" s="469">
        <f t="shared" si="10"/>
        <v>464.1223419611191</v>
      </c>
      <c r="Y38" s="470">
        <f>C27-U29</f>
        <v>-0.88062334775312934</v>
      </c>
      <c r="Z38" s="471">
        <f t="shared" ref="Z38" si="11">(-W38+SQRT(W38^2-(4*Y38*X38)))/(2*Y38)</f>
        <v>-22.284621718519013</v>
      </c>
      <c r="AA38" s="472">
        <f t="shared" ref="AA38" si="12">(-W38-SQRT(W38^2-(4*Y38*X38)))/(2*Y38)</f>
        <v>23.650319550646643</v>
      </c>
      <c r="AB38" s="473">
        <v>120</v>
      </c>
      <c r="AC38" s="474">
        <f t="shared" ref="AC38" si="13">IF(Z38&lt;0,AA38,IF(Z38&gt;AB38,AA38,Z38))</f>
        <v>23.650319550646643</v>
      </c>
      <c r="AD38" s="475">
        <f>V38*AC38^2+W38*AC38+X38</f>
        <v>473.40509312170963</v>
      </c>
      <c r="AE38" s="53">
        <f>X55*AC38^2+Y55*AC38+Z55</f>
        <v>72.574290945862842</v>
      </c>
      <c r="AI38">
        <v>9</v>
      </c>
      <c r="AJ38" s="3">
        <f t="shared" si="8"/>
        <v>23.650319550646643</v>
      </c>
      <c r="AL38">
        <v>4</v>
      </c>
      <c r="AM38" s="3">
        <f t="shared" si="9"/>
        <v>10.269018442301528</v>
      </c>
    </row>
    <row r="40" spans="21:49" x14ac:dyDescent="0.15">
      <c r="U40" s="2" t="s">
        <v>35</v>
      </c>
      <c r="W40" t="s">
        <v>36</v>
      </c>
    </row>
    <row r="41" spans="21:49" x14ac:dyDescent="0.15">
      <c r="Z41" s="272" t="s">
        <v>596</v>
      </c>
    </row>
    <row r="42" spans="21:49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15">
      <c r="U43" s="10" t="s">
        <v>26</v>
      </c>
      <c r="V43" s="21"/>
      <c r="W43" s="49">
        <v>14</v>
      </c>
      <c r="X43" s="49">
        <v>11</v>
      </c>
      <c r="Y43" s="49">
        <v>4</v>
      </c>
      <c r="Z43" s="478">
        <v>-3</v>
      </c>
      <c r="AA43" s="49">
        <v>-11</v>
      </c>
      <c r="AB43" s="49">
        <v>-17</v>
      </c>
      <c r="AC43" s="49">
        <v>-25</v>
      </c>
      <c r="AD43" s="49">
        <v>-34</v>
      </c>
      <c r="AE43" s="39" t="s">
        <v>42</v>
      </c>
      <c r="AF43" s="53">
        <f>$W$5+W43</f>
        <v>54.802249477385189</v>
      </c>
      <c r="AG43" s="53">
        <f t="shared" ref="AG43:AM43" si="14">$W$5+X43</f>
        <v>51.802249477385189</v>
      </c>
      <c r="AH43" s="53">
        <f t="shared" si="14"/>
        <v>44.802249477385189</v>
      </c>
      <c r="AI43" s="53">
        <f t="shared" si="14"/>
        <v>37.802249477385189</v>
      </c>
      <c r="AJ43" s="53">
        <f t="shared" si="14"/>
        <v>29.802249477385189</v>
      </c>
      <c r="AK43" s="53">
        <f t="shared" si="14"/>
        <v>23.802249477385189</v>
      </c>
      <c r="AL43" s="53">
        <f t="shared" si="14"/>
        <v>15.802249477385189</v>
      </c>
      <c r="AM43" s="53">
        <f t="shared" si="14"/>
        <v>6.8022494773851889</v>
      </c>
      <c r="AN43" s="5">
        <f t="array" ref="AN43">10*LOG10(SUM(10^(AF43:AM43/10)))</f>
        <v>56.911419703852189</v>
      </c>
      <c r="AO43" s="5">
        <f t="array" ref="AO43">10*LOG10(SUM(10^((AF43:AM43+AF46:AM46)/10)))</f>
        <v>41.079541419164443</v>
      </c>
      <c r="AP43" t="str">
        <f>IF(ABS(W5-AO43)&lt;0.5,"OK","Tarkista laskenta!")</f>
        <v>OK</v>
      </c>
    </row>
    <row r="44" spans="21:49" x14ac:dyDescent="0.15">
      <c r="U44" s="14" t="s">
        <v>29</v>
      </c>
      <c r="V44" s="26"/>
      <c r="W44" s="49">
        <v>10</v>
      </c>
      <c r="X44" s="49">
        <v>9</v>
      </c>
      <c r="Y44" s="49">
        <v>2</v>
      </c>
      <c r="Z44" s="49">
        <v>-3</v>
      </c>
      <c r="AA44" s="49">
        <v>-8</v>
      </c>
      <c r="AB44" s="49">
        <v>-9</v>
      </c>
      <c r="AC44" s="49">
        <v>-15</v>
      </c>
      <c r="AD44" s="49">
        <v>-25</v>
      </c>
      <c r="AE44" s="39" t="s">
        <v>43</v>
      </c>
      <c r="AF44" s="53">
        <f>$W$6+W44</f>
        <v>63.3524243495241</v>
      </c>
      <c r="AG44" s="53">
        <f t="shared" ref="AG44:AM44" si="15">$W$6+X44</f>
        <v>62.3524243495241</v>
      </c>
      <c r="AH44" s="53">
        <f t="shared" si="15"/>
        <v>55.3524243495241</v>
      </c>
      <c r="AI44" s="53">
        <f t="shared" si="15"/>
        <v>50.3524243495241</v>
      </c>
      <c r="AJ44" s="53">
        <f t="shared" si="15"/>
        <v>45.3524243495241</v>
      </c>
      <c r="AK44" s="53">
        <f t="shared" si="15"/>
        <v>44.3524243495241</v>
      </c>
      <c r="AL44" s="53">
        <f t="shared" si="15"/>
        <v>38.3524243495241</v>
      </c>
      <c r="AM44" s="53">
        <f t="shared" si="15"/>
        <v>28.3524243495241</v>
      </c>
      <c r="AN44" s="5">
        <f t="array" ref="AN44">10*LOG10(SUM(10^(AF44:AM44/10)))</f>
        <v>66.43775469081254</v>
      </c>
      <c r="AO44" s="5">
        <f t="array" ref="AO44">10*LOG10(SUM(10^((AF44:AM44+AF46:AM46)/10)))</f>
        <v>53.540867093059042</v>
      </c>
      <c r="AP44" t="str">
        <f>IF(ABS(W6-AO44)&lt;0.5,"OK","Tarkista laskenta!")</f>
        <v>OK</v>
      </c>
    </row>
    <row r="46" spans="21:49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LINEST(Y62:Y68,X62:X68^{1,2})</f>
        <v>-3.4236604592539389E-3</v>
      </c>
      <c r="Y51" s="54">
        <v>1.5421848224316317</v>
      </c>
      <c r="Z51" s="54">
        <v>37.443278459150719</v>
      </c>
    </row>
    <row r="52" spans="3:26" x14ac:dyDescent="0.15">
      <c r="W52" t="s">
        <v>408</v>
      </c>
      <c r="X52" s="54">
        <f t="array" ref="X52:Z52">LINEST(Y70:Y76,X70:X76^{1,2})</f>
        <v>9.4671948071448607E-4</v>
      </c>
      <c r="Y52" s="54">
        <v>0.65720019999995249</v>
      </c>
      <c r="Z52" s="54">
        <v>34.957644074228078</v>
      </c>
    </row>
    <row r="53" spans="3:26" x14ac:dyDescent="0.15">
      <c r="W53" t="s">
        <v>411</v>
      </c>
      <c r="X53" s="54">
        <f t="array" ref="X53:Z53">LINEST(Y78:Y82,X78:X82^{1,2})</f>
        <v>8.9726201042233825E-4</v>
      </c>
      <c r="Y53" s="54">
        <v>0.36354226451479688</v>
      </c>
      <c r="Z53" s="54">
        <v>18.602543187653659</v>
      </c>
    </row>
    <row r="54" spans="3:26" x14ac:dyDescent="0.15">
      <c r="W54" t="s">
        <v>409</v>
      </c>
      <c r="X54" s="54">
        <f t="array" ref="X54:Z54">LINEST(Y86:Y89,X86:X89^{1,2})</f>
        <v>6.4187170713691719E-4</v>
      </c>
      <c r="Y54" s="54">
        <v>0.15621011075667512</v>
      </c>
      <c r="Z54" s="54">
        <v>8.8154238855828133</v>
      </c>
    </row>
    <row r="55" spans="3:26" x14ac:dyDescent="0.15">
      <c r="W55" t="s">
        <v>590</v>
      </c>
      <c r="X55" s="54">
        <f t="array" ref="X55:Z55">LINEST(Y92:Y97,X92:X97^{1,2})</f>
        <v>2.0751024366382253E-3</v>
      </c>
      <c r="Y55" s="54">
        <v>0.46877906942341152</v>
      </c>
      <c r="Z55" s="54">
        <v>60.326833307870515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595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124.45552078709319</v>
      </c>
      <c r="E59" s="68">
        <v>59.464218542298468</v>
      </c>
      <c r="F59" s="69">
        <v>165.9919822255446</v>
      </c>
      <c r="H59" t="s">
        <v>4</v>
      </c>
      <c r="I59" t="s">
        <v>5</v>
      </c>
      <c r="K59" s="24"/>
      <c r="M59" s="10" t="s">
        <v>3</v>
      </c>
      <c r="N59" s="67">
        <v>124.49829752500722</v>
      </c>
      <c r="O59" s="68">
        <v>74.843704730864445</v>
      </c>
      <c r="P59" s="69">
        <v>165.86949773154004</v>
      </c>
      <c r="R59" t="s">
        <v>4</v>
      </c>
      <c r="S59" t="s">
        <v>5</v>
      </c>
      <c r="T59" s="24" t="s">
        <v>6</v>
      </c>
      <c r="W59" s="10" t="s">
        <v>3</v>
      </c>
      <c r="X59" s="476">
        <v>126.54627249330899</v>
      </c>
      <c r="Y59" s="476">
        <v>166.57546823070092</v>
      </c>
    </row>
    <row r="60" spans="3:26" x14ac:dyDescent="0.15">
      <c r="C60" s="12"/>
      <c r="D60" s="67">
        <v>116.51720534386456</v>
      </c>
      <c r="E60" s="68">
        <v>59.36196924526331</v>
      </c>
      <c r="F60" s="69">
        <v>165.84555811748919</v>
      </c>
      <c r="H60" s="2">
        <f t="array" ref="H60:J60">LINEST(E59:E62,D59:D62^{1,2})</f>
        <v>2.9785118681800921E-4</v>
      </c>
      <c r="I60" s="2">
        <v>-9.1487390304493876E-2</v>
      </c>
      <c r="J60" s="2">
        <v>66.147421689206922</v>
      </c>
      <c r="K60" s="24"/>
      <c r="M60" s="12"/>
      <c r="N60" s="67">
        <v>116.22872893281689</v>
      </c>
      <c r="O60" s="68">
        <v>74.987135559894881</v>
      </c>
      <c r="P60" s="69">
        <v>166.29135930641289</v>
      </c>
      <c r="R60" s="2">
        <f t="array" ref="R60:T60">LINEST(O59:O62,N59:N62^{1,2})</f>
        <v>4.3617810256051922E-5</v>
      </c>
      <c r="S60" s="2">
        <v>-4.897118835104744E-2</v>
      </c>
      <c r="T60" s="27">
        <v>80.206296174288539</v>
      </c>
      <c r="W60" s="12"/>
      <c r="X60" s="476">
        <v>124.17422218989299</v>
      </c>
      <c r="Y60" s="476">
        <v>167.97619510885116</v>
      </c>
    </row>
    <row r="61" spans="3:26" x14ac:dyDescent="0.15">
      <c r="C61" s="12"/>
      <c r="D61" s="67">
        <v>101.70534454841015</v>
      </c>
      <c r="E61" s="68">
        <v>60.027949452160676</v>
      </c>
      <c r="F61" s="69">
        <v>165.40944993196536</v>
      </c>
      <c r="K61" s="24"/>
      <c r="M61" s="12"/>
      <c r="N61" s="67">
        <v>102.73164382577521</v>
      </c>
      <c r="O61" s="68">
        <v>75.708977921572853</v>
      </c>
      <c r="P61" s="69">
        <v>165.85387179540533</v>
      </c>
      <c r="T61" s="24"/>
      <c r="W61" s="12"/>
      <c r="X61" s="476">
        <v>119.51684900019518</v>
      </c>
      <c r="Y61" s="476">
        <v>166.98982665915423</v>
      </c>
    </row>
    <row r="62" spans="3:26" x14ac:dyDescent="0.15">
      <c r="C62" s="14"/>
      <c r="D62" s="67">
        <v>82.365017043939588</v>
      </c>
      <c r="E62" s="68">
        <v>60.608228329655951</v>
      </c>
      <c r="F62" s="69">
        <v>141.33296670855381</v>
      </c>
      <c r="K62" s="24"/>
      <c r="M62" s="14"/>
      <c r="N62" s="67">
        <v>82.099032137491747</v>
      </c>
      <c r="O62" s="68">
        <v>76.464934909676941</v>
      </c>
      <c r="P62" s="69">
        <v>140.66995601793832</v>
      </c>
      <c r="T62" s="24"/>
      <c r="W62" s="12"/>
      <c r="X62" s="476">
        <v>115.07326296692654</v>
      </c>
      <c r="Y62" s="476">
        <v>167.55901865645629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6">
        <v>110.37714302386942</v>
      </c>
      <c r="Y63" s="476">
        <v>166.83068715224474</v>
      </c>
    </row>
    <row r="64" spans="3:26" x14ac:dyDescent="0.15">
      <c r="C64" s="10" t="s">
        <v>408</v>
      </c>
      <c r="D64" s="67">
        <v>108.61605915705071</v>
      </c>
      <c r="E64" s="68">
        <v>56.814264092463056</v>
      </c>
      <c r="F64" s="69">
        <v>113.88364344629936</v>
      </c>
      <c r="H64" t="s">
        <v>4</v>
      </c>
      <c r="I64" t="s">
        <v>5</v>
      </c>
      <c r="K64" s="24"/>
      <c r="M64" s="10" t="s">
        <v>408</v>
      </c>
      <c r="N64" s="67">
        <v>108.79901687814959</v>
      </c>
      <c r="O64" s="68">
        <v>72.000070714917115</v>
      </c>
      <c r="P64" s="69">
        <v>113.03683983307199</v>
      </c>
      <c r="R64" t="s">
        <v>4</v>
      </c>
      <c r="S64" t="s">
        <v>5</v>
      </c>
      <c r="T64" s="24" t="s">
        <v>6</v>
      </c>
      <c r="W64" s="12"/>
      <c r="X64" s="476">
        <v>103.29973361775856</v>
      </c>
      <c r="Y64" s="476">
        <v>163.1785428035638</v>
      </c>
    </row>
    <row r="65" spans="3:25" x14ac:dyDescent="0.15">
      <c r="C65" s="12"/>
      <c r="D65" s="67">
        <v>98.281498327194029</v>
      </c>
      <c r="E65" s="68">
        <v>56.095905975041596</v>
      </c>
      <c r="F65" s="69">
        <v>105.60183590543593</v>
      </c>
      <c r="H65" s="2">
        <f t="array" ref="H65:J65">LINEST(E64:E67,D64:D67^{1,2})</f>
        <v>1.5649693664364307E-3</v>
      </c>
      <c r="I65" s="2">
        <v>-0.26008301166913017</v>
      </c>
      <c r="J65" s="2">
        <v>66.582810233316422</v>
      </c>
      <c r="K65" s="24"/>
      <c r="M65" s="12"/>
      <c r="N65" s="67">
        <v>97.159742938215373</v>
      </c>
      <c r="O65" s="68">
        <v>71.638832438309009</v>
      </c>
      <c r="P65" s="69">
        <v>105.3675356622455</v>
      </c>
      <c r="R65" s="2">
        <f t="array" ref="R65:T65">LINEST(O64:O67,N64:N67^{1,2})</f>
        <v>8.6768554296753236E-4</v>
      </c>
      <c r="S65" s="2">
        <v>-0.15748307507892151</v>
      </c>
      <c r="T65" s="27">
        <v>78.832556252786034</v>
      </c>
      <c r="W65" s="12"/>
      <c r="X65" s="476">
        <v>92.00971203437571</v>
      </c>
      <c r="Y65" s="476">
        <v>149.02892706748165</v>
      </c>
    </row>
    <row r="66" spans="3:25" x14ac:dyDescent="0.15">
      <c r="C66" s="12"/>
      <c r="D66" s="67">
        <v>84.237915047166098</v>
      </c>
      <c r="E66" s="68">
        <v>55.812437707556704</v>
      </c>
      <c r="F66" s="69">
        <v>96.726317106350749</v>
      </c>
      <c r="K66" s="24"/>
      <c r="M66" s="12"/>
      <c r="N66" s="67">
        <v>85.227725522189502</v>
      </c>
      <c r="O66" s="68">
        <v>71.781837965876733</v>
      </c>
      <c r="P66" s="69">
        <v>97.125324970441312</v>
      </c>
      <c r="T66" s="24"/>
      <c r="W66" s="12"/>
      <c r="X66" s="476">
        <v>79.647869425429306</v>
      </c>
      <c r="Y66" s="476">
        <v>137.70061008294681</v>
      </c>
    </row>
    <row r="67" spans="3:25" x14ac:dyDescent="0.15">
      <c r="C67" s="14"/>
      <c r="D67" s="67">
        <v>68.226231139270695</v>
      </c>
      <c r="E67" s="68">
        <v>56.113551475189496</v>
      </c>
      <c r="F67" s="69">
        <v>80.48587455606517</v>
      </c>
      <c r="K67" s="24"/>
      <c r="M67" s="14"/>
      <c r="N67" s="67">
        <v>67.119168106658208</v>
      </c>
      <c r="O67" s="68">
        <v>72.155935238638762</v>
      </c>
      <c r="P67" s="69">
        <v>80.129145413246434</v>
      </c>
      <c r="T67" s="24"/>
      <c r="W67" s="12"/>
      <c r="X67" s="476">
        <v>68.418898324482583</v>
      </c>
      <c r="Y67" s="476">
        <v>126.95007636248987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6">
        <v>52.880453885014383</v>
      </c>
      <c r="Y68" s="476">
        <v>109.75920069451099</v>
      </c>
    </row>
    <row r="69" spans="3:25" x14ac:dyDescent="0.15">
      <c r="C69" s="10" t="s">
        <v>411</v>
      </c>
      <c r="D69" s="67">
        <v>78.91869125446334</v>
      </c>
      <c r="E69" s="68">
        <v>50.35449179308835</v>
      </c>
      <c r="F69" s="69">
        <v>50.836284857584332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79.189925082805274</v>
      </c>
      <c r="O69" s="68">
        <v>65.344965804359333</v>
      </c>
      <c r="P69" s="69">
        <v>50.70703394287019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15">
      <c r="C70" s="12"/>
      <c r="D70" s="67">
        <v>70.580249223838763</v>
      </c>
      <c r="E70" s="68">
        <v>49.716367440911277</v>
      </c>
      <c r="F70" s="69">
        <v>47.069382630623501</v>
      </c>
      <c r="H70" s="2">
        <f t="array" ref="H70:J70">LINEST(E69:E72,D69:D72^{1,2})</f>
        <v>2.7428549467869434E-3</v>
      </c>
      <c r="I70" s="2">
        <v>-0.32629820087661743</v>
      </c>
      <c r="J70" s="2">
        <v>59.039187247919919</v>
      </c>
      <c r="K70" s="24"/>
      <c r="M70" s="12"/>
      <c r="N70" s="67">
        <v>69.29180640070085</v>
      </c>
      <c r="O70" s="68">
        <v>65.19105994578031</v>
      </c>
      <c r="P70" s="69">
        <v>46.99743501140545</v>
      </c>
      <c r="R70" s="2">
        <f t="array" ref="R70:T70">LINEST(O69:O72,N69:N72^{1,2})</f>
        <v>1.0734400981006976E-3</v>
      </c>
      <c r="S70" s="2">
        <v>-0.14376398239124202</v>
      </c>
      <c r="T70" s="27">
        <v>69.998203962674538</v>
      </c>
      <c r="W70" s="10" t="s">
        <v>408</v>
      </c>
      <c r="X70" s="68">
        <v>42.211275851555982</v>
      </c>
      <c r="Y70" s="68">
        <v>64.573221113007946</v>
      </c>
    </row>
    <row r="71" spans="3:25" x14ac:dyDescent="0.15">
      <c r="C71" s="12"/>
      <c r="D71" s="67">
        <v>61.003247611336789</v>
      </c>
      <c r="E71" s="68">
        <v>49.303164455402957</v>
      </c>
      <c r="F71" s="69">
        <v>42.978374174843594</v>
      </c>
      <c r="K71" s="24"/>
      <c r="M71" s="12"/>
      <c r="N71" s="67">
        <v>61.072161700876308</v>
      </c>
      <c r="O71" s="68">
        <v>65.221443421121307</v>
      </c>
      <c r="P71" s="69">
        <v>43.141457558458256</v>
      </c>
      <c r="T71" s="24"/>
      <c r="W71" s="12"/>
      <c r="X71" s="68">
        <v>58.642949192646377</v>
      </c>
      <c r="Y71" s="68">
        <v>76.697210767145009</v>
      </c>
    </row>
    <row r="72" spans="3:25" x14ac:dyDescent="0.15">
      <c r="C72" s="14"/>
      <c r="D72" s="67">
        <v>50.009324712830463</v>
      </c>
      <c r="E72" s="68">
        <v>49.591899884279549</v>
      </c>
      <c r="F72" s="69">
        <v>35.922361330779701</v>
      </c>
      <c r="K72" s="24"/>
      <c r="M72" s="14"/>
      <c r="N72" s="67">
        <v>48.975695956645126</v>
      </c>
      <c r="O72" s="68">
        <v>65.532160154792763</v>
      </c>
      <c r="P72" s="69">
        <v>35.820839070720623</v>
      </c>
      <c r="T72" s="24"/>
      <c r="W72" s="12"/>
      <c r="X72" s="68">
        <v>71.897152256247168</v>
      </c>
      <c r="Y72" s="68">
        <v>86.468910889524679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89.052329006531664</v>
      </c>
      <c r="Y73" s="68">
        <v>101.34825145413782</v>
      </c>
    </row>
    <row r="74" spans="3:25" x14ac:dyDescent="0.15">
      <c r="C74" s="10" t="s">
        <v>409</v>
      </c>
      <c r="D74" s="67">
        <v>47.209584540076754</v>
      </c>
      <c r="E74" s="68">
        <v>41.263554965594018</v>
      </c>
      <c r="F74" s="69">
        <v>17.215072524447773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47.482793089946028</v>
      </c>
      <c r="O74" s="68">
        <v>55.826600262242778</v>
      </c>
      <c r="P74" s="69">
        <v>17.306027642812015</v>
      </c>
      <c r="R74" t="s">
        <v>4</v>
      </c>
      <c r="S74" t="s">
        <v>5</v>
      </c>
      <c r="T74" s="24" t="s">
        <v>6</v>
      </c>
      <c r="W74" s="12"/>
      <c r="X74" s="68">
        <v>97.587712481034103</v>
      </c>
      <c r="Y74" s="68">
        <v>108.33146437607296</v>
      </c>
    </row>
    <row r="75" spans="3:25" x14ac:dyDescent="0.15">
      <c r="C75" s="12"/>
      <c r="D75" s="67">
        <v>42.465356495567598</v>
      </c>
      <c r="E75" s="68">
        <v>40.752210874042227</v>
      </c>
      <c r="F75" s="69">
        <v>16.023545295394058</v>
      </c>
      <c r="H75" s="2">
        <f t="array" ref="H75:J75">LINEST(E74:E77,D74:D77^{1,2})</f>
        <v>2.8607603152526464E-3</v>
      </c>
      <c r="I75" s="2">
        <v>-0.19238470919133641</v>
      </c>
      <c r="J75" s="2">
        <v>43.91187573702544</v>
      </c>
      <c r="K75" s="24"/>
      <c r="M75" s="12"/>
      <c r="N75" s="67">
        <v>41.228509340499677</v>
      </c>
      <c r="O75" s="68">
        <v>55.930075733390261</v>
      </c>
      <c r="P75" s="69">
        <v>16.094799581803635</v>
      </c>
      <c r="R75" s="2">
        <f t="array" ref="R75:T75">LINEST(O74:O77,N74:N77^{1,2})</f>
        <v>-7.972785221342936E-4</v>
      </c>
      <c r="S75" s="2">
        <v>6.7108403572348707E-2</v>
      </c>
      <c r="T75" s="27">
        <v>54.45610395097529</v>
      </c>
      <c r="W75" s="12"/>
      <c r="X75" s="68">
        <v>104.27133188591066</v>
      </c>
      <c r="Y75" s="68">
        <v>114.30265628247243</v>
      </c>
    </row>
    <row r="76" spans="3:25" x14ac:dyDescent="0.15">
      <c r="C76" s="12"/>
      <c r="D76" s="67">
        <v>37.102816665150158</v>
      </c>
      <c r="E76" s="68">
        <v>40.829184240359169</v>
      </c>
      <c r="F76" s="69">
        <v>14.707852309873795</v>
      </c>
      <c r="K76" s="24"/>
      <c r="M76" s="12"/>
      <c r="N76" s="67">
        <v>36.475191125897595</v>
      </c>
      <c r="O76" s="68">
        <v>55.788583914062073</v>
      </c>
      <c r="P76" s="69">
        <v>14.963197928138866</v>
      </c>
      <c r="T76" s="24"/>
      <c r="W76" s="14"/>
      <c r="X76" s="68">
        <v>111.74275916804318</v>
      </c>
      <c r="Y76" s="68">
        <v>119.61292912838947</v>
      </c>
    </row>
    <row r="77" spans="3:25" x14ac:dyDescent="0.15">
      <c r="C77" s="14"/>
      <c r="D77" s="67">
        <v>29.182562373170153</v>
      </c>
      <c r="E77" s="68">
        <v>40.707367893087195</v>
      </c>
      <c r="F77" s="69">
        <v>13.182504343154573</v>
      </c>
      <c r="G77" s="25"/>
      <c r="H77" s="25"/>
      <c r="I77" s="25"/>
      <c r="J77" s="25"/>
      <c r="K77" s="26"/>
      <c r="M77" s="14"/>
      <c r="N77" s="67">
        <v>27.664795652547159</v>
      </c>
      <c r="O77" s="68">
        <v>55.713078457982796</v>
      </c>
      <c r="P77" s="69">
        <v>13.355668289558517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15">
      <c r="W78" s="10" t="s">
        <v>411</v>
      </c>
      <c r="X78" s="68">
        <v>81.198846939796766</v>
      </c>
      <c r="Y78" s="68">
        <v>53.948619317926948</v>
      </c>
    </row>
    <row r="79" spans="3:25" x14ac:dyDescent="0.15">
      <c r="F79" s="5"/>
      <c r="W79" s="12"/>
      <c r="X79" s="68">
        <v>70.254539314096192</v>
      </c>
      <c r="Y79" s="68">
        <v>48.762386933316016</v>
      </c>
    </row>
    <row r="80" spans="3:25" x14ac:dyDescent="0.15">
      <c r="F80" s="5"/>
      <c r="W80" s="12"/>
      <c r="X80" s="68">
        <v>52.851142891263699</v>
      </c>
      <c r="Y80" s="68">
        <v>40.17479588942841</v>
      </c>
    </row>
    <row r="81" spans="6:25" x14ac:dyDescent="0.15">
      <c r="F81" s="5"/>
      <c r="W81" s="12"/>
      <c r="X81" s="68">
        <v>35.427885488417679</v>
      </c>
      <c r="Y81" s="68">
        <v>32.654563666299268</v>
      </c>
    </row>
    <row r="82" spans="6:25" x14ac:dyDescent="0.15">
      <c r="F82" s="5"/>
      <c r="W82" s="12"/>
      <c r="X82" s="68">
        <v>24.980850337281851</v>
      </c>
      <c r="Y82" s="68">
        <v>28.243687599468238</v>
      </c>
    </row>
    <row r="83" spans="6:25" x14ac:dyDescent="0.15">
      <c r="W83" s="12"/>
      <c r="X83" s="17"/>
      <c r="Y83" s="13"/>
    </row>
    <row r="84" spans="6:25" x14ac:dyDescent="0.15">
      <c r="W84" s="14"/>
      <c r="X84" s="18"/>
      <c r="Y84" s="15"/>
    </row>
    <row r="85" spans="6:25" x14ac:dyDescent="0.15">
      <c r="W85" s="12"/>
      <c r="X85" s="16" t="s">
        <v>13</v>
      </c>
      <c r="Y85" s="11" t="s">
        <v>49</v>
      </c>
    </row>
    <row r="86" spans="6:25" x14ac:dyDescent="0.15">
      <c r="W86" s="10" t="s">
        <v>409</v>
      </c>
      <c r="X86" s="68">
        <v>11.711435293612686</v>
      </c>
      <c r="Y86" s="68">
        <v>10.725288918422793</v>
      </c>
    </row>
    <row r="87" spans="6:25" x14ac:dyDescent="0.15">
      <c r="F87" s="5"/>
      <c r="W87" s="12"/>
      <c r="X87" s="68">
        <v>27.818556286951857</v>
      </c>
      <c r="Y87" s="68">
        <v>13.699672910599288</v>
      </c>
    </row>
    <row r="88" spans="6:25" x14ac:dyDescent="0.15">
      <c r="F88" s="5"/>
      <c r="W88" s="12"/>
      <c r="X88" s="68">
        <v>36.046560556264176</v>
      </c>
      <c r="Y88" s="68">
        <v>15.230560172038357</v>
      </c>
    </row>
    <row r="89" spans="6:25" x14ac:dyDescent="0.15">
      <c r="F89" s="5"/>
      <c r="W89" s="12"/>
      <c r="X89" s="68">
        <v>46.471423023508507</v>
      </c>
      <c r="Y89" s="68">
        <v>17.476266161553145</v>
      </c>
    </row>
    <row r="90" spans="6:25" x14ac:dyDescent="0.15">
      <c r="F90" s="5"/>
      <c r="W90" s="12"/>
      <c r="X90" s="17"/>
      <c r="Y90" s="13"/>
    </row>
    <row r="91" spans="6:25" x14ac:dyDescent="0.15">
      <c r="F91" s="5"/>
      <c r="W91" s="12"/>
      <c r="X91" s="16" t="s">
        <v>13</v>
      </c>
      <c r="Y91" s="11" t="s">
        <v>49</v>
      </c>
    </row>
    <row r="92" spans="6:25" x14ac:dyDescent="0.15">
      <c r="F92" s="5"/>
      <c r="W92" s="10" t="s">
        <v>590</v>
      </c>
      <c r="X92" s="68">
        <v>141.10404124096343</v>
      </c>
      <c r="Y92" s="68">
        <v>167.93655444929746</v>
      </c>
    </row>
    <row r="93" spans="6:25" x14ac:dyDescent="0.15">
      <c r="F93" s="5"/>
      <c r="W93" s="12"/>
      <c r="X93" s="68">
        <v>124.94903554906834</v>
      </c>
      <c r="Y93" s="68">
        <v>151.20163489695867</v>
      </c>
    </row>
    <row r="94" spans="6:25" x14ac:dyDescent="0.15">
      <c r="F94" s="5"/>
      <c r="W94" s="12"/>
      <c r="X94" s="68">
        <v>106.62217899469141</v>
      </c>
      <c r="Y94" s="68">
        <v>133.50891905510676</v>
      </c>
    </row>
    <row r="95" spans="6:25" x14ac:dyDescent="0.15">
      <c r="F95" s="5"/>
      <c r="W95" s="12"/>
      <c r="X95" s="68">
        <v>64.419920557585854</v>
      </c>
      <c r="Y95" s="68">
        <v>99.092044063706723</v>
      </c>
    </row>
    <row r="96" spans="6:25" x14ac:dyDescent="0.15">
      <c r="F96" s="5"/>
      <c r="W96" s="14"/>
      <c r="X96" s="68">
        <v>56.229712184516153</v>
      </c>
      <c r="Y96" s="68">
        <v>93.114830247782109</v>
      </c>
    </row>
    <row r="97" spans="6:25" x14ac:dyDescent="0.15">
      <c r="F97" s="5"/>
      <c r="X97" s="68">
        <v>83.611180354954868</v>
      </c>
      <c r="Y97" s="68">
        <v>114.54522119951174</v>
      </c>
    </row>
    <row r="98" spans="6:25" x14ac:dyDescent="0.15">
      <c r="F98" s="5"/>
      <c r="W98" t="s">
        <v>597</v>
      </c>
    </row>
    <row r="99" spans="6:25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78BE9-6550-46FD-9352-38AF17946F83}">
  <sheetPr codeName="Taul5"/>
  <dimension ref="C2:AW99"/>
  <sheetViews>
    <sheetView zoomScale="85" zoomScaleNormal="85" workbookViewId="0">
      <selection activeCell="AE53" sqref="AE53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 ALU'!$G$33</f>
        <v>9.7222222222222214</v>
      </c>
      <c r="K3" t="s">
        <v>13</v>
      </c>
      <c r="L3" s="7">
        <f>'R-series ALU'!$G$39</f>
        <v>100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40.859963992787456</v>
      </c>
      <c r="Q5" s="52">
        <v>-51.380381150954243</v>
      </c>
      <c r="R5" t="s">
        <v>28</v>
      </c>
      <c r="T5" s="4"/>
      <c r="U5" s="39" t="s">
        <v>43</v>
      </c>
      <c r="V5" t="s">
        <v>8</v>
      </c>
      <c r="W5" s="9">
        <f>$P$5*LN($J$3)+$Q$5</f>
        <v>41.55210182060717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44.08621560033864</v>
      </c>
      <c r="Q6" s="52">
        <v>-42.392217400899909</v>
      </c>
      <c r="R6" t="s">
        <v>7</v>
      </c>
      <c r="T6" s="4"/>
      <c r="U6" s="39" t="s">
        <v>43</v>
      </c>
      <c r="V6" t="s">
        <v>57</v>
      </c>
      <c r="W6" s="9">
        <f>$P$6*LN($J$3)+$Q$6</f>
        <v>57.878098091357003</v>
      </c>
      <c r="X6" t="s">
        <v>31</v>
      </c>
      <c r="AA6" s="55">
        <v>25</v>
      </c>
      <c r="AB6" s="56">
        <f t="shared" ref="AB6:AB12" si="0">(-$D$9-SQRT($D$9^2-(4*$C$9*($E$9-AA6))))/(2*$C$9)</f>
        <v>149.37198438834608</v>
      </c>
      <c r="AC6" s="55">
        <v>20</v>
      </c>
      <c r="AD6" s="57">
        <f t="shared" ref="AD6:AD12" si="1">(-$D$14-SQRT($D$14^2-(4*$C$14*($E$14-AC6))))/(2*$C$14)</f>
        <v>133.17332240375293</v>
      </c>
      <c r="AE6" s="55">
        <v>15</v>
      </c>
      <c r="AF6" s="57">
        <f t="shared" ref="AF6:AF11" si="2">(-$D$19-SQRT($D$19^2-(4*$C$19*($E$19-AE6))))/(2*$C$19)</f>
        <v>99.999058386718588</v>
      </c>
      <c r="AG6" s="56">
        <v>10</v>
      </c>
      <c r="AH6" s="57">
        <f>(-$D$24-SQRT($D$24^2-(4*$C$24*($E$24-AG6))))/(2*$C$24)</f>
        <v>61.555446560450939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140.44019694340693</v>
      </c>
      <c r="AC7" s="55">
        <v>50</v>
      </c>
      <c r="AD7" s="57">
        <f t="shared" si="1"/>
        <v>128.50888008908166</v>
      </c>
      <c r="AE7" s="55">
        <v>40</v>
      </c>
      <c r="AF7" s="57">
        <f t="shared" si="2"/>
        <v>94.108238875868778</v>
      </c>
      <c r="AG7" s="56">
        <v>20</v>
      </c>
      <c r="AH7" s="57">
        <f>(-$D$24-SQRT($D$24^2-(4*$C$24*($E$24-AG7))))/(2*$C$24)</f>
        <v>57.822327947272591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133.12312176781919</v>
      </c>
      <c r="AC8" s="55">
        <v>100</v>
      </c>
      <c r="AD8" s="57">
        <f t="shared" si="1"/>
        <v>120.21047153971138</v>
      </c>
      <c r="AE8" s="55">
        <v>60</v>
      </c>
      <c r="AF8" s="57">
        <f t="shared" si="2"/>
        <v>89.069837468278507</v>
      </c>
      <c r="AG8" s="56">
        <v>30</v>
      </c>
      <c r="AH8" s="57">
        <f>(-$D$24-SQRT($D$24^2-(4*$C$24*($E$24-AG8))))/(2*$C$24)</f>
        <v>53.830589598087514</v>
      </c>
    </row>
    <row r="9" spans="3:34" x14ac:dyDescent="0.15">
      <c r="C9" s="8">
        <v>-6.5820291370216596E-2</v>
      </c>
      <c r="D9" s="8">
        <v>8.4393533003468324</v>
      </c>
      <c r="E9" s="8">
        <v>232.97871499992539</v>
      </c>
      <c r="H9" s="2"/>
      <c r="P9" t="s">
        <v>616</v>
      </c>
      <c r="Q9" s="52">
        <f t="array" ref="Q9:R9">LINEST(AM35:AM38,AL35:AL38)</f>
        <v>2.0021097638584746</v>
      </c>
      <c r="R9" s="52">
        <v>1.6935068472235475</v>
      </c>
      <c r="S9" s="84">
        <f>(J3-R9)/Q9</f>
        <v>4.0101274764904495</v>
      </c>
      <c r="U9" s="39" t="s">
        <v>42</v>
      </c>
      <c r="V9" t="s">
        <v>58</v>
      </c>
      <c r="W9" s="9">
        <f>IF($J$3&gt;$AM$35,($J$3-$R$10)/$Q$10,($J$3-$R$9)/$Q$9)</f>
        <v>4.0101274764904495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126.16844933408204</v>
      </c>
      <c r="AC9" s="55">
        <v>150</v>
      </c>
      <c r="AD9" s="57">
        <f t="shared" si="1"/>
        <v>111.08472606866653</v>
      </c>
      <c r="AE9" s="55">
        <v>80</v>
      </c>
      <c r="AF9" s="57">
        <f t="shared" si="2"/>
        <v>83.675510586883604</v>
      </c>
      <c r="AG9" s="56">
        <v>35</v>
      </c>
      <c r="AH9" s="57">
        <f>(-$D$24-SQRT($D$24^2-(4*$C$24*($E$24-AG9))))/(2*$C$24)</f>
        <v>51.71915361429582</v>
      </c>
    </row>
    <row r="10" spans="3:34" x14ac:dyDescent="0.15">
      <c r="C10" s="2"/>
      <c r="D10" s="2"/>
      <c r="E10" s="2"/>
      <c r="H10" s="2"/>
      <c r="P10" t="s">
        <v>614</v>
      </c>
      <c r="Q10" s="52">
        <f t="array" ref="Q10:R10">LINEST(AM34:AM35,AL34:AL35)</f>
        <v>-0.3336080764578</v>
      </c>
      <c r="R10" s="52">
        <v>21.971044257418118</v>
      </c>
      <c r="S10" s="84">
        <f>(J3-R10)/Q10</f>
        <v>36.716203532156754</v>
      </c>
      <c r="W10" t="b">
        <f>IF(AND(W9&gt;=0,W9&lt;=10.01,'R-series ALU'!G33&gt;=W11,P21),TRUE,FALSE)</f>
        <v>0</v>
      </c>
      <c r="AA10" s="55">
        <v>320</v>
      </c>
      <c r="AB10" s="56">
        <f t="shared" si="0"/>
        <v>116.90930697190107</v>
      </c>
      <c r="AC10" s="55">
        <v>170</v>
      </c>
      <c r="AD10" s="57">
        <f t="shared" si="1"/>
        <v>107.1393496264217</v>
      </c>
      <c r="AE10" s="55">
        <v>100</v>
      </c>
      <c r="AF10" s="57">
        <f t="shared" si="2"/>
        <v>77.837118713065038</v>
      </c>
      <c r="AG10" s="56">
        <v>80</v>
      </c>
      <c r="AH10" s="57">
        <f>(-$D$24-SQRT($D$24^2-(4*$C$24*($E$24-AG10))))/(2*$C$24)</f>
        <v>25.847865510561171</v>
      </c>
    </row>
    <row r="11" spans="3:34" x14ac:dyDescent="0.15">
      <c r="C11" s="2" t="s">
        <v>404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105.63452662019705</v>
      </c>
      <c r="AC11" s="55">
        <v>190</v>
      </c>
      <c r="AD11" s="57">
        <f t="shared" si="1"/>
        <v>102.9859461818326</v>
      </c>
      <c r="AE11" s="55">
        <v>185</v>
      </c>
      <c r="AF11" s="57">
        <f t="shared" si="2"/>
        <v>42.180912652297032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89.816310441248532</v>
      </c>
      <c r="AC12" s="58">
        <v>325</v>
      </c>
      <c r="AD12" s="60">
        <f t="shared" si="1"/>
        <v>64.002142123508037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LINEST(AE34:AE38,AC34:AC38^{1,2})</f>
        <v>0.60869054628382879</v>
      </c>
      <c r="Q13" s="51">
        <v>-11.72923420048717</v>
      </c>
      <c r="R13" s="51">
        <v>67.366169104890332</v>
      </c>
      <c r="U13" s="39" t="s">
        <v>43</v>
      </c>
      <c r="V13" t="s">
        <v>44</v>
      </c>
      <c r="W13" s="9">
        <f>$P$13*J3^2+$Q$13*J3+$R$13</f>
        <v>10.866355056765862</v>
      </c>
      <c r="X13" t="s">
        <v>49</v>
      </c>
      <c r="Y13" t="s">
        <v>592</v>
      </c>
    </row>
    <row r="14" spans="3:34" x14ac:dyDescent="0.15">
      <c r="C14" s="8">
        <v>-3.1350000000000003E-2</v>
      </c>
      <c r="D14" s="8">
        <v>1.7721</v>
      </c>
      <c r="E14" s="8">
        <v>340</v>
      </c>
      <c r="H14" s="2"/>
      <c r="V14" t="s">
        <v>52</v>
      </c>
      <c r="W14" s="3">
        <f>IF(W13&gt;Y14,Y14,W13)</f>
        <v>10.866355056765862</v>
      </c>
      <c r="X14" t="s">
        <v>49</v>
      </c>
      <c r="Y14">
        <v>168</v>
      </c>
    </row>
    <row r="15" spans="3:34" x14ac:dyDescent="0.15">
      <c r="C15" s="2"/>
      <c r="D15" s="2"/>
      <c r="E15" s="2"/>
      <c r="H15" s="2"/>
    </row>
    <row r="16" spans="3:34" ht="14" thickBot="1" x14ac:dyDescent="0.2">
      <c r="C16" s="2" t="s">
        <v>411</v>
      </c>
      <c r="D16" s="1"/>
      <c r="E16" s="1"/>
      <c r="H16" s="1"/>
      <c r="V16" t="s">
        <v>44</v>
      </c>
      <c r="W16">
        <f>'Laskenta tulopuoli 130'!W13</f>
        <v>10.476141320035765</v>
      </c>
    </row>
    <row r="17" spans="3:45" x14ac:dyDescent="0.15">
      <c r="C17" t="s">
        <v>11</v>
      </c>
      <c r="D17" s="1"/>
      <c r="E17" s="1"/>
      <c r="H17" s="1"/>
      <c r="P17" s="228" t="s">
        <v>605</v>
      </c>
      <c r="Q17" s="230"/>
      <c r="R17" s="231"/>
      <c r="V17" t="s">
        <v>73</v>
      </c>
      <c r="W17">
        <v>4.4000000000000004</v>
      </c>
    </row>
    <row r="18" spans="3:45" x14ac:dyDescent="0.15">
      <c r="C18" t="s">
        <v>4</v>
      </c>
      <c r="D18" t="s">
        <v>5</v>
      </c>
      <c r="E18" t="s">
        <v>6</v>
      </c>
      <c r="H18" s="1"/>
      <c r="P18" s="232" t="s">
        <v>606</v>
      </c>
      <c r="Q18">
        <v>350</v>
      </c>
      <c r="R18" s="364" t="s">
        <v>14</v>
      </c>
    </row>
    <row r="19" spans="3:45" x14ac:dyDescent="0.15">
      <c r="C19" s="8">
        <v>-2.5105053209823747E-2</v>
      </c>
      <c r="D19" s="8">
        <v>0.62918233099532539</v>
      </c>
      <c r="E19" s="8">
        <v>203.12816361709667</v>
      </c>
      <c r="P19" s="232" t="s">
        <v>607</v>
      </c>
      <c r="Q19">
        <v>0.32</v>
      </c>
      <c r="R19" s="364"/>
      <c r="V19" s="74" t="s">
        <v>74</v>
      </c>
      <c r="W19" s="77">
        <f>W13+W16+W17</f>
        <v>25.742496376801626</v>
      </c>
      <c r="X19" s="75" t="s">
        <v>49</v>
      </c>
      <c r="AB19" s="6"/>
      <c r="AC19" s="6"/>
    </row>
    <row r="20" spans="3:45" x14ac:dyDescent="0.15">
      <c r="C20" s="2"/>
      <c r="D20" s="2"/>
      <c r="E20" s="2"/>
      <c r="H20" s="1"/>
      <c r="P20" s="232"/>
      <c r="R20" s="364"/>
      <c r="AB20" s="6"/>
      <c r="AC20" s="6"/>
    </row>
    <row r="21" spans="3:45" ht="14" thickBot="1" x14ac:dyDescent="0.2">
      <c r="C21" s="2" t="s">
        <v>409</v>
      </c>
      <c r="D21" s="1"/>
      <c r="E21" s="1"/>
      <c r="H21" s="1"/>
      <c r="P21" s="236" t="b">
        <f>IF(AND(L3&gt;Q18,U29&gt;Q19),FALSE,TRUE)</f>
        <v>1</v>
      </c>
      <c r="Q21" s="238"/>
      <c r="R21" s="239"/>
      <c r="V21" t="s">
        <v>78</v>
      </c>
      <c r="W21">
        <f>MAX(J3,'Laskenta poistopuoli 60'!J3)</f>
        <v>9.7222222222222214</v>
      </c>
      <c r="X21" t="s">
        <v>13</v>
      </c>
      <c r="AB21" s="6"/>
      <c r="AC21" s="6"/>
    </row>
    <row r="22" spans="3:45" ht="15" x14ac:dyDescent="0.15">
      <c r="C22" t="s">
        <v>11</v>
      </c>
      <c r="D22" s="1"/>
      <c r="E22" s="1"/>
      <c r="H22" s="1"/>
      <c r="V22" t="s">
        <v>75</v>
      </c>
      <c r="W22">
        <f>W19/W21</f>
        <v>2.6477996273281672</v>
      </c>
      <c r="X22" t="s">
        <v>77</v>
      </c>
      <c r="AB22" s="6"/>
      <c r="AC22" s="6"/>
    </row>
    <row r="23" spans="3:45" x14ac:dyDescent="0.15">
      <c r="C23" t="s">
        <v>4</v>
      </c>
      <c r="D23" t="s">
        <v>5</v>
      </c>
      <c r="E23" t="s">
        <v>6</v>
      </c>
      <c r="H23" s="1"/>
      <c r="P23">
        <v>80</v>
      </c>
      <c r="Q23">
        <f>$C$27*P23^2+$D$27*P23+$E$27</f>
        <v>382.29368625398979</v>
      </c>
    </row>
    <row r="24" spans="3:45" x14ac:dyDescent="0.15">
      <c r="C24" s="8">
        <v>-2.2466600463323962E-2</v>
      </c>
      <c r="D24" s="8">
        <v>3.287270399782534E-3</v>
      </c>
      <c r="E24" s="8">
        <v>94.925239848174741</v>
      </c>
      <c r="H24" s="1"/>
      <c r="P24">
        <v>90</v>
      </c>
      <c r="Q24">
        <f t="shared" ref="Q24:Q25" si="3">$C$27*P24^2+$D$27*P24+$E$27</f>
        <v>354.53081848682547</v>
      </c>
    </row>
    <row r="25" spans="3:45" x14ac:dyDescent="0.15">
      <c r="E25" s="2"/>
      <c r="F25" s="2"/>
      <c r="G25" s="2"/>
      <c r="H25" s="1"/>
      <c r="P25">
        <v>135</v>
      </c>
      <c r="Q25">
        <f t="shared" si="3"/>
        <v>131.92949072175963</v>
      </c>
    </row>
    <row r="26" spans="3:45" x14ac:dyDescent="0.15">
      <c r="C26" s="2" t="s">
        <v>591</v>
      </c>
    </row>
    <row r="27" spans="3:45" x14ac:dyDescent="0.15">
      <c r="C27" s="8">
        <v>-3.946198901528352E-2</v>
      </c>
      <c r="D27" s="8">
        <v>3.9322513558817733</v>
      </c>
      <c r="E27" s="8">
        <v>320.27030748126242</v>
      </c>
      <c r="U27" t="s">
        <v>37</v>
      </c>
    </row>
    <row r="28" spans="3:45" x14ac:dyDescent="0.15">
      <c r="C28" s="466" t="s">
        <v>594</v>
      </c>
      <c r="U28" s="4" t="s">
        <v>17</v>
      </c>
    </row>
    <row r="29" spans="3:45" x14ac:dyDescent="0.15">
      <c r="U29" s="4">
        <f>(L3/J3)^2/L3</f>
        <v>1.0579591836734696</v>
      </c>
    </row>
    <row r="31" spans="3:45" x14ac:dyDescent="0.15">
      <c r="U31" s="2" t="s">
        <v>16</v>
      </c>
      <c r="AS31" s="2" t="s">
        <v>1110</v>
      </c>
    </row>
    <row r="32" spans="3:4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</row>
    <row r="34" spans="21:49" x14ac:dyDescent="0.15">
      <c r="U34" s="35">
        <v>10</v>
      </c>
      <c r="V34" s="98">
        <f>C9</f>
        <v>-6.5820291370216596E-2</v>
      </c>
      <c r="W34" s="99">
        <f>D9</f>
        <v>8.4393533003468324</v>
      </c>
      <c r="X34" s="100">
        <f>E9</f>
        <v>232.97871499992539</v>
      </c>
      <c r="Y34" s="36">
        <f>C9-U29</f>
        <v>-1.1237794750436862</v>
      </c>
      <c r="Z34" s="28">
        <f>(-W34+SQRT(W34^2-(4*Y34*X34)))/(2*Y34)</f>
        <v>-11.125168655184131</v>
      </c>
      <c r="AA34" s="29">
        <f>(-W34-SQRT(W34^2-(4*Y34*X34)))/(2*Y34)</f>
        <v>18.634963492840118</v>
      </c>
      <c r="AB34" s="36">
        <f>AB6</f>
        <v>149.37198438834608</v>
      </c>
      <c r="AC34" s="53">
        <f>IF(Z34&lt;0,AA34,IF(Z34&gt;AB34,AA34,Z34))</f>
        <v>18.634963492840118</v>
      </c>
      <c r="AD34" s="53">
        <f>V34*AC34^2+W34*AC34+X34</f>
        <v>367.38887855984609</v>
      </c>
      <c r="AE34" s="53">
        <f>X51*AC34^2+Y51*AC34+Z51</f>
        <v>70.154931206864731</v>
      </c>
      <c r="AF34" s="53">
        <f>$H$60*AC34^2+$I$60*AC34+$J$60</f>
        <v>64.313601679932304</v>
      </c>
      <c r="AG34" s="53">
        <f>$R$60*AC34^2+$S$60*AC34+$T$60</f>
        <v>89.843876460133714</v>
      </c>
      <c r="AI34">
        <v>10</v>
      </c>
      <c r="AJ34" s="3">
        <f>AC34</f>
        <v>18.634963492840118</v>
      </c>
      <c r="AL34">
        <v>10</v>
      </c>
      <c r="AM34" s="3">
        <f>AJ34</f>
        <v>18.634963492840118</v>
      </c>
      <c r="AS34" s="616">
        <f>AC34/$J$3-1</f>
        <v>0.91673910212069809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C14</f>
        <v>-3.1350000000000003E-2</v>
      </c>
      <c r="W35" s="99">
        <f>D14</f>
        <v>1.7721</v>
      </c>
      <c r="X35" s="100">
        <f>E14</f>
        <v>340</v>
      </c>
      <c r="Y35" s="36">
        <f>C14-U29</f>
        <v>-1.0893091836734696</v>
      </c>
      <c r="Z35" s="28">
        <f t="shared" ref="Z35:Z38" si="4">(-W35+SQRT(W35^2-(4*Y35*X35)))/(2*Y35)</f>
        <v>-16.872352997583238</v>
      </c>
      <c r="AA35" s="29">
        <f t="shared" ref="AA35:AA38" si="5">(-W35-SQRT(W35^2-(4*Y35*X35)))/(2*Y35)</f>
        <v>18.499163848496991</v>
      </c>
      <c r="AB35" s="36">
        <f>AD6</f>
        <v>133.17332240375293</v>
      </c>
      <c r="AC35" s="53">
        <f t="shared" ref="AC35:AC38" si="6">IF(Z35&lt;0,AA35,IF(Z35&gt;AB35,AA35,Z35))</f>
        <v>18.499163848496991</v>
      </c>
      <c r="AD35" s="53">
        <f>V35*AC35^2+W35*AC35+X35</f>
        <v>362.0538006279391</v>
      </c>
      <c r="AE35" s="53">
        <f t="shared" ref="AE35:AE37" si="7">X52*AC35^2+Y52*AC35+Z52</f>
        <v>45.594456409541138</v>
      </c>
      <c r="AF35" s="53">
        <f>$H$65*AC35^2+$I$65*AC35+$J$65</f>
        <v>68.893445796700803</v>
      </c>
      <c r="AG35" s="53">
        <f>$R$65*AC35^2+$S$65*AC35+$T$65</f>
        <v>85.784294027871582</v>
      </c>
      <c r="AI35">
        <v>8</v>
      </c>
      <c r="AJ35" s="3">
        <f t="shared" ref="AJ35:AJ38" si="8">AC35</f>
        <v>18.499163848496991</v>
      </c>
      <c r="AL35">
        <v>9</v>
      </c>
      <c r="AM35" s="3">
        <f>AJ38</f>
        <v>18.968571569297918</v>
      </c>
      <c r="AO35">
        <v>9</v>
      </c>
      <c r="AP35">
        <f>Q9*AO35+R9</f>
        <v>19.712494721949817</v>
      </c>
      <c r="AQ35" t="s">
        <v>13</v>
      </c>
      <c r="AS35" t="s">
        <v>1114</v>
      </c>
      <c r="AV35" t="s">
        <v>1116</v>
      </c>
    </row>
    <row r="36" spans="21:49" x14ac:dyDescent="0.15">
      <c r="U36" s="35">
        <v>6</v>
      </c>
      <c r="V36" s="98">
        <f>C19</f>
        <v>-2.5105053209823747E-2</v>
      </c>
      <c r="W36" s="99">
        <f>D19</f>
        <v>0.62918233099532539</v>
      </c>
      <c r="X36" s="100">
        <f>E19</f>
        <v>203.12816361709667</v>
      </c>
      <c r="Y36" s="36">
        <f>C19-U29</f>
        <v>-1.0830642368832935</v>
      </c>
      <c r="Z36" s="28">
        <f t="shared" si="4"/>
        <v>-13.407487540434044</v>
      </c>
      <c r="AA36" s="29">
        <f t="shared" si="5"/>
        <v>13.988415531192842</v>
      </c>
      <c r="AB36" s="36">
        <f>AF6</f>
        <v>99.999058386718588</v>
      </c>
      <c r="AC36" s="53">
        <f t="shared" si="6"/>
        <v>13.988415531192842</v>
      </c>
      <c r="AD36" s="53">
        <f>V36*AC36^2+W36*AC36+X36</f>
        <v>207.016976913485</v>
      </c>
      <c r="AE36" s="53">
        <f t="shared" si="7"/>
        <v>23.497156585053748</v>
      </c>
      <c r="AF36" s="53">
        <f>$H$70*AC36^2+$I$70*AC36+$J$70</f>
        <v>61.187514173591907</v>
      </c>
      <c r="AG36" s="53">
        <f>$R$70*AC36^2+$S$70*AC36+$T$70</f>
        <v>69.055657784981463</v>
      </c>
      <c r="AI36">
        <v>6</v>
      </c>
      <c r="AJ36" s="3">
        <f t="shared" si="8"/>
        <v>13.988415531192842</v>
      </c>
      <c r="AL36">
        <v>8</v>
      </c>
      <c r="AM36" s="3">
        <f>AJ35</f>
        <v>18.499163848496991</v>
      </c>
      <c r="AS36" s="279">
        <f>Tulokset!$CS$16</f>
        <v>11.666666666666666</v>
      </c>
      <c r="AT36" t="s">
        <v>13</v>
      </c>
      <c r="AV36" s="617">
        <f>IF($AS$36&gt;$AM$35,($AS$36-$R$10)/$Q$10,($AS$36-$R$9)/$Q$9)</f>
        <v>4.9813251997846519</v>
      </c>
      <c r="AW36" t="s">
        <v>25</v>
      </c>
    </row>
    <row r="37" spans="21:49" ht="14" thickBot="1" x14ac:dyDescent="0.2">
      <c r="U37" s="38">
        <v>4</v>
      </c>
      <c r="V37" s="101">
        <f>C24</f>
        <v>-2.2466600463323962E-2</v>
      </c>
      <c r="W37" s="102">
        <f>D24</f>
        <v>3.287270399782534E-3</v>
      </c>
      <c r="X37" s="103">
        <f>E24</f>
        <v>94.925239848174741</v>
      </c>
      <c r="Y37" s="37">
        <f>C24-U29</f>
        <v>-1.0804257841367937</v>
      </c>
      <c r="Z37" s="30">
        <f t="shared" si="4"/>
        <v>-9.371797494713018</v>
      </c>
      <c r="AA37" s="31">
        <f t="shared" si="5"/>
        <v>9.3748400640852481</v>
      </c>
      <c r="AB37" s="37">
        <f>AH6</f>
        <v>61.555446560450939</v>
      </c>
      <c r="AC37" s="53">
        <f t="shared" si="6"/>
        <v>9.3748400640852481</v>
      </c>
      <c r="AD37" s="53">
        <f>V37*AC37^2+W37*AC37+X37</f>
        <v>92.981521298304145</v>
      </c>
      <c r="AE37" s="53">
        <f t="shared" si="7"/>
        <v>10.626131292627683</v>
      </c>
      <c r="AF37" s="53">
        <f>$H$75*AC37^2+$I$75*AC37+$J$75</f>
        <v>38.062854326063324</v>
      </c>
      <c r="AG37" s="53">
        <f>$R$75*AC37^2+$S$75*AC37+$T$75</f>
        <v>58.308511580935303</v>
      </c>
      <c r="AI37">
        <v>4</v>
      </c>
      <c r="AJ37" s="3">
        <f t="shared" si="8"/>
        <v>9.3748400640852481</v>
      </c>
      <c r="AL37">
        <v>6</v>
      </c>
      <c r="AM37" s="3">
        <f t="shared" ref="AM37:AM38" si="9">AJ36</f>
        <v>13.988415531192842</v>
      </c>
      <c r="AS37" s="279">
        <f>Tulokset!$CS$17</f>
        <v>143.99999999999997</v>
      </c>
      <c r="AT37" t="s">
        <v>14</v>
      </c>
    </row>
    <row r="38" spans="21:49" ht="14" thickBot="1" x14ac:dyDescent="0.2">
      <c r="U38" s="468">
        <v>9</v>
      </c>
      <c r="V38" s="469">
        <f>C27</f>
        <v>-3.946198901528352E-2</v>
      </c>
      <c r="W38" s="469">
        <f t="shared" ref="W38:X38" si="10">D27</f>
        <v>3.9322513558817733</v>
      </c>
      <c r="X38" s="469">
        <f t="shared" si="10"/>
        <v>320.27030748126242</v>
      </c>
      <c r="Y38" s="470">
        <f>C27-U29</f>
        <v>-1.0974211726887531</v>
      </c>
      <c r="Z38" s="471">
        <f t="shared" si="4"/>
        <v>-15.385397256880102</v>
      </c>
      <c r="AA38" s="472">
        <f t="shared" si="5"/>
        <v>18.968571569297918</v>
      </c>
      <c r="AB38" s="473">
        <v>120</v>
      </c>
      <c r="AC38" s="474">
        <f t="shared" si="6"/>
        <v>18.968571569297918</v>
      </c>
      <c r="AD38" s="475">
        <f>V38*AC38^2+W38*AC38+X38</f>
        <v>380.6608104195364</v>
      </c>
      <c r="AE38" s="53">
        <f>X55*AC38^2+Y55*AC38+Z55</f>
        <v>66.177200324101648</v>
      </c>
      <c r="AI38">
        <v>9</v>
      </c>
      <c r="AJ38" s="3">
        <f t="shared" si="8"/>
        <v>18.968571569297918</v>
      </c>
      <c r="AL38">
        <v>4</v>
      </c>
      <c r="AM38" s="3">
        <f t="shared" si="9"/>
        <v>9.3748400640852481</v>
      </c>
    </row>
    <row r="40" spans="21:49" x14ac:dyDescent="0.15">
      <c r="U40" s="2" t="s">
        <v>35</v>
      </c>
      <c r="W40" t="s">
        <v>36</v>
      </c>
    </row>
    <row r="42" spans="21:49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15">
      <c r="U43" s="10" t="s">
        <v>55</v>
      </c>
      <c r="V43" s="21"/>
      <c r="W43" s="49">
        <v>11</v>
      </c>
      <c r="X43" s="49">
        <v>9</v>
      </c>
      <c r="Y43" s="49">
        <v>2</v>
      </c>
      <c r="Z43" s="49">
        <v>-3</v>
      </c>
      <c r="AA43" s="49">
        <v>-6</v>
      </c>
      <c r="AB43" s="49">
        <v>-13</v>
      </c>
      <c r="AC43" s="49">
        <v>-24</v>
      </c>
      <c r="AD43" s="49">
        <v>-32</v>
      </c>
      <c r="AE43" s="39" t="s">
        <v>42</v>
      </c>
      <c r="AF43" s="53">
        <f>$W$5+W43</f>
        <v>52.55210182060717</v>
      </c>
      <c r="AG43" s="53">
        <f t="shared" ref="AG43:AM43" si="11">$W$5+X43</f>
        <v>50.55210182060717</v>
      </c>
      <c r="AH43" s="53">
        <f t="shared" si="11"/>
        <v>43.55210182060717</v>
      </c>
      <c r="AI43" s="53">
        <f t="shared" si="11"/>
        <v>38.55210182060717</v>
      </c>
      <c r="AJ43" s="53">
        <f t="shared" si="11"/>
        <v>35.55210182060717</v>
      </c>
      <c r="AK43" s="53">
        <f t="shared" si="11"/>
        <v>28.55210182060717</v>
      </c>
      <c r="AL43" s="53">
        <f t="shared" si="11"/>
        <v>17.55210182060717</v>
      </c>
      <c r="AM43" s="53">
        <f t="shared" si="11"/>
        <v>9.5521018206071702</v>
      </c>
      <c r="AN43" s="5">
        <f t="array" ref="AN43">10*LOG10(SUM(10^(AF43:AM43/10)))</f>
        <v>55.155107416653777</v>
      </c>
      <c r="AO43" s="5">
        <f t="array" ref="AO43">10*LOG10(SUM(10^((AF43:AM43+AF46:AM46)/10)))</f>
        <v>41.580684329139018</v>
      </c>
      <c r="AP43" t="str">
        <f>IF(ABS(W5-AO43)&lt;0.5,"OK","Tarkista laskenta!")</f>
        <v>OK</v>
      </c>
    </row>
    <row r="44" spans="21:49" x14ac:dyDescent="0.15">
      <c r="U44" s="14" t="s">
        <v>56</v>
      </c>
      <c r="V44" s="26"/>
      <c r="W44" s="49">
        <v>9</v>
      </c>
      <c r="X44" s="49">
        <v>7</v>
      </c>
      <c r="Y44" s="49">
        <v>3</v>
      </c>
      <c r="Z44" s="49">
        <v>-3</v>
      </c>
      <c r="AA44" s="49">
        <v>-7</v>
      </c>
      <c r="AB44" s="49">
        <v>-9</v>
      </c>
      <c r="AC44" s="49">
        <v>-16</v>
      </c>
      <c r="AD44" s="49">
        <v>-26</v>
      </c>
      <c r="AE44" s="39" t="s">
        <v>43</v>
      </c>
      <c r="AF44" s="53">
        <f>$W$6+W44</f>
        <v>66.878098091357003</v>
      </c>
      <c r="AG44" s="53">
        <f t="shared" ref="AG44:AM44" si="12">$W$6+X44</f>
        <v>64.878098091357003</v>
      </c>
      <c r="AH44" s="53">
        <f t="shared" si="12"/>
        <v>60.878098091357003</v>
      </c>
      <c r="AI44" s="53">
        <f t="shared" si="12"/>
        <v>54.878098091357003</v>
      </c>
      <c r="AJ44" s="53">
        <f t="shared" si="12"/>
        <v>50.878098091357003</v>
      </c>
      <c r="AK44" s="53">
        <f t="shared" si="12"/>
        <v>48.878098091357003</v>
      </c>
      <c r="AL44" s="53">
        <f t="shared" si="12"/>
        <v>41.878098091357003</v>
      </c>
      <c r="AM44" s="53">
        <f t="shared" si="12"/>
        <v>31.878098091357003</v>
      </c>
      <c r="AN44" s="5">
        <f t="array" ref="AN44">10*LOG10(SUM(10^(AF44:AM44/10)))</f>
        <v>69.865947949988765</v>
      </c>
      <c r="AO44" s="5">
        <f t="array" ref="AO44">10*LOG10(SUM(10^((AF44:AM44+AF46:AM46)/10)))</f>
        <v>58.116567792181719</v>
      </c>
      <c r="AP44" t="str">
        <f>IF(ABS(W6-AO44)&lt;0.5,"OK","Tarkista laskenta!")</f>
        <v>OK</v>
      </c>
    </row>
    <row r="46" spans="21:49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LINEST(Y63:Y68,X63:X68^{1,2})</f>
        <v>-3.0274832563156016E-3</v>
      </c>
      <c r="Y51" s="54">
        <v>1.3879338969223955</v>
      </c>
      <c r="Z51" s="54">
        <v>45.342163187206395</v>
      </c>
    </row>
    <row r="52" spans="3:26" x14ac:dyDescent="0.15">
      <c r="W52" t="s">
        <v>408</v>
      </c>
      <c r="X52" s="54">
        <f t="array" ref="X52:Z52">LINEST(Y70:Y76,X70:X76^{1,2})</f>
        <v>-6.9375042848578584E-4</v>
      </c>
      <c r="Y52" s="54">
        <v>0.77076346759496583</v>
      </c>
      <c r="Z52" s="54">
        <v>31.573391355723313</v>
      </c>
    </row>
    <row r="53" spans="3:26" x14ac:dyDescent="0.15">
      <c r="W53" t="s">
        <v>411</v>
      </c>
      <c r="X53" s="54">
        <f t="array" ref="X53:Z53">LINEST(Y78:Y82,X78:X82^{1,2})</f>
        <v>7.6069351029504787E-4</v>
      </c>
      <c r="Y53" s="54">
        <v>0.31458730059891832</v>
      </c>
      <c r="Z53" s="54">
        <v>18.947729415783744</v>
      </c>
    </row>
    <row r="54" spans="3:26" x14ac:dyDescent="0.15">
      <c r="W54" t="s">
        <v>409</v>
      </c>
      <c r="X54" s="54">
        <f t="array" ref="X54:Z54">LINEST(Y86:Y89,X86:X89^{1,2})</f>
        <v>8.5683317291663282E-4</v>
      </c>
      <c r="Y54" s="54">
        <v>0.11014162815087163</v>
      </c>
      <c r="Z54" s="54">
        <v>9.5182661106749684</v>
      </c>
    </row>
    <row r="55" spans="3:26" x14ac:dyDescent="0.15">
      <c r="W55" t="s">
        <v>590</v>
      </c>
      <c r="X55" s="54">
        <f t="array" ref="X55:Z55">LINEST(Y92:Y96,X92:X96^{1,2})</f>
        <v>9.9771165119116856E-4</v>
      </c>
      <c r="Y55" s="54">
        <v>0.77679628183755234</v>
      </c>
      <c r="Z55" s="54">
        <v>51.083501113172183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598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598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142.33692589140077</v>
      </c>
      <c r="E59" s="68">
        <v>63.504792074772809</v>
      </c>
      <c r="F59" s="69">
        <v>168.33790315370854</v>
      </c>
      <c r="H59" t="s">
        <v>4</v>
      </c>
      <c r="I59" t="s">
        <v>5</v>
      </c>
      <c r="K59" s="24"/>
      <c r="M59" s="10" t="s">
        <v>3</v>
      </c>
      <c r="N59" s="67">
        <v>142.31089483268275</v>
      </c>
      <c r="O59" s="68">
        <v>76.38069339977983</v>
      </c>
      <c r="P59" s="69">
        <v>167.82975742013372</v>
      </c>
      <c r="R59" t="s">
        <v>4</v>
      </c>
      <c r="S59" t="s">
        <v>5</v>
      </c>
      <c r="T59" s="24" t="s">
        <v>6</v>
      </c>
      <c r="W59" s="10" t="s">
        <v>3</v>
      </c>
      <c r="X59" s="476">
        <v>145.93280562131633</v>
      </c>
      <c r="Y59" s="476">
        <v>171.33659884692841</v>
      </c>
    </row>
    <row r="60" spans="3:26" x14ac:dyDescent="0.15">
      <c r="C60" s="12"/>
      <c r="D60" s="67">
        <v>135.55354520352333</v>
      </c>
      <c r="E60" s="68">
        <v>63.293976534273817</v>
      </c>
      <c r="F60" s="69">
        <v>167.96119247536888</v>
      </c>
      <c r="H60" s="2">
        <f t="array" ref="H60:J60">LINEST(E59:E62,D59:D62^{1,2})</f>
        <v>-9.1850769573138257E-5</v>
      </c>
      <c r="I60" s="2">
        <v>7.2580390796304749E-3</v>
      </c>
      <c r="J60" s="2">
        <v>64.210244656140446</v>
      </c>
      <c r="K60" s="24"/>
      <c r="M60" s="12"/>
      <c r="N60" s="67">
        <v>135.75297833011399</v>
      </c>
      <c r="O60" s="68">
        <v>75.606125966760828</v>
      </c>
      <c r="P60" s="69">
        <v>167.76294559554921</v>
      </c>
      <c r="R60" s="2">
        <f t="array" ref="R60:T60">LINEST(O59:O62,N59:N62^{1,2})</f>
        <v>1.581334526101662E-3</v>
      </c>
      <c r="S60" s="2">
        <v>-0.36419370419520597</v>
      </c>
      <c r="T60" s="27">
        <v>96.081475666391881</v>
      </c>
      <c r="W60" s="12"/>
      <c r="X60" s="476">
        <v>141.05384772765888</v>
      </c>
      <c r="Y60" s="476">
        <v>171.20476167067767</v>
      </c>
    </row>
    <row r="61" spans="3:26" x14ac:dyDescent="0.15">
      <c r="C61" s="12"/>
      <c r="D61" s="67">
        <v>120.87292567048598</v>
      </c>
      <c r="E61" s="68">
        <v>63.858494061413182</v>
      </c>
      <c r="F61" s="69">
        <v>167.82594932956198</v>
      </c>
      <c r="K61" s="24"/>
      <c r="M61" s="12"/>
      <c r="N61" s="67">
        <v>121.88498248796257</v>
      </c>
      <c r="O61" s="68">
        <v>75.27508361363077</v>
      </c>
      <c r="P61" s="69">
        <v>167.4384519738862</v>
      </c>
      <c r="T61" s="24"/>
      <c r="W61" s="12"/>
      <c r="X61" s="476">
        <v>137.14938858370206</v>
      </c>
      <c r="Y61" s="476">
        <v>170.53321022331545</v>
      </c>
    </row>
    <row r="62" spans="3:26" x14ac:dyDescent="0.15">
      <c r="C62" s="14"/>
      <c r="D62" s="67">
        <v>99.354279744439367</v>
      </c>
      <c r="E62" s="68">
        <v>64.001811053093547</v>
      </c>
      <c r="F62" s="69">
        <v>159.19453835625194</v>
      </c>
      <c r="K62" s="24"/>
      <c r="M62" s="14"/>
      <c r="N62" s="67">
        <v>98.845904208709058</v>
      </c>
      <c r="O62" s="68">
        <v>75.51677763329937</v>
      </c>
      <c r="P62" s="69">
        <v>158.82836306866963</v>
      </c>
      <c r="T62" s="24"/>
      <c r="W62" s="12"/>
      <c r="X62" s="476">
        <v>131.55494143634706</v>
      </c>
      <c r="Y62" s="476">
        <v>170.80421961235893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6">
        <v>126.45313821471686</v>
      </c>
      <c r="Y63" s="476">
        <v>170.40340335914607</v>
      </c>
    </row>
    <row r="64" spans="3:26" x14ac:dyDescent="0.15">
      <c r="C64" s="10" t="s">
        <v>408</v>
      </c>
      <c r="D64" s="67">
        <v>124.39615122000632</v>
      </c>
      <c r="E64" s="68">
        <v>60.755407441724529</v>
      </c>
      <c r="F64" s="69">
        <v>113.60317789708478</v>
      </c>
      <c r="H64" t="s">
        <v>4</v>
      </c>
      <c r="I64" t="s">
        <v>5</v>
      </c>
      <c r="K64" s="24"/>
      <c r="M64" s="10" t="s">
        <v>408</v>
      </c>
      <c r="N64" s="67">
        <v>124.39645653823712</v>
      </c>
      <c r="O64" s="68">
        <v>73.274158998284477</v>
      </c>
      <c r="P64" s="69">
        <v>113.30264950492825</v>
      </c>
      <c r="R64" t="s">
        <v>4</v>
      </c>
      <c r="S64" t="s">
        <v>5</v>
      </c>
      <c r="T64" s="24" t="s">
        <v>6</v>
      </c>
      <c r="W64" s="12"/>
      <c r="X64" s="476">
        <v>121.46818656102965</v>
      </c>
      <c r="Y64" s="476">
        <v>169.75780539499809</v>
      </c>
    </row>
    <row r="65" spans="3:25" x14ac:dyDescent="0.15">
      <c r="C65" s="12"/>
      <c r="D65" s="67">
        <v>115.28578026929198</v>
      </c>
      <c r="E65" s="68">
        <v>59.863910817556906</v>
      </c>
      <c r="F65" s="69">
        <v>105.55857205937565</v>
      </c>
      <c r="H65" s="2">
        <f t="array" ref="H65:J65">LINEST(E64:E67,D64:D67^{1,2})</f>
        <v>1.6134374569970276E-3</v>
      </c>
      <c r="I65" s="2">
        <v>-0.30791360766971593</v>
      </c>
      <c r="J65" s="2">
        <v>74.03744102127115</v>
      </c>
      <c r="K65" s="24"/>
      <c r="M65" s="12"/>
      <c r="N65" s="67">
        <v>115.27995865272432</v>
      </c>
      <c r="O65" s="68">
        <v>72.04948224384114</v>
      </c>
      <c r="P65" s="69">
        <v>105.29860193076772</v>
      </c>
      <c r="R65" s="2">
        <f t="array" ref="R65:T65">LINEST(O64:O67,N64:N67^{1,2})</f>
        <v>2.5889618018373542E-3</v>
      </c>
      <c r="S65" s="2">
        <v>-0.48813921193497006</v>
      </c>
      <c r="T65" s="27">
        <v>93.928469208123047</v>
      </c>
      <c r="W65" s="12"/>
      <c r="X65" s="476">
        <v>113.97454094383536</v>
      </c>
      <c r="Y65" s="476">
        <v>167.39901054092508</v>
      </c>
    </row>
    <row r="66" spans="3:25" x14ac:dyDescent="0.15">
      <c r="C66" s="12"/>
      <c r="D66" s="67">
        <v>101.60052829387213</v>
      </c>
      <c r="E66" s="68">
        <v>59.500309027733529</v>
      </c>
      <c r="F66" s="69">
        <v>97.976349714782643</v>
      </c>
      <c r="K66" s="24"/>
      <c r="M66" s="12"/>
      <c r="N66" s="67">
        <v>101.91624124775765</v>
      </c>
      <c r="O66" s="68">
        <v>71.079127309114256</v>
      </c>
      <c r="P66" s="69">
        <v>97.765855378849452</v>
      </c>
      <c r="T66" s="24"/>
      <c r="W66" s="12"/>
      <c r="X66" s="476">
        <v>98.894194031361593</v>
      </c>
      <c r="Y66" s="476">
        <v>151.94567006146681</v>
      </c>
    </row>
    <row r="67" spans="3:25" x14ac:dyDescent="0.15">
      <c r="C67" s="14"/>
      <c r="D67" s="67">
        <v>86.887542381488743</v>
      </c>
      <c r="E67" s="68">
        <v>59.437175303534943</v>
      </c>
      <c r="F67" s="69">
        <v>86.958592380060594</v>
      </c>
      <c r="K67" s="24"/>
      <c r="M67" s="14"/>
      <c r="N67" s="67">
        <v>83.81228756595587</v>
      </c>
      <c r="O67" s="68">
        <v>71.200535622630397</v>
      </c>
      <c r="P67" s="69">
        <v>86.752896620101637</v>
      </c>
      <c r="T67" s="24"/>
      <c r="W67" s="12"/>
      <c r="X67" s="476">
        <v>82.599850212683407</v>
      </c>
      <c r="Y67" s="476">
        <v>138.15078073532626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6">
        <v>59.628845690569321</v>
      </c>
      <c r="Y68" s="476">
        <v>117.90995300763927</v>
      </c>
    </row>
    <row r="69" spans="3:25" x14ac:dyDescent="0.15">
      <c r="C69" s="10" t="s">
        <v>411</v>
      </c>
      <c r="D69" s="67">
        <v>93.509550571045949</v>
      </c>
      <c r="E69" s="68">
        <v>54.415504897675802</v>
      </c>
      <c r="F69" s="69">
        <v>51.963408020334164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93.746035380865251</v>
      </c>
      <c r="O69" s="68">
        <v>66.574724987435175</v>
      </c>
      <c r="P69" s="69">
        <v>51.840740552727752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15">
      <c r="C70" s="12"/>
      <c r="D70" s="67">
        <v>84.603189103799437</v>
      </c>
      <c r="E70" s="68">
        <v>53.466522438874719</v>
      </c>
      <c r="F70" s="69">
        <v>49.172956811497492</v>
      </c>
      <c r="H70" s="2">
        <f t="array" ref="H70:J70">LINEST(E69:E72,D69:D72^{1,2})</f>
        <v>2.6630451607203005E-3</v>
      </c>
      <c r="I70" s="2">
        <v>-0.37155138973968388</v>
      </c>
      <c r="J70" s="2">
        <v>65.863835994561867</v>
      </c>
      <c r="K70" s="24"/>
      <c r="M70" s="12"/>
      <c r="N70" s="67">
        <v>83.885724032891446</v>
      </c>
      <c r="O70" s="68">
        <v>65.900228657656129</v>
      </c>
      <c r="P70" s="69">
        <v>49.063899227254822</v>
      </c>
      <c r="R70" s="2">
        <f t="array" ref="R70:T70">LINEST(O69:O72,N69:N72^{1,2})</f>
        <v>1.9061650395799758E-3</v>
      </c>
      <c r="S70" s="2">
        <v>-0.2353363488863206</v>
      </c>
      <c r="T70" s="27">
        <v>71.974650112696608</v>
      </c>
      <c r="W70" s="10" t="s">
        <v>408</v>
      </c>
      <c r="X70" s="68">
        <v>48.113768648848222</v>
      </c>
      <c r="Y70" s="68">
        <v>66.989400705630914</v>
      </c>
    </row>
    <row r="71" spans="3:25" x14ac:dyDescent="0.15">
      <c r="C71" s="12"/>
      <c r="D71" s="67">
        <v>73.637239543770193</v>
      </c>
      <c r="E71" s="68">
        <v>52.965459876340411</v>
      </c>
      <c r="F71" s="69">
        <v>44.587210284777143</v>
      </c>
      <c r="K71" s="24"/>
      <c r="M71" s="12"/>
      <c r="N71" s="67">
        <v>73.528916154304341</v>
      </c>
      <c r="O71" s="68">
        <v>64.745187392101812</v>
      </c>
      <c r="P71" s="69">
        <v>44.520187546631931</v>
      </c>
      <c r="T71" s="24"/>
      <c r="W71" s="12"/>
      <c r="X71" s="68">
        <v>69.725952249164479</v>
      </c>
      <c r="Y71" s="68">
        <v>81.624373459526382</v>
      </c>
    </row>
    <row r="72" spans="3:25" x14ac:dyDescent="0.15">
      <c r="C72" s="14"/>
      <c r="D72" s="67">
        <v>62.440986792248914</v>
      </c>
      <c r="E72" s="68">
        <v>53.03990267809472</v>
      </c>
      <c r="F72" s="69">
        <v>37.958786520928079</v>
      </c>
      <c r="K72" s="24"/>
      <c r="M72" s="14"/>
      <c r="N72" s="67">
        <v>61.604561271906874</v>
      </c>
      <c r="O72" s="68">
        <v>64.778560386905198</v>
      </c>
      <c r="P72" s="69">
        <v>37.896921857869309</v>
      </c>
      <c r="T72" s="24"/>
      <c r="W72" s="12"/>
      <c r="X72" s="68">
        <v>94.145823061534287</v>
      </c>
      <c r="Y72" s="68">
        <v>99.999477318025953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104.21457877159305</v>
      </c>
      <c r="Y73" s="68">
        <v>103.48805129721504</v>
      </c>
    </row>
    <row r="74" spans="3:25" x14ac:dyDescent="0.15">
      <c r="C74" s="10" t="s">
        <v>409</v>
      </c>
      <c r="D74" s="67">
        <v>58.440074597319764</v>
      </c>
      <c r="E74" s="68">
        <v>45.027312949970536</v>
      </c>
      <c r="F74" s="69">
        <v>18.288711059751751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58.419544531154315</v>
      </c>
      <c r="O74" s="68">
        <v>57.040901964604288</v>
      </c>
      <c r="P74" s="69">
        <v>18.223283778167332</v>
      </c>
      <c r="R74" t="s">
        <v>4</v>
      </c>
      <c r="S74" t="s">
        <v>5</v>
      </c>
      <c r="T74" s="24" t="s">
        <v>6</v>
      </c>
      <c r="W74" s="12"/>
      <c r="X74" s="68">
        <v>112.57223888931715</v>
      </c>
      <c r="Y74" s="68">
        <v>108.26752691162672</v>
      </c>
    </row>
    <row r="75" spans="3:25" x14ac:dyDescent="0.15">
      <c r="C75" s="12"/>
      <c r="D75" s="67">
        <v>52.756041556422801</v>
      </c>
      <c r="E75" s="68">
        <v>45.390878440304824</v>
      </c>
      <c r="F75" s="69">
        <v>17.173412186741277</v>
      </c>
      <c r="H75" s="2">
        <f t="array" ref="H75:J75">LINEST(E74:E77,D74:D77^{1,2})</f>
        <v>-3.866361630894018E-3</v>
      </c>
      <c r="I75" s="2">
        <v>0.40537622724715378</v>
      </c>
      <c r="J75" s="2">
        <v>34.602322375714095</v>
      </c>
      <c r="K75" s="24"/>
      <c r="M75" s="12"/>
      <c r="N75" s="67">
        <v>52.196889475840962</v>
      </c>
      <c r="O75" s="68">
        <v>56.496554636920223</v>
      </c>
      <c r="P75" s="69">
        <v>17.13701321504886</v>
      </c>
      <c r="R75" s="2">
        <f t="array" ref="R75:T75">LINEST(O74:O77,N74:N77^{1,2})</f>
        <v>3.1592328051334062E-3</v>
      </c>
      <c r="S75" s="2">
        <v>-0.23928025485327195</v>
      </c>
      <c r="T75" s="27">
        <v>60.274068228736084</v>
      </c>
      <c r="W75" s="12"/>
      <c r="X75" s="68">
        <v>121.08321064793208</v>
      </c>
      <c r="Y75" s="68">
        <v>114.19640879671721</v>
      </c>
    </row>
    <row r="76" spans="3:25" x14ac:dyDescent="0.15">
      <c r="C76" s="12"/>
      <c r="D76" s="67">
        <v>46.383102435328567</v>
      </c>
      <c r="E76" s="68">
        <v>44.940241651074359</v>
      </c>
      <c r="F76" s="69">
        <v>15.976519793234619</v>
      </c>
      <c r="K76" s="24"/>
      <c r="M76" s="12"/>
      <c r="N76" s="67">
        <v>45.892068901589042</v>
      </c>
      <c r="O76" s="68">
        <v>55.851746083342412</v>
      </c>
      <c r="P76" s="69">
        <v>15.9708209629559</v>
      </c>
      <c r="T76" s="24"/>
      <c r="W76" s="14"/>
      <c r="X76" s="68">
        <v>128.25979843355867</v>
      </c>
      <c r="Y76" s="68">
        <v>120.0773159902373</v>
      </c>
    </row>
    <row r="77" spans="3:25" x14ac:dyDescent="0.15">
      <c r="C77" s="14"/>
      <c r="D77" s="67">
        <v>39.332106321431894</v>
      </c>
      <c r="E77" s="71">
        <v>44.609229142732467</v>
      </c>
      <c r="F77" s="69">
        <v>14.286412768134158</v>
      </c>
      <c r="G77" s="25"/>
      <c r="H77" s="25"/>
      <c r="I77" s="25"/>
      <c r="J77" s="25"/>
      <c r="K77" s="26"/>
      <c r="M77" s="14"/>
      <c r="N77" s="67">
        <v>38.225352061782701</v>
      </c>
      <c r="O77" s="71">
        <v>55.770251275797165</v>
      </c>
      <c r="P77" s="69">
        <v>14.253213470630605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15">
      <c r="W78" s="10" t="s">
        <v>411</v>
      </c>
      <c r="X78" s="68">
        <v>95.288588606918864</v>
      </c>
      <c r="Y78" s="68">
        <v>55.926419615573145</v>
      </c>
    </row>
    <row r="79" spans="3:25" x14ac:dyDescent="0.15">
      <c r="F79" s="5"/>
      <c r="W79" s="12"/>
      <c r="X79" s="68">
        <v>84.236237037741418</v>
      </c>
      <c r="Y79" s="68">
        <v>50.599349202971588</v>
      </c>
    </row>
    <row r="80" spans="3:25" x14ac:dyDescent="0.15">
      <c r="F80" s="5"/>
      <c r="W80" s="12"/>
      <c r="X80" s="68">
        <v>67.284582916698795</v>
      </c>
      <c r="Y80" s="68">
        <v>43.796688567953638</v>
      </c>
    </row>
    <row r="81" spans="6:25" x14ac:dyDescent="0.15">
      <c r="F81" s="5"/>
      <c r="W81" s="12"/>
      <c r="X81" s="68">
        <v>38.781474840211665</v>
      </c>
      <c r="Y81" s="68">
        <v>32.110345134320482</v>
      </c>
    </row>
    <row r="82" spans="6:25" x14ac:dyDescent="0.15">
      <c r="F82" s="5"/>
      <c r="W82" s="12"/>
      <c r="X82" s="68">
        <v>28.199869006956831</v>
      </c>
      <c r="Y82" s="68">
        <v>28.517985540807324</v>
      </c>
    </row>
    <row r="83" spans="6:25" x14ac:dyDescent="0.15">
      <c r="W83" s="12"/>
      <c r="X83" s="17"/>
      <c r="Y83" s="13"/>
    </row>
    <row r="84" spans="6:25" x14ac:dyDescent="0.15">
      <c r="W84" s="14"/>
      <c r="X84" s="18"/>
      <c r="Y84" s="15"/>
    </row>
    <row r="85" spans="6:25" x14ac:dyDescent="0.15">
      <c r="W85" s="12"/>
      <c r="X85" s="16" t="s">
        <v>13</v>
      </c>
      <c r="Y85" s="11" t="s">
        <v>49</v>
      </c>
    </row>
    <row r="86" spans="6:25" x14ac:dyDescent="0.15">
      <c r="W86" s="10" t="s">
        <v>409</v>
      </c>
      <c r="X86" s="68">
        <v>18.229681878656653</v>
      </c>
      <c r="Y86" s="68">
        <v>11.829330691825657</v>
      </c>
    </row>
    <row r="87" spans="6:25" x14ac:dyDescent="0.15">
      <c r="F87" s="5"/>
      <c r="W87" s="12"/>
      <c r="X87" s="68">
        <v>38.356644506032225</v>
      </c>
      <c r="Y87" s="68">
        <v>14.906650602251696</v>
      </c>
    </row>
    <row r="88" spans="6:25" x14ac:dyDescent="0.15">
      <c r="F88" s="5"/>
      <c r="W88" s="12"/>
      <c r="X88" s="68">
        <v>50.652024686808119</v>
      </c>
      <c r="Y88" s="68">
        <v>17.447344781188477</v>
      </c>
    </row>
    <row r="89" spans="6:25" x14ac:dyDescent="0.15">
      <c r="F89" s="5"/>
      <c r="W89" s="12"/>
      <c r="X89" s="68">
        <v>58.713396920140099</v>
      </c>
      <c r="Y89" s="68">
        <v>18.86532265222845</v>
      </c>
    </row>
    <row r="90" spans="6:25" x14ac:dyDescent="0.15">
      <c r="F90" s="5"/>
      <c r="W90" s="12"/>
      <c r="X90" s="17"/>
      <c r="Y90" s="13"/>
    </row>
    <row r="91" spans="6:25" x14ac:dyDescent="0.15">
      <c r="F91" s="5"/>
      <c r="W91" s="12"/>
      <c r="X91" s="16" t="s">
        <v>13</v>
      </c>
      <c r="Y91" s="11" t="s">
        <v>49</v>
      </c>
    </row>
    <row r="92" spans="6:25" x14ac:dyDescent="0.15">
      <c r="F92" s="5"/>
      <c r="W92" s="10" t="s">
        <v>590</v>
      </c>
      <c r="X92" s="68">
        <v>120.12416008604148</v>
      </c>
      <c r="Y92" s="68">
        <v>158.71858363035491</v>
      </c>
    </row>
    <row r="93" spans="6:25" x14ac:dyDescent="0.15">
      <c r="F93" s="5"/>
      <c r="W93" s="12"/>
      <c r="X93" s="68">
        <v>104.28237943386655</v>
      </c>
      <c r="Y93" s="68">
        <v>143.40845802475638</v>
      </c>
    </row>
    <row r="94" spans="6:25" x14ac:dyDescent="0.15">
      <c r="F94" s="5"/>
      <c r="W94" s="12"/>
      <c r="X94" s="68">
        <v>70.69056308182347</v>
      </c>
      <c r="Y94" s="68">
        <v>111.60794943452888</v>
      </c>
    </row>
    <row r="95" spans="6:25" x14ac:dyDescent="0.15">
      <c r="F95" s="5"/>
      <c r="W95" s="12"/>
      <c r="X95" s="68">
        <v>49.564301038903714</v>
      </c>
      <c r="Y95" s="68">
        <v>91.87637660025311</v>
      </c>
    </row>
    <row r="96" spans="6:25" x14ac:dyDescent="0.15">
      <c r="F96" s="5"/>
      <c r="W96" s="14"/>
      <c r="X96" s="68">
        <v>88.638894657469507</v>
      </c>
      <c r="Y96" s="68">
        <v>126.91451442541967</v>
      </c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32D15-914F-4C70-8182-4C77C6AE8579}">
  <sheetPr codeName="Taul6"/>
  <dimension ref="B3:W49"/>
  <sheetViews>
    <sheetView workbookViewId="0">
      <selection activeCell="AE53" sqref="AE53"/>
    </sheetView>
  </sheetViews>
  <sheetFormatPr baseColWidth="10" defaultColWidth="8.83203125" defaultRowHeight="13" x14ac:dyDescent="0.15"/>
  <cols>
    <col min="2" max="2" width="22.5" customWidth="1"/>
  </cols>
  <sheetData>
    <row r="3" spans="2:12" x14ac:dyDescent="0.15">
      <c r="B3" s="2" t="s">
        <v>79</v>
      </c>
    </row>
    <row r="4" spans="2:12" x14ac:dyDescent="0.15">
      <c r="B4" t="s">
        <v>7</v>
      </c>
      <c r="C4" s="3">
        <f>'Laskenta tulopuoli 130'!W9</f>
        <v>3.7119815086198944</v>
      </c>
      <c r="D4" t="s">
        <v>25</v>
      </c>
    </row>
    <row r="5" spans="2:12" x14ac:dyDescent="0.15">
      <c r="B5" t="s">
        <v>8</v>
      </c>
      <c r="C5" s="3">
        <f>'Laskenta poistopuoli 130'!W9</f>
        <v>4.0101274764904495</v>
      </c>
      <c r="D5" t="s">
        <v>25</v>
      </c>
    </row>
    <row r="7" spans="2:12" x14ac:dyDescent="0.15">
      <c r="B7" s="2" t="s">
        <v>88</v>
      </c>
      <c r="K7" t="s">
        <v>599</v>
      </c>
    </row>
    <row r="8" spans="2:12" x14ac:dyDescent="0.15">
      <c r="B8" t="s">
        <v>90</v>
      </c>
      <c r="K8" t="s">
        <v>365</v>
      </c>
      <c r="L8" t="s">
        <v>27</v>
      </c>
    </row>
    <row r="9" spans="2:12" x14ac:dyDescent="0.15">
      <c r="B9" t="s">
        <v>601</v>
      </c>
      <c r="K9" s="8">
        <v>10</v>
      </c>
      <c r="L9" s="479">
        <v>50.727797451867104</v>
      </c>
    </row>
    <row r="10" spans="2:12" x14ac:dyDescent="0.15">
      <c r="K10" s="8">
        <v>10</v>
      </c>
      <c r="L10" s="479">
        <v>50.906829010197214</v>
      </c>
    </row>
    <row r="11" spans="2:12" x14ac:dyDescent="0.15">
      <c r="C11" t="s">
        <v>4</v>
      </c>
      <c r="D11" t="s">
        <v>5</v>
      </c>
      <c r="K11" s="8">
        <v>10</v>
      </c>
      <c r="L11" s="479">
        <v>51.633663631872835</v>
      </c>
    </row>
    <row r="12" spans="2:12" x14ac:dyDescent="0.15">
      <c r="B12" t="s">
        <v>600</v>
      </c>
      <c r="C12" s="107">
        <f t="array" ref="C12:D12">LINEST(L9:L14,LN(K9:K14))</f>
        <v>21.378327428349703</v>
      </c>
      <c r="D12" s="107">
        <v>1.951498036236309</v>
      </c>
      <c r="K12" s="8">
        <v>8</v>
      </c>
      <c r="L12" s="479">
        <v>46.855554140426776</v>
      </c>
    </row>
    <row r="13" spans="2:12" x14ac:dyDescent="0.15">
      <c r="K13" s="8">
        <v>6</v>
      </c>
      <c r="L13" s="479">
        <v>40.081737985343281</v>
      </c>
    </row>
    <row r="14" spans="2:12" x14ac:dyDescent="0.15">
      <c r="K14" s="8">
        <v>4</v>
      </c>
      <c r="L14" s="479">
        <v>31.57611766294508</v>
      </c>
    </row>
    <row r="15" spans="2:12" x14ac:dyDescent="0.15">
      <c r="B15" t="s">
        <v>91</v>
      </c>
      <c r="C15" s="3">
        <f>MAX(C4,C5)</f>
        <v>4.0101274764904495</v>
      </c>
      <c r="D15" t="s">
        <v>25</v>
      </c>
      <c r="E15" s="82" t="s">
        <v>42</v>
      </c>
      <c r="F15" s="5">
        <f>$C$12*LN(C15)+$D$12</f>
        <v>31.642211521479187</v>
      </c>
      <c r="G15" t="s">
        <v>31</v>
      </c>
    </row>
    <row r="16" spans="2:12" x14ac:dyDescent="0.15">
      <c r="B16" t="s">
        <v>92</v>
      </c>
      <c r="C16" s="79">
        <f>(2*MAX(C4,C5)+MIN(C4,C5))/3</f>
        <v>3.9107454872002645</v>
      </c>
      <c r="D16" t="s">
        <v>25</v>
      </c>
      <c r="E16" s="82" t="s">
        <v>42</v>
      </c>
      <c r="F16" s="5">
        <f>$C$12*LN(C16)+$D$12</f>
        <v>31.105722117815475</v>
      </c>
      <c r="G16" t="s">
        <v>31</v>
      </c>
    </row>
    <row r="18" spans="2:21" ht="14" x14ac:dyDescent="0.15">
      <c r="B18" s="83" t="s">
        <v>82</v>
      </c>
    </row>
    <row r="20" spans="2:21" x14ac:dyDescent="0.15">
      <c r="B20" s="2" t="s">
        <v>84</v>
      </c>
      <c r="K20" s="16">
        <v>63</v>
      </c>
      <c r="L20" s="208">
        <v>125</v>
      </c>
      <c r="M20" s="208">
        <v>250</v>
      </c>
      <c r="N20" s="208">
        <v>500</v>
      </c>
      <c r="O20" s="208">
        <v>1000</v>
      </c>
      <c r="P20" s="208">
        <v>2000</v>
      </c>
      <c r="Q20" s="208">
        <v>4000</v>
      </c>
      <c r="R20" s="11">
        <v>8000</v>
      </c>
      <c r="S20" s="4" t="s">
        <v>391</v>
      </c>
      <c r="T20" s="4" t="s">
        <v>27</v>
      </c>
    </row>
    <row r="21" spans="2:21" x14ac:dyDescent="0.15">
      <c r="B21" t="s">
        <v>85</v>
      </c>
      <c r="C21" t="s">
        <v>28</v>
      </c>
      <c r="D21" s="3" t="str">
        <f>'R-series ALU'!N54</f>
        <v>-</v>
      </c>
      <c r="E21" t="s">
        <v>31</v>
      </c>
      <c r="J21" t="s">
        <v>102</v>
      </c>
      <c r="K21" s="67">
        <v>60.474617706832497</v>
      </c>
      <c r="L21" s="68">
        <v>60.947060754539201</v>
      </c>
      <c r="M21" s="68">
        <v>56.105989537342928</v>
      </c>
      <c r="N21" s="68">
        <v>46.761998862738068</v>
      </c>
      <c r="O21" s="68">
        <v>37.367803478832741</v>
      </c>
      <c r="P21" s="68">
        <v>30.663147021711609</v>
      </c>
      <c r="Q21" s="68">
        <v>28.38770669872595</v>
      </c>
      <c r="R21" s="69">
        <v>22.173900769877921</v>
      </c>
      <c r="S21" s="482">
        <v>64.50559432031443</v>
      </c>
      <c r="T21" s="68">
        <v>50.727797451867104</v>
      </c>
    </row>
    <row r="22" spans="2:21" x14ac:dyDescent="0.15">
      <c r="B22" s="25"/>
      <c r="C22" s="25" t="s">
        <v>8</v>
      </c>
      <c r="D22" s="81" t="str">
        <f>'R-series ALU'!N55</f>
        <v>-</v>
      </c>
      <c r="E22" t="s">
        <v>31</v>
      </c>
      <c r="J22" t="s">
        <v>404</v>
      </c>
      <c r="K22" s="67">
        <v>58.092495979814174</v>
      </c>
      <c r="L22" s="68">
        <v>57.911606468677959</v>
      </c>
      <c r="M22" s="68">
        <v>51.76386948867129</v>
      </c>
      <c r="N22" s="68">
        <v>42.07803596728656</v>
      </c>
      <c r="O22" s="68">
        <v>33.319524299041937</v>
      </c>
      <c r="P22" s="68">
        <v>27.671075521806255</v>
      </c>
      <c r="Q22" s="68">
        <v>24.872746120590968</v>
      </c>
      <c r="R22" s="69">
        <v>16.80244799255383</v>
      </c>
      <c r="S22" s="482">
        <v>61.559765602426999</v>
      </c>
      <c r="T22" s="68">
        <v>46.855554140426776</v>
      </c>
    </row>
    <row r="23" spans="2:21" x14ac:dyDescent="0.15">
      <c r="C23" t="s">
        <v>87</v>
      </c>
      <c r="D23" s="3" t="e">
        <f>ABS(D21-D22)</f>
        <v>#VALUE!</v>
      </c>
      <c r="E23" t="s">
        <v>31</v>
      </c>
      <c r="J23" t="s">
        <v>405</v>
      </c>
      <c r="K23" s="67">
        <v>52.817304171160437</v>
      </c>
      <c r="L23" s="68">
        <v>51.755570891184455</v>
      </c>
      <c r="M23" s="68">
        <v>44.384721983016384</v>
      </c>
      <c r="N23" s="68">
        <v>35.691045949143046</v>
      </c>
      <c r="O23" s="68">
        <v>27.734165354176238</v>
      </c>
      <c r="P23" s="68">
        <v>21.672976734286667</v>
      </c>
      <c r="Q23" s="68">
        <v>17.577062138013034</v>
      </c>
      <c r="R23" s="69">
        <v>7.5290216118441364</v>
      </c>
      <c r="S23" s="482">
        <v>55.718008949083085</v>
      </c>
      <c r="T23" s="68">
        <v>40.081737985343281</v>
      </c>
    </row>
    <row r="24" spans="2:21" x14ac:dyDescent="0.15">
      <c r="D24" s="3"/>
      <c r="J24" t="s">
        <v>406</v>
      </c>
      <c r="K24" s="70">
        <v>45.015484898296272</v>
      </c>
      <c r="L24" s="71">
        <v>42.229058492899583</v>
      </c>
      <c r="M24" s="71">
        <v>35.569278172526609</v>
      </c>
      <c r="N24" s="71">
        <v>29.02976791085376</v>
      </c>
      <c r="O24" s="71">
        <v>20.367356929802241</v>
      </c>
      <c r="P24" s="71">
        <v>11.962003772058438</v>
      </c>
      <c r="Q24" s="71">
        <v>5.3019472550635438</v>
      </c>
      <c r="R24" s="72">
        <v>3.6170763585564285</v>
      </c>
      <c r="S24" s="482">
        <v>47.24097360410785</v>
      </c>
      <c r="T24" s="68">
        <v>31.57611766294508</v>
      </c>
    </row>
    <row r="25" spans="2:21" x14ac:dyDescent="0.15">
      <c r="B25" t="s">
        <v>86</v>
      </c>
      <c r="C25" t="s">
        <v>7</v>
      </c>
      <c r="D25" s="3" t="str">
        <f>'R-series ALU'!N53</f>
        <v>-</v>
      </c>
      <c r="E25" t="s">
        <v>31</v>
      </c>
    </row>
    <row r="26" spans="2:21" x14ac:dyDescent="0.15">
      <c r="B26" s="25"/>
      <c r="C26" s="25" t="s">
        <v>57</v>
      </c>
      <c r="D26" s="81" t="str">
        <f>'R-series ALU'!N56</f>
        <v>-</v>
      </c>
      <c r="E26" t="s">
        <v>31</v>
      </c>
      <c r="K26" s="19">
        <f>K21-$T21</f>
        <v>9.7468202549653924</v>
      </c>
      <c r="L26" s="481">
        <f t="shared" ref="L26:R26" si="0">L21-$T21</f>
        <v>10.219263302672097</v>
      </c>
      <c r="M26" s="481">
        <f t="shared" si="0"/>
        <v>5.3781920854758241</v>
      </c>
      <c r="N26" s="481">
        <f t="shared" si="0"/>
        <v>-3.9657985891290366</v>
      </c>
      <c r="O26" s="481">
        <f t="shared" si="0"/>
        <v>-13.359993973034364</v>
      </c>
      <c r="P26" s="481">
        <f t="shared" si="0"/>
        <v>-20.064650430155496</v>
      </c>
      <c r="Q26" s="481">
        <f t="shared" si="0"/>
        <v>-22.340090753141155</v>
      </c>
      <c r="R26" s="20">
        <f t="shared" si="0"/>
        <v>-28.553896681989183</v>
      </c>
    </row>
    <row r="27" spans="2:21" x14ac:dyDescent="0.15">
      <c r="C27" t="s">
        <v>87</v>
      </c>
      <c r="D27" s="3" t="e">
        <f>ABS(D25-D26)</f>
        <v>#VALUE!</v>
      </c>
      <c r="E27" t="s">
        <v>31</v>
      </c>
      <c r="K27" s="17">
        <f t="shared" ref="K27:R29" si="1">K22-$T22</f>
        <v>11.236941839387399</v>
      </c>
      <c r="L27" s="5">
        <f t="shared" si="1"/>
        <v>11.056052328251184</v>
      </c>
      <c r="M27" s="5">
        <f t="shared" si="1"/>
        <v>4.9083153482445141</v>
      </c>
      <c r="N27" s="5">
        <f t="shared" si="1"/>
        <v>-4.7775181731402157</v>
      </c>
      <c r="O27" s="5">
        <f t="shared" si="1"/>
        <v>-13.536029841384838</v>
      </c>
      <c r="P27" s="5">
        <f t="shared" si="1"/>
        <v>-19.184478618620521</v>
      </c>
      <c r="Q27" s="5">
        <f t="shared" si="1"/>
        <v>-21.982808019835808</v>
      </c>
      <c r="R27" s="13">
        <f t="shared" si="1"/>
        <v>-30.053106147872946</v>
      </c>
    </row>
    <row r="28" spans="2:21" x14ac:dyDescent="0.15">
      <c r="K28" s="17">
        <f t="shared" si="1"/>
        <v>12.735566185817156</v>
      </c>
      <c r="L28" s="5">
        <f t="shared" si="1"/>
        <v>11.673832905841174</v>
      </c>
      <c r="M28" s="5">
        <f t="shared" si="1"/>
        <v>4.3029839976731026</v>
      </c>
      <c r="N28" s="5">
        <f t="shared" si="1"/>
        <v>-4.3906920362002353</v>
      </c>
      <c r="O28" s="5">
        <f t="shared" si="1"/>
        <v>-12.347572631167044</v>
      </c>
      <c r="P28" s="5">
        <f t="shared" si="1"/>
        <v>-18.408761251056614</v>
      </c>
      <c r="Q28" s="5">
        <f t="shared" si="1"/>
        <v>-22.504675847330248</v>
      </c>
      <c r="R28" s="13">
        <f t="shared" si="1"/>
        <v>-32.552716373499145</v>
      </c>
    </row>
    <row r="29" spans="2:21" x14ac:dyDescent="0.15">
      <c r="B29" t="s">
        <v>94</v>
      </c>
      <c r="C29" s="3" t="e">
        <f>AVERAGE(D27,D23)</f>
        <v>#VALUE!</v>
      </c>
      <c r="D29" t="s">
        <v>31</v>
      </c>
      <c r="K29" s="18">
        <f t="shared" si="1"/>
        <v>13.439367235351192</v>
      </c>
      <c r="L29" s="209">
        <f t="shared" si="1"/>
        <v>10.652940829954503</v>
      </c>
      <c r="M29" s="209">
        <f t="shared" si="1"/>
        <v>3.9931605095815286</v>
      </c>
      <c r="N29" s="209">
        <f t="shared" si="1"/>
        <v>-2.5463497520913201</v>
      </c>
      <c r="O29" s="209">
        <f t="shared" si="1"/>
        <v>-11.208760733142839</v>
      </c>
      <c r="P29" s="209">
        <f t="shared" si="1"/>
        <v>-19.614113890886642</v>
      </c>
      <c r="Q29" s="209">
        <f t="shared" si="1"/>
        <v>-26.274170407881535</v>
      </c>
      <c r="R29" s="15">
        <f t="shared" si="1"/>
        <v>-27.959041304388652</v>
      </c>
    </row>
    <row r="30" spans="2:21" x14ac:dyDescent="0.15">
      <c r="B30" t="s">
        <v>93</v>
      </c>
      <c r="C30" s="3" t="e">
        <f>-10*LOG10((1-10^(-C29/10)))-3</f>
        <v>#VALUE!</v>
      </c>
      <c r="D30" t="s">
        <v>31</v>
      </c>
      <c r="J30" t="s">
        <v>419</v>
      </c>
      <c r="K30" s="6">
        <f>AVERAGE(K26:K29)</f>
        <v>11.789673878880285</v>
      </c>
      <c r="L30" s="6">
        <f t="shared" ref="L30:R30" si="2">AVERAGE(L26:L29)</f>
        <v>10.900522341679739</v>
      </c>
      <c r="M30" s="6">
        <f t="shared" si="2"/>
        <v>4.6456629852437423</v>
      </c>
      <c r="N30" s="6">
        <f t="shared" si="2"/>
        <v>-3.9200896376402019</v>
      </c>
      <c r="O30" s="6">
        <f t="shared" si="2"/>
        <v>-12.613089294682272</v>
      </c>
      <c r="P30" s="6">
        <f t="shared" si="2"/>
        <v>-19.318001047679818</v>
      </c>
      <c r="Q30" s="6">
        <f t="shared" si="2"/>
        <v>-23.27543625704719</v>
      </c>
      <c r="R30" s="6">
        <f t="shared" si="2"/>
        <v>-29.779690126937481</v>
      </c>
      <c r="T30" t="s">
        <v>604</v>
      </c>
    </row>
    <row r="31" spans="2:21" x14ac:dyDescent="0.15">
      <c r="J31" t="s">
        <v>602</v>
      </c>
      <c r="K31" s="108">
        <f>ROUND(K30,0)</f>
        <v>12</v>
      </c>
      <c r="L31" s="108">
        <f t="shared" ref="L31:R31" si="3">ROUND(L30,0)</f>
        <v>11</v>
      </c>
      <c r="M31" s="108">
        <f t="shared" si="3"/>
        <v>5</v>
      </c>
      <c r="N31" s="108">
        <f t="shared" si="3"/>
        <v>-4</v>
      </c>
      <c r="O31" s="108">
        <f t="shared" si="3"/>
        <v>-13</v>
      </c>
      <c r="P31" s="108">
        <f t="shared" si="3"/>
        <v>-19</v>
      </c>
      <c r="Q31" s="108">
        <f t="shared" si="3"/>
        <v>-23</v>
      </c>
      <c r="R31" s="108">
        <f t="shared" si="3"/>
        <v>-30</v>
      </c>
      <c r="T31" s="5">
        <f t="array" ref="T31">10*LOG10(SUM(10^((K31:R31+L41:S41)/10)))</f>
        <v>0.20324316281360399</v>
      </c>
      <c r="U31" t="s">
        <v>603</v>
      </c>
    </row>
    <row r="32" spans="2:21" x14ac:dyDescent="0.15">
      <c r="B32" t="s">
        <v>83</v>
      </c>
      <c r="C32" s="3" t="e">
        <f>F15+C30</f>
        <v>#VALUE!</v>
      </c>
      <c r="D32" t="s">
        <v>31</v>
      </c>
    </row>
    <row r="33" spans="2:23" x14ac:dyDescent="0.15">
      <c r="B33" t="s">
        <v>95</v>
      </c>
      <c r="C33" s="3">
        <f>F15-2.6</f>
        <v>29.042211521479185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 t="e">
        <f>MIN(F15,IF(C29&lt;3,F16,IF(C29&gt;10,C33,C32)))</f>
        <v>#VALUE!</v>
      </c>
      <c r="D35" s="2" t="s">
        <v>31</v>
      </c>
      <c r="F35" s="5" t="e">
        <f>C35+10*LOG10(4/10)</f>
        <v>#VALUE!</v>
      </c>
      <c r="G35" s="5" t="e">
        <f>C35+10*LOG10(4/2.5)</f>
        <v>#VALUE!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480">
        <f>K31</f>
        <v>12</v>
      </c>
      <c r="D39" s="480">
        <f t="shared" ref="D39:J39" si="4">L31</f>
        <v>11</v>
      </c>
      <c r="E39" s="480">
        <f t="shared" si="4"/>
        <v>5</v>
      </c>
      <c r="F39" s="480">
        <f t="shared" si="4"/>
        <v>-4</v>
      </c>
      <c r="G39" s="480">
        <f t="shared" si="4"/>
        <v>-13</v>
      </c>
      <c r="H39" s="480">
        <f t="shared" si="4"/>
        <v>-19</v>
      </c>
      <c r="I39" s="480">
        <f t="shared" si="4"/>
        <v>-23</v>
      </c>
      <c r="J39" s="480">
        <f t="shared" si="4"/>
        <v>-30</v>
      </c>
      <c r="K39" s="87" t="s">
        <v>42</v>
      </c>
      <c r="L39" s="86" t="e">
        <f>$C$35+C39</f>
        <v>#VALUE!</v>
      </c>
      <c r="M39" s="86" t="e">
        <f t="shared" ref="M39:S39" si="5">$C$35+D39</f>
        <v>#VALUE!</v>
      </c>
      <c r="N39" s="86" t="e">
        <f t="shared" si="5"/>
        <v>#VALUE!</v>
      </c>
      <c r="O39" s="86" t="e">
        <f t="shared" si="5"/>
        <v>#VALUE!</v>
      </c>
      <c r="P39" s="86" t="e">
        <f t="shared" si="5"/>
        <v>#VALUE!</v>
      </c>
      <c r="Q39" s="86" t="e">
        <f t="shared" si="5"/>
        <v>#VALUE!</v>
      </c>
      <c r="R39" s="86" t="e">
        <f t="shared" si="5"/>
        <v>#VALUE!</v>
      </c>
      <c r="S39" s="86" t="e">
        <f t="shared" si="5"/>
        <v>#VALUE!</v>
      </c>
      <c r="T39" s="5" t="e">
        <f t="array" ref="T39">10*LOG10(SUM(10^(L39:S39/10)))</f>
        <v>#VALUE!</v>
      </c>
      <c r="U39" s="5" t="e">
        <f t="array" ref="U39">10*LOG10(SUM(10^((L39:S39+L41:S41)/10)))</f>
        <v>#VALUE!</v>
      </c>
      <c r="W39" t="e">
        <f>IF(ABS(C35-U39)&lt;0.5,"OK","Tarkista laskenta!")</f>
        <v>#VALUE!</v>
      </c>
    </row>
    <row r="40" spans="2:23" x14ac:dyDescent="0.15">
      <c r="C40" s="394"/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0858D-8DD2-4AEC-9B86-A5A65E0B5950}">
  <dimension ref="B2:R32"/>
  <sheetViews>
    <sheetView workbookViewId="0">
      <selection activeCell="E37" sqref="E37"/>
    </sheetView>
  </sheetViews>
  <sheetFormatPr baseColWidth="10" defaultColWidth="8.83203125" defaultRowHeight="13" x14ac:dyDescent="0.15"/>
  <sheetData>
    <row r="2" spans="3:18" ht="14" thickBot="1" x14ac:dyDescent="0.2"/>
    <row r="3" spans="3:18" x14ac:dyDescent="0.15">
      <c r="C3" s="2" t="s">
        <v>29</v>
      </c>
      <c r="G3" s="995" t="s">
        <v>365</v>
      </c>
      <c r="H3" s="997" t="s">
        <v>49</v>
      </c>
      <c r="I3" s="995">
        <v>63</v>
      </c>
      <c r="J3" s="996">
        <v>125</v>
      </c>
      <c r="K3" s="996">
        <v>250</v>
      </c>
      <c r="L3" s="996">
        <v>500</v>
      </c>
      <c r="M3" s="996">
        <v>1000</v>
      </c>
      <c r="N3" s="996">
        <v>2000</v>
      </c>
      <c r="O3" s="996">
        <v>4000</v>
      </c>
      <c r="P3" s="996">
        <v>8000</v>
      </c>
      <c r="Q3" s="996" t="s">
        <v>70</v>
      </c>
      <c r="R3" s="997" t="s">
        <v>2118</v>
      </c>
    </row>
    <row r="4" spans="3:18" x14ac:dyDescent="0.15">
      <c r="C4">
        <v>390.5</v>
      </c>
      <c r="D4" t="s">
        <v>13</v>
      </c>
      <c r="F4" t="s">
        <v>2116</v>
      </c>
      <c r="G4" s="999">
        <v>8</v>
      </c>
      <c r="H4" s="998">
        <f>481.4-4.4</f>
        <v>477</v>
      </c>
      <c r="I4" s="342">
        <v>72.599999999999994</v>
      </c>
      <c r="J4" s="344">
        <v>69.2</v>
      </c>
      <c r="K4" s="344">
        <v>78.8</v>
      </c>
      <c r="L4" s="344">
        <v>71.3</v>
      </c>
      <c r="M4" s="344">
        <v>67.2</v>
      </c>
      <c r="N4" s="344">
        <v>66.5</v>
      </c>
      <c r="O4" s="344">
        <v>60.2</v>
      </c>
      <c r="P4" s="344">
        <v>61.1</v>
      </c>
      <c r="Q4" s="344">
        <v>81.099999999999994</v>
      </c>
      <c r="R4" s="998">
        <v>74.3</v>
      </c>
    </row>
    <row r="5" spans="3:18" x14ac:dyDescent="0.15">
      <c r="C5">
        <v>405.9</v>
      </c>
      <c r="D5" t="s">
        <v>14</v>
      </c>
      <c r="F5" t="s">
        <v>2117</v>
      </c>
      <c r="G5" s="999">
        <v>8</v>
      </c>
      <c r="H5" s="998">
        <v>485</v>
      </c>
      <c r="I5" s="999">
        <v>74.511011128782798</v>
      </c>
      <c r="J5" s="609">
        <v>70.511011128782798</v>
      </c>
      <c r="K5" s="609">
        <v>78.511011128782798</v>
      </c>
      <c r="L5" s="609">
        <v>70.511011128782798</v>
      </c>
      <c r="M5" s="609">
        <v>67.511011128782798</v>
      </c>
      <c r="N5" s="609">
        <v>66.511011128782798</v>
      </c>
      <c r="O5" s="609">
        <v>60.511011128782798</v>
      </c>
      <c r="P5" s="609">
        <v>60.511011128782798</v>
      </c>
      <c r="Q5" s="609">
        <v>81.274048489445491</v>
      </c>
      <c r="R5" s="1000">
        <v>74.511011128782798</v>
      </c>
    </row>
    <row r="6" spans="3:18" ht="14" thickBot="1" x14ac:dyDescent="0.2">
      <c r="F6" t="s">
        <v>2119</v>
      </c>
      <c r="G6" s="1004">
        <f>(G4-G5)/G5</f>
        <v>0</v>
      </c>
      <c r="H6" s="913">
        <f>(H4-H5)/H5</f>
        <v>-1.6494845360824743E-2</v>
      </c>
      <c r="I6" s="1001">
        <f>I5-I4</f>
        <v>1.9110111287828033</v>
      </c>
      <c r="J6" s="1002">
        <f t="shared" ref="J6:R6" si="0">J5-J4</f>
        <v>1.3110111287827948</v>
      </c>
      <c r="K6" s="1002">
        <f t="shared" si="0"/>
        <v>-0.28898887121719952</v>
      </c>
      <c r="L6" s="1002">
        <f t="shared" si="0"/>
        <v>-0.78898887121719952</v>
      </c>
      <c r="M6" s="1002">
        <f t="shared" si="0"/>
        <v>0.3110111287827948</v>
      </c>
      <c r="N6" s="1002">
        <f t="shared" si="0"/>
        <v>1.1011128782797641E-2</v>
      </c>
      <c r="O6" s="1002">
        <f t="shared" si="0"/>
        <v>0.3110111287827948</v>
      </c>
      <c r="P6" s="1002">
        <f t="shared" si="0"/>
        <v>-0.58898887121720378</v>
      </c>
      <c r="Q6" s="1002">
        <f t="shared" si="0"/>
        <v>0.17404848944549656</v>
      </c>
      <c r="R6" s="1003">
        <f t="shared" si="0"/>
        <v>0.21101112878280048</v>
      </c>
    </row>
    <row r="8" spans="3:18" x14ac:dyDescent="0.15">
      <c r="C8" t="s">
        <v>2120</v>
      </c>
    </row>
    <row r="9" spans="3:18" x14ac:dyDescent="0.15">
      <c r="C9" t="s">
        <v>2121</v>
      </c>
    </row>
    <row r="10" spans="3:18" x14ac:dyDescent="0.15">
      <c r="C10" t="s">
        <v>2122</v>
      </c>
    </row>
    <row r="11" spans="3:18" ht="14" thickBot="1" x14ac:dyDescent="0.2"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</row>
    <row r="12" spans="3:18" x14ac:dyDescent="0.15">
      <c r="C12" s="2" t="s">
        <v>26</v>
      </c>
      <c r="G12" s="995" t="s">
        <v>365</v>
      </c>
      <c r="H12" s="997" t="s">
        <v>49</v>
      </c>
      <c r="I12" s="995">
        <v>63</v>
      </c>
      <c r="J12" s="996">
        <v>125</v>
      </c>
      <c r="K12" s="996">
        <v>250</v>
      </c>
      <c r="L12" s="996">
        <v>500</v>
      </c>
      <c r="M12" s="996">
        <v>1000</v>
      </c>
      <c r="N12" s="996">
        <v>2000</v>
      </c>
      <c r="O12" s="996">
        <v>4000</v>
      </c>
      <c r="P12" s="996">
        <v>8000</v>
      </c>
      <c r="Q12" s="996" t="s">
        <v>70</v>
      </c>
      <c r="R12" s="997" t="s">
        <v>2118</v>
      </c>
    </row>
    <row r="13" spans="3:18" x14ac:dyDescent="0.15">
      <c r="C13">
        <v>277.60000000000002</v>
      </c>
      <c r="D13" t="s">
        <v>13</v>
      </c>
      <c r="F13" t="s">
        <v>2116</v>
      </c>
      <c r="G13" s="999">
        <v>6</v>
      </c>
      <c r="H13" s="998">
        <f>212.2-4.4</f>
        <v>207.79999999999998</v>
      </c>
      <c r="I13" s="342">
        <v>59.8</v>
      </c>
      <c r="J13" s="344">
        <v>58.3</v>
      </c>
      <c r="K13" s="344">
        <v>49.7</v>
      </c>
      <c r="L13" s="344">
        <v>46.9</v>
      </c>
      <c r="M13" s="344">
        <v>39.200000000000003</v>
      </c>
      <c r="N13" s="344">
        <v>33.299999999999997</v>
      </c>
      <c r="O13" s="344">
        <v>28</v>
      </c>
      <c r="P13" s="344">
        <v>22.2</v>
      </c>
      <c r="Q13" s="344">
        <v>62.5</v>
      </c>
      <c r="R13" s="998">
        <v>47.9</v>
      </c>
    </row>
    <row r="14" spans="3:18" x14ac:dyDescent="0.15">
      <c r="C14">
        <v>219.7</v>
      </c>
      <c r="D14" t="s">
        <v>14</v>
      </c>
      <c r="F14" t="s">
        <v>2117</v>
      </c>
      <c r="G14" s="999">
        <v>5.9863306837044812</v>
      </c>
      <c r="H14" s="998">
        <v>203</v>
      </c>
      <c r="I14" s="999">
        <v>60.601193879843386</v>
      </c>
      <c r="J14" s="609">
        <v>58.601193879843386</v>
      </c>
      <c r="K14" s="609">
        <v>52.601193879843386</v>
      </c>
      <c r="L14" s="609">
        <v>48.601193879843386</v>
      </c>
      <c r="M14" s="609">
        <v>40.601193879843386</v>
      </c>
      <c r="N14" s="609">
        <v>35.601193879843386</v>
      </c>
      <c r="O14" s="609">
        <v>29.601193879843386</v>
      </c>
      <c r="P14" s="609">
        <v>26.601193879843386</v>
      </c>
      <c r="Q14" s="609">
        <v>63.312397716794742</v>
      </c>
      <c r="R14" s="1000">
        <v>49.601193879843386</v>
      </c>
    </row>
    <row r="15" spans="3:18" ht="14" thickBot="1" x14ac:dyDescent="0.2">
      <c r="F15" t="s">
        <v>2119</v>
      </c>
      <c r="G15" s="1004">
        <f>(G13-G14)/G14</f>
        <v>2.2834215177468154E-3</v>
      </c>
      <c r="H15" s="913">
        <f>(H13-H14)/H14</f>
        <v>2.364532019704425E-2</v>
      </c>
      <c r="I15" s="1001">
        <f>I14-I13</f>
        <v>0.80119387984338886</v>
      </c>
      <c r="J15" s="1002">
        <f t="shared" ref="J15" si="1">J14-J13</f>
        <v>0.30119387984338886</v>
      </c>
      <c r="K15" s="1002">
        <f t="shared" ref="K15" si="2">K14-K13</f>
        <v>2.9011938798433832</v>
      </c>
      <c r="L15" s="1002">
        <f t="shared" ref="L15" si="3">L14-L13</f>
        <v>1.7011938798433874</v>
      </c>
      <c r="M15" s="1002">
        <f t="shared" ref="M15" si="4">M14-M13</f>
        <v>1.4011938798433832</v>
      </c>
      <c r="N15" s="1002">
        <f t="shared" ref="N15" si="5">N14-N13</f>
        <v>2.3011938798433889</v>
      </c>
      <c r="O15" s="1002">
        <f t="shared" ref="O15" si="6">O14-O13</f>
        <v>1.601193879843386</v>
      </c>
      <c r="P15" s="1002">
        <f t="shared" ref="P15" si="7">P14-P13</f>
        <v>4.4011938798433867</v>
      </c>
      <c r="Q15" s="1002">
        <f t="shared" ref="Q15" si="8">Q14-Q13</f>
        <v>0.8123977167947416</v>
      </c>
      <c r="R15" s="1003">
        <f t="shared" ref="R15" si="9">R14-R13</f>
        <v>1.7011938798433874</v>
      </c>
    </row>
    <row r="16" spans="3:18" ht="14" thickBot="1" x14ac:dyDescent="0.2"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</row>
    <row r="17" spans="2:18" x14ac:dyDescent="0.15">
      <c r="C17" s="2" t="s">
        <v>55</v>
      </c>
      <c r="G17" s="995" t="s">
        <v>365</v>
      </c>
      <c r="H17" s="997" t="s">
        <v>49</v>
      </c>
      <c r="I17" s="995">
        <v>63</v>
      </c>
      <c r="J17" s="996">
        <v>125</v>
      </c>
      <c r="K17" s="996">
        <v>250</v>
      </c>
      <c r="L17" s="996">
        <v>500</v>
      </c>
      <c r="M17" s="996">
        <v>1000</v>
      </c>
      <c r="N17" s="996">
        <v>2000</v>
      </c>
      <c r="O17" s="996">
        <v>4000</v>
      </c>
      <c r="P17" s="996">
        <v>8000</v>
      </c>
      <c r="Q17" s="996" t="s">
        <v>70</v>
      </c>
      <c r="R17" s="997" t="s">
        <v>2118</v>
      </c>
    </row>
    <row r="18" spans="2:18" x14ac:dyDescent="0.15">
      <c r="C18">
        <v>490</v>
      </c>
      <c r="D18" t="s">
        <v>13</v>
      </c>
      <c r="F18" t="s">
        <v>2116</v>
      </c>
      <c r="G18" s="999">
        <v>10</v>
      </c>
      <c r="H18" s="998">
        <f>730-4.4</f>
        <v>725.6</v>
      </c>
      <c r="I18" s="342">
        <v>68.900000000000006</v>
      </c>
      <c r="J18" s="344">
        <v>61</v>
      </c>
      <c r="K18" s="344">
        <v>64.3</v>
      </c>
      <c r="L18" s="344">
        <v>57.3</v>
      </c>
      <c r="M18" s="344">
        <v>53.3</v>
      </c>
      <c r="N18" s="344">
        <v>50</v>
      </c>
      <c r="O18" s="344">
        <v>46</v>
      </c>
      <c r="P18" s="344">
        <v>41.2</v>
      </c>
      <c r="Q18" s="344">
        <v>71</v>
      </c>
      <c r="R18" s="998">
        <v>60.1</v>
      </c>
    </row>
    <row r="19" spans="2:18" x14ac:dyDescent="0.15">
      <c r="C19">
        <v>500</v>
      </c>
      <c r="D19" t="s">
        <v>14</v>
      </c>
      <c r="F19" t="s">
        <v>2117</v>
      </c>
      <c r="G19" s="999">
        <v>9.9072671293108971</v>
      </c>
      <c r="H19" s="998">
        <v>710.02597930260356</v>
      </c>
      <c r="I19" s="999">
        <v>68.653637608589548</v>
      </c>
      <c r="J19" s="609">
        <v>62.653637608589548</v>
      </c>
      <c r="K19" s="609">
        <v>64.653637608589548</v>
      </c>
      <c r="L19" s="609">
        <v>57.653637608589548</v>
      </c>
      <c r="M19" s="609">
        <v>53.653637608589548</v>
      </c>
      <c r="N19" s="609">
        <v>49.653637608589548</v>
      </c>
      <c r="O19" s="609">
        <v>45.653637608589548</v>
      </c>
      <c r="P19" s="609">
        <v>38.653637608589548</v>
      </c>
      <c r="Q19" s="609">
        <v>71.155281227765201</v>
      </c>
      <c r="R19" s="1000">
        <v>60.608268972852734</v>
      </c>
    </row>
    <row r="20" spans="2:18" ht="14" thickBot="1" x14ac:dyDescent="0.2">
      <c r="F20" t="s">
        <v>2119</v>
      </c>
      <c r="G20" s="1004">
        <f>(G18-G19)/G19</f>
        <v>9.360085831818377E-3</v>
      </c>
      <c r="H20" s="913">
        <f>(H18-H19)/H19</f>
        <v>2.1934437825350366E-2</v>
      </c>
      <c r="I20" s="1001">
        <f>I19-I18</f>
        <v>-0.24636239141045735</v>
      </c>
      <c r="J20" s="1002">
        <f t="shared" ref="J20" si="10">J19-J18</f>
        <v>1.6536376085895483</v>
      </c>
      <c r="K20" s="1002">
        <f t="shared" ref="K20" si="11">K19-K18</f>
        <v>0.35363760858955118</v>
      </c>
      <c r="L20" s="1002">
        <f t="shared" ref="L20" si="12">L19-L18</f>
        <v>0.35363760858955118</v>
      </c>
      <c r="M20" s="1002">
        <f t="shared" ref="M20" si="13">M19-M18</f>
        <v>0.35363760858955118</v>
      </c>
      <c r="N20" s="1002">
        <f t="shared" ref="N20" si="14">N19-N18</f>
        <v>-0.34636239141045166</v>
      </c>
      <c r="O20" s="1002">
        <f t="shared" ref="O20" si="15">O19-O18</f>
        <v>-0.34636239141045166</v>
      </c>
      <c r="P20" s="1002">
        <f t="shared" ref="P20" si="16">P19-P18</f>
        <v>-2.5463623914104545</v>
      </c>
      <c r="Q20" s="1002">
        <f t="shared" ref="Q20" si="17">Q19-Q18</f>
        <v>0.15528122776520092</v>
      </c>
      <c r="R20" s="1003">
        <f t="shared" ref="R20" si="18">R19-R18</f>
        <v>0.50826897285273276</v>
      </c>
    </row>
    <row r="21" spans="2:18" ht="14" thickBot="1" x14ac:dyDescent="0.2"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</row>
    <row r="22" spans="2:18" x14ac:dyDescent="0.15">
      <c r="C22" s="2" t="s">
        <v>56</v>
      </c>
      <c r="G22" s="995" t="s">
        <v>365</v>
      </c>
      <c r="H22" s="997" t="s">
        <v>49</v>
      </c>
      <c r="I22" s="995">
        <v>63</v>
      </c>
      <c r="J22" s="996">
        <v>125</v>
      </c>
      <c r="K22" s="996">
        <v>250</v>
      </c>
      <c r="L22" s="996">
        <v>500</v>
      </c>
      <c r="M22" s="996">
        <v>1000</v>
      </c>
      <c r="N22" s="996">
        <v>2000</v>
      </c>
      <c r="O22" s="996">
        <v>4000</v>
      </c>
      <c r="P22" s="996">
        <v>8000</v>
      </c>
      <c r="Q22" s="996" t="s">
        <v>70</v>
      </c>
      <c r="R22" s="997" t="s">
        <v>2118</v>
      </c>
    </row>
    <row r="23" spans="2:18" x14ac:dyDescent="0.15">
      <c r="C23">
        <v>239.4</v>
      </c>
      <c r="D23" t="s">
        <v>13</v>
      </c>
      <c r="F23" t="s">
        <v>2116</v>
      </c>
      <c r="G23" s="999">
        <v>4</v>
      </c>
      <c r="H23" s="998">
        <f>79.2-4.4</f>
        <v>74.8</v>
      </c>
      <c r="I23" s="342">
        <v>60.8</v>
      </c>
      <c r="J23" s="344">
        <v>61.8</v>
      </c>
      <c r="K23" s="344">
        <v>57.6</v>
      </c>
      <c r="L23" s="344">
        <v>53.2</v>
      </c>
      <c r="M23" s="344">
        <v>53.2</v>
      </c>
      <c r="N23" s="344">
        <v>49.4</v>
      </c>
      <c r="O23" s="344">
        <v>41</v>
      </c>
      <c r="P23" s="344">
        <v>35.4</v>
      </c>
      <c r="Q23" s="344">
        <v>65.8</v>
      </c>
      <c r="R23" s="998">
        <v>57.4</v>
      </c>
    </row>
    <row r="24" spans="2:18" x14ac:dyDescent="0.15">
      <c r="C24">
        <v>58.5</v>
      </c>
      <c r="D24" t="s">
        <v>14</v>
      </c>
      <c r="F24" t="s">
        <v>2117</v>
      </c>
      <c r="G24" s="999">
        <v>4.0629067282413267</v>
      </c>
      <c r="H24" s="1000">
        <v>75.432682131475318</v>
      </c>
      <c r="I24" s="999">
        <v>64.355830910401423</v>
      </c>
      <c r="J24" s="609">
        <v>64.355830910401423</v>
      </c>
      <c r="K24" s="609">
        <v>59.355830910401423</v>
      </c>
      <c r="L24" s="609">
        <v>54.355830910401423</v>
      </c>
      <c r="M24" s="609">
        <v>53.355830910401423</v>
      </c>
      <c r="N24" s="609">
        <v>50.355830910401423</v>
      </c>
      <c r="O24" s="609">
        <v>41.355830910401423</v>
      </c>
      <c r="P24" s="609">
        <v>36.355830910401423</v>
      </c>
      <c r="Q24" s="609">
        <v>68.407702670496334</v>
      </c>
      <c r="R24" s="1000">
        <v>58.470578838494362</v>
      </c>
    </row>
    <row r="25" spans="2:18" ht="14" thickBot="1" x14ac:dyDescent="0.2">
      <c r="F25" t="s">
        <v>2119</v>
      </c>
      <c r="G25" s="1004">
        <f>(G23-G24)/G24</f>
        <v>-1.5483182964566003E-2</v>
      </c>
      <c r="H25" s="913">
        <f>(H23-H24)/H24</f>
        <v>-8.3873741937558009E-3</v>
      </c>
      <c r="I25" s="1001">
        <f>I24-I23</f>
        <v>3.5558309104014256</v>
      </c>
      <c r="J25" s="1002">
        <f t="shared" ref="J25" si="19">J24-J23</f>
        <v>2.5558309104014256</v>
      </c>
      <c r="K25" s="1002">
        <f t="shared" ref="K25" si="20">K24-K23</f>
        <v>1.7558309104014214</v>
      </c>
      <c r="L25" s="1002">
        <f t="shared" ref="L25" si="21">L24-L23</f>
        <v>1.1558309104014199</v>
      </c>
      <c r="M25" s="1002">
        <f t="shared" ref="M25" si="22">M24-M23</f>
        <v>0.15583091040141994</v>
      </c>
      <c r="N25" s="1002">
        <f t="shared" ref="N25" si="23">N24-N23</f>
        <v>0.95583091040142421</v>
      </c>
      <c r="O25" s="1002">
        <f t="shared" ref="O25" si="24">O24-O23</f>
        <v>0.35583091040142278</v>
      </c>
      <c r="P25" s="1002">
        <f t="shared" ref="P25" si="25">P24-P23</f>
        <v>0.95583091040142421</v>
      </c>
      <c r="Q25" s="1002">
        <f t="shared" ref="Q25" si="26">Q24-Q23</f>
        <v>2.6077026704963373</v>
      </c>
      <c r="R25" s="1003">
        <f t="shared" ref="R25" si="27">R24-R23</f>
        <v>1.0705788384943631</v>
      </c>
    </row>
    <row r="26" spans="2:18" x14ac:dyDescent="0.15"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</row>
    <row r="27" spans="2:18" ht="14" thickBot="1" x14ac:dyDescent="0.2"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</row>
    <row r="28" spans="2:18" x14ac:dyDescent="0.15">
      <c r="C28" s="2" t="s">
        <v>96</v>
      </c>
      <c r="G28" s="995" t="s">
        <v>365</v>
      </c>
      <c r="H28" s="997" t="s">
        <v>49</v>
      </c>
      <c r="I28" s="995">
        <v>63</v>
      </c>
      <c r="J28" s="996">
        <v>125</v>
      </c>
      <c r="K28" s="996">
        <v>250</v>
      </c>
      <c r="L28" s="996">
        <v>500</v>
      </c>
      <c r="M28" s="996">
        <v>1000</v>
      </c>
      <c r="N28" s="996">
        <v>2000</v>
      </c>
      <c r="O28" s="996">
        <v>4000</v>
      </c>
      <c r="P28" s="996">
        <v>8000</v>
      </c>
      <c r="Q28" s="996" t="s">
        <v>70</v>
      </c>
      <c r="R28" s="997" t="s">
        <v>2118</v>
      </c>
    </row>
    <row r="29" spans="2:18" x14ac:dyDescent="0.15">
      <c r="B29" t="s">
        <v>7</v>
      </c>
      <c r="C29">
        <v>386.1</v>
      </c>
      <c r="D29" t="s">
        <v>13</v>
      </c>
      <c r="F29" t="s">
        <v>2116</v>
      </c>
      <c r="G29" s="999">
        <v>8</v>
      </c>
      <c r="H29" s="998">
        <v>1000.8</v>
      </c>
      <c r="I29" s="342">
        <v>60.1</v>
      </c>
      <c r="J29" s="344">
        <v>57.8</v>
      </c>
      <c r="K29" s="344">
        <v>53.8</v>
      </c>
      <c r="L29" s="344">
        <v>40.700000000000003</v>
      </c>
      <c r="M29" s="344">
        <v>39.9</v>
      </c>
      <c r="N29" s="344">
        <v>39</v>
      </c>
      <c r="O29" s="344">
        <v>31.6</v>
      </c>
      <c r="P29" s="344">
        <v>29.9</v>
      </c>
      <c r="Q29" s="344">
        <v>62.8</v>
      </c>
      <c r="R29" s="998">
        <v>48.6</v>
      </c>
    </row>
    <row r="30" spans="2:18" x14ac:dyDescent="0.15">
      <c r="C30">
        <v>405.9</v>
      </c>
      <c r="D30" t="s">
        <v>14</v>
      </c>
      <c r="F30" t="s">
        <v>2117</v>
      </c>
      <c r="G30" s="999">
        <v>7.991914932196889</v>
      </c>
      <c r="H30" s="1000">
        <v>994.93264660532338</v>
      </c>
      <c r="I30" s="999">
        <v>60.399822218092353</v>
      </c>
      <c r="J30" s="609">
        <v>59.399822218092353</v>
      </c>
      <c r="K30" s="609">
        <v>54.399822218092353</v>
      </c>
      <c r="L30" s="609">
        <v>41.399822218092353</v>
      </c>
      <c r="M30" s="609">
        <v>38.399822218092353</v>
      </c>
      <c r="N30" s="609">
        <v>37.399822218092353</v>
      </c>
      <c r="O30" s="609">
        <v>28.399822218092353</v>
      </c>
      <c r="P30" s="609">
        <v>27.399822218092353</v>
      </c>
      <c r="Q30" s="609">
        <v>63.560699834353727</v>
      </c>
      <c r="R30" s="1000">
        <v>49.247574340674632</v>
      </c>
    </row>
    <row r="31" spans="2:18" ht="14" thickBot="1" x14ac:dyDescent="0.2">
      <c r="B31" t="s">
        <v>8</v>
      </c>
      <c r="C31">
        <v>417.6</v>
      </c>
      <c r="D31" t="s">
        <v>13</v>
      </c>
      <c r="F31" t="s">
        <v>2119</v>
      </c>
      <c r="G31" s="1004">
        <f>(G29-G30)/G30</f>
        <v>1.0116558886955681E-3</v>
      </c>
      <c r="H31" s="913">
        <f>(H29-H30)/H30</f>
        <v>5.8972367774801455E-3</v>
      </c>
      <c r="I31" s="1001">
        <f>I30-I29</f>
        <v>0.29982221809235199</v>
      </c>
      <c r="J31" s="1002">
        <f t="shared" ref="J31" si="28">J30-J29</f>
        <v>1.5998222180923563</v>
      </c>
      <c r="K31" s="1002">
        <f t="shared" ref="K31" si="29">K30-K29</f>
        <v>0.59982221809235625</v>
      </c>
      <c r="L31" s="1002">
        <f t="shared" ref="L31" si="30">L30-L29</f>
        <v>0.69982221809235057</v>
      </c>
      <c r="M31" s="1002">
        <f t="shared" ref="M31" si="31">M30-M29</f>
        <v>-1.5001777819076452</v>
      </c>
      <c r="N31" s="1002">
        <f t="shared" ref="N31" si="32">N30-N29</f>
        <v>-1.6001777819076466</v>
      </c>
      <c r="O31" s="1002">
        <f t="shared" ref="O31" si="33">O30-O29</f>
        <v>-3.200177781907648</v>
      </c>
      <c r="P31" s="1002">
        <f t="shared" ref="P31" si="34">P30-P29</f>
        <v>-2.5001777819076452</v>
      </c>
      <c r="Q31" s="1002">
        <f t="shared" ref="Q31" si="35">Q30-Q29</f>
        <v>0.7606998343537299</v>
      </c>
      <c r="R31" s="1003">
        <f t="shared" ref="R31" si="36">R30-R29</f>
        <v>0.64757434067463038</v>
      </c>
    </row>
    <row r="32" spans="2:18" x14ac:dyDescent="0.15">
      <c r="C32">
        <v>422.6</v>
      </c>
      <c r="D32" t="s">
        <v>14</v>
      </c>
    </row>
  </sheetData>
  <conditionalFormatting sqref="G6:H6 G15:H15 G20:H20">
    <cfRule type="cellIs" dxfId="86" priority="6" operator="between">
      <formula>-0.05</formula>
      <formula>0.05</formula>
    </cfRule>
  </conditionalFormatting>
  <conditionalFormatting sqref="G25:H25">
    <cfRule type="cellIs" dxfId="85" priority="4" operator="between">
      <formula>-0.05</formula>
      <formula>0.05</formula>
    </cfRule>
  </conditionalFormatting>
  <conditionalFormatting sqref="G31:H31">
    <cfRule type="cellIs" dxfId="84" priority="2" operator="between">
      <formula>-0.05</formula>
      <formula>0.05</formula>
    </cfRule>
  </conditionalFormatting>
  <conditionalFormatting sqref="I6:R6">
    <cfRule type="cellIs" dxfId="83" priority="9" operator="between">
      <formula>-2</formula>
      <formula>2</formula>
    </cfRule>
  </conditionalFormatting>
  <conditionalFormatting sqref="I15:R15">
    <cfRule type="cellIs" dxfId="82" priority="8" operator="between">
      <formula>-2</formula>
      <formula>2</formula>
    </cfRule>
  </conditionalFormatting>
  <conditionalFormatting sqref="I20:R20">
    <cfRule type="cellIs" dxfId="81" priority="7" operator="between">
      <formula>-2</formula>
      <formula>2</formula>
    </cfRule>
  </conditionalFormatting>
  <conditionalFormatting sqref="I25:R25">
    <cfRule type="cellIs" dxfId="80" priority="5" operator="between">
      <formula>-2</formula>
      <formula>2</formula>
    </cfRule>
  </conditionalFormatting>
  <conditionalFormatting sqref="I31:R31">
    <cfRule type="cellIs" dxfId="79" priority="3" operator="between">
      <formula>-2</formula>
      <formula>2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DBC09-6713-46C2-8B26-03FAAB3A7BE4}">
  <sheetPr codeName="Taul7"/>
  <dimension ref="C2:AP99"/>
  <sheetViews>
    <sheetView topLeftCell="A10" zoomScale="70" zoomScaleNormal="70" workbookViewId="0">
      <selection activeCell="BL19" sqref="BL19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 ALU'!$E$33</f>
        <v>9.7222222222222214</v>
      </c>
      <c r="K3" t="s">
        <v>13</v>
      </c>
      <c r="L3" s="7">
        <f>'R-series ALU'!$E$39</f>
        <v>80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30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22.895697792642672</v>
      </c>
      <c r="Q5" s="52">
        <v>-8.1848154173911141</v>
      </c>
      <c r="R5" t="s">
        <v>28</v>
      </c>
      <c r="T5" s="4"/>
      <c r="U5" s="39" t="s">
        <v>43</v>
      </c>
      <c r="V5" t="s">
        <v>28</v>
      </c>
      <c r="W5" s="9">
        <f>$P$5*LN($J$3)+$Q$5</f>
        <v>43.889485128061388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25.266664872467434</v>
      </c>
      <c r="Q6" s="52">
        <v>-0.3050789256559483</v>
      </c>
      <c r="R6" t="s">
        <v>7</v>
      </c>
      <c r="T6" s="4"/>
      <c r="U6" s="39" t="s">
        <v>43</v>
      </c>
      <c r="V6" t="s">
        <v>7</v>
      </c>
      <c r="W6" s="9">
        <f>$P$6*LN($J$3)+$Q$6</f>
        <v>57.16178285188284</v>
      </c>
      <c r="X6" t="s">
        <v>31</v>
      </c>
      <c r="AA6" s="55">
        <v>25</v>
      </c>
      <c r="AB6" s="56">
        <f t="shared" ref="AB6:AB12" si="0">(-$D$9-SQRT($D$9^2-(4*$C$9*($E$9-AA6))))/(2*$C$9)</f>
        <v>109.72216307386144</v>
      </c>
      <c r="AC6" s="55">
        <v>20</v>
      </c>
      <c r="AD6" s="57">
        <f t="shared" ref="AD6:AD12" si="1">(-$D$14-SQRT($D$14^2-(4*$C$14*($E$14-AC6))))/(2*$C$14)</f>
        <v>96.507952803164471</v>
      </c>
      <c r="AE6" s="55">
        <v>12</v>
      </c>
      <c r="AF6" s="57">
        <f t="shared" ref="AF6:AF11" si="2">(-$D$19-SQRT($D$19^2-(4*$C$19*($E$19-AE6))))/(2*$C$19)</f>
        <v>59.097603965649029</v>
      </c>
      <c r="AG6" s="56">
        <v>10</v>
      </c>
      <c r="AH6" s="57">
        <f>(-$D$24-SQRT($D$24^2-(4*$C$24*($E$24-AG6))))/(2*$C$24)</f>
        <v>24.856065562361952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96.04968080608154</v>
      </c>
      <c r="AC7" s="55">
        <v>100</v>
      </c>
      <c r="AD7" s="57">
        <f t="shared" si="1"/>
        <v>83.332352890524646</v>
      </c>
      <c r="AE7" s="55">
        <v>40</v>
      </c>
      <c r="AF7" s="57">
        <f t="shared" si="2"/>
        <v>51.041257936006687</v>
      </c>
      <c r="AG7" s="56">
        <v>20</v>
      </c>
      <c r="AH7" s="57">
        <f>(-$D$24-SQRT($D$24^2-(4*$C$24*($E$24-AG7))))/(2*$C$24)</f>
        <v>20.145468303465908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84.980913804604299</v>
      </c>
      <c r="AC8" s="55">
        <v>150</v>
      </c>
      <c r="AD8" s="57">
        <f t="shared" si="1"/>
        <v>74.171084186129335</v>
      </c>
      <c r="AE8" s="55">
        <v>60</v>
      </c>
      <c r="AF8" s="57">
        <f t="shared" si="2"/>
        <v>44.852206368094706</v>
      </c>
      <c r="AG8" s="56">
        <v>30</v>
      </c>
      <c r="AH8" s="57">
        <f>(-$D$24-SQRT($D$24^2-(4*$C$24*($E$24-AG8))))/(2*$C$24)</f>
        <v>15.25167922255933</v>
      </c>
    </row>
    <row r="9" spans="3:34" x14ac:dyDescent="0.15">
      <c r="C9" s="8">
        <v>-2.5227580083531695E-2</v>
      </c>
      <c r="D9" s="8">
        <v>-1.7571371350773939</v>
      </c>
      <c r="E9" s="8">
        <v>521.51053996349083</v>
      </c>
      <c r="H9" s="2"/>
      <c r="P9" t="s">
        <v>23</v>
      </c>
      <c r="Q9" s="52">
        <f t="array" ref="Q9:R9">LINEST(AC35:AC37,U35:U37)</f>
        <v>2.8980648588617064</v>
      </c>
      <c r="R9" s="52">
        <v>-1.4277660669321701</v>
      </c>
      <c r="U9" s="39" t="s">
        <v>42</v>
      </c>
      <c r="V9" t="s">
        <v>44</v>
      </c>
      <c r="W9" s="9">
        <f>IF($J$3&gt;$AC$35,($J$3-$R$10)/$Q$10,($J$3-$R$9)/$Q$9)</f>
        <v>3.8473908736238056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74.605902678236006</v>
      </c>
      <c r="AC9" s="55">
        <v>200</v>
      </c>
      <c r="AD9" s="57">
        <f t="shared" si="1"/>
        <v>64.022740261473061</v>
      </c>
      <c r="AE9" s="55">
        <v>80</v>
      </c>
      <c r="AF9" s="57">
        <f t="shared" si="2"/>
        <v>38.211558072303703</v>
      </c>
      <c r="AG9" s="56">
        <v>35</v>
      </c>
      <c r="AH9" s="57">
        <f>(-$D$24-SQRT($D$24^2-(4*$C$24*($E$24-AG9))))/(2*$C$24)</f>
        <v>12.729029407613163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LINEST(AC34:AC35,U34:U35)</f>
        <v>1.2489234358559795</v>
      </c>
      <c r="R10" s="52">
        <v>10.984524389816155</v>
      </c>
      <c r="W10" t="b">
        <f>IF(AND(W9&lt;=10.01,'R-series ALU'!E33&gt;=W11),TRUE,FALSE)</f>
        <v>0</v>
      </c>
      <c r="AA10" s="55">
        <v>320</v>
      </c>
      <c r="AB10" s="56">
        <f t="shared" si="0"/>
        <v>61.093720132549571</v>
      </c>
      <c r="AC10" s="55">
        <v>250</v>
      </c>
      <c r="AD10" s="57">
        <f t="shared" si="1"/>
        <v>52.476744908244925</v>
      </c>
      <c r="AE10" s="55">
        <v>100</v>
      </c>
      <c r="AF10" s="57">
        <f t="shared" si="2"/>
        <v>31.003142403936327</v>
      </c>
      <c r="AG10" s="56">
        <v>40</v>
      </c>
      <c r="AH10" s="57">
        <f>(-$D$24-SQRT($D$24^2-(4*$C$24*($E$24-AG10))))/(2*$C$24)</f>
        <v>10.151502560183829</v>
      </c>
    </row>
    <row r="11" spans="3:34" x14ac:dyDescent="0.15">
      <c r="C11" s="2" t="s">
        <v>9</v>
      </c>
      <c r="D11" s="1"/>
      <c r="E11" s="1"/>
      <c r="H11" s="1"/>
      <c r="V11" t="s">
        <v>346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45.335354941275455</v>
      </c>
      <c r="AC11" s="55">
        <v>300</v>
      </c>
      <c r="AD11" s="57">
        <f t="shared" si="1"/>
        <v>38.721346925604863</v>
      </c>
      <c r="AE11" s="55">
        <v>125</v>
      </c>
      <c r="AF11" s="57">
        <f t="shared" si="2"/>
        <v>20.915466815294725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410</v>
      </c>
      <c r="AB12" s="59">
        <f t="shared" si="0"/>
        <v>40.227692796254239</v>
      </c>
      <c r="AC12" s="58">
        <v>315</v>
      </c>
      <c r="AD12" s="60">
        <f t="shared" si="1"/>
        <v>33.921064483256508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0.18280861958302214</v>
      </c>
      <c r="Q13" s="51">
        <v>-2.4908193527100626</v>
      </c>
      <c r="R13" s="51">
        <v>14.834924672608075</v>
      </c>
      <c r="U13" s="39" t="s">
        <v>43</v>
      </c>
      <c r="V13" t="s">
        <v>44</v>
      </c>
      <c r="W13" s="9">
        <f>$P$13*J3^2+$Q$13*J3+$R$13</f>
        <v>7.8979895296863347</v>
      </c>
      <c r="X13" t="s">
        <v>49</v>
      </c>
    </row>
    <row r="14" spans="3:34" x14ac:dyDescent="0.15">
      <c r="C14" s="8">
        <v>-2.7491339048511813E-2</v>
      </c>
      <c r="D14" s="8">
        <v>-1.127778967739665</v>
      </c>
      <c r="E14" s="8">
        <v>384.8880593934511</v>
      </c>
      <c r="H14" s="2"/>
      <c r="V14" t="s">
        <v>52</v>
      </c>
      <c r="W14" s="3">
        <f>IF(W13&gt;118,118,W13)</f>
        <v>7.8979895296863347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60'!W14</f>
        <v>12.469232172648836</v>
      </c>
    </row>
    <row r="17" spans="3:35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5" x14ac:dyDescent="0.15">
      <c r="C18" t="s">
        <v>4</v>
      </c>
      <c r="D18" t="s">
        <v>5</v>
      </c>
      <c r="E18" t="s">
        <v>6</v>
      </c>
      <c r="H18" s="1"/>
    </row>
    <row r="19" spans="3:35" x14ac:dyDescent="0.15">
      <c r="C19" s="8">
        <v>-1.7128909098259142E-2</v>
      </c>
      <c r="D19" s="8">
        <v>-1.5889624699730147</v>
      </c>
      <c r="E19" s="8">
        <v>165.72704875263895</v>
      </c>
      <c r="V19" s="74" t="s">
        <v>74</v>
      </c>
      <c r="W19" s="77">
        <f>W13+W16+W17</f>
        <v>23.367221702335172</v>
      </c>
      <c r="X19" s="75" t="s">
        <v>49</v>
      </c>
      <c r="AB19" s="6"/>
      <c r="AC19" s="6"/>
    </row>
    <row r="20" spans="3:35" x14ac:dyDescent="0.15">
      <c r="C20" s="2"/>
      <c r="D20" s="2"/>
      <c r="E20" s="2"/>
      <c r="H20" s="1"/>
      <c r="AB20" s="6"/>
      <c r="AC20" s="6"/>
    </row>
    <row r="21" spans="3:35" x14ac:dyDescent="0.15">
      <c r="C21" s="2" t="s">
        <v>12</v>
      </c>
      <c r="D21" s="1"/>
      <c r="E21" s="1"/>
      <c r="H21" s="1"/>
      <c r="V21" t="s">
        <v>78</v>
      </c>
      <c r="W21">
        <f>MAX(J3,'Laskenta poistopuoli 60'!J3)</f>
        <v>9.7222222222222214</v>
      </c>
      <c r="X21" t="s">
        <v>13</v>
      </c>
      <c r="AB21" s="6"/>
      <c r="AC21" s="6"/>
    </row>
    <row r="22" spans="3:35" ht="15" x14ac:dyDescent="0.15">
      <c r="C22" t="s">
        <v>11</v>
      </c>
      <c r="D22" s="1"/>
      <c r="E22" s="1"/>
      <c r="H22" s="1"/>
      <c r="V22" t="s">
        <v>75</v>
      </c>
      <c r="W22">
        <f>W19/W21</f>
        <v>2.4034856608116177</v>
      </c>
      <c r="X22" t="s">
        <v>77</v>
      </c>
      <c r="AB22" s="6"/>
      <c r="AC22" s="6"/>
    </row>
    <row r="23" spans="3:35" x14ac:dyDescent="0.15">
      <c r="C23" t="s">
        <v>4</v>
      </c>
      <c r="D23" t="s">
        <v>5</v>
      </c>
      <c r="E23" t="s">
        <v>6</v>
      </c>
      <c r="H23" s="1"/>
    </row>
    <row r="24" spans="3:35" x14ac:dyDescent="0.15">
      <c r="C24" s="8">
        <v>-8.2739946950813742E-3</v>
      </c>
      <c r="D24" s="8">
        <v>-1.7505306038255037</v>
      </c>
      <c r="E24" s="8">
        <v>58.623175916721166</v>
      </c>
      <c r="H24" s="1"/>
    </row>
    <row r="25" spans="3:35" x14ac:dyDescent="0.15">
      <c r="E25" s="2"/>
      <c r="F25" s="2"/>
      <c r="G25" s="2"/>
      <c r="H25" s="1"/>
    </row>
    <row r="27" spans="3:35" x14ac:dyDescent="0.15">
      <c r="U27" t="s">
        <v>37</v>
      </c>
    </row>
    <row r="28" spans="3:35" x14ac:dyDescent="0.15">
      <c r="U28" s="4" t="s">
        <v>17</v>
      </c>
    </row>
    <row r="29" spans="3:35" x14ac:dyDescent="0.15">
      <c r="U29" s="4">
        <f>(L3/J3)^2/L3</f>
        <v>0.84636734693877569</v>
      </c>
    </row>
    <row r="31" spans="3:35" x14ac:dyDescent="0.15">
      <c r="U31" s="2" t="s">
        <v>16</v>
      </c>
      <c r="AI31" s="2" t="s">
        <v>1110</v>
      </c>
    </row>
    <row r="32" spans="3:3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s="2" t="s">
        <v>1107</v>
      </c>
      <c r="AL33" t="s">
        <v>1115</v>
      </c>
    </row>
    <row r="34" spans="21:42" x14ac:dyDescent="0.15">
      <c r="U34" s="35">
        <v>10</v>
      </c>
      <c r="V34" s="28">
        <f>C9</f>
        <v>-2.5227580083531695E-2</v>
      </c>
      <c r="W34" s="32">
        <f>D9</f>
        <v>-1.7571371350773939</v>
      </c>
      <c r="X34" s="29">
        <f>E9</f>
        <v>521.51053996349083</v>
      </c>
      <c r="Y34" s="36">
        <f>C9-U29</f>
        <v>-0.87159492702230734</v>
      </c>
      <c r="Z34" s="28">
        <f>(-W34+SQRT(W34^2-(4*Y34*X34)))/(2*Y34)</f>
        <v>-25.489760770187193</v>
      </c>
      <c r="AA34" s="29">
        <f>(-W34-SQRT(W34^2-(4*Y34*X34)))/(2*Y34)</f>
        <v>23.47375874837595</v>
      </c>
      <c r="AB34" s="36">
        <f>AB6</f>
        <v>109.72216307386144</v>
      </c>
      <c r="AC34" s="53">
        <f>IF(Z34&lt;0,AA34,IF(Z34&gt;AB34,AA34,Z34))</f>
        <v>23.47375874837595</v>
      </c>
      <c r="AD34" s="53">
        <f>V34*AC34^2+W34*AC34+X34</f>
        <v>466.36309244795802</v>
      </c>
      <c r="AE34" s="53">
        <f>X51*AC34^2+Y51*AC34+Z51</f>
        <v>58.258942635988291</v>
      </c>
      <c r="AF34" s="53">
        <f>$H$60*AC34+$I$60</f>
        <v>63.617974608348639</v>
      </c>
      <c r="AG34" s="53">
        <f>$R$60*AC34^2+$S$60*AC34+$T$60</f>
        <v>79.902893394517065</v>
      </c>
      <c r="AI34" s="616">
        <f>AC34/$J$3-1</f>
        <v>1.4144437569758121</v>
      </c>
      <c r="AL34" s="278" t="b">
        <f>IF(AI36&gt;AC34,FALSE,TRUE)</f>
        <v>1</v>
      </c>
      <c r="AM34" t="s">
        <v>1117</v>
      </c>
    </row>
    <row r="35" spans="21:42" x14ac:dyDescent="0.15">
      <c r="U35" s="35">
        <v>7.5</v>
      </c>
      <c r="V35" s="28">
        <f>C14</f>
        <v>-2.7491339048511813E-2</v>
      </c>
      <c r="W35" s="32">
        <f>D14</f>
        <v>-1.127778967739665</v>
      </c>
      <c r="X35" s="29">
        <f>E14</f>
        <v>384.8880593934511</v>
      </c>
      <c r="Y35" s="36">
        <f>C14-U29</f>
        <v>-0.87385868598728755</v>
      </c>
      <c r="Z35" s="28">
        <f t="shared" ref="Z35:Z37" si="3">(-W35+SQRT(W35^2-(4*Y35*X35)))/(2*Y35)</f>
        <v>-21.642023778732121</v>
      </c>
      <c r="AA35" s="29">
        <f t="shared" ref="AA35:AA37" si="4">(-W35-SQRT(W35^2-(4*Y35*X35)))/(2*Y35)</f>
        <v>20.351450158736</v>
      </c>
      <c r="AB35" s="36">
        <f>AD6</f>
        <v>96.507952803164471</v>
      </c>
      <c r="AC35" s="53">
        <f t="shared" ref="AC35:AC37" si="5">IF(Z35&lt;0,AA35,IF(Z35&gt;AB35,AA35,Z35))</f>
        <v>20.351450158736</v>
      </c>
      <c r="AD35" s="53">
        <f>V35*AC35^2+W35*AC35+X35</f>
        <v>350.54971724951281</v>
      </c>
      <c r="AE35" s="53">
        <f t="shared" ref="AE35:AE37" si="6">X52*AC35^2+Y52*AC35+Z52</f>
        <v>37.809506554415663</v>
      </c>
      <c r="AF35" s="53">
        <f>$H$65*AC35+$I$65</f>
        <v>61.069688294324429</v>
      </c>
      <c r="AG35" s="53">
        <f>$R$65*AC35^2+$S$65*AC35+$T$65</f>
        <v>77.067693541853743</v>
      </c>
      <c r="AI35" t="s">
        <v>1114</v>
      </c>
      <c r="AL35" t="s">
        <v>1116</v>
      </c>
    </row>
    <row r="36" spans="21:42" x14ac:dyDescent="0.15">
      <c r="U36" s="35">
        <v>5</v>
      </c>
      <c r="V36" s="28">
        <f>C19</f>
        <v>-1.7128909098259142E-2</v>
      </c>
      <c r="W36" s="32">
        <f>D19</f>
        <v>-1.5889624699730147</v>
      </c>
      <c r="X36" s="29">
        <f>E19</f>
        <v>165.72704875263895</v>
      </c>
      <c r="Y36" s="36">
        <f>C19-U29</f>
        <v>-0.86349625603703484</v>
      </c>
      <c r="Z36" s="28">
        <f t="shared" si="3"/>
        <v>-14.80431602116645</v>
      </c>
      <c r="AA36" s="29">
        <f t="shared" si="4"/>
        <v>12.964166212914281</v>
      </c>
      <c r="AB36" s="36">
        <f>AF6</f>
        <v>59.097603965649029</v>
      </c>
      <c r="AC36" s="53">
        <f t="shared" si="5"/>
        <v>12.964166212914281</v>
      </c>
      <c r="AD36" s="53">
        <f>V36*AC36^2+W36*AC36+X36</f>
        <v>142.24862618939065</v>
      </c>
      <c r="AE36" s="53">
        <f t="shared" si="6"/>
        <v>14.674136944129014</v>
      </c>
      <c r="AF36" s="53">
        <f>$H$70*AC36^2+$I$70*AC36+$J$70</f>
        <v>50.926241711906663</v>
      </c>
      <c r="AG36" s="53">
        <f>$R$70*AC36^2+$S$70*AC36+$T$70</f>
        <v>61.256525257640043</v>
      </c>
      <c r="AI36" s="609">
        <f>Tulokset!$CR$16</f>
        <v>11.666666666666666</v>
      </c>
      <c r="AJ36" t="s">
        <v>13</v>
      </c>
      <c r="AL36" s="617">
        <f>IF($AI$36&gt;$AC$35,($AI$36-$R$10)/$Q$10,($AI$36-$R$9)/$Q$9)</f>
        <v>4.5183366733697019</v>
      </c>
      <c r="AM36" t="s">
        <v>25</v>
      </c>
    </row>
    <row r="37" spans="21:42" x14ac:dyDescent="0.15">
      <c r="U37" s="38">
        <v>3</v>
      </c>
      <c r="V37" s="30">
        <f>C24</f>
        <v>-8.2739946950813742E-3</v>
      </c>
      <c r="W37" s="33">
        <f>D24</f>
        <v>-1.7505306038255037</v>
      </c>
      <c r="X37" s="31">
        <f>E24</f>
        <v>58.623175916721166</v>
      </c>
      <c r="Y37" s="37">
        <f>C24-U29</f>
        <v>-0.85464134163385708</v>
      </c>
      <c r="Z37" s="30">
        <f t="shared" si="3"/>
        <v>-9.3693541675586651</v>
      </c>
      <c r="AA37" s="31">
        <f t="shared" si="4"/>
        <v>7.3210907399096659</v>
      </c>
      <c r="AB37" s="37">
        <f>AH6</f>
        <v>24.856065562361952</v>
      </c>
      <c r="AC37" s="53">
        <f t="shared" si="5"/>
        <v>7.3210907399096659</v>
      </c>
      <c r="AD37" s="53">
        <f>V37*AC37^2+W37*AC37+X37</f>
        <v>45.36390989720843</v>
      </c>
      <c r="AE37" s="53">
        <f t="shared" si="6"/>
        <v>5.8790136945500322</v>
      </c>
      <c r="AF37" s="53">
        <f>$H$75*AC37^2+$I$75*AC37+$J$75</f>
        <v>37.134133389281224</v>
      </c>
      <c r="AG37" s="53">
        <f>$R$75*AC37^2+$S$75*AC37+$T$75</f>
        <v>51.461342278021895</v>
      </c>
      <c r="AI37" s="609">
        <f>Tulokset!$CR$17</f>
        <v>115.19999999999999</v>
      </c>
      <c r="AJ37" t="s">
        <v>14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26</v>
      </c>
      <c r="V43" s="21"/>
      <c r="W43" s="49">
        <v>23</v>
      </c>
      <c r="X43" s="49">
        <v>6</v>
      </c>
      <c r="Y43" s="49">
        <v>3</v>
      </c>
      <c r="Z43" s="49">
        <v>-6</v>
      </c>
      <c r="AA43" s="49">
        <v>-16</v>
      </c>
      <c r="AB43" s="49">
        <v>-22</v>
      </c>
      <c r="AC43" s="49">
        <v>-30</v>
      </c>
      <c r="AD43" s="49">
        <v>-33</v>
      </c>
      <c r="AE43" s="39" t="s">
        <v>42</v>
      </c>
      <c r="AF43" s="53">
        <f>$W$5+W43</f>
        <v>66.889485128061381</v>
      </c>
      <c r="AG43" s="53">
        <f t="shared" ref="AG43:AM43" si="7">$W$5+X43</f>
        <v>49.889485128061388</v>
      </c>
      <c r="AH43" s="53">
        <f t="shared" si="7"/>
        <v>46.889485128061388</v>
      </c>
      <c r="AI43" s="53">
        <f t="shared" si="7"/>
        <v>37.889485128061388</v>
      </c>
      <c r="AJ43" s="53">
        <f t="shared" si="7"/>
        <v>27.889485128061388</v>
      </c>
      <c r="AK43" s="53">
        <f t="shared" si="7"/>
        <v>21.889485128061388</v>
      </c>
      <c r="AL43" s="53">
        <f t="shared" si="7"/>
        <v>13.889485128061388</v>
      </c>
      <c r="AM43" s="53">
        <f t="shared" si="7"/>
        <v>10.889485128061388</v>
      </c>
      <c r="AN43" s="5">
        <f t="array" ref="AN43">10*LOG10(SUM(10^(AF43:AM43/10)))</f>
        <v>67.023657814562256</v>
      </c>
      <c r="AO43" s="5">
        <f t="array" ref="AO43">10*LOG10(SUM(10^((AF43:AM43+AF46:AM46)/10)))</f>
        <v>43.920157617986099</v>
      </c>
      <c r="AP43" t="str">
        <f>IF(ABS(W5-AO43)&lt;0.5,"OK","Tarkista laskenta!")</f>
        <v>OK</v>
      </c>
    </row>
    <row r="44" spans="21:42" x14ac:dyDescent="0.15">
      <c r="U44" s="14" t="s">
        <v>29</v>
      </c>
      <c r="V44" s="26"/>
      <c r="W44" s="49">
        <v>21</v>
      </c>
      <c r="X44" s="49">
        <v>4</v>
      </c>
      <c r="Y44" s="49">
        <v>0</v>
      </c>
      <c r="Z44" s="49">
        <v>-3</v>
      </c>
      <c r="AA44" s="49">
        <v>-9</v>
      </c>
      <c r="AB44" s="49">
        <v>-11</v>
      </c>
      <c r="AC44" s="49">
        <v>-16</v>
      </c>
      <c r="AD44" s="49">
        <v>-24</v>
      </c>
      <c r="AE44" s="39" t="s">
        <v>43</v>
      </c>
      <c r="AF44" s="53">
        <f>$W$6+W44</f>
        <v>78.161782851882833</v>
      </c>
      <c r="AG44" s="53">
        <f t="shared" ref="AG44:AM44" si="8">$W$6+X44</f>
        <v>61.16178285188284</v>
      </c>
      <c r="AH44" s="53">
        <f t="shared" si="8"/>
        <v>57.16178285188284</v>
      </c>
      <c r="AI44" s="53">
        <f t="shared" si="8"/>
        <v>54.16178285188284</v>
      </c>
      <c r="AJ44" s="53">
        <f t="shared" si="8"/>
        <v>48.16178285188284</v>
      </c>
      <c r="AK44" s="53">
        <f t="shared" si="8"/>
        <v>46.16178285188284</v>
      </c>
      <c r="AL44" s="53">
        <f t="shared" si="8"/>
        <v>41.16178285188284</v>
      </c>
      <c r="AM44" s="53">
        <f t="shared" si="8"/>
        <v>33.16178285188284</v>
      </c>
      <c r="AN44" s="5">
        <f t="array" ref="AN44">10*LOG10(SUM(10^(AF44:AM44/10)))</f>
        <v>78.305892215560576</v>
      </c>
      <c r="AO44" s="5">
        <f t="array" ref="AO44">10*LOG10(SUM(10^((AF44:AM44+AF46:AM46)/10)))</f>
        <v>57.191624084622077</v>
      </c>
      <c r="AP44" t="str">
        <f>IF(ABS(W6-AO44)&lt;0.5,"OK","Tarkista laskenta!")</f>
        <v>OK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LINEST(Y59:Y65,X59:X65^{1,2})</f>
        <v>-2.0231098860687587E-3</v>
      </c>
      <c r="Y51" s="54">
        <v>0.98155588131709259</v>
      </c>
      <c r="Z51" s="54">
        <v>36.332905327630492</v>
      </c>
    </row>
    <row r="52" spans="3:26" x14ac:dyDescent="0.15">
      <c r="W52" t="s">
        <v>9</v>
      </c>
      <c r="X52" s="54">
        <f t="array" ref="X52:Z52">LINEST(Y67:Y73,X67:X73^{1,2})</f>
        <v>-3.4459913539103392E-3</v>
      </c>
      <c r="Y52" s="54">
        <v>1.0151910704779696</v>
      </c>
      <c r="Z52" s="54">
        <v>18.576162031138701</v>
      </c>
    </row>
    <row r="53" spans="3:26" x14ac:dyDescent="0.15">
      <c r="W53" t="s">
        <v>10</v>
      </c>
      <c r="X53" s="54">
        <f t="array" ref="X53:Z53">LINEST(Y75:Y81,X75:X81^{1,2})</f>
        <v>1.059869318974052E-3</v>
      </c>
      <c r="Y53" s="54">
        <v>0.20072896972064355</v>
      </c>
      <c r="Z53" s="54">
        <v>11.89372139850021</v>
      </c>
    </row>
    <row r="54" spans="3:26" x14ac:dyDescent="0.15">
      <c r="W54" t="s">
        <v>12</v>
      </c>
      <c r="X54" s="54">
        <f t="array" ref="X54:Z54">LINEST(Y83:Y89,X83:X89^{1,2})</f>
        <v>1.9762401886598813E-3</v>
      </c>
      <c r="Y54" s="54">
        <v>6.0953198401276498E-3</v>
      </c>
      <c r="Z54" s="54">
        <v>5.7284660528180602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96.723636363636345</v>
      </c>
      <c r="E59" s="68">
        <v>60.599066890970008</v>
      </c>
      <c r="F59" s="69">
        <v>113.27948964249916</v>
      </c>
      <c r="H59" t="s">
        <v>4</v>
      </c>
      <c r="I59" t="s">
        <v>5</v>
      </c>
      <c r="K59" s="24"/>
      <c r="M59" s="10" t="s">
        <v>3</v>
      </c>
      <c r="N59" s="67">
        <v>100.80833333333335</v>
      </c>
      <c r="O59" s="68">
        <v>73.463084655756148</v>
      </c>
      <c r="P59" s="69">
        <v>113.65438305372545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96.723636363636345</v>
      </c>
      <c r="Y59" s="20">
        <f>F59</f>
        <v>113.27948964249916</v>
      </c>
    </row>
    <row r="60" spans="3:26" x14ac:dyDescent="0.15">
      <c r="C60" s="12"/>
      <c r="D60" s="67">
        <v>80.354545454545459</v>
      </c>
      <c r="E60" s="68">
        <v>61.362739164604648</v>
      </c>
      <c r="F60" s="69">
        <v>102.87442469929833</v>
      </c>
      <c r="H60" s="2">
        <f t="array" ref="H60:I60">LINEST(E59:E62,D59:D62)</f>
        <v>-4.0951820359822956E-2</v>
      </c>
      <c r="I60" s="2">
        <v>64.579267759781956</v>
      </c>
      <c r="K60" s="24"/>
      <c r="M60" s="12"/>
      <c r="N60" s="67">
        <v>84.36272727272727</v>
      </c>
      <c r="O60" s="68">
        <v>72.844325501453028</v>
      </c>
      <c r="P60" s="69">
        <v>104.87036922149747</v>
      </c>
      <c r="R60" s="2">
        <f t="array" ref="R60:T60">LINEST(O59:O62,N59:N62^{1,2})</f>
        <v>2.0059070272867075E-3</v>
      </c>
      <c r="S60" s="2">
        <v>-0.332497384000217</v>
      </c>
      <c r="T60" s="27">
        <v>86.602567196929783</v>
      </c>
      <c r="W60" s="12"/>
      <c r="X60" s="17">
        <f t="shared" ref="X60" si="9">D60</f>
        <v>80.354545454545459</v>
      </c>
      <c r="Y60" s="13">
        <f>F60</f>
        <v>102.87442469929833</v>
      </c>
    </row>
    <row r="61" spans="3:26" x14ac:dyDescent="0.15">
      <c r="C61" s="12"/>
      <c r="D61" s="67">
        <v>63.446363636363643</v>
      </c>
      <c r="E61" s="68">
        <v>61.896602572706271</v>
      </c>
      <c r="F61" s="69">
        <v>83.349675561449914</v>
      </c>
      <c r="K61" s="24"/>
      <c r="M61" s="12"/>
      <c r="N61" s="67">
        <v>66.019090909090906</v>
      </c>
      <c r="O61" s="68">
        <v>73.377484864511445</v>
      </c>
      <c r="P61" s="69">
        <v>91.726942216503261</v>
      </c>
      <c r="T61" s="24"/>
      <c r="W61" s="12"/>
      <c r="X61" s="17">
        <f>D62</f>
        <v>42.587272727272719</v>
      </c>
      <c r="Y61" s="13">
        <f>F62</f>
        <v>75.245481502293231</v>
      </c>
    </row>
    <row r="62" spans="3:26" x14ac:dyDescent="0.15">
      <c r="C62" s="14"/>
      <c r="D62" s="67">
        <v>42.587272727272719</v>
      </c>
      <c r="E62" s="68">
        <v>62.864718090922231</v>
      </c>
      <c r="F62" s="69">
        <v>75.245481502293231</v>
      </c>
      <c r="K62" s="24"/>
      <c r="M62" s="14"/>
      <c r="N62" s="67">
        <v>50.885454545454543</v>
      </c>
      <c r="O62" s="68">
        <v>74.883615288580316</v>
      </c>
      <c r="P62" s="69">
        <v>80.123569584691879</v>
      </c>
      <c r="T62" s="24"/>
      <c r="W62" s="12"/>
      <c r="X62" s="17">
        <f>N59</f>
        <v>100.80833333333335</v>
      </c>
      <c r="Y62" s="13">
        <f>P59</f>
        <v>113.65438305372545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N60</f>
        <v>84.36272727272727</v>
      </c>
      <c r="Y63" s="13">
        <f>P60</f>
        <v>104.87036922149747</v>
      </c>
    </row>
    <row r="64" spans="3:26" x14ac:dyDescent="0.15">
      <c r="C64" s="10" t="s">
        <v>30</v>
      </c>
      <c r="D64" s="67">
        <v>82.99727272727273</v>
      </c>
      <c r="E64" s="68">
        <v>59.138026796221006</v>
      </c>
      <c r="F64" s="69">
        <v>78.255958790207444</v>
      </c>
      <c r="H64" t="s">
        <v>4</v>
      </c>
      <c r="I64" t="s">
        <v>5</v>
      </c>
      <c r="K64" s="24"/>
      <c r="M64" s="10" t="s">
        <v>30</v>
      </c>
      <c r="N64" s="67">
        <v>89.261428571428567</v>
      </c>
      <c r="O64" s="68">
        <v>70.897854605553789</v>
      </c>
      <c r="P64" s="69">
        <v>81.810295802939748</v>
      </c>
      <c r="R64" t="s">
        <v>4</v>
      </c>
      <c r="S64" t="s">
        <v>5</v>
      </c>
      <c r="T64" s="24" t="s">
        <v>6</v>
      </c>
      <c r="W64" s="12"/>
      <c r="X64" s="17">
        <f>N61</f>
        <v>66.019090909090906</v>
      </c>
      <c r="Y64" s="13">
        <f>P61</f>
        <v>91.726942216503261</v>
      </c>
    </row>
    <row r="65" spans="3:25" x14ac:dyDescent="0.15">
      <c r="C65" s="12"/>
      <c r="D65" s="67">
        <v>70.897272727272721</v>
      </c>
      <c r="E65" s="68">
        <v>59.317875533330209</v>
      </c>
      <c r="F65" s="69">
        <v>72.802553211280866</v>
      </c>
      <c r="H65" s="2">
        <f t="array" ref="H65:I65">LINEST(E64:E67,D64:D67)</f>
        <v>-3.3241298187670444E-2</v>
      </c>
      <c r="I65" s="2">
        <v>61.746196917602482</v>
      </c>
      <c r="K65" s="24"/>
      <c r="M65" s="12"/>
      <c r="N65" s="67">
        <v>74.599090909090918</v>
      </c>
      <c r="O65" s="68">
        <v>70.710057546995316</v>
      </c>
      <c r="P65" s="69">
        <v>76.627890610641956</v>
      </c>
      <c r="R65" s="2">
        <f t="array" ref="R65:T65">LINEST(O64:O67,N64:N67^{1,2})</f>
        <v>2.2925201254309843E-3</v>
      </c>
      <c r="S65" s="2">
        <v>-0.33950166700790002</v>
      </c>
      <c r="T65" s="27">
        <v>83.02752531842178</v>
      </c>
      <c r="W65" s="14"/>
      <c r="X65" s="18">
        <f>N62</f>
        <v>50.885454545454543</v>
      </c>
      <c r="Y65" s="15">
        <f>P62</f>
        <v>80.123569584691879</v>
      </c>
    </row>
    <row r="66" spans="3:25" x14ac:dyDescent="0.15">
      <c r="C66" s="12"/>
      <c r="D66" s="67">
        <v>54.980909090909087</v>
      </c>
      <c r="E66" s="68">
        <v>59.664136609223121</v>
      </c>
      <c r="F66" s="69">
        <v>56.467153435229974</v>
      </c>
      <c r="K66" s="24"/>
      <c r="M66" s="12"/>
      <c r="N66" s="67">
        <v>57.18545454545454</v>
      </c>
      <c r="O66" s="68">
        <v>70.830937471938014</v>
      </c>
      <c r="P66" s="69">
        <v>65.407494463167055</v>
      </c>
      <c r="T66" s="24"/>
      <c r="W66" s="12"/>
      <c r="X66" s="16" t="s">
        <v>13</v>
      </c>
      <c r="Y66" s="11" t="s">
        <v>49</v>
      </c>
    </row>
    <row r="67" spans="3:25" x14ac:dyDescent="0.15">
      <c r="C67" s="14"/>
      <c r="D67" s="67">
        <v>37.382727272727273</v>
      </c>
      <c r="E67" s="68">
        <v>60.67880707866388</v>
      </c>
      <c r="F67" s="69">
        <v>52.379014670595019</v>
      </c>
      <c r="K67" s="24"/>
      <c r="M67" s="14"/>
      <c r="N67" s="67">
        <v>45.010909090909095</v>
      </c>
      <c r="O67" s="68">
        <v>72.509865191750777</v>
      </c>
      <c r="P67" s="69">
        <v>56.273097889950385</v>
      </c>
      <c r="T67" s="24"/>
      <c r="W67" s="10" t="s">
        <v>9</v>
      </c>
      <c r="X67" s="19">
        <f>D64</f>
        <v>82.99727272727273</v>
      </c>
      <c r="Y67" s="20">
        <f>F64</f>
        <v>78.255958790207444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2"/>
      <c r="X68" s="17">
        <f t="shared" ref="X68" si="10">D65</f>
        <v>70.897272727272721</v>
      </c>
      <c r="Y68" s="13">
        <f t="shared" ref="Y68" si="11">F65</f>
        <v>72.802553211280866</v>
      </c>
    </row>
    <row r="69" spans="3:25" x14ac:dyDescent="0.15">
      <c r="C69" s="10" t="s">
        <v>10</v>
      </c>
      <c r="D69" s="67">
        <v>52.310909090909099</v>
      </c>
      <c r="E69" s="68">
        <v>50.94529100608618</v>
      </c>
      <c r="F69" s="69">
        <v>25.325845818272938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54.800000000000018</v>
      </c>
      <c r="O69" s="68">
        <v>61.425878439568542</v>
      </c>
      <c r="P69" s="69">
        <v>25.952768140673616</v>
      </c>
      <c r="R69" t="s">
        <v>4</v>
      </c>
      <c r="S69" t="s">
        <v>5</v>
      </c>
      <c r="T69" s="24" t="s">
        <v>6</v>
      </c>
      <c r="W69" s="12"/>
      <c r="X69" s="17">
        <f>D67</f>
        <v>37.382727272727273</v>
      </c>
      <c r="Y69" s="13">
        <f>F67</f>
        <v>52.379014670595019</v>
      </c>
    </row>
    <row r="70" spans="3:25" x14ac:dyDescent="0.15">
      <c r="C70" s="12"/>
      <c r="D70" s="67">
        <v>45.190909090909088</v>
      </c>
      <c r="E70" s="68">
        <v>50.931209616046694</v>
      </c>
      <c r="F70" s="69">
        <v>22.775988006105152</v>
      </c>
      <c r="H70" s="2">
        <f t="array" ref="H70:J70">LINEST(E69:E72,D69:D72^{1,2})</f>
        <v>-1.0142167228149672E-3</v>
      </c>
      <c r="I70" s="2">
        <v>6.4609006666790328E-2</v>
      </c>
      <c r="J70" s="2">
        <v>50.259098815219552</v>
      </c>
      <c r="K70" s="24"/>
      <c r="M70" s="12"/>
      <c r="N70" s="67">
        <v>46.856363636363632</v>
      </c>
      <c r="O70" s="68">
        <v>61.425103707020618</v>
      </c>
      <c r="P70" s="69">
        <v>24.143815384871559</v>
      </c>
      <c r="R70" s="2">
        <f t="array" ref="R70:T70">LINEST(O69:O72,N69:N72^{1,2})</f>
        <v>-1.084947951295763E-3</v>
      </c>
      <c r="S70" s="2">
        <v>7.5669240483334399E-2</v>
      </c>
      <c r="T70" s="27">
        <v>60.457883421075657</v>
      </c>
      <c r="W70" s="12"/>
      <c r="X70" s="17">
        <f>N64</f>
        <v>89.261428571428567</v>
      </c>
      <c r="Y70" s="13">
        <f>P64</f>
        <v>81.810295802939748</v>
      </c>
    </row>
    <row r="71" spans="3:25" x14ac:dyDescent="0.15">
      <c r="C71" s="12"/>
      <c r="D71" s="67">
        <v>33.940000000000005</v>
      </c>
      <c r="E71" s="68">
        <v>51.422351987256611</v>
      </c>
      <c r="F71" s="69">
        <v>18.165718058774672</v>
      </c>
      <c r="K71" s="24"/>
      <c r="M71" s="12"/>
      <c r="N71" s="67">
        <v>36.492727272727272</v>
      </c>
      <c r="O71" s="68">
        <v>61.951981129231115</v>
      </c>
      <c r="P71" s="69">
        <v>20.500649722172916</v>
      </c>
      <c r="T71" s="24"/>
      <c r="W71" s="12"/>
      <c r="X71" s="17">
        <f>N65</f>
        <v>74.599090909090918</v>
      </c>
      <c r="Y71" s="13">
        <f>P65</f>
        <v>76.627890610641956</v>
      </c>
    </row>
    <row r="72" spans="3:25" x14ac:dyDescent="0.15">
      <c r="C72" s="14"/>
      <c r="D72" s="67">
        <v>23.01</v>
      </c>
      <c r="E72" s="68">
        <v>51.164647526699852</v>
      </c>
      <c r="F72" s="69">
        <v>17.067596645961789</v>
      </c>
      <c r="K72" s="24"/>
      <c r="M72" s="14"/>
      <c r="N72" s="67">
        <v>26.934545454545454</v>
      </c>
      <c r="O72" s="68">
        <v>61.648215190594982</v>
      </c>
      <c r="P72" s="69">
        <v>18.132714267956356</v>
      </c>
      <c r="T72" s="24"/>
      <c r="W72" s="12"/>
      <c r="X72" s="17">
        <f>N66</f>
        <v>57.18545454545454</v>
      </c>
      <c r="Y72" s="13">
        <f>P66</f>
        <v>65.407494463167055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4"/>
      <c r="X73" s="18">
        <f>N67</f>
        <v>45.010909090909095</v>
      </c>
      <c r="Y73" s="15">
        <f>P67</f>
        <v>56.273097889950385</v>
      </c>
    </row>
    <row r="74" spans="3:25" x14ac:dyDescent="0.15">
      <c r="C74" s="10" t="s">
        <v>12</v>
      </c>
      <c r="D74" s="67">
        <v>26.16090909090909</v>
      </c>
      <c r="E74" s="68">
        <v>39.950577720506828</v>
      </c>
      <c r="F74" s="69">
        <v>7.1297314567323751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26.427857142857146</v>
      </c>
      <c r="O74" s="68">
        <v>50.527020875026068</v>
      </c>
      <c r="P74" s="69">
        <v>7.2464039897962467</v>
      </c>
      <c r="R74" t="s">
        <v>4</v>
      </c>
      <c r="S74" t="s">
        <v>5</v>
      </c>
      <c r="T74" s="24" t="s">
        <v>6</v>
      </c>
      <c r="W74" s="12"/>
      <c r="X74" s="16" t="s">
        <v>13</v>
      </c>
      <c r="Y74" s="11" t="s">
        <v>49</v>
      </c>
    </row>
    <row r="75" spans="3:25" x14ac:dyDescent="0.15">
      <c r="C75" s="12"/>
      <c r="D75" s="67">
        <v>23.122727272727271</v>
      </c>
      <c r="E75" s="68">
        <v>40.891244214226447</v>
      </c>
      <c r="F75" s="69">
        <v>7.1955342389818666</v>
      </c>
      <c r="H75" s="2">
        <f t="array" ref="H75:J75">LINEST(E74:E77,D74:D77^{1,2})</f>
        <v>-2.775240017932579E-2</v>
      </c>
      <c r="I75" s="2">
        <v>1.079841467966675</v>
      </c>
      <c r="J75" s="2">
        <v>30.715999420288853</v>
      </c>
      <c r="K75" s="24"/>
      <c r="M75" s="12"/>
      <c r="N75" s="67">
        <v>23.416363636363634</v>
      </c>
      <c r="O75" s="68">
        <v>50.680435128406216</v>
      </c>
      <c r="P75" s="69">
        <v>6.9733060287072117</v>
      </c>
      <c r="R75" s="2">
        <f t="array" ref="R75:T75">LINEST(O74:O77,N74:N77^{1,2})</f>
        <v>-5.7281961522839151E-3</v>
      </c>
      <c r="S75" s="2">
        <v>0.13956611470695213</v>
      </c>
      <c r="T75" s="27">
        <v>50.746588062673041</v>
      </c>
      <c r="W75" s="10" t="s">
        <v>10</v>
      </c>
      <c r="X75" s="19">
        <f>D69</f>
        <v>52.310909090909099</v>
      </c>
      <c r="Y75" s="20">
        <f>F69</f>
        <v>25.325845818272938</v>
      </c>
    </row>
    <row r="76" spans="3:25" x14ac:dyDescent="0.15">
      <c r="C76" s="12"/>
      <c r="D76" s="67">
        <v>18.288181818181819</v>
      </c>
      <c r="E76" s="68">
        <v>41.152225282467427</v>
      </c>
      <c r="F76" s="69">
        <v>6.0547261318075511</v>
      </c>
      <c r="K76" s="24"/>
      <c r="M76" s="12"/>
      <c r="N76" s="67">
        <v>18.350000000000001</v>
      </c>
      <c r="O76" s="68">
        <v>51.5281753279952</v>
      </c>
      <c r="P76" s="69">
        <v>6.7232744090643006</v>
      </c>
      <c r="T76" s="24"/>
      <c r="W76" s="12"/>
      <c r="X76" s="17">
        <f t="shared" ref="X76" si="12">D70</f>
        <v>45.190909090909088</v>
      </c>
      <c r="Y76" s="13">
        <f>F70</f>
        <v>22.775988006105152</v>
      </c>
    </row>
    <row r="77" spans="3:25" x14ac:dyDescent="0.15">
      <c r="C77" s="14"/>
      <c r="D77" s="70">
        <v>11.878181818181817</v>
      </c>
      <c r="E77" s="71">
        <v>39.634068965353691</v>
      </c>
      <c r="F77" s="72">
        <v>6.0735968016280397</v>
      </c>
      <c r="G77" s="25"/>
      <c r="H77" s="25"/>
      <c r="I77" s="25"/>
      <c r="J77" s="25"/>
      <c r="K77" s="26"/>
      <c r="M77" s="14"/>
      <c r="N77" s="70">
        <v>13.623636363636363</v>
      </c>
      <c r="O77" s="71">
        <v>51.53606298607442</v>
      </c>
      <c r="P77" s="72">
        <v>6.2531096612725054</v>
      </c>
      <c r="Q77" s="25"/>
      <c r="R77" s="25"/>
      <c r="S77" s="25"/>
      <c r="T77" s="26"/>
      <c r="W77" s="12"/>
      <c r="X77" s="17">
        <f>D72</f>
        <v>23.01</v>
      </c>
      <c r="Y77" s="13">
        <f>F72</f>
        <v>17.067596645961789</v>
      </c>
    </row>
    <row r="78" spans="3:25" x14ac:dyDescent="0.15">
      <c r="W78" s="12"/>
      <c r="X78" s="17">
        <f>N69</f>
        <v>54.800000000000018</v>
      </c>
      <c r="Y78" s="13">
        <f>P69</f>
        <v>25.952768140673616</v>
      </c>
    </row>
    <row r="79" spans="3:25" x14ac:dyDescent="0.15">
      <c r="F79" s="5"/>
      <c r="W79" s="12"/>
      <c r="X79" s="17">
        <f>N70</f>
        <v>46.856363636363632</v>
      </c>
      <c r="Y79" s="13">
        <f>P70</f>
        <v>24.143815384871559</v>
      </c>
    </row>
    <row r="80" spans="3:25" x14ac:dyDescent="0.15">
      <c r="F80" s="5"/>
      <c r="W80" s="12"/>
      <c r="X80" s="17">
        <f>N71</f>
        <v>36.492727272727272</v>
      </c>
      <c r="Y80" s="13">
        <f>P71</f>
        <v>20.500649722172916</v>
      </c>
    </row>
    <row r="81" spans="6:25" x14ac:dyDescent="0.15">
      <c r="F81" s="5"/>
      <c r="W81" s="14"/>
      <c r="X81" s="18">
        <f>N72</f>
        <v>26.934545454545454</v>
      </c>
      <c r="Y81" s="15">
        <f>P72</f>
        <v>18.132714267956356</v>
      </c>
    </row>
    <row r="82" spans="6:25" x14ac:dyDescent="0.15">
      <c r="F82" s="5"/>
      <c r="W82" s="12"/>
      <c r="X82" s="16" t="s">
        <v>13</v>
      </c>
      <c r="Y82" s="11" t="s">
        <v>49</v>
      </c>
    </row>
    <row r="83" spans="6:25" x14ac:dyDescent="0.15">
      <c r="W83" s="10" t="s">
        <v>12</v>
      </c>
      <c r="X83" s="19">
        <f>D74</f>
        <v>26.16090909090909</v>
      </c>
      <c r="Y83" s="20">
        <f>F74</f>
        <v>7.1297314567323751</v>
      </c>
    </row>
    <row r="84" spans="6:25" x14ac:dyDescent="0.15">
      <c r="W84" s="12"/>
      <c r="X84" s="17">
        <f t="shared" ref="X84:X85" si="13">D75</f>
        <v>23.122727272727271</v>
      </c>
      <c r="Y84" s="13">
        <f>F75</f>
        <v>7.1955342389818666</v>
      </c>
    </row>
    <row r="85" spans="6:25" x14ac:dyDescent="0.15">
      <c r="W85" s="12"/>
      <c r="X85" s="17">
        <f t="shared" si="13"/>
        <v>18.288181818181819</v>
      </c>
      <c r="Y85" s="13">
        <f>F76</f>
        <v>6.0547261318075511</v>
      </c>
    </row>
    <row r="86" spans="6:25" x14ac:dyDescent="0.15">
      <c r="W86" s="12"/>
      <c r="X86" s="17">
        <f>N74</f>
        <v>26.427857142857146</v>
      </c>
      <c r="Y86" s="13">
        <f>P74</f>
        <v>7.2464039897962467</v>
      </c>
    </row>
    <row r="87" spans="6:25" x14ac:dyDescent="0.15">
      <c r="F87" s="5"/>
      <c r="W87" s="12"/>
      <c r="X87" s="17">
        <f t="shared" ref="X87:X89" si="14">N75</f>
        <v>23.416363636363634</v>
      </c>
      <c r="Y87" s="13">
        <f>P75</f>
        <v>6.9733060287072117</v>
      </c>
    </row>
    <row r="88" spans="6:25" x14ac:dyDescent="0.15">
      <c r="F88" s="5"/>
      <c r="W88" s="12"/>
      <c r="X88" s="17">
        <f t="shared" si="14"/>
        <v>18.350000000000001</v>
      </c>
      <c r="Y88" s="13">
        <f>P76</f>
        <v>6.7232744090643006</v>
      </c>
    </row>
    <row r="89" spans="6:25" x14ac:dyDescent="0.15">
      <c r="F89" s="5"/>
      <c r="W89" s="14"/>
      <c r="X89" s="18">
        <f t="shared" si="14"/>
        <v>13.623636363636363</v>
      </c>
      <c r="Y89" s="15">
        <f>P77</f>
        <v>6.2531096612725054</v>
      </c>
    </row>
    <row r="90" spans="6:25" x14ac:dyDescent="0.15">
      <c r="F90" s="5"/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8"/>
  <dimension ref="C2:AP99"/>
  <sheetViews>
    <sheetView topLeftCell="H1" zoomScale="85" zoomScaleNormal="85" workbookViewId="0">
      <selection activeCell="BL19" sqref="BL19"/>
    </sheetView>
  </sheetViews>
  <sheetFormatPr baseColWidth="10" defaultColWidth="8.83203125" defaultRowHeight="13" x14ac:dyDescent="0.15"/>
  <cols>
    <col min="16" max="16" width="10.83203125" customWidth="1"/>
    <col min="22" max="22" width="14.83203125" customWidth="1"/>
    <col min="25" max="25" width="10" customWidth="1"/>
  </cols>
  <sheetData>
    <row r="2" spans="3:34" x14ac:dyDescent="0.15">
      <c r="C2" s="2" t="s">
        <v>59</v>
      </c>
      <c r="J2" t="s">
        <v>15</v>
      </c>
    </row>
    <row r="3" spans="3:34" x14ac:dyDescent="0.15">
      <c r="J3" s="7">
        <f>'R-series ALU'!G33</f>
        <v>9.7222222222222214</v>
      </c>
      <c r="K3" t="s">
        <v>13</v>
      </c>
      <c r="L3" s="7">
        <f>'R-series ALU'!G39</f>
        <v>100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30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23.700728284195417</v>
      </c>
      <c r="Q5" s="52">
        <v>-5.449574283586216</v>
      </c>
      <c r="R5" t="s">
        <v>8</v>
      </c>
      <c r="T5" s="4"/>
      <c r="U5" s="39" t="s">
        <v>43</v>
      </c>
      <c r="V5" t="s">
        <v>8</v>
      </c>
      <c r="W5" s="9">
        <f>$P$5*LN($J$3)+$Q$5</f>
        <v>48.455699056189331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23.748005959043692</v>
      </c>
      <c r="Q6" s="52">
        <v>5.0298591500565166</v>
      </c>
      <c r="R6" t="s">
        <v>57</v>
      </c>
      <c r="T6" s="4"/>
      <c r="U6" s="39" t="s">
        <v>43</v>
      </c>
      <c r="V6" t="s">
        <v>57</v>
      </c>
      <c r="W6" s="9">
        <f>$P$6*LN($J$3)+$Q$6</f>
        <v>59.042661505607697</v>
      </c>
      <c r="X6" t="s">
        <v>31</v>
      </c>
      <c r="AA6" s="55">
        <v>25</v>
      </c>
      <c r="AB6" s="56">
        <f t="shared" ref="AB6:AB12" si="0">(-$D$9-SQRT($D$9^2-(4*$C$9*($E$9-AA6))))/(2*$C$9)</f>
        <v>116.53439357132875</v>
      </c>
      <c r="AC6" s="55">
        <v>24</v>
      </c>
      <c r="AD6" s="57">
        <f t="shared" ref="AD6:AD12" si="1">(-$D$14-SQRT($D$14^2-(4*$C$14*($E$14-AC6))))/(2*$C$14)</f>
        <v>112.6869797142791</v>
      </c>
      <c r="AE6" s="55">
        <v>17</v>
      </c>
      <c r="AF6" s="57">
        <f t="shared" ref="AF6:AF11" si="2">(-$D$19-SQRT($D$19^2-(4*$C$19*($E$19-AE6))))/(2*$C$19)</f>
        <v>72.284594299567686</v>
      </c>
      <c r="AG6" s="56">
        <v>10</v>
      </c>
      <c r="AH6" s="57">
        <f>(-$D$24-SQRT($D$24^2-(4*$C$24*($E$24-AG6))))/(2*$C$24)</f>
        <v>36.100405459595137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106.04294190771634</v>
      </c>
      <c r="AC7" s="55">
        <v>100</v>
      </c>
      <c r="AD7" s="57">
        <f t="shared" si="1"/>
        <v>101.16251296817727</v>
      </c>
      <c r="AE7" s="55">
        <v>40</v>
      </c>
      <c r="AF7" s="57">
        <f t="shared" si="2"/>
        <v>65.038512656650866</v>
      </c>
      <c r="AG7" s="56">
        <v>20</v>
      </c>
      <c r="AH7" s="57">
        <f>(-$D$24-SQRT($D$24^2-(4*$C$24*($E$24-AG7))))/(2*$C$24)</f>
        <v>30.228941518656235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97.229113962616722</v>
      </c>
      <c r="AC8" s="55">
        <v>150</v>
      </c>
      <c r="AD8" s="57">
        <f t="shared" si="1"/>
        <v>92.618224317416534</v>
      </c>
      <c r="AE8" s="55">
        <v>60</v>
      </c>
      <c r="AF8" s="57">
        <f t="shared" si="2"/>
        <v>58.173257245729815</v>
      </c>
      <c r="AG8" s="56">
        <v>30</v>
      </c>
      <c r="AH8" s="57">
        <f>(-$D$24-SQRT($D$24^2-(4*$C$24*($E$24-AG8))))/(2*$C$24)</f>
        <v>23.211710481821601</v>
      </c>
    </row>
    <row r="9" spans="3:34" x14ac:dyDescent="0.15">
      <c r="C9" s="8">
        <v>-5.7648754865543043E-2</v>
      </c>
      <c r="D9" s="8">
        <v>3.7763152889204412</v>
      </c>
      <c r="E9" s="8">
        <v>367.81474923817939</v>
      </c>
      <c r="H9" s="2"/>
      <c r="P9" t="s">
        <v>23</v>
      </c>
      <c r="Q9" s="52">
        <f t="array" ref="Q9:R9">LINEST(AC35:AC37,U35:U37)</f>
        <v>2.6274117121187825</v>
      </c>
      <c r="R9" s="52">
        <v>-1.3117673435875812</v>
      </c>
      <c r="U9" s="39" t="s">
        <v>42</v>
      </c>
      <c r="V9" t="s">
        <v>58</v>
      </c>
      <c r="W9" s="273">
        <f>IF($J$3&gt;$AC$35,($J$3-$R$10)/$Q$10,($J$3-$R$9)/$Q$9)</f>
        <v>4.1995662556104829</v>
      </c>
      <c r="X9" t="s">
        <v>25</v>
      </c>
      <c r="AA9" s="55">
        <v>250</v>
      </c>
      <c r="AB9" s="56">
        <f t="shared" si="0"/>
        <v>88.57761083726021</v>
      </c>
      <c r="AC9" s="55">
        <v>200</v>
      </c>
      <c r="AD9" s="57">
        <f t="shared" si="1"/>
        <v>82.962402646329451</v>
      </c>
      <c r="AE9" s="55">
        <v>80</v>
      </c>
      <c r="AF9" s="57">
        <f t="shared" si="2"/>
        <v>50.616285442767648</v>
      </c>
      <c r="AG9" s="56">
        <v>35</v>
      </c>
      <c r="AH9" s="57">
        <f>(-$D$24-SQRT($D$24^2-(4*$C$24*($E$24-AG9))))/(2*$C$24)</f>
        <v>18.983097435077962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LINEST(AC34:AC35,U34:U35)</f>
        <v>0.62404906133550331</v>
      </c>
      <c r="R10" s="52">
        <v>13.688324178150117</v>
      </c>
      <c r="W10" t="b">
        <f>IF(AND(W9&lt;=10.01,'R-series ALU'!G33&gt;=W11),TRUE,FALSE)</f>
        <v>0</v>
      </c>
      <c r="AA10" s="55">
        <v>320</v>
      </c>
      <c r="AB10" s="56">
        <f t="shared" si="0"/>
        <v>76.366556139312408</v>
      </c>
      <c r="AC10" s="55">
        <v>250</v>
      </c>
      <c r="AD10" s="57">
        <f t="shared" si="1"/>
        <v>71.599428630662572</v>
      </c>
      <c r="AE10" s="55">
        <v>100</v>
      </c>
      <c r="AF10" s="57">
        <f t="shared" si="2"/>
        <v>42.103641313068522</v>
      </c>
      <c r="AG10" s="56">
        <v>43</v>
      </c>
      <c r="AH10" s="57">
        <f>(-$D$24-SQRT($D$24^2-(4*$C$24*($E$24-AG10))))/(2*$C$24)</f>
        <v>10.086604002383522</v>
      </c>
    </row>
    <row r="11" spans="3:34" x14ac:dyDescent="0.15">
      <c r="C11" s="2" t="s">
        <v>9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58.980839057652446</v>
      </c>
      <c r="AC11" s="55">
        <v>300</v>
      </c>
      <c r="AD11" s="57">
        <f t="shared" si="1"/>
        <v>57.073060803556054</v>
      </c>
      <c r="AE11" s="55">
        <v>140</v>
      </c>
      <c r="AF11" s="57">
        <f t="shared" si="2"/>
        <v>19.574933517601881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422</v>
      </c>
      <c r="AB12" s="59">
        <f t="shared" si="0"/>
        <v>44.277754454596312</v>
      </c>
      <c r="AC12" s="58">
        <v>340</v>
      </c>
      <c r="AD12" s="60">
        <f t="shared" si="1"/>
        <v>39.254349206872753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-2.8223299170432131E-2</v>
      </c>
      <c r="Q13" s="51">
        <v>3.0406873169022908</v>
      </c>
      <c r="R13" s="51">
        <v>-14.425294096325645</v>
      </c>
      <c r="U13" s="39" t="s">
        <v>43</v>
      </c>
      <c r="V13" t="s">
        <v>58</v>
      </c>
      <c r="W13" s="9">
        <f>$P$13*J3^2+$Q$13*J3+$R$13</f>
        <v>12.469232172648836</v>
      </c>
      <c r="X13" t="s">
        <v>49</v>
      </c>
    </row>
    <row r="14" spans="3:34" x14ac:dyDescent="0.15">
      <c r="C14" s="8">
        <v>-3.7012907733774747E-2</v>
      </c>
      <c r="D14" s="8">
        <v>1.3205263241356524</v>
      </c>
      <c r="E14" s="8">
        <v>345.19693358447245</v>
      </c>
      <c r="H14" s="2"/>
      <c r="V14" t="s">
        <v>52</v>
      </c>
      <c r="W14" s="3">
        <f>IF(W13&gt;118,118,W13)</f>
        <v>12.469232172648836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</row>
    <row r="17" spans="3:35" x14ac:dyDescent="0.15">
      <c r="C17" t="s">
        <v>11</v>
      </c>
      <c r="D17" s="1"/>
      <c r="E17" s="1"/>
      <c r="H17" s="1"/>
    </row>
    <row r="18" spans="3:35" x14ac:dyDescent="0.15">
      <c r="C18" t="s">
        <v>4</v>
      </c>
      <c r="D18" t="s">
        <v>5</v>
      </c>
      <c r="E18" t="s">
        <v>6</v>
      </c>
      <c r="H18" s="1"/>
    </row>
    <row r="19" spans="3:35" x14ac:dyDescent="0.15">
      <c r="C19" s="8">
        <v>-1.8489332347862378E-2</v>
      </c>
      <c r="D19" s="8">
        <v>-0.63511672913465744</v>
      </c>
      <c r="E19" s="8">
        <v>159.51707354992274</v>
      </c>
      <c r="AB19" s="6"/>
      <c r="AC19" s="6"/>
    </row>
    <row r="20" spans="3:35" x14ac:dyDescent="0.15">
      <c r="C20" s="2"/>
      <c r="D20" s="2"/>
      <c r="E20" s="2"/>
      <c r="H20" s="1"/>
      <c r="AB20" s="6"/>
      <c r="AC20" s="6"/>
    </row>
    <row r="21" spans="3:35" x14ac:dyDescent="0.15">
      <c r="C21" s="2" t="s">
        <v>12</v>
      </c>
      <c r="D21" s="1"/>
      <c r="E21" s="1"/>
      <c r="H21" s="1"/>
      <c r="AB21" s="6"/>
      <c r="AC21" s="6"/>
    </row>
    <row r="22" spans="3:35" x14ac:dyDescent="0.15">
      <c r="C22" t="s">
        <v>11</v>
      </c>
      <c r="D22" s="1"/>
      <c r="E22" s="1"/>
      <c r="H22" s="1"/>
      <c r="AB22" s="6"/>
      <c r="AC22" s="6"/>
    </row>
    <row r="23" spans="3:35" x14ac:dyDescent="0.15">
      <c r="C23" t="s">
        <v>4</v>
      </c>
      <c r="D23" t="s">
        <v>5</v>
      </c>
      <c r="E23" t="s">
        <v>6</v>
      </c>
      <c r="H23" s="1"/>
    </row>
    <row r="24" spans="3:35" x14ac:dyDescent="0.15">
      <c r="C24" s="8">
        <v>-2.1576213285929312E-2</v>
      </c>
      <c r="D24" s="8">
        <v>-0.27201661971312024</v>
      </c>
      <c r="E24" s="8">
        <v>47.938878809306331</v>
      </c>
      <c r="H24" s="1"/>
    </row>
    <row r="25" spans="3:35" x14ac:dyDescent="0.15">
      <c r="E25" s="2"/>
      <c r="F25" s="2"/>
      <c r="G25" s="2"/>
      <c r="H25" s="1"/>
    </row>
    <row r="27" spans="3:35" x14ac:dyDescent="0.15">
      <c r="U27" t="s">
        <v>37</v>
      </c>
    </row>
    <row r="28" spans="3:35" x14ac:dyDescent="0.15">
      <c r="U28" s="4" t="s">
        <v>17</v>
      </c>
    </row>
    <row r="29" spans="3:35" x14ac:dyDescent="0.15">
      <c r="U29" s="4">
        <f>(L3/J3)^2/L3</f>
        <v>1.0579591836734696</v>
      </c>
    </row>
    <row r="31" spans="3:35" x14ac:dyDescent="0.15">
      <c r="U31" s="2" t="s">
        <v>16</v>
      </c>
      <c r="AI31" s="2" t="s">
        <v>1110</v>
      </c>
    </row>
    <row r="32" spans="3:3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s="2" t="s">
        <v>1107</v>
      </c>
      <c r="AL33" t="s">
        <v>1115</v>
      </c>
    </row>
    <row r="34" spans="21:42" x14ac:dyDescent="0.15">
      <c r="U34" s="35">
        <v>10</v>
      </c>
      <c r="V34" s="28">
        <f>C9</f>
        <v>-5.7648754865543043E-2</v>
      </c>
      <c r="W34" s="32">
        <f>D9</f>
        <v>3.7763152889204412</v>
      </c>
      <c r="X34" s="29">
        <f>E9</f>
        <v>367.81474923817939</v>
      </c>
      <c r="Y34" s="36">
        <f>C9-U29</f>
        <v>-1.1156079385390127</v>
      </c>
      <c r="Z34" s="28">
        <f>(-W34+SQRT(W34^2-(4*Y34*X34)))/(2*Y34)</f>
        <v>-16.54383055244903</v>
      </c>
      <c r="AA34" s="29">
        <f>(-W34-SQRT(W34^2-(4*Y34*X34)))/(2*Y34)</f>
        <v>19.92881479150515</v>
      </c>
      <c r="AB34" s="36">
        <f>AB6</f>
        <v>116.53439357132875</v>
      </c>
      <c r="AC34" s="53">
        <f>IF(Z34&lt;0,AA34,IF(Z34&gt;AB34,AA34,Z34))</f>
        <v>19.92881479150515</v>
      </c>
      <c r="AD34" s="53">
        <f>V34*AC34^2+W34*AC34+X34</f>
        <v>420.17659269907949</v>
      </c>
      <c r="AE34" s="53">
        <f>X51*AC34^2+Y51*AC34+Z51</f>
        <v>25.696822498157573</v>
      </c>
      <c r="AF34" s="53">
        <f>$H$60*AC34+$I$60</f>
        <v>65.854425857444198</v>
      </c>
      <c r="AG34" s="53">
        <f>$R$60*AC34^2+$S$60*AC34+$T$60</f>
        <v>75.756823340132215</v>
      </c>
      <c r="AI34" s="616">
        <f>AC34/J3-1</f>
        <v>1.049820949983387</v>
      </c>
      <c r="AL34" s="278" t="b">
        <f>IF(AI36&gt;AC34,FALSE,TRUE)</f>
        <v>1</v>
      </c>
      <c r="AM34" t="s">
        <v>1117</v>
      </c>
    </row>
    <row r="35" spans="21:42" x14ac:dyDescent="0.15">
      <c r="U35" s="35">
        <v>7.5</v>
      </c>
      <c r="V35" s="28">
        <f>C14</f>
        <v>-3.7012907733774747E-2</v>
      </c>
      <c r="W35" s="32">
        <f>D14</f>
        <v>1.3205263241356524</v>
      </c>
      <c r="X35" s="29">
        <f>E14</f>
        <v>345.19693358447245</v>
      </c>
      <c r="Y35" s="36">
        <f>C14-U29</f>
        <v>-1.0949720914072443</v>
      </c>
      <c r="Z35" s="28">
        <f t="shared" ref="Z35:Z37" si="3">(-W35+SQRT(W35^2-(4*Y35*X35)))/(2*Y35)</f>
        <v>-17.162701287350711</v>
      </c>
      <c r="AA35" s="29">
        <f t="shared" ref="AA35:AA37" si="4">(-W35-SQRT(W35^2-(4*Y35*X35)))/(2*Y35)</f>
        <v>18.368692138166391</v>
      </c>
      <c r="AB35" s="36">
        <f>AD6</f>
        <v>112.6869797142791</v>
      </c>
      <c r="AC35" s="53">
        <f t="shared" ref="AC35:AC37" si="5">IF(Z35&lt;0,AA35,IF(Z35&gt;AB35,AA35,Z35))</f>
        <v>18.368692138166391</v>
      </c>
      <c r="AD35" s="53">
        <f>V35*AC35^2+W35*AC35+X35</f>
        <v>356.96479242717533</v>
      </c>
      <c r="AE35" s="53">
        <f t="shared" ref="AE35:AE37" si="6">X52*AC35^2+Y52*AC35+Z52</f>
        <v>44.915920096258191</v>
      </c>
      <c r="AF35" s="53">
        <f>$H$65*AC35+$I$65</f>
        <v>61.9488541005055</v>
      </c>
      <c r="AG35" s="53">
        <f>$R$65*AC35^2+$S$65*AC35+$T$65</f>
        <v>75.019694266734206</v>
      </c>
      <c r="AI35" t="s">
        <v>1114</v>
      </c>
      <c r="AL35" t="s">
        <v>1116</v>
      </c>
    </row>
    <row r="36" spans="21:42" x14ac:dyDescent="0.15">
      <c r="U36" s="35">
        <v>5</v>
      </c>
      <c r="V36" s="28">
        <f>C19</f>
        <v>-1.8489332347862378E-2</v>
      </c>
      <c r="W36" s="32">
        <f>D19</f>
        <v>-0.63511672913465744</v>
      </c>
      <c r="X36" s="29">
        <f>E19</f>
        <v>159.51707354992274</v>
      </c>
      <c r="Y36" s="36">
        <f>C19-U29</f>
        <v>-1.076448516021332</v>
      </c>
      <c r="Z36" s="28">
        <f t="shared" si="3"/>
        <v>-12.471841270081542</v>
      </c>
      <c r="AA36" s="29">
        <f t="shared" si="4"/>
        <v>11.881830025064348</v>
      </c>
      <c r="AB36" s="36">
        <f>AF6</f>
        <v>72.284594299567686</v>
      </c>
      <c r="AC36" s="53">
        <f t="shared" si="5"/>
        <v>11.881830025064348</v>
      </c>
      <c r="AD36" s="53">
        <f>V36*AC36^2+W36*AC36+X36</f>
        <v>149.36043969706026</v>
      </c>
      <c r="AE36" s="53">
        <f t="shared" si="6"/>
        <v>12.134093040629198</v>
      </c>
      <c r="AF36" s="53">
        <f>$H$70*AC36^2+$I$70*AC36+$J$70</f>
        <v>55.229947072403469</v>
      </c>
      <c r="AG36" s="53">
        <f>$R$70*AC36^2+$S$70*AC36+$T$70</f>
        <v>62.923361435430799</v>
      </c>
      <c r="AI36" s="279">
        <f>Tulokset!$CS$16</f>
        <v>11.666666666666666</v>
      </c>
      <c r="AJ36" t="s">
        <v>13</v>
      </c>
      <c r="AL36" s="617">
        <f>IF($AI$36&gt;$AC$35,($AI$36-$R$10)/$Q$10,($AI$36-$R$9)/$Q$9)</f>
        <v>4.9396270673499627</v>
      </c>
      <c r="AM36" t="s">
        <v>25</v>
      </c>
    </row>
    <row r="37" spans="21:42" x14ac:dyDescent="0.15">
      <c r="U37" s="38">
        <v>3</v>
      </c>
      <c r="V37" s="30">
        <f>C24</f>
        <v>-2.1576213285929312E-2</v>
      </c>
      <c r="W37" s="33">
        <f>D24</f>
        <v>-0.27201661971312024</v>
      </c>
      <c r="X37" s="31">
        <f>E24</f>
        <v>47.938878809306331</v>
      </c>
      <c r="Y37" s="37">
        <f>C24-U29</f>
        <v>-1.079535396959399</v>
      </c>
      <c r="Z37" s="30">
        <f t="shared" si="3"/>
        <v>-6.7910329812183887</v>
      </c>
      <c r="AA37" s="31">
        <f t="shared" si="4"/>
        <v>6.5390573438476478</v>
      </c>
      <c r="AB37" s="37">
        <f>AH6</f>
        <v>36.100405459595137</v>
      </c>
      <c r="AC37" s="53">
        <f t="shared" si="5"/>
        <v>6.5390573438476478</v>
      </c>
      <c r="AD37" s="53">
        <f>V37*AC37^2+W37*AC37+X37</f>
        <v>45.237563384638143</v>
      </c>
      <c r="AE37" s="53">
        <f t="shared" si="6"/>
        <v>6.0916864164201128</v>
      </c>
      <c r="AF37" s="53">
        <f>$H$75*AC37^2+$I$75*AC37+$J$75</f>
        <v>38.23408498600358</v>
      </c>
      <c r="AG37" s="53">
        <f>$R$75*AC37^2+$S$75*AC37+$T$75</f>
        <v>49.970028468928675</v>
      </c>
      <c r="AI37" s="279">
        <f>Tulokset!$CS$17</f>
        <v>143.99999999999997</v>
      </c>
      <c r="AJ37" t="s">
        <v>14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55</v>
      </c>
      <c r="V43" s="21"/>
      <c r="W43" s="49">
        <v>23</v>
      </c>
      <c r="X43" s="49">
        <v>4</v>
      </c>
      <c r="Y43" s="49">
        <v>-1</v>
      </c>
      <c r="Z43" s="49">
        <v>-4</v>
      </c>
      <c r="AA43" s="49">
        <v>-10</v>
      </c>
      <c r="AB43" s="49">
        <v>-17</v>
      </c>
      <c r="AC43" s="49">
        <v>-26</v>
      </c>
      <c r="AD43" s="49">
        <v>-32</v>
      </c>
      <c r="AE43" s="39" t="s">
        <v>42</v>
      </c>
      <c r="AF43" s="53">
        <f>$W$5+W43</f>
        <v>71.455699056189331</v>
      </c>
      <c r="AG43" s="53">
        <f t="shared" ref="AG43:AM43" si="7">$W$5+X43</f>
        <v>52.455699056189331</v>
      </c>
      <c r="AH43" s="53">
        <f t="shared" si="7"/>
        <v>47.455699056189331</v>
      </c>
      <c r="AI43" s="53">
        <f t="shared" si="7"/>
        <v>44.455699056189331</v>
      </c>
      <c r="AJ43" s="53">
        <f t="shared" si="7"/>
        <v>38.455699056189331</v>
      </c>
      <c r="AK43" s="53">
        <f t="shared" si="7"/>
        <v>31.455699056189331</v>
      </c>
      <c r="AL43" s="53">
        <f t="shared" si="7"/>
        <v>22.455699056189331</v>
      </c>
      <c r="AM43" s="53">
        <f t="shared" si="7"/>
        <v>16.455699056189331</v>
      </c>
      <c r="AN43" s="5">
        <f t="array" ref="AN43">10*LOG10(SUM(10^(AF43:AM43/10)))</f>
        <v>71.538218750310392</v>
      </c>
      <c r="AO43" s="5">
        <f t="array" ref="AO43">10*LOG10(SUM(10^((AF43:AM43+AF46:AM46)/10)))</f>
        <v>48.325377983273007</v>
      </c>
      <c r="AP43" t="str">
        <f>IF(ABS(W5-AO43)&lt;0.5,"OK","Tarkista laskenta!")</f>
        <v>OK</v>
      </c>
    </row>
    <row r="44" spans="21:42" x14ac:dyDescent="0.15">
      <c r="U44" s="14" t="s">
        <v>56</v>
      </c>
      <c r="V44" s="26"/>
      <c r="W44" s="49">
        <v>20</v>
      </c>
      <c r="X44" s="49">
        <v>4</v>
      </c>
      <c r="Y44" s="49">
        <v>2</v>
      </c>
      <c r="Z44" s="49">
        <v>-5</v>
      </c>
      <c r="AA44" s="49">
        <v>-8</v>
      </c>
      <c r="AB44" s="49">
        <v>-10</v>
      </c>
      <c r="AC44" s="49">
        <v>-15</v>
      </c>
      <c r="AD44" s="49">
        <v>-19</v>
      </c>
      <c r="AE44" s="39" t="s">
        <v>43</v>
      </c>
      <c r="AF44" s="53">
        <f>$W$6+W44</f>
        <v>79.042661505607697</v>
      </c>
      <c r="AG44" s="53">
        <f t="shared" ref="AG44:AM44" si="8">$W$6+X44</f>
        <v>63.042661505607697</v>
      </c>
      <c r="AH44" s="53">
        <f t="shared" si="8"/>
        <v>61.042661505607697</v>
      </c>
      <c r="AI44" s="53">
        <f t="shared" si="8"/>
        <v>54.042661505607697</v>
      </c>
      <c r="AJ44" s="53">
        <f t="shared" si="8"/>
        <v>51.042661505607697</v>
      </c>
      <c r="AK44" s="53">
        <f t="shared" si="8"/>
        <v>49.042661505607697</v>
      </c>
      <c r="AL44" s="53">
        <f t="shared" si="8"/>
        <v>44.042661505607697</v>
      </c>
      <c r="AM44" s="53">
        <f t="shared" si="8"/>
        <v>40.042661505607697</v>
      </c>
      <c r="AN44" s="5">
        <f t="array" ref="AN44">10*LOG10(SUM(10^(AF44:AM44/10)))</f>
        <v>79.24277987037533</v>
      </c>
      <c r="AO44" s="5">
        <f t="array" ref="AO44">10*LOG10(SUM(10^((AF44:AM44+AF46:AM46)/10)))</f>
        <v>59.092634490078424</v>
      </c>
      <c r="AP44" t="str">
        <f>IF(ABS(W6-AO44)&lt;0.5,"OK","Tarkista laskenta!")</f>
        <v>OK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LINEST(Y59:Y65,X59:X65^{1,2})</f>
        <v>-1.3543588948920359E-2</v>
      </c>
      <c r="Y51" s="54">
        <v>2.7451535643955243</v>
      </c>
      <c r="Z51" s="54">
        <v>-23.631894379589269</v>
      </c>
    </row>
    <row r="52" spans="3:26" x14ac:dyDescent="0.15">
      <c r="W52" t="s">
        <v>9</v>
      </c>
      <c r="X52" s="54">
        <f t="array" ref="X52:Z52">LINEST(Y67:Y74,X67:X74^{1,2})</f>
        <v>2.3760486244052246E-4</v>
      </c>
      <c r="Y52" s="54">
        <v>0.64970759674500533</v>
      </c>
      <c r="Z52" s="54">
        <v>32.901471288224826</v>
      </c>
    </row>
    <row r="53" spans="3:26" x14ac:dyDescent="0.15">
      <c r="W53" t="s">
        <v>10</v>
      </c>
      <c r="X53" s="54">
        <f t="array" ref="X53:Z53">LINEST(Y76:Y82,X76:X82^{1,2})</f>
        <v>-1.3805580669731764E-3</v>
      </c>
      <c r="Y53" s="54">
        <v>0.47197019966020703</v>
      </c>
      <c r="Z53" s="54">
        <v>6.7211276190331919</v>
      </c>
    </row>
    <row r="54" spans="3:26" x14ac:dyDescent="0.15">
      <c r="W54" t="s">
        <v>12</v>
      </c>
      <c r="X54" s="54">
        <f t="array" ref="X54:Z54">LINEST(Y84:Y90,X84:X90^{1,2})</f>
        <v>2.5923496714234362E-3</v>
      </c>
      <c r="Y54" s="54">
        <v>-1.8306120187920719E-2</v>
      </c>
      <c r="Z54" s="54">
        <v>6.1005442040847928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107.87470909090911</v>
      </c>
      <c r="E59" s="68">
        <v>63.493905363116568</v>
      </c>
      <c r="F59" s="69">
        <v>115.5265385403938</v>
      </c>
      <c r="H59" t="s">
        <v>4</v>
      </c>
      <c r="I59" t="s">
        <v>5</v>
      </c>
      <c r="K59" s="24"/>
      <c r="M59" s="10" t="s">
        <v>3</v>
      </c>
      <c r="N59" s="67">
        <v>105.87988000000001</v>
      </c>
      <c r="O59" s="68">
        <v>74.153114524051219</v>
      </c>
      <c r="P59" s="69">
        <v>114.51147458167894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107.87470909090911</v>
      </c>
      <c r="Y59" s="20">
        <f>F59</f>
        <v>115.5265385403938</v>
      </c>
    </row>
    <row r="60" spans="3:26" x14ac:dyDescent="0.15">
      <c r="C60" s="12"/>
      <c r="D60" s="67">
        <v>100.38941818181817</v>
      </c>
      <c r="E60" s="68">
        <v>63.297960771432606</v>
      </c>
      <c r="F60" s="69">
        <v>115.61548841235609</v>
      </c>
      <c r="H60" s="2">
        <f t="array" ref="H60:I60">LINEST(E59:E62,D59:D62)</f>
        <v>-2.8460911121789619E-2</v>
      </c>
      <c r="I60" s="2">
        <v>66.421618083987838</v>
      </c>
      <c r="K60" s="24"/>
      <c r="M60" s="12"/>
      <c r="N60" s="67">
        <v>93.874200000000016</v>
      </c>
      <c r="O60" s="68">
        <v>74.019684338213324</v>
      </c>
      <c r="P60" s="69">
        <v>114.59145317497428</v>
      </c>
      <c r="R60" s="2">
        <f t="array" ref="R60:T60">LINEST(O59:O62,N59:N62^{1,2})</f>
        <v>1.6442760010941017E-4</v>
      </c>
      <c r="S60" s="2">
        <v>-4.0116730499039355E-2</v>
      </c>
      <c r="T60" s="27">
        <v>76.490998551554824</v>
      </c>
      <c r="W60" s="12"/>
      <c r="X60" s="17">
        <f t="shared" ref="X60" si="9">D60</f>
        <v>100.38941818181817</v>
      </c>
      <c r="Y60" s="13">
        <f>F60</f>
        <v>115.61548841235609</v>
      </c>
    </row>
    <row r="61" spans="3:26" x14ac:dyDescent="0.15">
      <c r="C61" s="12"/>
      <c r="D61" s="67">
        <v>81.448654545454545</v>
      </c>
      <c r="E61" s="68">
        <v>64.272693827427119</v>
      </c>
      <c r="F61" s="69">
        <v>105.53121203262157</v>
      </c>
      <c r="K61" s="24"/>
      <c r="M61" s="12"/>
      <c r="N61" s="67">
        <v>78.199472727272749</v>
      </c>
      <c r="O61" s="68">
        <v>74.473808384522599</v>
      </c>
      <c r="P61" s="69">
        <v>107.97492327537397</v>
      </c>
      <c r="T61" s="24"/>
      <c r="W61" s="12"/>
      <c r="X61" s="17">
        <f>D62</f>
        <v>53.089945454545457</v>
      </c>
      <c r="Y61" s="13">
        <f>F62</f>
        <v>82.467336854174889</v>
      </c>
    </row>
    <row r="62" spans="3:26" x14ac:dyDescent="0.15">
      <c r="C62" s="14"/>
      <c r="D62" s="67">
        <v>53.089945454545457</v>
      </c>
      <c r="E62" s="68">
        <v>64.865434420758902</v>
      </c>
      <c r="F62" s="69">
        <v>82.467336854174889</v>
      </c>
      <c r="K62" s="24"/>
      <c r="M62" s="14"/>
      <c r="N62" s="67">
        <v>56.082470000000015</v>
      </c>
      <c r="O62" s="68">
        <v>74.731939131631037</v>
      </c>
      <c r="P62" s="69">
        <v>89.453528617995275</v>
      </c>
      <c r="T62" s="24"/>
      <c r="W62" s="12"/>
      <c r="X62" s="17">
        <f>N59</f>
        <v>105.87988000000001</v>
      </c>
      <c r="Y62" s="13">
        <f>P59</f>
        <v>114.51147458167894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N60</f>
        <v>93.874200000000016</v>
      </c>
      <c r="Y63" s="13">
        <f>P60</f>
        <v>114.59145317497428</v>
      </c>
    </row>
    <row r="64" spans="3:26" x14ac:dyDescent="0.15">
      <c r="C64" s="10" t="s">
        <v>30</v>
      </c>
      <c r="D64" s="67">
        <v>101.3108</v>
      </c>
      <c r="E64" s="68">
        <v>61.793578745932216</v>
      </c>
      <c r="F64" s="69">
        <v>98.884138967030296</v>
      </c>
      <c r="H64" t="s">
        <v>4</v>
      </c>
      <c r="I64" t="s">
        <v>5</v>
      </c>
      <c r="K64" s="24"/>
      <c r="M64" s="10" t="s">
        <v>30</v>
      </c>
      <c r="N64" s="67">
        <v>102.35830999999999</v>
      </c>
      <c r="O64" s="68">
        <v>73.498378980241881</v>
      </c>
      <c r="P64" s="69">
        <v>105.13583741824799</v>
      </c>
      <c r="R64" t="s">
        <v>4</v>
      </c>
      <c r="S64" t="s">
        <v>5</v>
      </c>
      <c r="T64" s="24" t="s">
        <v>6</v>
      </c>
      <c r="W64" s="12"/>
      <c r="X64" s="17">
        <f>N61</f>
        <v>78.199472727272749</v>
      </c>
      <c r="Y64" s="13">
        <f>P61</f>
        <v>107.97492327537397</v>
      </c>
    </row>
    <row r="65" spans="3:25" x14ac:dyDescent="0.15">
      <c r="C65" s="12"/>
      <c r="D65" s="67">
        <v>91.942481818181818</v>
      </c>
      <c r="E65" s="68">
        <v>61.699170450617359</v>
      </c>
      <c r="F65" s="69">
        <v>90.840740895422627</v>
      </c>
      <c r="H65" s="2">
        <f t="array" ref="H65:I65">LINEST(E64:E67,D64:D67)</f>
        <v>-3.39532370790682E-3</v>
      </c>
      <c r="I65" s="2">
        <v>62.011221756405455</v>
      </c>
      <c r="K65" s="24"/>
      <c r="M65" s="12"/>
      <c r="N65" s="67">
        <v>86.961870000000005</v>
      </c>
      <c r="O65" s="68">
        <v>72.346734218995607</v>
      </c>
      <c r="P65" s="69">
        <v>94.442699474731185</v>
      </c>
      <c r="R65" s="2">
        <f t="array" ref="R65:T65">LINEST(O64:O67,N64:N67^{1,2})</f>
        <v>9.235080960323267E-4</v>
      </c>
      <c r="S65" s="2">
        <v>-0.13111430655115566</v>
      </c>
      <c r="T65" s="27">
        <v>77.116492793233164</v>
      </c>
      <c r="W65" s="14"/>
      <c r="X65" s="18">
        <f>N62</f>
        <v>56.082470000000015</v>
      </c>
      <c r="Y65" s="15">
        <f>P62</f>
        <v>89.453528617995275</v>
      </c>
    </row>
    <row r="66" spans="3:25" x14ac:dyDescent="0.15">
      <c r="C66" s="12"/>
      <c r="D66" s="67">
        <v>73.066327272727278</v>
      </c>
      <c r="E66" s="68">
        <v>61.499502073968259</v>
      </c>
      <c r="F66" s="69">
        <v>77.408747968745246</v>
      </c>
      <c r="K66" s="24"/>
      <c r="M66" s="12"/>
      <c r="N66" s="67">
        <v>71.166445454545453</v>
      </c>
      <c r="O66" s="68">
        <v>72.760088595110957</v>
      </c>
      <c r="P66" s="69">
        <v>84.026670350589114</v>
      </c>
      <c r="T66" s="24"/>
      <c r="W66" s="12"/>
      <c r="X66" s="16" t="s">
        <v>13</v>
      </c>
      <c r="Y66" s="11" t="s">
        <v>49</v>
      </c>
    </row>
    <row r="67" spans="3:25" x14ac:dyDescent="0.15">
      <c r="C67" s="14"/>
      <c r="D67" s="67">
        <v>47.035418181818187</v>
      </c>
      <c r="E67" s="68">
        <v>61.988694002013098</v>
      </c>
      <c r="F67" s="69">
        <v>60.596137104000228</v>
      </c>
      <c r="K67" s="24"/>
      <c r="M67" s="14"/>
      <c r="N67" s="67">
        <v>48.991949999999996</v>
      </c>
      <c r="O67" s="68">
        <v>72.837280093152657</v>
      </c>
      <c r="P67" s="69">
        <v>68.8379859505214</v>
      </c>
      <c r="T67" s="24"/>
      <c r="W67" s="10" t="s">
        <v>9</v>
      </c>
      <c r="X67" s="19">
        <f>D64</f>
        <v>101.3108</v>
      </c>
      <c r="Y67" s="20">
        <f>F64</f>
        <v>98.884138967030296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2"/>
      <c r="X68" s="17">
        <f t="shared" ref="X68" si="10">D65</f>
        <v>91.942481818181818</v>
      </c>
      <c r="Y68" s="13">
        <f t="shared" ref="Y68" si="11">F65</f>
        <v>90.840740895422627</v>
      </c>
    </row>
    <row r="69" spans="3:25" x14ac:dyDescent="0.15">
      <c r="C69" s="10" t="s">
        <v>10</v>
      </c>
      <c r="D69" s="67">
        <v>65.452754545454553</v>
      </c>
      <c r="E69" s="68">
        <v>52.868290053988929</v>
      </c>
      <c r="F69" s="69">
        <v>31.212721729490024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64.71593</v>
      </c>
      <c r="O69" s="68">
        <v>63.976360137079489</v>
      </c>
      <c r="P69" s="69">
        <v>31.955364545733858</v>
      </c>
      <c r="R69" t="s">
        <v>4</v>
      </c>
      <c r="S69" t="s">
        <v>5</v>
      </c>
      <c r="T69" s="24" t="s">
        <v>6</v>
      </c>
      <c r="W69" s="12"/>
      <c r="X69" s="17">
        <f t="shared" ref="X69" si="12">D66</f>
        <v>73.066327272727278</v>
      </c>
      <c r="Y69" s="13">
        <f t="shared" ref="Y69" si="13">F66</f>
        <v>77.408747968745246</v>
      </c>
    </row>
    <row r="70" spans="3:25" x14ac:dyDescent="0.15">
      <c r="C70" s="12"/>
      <c r="D70" s="67">
        <v>57.993681818181834</v>
      </c>
      <c r="E70" s="68">
        <v>52.712110718059428</v>
      </c>
      <c r="F70" s="69">
        <v>28.459703322904957</v>
      </c>
      <c r="H70" s="2">
        <f t="array" ref="H70:J70">LINEST(E69:E72,D69:D72^{1,2})</f>
        <v>1.2182598011191148E-3</v>
      </c>
      <c r="I70" s="2">
        <v>-0.13873179543764957</v>
      </c>
      <c r="J70" s="2">
        <v>56.706343343074344</v>
      </c>
      <c r="K70" s="24"/>
      <c r="M70" s="12"/>
      <c r="N70" s="67">
        <v>56.397649999999999</v>
      </c>
      <c r="O70" s="68">
        <v>63.699748362510455</v>
      </c>
      <c r="P70" s="69">
        <v>30.238845390907304</v>
      </c>
      <c r="R70" s="2">
        <f t="array" ref="R70:T70">LINEST(O69:O72,N69:N72^{1,2})</f>
        <v>6.8252849511760822E-4</v>
      </c>
      <c r="S70" s="2">
        <v>-3.1472385145352687E-2</v>
      </c>
      <c r="T70" s="27">
        <v>63.200953036992672</v>
      </c>
      <c r="W70" s="12"/>
      <c r="X70" s="17">
        <f>D67</f>
        <v>47.035418181818187</v>
      </c>
      <c r="Y70" s="13">
        <f>F67</f>
        <v>60.596137104000228</v>
      </c>
    </row>
    <row r="71" spans="3:25" x14ac:dyDescent="0.15">
      <c r="C71" s="12"/>
      <c r="D71" s="67">
        <v>44.934218181818181</v>
      </c>
      <c r="E71" s="68">
        <v>52.963067261199228</v>
      </c>
      <c r="F71" s="69">
        <v>23.590297436442608</v>
      </c>
      <c r="K71" s="24"/>
      <c r="M71" s="12"/>
      <c r="N71" s="67">
        <v>44.364674999999998</v>
      </c>
      <c r="O71" s="68">
        <v>63.071506226769486</v>
      </c>
      <c r="P71" s="69">
        <v>24.543088740881917</v>
      </c>
      <c r="T71" s="24"/>
      <c r="W71" s="12"/>
      <c r="X71" s="17">
        <f>N64</f>
        <v>102.35830999999999</v>
      </c>
      <c r="Y71" s="13">
        <f>P64</f>
        <v>105.13583741824799</v>
      </c>
    </row>
    <row r="72" spans="3:25" x14ac:dyDescent="0.15">
      <c r="C72" s="14"/>
      <c r="D72" s="67">
        <v>29.378409090909091</v>
      </c>
      <c r="E72" s="68">
        <v>53.674108156872919</v>
      </c>
      <c r="F72" s="69">
        <v>18.71431127175531</v>
      </c>
      <c r="K72" s="24"/>
      <c r="M72" s="14"/>
      <c r="N72" s="67">
        <v>29.709320000000002</v>
      </c>
      <c r="O72" s="68">
        <v>62.888425314827082</v>
      </c>
      <c r="P72" s="69">
        <v>20.317309915841626</v>
      </c>
      <c r="T72" s="24"/>
      <c r="W72" s="12"/>
      <c r="X72" s="17">
        <f>N65</f>
        <v>86.961870000000005</v>
      </c>
      <c r="Y72" s="13">
        <f>P65</f>
        <v>94.442699474731185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71.166445454545453</v>
      </c>
      <c r="Y73" s="13">
        <f>P66</f>
        <v>84.026670350589114</v>
      </c>
    </row>
    <row r="74" spans="3:25" x14ac:dyDescent="0.15">
      <c r="C74" s="10" t="s">
        <v>12</v>
      </c>
      <c r="D74" s="67">
        <v>34.816809090909096</v>
      </c>
      <c r="E74" s="68">
        <v>42.366259498052571</v>
      </c>
      <c r="F74" s="69">
        <v>8.57527594617628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35.238360000000007</v>
      </c>
      <c r="O74" s="68">
        <v>51.518710353097447</v>
      </c>
      <c r="P74" s="69">
        <v>8.7614555456006471</v>
      </c>
      <c r="R74" t="s">
        <v>4</v>
      </c>
      <c r="S74" t="s">
        <v>5</v>
      </c>
      <c r="T74" s="24" t="s">
        <v>6</v>
      </c>
      <c r="W74" s="14"/>
      <c r="X74" s="18">
        <f>N67</f>
        <v>48.991949999999996</v>
      </c>
      <c r="Y74" s="15">
        <f>P67</f>
        <v>68.8379859505214</v>
      </c>
    </row>
    <row r="75" spans="3:25" x14ac:dyDescent="0.15">
      <c r="C75" s="12"/>
      <c r="D75" s="67">
        <v>30.149972727272729</v>
      </c>
      <c r="E75" s="68">
        <v>42.107331253167118</v>
      </c>
      <c r="F75" s="69">
        <v>7.4900016895483406</v>
      </c>
      <c r="H75" s="2">
        <f t="array" ref="H75:J75">LINEST(E74:E77,D74:D77^{1,2})</f>
        <v>-3.9836603844324789E-3</v>
      </c>
      <c r="I75" s="2">
        <v>0.31070328209938664</v>
      </c>
      <c r="J75" s="2">
        <v>36.37271682116932</v>
      </c>
      <c r="K75" s="24"/>
      <c r="M75" s="12"/>
      <c r="N75" s="67">
        <v>30.224881818181821</v>
      </c>
      <c r="O75" s="68">
        <v>51.287101111206105</v>
      </c>
      <c r="P75" s="69">
        <v>8.1736959880407234</v>
      </c>
      <c r="R75" s="2">
        <f t="array" ref="R75:T75">LINEST(O74:O77,N74:N77^{1,2})</f>
        <v>-2.601327092242099E-3</v>
      </c>
      <c r="S75" s="2">
        <v>0.15980211313381038</v>
      </c>
      <c r="T75" s="27">
        <v>49.036304137435344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24.396954545454545</v>
      </c>
      <c r="E76" s="68">
        <v>41.590965679616225</v>
      </c>
      <c r="F76" s="69">
        <v>6.8879062319654958</v>
      </c>
      <c r="K76" s="24"/>
      <c r="M76" s="12"/>
      <c r="N76" s="67">
        <v>24.517433333333333</v>
      </c>
      <c r="O76" s="68">
        <v>51.541325939689521</v>
      </c>
      <c r="P76" s="69">
        <v>7.6407882843044428</v>
      </c>
      <c r="T76" s="24"/>
      <c r="W76" s="10" t="s">
        <v>10</v>
      </c>
      <c r="X76" s="19">
        <f>D69</f>
        <v>65.452754545454553</v>
      </c>
      <c r="Y76" s="20">
        <f>F69</f>
        <v>31.212721729490024</v>
      </c>
    </row>
    <row r="77" spans="3:25" x14ac:dyDescent="0.15">
      <c r="C77" s="14"/>
      <c r="D77" s="70">
        <v>16.460336363636365</v>
      </c>
      <c r="E77" s="71">
        <v>40.405469839560325</v>
      </c>
      <c r="F77" s="72">
        <v>6.1089657970871434</v>
      </c>
      <c r="G77" s="25"/>
      <c r="H77" s="25"/>
      <c r="I77" s="25"/>
      <c r="J77" s="25"/>
      <c r="K77" s="26"/>
      <c r="M77" s="14"/>
      <c r="N77" s="70">
        <v>14.840427272727274</v>
      </c>
      <c r="O77" s="71">
        <v>50.805528934021993</v>
      </c>
      <c r="P77" s="72">
        <v>6.3783448520588015</v>
      </c>
      <c r="Q77" s="25"/>
      <c r="R77" s="25"/>
      <c r="S77" s="25"/>
      <c r="T77" s="26"/>
      <c r="W77" s="12"/>
      <c r="X77" s="17">
        <f t="shared" ref="X77" si="14">D70</f>
        <v>57.993681818181834</v>
      </c>
      <c r="Y77" s="13">
        <f>F70</f>
        <v>28.459703322904957</v>
      </c>
    </row>
    <row r="78" spans="3:25" x14ac:dyDescent="0.15">
      <c r="W78" s="12"/>
      <c r="X78" s="17">
        <f>D72</f>
        <v>29.378409090909091</v>
      </c>
      <c r="Y78" s="13">
        <f>F72</f>
        <v>18.71431127175531</v>
      </c>
    </row>
    <row r="79" spans="3:25" x14ac:dyDescent="0.15">
      <c r="F79" s="5"/>
      <c r="W79" s="12"/>
      <c r="X79" s="17">
        <f>N69</f>
        <v>64.71593</v>
      </c>
      <c r="Y79" s="13">
        <f>P69</f>
        <v>31.955364545733858</v>
      </c>
    </row>
    <row r="80" spans="3:25" x14ac:dyDescent="0.15">
      <c r="F80" s="5"/>
      <c r="W80" s="12"/>
      <c r="X80" s="17">
        <f>N70</f>
        <v>56.397649999999999</v>
      </c>
      <c r="Y80" s="13">
        <f>P70</f>
        <v>30.238845390907304</v>
      </c>
    </row>
    <row r="81" spans="6:25" x14ac:dyDescent="0.15">
      <c r="F81" s="5"/>
      <c r="W81" s="12"/>
      <c r="X81" s="17">
        <f>N71</f>
        <v>44.364674999999998</v>
      </c>
      <c r="Y81" s="13">
        <f>P71</f>
        <v>24.543088740881917</v>
      </c>
    </row>
    <row r="82" spans="6:25" x14ac:dyDescent="0.15">
      <c r="F82" s="5"/>
      <c r="W82" s="14"/>
      <c r="X82" s="18">
        <f>N72</f>
        <v>29.709320000000002</v>
      </c>
      <c r="Y82" s="15">
        <f>P72</f>
        <v>20.317309915841626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34.816809090909096</v>
      </c>
      <c r="Y84" s="20">
        <f>F74</f>
        <v>8.57527594617628</v>
      </c>
    </row>
    <row r="85" spans="6:25" x14ac:dyDescent="0.15">
      <c r="W85" s="12"/>
      <c r="X85" s="17">
        <f>D75</f>
        <v>30.149972727272729</v>
      </c>
      <c r="Y85" s="13">
        <f>F75</f>
        <v>7.4900016895483406</v>
      </c>
    </row>
    <row r="86" spans="6:25" x14ac:dyDescent="0.15">
      <c r="W86" s="12"/>
      <c r="X86" s="17">
        <f>D76</f>
        <v>24.396954545454545</v>
      </c>
      <c r="Y86" s="13">
        <f>F76</f>
        <v>6.8879062319654958</v>
      </c>
    </row>
    <row r="87" spans="6:25" x14ac:dyDescent="0.15">
      <c r="F87" s="5"/>
      <c r="W87" s="12"/>
      <c r="X87" s="17">
        <f>N74</f>
        <v>35.238360000000007</v>
      </c>
      <c r="Y87" s="13">
        <f>P74</f>
        <v>8.7614555456006471</v>
      </c>
    </row>
    <row r="88" spans="6:25" x14ac:dyDescent="0.15">
      <c r="F88" s="5"/>
      <c r="L88" t="s">
        <v>101</v>
      </c>
      <c r="W88" s="12"/>
      <c r="X88" s="17">
        <f>N75</f>
        <v>30.224881818181821</v>
      </c>
      <c r="Y88" s="13">
        <f>P75</f>
        <v>8.1736959880407234</v>
      </c>
    </row>
    <row r="89" spans="6:25" x14ac:dyDescent="0.15">
      <c r="F89" s="5"/>
      <c r="W89" s="12"/>
      <c r="X89" s="17">
        <f>N76</f>
        <v>24.517433333333333</v>
      </c>
      <c r="Y89" s="13">
        <f>P76</f>
        <v>7.6407882843044428</v>
      </c>
    </row>
    <row r="90" spans="6:25" x14ac:dyDescent="0.15">
      <c r="F90" s="5"/>
      <c r="W90" s="14"/>
      <c r="X90" s="18">
        <f>N77</f>
        <v>14.840427272727274</v>
      </c>
      <c r="Y90" s="15">
        <f>P77</f>
        <v>6.3783448520588015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475BF-C84A-4E6D-A229-2DB90AA4D576}">
  <sheetPr codeName="Taul9"/>
  <dimension ref="A1:L34"/>
  <sheetViews>
    <sheetView workbookViewId="0">
      <selection activeCell="B2" sqref="B2"/>
    </sheetView>
  </sheetViews>
  <sheetFormatPr baseColWidth="10" defaultColWidth="8.83203125" defaultRowHeight="13" x14ac:dyDescent="0.15"/>
  <cols>
    <col min="2" max="2" width="44.6640625" customWidth="1"/>
    <col min="8" max="8" width="10" customWidth="1"/>
  </cols>
  <sheetData>
    <row r="1" spans="1:11" x14ac:dyDescent="0.15">
      <c r="A1" s="39" t="s">
        <v>362</v>
      </c>
    </row>
    <row r="4" spans="1:11" x14ac:dyDescent="0.15">
      <c r="B4" s="2" t="s">
        <v>363</v>
      </c>
    </row>
    <row r="6" spans="1:11" ht="15" x14ac:dyDescent="0.15">
      <c r="B6" t="s">
        <v>289</v>
      </c>
      <c r="C6" s="4">
        <f>'R-series ALU'!G33</f>
        <v>9.7222222222222214</v>
      </c>
      <c r="D6" s="4" t="s">
        <v>72</v>
      </c>
      <c r="E6" s="4"/>
      <c r="F6" s="4"/>
      <c r="G6" s="4"/>
      <c r="H6" s="4"/>
      <c r="I6" s="4"/>
      <c r="J6" s="4"/>
      <c r="K6" s="4"/>
    </row>
    <row r="7" spans="1:11" x14ac:dyDescent="0.15">
      <c r="B7" t="s">
        <v>364</v>
      </c>
      <c r="C7" s="4">
        <f>'R-series ALU'!G39</f>
        <v>100</v>
      </c>
      <c r="D7" s="4" t="s">
        <v>14</v>
      </c>
      <c r="E7" s="4"/>
      <c r="F7" s="4"/>
      <c r="G7" s="4"/>
      <c r="H7" s="4"/>
      <c r="I7" s="4"/>
      <c r="J7" s="4"/>
      <c r="K7" s="4"/>
    </row>
    <row r="8" spans="1:11" x14ac:dyDescent="0.15">
      <c r="B8" t="s">
        <v>365</v>
      </c>
      <c r="C8" s="4" t="str">
        <f>'R-series ALU'!G42</f>
        <v>-</v>
      </c>
      <c r="D8" s="4" t="s">
        <v>25</v>
      </c>
      <c r="E8" s="4"/>
      <c r="F8" s="4"/>
      <c r="G8" s="4"/>
      <c r="H8" s="4"/>
      <c r="I8" s="4"/>
      <c r="J8" s="4"/>
      <c r="K8" s="4"/>
    </row>
    <row r="9" spans="1:11" x14ac:dyDescent="0.15">
      <c r="C9" s="4"/>
      <c r="D9" s="4"/>
      <c r="E9" s="4"/>
      <c r="F9" s="4"/>
      <c r="G9" s="4"/>
      <c r="H9" s="4"/>
      <c r="I9" s="4"/>
      <c r="J9" s="4"/>
      <c r="K9" s="4"/>
    </row>
    <row r="10" spans="1:11" x14ac:dyDescent="0.15">
      <c r="B10" s="2" t="s">
        <v>368</v>
      </c>
      <c r="C10" s="4"/>
      <c r="D10" s="4"/>
      <c r="E10" s="4"/>
      <c r="F10" s="4"/>
      <c r="G10" s="4"/>
      <c r="H10" s="4"/>
      <c r="I10" s="4"/>
      <c r="J10" s="4"/>
      <c r="K10" s="4"/>
    </row>
    <row r="11" spans="1:11" x14ac:dyDescent="0.15">
      <c r="B11" s="2" t="s">
        <v>369</v>
      </c>
      <c r="C11" s="104" t="s">
        <v>4</v>
      </c>
      <c r="D11" s="104" t="s">
        <v>5</v>
      </c>
      <c r="E11" s="4"/>
      <c r="F11" s="4"/>
      <c r="G11" s="4"/>
      <c r="H11" s="4"/>
      <c r="I11" s="4"/>
      <c r="J11" s="4"/>
      <c r="K11" s="4"/>
    </row>
    <row r="12" spans="1:11" ht="17" x14ac:dyDescent="0.25">
      <c r="B12" t="s">
        <v>370</v>
      </c>
      <c r="C12" s="5">
        <v>22.944657855695581</v>
      </c>
      <c r="D12" s="5">
        <v>22.011112500835296</v>
      </c>
      <c r="E12" s="82" t="s">
        <v>375</v>
      </c>
      <c r="F12" s="5" t="e">
        <f>$C$12*LN($C$8)+$D$12</f>
        <v>#VALUE!</v>
      </c>
      <c r="G12" s="4" t="s">
        <v>31</v>
      </c>
      <c r="H12" s="4"/>
      <c r="I12" s="4"/>
      <c r="J12" s="4"/>
      <c r="K12" s="4"/>
    </row>
    <row r="13" spans="1:11" x14ac:dyDescent="0.15">
      <c r="C13" s="4"/>
      <c r="D13" s="4"/>
      <c r="E13" s="4"/>
      <c r="F13" s="4"/>
      <c r="G13" s="4"/>
      <c r="H13" s="4"/>
      <c r="I13" s="4"/>
      <c r="J13" s="4"/>
      <c r="K13" s="4"/>
    </row>
    <row r="14" spans="1:11" x14ac:dyDescent="0.15">
      <c r="B14" s="2" t="s">
        <v>373</v>
      </c>
      <c r="C14" s="104" t="s">
        <v>4</v>
      </c>
      <c r="D14" s="104" t="s">
        <v>5</v>
      </c>
      <c r="E14" s="4"/>
      <c r="F14" s="4"/>
      <c r="G14" s="4"/>
      <c r="H14" s="4"/>
      <c r="I14" s="4"/>
      <c r="J14" s="4"/>
      <c r="K14" s="4"/>
    </row>
    <row r="15" spans="1:11" ht="17" x14ac:dyDescent="0.25">
      <c r="B15" t="s">
        <v>374</v>
      </c>
      <c r="C15" s="4">
        <v>0.977199807616978</v>
      </c>
      <c r="D15" s="4">
        <v>60.969790372343709</v>
      </c>
      <c r="E15" s="82" t="s">
        <v>375</v>
      </c>
      <c r="F15" s="5" t="e">
        <f>$C$15*$C$8+$D$15</f>
        <v>#VALUE!</v>
      </c>
      <c r="G15" s="4" t="s">
        <v>31</v>
      </c>
      <c r="H15" s="4"/>
      <c r="I15" s="4"/>
      <c r="J15" s="4"/>
      <c r="K15" s="4"/>
    </row>
    <row r="16" spans="1:11" x14ac:dyDescent="0.15">
      <c r="C16" s="4"/>
      <c r="D16" s="4"/>
      <c r="E16" s="4"/>
      <c r="F16" s="4"/>
      <c r="G16" s="4"/>
      <c r="H16" s="4"/>
      <c r="I16" s="4"/>
      <c r="J16" s="4"/>
      <c r="K16" s="4"/>
    </row>
    <row r="17" spans="2:12" x14ac:dyDescent="0.15">
      <c r="B17" s="2" t="s">
        <v>381</v>
      </c>
      <c r="C17" s="104" t="s">
        <v>27</v>
      </c>
      <c r="D17" s="6" t="e">
        <f>IF(C8&lt;=7.5,F12,F15)</f>
        <v>#VALUE!</v>
      </c>
      <c r="E17" s="104" t="s">
        <v>31</v>
      </c>
      <c r="F17" s="4"/>
      <c r="G17" s="4"/>
      <c r="H17" s="4"/>
      <c r="I17" s="4"/>
      <c r="J17" s="4"/>
      <c r="K17" s="4"/>
    </row>
    <row r="19" spans="2:12" x14ac:dyDescent="0.15">
      <c r="C19" s="4"/>
      <c r="D19" s="4"/>
      <c r="H19" s="1849" t="s">
        <v>386</v>
      </c>
      <c r="I19" s="1850"/>
      <c r="J19" s="128"/>
      <c r="K19" s="276"/>
      <c r="L19" s="277"/>
    </row>
    <row r="20" spans="2:12" x14ac:dyDescent="0.15">
      <c r="B20" s="2" t="s">
        <v>382</v>
      </c>
      <c r="C20" s="4"/>
      <c r="D20" s="4"/>
      <c r="H20" s="1851" t="s">
        <v>387</v>
      </c>
      <c r="I20" s="1852"/>
      <c r="J20" s="4" t="s">
        <v>371</v>
      </c>
      <c r="K20" s="4" t="s">
        <v>367</v>
      </c>
      <c r="L20" s="153" t="s">
        <v>372</v>
      </c>
    </row>
    <row r="21" spans="2:12" x14ac:dyDescent="0.15">
      <c r="B21" t="s">
        <v>366</v>
      </c>
      <c r="C21" s="4">
        <f>'Laskenta poistopuoli 60'!U29</f>
        <v>1.0579591836734696</v>
      </c>
      <c r="D21" s="4"/>
      <c r="H21" s="1853" t="s">
        <v>388</v>
      </c>
      <c r="I21" s="1854"/>
      <c r="J21" s="208">
        <v>0.30199999999999999</v>
      </c>
      <c r="K21" s="208">
        <v>5.0999999999999997E-2</v>
      </c>
      <c r="L21" s="11">
        <v>1.3100000000000001E-2</v>
      </c>
    </row>
    <row r="22" spans="2:12" x14ac:dyDescent="0.15">
      <c r="B22" t="s">
        <v>389</v>
      </c>
      <c r="C22" s="4">
        <f>SQRT(C21)</f>
        <v>1.0285714285714287</v>
      </c>
      <c r="D22" s="4"/>
      <c r="H22" s="1855" t="s">
        <v>389</v>
      </c>
      <c r="I22" s="1856"/>
      <c r="J22" s="102">
        <f>SQRT(J21)</f>
        <v>0.54954526656136349</v>
      </c>
      <c r="K22" s="102">
        <f t="shared" ref="K22:L22" si="0">SQRT(K21)</f>
        <v>0.22583179581272428</v>
      </c>
      <c r="L22" s="103">
        <f t="shared" si="0"/>
        <v>0.11445523142259598</v>
      </c>
    </row>
    <row r="23" spans="2:12" x14ac:dyDescent="0.15">
      <c r="H23" s="1855" t="s">
        <v>383</v>
      </c>
      <c r="I23" s="1856"/>
      <c r="J23" s="50">
        <v>-2.4</v>
      </c>
      <c r="K23" s="50">
        <v>0</v>
      </c>
      <c r="L23" s="48">
        <v>1</v>
      </c>
    </row>
    <row r="24" spans="2:12" x14ac:dyDescent="0.15">
      <c r="C24" s="4" t="s">
        <v>4</v>
      </c>
      <c r="D24" s="4" t="s">
        <v>5</v>
      </c>
    </row>
    <row r="25" spans="2:12" x14ac:dyDescent="0.15">
      <c r="B25" t="s">
        <v>380</v>
      </c>
      <c r="C25" s="4">
        <f t="array" ref="C25:D25">LINEST(J23:L23,J22:L22)</f>
        <v>-7.7246547675588397</v>
      </c>
      <c r="D25" s="4">
        <v>1.8245490902014569</v>
      </c>
      <c r="E25" s="39" t="s">
        <v>375</v>
      </c>
      <c r="F25" s="274">
        <f>C25*C22+D25</f>
        <v>-6.1208100992876364</v>
      </c>
      <c r="G25" s="104" t="s">
        <v>31</v>
      </c>
    </row>
    <row r="27" spans="2:12" ht="17" x14ac:dyDescent="0.25">
      <c r="B27" s="2" t="s">
        <v>384</v>
      </c>
      <c r="C27" s="104" t="s">
        <v>385</v>
      </c>
      <c r="D27" s="6" t="e">
        <f>D17+F25</f>
        <v>#VALUE!</v>
      </c>
      <c r="E27" s="104" t="s">
        <v>31</v>
      </c>
    </row>
    <row r="30" spans="2:12" x14ac:dyDescent="0.15">
      <c r="B30" s="2" t="s">
        <v>377</v>
      </c>
      <c r="C30" s="275">
        <v>63</v>
      </c>
      <c r="D30" s="275">
        <v>125</v>
      </c>
      <c r="E30" s="275">
        <v>250</v>
      </c>
      <c r="F30" s="275">
        <v>500</v>
      </c>
      <c r="G30" s="275">
        <v>1000</v>
      </c>
      <c r="H30" s="275">
        <v>2000</v>
      </c>
      <c r="I30" s="275">
        <v>4000</v>
      </c>
      <c r="J30" s="275">
        <v>8000</v>
      </c>
      <c r="K30" t="s">
        <v>391</v>
      </c>
      <c r="L30" t="s">
        <v>378</v>
      </c>
    </row>
    <row r="31" spans="2:12" x14ac:dyDescent="0.15">
      <c r="B31" t="s">
        <v>376</v>
      </c>
      <c r="C31" s="4">
        <v>13</v>
      </c>
      <c r="D31" s="4">
        <v>8</v>
      </c>
      <c r="E31" s="4">
        <v>4</v>
      </c>
      <c r="F31" s="4">
        <v>-3</v>
      </c>
      <c r="G31" s="4">
        <v>-6</v>
      </c>
      <c r="H31" s="4">
        <v>-15</v>
      </c>
      <c r="I31" s="4">
        <v>-26</v>
      </c>
      <c r="J31" s="4">
        <v>-34</v>
      </c>
    </row>
    <row r="32" spans="2:12" x14ac:dyDescent="0.15">
      <c r="B32" t="s">
        <v>379</v>
      </c>
      <c r="C32" s="108" t="e">
        <f>ROUND($D$27+C31,0)</f>
        <v>#VALUE!</v>
      </c>
      <c r="D32" s="108" t="e">
        <f t="shared" ref="D32:J32" si="1">ROUND($D$27+D31,0)</f>
        <v>#VALUE!</v>
      </c>
      <c r="E32" s="108" t="e">
        <f t="shared" si="1"/>
        <v>#VALUE!</v>
      </c>
      <c r="F32" s="108" t="e">
        <f t="shared" si="1"/>
        <v>#VALUE!</v>
      </c>
      <c r="G32" s="108" t="e">
        <f t="shared" si="1"/>
        <v>#VALUE!</v>
      </c>
      <c r="H32" s="108" t="e">
        <f t="shared" si="1"/>
        <v>#VALUE!</v>
      </c>
      <c r="I32" s="108" t="e">
        <f t="shared" si="1"/>
        <v>#VALUE!</v>
      </c>
      <c r="J32" s="108" t="e">
        <f t="shared" si="1"/>
        <v>#VALUE!</v>
      </c>
      <c r="K32" s="5" t="e">
        <f t="array" ref="K32">10*LOG10(SUM(10^(C32:J32/10)))</f>
        <v>#VALUE!</v>
      </c>
      <c r="L32" s="5" t="e">
        <f t="array" ref="L32">10*LOG10(SUM(10^((C32:J32+$C$34:$J$34)/10)))</f>
        <v>#VALUE!</v>
      </c>
    </row>
    <row r="34" spans="2:11" x14ac:dyDescent="0.15">
      <c r="B34" t="s">
        <v>185</v>
      </c>
      <c r="C34" s="4">
        <v>-26.2</v>
      </c>
      <c r="D34" s="4">
        <v>-16.100000000000001</v>
      </c>
      <c r="E34" s="4">
        <v>-8.6</v>
      </c>
      <c r="F34" s="4">
        <v>-3.2</v>
      </c>
      <c r="G34" s="4">
        <v>0</v>
      </c>
      <c r="H34" s="4">
        <v>1.2</v>
      </c>
      <c r="I34" s="4">
        <v>1</v>
      </c>
      <c r="J34" s="4">
        <v>-1.1000000000000001</v>
      </c>
      <c r="K34" s="4"/>
    </row>
  </sheetData>
  <mergeCells count="5">
    <mergeCell ref="H20:I20"/>
    <mergeCell ref="H21:I21"/>
    <mergeCell ref="H22:I22"/>
    <mergeCell ref="H23:I23"/>
    <mergeCell ref="H19:I19"/>
  </mergeCell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0B810-4EAC-4462-A465-8D3198710BF5}">
  <sheetPr codeName="Taul10"/>
  <dimension ref="B3:W49"/>
  <sheetViews>
    <sheetView workbookViewId="0">
      <selection activeCell="AE53" sqref="AE53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>
        <f>Tulokset!E23</f>
        <v>3.8473908736238056</v>
      </c>
      <c r="D4" t="s">
        <v>25</v>
      </c>
    </row>
    <row r="5" spans="2:7" x14ac:dyDescent="0.15">
      <c r="B5" t="s">
        <v>8</v>
      </c>
      <c r="C5" s="3">
        <f>Tulokset!H23</f>
        <v>4.1995662556104829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80</v>
      </c>
      <c r="C12" s="8">
        <v>6.5052438643146573</v>
      </c>
      <c r="D12" s="8">
        <v>34.283693221863942</v>
      </c>
    </row>
    <row r="13" spans="2:7" x14ac:dyDescent="0.15">
      <c r="B13" t="s">
        <v>81</v>
      </c>
      <c r="C13" s="8">
        <v>24.744215720124998</v>
      </c>
      <c r="D13" s="8">
        <v>-2.5012573171610342</v>
      </c>
    </row>
    <row r="15" spans="2:7" x14ac:dyDescent="0.15">
      <c r="B15" t="s">
        <v>91</v>
      </c>
      <c r="C15" s="3">
        <f>MAX(C4,C5)</f>
        <v>4.1995662556104829</v>
      </c>
      <c r="D15" t="s">
        <v>25</v>
      </c>
      <c r="E15" s="82" t="s">
        <v>42</v>
      </c>
      <c r="F15" s="5">
        <f>IF(C15&gt;7.5,C12*LN(C15)+D12,C13*LN(C15)+D13)</f>
        <v>33.006228224883962</v>
      </c>
      <c r="G15" t="s">
        <v>31</v>
      </c>
    </row>
    <row r="16" spans="2:7" x14ac:dyDescent="0.15">
      <c r="B16" t="s">
        <v>92</v>
      </c>
      <c r="C16" s="79">
        <f>(2*MAX(C4,C5)+MIN(C4,C5))/3</f>
        <v>4.0821744616149234</v>
      </c>
      <c r="D16" t="s">
        <v>25</v>
      </c>
      <c r="E16" s="82" t="s">
        <v>42</v>
      </c>
      <c r="F16" s="5">
        <f>IF(C16&gt;7.5,C12*LN(C16)+D12,C13*LN(C16)+D13)</f>
        <v>32.304693959785652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 t="str">
        <f>'R-series ALU'!N54</f>
        <v>-</v>
      </c>
      <c r="E21" t="s">
        <v>31</v>
      </c>
    </row>
    <row r="22" spans="2:5" x14ac:dyDescent="0.15">
      <c r="B22" s="25"/>
      <c r="C22" s="25" t="s">
        <v>8</v>
      </c>
      <c r="D22" s="81" t="str">
        <f>'R-series ALU'!N55</f>
        <v>-</v>
      </c>
      <c r="E22" t="s">
        <v>31</v>
      </c>
    </row>
    <row r="23" spans="2:5" x14ac:dyDescent="0.15">
      <c r="C23" t="s">
        <v>87</v>
      </c>
      <c r="D23" s="3" t="e">
        <f>ABS(D21-D22)</f>
        <v>#VALUE!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 t="str">
        <f>'R-series ALU'!N53</f>
        <v>-</v>
      </c>
      <c r="E25" t="s">
        <v>31</v>
      </c>
    </row>
    <row r="26" spans="2:5" x14ac:dyDescent="0.15">
      <c r="B26" s="25"/>
      <c r="C26" s="25" t="s">
        <v>57</v>
      </c>
      <c r="D26" s="81" t="str">
        <f>'R-series ALU'!N56</f>
        <v>-</v>
      </c>
      <c r="E26" t="s">
        <v>31</v>
      </c>
    </row>
    <row r="27" spans="2:5" x14ac:dyDescent="0.15">
      <c r="C27" t="s">
        <v>87</v>
      </c>
      <c r="D27" s="3" t="e">
        <f>ABS(D25-D26)</f>
        <v>#VALUE!</v>
      </c>
      <c r="E27" t="s">
        <v>31</v>
      </c>
    </row>
    <row r="29" spans="2:5" x14ac:dyDescent="0.15">
      <c r="B29" t="s">
        <v>94</v>
      </c>
      <c r="C29" s="3" t="e">
        <f>AVERAGE(D27,D23)</f>
        <v>#VALUE!</v>
      </c>
      <c r="D29" t="s">
        <v>31</v>
      </c>
    </row>
    <row r="30" spans="2:5" x14ac:dyDescent="0.15">
      <c r="B30" t="s">
        <v>93</v>
      </c>
      <c r="C30" s="3" t="e">
        <f>-10*LOG10((1-10^(-C29/10)))-3</f>
        <v>#VALUE!</v>
      </c>
      <c r="D30" t="s">
        <v>31</v>
      </c>
    </row>
    <row r="32" spans="2:5" x14ac:dyDescent="0.15">
      <c r="B32" t="s">
        <v>83</v>
      </c>
      <c r="C32" s="3" t="e">
        <f>F15+C30</f>
        <v>#VALUE!</v>
      </c>
      <c r="D32" t="s">
        <v>31</v>
      </c>
    </row>
    <row r="33" spans="2:23" x14ac:dyDescent="0.15">
      <c r="B33" t="s">
        <v>95</v>
      </c>
      <c r="C33" s="3">
        <f>F15-2.6</f>
        <v>30.406228224883961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 t="e">
        <f>MIN(F15,IF(C29&lt;3,F16,IF(C29&gt;10,C33,C32)))</f>
        <v>#VALUE!</v>
      </c>
      <c r="D35" s="2" t="s">
        <v>31</v>
      </c>
      <c r="F35" s="5" t="e">
        <f>C35+10*LOG10(4/10)</f>
        <v>#VALUE!</v>
      </c>
      <c r="G35" s="5" t="e">
        <f>C35+10*LOG10(4/2.5)</f>
        <v>#VALUE!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14</v>
      </c>
      <c r="D39" s="85">
        <v>10</v>
      </c>
      <c r="E39" s="85">
        <v>5</v>
      </c>
      <c r="F39" s="85">
        <v>-4</v>
      </c>
      <c r="G39" s="85">
        <v>-12</v>
      </c>
      <c r="H39" s="85">
        <v>-18</v>
      </c>
      <c r="I39" s="85">
        <v>-25</v>
      </c>
      <c r="J39" s="85">
        <v>-26</v>
      </c>
      <c r="K39" s="87" t="s">
        <v>42</v>
      </c>
      <c r="L39" s="86" t="e">
        <f>$C$35+C39</f>
        <v>#VALUE!</v>
      </c>
      <c r="M39" s="86" t="e">
        <f t="shared" ref="M39:S39" si="0">$C$35+D39</f>
        <v>#VALUE!</v>
      </c>
      <c r="N39" s="86" t="e">
        <f t="shared" si="0"/>
        <v>#VALUE!</v>
      </c>
      <c r="O39" s="86" t="e">
        <f t="shared" si="0"/>
        <v>#VALUE!</v>
      </c>
      <c r="P39" s="86" t="e">
        <f t="shared" si="0"/>
        <v>#VALUE!</v>
      </c>
      <c r="Q39" s="86" t="e">
        <f t="shared" si="0"/>
        <v>#VALUE!</v>
      </c>
      <c r="R39" s="86" t="e">
        <f t="shared" si="0"/>
        <v>#VALUE!</v>
      </c>
      <c r="S39" s="86" t="e">
        <f t="shared" si="0"/>
        <v>#VALUE!</v>
      </c>
      <c r="T39" s="5" t="e">
        <f t="array" ref="T39">10*LOG10(SUM(10^(L39:S39/10)))</f>
        <v>#VALUE!</v>
      </c>
      <c r="U39" s="5" t="e">
        <f t="array" ref="U39">10*LOG10(SUM(10^((L39:S39+L41:S41)/10)))</f>
        <v>#VALUE!</v>
      </c>
      <c r="W39" t="e">
        <f>IF(ABS(C35-U39)&lt;0.5,"OK","Tarkista laskenta!")</f>
        <v>#VALUE!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1A4F8-FB88-4AAB-85CA-EAE353747E0F}">
  <sheetPr codeName="Taul11"/>
  <dimension ref="B1:AX99"/>
  <sheetViews>
    <sheetView topLeftCell="K3" zoomScale="70" zoomScaleNormal="70" workbookViewId="0">
      <selection activeCell="AS35" sqref="AS35"/>
    </sheetView>
  </sheetViews>
  <sheetFormatPr baseColWidth="10" defaultColWidth="8.83203125" defaultRowHeight="13" x14ac:dyDescent="0.15"/>
  <cols>
    <col min="7" max="7" width="10.5" customWidth="1"/>
    <col min="8" max="8" width="12.33203125" bestFit="1" customWidth="1"/>
    <col min="9" max="11" width="9" bestFit="1" customWidth="1"/>
    <col min="16" max="16" width="10.83203125" customWidth="1"/>
    <col min="17" max="17" width="12.5" bestFit="1" customWidth="1"/>
    <col min="18" max="18" width="9.6640625" bestFit="1" customWidth="1"/>
    <col min="19" max="19" width="9" bestFit="1" customWidth="1"/>
    <col min="22" max="22" width="13" customWidth="1"/>
    <col min="25" max="25" width="10" customWidth="1"/>
  </cols>
  <sheetData>
    <row r="1" spans="2:50" x14ac:dyDescent="0.15">
      <c r="P1" t="s">
        <v>518</v>
      </c>
      <c r="Z1" s="2" t="s">
        <v>30</v>
      </c>
      <c r="AA1" s="2">
        <f t="array" ref="AA1:AC1">LINEST(AA6:AA12,AB6:AB12^{1,2})</f>
        <v>-6.2567305087769002E-3</v>
      </c>
      <c r="AB1" s="2">
        <v>0.52719406327833773</v>
      </c>
      <c r="AC1" s="2">
        <v>353.83430230637669</v>
      </c>
    </row>
    <row r="2" spans="2:50" x14ac:dyDescent="0.15">
      <c r="C2" s="2" t="s">
        <v>0</v>
      </c>
      <c r="J2" t="s">
        <v>15</v>
      </c>
      <c r="P2" s="259">
        <f t="array" ref="P2:R2">LINEST(AL34:AL37,AC34:AC37^{1,2})</f>
        <v>0.29967476128460641</v>
      </c>
      <c r="Q2" s="259">
        <v>11.947616054484747</v>
      </c>
      <c r="R2" s="259">
        <v>-57.657641657996834</v>
      </c>
      <c r="V2" t="s">
        <v>519</v>
      </c>
      <c r="W2" s="84">
        <f>P2*J3^2+Q2*J3+R2</f>
        <v>86.825476045608156</v>
      </c>
      <c r="X2" t="s">
        <v>14</v>
      </c>
      <c r="AU2" t="s">
        <v>533</v>
      </c>
    </row>
    <row r="3" spans="2:50" ht="18" thickBot="1" x14ac:dyDescent="0.3">
      <c r="J3" s="7">
        <f>'R-series ALU'!E33</f>
        <v>9.7222222222222214</v>
      </c>
      <c r="K3" t="s">
        <v>13</v>
      </c>
      <c r="L3" s="122">
        <f>'R-series ALU'!E39</f>
        <v>80</v>
      </c>
      <c r="M3" t="s">
        <v>14</v>
      </c>
      <c r="P3" t="s">
        <v>34</v>
      </c>
      <c r="AA3" s="2" t="s">
        <v>53</v>
      </c>
      <c r="AM3" s="2" t="s">
        <v>524</v>
      </c>
      <c r="AU3" t="s">
        <v>3</v>
      </c>
      <c r="AV3">
        <v>-6.3124369392543317E-3</v>
      </c>
      <c r="AW3">
        <v>0.63457514688226124</v>
      </c>
      <c r="AX3">
        <v>646.42542368946533</v>
      </c>
    </row>
    <row r="4" spans="2:50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430" t="s">
        <v>30</v>
      </c>
      <c r="AB4" s="431"/>
      <c r="AC4" s="432" t="s">
        <v>30</v>
      </c>
      <c r="AD4" s="433"/>
      <c r="AE4" s="432" t="s">
        <v>405</v>
      </c>
      <c r="AF4" s="433"/>
      <c r="AG4" s="431" t="s">
        <v>406</v>
      </c>
      <c r="AH4" s="434"/>
      <c r="AU4" t="s">
        <v>408</v>
      </c>
      <c r="AV4">
        <v>-5.8938322601629753E-3</v>
      </c>
      <c r="AW4">
        <v>0.41704887403929791</v>
      </c>
      <c r="AX4">
        <v>424.65374076504946</v>
      </c>
    </row>
    <row r="5" spans="2:50" x14ac:dyDescent="0.15">
      <c r="C5" t="s">
        <v>2</v>
      </c>
      <c r="D5" s="1"/>
      <c r="E5" s="1"/>
      <c r="H5" s="1"/>
      <c r="P5" s="52">
        <f t="array" ref="P5:Q5">LINEST(AF34:AF37,LN(AC34:AC37))</f>
        <v>20.44288941801549</v>
      </c>
      <c r="Q5" s="52">
        <v>-11.146056406110958</v>
      </c>
      <c r="R5" t="s">
        <v>28</v>
      </c>
      <c r="T5" s="4"/>
      <c r="U5" s="39" t="s">
        <v>43</v>
      </c>
      <c r="V5" t="s">
        <v>28</v>
      </c>
      <c r="W5" s="9">
        <f>$P$5*LN($J$3)+$Q$5</f>
        <v>35.349541902898544</v>
      </c>
      <c r="X5" t="s">
        <v>31</v>
      </c>
      <c r="AA5" s="435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436" t="s">
        <v>13</v>
      </c>
      <c r="AM5" s="129" t="s">
        <v>523</v>
      </c>
      <c r="AN5">
        <v>0</v>
      </c>
      <c r="AU5" t="s">
        <v>411</v>
      </c>
      <c r="AV5">
        <v>-6.900999826613176E-3</v>
      </c>
      <c r="AW5">
        <v>0.58828187691278289</v>
      </c>
      <c r="AX5">
        <v>199.23235504253068</v>
      </c>
    </row>
    <row r="6" spans="2:50" x14ac:dyDescent="0.15">
      <c r="C6" s="2" t="s">
        <v>3</v>
      </c>
      <c r="D6" s="1"/>
      <c r="E6" s="1"/>
      <c r="H6" s="1"/>
      <c r="P6" s="52">
        <f t="array" ref="P6:Q6">LINEST(AG34:AG37,LN(AC34:AC37))</f>
        <v>18.023245773424701</v>
      </c>
      <c r="Q6" s="52">
        <v>11.535709298259533</v>
      </c>
      <c r="R6" t="s">
        <v>7</v>
      </c>
      <c r="T6" s="4"/>
      <c r="U6" s="39" t="s">
        <v>43</v>
      </c>
      <c r="V6" t="s">
        <v>7</v>
      </c>
      <c r="W6" s="9">
        <f>$P$6*LN($J$3)+$Q$6</f>
        <v>52.528035704291518</v>
      </c>
      <c r="X6" t="s">
        <v>31</v>
      </c>
      <c r="AA6" s="437">
        <v>20</v>
      </c>
      <c r="AB6" s="56">
        <f>(-$AW$27-SQRT($AW$27^2-(4*$AV$27*($AX$27-AA6))))/(2*$AV$27)</f>
        <v>276.93002872317612</v>
      </c>
      <c r="AC6" s="55">
        <v>20</v>
      </c>
      <c r="AD6" s="57">
        <f>AB6</f>
        <v>276.93002872317612</v>
      </c>
      <c r="AE6" s="55">
        <v>10</v>
      </c>
      <c r="AF6" s="57">
        <f t="shared" ref="AF6:AF11" si="0">(-$D$19-SQRT($D$19^2-(4*$C$19*($E$19-AE6))))/(2*$C$19)</f>
        <v>213.61335762915562</v>
      </c>
      <c r="AG6" s="56">
        <v>10</v>
      </c>
      <c r="AH6" s="438">
        <f>(-$D$24-SQRT($D$24^2-(4*$C$24*($E$24-AG6))))/(2*$C$24)</f>
        <v>122.85148290021115</v>
      </c>
      <c r="AM6" s="129" t="s">
        <v>226</v>
      </c>
      <c r="AN6" s="227">
        <f>'Kojeet ja kennon hyötysuhde'!M7</f>
        <v>0.79500000000000004</v>
      </c>
      <c r="AU6" t="s">
        <v>409</v>
      </c>
      <c r="AV6">
        <v>-4.5287059645176828E-3</v>
      </c>
      <c r="AW6">
        <v>-0.1767038368018404</v>
      </c>
      <c r="AX6">
        <v>100.05776360579901</v>
      </c>
    </row>
    <row r="7" spans="2:50" x14ac:dyDescent="0.15">
      <c r="C7" t="s">
        <v>11</v>
      </c>
      <c r="D7" s="1"/>
      <c r="E7" s="1"/>
      <c r="H7" s="1"/>
      <c r="T7" s="4"/>
      <c r="U7" s="5"/>
      <c r="AA7" s="437">
        <f t="shared" ref="AA7:AA10" si="1">AC7</f>
        <v>50</v>
      </c>
      <c r="AB7" s="56">
        <f t="shared" ref="AB7:AB12" si="2">(-$AW$27-SQRT($AW$27^2-(4*$AV$27*($AX$27-AA7))))/(2*$AV$27)</f>
        <v>266.48733485462003</v>
      </c>
      <c r="AC7" s="55">
        <v>50</v>
      </c>
      <c r="AD7" s="57">
        <f t="shared" ref="AD7:AD12" si="3">AB7</f>
        <v>266.48733485462003</v>
      </c>
      <c r="AE7" s="55">
        <v>50</v>
      </c>
      <c r="AF7" s="57">
        <f t="shared" si="0"/>
        <v>195.72898551317115</v>
      </c>
      <c r="AG7" s="56">
        <v>20</v>
      </c>
      <c r="AH7" s="438">
        <f>(-$D$24-SQRT($D$24^2-(4*$C$24*($E$24-AG7))))/(2*$C$24)</f>
        <v>114.87245597479257</v>
      </c>
      <c r="AU7" t="s">
        <v>534</v>
      </c>
    </row>
    <row r="8" spans="2:50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437">
        <f t="shared" si="1"/>
        <v>100</v>
      </c>
      <c r="AB8" s="56">
        <f t="shared" si="2"/>
        <v>247.90855499235673</v>
      </c>
      <c r="AC8" s="55">
        <v>100</v>
      </c>
      <c r="AD8" s="57">
        <f t="shared" si="3"/>
        <v>247.90855499235673</v>
      </c>
      <c r="AE8" s="55">
        <v>90</v>
      </c>
      <c r="AF8" s="57">
        <f t="shared" si="0"/>
        <v>175.4581740263832</v>
      </c>
      <c r="AG8" s="56">
        <v>40</v>
      </c>
      <c r="AH8" s="438">
        <f>(-$D$24-SQRT($D$24^2-(4*$C$24*($E$24-AG8))))/(2*$C$24)</f>
        <v>97.290460384499539</v>
      </c>
      <c r="AM8" s="129" t="s">
        <v>527</v>
      </c>
      <c r="AN8" s="3">
        <f>W2</f>
        <v>86.825476045608156</v>
      </c>
      <c r="AO8" t="s">
        <v>14</v>
      </c>
      <c r="AU8" t="s">
        <v>3</v>
      </c>
      <c r="AV8">
        <v>-6.3692279172430392E-3</v>
      </c>
      <c r="AW8">
        <v>0.61218658299521111</v>
      </c>
      <c r="AX8">
        <v>647.10637655233779</v>
      </c>
    </row>
    <row r="9" spans="2:50" x14ac:dyDescent="0.15">
      <c r="C9" s="8">
        <f>AV17</f>
        <v>-6.3124369392543317E-3</v>
      </c>
      <c r="D9" s="8">
        <f t="shared" ref="D9:E9" si="4">AW17</f>
        <v>0.63457514688226124</v>
      </c>
      <c r="E9" s="8">
        <f t="shared" si="4"/>
        <v>646.42542368946533</v>
      </c>
      <c r="H9" s="2"/>
      <c r="P9" t="s">
        <v>415</v>
      </c>
      <c r="Q9" s="52">
        <f t="array" ref="Q9:R9">LINEST(AC35:AC37,U35:U37)</f>
        <v>2.9568267729779842</v>
      </c>
      <c r="R9" s="52">
        <v>-1.4284239928555955</v>
      </c>
      <c r="T9" s="111">
        <f>(J3-R9)/Q9</f>
        <v>3.771153020184332</v>
      </c>
      <c r="U9" s="39" t="s">
        <v>42</v>
      </c>
      <c r="V9" t="s">
        <v>44</v>
      </c>
      <c r="W9" s="125">
        <f>IF($J$3&gt;$AJ$35,AVERAGE(T10,T11,T11),AVERAGE(T9,T9,T11))</f>
        <v>3.7513739428936064</v>
      </c>
      <c r="X9" t="s">
        <v>25</v>
      </c>
      <c r="Y9" t="str">
        <f>IF(W9&gt;10,"Ei käyttöalueella","OK")</f>
        <v>OK</v>
      </c>
      <c r="AA9" s="437">
        <f t="shared" si="1"/>
        <v>150</v>
      </c>
      <c r="AB9" s="56">
        <f t="shared" si="2"/>
        <v>227.47673751838894</v>
      </c>
      <c r="AC9" s="55">
        <v>150</v>
      </c>
      <c r="AD9" s="57">
        <f t="shared" si="3"/>
        <v>227.47673751838894</v>
      </c>
      <c r="AE9" s="55">
        <v>130</v>
      </c>
      <c r="AF9" s="57">
        <f t="shared" si="0"/>
        <v>151.47576534370617</v>
      </c>
      <c r="AG9" s="56">
        <v>60</v>
      </c>
      <c r="AH9" s="438">
        <f>(-$D$24-SQRT($D$24^2-(4*$C$24*($E$24-AG9))))/(2*$C$24)</f>
        <v>76.542309887609477</v>
      </c>
      <c r="AM9" s="129" t="s">
        <v>528</v>
      </c>
      <c r="AN9" s="3">
        <f>'Laskenta poistopuoli 250'!W2</f>
        <v>96.032520462415562</v>
      </c>
      <c r="AO9" t="s">
        <v>14</v>
      </c>
      <c r="AU9" t="s">
        <v>408</v>
      </c>
      <c r="AV9">
        <v>-5.9567718565286054E-3</v>
      </c>
      <c r="AW9">
        <v>0.39696011261246528</v>
      </c>
      <c r="AX9">
        <v>425.145301245204</v>
      </c>
    </row>
    <row r="10" spans="2:50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2.7254086309143766</v>
      </c>
      <c r="R10" s="52">
        <v>0.65433928571687261</v>
      </c>
      <c r="T10" s="111">
        <f>(J3-R10)/Q10</f>
        <v>3.3271645336585975</v>
      </c>
      <c r="W10" t="b">
        <f>IF(AND(W9&lt;=7.51,J3&gt;=W11),TRUE,FALSE)</f>
        <v>0</v>
      </c>
      <c r="AA10" s="437">
        <f t="shared" si="1"/>
        <v>230</v>
      </c>
      <c r="AB10" s="56">
        <f t="shared" si="2"/>
        <v>188.98765340427627</v>
      </c>
      <c r="AC10" s="55">
        <v>230</v>
      </c>
      <c r="AD10" s="57">
        <f t="shared" si="3"/>
        <v>188.98765340427627</v>
      </c>
      <c r="AE10" s="55">
        <v>170</v>
      </c>
      <c r="AF10" s="57">
        <f t="shared" si="0"/>
        <v>120.42188405539274</v>
      </c>
      <c r="AG10" s="56">
        <v>80</v>
      </c>
      <c r="AH10" s="438">
        <f>(-$D$24-SQRT($D$24^2-(4*$C$24*($E$24-AG10))))/(2*$C$24)</f>
        <v>49.842265162290595</v>
      </c>
      <c r="AU10" t="s">
        <v>411</v>
      </c>
      <c r="AV10">
        <v>-6.9707491642898908E-3</v>
      </c>
      <c r="AW10">
        <v>0.56996786479199912</v>
      </c>
      <c r="AX10">
        <v>199.6307447316521</v>
      </c>
    </row>
    <row r="11" spans="2:50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-1.0983050659137878E-3</v>
      </c>
      <c r="R11" s="7">
        <v>0.38325567037747171</v>
      </c>
      <c r="S11" s="7">
        <v>8.9532550517630816E-2</v>
      </c>
      <c r="T11" s="111">
        <f>Q11*J3^2+R11*J3+S11</f>
        <v>3.7118157883121552</v>
      </c>
      <c r="V11" t="s">
        <v>348</v>
      </c>
      <c r="W11" s="294">
        <v>40</v>
      </c>
      <c r="X11" t="s">
        <v>13</v>
      </c>
      <c r="AA11" s="437">
        <f>AC11</f>
        <v>300</v>
      </c>
      <c r="AB11" s="56">
        <f t="shared" si="2"/>
        <v>144.00838062097975</v>
      </c>
      <c r="AC11" s="55">
        <v>300</v>
      </c>
      <c r="AD11" s="57">
        <f t="shared" si="3"/>
        <v>144.00838062097975</v>
      </c>
      <c r="AE11" s="55">
        <v>205</v>
      </c>
      <c r="AF11" s="57">
        <f t="shared" si="0"/>
        <v>73.943002844798301</v>
      </c>
      <c r="AG11" s="56"/>
      <c r="AH11" s="438"/>
      <c r="AM11" s="129" t="s">
        <v>525</v>
      </c>
      <c r="AN11" s="227">
        <f>(J3/1000*AN8)/W14</f>
        <v>4.6774758473156861E-2</v>
      </c>
      <c r="AU11" t="s">
        <v>409</v>
      </c>
      <c r="AV11">
        <v>-4.6179437787463177E-3</v>
      </c>
      <c r="AW11">
        <v>-0.1908792356649929</v>
      </c>
      <c r="AX11">
        <v>100.24507978840288</v>
      </c>
    </row>
    <row r="12" spans="2:50" ht="14" thickBot="1" x14ac:dyDescent="0.2">
      <c r="C12" t="s">
        <v>11</v>
      </c>
      <c r="D12" s="1"/>
      <c r="E12" s="1"/>
      <c r="H12" s="1"/>
      <c r="P12" s="2" t="s">
        <v>51</v>
      </c>
      <c r="AA12" s="439">
        <f>AC12</f>
        <v>340</v>
      </c>
      <c r="AB12" s="440">
        <f t="shared" si="2"/>
        <v>105.265386166816</v>
      </c>
      <c r="AC12" s="441">
        <v>340</v>
      </c>
      <c r="AD12" s="442">
        <f t="shared" si="3"/>
        <v>105.265386166816</v>
      </c>
      <c r="AE12" s="441"/>
      <c r="AF12" s="442"/>
      <c r="AG12" s="440"/>
      <c r="AH12" s="443"/>
      <c r="AM12" s="129" t="s">
        <v>526</v>
      </c>
      <c r="AN12" s="227">
        <f>('Laskenta poistopuoli 250'!J3/1000*AN9)/'Laskenta poistopuoli 250'!W14</f>
        <v>5.5410838021853259E-2</v>
      </c>
    </row>
    <row r="13" spans="2:50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0.3495763108279672</v>
      </c>
      <c r="Q13" s="51">
        <v>-5.7148281843479127</v>
      </c>
      <c r="R13" s="51">
        <v>41.109224362543472</v>
      </c>
      <c r="U13" s="39" t="s">
        <v>43</v>
      </c>
      <c r="V13" t="s">
        <v>44</v>
      </c>
      <c r="W13" s="295">
        <f>P18</f>
        <v>18.046839796085074</v>
      </c>
      <c r="X13" t="s">
        <v>49</v>
      </c>
      <c r="Y13" s="129" t="s">
        <v>414</v>
      </c>
      <c r="AU13" t="s">
        <v>535</v>
      </c>
    </row>
    <row r="14" spans="2:50" ht="14" thickBot="1" x14ac:dyDescent="0.2">
      <c r="C14" s="640">
        <f>AV18</f>
        <v>-5.8938322601629753E-3</v>
      </c>
      <c r="D14" s="640">
        <f t="shared" ref="D14:E14" si="5">AW18</f>
        <v>0.41704887403929791</v>
      </c>
      <c r="E14" s="640">
        <f t="shared" si="5"/>
        <v>424.65374076504946</v>
      </c>
      <c r="H14" s="2"/>
      <c r="O14" t="s">
        <v>413</v>
      </c>
      <c r="P14">
        <f t="array" ref="P14:S14">LINEST(AE34:AE37,AC34:AC37^{1,2,3})</f>
        <v>4.0852991263209673E-3</v>
      </c>
      <c r="Q14">
        <v>0.11255091563039613</v>
      </c>
      <c r="R14">
        <v>-1.3965353860528136</v>
      </c>
      <c r="S14">
        <v>16.687478352298484</v>
      </c>
      <c r="V14" t="s">
        <v>52</v>
      </c>
      <c r="W14" s="296">
        <f>IF(W13&gt;Y14,Y14,W13)</f>
        <v>18.046839796085074</v>
      </c>
      <c r="X14" t="s">
        <v>49</v>
      </c>
      <c r="Y14" s="129">
        <v>516</v>
      </c>
      <c r="Z14" t="s">
        <v>49</v>
      </c>
      <c r="AM14" s="297" t="s">
        <v>520</v>
      </c>
      <c r="AN14" s="84">
        <f>1100+((AN6-0.73)*3000)-300*(J3/1000)/2-AN5</f>
        <v>1293.541666666667</v>
      </c>
      <c r="AU14" s="451" t="b">
        <f>Tulokset!D41</f>
        <v>0</v>
      </c>
      <c r="AV14" s="2"/>
    </row>
    <row r="15" spans="2:50" x14ac:dyDescent="0.15">
      <c r="B15" s="446" t="s">
        <v>564</v>
      </c>
      <c r="C15" s="446">
        <f>AA1</f>
        <v>-6.2567305087769002E-3</v>
      </c>
      <c r="D15" s="446">
        <f t="shared" ref="D15:E15" si="6">AB1</f>
        <v>0.52719406327833773</v>
      </c>
      <c r="E15" s="446">
        <f t="shared" si="6"/>
        <v>353.83430230637669</v>
      </c>
      <c r="H15" s="2"/>
    </row>
    <row r="16" spans="2:50" ht="14" thickBot="1" x14ac:dyDescent="0.2">
      <c r="C16" s="2" t="s">
        <v>411</v>
      </c>
      <c r="D16" s="1"/>
      <c r="E16" s="1"/>
      <c r="H16" s="1"/>
      <c r="O16" t="s">
        <v>412</v>
      </c>
      <c r="P16" s="3">
        <f>$P$13*J3^2+$Q$13*J3+$R$13</f>
        <v>18.590908740353875</v>
      </c>
      <c r="Q16" t="s">
        <v>49</v>
      </c>
      <c r="V16" t="s">
        <v>58</v>
      </c>
      <c r="W16">
        <f>'Laskenta poistopuoli 250'!W13</f>
        <v>16.849582822181617</v>
      </c>
      <c r="AM16" s="129" t="s">
        <v>521</v>
      </c>
      <c r="AN16" s="3">
        <f>(AN8-L3)/AN11</f>
        <v>145.92220822530095</v>
      </c>
      <c r="AU16" t="s">
        <v>21</v>
      </c>
    </row>
    <row r="17" spans="3:50" ht="14" thickBot="1" x14ac:dyDescent="0.2">
      <c r="C17" t="s">
        <v>11</v>
      </c>
      <c r="D17" s="1"/>
      <c r="E17" s="1"/>
      <c r="H17" s="1"/>
      <c r="O17" t="s">
        <v>413</v>
      </c>
      <c r="P17" s="3">
        <f>$P$14*J3^3+$Q$14*J3^2+$R$14*J3+$S$14</f>
        <v>17.502770851816276</v>
      </c>
      <c r="Q17" t="s">
        <v>49</v>
      </c>
      <c r="V17" t="s">
        <v>73</v>
      </c>
      <c r="W17" s="294">
        <v>2.37</v>
      </c>
      <c r="AM17" s="129" t="s">
        <v>522</v>
      </c>
      <c r="AN17" s="3">
        <f>(AN9-'Laskenta poistopuoli 250'!L3)/AN12</f>
        <v>-71.601146620805835</v>
      </c>
      <c r="AU17" s="2" t="s">
        <v>102</v>
      </c>
      <c r="AV17" s="2">
        <f>IF($AU$14,AV8,AV3)</f>
        <v>-6.3124369392543317E-3</v>
      </c>
      <c r="AW17" s="2">
        <f t="shared" ref="AW17:AX17" si="7">IF($AU$14,AW8,AW3)</f>
        <v>0.63457514688226124</v>
      </c>
      <c r="AX17" s="2">
        <f t="shared" si="7"/>
        <v>646.42542368946533</v>
      </c>
    </row>
    <row r="18" spans="3:50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18.046839796085074</v>
      </c>
      <c r="Q18" t="s">
        <v>49</v>
      </c>
      <c r="AM18" s="297" t="s">
        <v>529</v>
      </c>
      <c r="AN18" s="84">
        <f>AN16+AN17</f>
        <v>74.321061604495114</v>
      </c>
      <c r="AU18" s="2" t="s">
        <v>404</v>
      </c>
      <c r="AV18" s="2">
        <f t="shared" ref="AV18:AX20" si="8">IF($AU$14,AV9,AV4)</f>
        <v>-5.8938322601629753E-3</v>
      </c>
      <c r="AW18" s="2">
        <f t="shared" si="8"/>
        <v>0.41704887403929791</v>
      </c>
      <c r="AX18" s="2">
        <f t="shared" si="8"/>
        <v>424.65374076504946</v>
      </c>
    </row>
    <row r="19" spans="3:50" x14ac:dyDescent="0.15">
      <c r="C19" s="8">
        <f>AV19</f>
        <v>-6.900999826613176E-3</v>
      </c>
      <c r="D19" s="8">
        <f t="shared" ref="D19:E19" si="9">AW19</f>
        <v>0.58828187691278289</v>
      </c>
      <c r="E19" s="8">
        <f t="shared" si="9"/>
        <v>199.23235504253068</v>
      </c>
      <c r="V19" s="74" t="s">
        <v>74</v>
      </c>
      <c r="W19" s="77">
        <f>W13+W16+W17</f>
        <v>37.266422618266688</v>
      </c>
      <c r="X19" s="75" t="s">
        <v>49</v>
      </c>
      <c r="AB19" s="6"/>
      <c r="AC19" s="6"/>
      <c r="AU19" s="2" t="s">
        <v>411</v>
      </c>
      <c r="AV19" s="2">
        <f t="shared" si="8"/>
        <v>-6.900999826613176E-3</v>
      </c>
      <c r="AW19" s="2">
        <f t="shared" si="8"/>
        <v>0.58828187691278289</v>
      </c>
      <c r="AX19" s="2">
        <f t="shared" si="8"/>
        <v>199.23235504253068</v>
      </c>
    </row>
    <row r="20" spans="3:50" x14ac:dyDescent="0.15">
      <c r="C20" s="2"/>
      <c r="D20" s="2"/>
      <c r="E20" s="2"/>
      <c r="H20" s="1"/>
      <c r="AB20" s="6"/>
      <c r="AC20" s="6"/>
      <c r="AU20" s="2" t="s">
        <v>409</v>
      </c>
      <c r="AV20" s="2">
        <f>IF($AU$14,AV11,AV6)</f>
        <v>-4.5287059645176828E-3</v>
      </c>
      <c r="AW20" s="2">
        <f t="shared" si="8"/>
        <v>-0.1767038368018404</v>
      </c>
      <c r="AX20" s="2">
        <f t="shared" si="8"/>
        <v>100.05776360579901</v>
      </c>
    </row>
    <row r="21" spans="3:50" x14ac:dyDescent="0.15">
      <c r="C21" s="2" t="s">
        <v>409</v>
      </c>
      <c r="D21" s="1"/>
      <c r="E21" s="1"/>
      <c r="H21" s="1"/>
      <c r="O21" t="s">
        <v>461</v>
      </c>
      <c r="V21" t="s">
        <v>78</v>
      </c>
      <c r="W21">
        <f>MAX(J3,'Laskenta poistopuoli 60'!J3)</f>
        <v>9.7222222222222214</v>
      </c>
      <c r="X21" t="s">
        <v>13</v>
      </c>
      <c r="AB21" s="6"/>
      <c r="AC21" s="6"/>
    </row>
    <row r="22" spans="3:50" ht="15" x14ac:dyDescent="0.15">
      <c r="C22" t="s">
        <v>11</v>
      </c>
      <c r="D22" s="1"/>
      <c r="E22" s="1"/>
      <c r="H22" s="1"/>
      <c r="O22">
        <v>165</v>
      </c>
      <c r="P22" t="s">
        <v>13</v>
      </c>
      <c r="V22" t="s">
        <v>75</v>
      </c>
      <c r="W22">
        <f>W19/W21</f>
        <v>3.8331177550217168</v>
      </c>
      <c r="X22" t="s">
        <v>77</v>
      </c>
      <c r="AB22" s="6"/>
      <c r="AC22" s="6"/>
      <c r="AU22" s="2" t="s">
        <v>564</v>
      </c>
    </row>
    <row r="23" spans="3:50" x14ac:dyDescent="0.15">
      <c r="C23" t="s">
        <v>4</v>
      </c>
      <c r="D23" t="s">
        <v>5</v>
      </c>
      <c r="E23" t="s">
        <v>6</v>
      </c>
      <c r="H23" s="1"/>
      <c r="O23">
        <v>198</v>
      </c>
      <c r="P23" t="s">
        <v>14</v>
      </c>
      <c r="AU23" t="s">
        <v>533</v>
      </c>
      <c r="AV23">
        <v>-6.2567305087769089E-3</v>
      </c>
      <c r="AW23">
        <v>0.52719406327834151</v>
      </c>
      <c r="AX23">
        <v>353.83430230637634</v>
      </c>
    </row>
    <row r="24" spans="3:50" x14ac:dyDescent="0.15">
      <c r="C24" s="8">
        <f>AV20</f>
        <v>-4.5287059645176828E-3</v>
      </c>
      <c r="D24" s="8">
        <f t="shared" ref="D24:E24" si="10">AW20</f>
        <v>-0.1767038368018404</v>
      </c>
      <c r="E24" s="8">
        <f t="shared" si="10"/>
        <v>100.05776360579901</v>
      </c>
      <c r="H24" s="1"/>
      <c r="AU24" t="s">
        <v>534</v>
      </c>
      <c r="AV24">
        <v>-6.3537296653299272E-3</v>
      </c>
      <c r="AW24">
        <v>0.51879926071761351</v>
      </c>
      <c r="AX24">
        <v>353.38933722243871</v>
      </c>
    </row>
    <row r="25" spans="3:50" x14ac:dyDescent="0.15">
      <c r="G25" s="2"/>
      <c r="H25" s="1"/>
    </row>
    <row r="27" spans="3:50" x14ac:dyDescent="0.15">
      <c r="U27" t="s">
        <v>407</v>
      </c>
      <c r="AU27" t="s">
        <v>21</v>
      </c>
      <c r="AV27" s="2">
        <f>IF($AU$14,AV24,AV23)</f>
        <v>-6.2567305087769089E-3</v>
      </c>
      <c r="AW27" s="2">
        <f t="shared" ref="AW27:AX27" si="11">IF($AU$14,AW24,AW23)</f>
        <v>0.52719406327834151</v>
      </c>
      <c r="AX27" s="2">
        <f t="shared" si="11"/>
        <v>353.83430230637634</v>
      </c>
    </row>
    <row r="28" spans="3:50" x14ac:dyDescent="0.15">
      <c r="U28" s="4" t="s">
        <v>17</v>
      </c>
    </row>
    <row r="29" spans="3:50" x14ac:dyDescent="0.15">
      <c r="U29" s="4">
        <f>L3/J3^2</f>
        <v>0.84636734693877558</v>
      </c>
    </row>
    <row r="31" spans="3:50" x14ac:dyDescent="0.15">
      <c r="U31" s="2" t="s">
        <v>16</v>
      </c>
      <c r="AP31" s="2" t="s">
        <v>1110</v>
      </c>
    </row>
    <row r="32" spans="3:50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P33" s="2" t="s">
        <v>1107</v>
      </c>
      <c r="AS33" t="s">
        <v>1115</v>
      </c>
    </row>
    <row r="34" spans="21:47" x14ac:dyDescent="0.15">
      <c r="U34" s="35">
        <v>10</v>
      </c>
      <c r="V34" s="98">
        <f>C9</f>
        <v>-6.3124369392543317E-3</v>
      </c>
      <c r="W34" s="99">
        <f>D9</f>
        <v>0.63457514688226124</v>
      </c>
      <c r="X34" s="100">
        <f>E9</f>
        <v>646.42542368946533</v>
      </c>
      <c r="Y34" s="36">
        <f>C9-U29</f>
        <v>-0.8526797838780299</v>
      </c>
      <c r="Z34" s="28">
        <f>(-W34+SQRT(W34^2-(4*Y34*X34)))/(2*Y34)</f>
        <v>-27.164212868253959</v>
      </c>
      <c r="AA34" s="29">
        <f>(-W34-SQRT(W34^2-(4*Y34*X34)))/(2*Y34)</f>
        <v>27.908425594860638</v>
      </c>
      <c r="AB34" s="36">
        <f>AB6</f>
        <v>276.93002872317612</v>
      </c>
      <c r="AC34" s="53">
        <f>IF(Z34&lt;0,AA34,IF(Z34&gt;AB34,AA34,Z34))</f>
        <v>27.908425594860638</v>
      </c>
      <c r="AD34" s="53">
        <f>V34*AC34^2+W34*AC34+X34</f>
        <v>659.21878469374587</v>
      </c>
      <c r="AE34" s="53">
        <f>X51*AC34^2+Y51*AC34+Z51</f>
        <v>154.17951331273559</v>
      </c>
      <c r="AF34" s="53">
        <f>AVERAGE(K61:K62,K61)</f>
        <v>57.830536447420592</v>
      </c>
      <c r="AG34" s="53">
        <f>AVERAGE(U61:U62,U61)</f>
        <v>71.401594067305325</v>
      </c>
      <c r="AI34">
        <v>10</v>
      </c>
      <c r="AJ34" s="3">
        <f>AC34</f>
        <v>27.908425594860638</v>
      </c>
      <c r="AL34">
        <f>AN52*AC34^2+AO52*AC34+AP52</f>
        <v>511.96466710118233</v>
      </c>
      <c r="AM34" t="s">
        <v>14</v>
      </c>
      <c r="AP34" s="616">
        <f>AC38/$J$3-1</f>
        <v>1.1273859860294206</v>
      </c>
      <c r="AS34" s="278" t="b">
        <f>IF(AP36&gt;AC38,FALSE,TRUE)</f>
        <v>1</v>
      </c>
      <c r="AT34" t="s">
        <v>1117</v>
      </c>
    </row>
    <row r="35" spans="21:47" x14ac:dyDescent="0.15">
      <c r="U35" s="35">
        <v>8</v>
      </c>
      <c r="V35" s="98">
        <f>C14</f>
        <v>-5.8938322601629753E-3</v>
      </c>
      <c r="W35" s="99">
        <f>D14</f>
        <v>0.41704887403929791</v>
      </c>
      <c r="X35" s="100">
        <f>E14</f>
        <v>424.65374076504946</v>
      </c>
      <c r="Y35" s="36">
        <f>C14-U29</f>
        <v>-0.85226117919893851</v>
      </c>
      <c r="Z35" s="28">
        <f t="shared" ref="Z35:Z37" si="12">(-W35+SQRT(W35^2-(4*Y35*X35)))/(2*Y35)</f>
        <v>-22.078567134844359</v>
      </c>
      <c r="AA35" s="29">
        <f t="shared" ref="AA35:AA38" si="13">(-W35-SQRT(W35^2-(4*Y35*X35)))/(2*Y35)</f>
        <v>22.567911110867403</v>
      </c>
      <c r="AB35" s="36">
        <f>AD6</f>
        <v>276.93002872317612</v>
      </c>
      <c r="AC35" s="53">
        <f t="shared" ref="AC35:AC38" si="14">IF(Z35&lt;0,AA35,IF(Z35&gt;AB35,AA35,Z35))</f>
        <v>22.567911110867403</v>
      </c>
      <c r="AD35" s="53">
        <f>V35*AC35^2+W35*AC35+X35</f>
        <v>431.06387136834888</v>
      </c>
      <c r="AE35" s="53">
        <f t="shared" ref="AE35:AE37" si="15">X52*AC35^2+Y52*AC35+Z52</f>
        <v>89.450708769975051</v>
      </c>
      <c r="AF35" s="53">
        <f>AVERAGE(K66:K67,K66)</f>
        <v>50.625203226087898</v>
      </c>
      <c r="AG35" s="53">
        <f>AVERAGE(U66:U67,U66)</f>
        <v>67.192173538404489</v>
      </c>
      <c r="AI35">
        <v>9</v>
      </c>
      <c r="AJ35" s="3">
        <f>Q9*AI35+R9</f>
        <v>25.183016963946262</v>
      </c>
      <c r="AL35">
        <f t="shared" ref="AL35:AL37" si="16">AN53*AC35^2+AO53*AC35+AP53</f>
        <v>357.48105261443914</v>
      </c>
      <c r="AM35" t="s">
        <v>14</v>
      </c>
      <c r="AP35" t="s">
        <v>1114</v>
      </c>
      <c r="AS35" t="s">
        <v>1116</v>
      </c>
    </row>
    <row r="36" spans="21:47" x14ac:dyDescent="0.15">
      <c r="U36" s="35">
        <v>6</v>
      </c>
      <c r="V36" s="98">
        <f>C19</f>
        <v>-6.900999826613176E-3</v>
      </c>
      <c r="W36" s="99">
        <f>D19</f>
        <v>0.58828187691278289</v>
      </c>
      <c r="X36" s="100">
        <f>E19</f>
        <v>199.23235504253068</v>
      </c>
      <c r="Y36" s="36">
        <f>C19-U29</f>
        <v>-0.85326834676538876</v>
      </c>
      <c r="Z36" s="28">
        <f t="shared" si="12"/>
        <v>-14.939649475215743</v>
      </c>
      <c r="AA36" s="29">
        <f t="shared" si="13"/>
        <v>15.629094805214063</v>
      </c>
      <c r="AB36" s="36">
        <f>AF6</f>
        <v>213.61335762915562</v>
      </c>
      <c r="AC36" s="53">
        <f t="shared" si="14"/>
        <v>15.629094805214063</v>
      </c>
      <c r="AD36" s="53">
        <f>V36*AC36^2+W36*AC36+X36</f>
        <v>206.74097067216883</v>
      </c>
      <c r="AE36" s="53">
        <f t="shared" si="15"/>
        <v>37.949984433278473</v>
      </c>
      <c r="AF36" s="53">
        <f>AVERAGE(K71:K72,K71)</f>
        <v>46.542142126244208</v>
      </c>
      <c r="AG36" s="53">
        <f>AVERAGE(U71:U72,U71)</f>
        <v>62.437064980011733</v>
      </c>
      <c r="AI36">
        <v>8</v>
      </c>
      <c r="AJ36" s="3">
        <f>AC35</f>
        <v>22.567911110867403</v>
      </c>
      <c r="AL36">
        <f t="shared" si="16"/>
        <v>209.76760870030293</v>
      </c>
      <c r="AM36" t="s">
        <v>14</v>
      </c>
      <c r="AP36" s="609">
        <f>Tulokset!$CR$16</f>
        <v>11.666666666666666</v>
      </c>
      <c r="AQ36" t="s">
        <v>13</v>
      </c>
      <c r="AS36" s="627">
        <f>IF($AP$36&gt;$AJ$35,AVERAGE(AS40,AS41,AS41),AVERAGE(AS39,AS39,AS41))</f>
        <v>4.4229623345634375</v>
      </c>
      <c r="AT36" t="s">
        <v>25</v>
      </c>
    </row>
    <row r="37" spans="21:47" x14ac:dyDescent="0.15">
      <c r="U37" s="38">
        <v>4</v>
      </c>
      <c r="V37" s="101">
        <f>C24</f>
        <v>-4.5287059645176828E-3</v>
      </c>
      <c r="W37" s="102">
        <f>D24</f>
        <v>-0.1767038368018404</v>
      </c>
      <c r="X37" s="103">
        <f>E24</f>
        <v>100.05776360579901</v>
      </c>
      <c r="Y37" s="37">
        <f>C24-U29</f>
        <v>-0.85089605290329329</v>
      </c>
      <c r="Z37" s="30">
        <f t="shared" si="12"/>
        <v>-10.948271966407942</v>
      </c>
      <c r="AA37" s="31">
        <f t="shared" si="13"/>
        <v>10.740604018955466</v>
      </c>
      <c r="AB37" s="37">
        <f>AH6</f>
        <v>122.85148290021115</v>
      </c>
      <c r="AC37" s="53">
        <f t="shared" si="14"/>
        <v>10.740604018955466</v>
      </c>
      <c r="AD37" s="53">
        <f>V37*AC37^2+W37*AC37+X37</f>
        <v>97.637423543402448</v>
      </c>
      <c r="AE37" s="53">
        <f t="shared" si="15"/>
        <v>19.733641311727901</v>
      </c>
      <c r="AF37" s="53">
        <f>AVERAGE(K76:K77,K76)</f>
        <v>36.913977930173736</v>
      </c>
      <c r="AG37" s="53">
        <f>AVERAGE(U76:U77,U76)</f>
        <v>53.616144293086087</v>
      </c>
      <c r="AI37">
        <v>6</v>
      </c>
      <c r="AJ37" s="3">
        <f t="shared" ref="AJ37:AJ38" si="17">AC36</f>
        <v>15.629094805214063</v>
      </c>
      <c r="AL37">
        <f t="shared" si="16"/>
        <v>102.09310097355285</v>
      </c>
      <c r="AM37" t="s">
        <v>14</v>
      </c>
      <c r="AP37" s="609">
        <f>Tulokset!$CR$17</f>
        <v>115.19999999999999</v>
      </c>
      <c r="AQ37" t="s">
        <v>14</v>
      </c>
    </row>
    <row r="38" spans="21:47" x14ac:dyDescent="0.15">
      <c r="U38" s="639">
        <v>7.5</v>
      </c>
      <c r="V38" s="633">
        <f>C15</f>
        <v>-6.2567305087769002E-3</v>
      </c>
      <c r="W38" s="634">
        <f t="shared" ref="W38:X38" si="18">D15</f>
        <v>0.52719406327833773</v>
      </c>
      <c r="X38" s="635">
        <f t="shared" si="18"/>
        <v>353.83430230637669</v>
      </c>
      <c r="Y38" s="636">
        <f>C15-U29</f>
        <v>-0.85262407744755253</v>
      </c>
      <c r="Z38" s="637">
        <f>(-W38+SQRT(W38^2-(4*Y38*X38)))/(2*Y38)</f>
        <v>-20.064599843777877</v>
      </c>
      <c r="AA38" s="638">
        <f t="shared" si="13"/>
        <v>20.682919308619365</v>
      </c>
      <c r="AB38" s="636">
        <f>AD6</f>
        <v>276.93002872317612</v>
      </c>
      <c r="AC38" s="53">
        <f t="shared" si="14"/>
        <v>20.682919308619365</v>
      </c>
      <c r="AD38" s="53">
        <f>V38*AC38^2+W38*AC38+X38</f>
        <v>362.06169068434957</v>
      </c>
      <c r="AE38" s="2" t="s">
        <v>1156</v>
      </c>
      <c r="AI38">
        <v>4</v>
      </c>
      <c r="AJ38" s="3">
        <f t="shared" si="17"/>
        <v>10.740604018955466</v>
      </c>
      <c r="AS38" s="4" t="s">
        <v>418</v>
      </c>
    </row>
    <row r="39" spans="21:47" x14ac:dyDescent="0.15">
      <c r="AR39" t="s">
        <v>415</v>
      </c>
      <c r="AS39" s="111">
        <f>(AP36-R9)/Q9</f>
        <v>4.4287649108146665</v>
      </c>
      <c r="AT39" t="s">
        <v>25</v>
      </c>
      <c r="AU39" t="s">
        <v>1148</v>
      </c>
    </row>
    <row r="40" spans="21:47" x14ac:dyDescent="0.15">
      <c r="U40" s="2" t="s">
        <v>35</v>
      </c>
      <c r="W40" t="s">
        <v>36</v>
      </c>
      <c r="AR40" t="s">
        <v>416</v>
      </c>
      <c r="AS40" s="111">
        <f>(AP36-R10)/Q10</f>
        <v>4.0406151415375646</v>
      </c>
      <c r="AT40" t="s">
        <v>25</v>
      </c>
      <c r="AU40" t="s">
        <v>1146</v>
      </c>
    </row>
    <row r="41" spans="21:47" x14ac:dyDescent="0.15">
      <c r="AR41" t="s">
        <v>417</v>
      </c>
      <c r="AS41" s="111">
        <f>Q11*AP36^2+R11*AP36+S11</f>
        <v>4.4113571820609794</v>
      </c>
      <c r="AT41" t="s">
        <v>25</v>
      </c>
      <c r="AU41" t="s">
        <v>1147</v>
      </c>
    </row>
    <row r="42" spans="21:47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7" x14ac:dyDescent="0.15">
      <c r="U43" s="10" t="s">
        <v>26</v>
      </c>
      <c r="V43" s="21"/>
      <c r="W43" s="49">
        <v>15</v>
      </c>
      <c r="X43" s="49">
        <v>13</v>
      </c>
      <c r="Y43" s="49">
        <v>1</v>
      </c>
      <c r="Z43" s="49">
        <v>-5</v>
      </c>
      <c r="AA43" s="49">
        <v>-9</v>
      </c>
      <c r="AB43" s="49">
        <v>-14</v>
      </c>
      <c r="AC43" s="49">
        <v>-24</v>
      </c>
      <c r="AD43" s="49">
        <v>-29</v>
      </c>
      <c r="AE43" s="39" t="s">
        <v>42</v>
      </c>
      <c r="AF43" s="53">
        <f>$W$5+W43</f>
        <v>50.349541902898544</v>
      </c>
      <c r="AG43" s="53">
        <f t="shared" ref="AG43:AM43" si="19">$W$5+X43</f>
        <v>48.349541902898544</v>
      </c>
      <c r="AH43" s="53">
        <f t="shared" si="19"/>
        <v>36.349541902898544</v>
      </c>
      <c r="AI43" s="53">
        <f t="shared" si="19"/>
        <v>30.349541902898544</v>
      </c>
      <c r="AJ43" s="53">
        <f t="shared" si="19"/>
        <v>26.349541902898544</v>
      </c>
      <c r="AK43" s="53">
        <f t="shared" si="19"/>
        <v>21.349541902898544</v>
      </c>
      <c r="AL43" s="53">
        <f t="shared" si="19"/>
        <v>11.349541902898544</v>
      </c>
      <c r="AM43" s="53">
        <f t="shared" si="19"/>
        <v>6.3495419028985438</v>
      </c>
      <c r="AN43" s="5">
        <f t="array" ref="AN43">10*LOG10(SUM(10^(AF43:AM43/10)))</f>
        <v>52.61856517370223</v>
      </c>
      <c r="AO43" s="5">
        <f t="array" ref="AO43">10*LOG10(SUM(10^((AF43:AM43+AF46:AM46)/10)))</f>
        <v>35.664172636801219</v>
      </c>
      <c r="AP43" t="str">
        <f>IF(ABS(W5-AO43)&lt;0.5,"OK","Tarkista laskenta!")</f>
        <v>OK</v>
      </c>
    </row>
    <row r="44" spans="21:47" x14ac:dyDescent="0.15">
      <c r="U44" s="14" t="s">
        <v>29</v>
      </c>
      <c r="V44" s="26"/>
      <c r="W44" s="49">
        <v>6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58.528035704291518</v>
      </c>
      <c r="AG44" s="53">
        <f t="shared" ref="AG44:AM44" si="20">$W$6+X44</f>
        <v>60.528035704291518</v>
      </c>
      <c r="AH44" s="53">
        <f t="shared" si="20"/>
        <v>51.528035704291518</v>
      </c>
      <c r="AI44" s="53">
        <f t="shared" si="20"/>
        <v>48.528035704291518</v>
      </c>
      <c r="AJ44" s="53">
        <f t="shared" si="20"/>
        <v>47.528035704291518</v>
      </c>
      <c r="AK44" s="53">
        <f t="shared" si="20"/>
        <v>42.528035704291518</v>
      </c>
      <c r="AL44" s="53">
        <f t="shared" si="20"/>
        <v>38.528035704291518</v>
      </c>
      <c r="AM44" s="53">
        <f t="shared" si="20"/>
        <v>36.528035704291518</v>
      </c>
      <c r="AN44" s="5">
        <f t="array" ref="AN44">10*LOG10(SUM(10^(AF44:AM44/10)))</f>
        <v>63.306886106070337</v>
      </c>
      <c r="AO44" s="5">
        <f t="array" ref="AO44">10*LOG10(SUM(10^((AF44:AM44+AF46:AM46)/10)))</f>
        <v>52.450459850736067</v>
      </c>
      <c r="AP44" t="str">
        <f>IF(ABS(W6-AO44)&lt;0.5,"OK","Tarkista laskenta!")</f>
        <v>OK</v>
      </c>
    </row>
    <row r="46" spans="21:47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LINEST(Y59:Y67,X59:X67^{1,2})</f>
        <v>3.776917108145616E-4</v>
      </c>
      <c r="Y51" s="54">
        <v>0.95964026918999501</v>
      </c>
      <c r="Z51" s="54">
        <v>127.10328765971141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LINEST(Y70:Y78,X70:X78^{1,2})</f>
        <v>5.8205355126901169E-4</v>
      </c>
      <c r="Y52" s="54">
        <v>0.59864600253013434</v>
      </c>
      <c r="Z52" s="54">
        <v>75.644072947638819</v>
      </c>
      <c r="AM52" t="s">
        <v>3</v>
      </c>
      <c r="AN52" s="54">
        <f t="array" ref="AN52:AP52">LINEST(AO60:AO67,AN60:AN67^{1,2})</f>
        <v>-7.8886988291031798E-3</v>
      </c>
      <c r="AO52" s="54">
        <v>3.1314055362362243</v>
      </c>
      <c r="AP52" s="54">
        <v>430.71642015888642</v>
      </c>
    </row>
    <row r="53" spans="3:42" x14ac:dyDescent="0.15">
      <c r="W53" t="s">
        <v>10</v>
      </c>
      <c r="X53" s="54">
        <f t="array" ref="X53:Z53">LINEST(Y81:Y88,X81:X88^{1,2})</f>
        <v>1.1899585521334657E-4</v>
      </c>
      <c r="Y53" s="54">
        <v>0.44802087071349334</v>
      </c>
      <c r="Z53" s="54">
        <v>30.918756818696775</v>
      </c>
      <c r="AM53" t="s">
        <v>114</v>
      </c>
      <c r="AN53" s="54">
        <f t="array" ref="AN53:AP53">LINEST(AO71:AO78,AN71:AN78^{1,2})</f>
        <v>-6.7203587621186599E-3</v>
      </c>
      <c r="AO53" s="54">
        <v>2.2460738760700178</v>
      </c>
      <c r="AP53" s="54">
        <v>310.21460706422556</v>
      </c>
    </row>
    <row r="54" spans="3:42" x14ac:dyDescent="0.15">
      <c r="W54" t="s">
        <v>12</v>
      </c>
      <c r="X54" s="54">
        <f t="array" ref="X54:Z54">LINEST(Y92:Y98,X92:X98^{1,2})</f>
        <v>7.8439500677749137E-5</v>
      </c>
      <c r="Y54" s="54">
        <v>0.19954382418716141</v>
      </c>
      <c r="Z54" s="54">
        <v>17.581371285828794</v>
      </c>
      <c r="AM54" t="s">
        <v>10</v>
      </c>
      <c r="AN54" s="54">
        <f t="array" ref="AN54:AP54">LINEST(AO82:AO89,AN82:AN89^{1,2})</f>
        <v>-5.5201103910772495E-3</v>
      </c>
      <c r="AO54" s="54">
        <v>1.3813935974166838</v>
      </c>
      <c r="AP54" s="54">
        <v>189.5260668644919</v>
      </c>
    </row>
    <row r="55" spans="3:42" x14ac:dyDescent="0.15">
      <c r="AM55" t="s">
        <v>12</v>
      </c>
      <c r="AN55" s="54">
        <f t="array" ref="AN55:AP55">LINEST(AO93:AO99,AN93:AN99^{1,2})</f>
        <v>-3.0470369228017091E-3</v>
      </c>
      <c r="AO55" s="54">
        <v>0.51215993958746597</v>
      </c>
      <c r="AP55" s="54">
        <v>96.943701798593878</v>
      </c>
    </row>
    <row r="56" spans="3:42" x14ac:dyDescent="0.15">
      <c r="C56" s="2" t="s">
        <v>45</v>
      </c>
    </row>
    <row r="57" spans="3:42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344.7</v>
      </c>
      <c r="E59" s="68">
        <v>62.144673041028028</v>
      </c>
      <c r="F59" s="69">
        <v>504.49107312811128</v>
      </c>
      <c r="H59" t="s">
        <v>4</v>
      </c>
      <c r="I59" t="s">
        <v>5</v>
      </c>
      <c r="K59" s="27" t="s">
        <v>424</v>
      </c>
      <c r="M59" s="10" t="s">
        <v>3</v>
      </c>
      <c r="N59" s="67">
        <v>347.55882244303535</v>
      </c>
      <c r="O59" s="68">
        <v>81.851516160933571</v>
      </c>
      <c r="P59" s="69">
        <v>500.76674771949382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287">
        <v>149.92627936606368</v>
      </c>
      <c r="Y59" s="288">
        <v>269.87126140289683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324</v>
      </c>
      <c r="E60" s="68">
        <v>61.110829409089718</v>
      </c>
      <c r="F60" s="69">
        <v>469.62425060416473</v>
      </c>
      <c r="G60" s="316" t="s">
        <v>412</v>
      </c>
      <c r="H60" s="317">
        <f t="array" ref="H60:J60">LINEST(E59:E62,D59:D62^{1,2})</f>
        <v>1.3159831517958962E-4</v>
      </c>
      <c r="I60" s="317">
        <v>-6.155995211310706E-2</v>
      </c>
      <c r="J60" s="317">
        <v>67.562262537292582</v>
      </c>
      <c r="K60" s="318">
        <f>$H$60*AC34^2+$I$60*AC34+$J$60</f>
        <v>65.946720518692061</v>
      </c>
      <c r="M60" s="12"/>
      <c r="N60" s="67">
        <v>318.57365469368182</v>
      </c>
      <c r="O60" s="68">
        <v>81.06411222486777</v>
      </c>
      <c r="P60" s="69">
        <v>470.18898951735156</v>
      </c>
      <c r="Q60" s="129" t="s">
        <v>412</v>
      </c>
      <c r="R60">
        <f t="array" ref="R60:T60">LINEST(O59:O62,N59:N62^{1,2})</f>
        <v>4.3665763317716743E-5</v>
      </c>
      <c r="S60">
        <v>-2.5165414473464579E-4</v>
      </c>
      <c r="T60" s="24">
        <v>76.678071775380687</v>
      </c>
      <c r="U60" s="84">
        <f>$R$60*AC34^2+$S$60*AC34+$T$60</f>
        <v>76.705058903710452</v>
      </c>
      <c r="W60" s="232"/>
      <c r="X60" s="17">
        <v>207.42294296613554</v>
      </c>
      <c r="Y60" s="289">
        <v>344.24106644222212</v>
      </c>
      <c r="AM60" s="228" t="s">
        <v>3</v>
      </c>
      <c r="AN60" s="287">
        <v>149.92627936606368</v>
      </c>
      <c r="AO60" s="288">
        <v>722.42610700384864</v>
      </c>
    </row>
    <row r="61" spans="3:42" x14ac:dyDescent="0.15">
      <c r="C61" s="12"/>
      <c r="D61" s="67">
        <v>292.5</v>
      </c>
      <c r="E61" s="68">
        <v>60.985409403702306</v>
      </c>
      <c r="F61" s="69">
        <v>439.47511337645165</v>
      </c>
      <c r="G61" s="129" t="s">
        <v>423</v>
      </c>
      <c r="H61">
        <f t="array" ref="H61:I61">LINEST(E59:E62,D59:D62)</f>
        <v>9.0496559967216238E-3</v>
      </c>
      <c r="I61">
        <v>58.558672170948562</v>
      </c>
      <c r="K61" s="298">
        <f>H61*$AC$34+I61</f>
        <v>58.811233821992154</v>
      </c>
      <c r="M61" s="12"/>
      <c r="N61" s="67">
        <v>289.31281640836551</v>
      </c>
      <c r="O61" s="68">
        <v>80.236796311049133</v>
      </c>
      <c r="P61" s="69">
        <v>441.0612450801093</v>
      </c>
      <c r="Q61" s="129" t="s">
        <v>420</v>
      </c>
      <c r="R61">
        <f t="array" ref="R61:S61">LINEST(O59:O62,N59:N62)</f>
        <v>2.365077806030259E-2</v>
      </c>
      <c r="S61">
        <v>73.539201191246732</v>
      </c>
      <c r="T61" s="24"/>
      <c r="U61" s="84">
        <f>R61*AC34+S61</f>
        <v>74.199257171003254</v>
      </c>
      <c r="W61" s="232"/>
      <c r="X61" s="17">
        <v>261.10737691631488</v>
      </c>
      <c r="Y61" s="289">
        <v>404.74934395940249</v>
      </c>
      <c r="AM61" s="232"/>
      <c r="AN61" s="17">
        <v>207.42294296613554</v>
      </c>
      <c r="AO61" s="289">
        <v>739.53034803011769</v>
      </c>
    </row>
    <row r="62" spans="3:42" x14ac:dyDescent="0.15">
      <c r="C62" s="14"/>
      <c r="D62" s="67">
        <v>199.8</v>
      </c>
      <c r="E62" s="68">
        <v>60.500427442168004</v>
      </c>
      <c r="F62" s="69">
        <v>336.60814408776122</v>
      </c>
      <c r="G62" s="297" t="s">
        <v>462</v>
      </c>
      <c r="H62" s="2">
        <f t="array" ref="H62:I62">LINEST(E59:E62,LN(D59:D62))</f>
        <v>2.2906023494137728</v>
      </c>
      <c r="I62" s="2">
        <v>48.243889943890657</v>
      </c>
      <c r="K62" s="298">
        <f>H62*LN($AC$34)+I62</f>
        <v>55.86914169827746</v>
      </c>
      <c r="M62" s="14"/>
      <c r="N62" s="67">
        <v>207.42294296613554</v>
      </c>
      <c r="O62" s="68">
        <v>78.507118643238755</v>
      </c>
      <c r="P62" s="69">
        <v>345.32573641349239</v>
      </c>
      <c r="Q62" s="297" t="s">
        <v>462</v>
      </c>
      <c r="R62" s="2">
        <f t="array" ref="R62:S62">LINEST(O59:O62,LN(N59:N62))</f>
        <v>6.2823703283303383</v>
      </c>
      <c r="S62" s="2">
        <v>44.892705372702324</v>
      </c>
      <c r="T62" s="24"/>
      <c r="U62" s="84">
        <f>R62*LN(AC34)+S62</f>
        <v>65.806267859909497</v>
      </c>
      <c r="W62" s="232"/>
      <c r="X62" s="17">
        <v>289.31281640836551</v>
      </c>
      <c r="Y62" s="289">
        <v>441.21443337830112</v>
      </c>
      <c r="AM62" s="232"/>
      <c r="AN62" s="17">
        <v>261.10737691631488</v>
      </c>
      <c r="AO62" s="289">
        <v>717.88057288445566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17">
        <v>320.54086242225918</v>
      </c>
      <c r="Y63" s="289">
        <v>476.01090864587957</v>
      </c>
      <c r="AM63" s="232"/>
      <c r="AN63" s="17">
        <v>289.31281640836551</v>
      </c>
      <c r="AO63" s="289">
        <v>675.41900858718213</v>
      </c>
    </row>
    <row r="64" spans="3:42" x14ac:dyDescent="0.15">
      <c r="C64" s="10" t="s">
        <v>408</v>
      </c>
      <c r="D64" s="67">
        <v>281.5</v>
      </c>
      <c r="E64" s="68">
        <v>58.24228272767192</v>
      </c>
      <c r="F64" s="69">
        <v>289.3769446226944</v>
      </c>
      <c r="H64" t="s">
        <v>4</v>
      </c>
      <c r="I64" t="s">
        <v>5</v>
      </c>
      <c r="K64" s="298"/>
      <c r="M64" s="10" t="s">
        <v>408</v>
      </c>
      <c r="N64" s="67">
        <v>283.96765425773657</v>
      </c>
      <c r="O64" s="68">
        <v>77.735360552640628</v>
      </c>
      <c r="P64" s="69">
        <v>293.36943783656</v>
      </c>
      <c r="R64" t="s">
        <v>4</v>
      </c>
      <c r="S64" t="s">
        <v>5</v>
      </c>
      <c r="T64" s="24" t="s">
        <v>6</v>
      </c>
      <c r="U64" s="3"/>
      <c r="W64" s="232"/>
      <c r="X64" s="17">
        <v>348.77932335192918</v>
      </c>
      <c r="Y64" s="289">
        <v>508.64545939713418</v>
      </c>
      <c r="AM64" s="232"/>
      <c r="AN64" s="17">
        <v>320.54086242225918</v>
      </c>
      <c r="AO64" s="289">
        <v>623.23687622746013</v>
      </c>
    </row>
    <row r="65" spans="3:41" x14ac:dyDescent="0.15">
      <c r="C65" s="12"/>
      <c r="D65" s="67">
        <v>263.3</v>
      </c>
      <c r="E65" s="68">
        <v>57.721583476668464</v>
      </c>
      <c r="F65" s="69">
        <v>271.22877794721762</v>
      </c>
      <c r="G65" s="316" t="s">
        <v>412</v>
      </c>
      <c r="H65" s="317">
        <f t="array" ref="H65:J65">LINEST(E64:E67,D64:D67^{1,2})</f>
        <v>6.9041931714994414E-5</v>
      </c>
      <c r="I65" s="317">
        <v>-8.99369941815387E-3</v>
      </c>
      <c r="J65" s="317">
        <v>55.303034341627615</v>
      </c>
      <c r="K65" s="318">
        <f>$H$65*AC35^2+$I$65*AC35+$J$65</f>
        <v>55.135229121089935</v>
      </c>
      <c r="M65" s="12"/>
      <c r="N65" s="67">
        <v>261.96983501546862</v>
      </c>
      <c r="O65" s="68">
        <v>76.862945314317813</v>
      </c>
      <c r="P65" s="69">
        <v>272.85889494484417</v>
      </c>
      <c r="Q65" s="129" t="s">
        <v>412</v>
      </c>
      <c r="R65">
        <f t="array" ref="R65:T65">LINEST(O64:O67,N64:N67^{1,2})</f>
        <v>8.8477708060310498E-5</v>
      </c>
      <c r="S65">
        <v>-1.0385446984018065E-2</v>
      </c>
      <c r="T65" s="24">
        <v>73.537970177100874</v>
      </c>
      <c r="U65" s="84">
        <f>$R$65*AC35^2+$S$65*AC35+$T$65</f>
        <v>73.34865496835134</v>
      </c>
      <c r="W65" s="232"/>
      <c r="X65" s="17">
        <v>318.57365469368182</v>
      </c>
      <c r="Y65" s="289">
        <v>470.25008534934227</v>
      </c>
      <c r="AM65" s="232"/>
      <c r="AN65" s="17">
        <v>348.77932335192918</v>
      </c>
      <c r="AO65" s="289">
        <v>572.2874906916403</v>
      </c>
    </row>
    <row r="66" spans="3:41" x14ac:dyDescent="0.15">
      <c r="C66" s="12"/>
      <c r="D66" s="67">
        <v>237.6</v>
      </c>
      <c r="E66" s="68">
        <v>57.063736576510934</v>
      </c>
      <c r="F66" s="69">
        <v>247.39903203589208</v>
      </c>
      <c r="G66" s="129" t="s">
        <v>423</v>
      </c>
      <c r="H66">
        <f t="array" ref="H66:I66">LINEST(E64:E67,D64:D67)</f>
        <v>2.1304908406853763E-2</v>
      </c>
      <c r="I66">
        <v>52.137799277665401</v>
      </c>
      <c r="K66" s="298">
        <f>H66*$AC$35+I66</f>
        <v>52.618606556816445</v>
      </c>
      <c r="M66" s="12"/>
      <c r="N66" s="67">
        <v>234.55670322791551</v>
      </c>
      <c r="O66" s="68">
        <v>75.986323411337054</v>
      </c>
      <c r="P66" s="69">
        <v>250.0642668033866</v>
      </c>
      <c r="Q66" s="129" t="s">
        <v>420</v>
      </c>
      <c r="R66">
        <f t="array" ref="R66:S66">LINEST(O64:O67,N64:N67)</f>
        <v>2.9048929500162052E-2</v>
      </c>
      <c r="S66">
        <v>69.331403523358659</v>
      </c>
      <c r="T66" s="24"/>
      <c r="U66" s="84">
        <f>R66*$AC$35+S66</f>
        <v>69.986977182184177</v>
      </c>
      <c r="W66" s="290"/>
      <c r="X66" s="18">
        <v>347.55882244303535</v>
      </c>
      <c r="Y66" s="291">
        <v>500.70540336719438</v>
      </c>
      <c r="AM66" s="232"/>
      <c r="AN66" s="17">
        <v>318.57365469368182</v>
      </c>
      <c r="AO66" s="289">
        <v>618.04528681032571</v>
      </c>
    </row>
    <row r="67" spans="3:41" ht="14" thickBot="1" x14ac:dyDescent="0.2">
      <c r="C67" s="14"/>
      <c r="D67" s="67">
        <v>163.80000000000001</v>
      </c>
      <c r="E67" s="68">
        <v>55.682298664375324</v>
      </c>
      <c r="F67" s="69">
        <v>188.57183219107492</v>
      </c>
      <c r="G67" s="297" t="s">
        <v>462</v>
      </c>
      <c r="H67" s="2">
        <f t="array" ref="H67:I67">LINEST(E64:E67,LN(D64:D67))</f>
        <v>4.5248871319092387</v>
      </c>
      <c r="I67" s="2">
        <v>32.536454438084718</v>
      </c>
      <c r="K67" s="298">
        <f>H67*LN($AC$35)+I67</f>
        <v>46.638396564630781</v>
      </c>
      <c r="M67" s="14"/>
      <c r="N67" s="67">
        <v>167.45120469341205</v>
      </c>
      <c r="O67" s="68">
        <v>74.277783828246243</v>
      </c>
      <c r="P67" s="69">
        <v>194.61310189169498</v>
      </c>
      <c r="Q67" s="297" t="s">
        <v>462</v>
      </c>
      <c r="R67" s="2">
        <f t="array" ref="R67:S67">LINEST(O64:O67,LN(N64:N67))</f>
        <v>6.2653954627769073</v>
      </c>
      <c r="S67" s="2">
        <v>42.076279375547109</v>
      </c>
      <c r="T67" s="24"/>
      <c r="U67" s="84">
        <f>R67*LN($AC$35)+S67</f>
        <v>61.602566250845129</v>
      </c>
      <c r="W67" s="236"/>
      <c r="X67" s="292">
        <v>88.39543467590552</v>
      </c>
      <c r="Y67" s="293">
        <v>219.51717363439141</v>
      </c>
      <c r="AM67" s="290"/>
      <c r="AN67" s="18">
        <v>347.55882244303535</v>
      </c>
      <c r="AO67" s="291">
        <v>562.76723154802846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7"/>
      <c r="Y68" s="13"/>
      <c r="AM68" s="236"/>
      <c r="AN68" s="292">
        <v>88.39543467590552</v>
      </c>
      <c r="AO68" s="293">
        <v>748.22122088951073</v>
      </c>
    </row>
    <row r="69" spans="3:41" ht="14" thickBot="1" x14ac:dyDescent="0.2">
      <c r="C69" s="10" t="s">
        <v>409</v>
      </c>
      <c r="D69" s="67">
        <v>199.7</v>
      </c>
      <c r="E69" s="68">
        <v>52.054568508290444</v>
      </c>
      <c r="F69" s="69">
        <v>128.69163767750064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196.59593379240673</v>
      </c>
      <c r="O69" s="68">
        <v>70.294486455567011</v>
      </c>
      <c r="P69" s="69">
        <v>120.34652098211106</v>
      </c>
      <c r="R69" t="s">
        <v>4</v>
      </c>
      <c r="S69" t="s">
        <v>5</v>
      </c>
      <c r="T69" s="24" t="s">
        <v>6</v>
      </c>
      <c r="U69" s="3"/>
      <c r="W69" s="12"/>
      <c r="X69" s="16" t="s">
        <v>13</v>
      </c>
      <c r="Y69" s="11" t="s">
        <v>49</v>
      </c>
      <c r="AM69" s="12"/>
      <c r="AN69" s="17"/>
      <c r="AO69" s="13"/>
    </row>
    <row r="70" spans="3:41" ht="14" thickBot="1" x14ac:dyDescent="0.2">
      <c r="C70" s="12"/>
      <c r="D70" s="67">
        <v>189.6</v>
      </c>
      <c r="E70" s="68">
        <v>50.877843425757796</v>
      </c>
      <c r="F70" s="69">
        <v>112.55887039452776</v>
      </c>
      <c r="G70" s="316" t="s">
        <v>412</v>
      </c>
      <c r="H70" s="317">
        <f t="array" ref="H70:J70">LINEST(E69:E72,D69:D72^{1,2})</f>
        <v>6.5254221392761704E-4</v>
      </c>
      <c r="I70" s="317">
        <v>-0.18351921947972666</v>
      </c>
      <c r="J70" s="317">
        <v>62.513685753569391</v>
      </c>
      <c r="K70" s="318">
        <f>$H$70*AC36^2+$I$70*AC36+$J$70</f>
        <v>59.804842049669858</v>
      </c>
      <c r="M70" s="12"/>
      <c r="N70" s="67">
        <v>188.24966838990059</v>
      </c>
      <c r="O70" s="68">
        <v>70.39393478183564</v>
      </c>
      <c r="P70" s="69">
        <v>121.47322095590408</v>
      </c>
      <c r="Q70" s="129" t="s">
        <v>412</v>
      </c>
      <c r="R70">
        <f t="array" ref="R70:T70">LINEST(O69:O72,N69:N72^{1,2})</f>
        <v>6.1522633864861273E-5</v>
      </c>
      <c r="S70">
        <v>1.2551051384514608E-2</v>
      </c>
      <c r="T70" s="24">
        <v>65.60898642374967</v>
      </c>
      <c r="U70" s="84">
        <f>$R$70*AC36^2+$S$70*AC36+$T$70</f>
        <v>65.820176043658407</v>
      </c>
      <c r="W70" s="228" t="s">
        <v>404</v>
      </c>
      <c r="X70" s="287">
        <v>117.956213615922</v>
      </c>
      <c r="Y70" s="288">
        <v>149.69222564951269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172.1</v>
      </c>
      <c r="E71" s="68">
        <v>50.40068165114193</v>
      </c>
      <c r="F71" s="69">
        <v>106.12964882779858</v>
      </c>
      <c r="G71" s="129" t="s">
        <v>423</v>
      </c>
      <c r="H71">
        <f t="array" ref="H71:I71">LINEST(E69:E72,D69:D72)</f>
        <v>1.9689976514100441E-2</v>
      </c>
      <c r="I71">
        <v>47.493587888608069</v>
      </c>
      <c r="K71" s="298">
        <f>H71*$AC$36+I71</f>
        <v>47.801324398259382</v>
      </c>
      <c r="M71" s="12"/>
      <c r="N71" s="67">
        <v>164.38494862120547</v>
      </c>
      <c r="O71" s="68">
        <v>69.238525709591201</v>
      </c>
      <c r="P71" s="69">
        <v>108.17336872060635</v>
      </c>
      <c r="Q71" s="129" t="s">
        <v>420</v>
      </c>
      <c r="R71">
        <f t="array" ref="R71:S71">LINEST(O69:O72,N69:N72)</f>
        <v>3.1870958627067944E-2</v>
      </c>
      <c r="S71">
        <v>64.153635278266677</v>
      </c>
      <c r="T71" s="24"/>
      <c r="U71" s="84">
        <f>R71*AC36+S71</f>
        <v>64.651749512182178</v>
      </c>
      <c r="W71" s="232"/>
      <c r="X71" s="17">
        <v>167.45120469341205</v>
      </c>
      <c r="Y71" s="289">
        <v>194.21295707561856</v>
      </c>
      <c r="AM71" s="228" t="s">
        <v>404</v>
      </c>
      <c r="AN71" s="287">
        <v>117.956213615922</v>
      </c>
      <c r="AO71" s="288">
        <v>480.47740951140975</v>
      </c>
    </row>
    <row r="72" spans="3:41" x14ac:dyDescent="0.15">
      <c r="C72" s="14"/>
      <c r="D72" s="67">
        <v>116.3</v>
      </c>
      <c r="E72" s="68">
        <v>49.985155052847965</v>
      </c>
      <c r="F72" s="69">
        <v>85.326812740785954</v>
      </c>
      <c r="G72" s="297" t="s">
        <v>462</v>
      </c>
      <c r="H72" s="2">
        <f t="array" ref="H72:I72">LINEST(E69:E72,LN(D69:D72))</f>
        <v>2.8809246720542263</v>
      </c>
      <c r="I72" s="2">
        <v>36.103728955610414</v>
      </c>
      <c r="K72" s="298">
        <f>H72*LN($AC$36)+I72</f>
        <v>44.023777582213832</v>
      </c>
      <c r="M72" s="14"/>
      <c r="N72" s="67">
        <v>119.65707821171999</v>
      </c>
      <c r="O72" s="68">
        <v>68.005684116574912</v>
      </c>
      <c r="P72" s="69">
        <v>85.810867205336919</v>
      </c>
      <c r="Q72" s="297" t="s">
        <v>462</v>
      </c>
      <c r="R72" s="2">
        <f t="array" ref="R72:S72">LINEST(O69:O72,LN(N69:N72))</f>
        <v>4.8783884094532386</v>
      </c>
      <c r="S72" s="2">
        <v>44.596351357752141</v>
      </c>
      <c r="T72" s="24"/>
      <c r="U72" s="84">
        <f>R72*LN($AC$36)+S72</f>
        <v>58.007695915670837</v>
      </c>
      <c r="W72" s="232"/>
      <c r="X72" s="17">
        <v>209.867282129915</v>
      </c>
      <c r="Y72" s="289">
        <v>226.86308284600184</v>
      </c>
      <c r="AM72" s="232"/>
      <c r="AN72" s="17">
        <v>167.45120469341205</v>
      </c>
      <c r="AO72" s="289">
        <v>499.25319556455048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17">
        <v>234.55670322791551</v>
      </c>
      <c r="Y73" s="289">
        <v>250.01490513085002</v>
      </c>
      <c r="AM73" s="232"/>
      <c r="AN73" s="17">
        <v>209.867282129915</v>
      </c>
      <c r="AO73" s="289">
        <v>489.60273417160482</v>
      </c>
    </row>
    <row r="74" spans="3:41" x14ac:dyDescent="0.15">
      <c r="C74" s="10" t="s">
        <v>410</v>
      </c>
      <c r="D74" s="67">
        <v>120.9</v>
      </c>
      <c r="E74" s="68">
        <v>42.714217266282517</v>
      </c>
      <c r="F74" s="69">
        <v>42.308179527845539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120.06691977873932</v>
      </c>
      <c r="O74" s="68">
        <v>60.277409039035533</v>
      </c>
      <c r="P74" s="69">
        <v>42.25542567916542</v>
      </c>
      <c r="R74" t="s">
        <v>4</v>
      </c>
      <c r="S74" t="s">
        <v>5</v>
      </c>
      <c r="T74" s="24" t="s">
        <v>6</v>
      </c>
      <c r="W74" s="232"/>
      <c r="X74" s="17">
        <v>285.05414656505906</v>
      </c>
      <c r="Y74" s="289">
        <v>291.75989245361296</v>
      </c>
      <c r="AM74" s="232"/>
      <c r="AN74" s="17">
        <v>234.55670322791551</v>
      </c>
      <c r="AO74" s="289">
        <v>465.36220734164971</v>
      </c>
    </row>
    <row r="75" spans="3:41" x14ac:dyDescent="0.15">
      <c r="C75" s="12"/>
      <c r="D75" s="67">
        <v>111.7</v>
      </c>
      <c r="E75" s="68">
        <v>41.582199094486363</v>
      </c>
      <c r="F75" s="69">
        <v>40.495302050898424</v>
      </c>
      <c r="G75" s="316" t="s">
        <v>412</v>
      </c>
      <c r="H75" s="317">
        <f t="array" ref="H75:J75">LINEST(E74:E77,D74:D77^{1,2})</f>
        <v>1.902347406649211E-3</v>
      </c>
      <c r="I75" s="317">
        <v>-0.33291713030740883</v>
      </c>
      <c r="J75" s="317">
        <v>55.121889541939801</v>
      </c>
      <c r="K75" s="318">
        <f>$H$75*AC37^2+$I$75*AC37+$J$75</f>
        <v>51.76561436427582</v>
      </c>
      <c r="M75" s="12"/>
      <c r="N75" s="67">
        <v>110.21384224054002</v>
      </c>
      <c r="O75" s="68">
        <v>59.745318906529754</v>
      </c>
      <c r="P75" s="69">
        <v>41.173680053971971</v>
      </c>
      <c r="R75">
        <f t="array" ref="R75:T75">LINEST(O74:O77,N74:N77^{1,2})</f>
        <v>3.2824702902644714E-4</v>
      </c>
      <c r="S75">
        <v>-1.7144705829168654E-2</v>
      </c>
      <c r="T75" s="24">
        <v>57.615783132893725</v>
      </c>
      <c r="U75" s="84">
        <f>$R$75*AC37^2+$S$75*AC37+$T$75</f>
        <v>57.469505402470581</v>
      </c>
      <c r="W75" s="232"/>
      <c r="X75" s="17">
        <v>262.71629311714196</v>
      </c>
      <c r="Y75" s="289">
        <v>272.36127011804143</v>
      </c>
      <c r="AM75" s="232"/>
      <c r="AN75" s="17">
        <v>285.05414656505906</v>
      </c>
      <c r="AO75" s="289">
        <v>405.83209680812467</v>
      </c>
    </row>
    <row r="76" spans="3:41" x14ac:dyDescent="0.15">
      <c r="C76" s="12"/>
      <c r="D76" s="67">
        <v>102.2</v>
      </c>
      <c r="E76" s="68">
        <v>41.026264842676959</v>
      </c>
      <c r="F76" s="69">
        <v>37.460548315091366</v>
      </c>
      <c r="G76" s="129" t="s">
        <v>423</v>
      </c>
      <c r="H76">
        <f t="array" ref="H76:I76">LINEST(E74:E77,D74:D77)</f>
        <v>3.5780633026119293E-2</v>
      </c>
      <c r="I76">
        <v>37.86855731228237</v>
      </c>
      <c r="K76" s="298">
        <f>H76*$AC$37+I76</f>
        <v>38.252862923163477</v>
      </c>
      <c r="M76" s="12"/>
      <c r="N76" s="67">
        <v>101.54208149102088</v>
      </c>
      <c r="O76" s="68">
        <v>59.237513523597116</v>
      </c>
      <c r="P76" s="69">
        <v>38.90352411116335</v>
      </c>
      <c r="Q76" s="129" t="s">
        <v>420</v>
      </c>
      <c r="R76">
        <f t="array" ref="R76:S76">LINEST(O74:O77,N74:N77)</f>
        <v>4.4751210043568197E-2</v>
      </c>
      <c r="S76">
        <v>54.820194958958702</v>
      </c>
      <c r="T76" s="24"/>
      <c r="U76" s="84">
        <f>R76*AC37+S76</f>
        <v>55.300849985405769</v>
      </c>
      <c r="W76" s="290"/>
      <c r="X76" s="18">
        <v>261.96983501546862</v>
      </c>
      <c r="Y76" s="291">
        <v>272.86710131104024</v>
      </c>
      <c r="AM76" s="232"/>
      <c r="AN76" s="17">
        <v>262.71629311714196</v>
      </c>
      <c r="AO76" s="289">
        <v>432.65135686837277</v>
      </c>
    </row>
    <row r="77" spans="3:41" x14ac:dyDescent="0.15">
      <c r="C77" s="14"/>
      <c r="D77" s="67">
        <v>75.400000000000006</v>
      </c>
      <c r="E77" s="68">
        <v>40.82876371299777</v>
      </c>
      <c r="F77" s="69">
        <v>31.856143614151943</v>
      </c>
      <c r="G77" s="297" t="s">
        <v>462</v>
      </c>
      <c r="H77" s="2">
        <f t="array" ref="H77:I77">LINEST(E74:E77,LN(D74:D77))</f>
        <v>3.2580688437372398</v>
      </c>
      <c r="I77" s="2">
        <v>26.501450441601413</v>
      </c>
      <c r="J77" s="25"/>
      <c r="K77" s="298">
        <f>H77*LN($AC$37)+I77</f>
        <v>34.236207944194241</v>
      </c>
      <c r="M77" s="14"/>
      <c r="N77" s="67">
        <v>71.51080035745774</v>
      </c>
      <c r="O77" s="68">
        <v>58.0702069810362</v>
      </c>
      <c r="P77" s="69">
        <v>32.284243019271635</v>
      </c>
      <c r="Q77" s="297" t="s">
        <v>462</v>
      </c>
      <c r="R77" s="2">
        <f t="array" ref="R77:S77">LINEST(O74:O77,LN(N74:N77))</f>
        <v>4.0905879464247681</v>
      </c>
      <c r="S77" s="2">
        <v>40.53554897522703</v>
      </c>
      <c r="T77" s="26"/>
      <c r="U77" s="84">
        <f>R77*LN($AC$37)+S77</f>
        <v>50.246732908446731</v>
      </c>
      <c r="W77" s="232"/>
      <c r="X77" s="17">
        <v>283.96765425773657</v>
      </c>
      <c r="Y77" s="289">
        <v>293.34861075163002</v>
      </c>
      <c r="AM77" s="290"/>
      <c r="AN77" s="18">
        <v>261.96983501546862</v>
      </c>
      <c r="AO77" s="291">
        <v>433.6376239036544</v>
      </c>
    </row>
    <row r="78" spans="3:41" ht="14" thickBot="1" x14ac:dyDescent="0.2">
      <c r="W78" s="236"/>
      <c r="X78" s="292">
        <v>69.746589293639971</v>
      </c>
      <c r="Y78" s="293">
        <v>122.34343264857729</v>
      </c>
      <c r="AM78" s="232"/>
      <c r="AN78" s="17">
        <v>283.96765425773657</v>
      </c>
      <c r="AO78" s="289">
        <v>410.00831718529457</v>
      </c>
    </row>
    <row r="79" spans="3:41" ht="14" thickBot="1" x14ac:dyDescent="0.2">
      <c r="F79" s="5"/>
      <c r="W79" s="12"/>
      <c r="X79" s="17"/>
      <c r="Y79" s="13"/>
      <c r="AM79" s="236"/>
      <c r="AN79" s="292"/>
      <c r="AO79" s="293"/>
    </row>
    <row r="80" spans="3:41" ht="14" thickBot="1" x14ac:dyDescent="0.2">
      <c r="F80" s="5"/>
      <c r="W80" s="12"/>
      <c r="X80" s="16" t="s">
        <v>13</v>
      </c>
      <c r="Y80" s="11" t="s">
        <v>49</v>
      </c>
      <c r="AM80" s="12"/>
      <c r="AN80" s="17"/>
      <c r="AO80" s="13"/>
    </row>
    <row r="81" spans="6:41" ht="14" thickBot="1" x14ac:dyDescent="0.2">
      <c r="F81" s="5"/>
      <c r="W81" s="228" t="s">
        <v>411</v>
      </c>
      <c r="X81" s="287">
        <v>81.276712462616203</v>
      </c>
      <c r="Y81" s="288">
        <v>68.338082142436136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17">
        <v>119.65707821171999</v>
      </c>
      <c r="Y82" s="289">
        <v>85.817945626993549</v>
      </c>
      <c r="AM82" s="228" t="s">
        <v>411</v>
      </c>
      <c r="AN82" s="287">
        <v>81.276712462616203</v>
      </c>
      <c r="AO82" s="288">
        <v>265.00501232977552</v>
      </c>
    </row>
    <row r="83" spans="6:41" x14ac:dyDescent="0.15">
      <c r="W83" s="232"/>
      <c r="X83" s="17">
        <v>150.59712190136415</v>
      </c>
      <c r="Y83" s="289">
        <v>100.58211420649553</v>
      </c>
      <c r="AM83" s="232"/>
      <c r="AN83" s="17">
        <v>119.65707821171999</v>
      </c>
      <c r="AO83" s="289">
        <v>275.72121747030798</v>
      </c>
    </row>
    <row r="84" spans="6:41" x14ac:dyDescent="0.15">
      <c r="W84" s="232"/>
      <c r="X84" s="17">
        <v>164.38494862120547</v>
      </c>
      <c r="Y84" s="289">
        <v>108.18499603886791</v>
      </c>
      <c r="AM84" s="232"/>
      <c r="AN84" s="17">
        <v>150.59712190136415</v>
      </c>
      <c r="AO84" s="289">
        <v>277.98938334266228</v>
      </c>
    </row>
    <row r="85" spans="6:41" x14ac:dyDescent="0.15">
      <c r="W85" s="232"/>
      <c r="X85" s="17">
        <v>191.8026926749649</v>
      </c>
      <c r="Y85" s="289">
        <v>122.06707576044337</v>
      </c>
      <c r="AM85" s="232"/>
      <c r="AN85" s="17">
        <v>164.38494862120547</v>
      </c>
      <c r="AO85" s="289">
        <v>260.1718305683068</v>
      </c>
    </row>
    <row r="86" spans="6:41" x14ac:dyDescent="0.15">
      <c r="W86" s="232"/>
      <c r="X86" s="17">
        <v>202.10154643378257</v>
      </c>
      <c r="Y86" s="289">
        <v>127.03579746433738</v>
      </c>
      <c r="AM86" s="232"/>
      <c r="AN86" s="17">
        <v>191.8026926749649</v>
      </c>
      <c r="AO86" s="289">
        <v>256.38645724089372</v>
      </c>
    </row>
    <row r="87" spans="6:41" x14ac:dyDescent="0.15">
      <c r="F87" s="5"/>
      <c r="W87" s="290"/>
      <c r="X87" s="18">
        <v>188.24966838990059</v>
      </c>
      <c r="Y87" s="291">
        <v>121.47438704053738</v>
      </c>
      <c r="AM87" s="232"/>
      <c r="AN87" s="17">
        <v>202.10154643378257</v>
      </c>
      <c r="AO87" s="289">
        <v>247.75451315166487</v>
      </c>
    </row>
    <row r="88" spans="6:41" ht="14" thickBot="1" x14ac:dyDescent="0.2">
      <c r="F88" s="5"/>
      <c r="W88" s="236"/>
      <c r="X88" s="292">
        <v>196.59593379240673</v>
      </c>
      <c r="Y88" s="293">
        <v>120.34526296527847</v>
      </c>
      <c r="AM88" s="290"/>
      <c r="AN88" s="18">
        <v>188.24966838990059</v>
      </c>
      <c r="AO88" s="291">
        <v>256.27772092943292</v>
      </c>
    </row>
    <row r="89" spans="6:41" ht="14" thickBot="1" x14ac:dyDescent="0.2">
      <c r="F89" s="5"/>
      <c r="W89" s="12"/>
      <c r="X89" s="17"/>
      <c r="Y89" s="13"/>
      <c r="AM89" s="236"/>
      <c r="AN89" s="292">
        <v>196.59593379240673</v>
      </c>
      <c r="AO89" s="293">
        <v>237.96625636891571</v>
      </c>
    </row>
    <row r="90" spans="6:41" ht="14" thickBot="1" x14ac:dyDescent="0.2">
      <c r="F90" s="5"/>
      <c r="W90" s="12"/>
      <c r="X90" s="17"/>
      <c r="Y90" s="13"/>
      <c r="AM90" s="12"/>
      <c r="AN90" s="17"/>
      <c r="AO90" s="13"/>
    </row>
    <row r="91" spans="6:41" ht="14" thickBot="1" x14ac:dyDescent="0.2">
      <c r="F91" s="5"/>
      <c r="W91" s="228"/>
      <c r="X91" s="320" t="s">
        <v>13</v>
      </c>
      <c r="Y91" s="321" t="s">
        <v>49</v>
      </c>
      <c r="AM91" s="12"/>
      <c r="AN91" s="17"/>
      <c r="AO91" s="13"/>
    </row>
    <row r="92" spans="6:41" x14ac:dyDescent="0.15">
      <c r="F92" s="5"/>
      <c r="W92" s="322" t="s">
        <v>409</v>
      </c>
      <c r="X92" s="19">
        <v>49.906264553821721</v>
      </c>
      <c r="Y92" s="323">
        <v>27.789129554462839</v>
      </c>
      <c r="AM92" s="228"/>
      <c r="AN92" s="320" t="s">
        <v>13</v>
      </c>
      <c r="AO92" s="11" t="s">
        <v>516</v>
      </c>
    </row>
    <row r="93" spans="6:41" x14ac:dyDescent="0.15">
      <c r="F93" s="5"/>
      <c r="W93" s="232"/>
      <c r="X93" s="17">
        <v>71.51080035745774</v>
      </c>
      <c r="Y93" s="289">
        <v>32.284696155606284</v>
      </c>
      <c r="AM93" s="322" t="s">
        <v>517</v>
      </c>
      <c r="AN93" s="19">
        <v>49.906264553821721</v>
      </c>
      <c r="AO93" s="323">
        <v>115.4382451776105</v>
      </c>
    </row>
    <row r="94" spans="6:41" x14ac:dyDescent="0.15">
      <c r="F94" s="5"/>
      <c r="W94" s="232"/>
      <c r="X94" s="17">
        <v>90.043158959485879</v>
      </c>
      <c r="Y94" s="289">
        <v>35.64020826027015</v>
      </c>
      <c r="AM94" s="232"/>
      <c r="AN94" s="17">
        <v>71.51080035745774</v>
      </c>
      <c r="AO94" s="289">
        <v>116.49698561821329</v>
      </c>
    </row>
    <row r="95" spans="6:41" x14ac:dyDescent="0.15">
      <c r="F95" s="5"/>
      <c r="W95" s="232"/>
      <c r="X95" s="17">
        <v>101.54208149102088</v>
      </c>
      <c r="Y95" s="289">
        <v>38.902321225263641</v>
      </c>
      <c r="AM95" s="232"/>
      <c r="AN95" s="17">
        <v>90.043158959485879</v>
      </c>
      <c r="AO95" s="289">
        <v>119.17840227299482</v>
      </c>
    </row>
    <row r="96" spans="6:41" x14ac:dyDescent="0.15">
      <c r="F96" s="5"/>
      <c r="W96" s="232"/>
      <c r="X96" s="17">
        <v>119.0326314099045</v>
      </c>
      <c r="Y96" s="289">
        <v>42.421503042537594</v>
      </c>
      <c r="AM96" s="232"/>
      <c r="AN96" s="17">
        <v>101.54208149102088</v>
      </c>
      <c r="AO96" s="289">
        <v>118.07500366378952</v>
      </c>
    </row>
    <row r="97" spans="6:41" x14ac:dyDescent="0.15">
      <c r="F97" s="5"/>
      <c r="W97" s="232"/>
      <c r="X97" s="17">
        <v>110.21384224054002</v>
      </c>
      <c r="Y97" s="289">
        <v>41.173887650695342</v>
      </c>
      <c r="AM97" s="232"/>
      <c r="AN97" s="17">
        <v>119.0326314099045</v>
      </c>
      <c r="AO97" s="289">
        <v>114.88763761184336</v>
      </c>
    </row>
    <row r="98" spans="6:41" ht="14" thickBot="1" x14ac:dyDescent="0.2">
      <c r="F98" s="5"/>
      <c r="W98" s="236"/>
      <c r="X98" s="292">
        <v>120.06691977873932</v>
      </c>
      <c r="Y98" s="293">
        <v>42.255082918151238</v>
      </c>
      <c r="AM98" s="232"/>
      <c r="AN98" s="17">
        <v>110.21384224054002</v>
      </c>
      <c r="AO98" s="289">
        <v>116.44711487432268</v>
      </c>
    </row>
    <row r="99" spans="6:41" ht="14" thickBot="1" x14ac:dyDescent="0.2">
      <c r="F99" s="5"/>
      <c r="AM99" s="236"/>
      <c r="AN99" s="292">
        <v>120.06691977873932</v>
      </c>
      <c r="AO99" s="293">
        <v>113.88939116261066</v>
      </c>
    </row>
  </sheetData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1CB61-A207-49B1-B7C9-CD148CB33789}">
  <sheetPr codeName="Taul12"/>
  <dimension ref="B1:AU100"/>
  <sheetViews>
    <sheetView zoomScale="70" zoomScaleNormal="70" workbookViewId="0">
      <selection activeCell="U38" sqref="U38:AE38"/>
    </sheetView>
  </sheetViews>
  <sheetFormatPr baseColWidth="10" defaultColWidth="8.83203125" defaultRowHeight="13" x14ac:dyDescent="0.15"/>
  <cols>
    <col min="7" max="7" width="10.5" customWidth="1"/>
    <col min="16" max="16" width="10.83203125" customWidth="1"/>
    <col min="17" max="17" width="12.33203125" bestFit="1" customWidth="1"/>
    <col min="18" max="18" width="12.6640625" bestFit="1" customWidth="1"/>
    <col min="19" max="20" width="9" bestFit="1" customWidth="1"/>
    <col min="22" max="22" width="13" customWidth="1"/>
    <col min="25" max="25" width="10" customWidth="1"/>
  </cols>
  <sheetData>
    <row r="1" spans="2:38" x14ac:dyDescent="0.15">
      <c r="P1" t="s">
        <v>518</v>
      </c>
    </row>
    <row r="2" spans="2:38" x14ac:dyDescent="0.15">
      <c r="C2" s="2" t="s">
        <v>59</v>
      </c>
      <c r="J2" t="s">
        <v>15</v>
      </c>
      <c r="P2" s="259">
        <f t="array" ref="P2:R2">LINEST(AL34:AL37,AC34:AC37^{1,2})</f>
        <v>0.37836075014939463</v>
      </c>
      <c r="Q2" s="259">
        <v>13.466869211089174</v>
      </c>
      <c r="R2" s="259">
        <v>-70.658639995165004</v>
      </c>
      <c r="V2" t="s">
        <v>519</v>
      </c>
      <c r="W2" s="84">
        <f>P2*J3^2+Q2*J3+R2</f>
        <v>96.032520462415562</v>
      </c>
      <c r="X2" t="s">
        <v>14</v>
      </c>
    </row>
    <row r="3" spans="2:38" x14ac:dyDescent="0.15">
      <c r="J3" s="7">
        <f>'R-series ALU'!G33</f>
        <v>9.7222222222222214</v>
      </c>
      <c r="K3" t="s">
        <v>13</v>
      </c>
      <c r="L3" s="122">
        <f>'R-series ALU'!G39</f>
        <v>100</v>
      </c>
      <c r="M3" t="s">
        <v>14</v>
      </c>
      <c r="P3" t="s">
        <v>34</v>
      </c>
      <c r="AA3" s="2" t="s">
        <v>53</v>
      </c>
    </row>
    <row r="4" spans="2:38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30</v>
      </c>
      <c r="AB4" s="62"/>
      <c r="AC4" s="61" t="s">
        <v>30</v>
      </c>
      <c r="AD4" s="63"/>
      <c r="AE4" s="61" t="s">
        <v>405</v>
      </c>
      <c r="AF4" s="63"/>
      <c r="AG4" s="62" t="s">
        <v>406</v>
      </c>
      <c r="AH4" s="63"/>
      <c r="AJ4" s="2" t="s">
        <v>30</v>
      </c>
      <c r="AK4" s="2"/>
      <c r="AL4" s="2"/>
    </row>
    <row r="5" spans="2:38" x14ac:dyDescent="0.15">
      <c r="C5" t="s">
        <v>2</v>
      </c>
      <c r="D5" s="1"/>
      <c r="E5" s="1"/>
      <c r="H5" s="1"/>
      <c r="P5" s="52">
        <f t="array" ref="P5:Q5">LINEST(AF34:AF37,LN(AC34:AC37))</f>
        <v>18.392515149019982</v>
      </c>
      <c r="Q5" s="52">
        <v>-4.2076997120203714</v>
      </c>
      <c r="R5" t="s">
        <v>8</v>
      </c>
      <c r="T5" s="4"/>
      <c r="U5" s="39" t="s">
        <v>43</v>
      </c>
      <c r="V5" t="s">
        <v>8</v>
      </c>
      <c r="W5" s="9">
        <f>$P$5*LN($J$3)+$Q$5</f>
        <v>37.624498211409062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J5" s="2">
        <f t="array" ref="AJ5:AL5">LINEST(AA6:AA12,AB6:AB12^{1,2})</f>
        <v>-5.3124999999999943E-3</v>
      </c>
      <c r="AK5" s="2">
        <v>0.4448106060606038</v>
      </c>
      <c r="AL5" s="2">
        <v>359.59848484848504</v>
      </c>
    </row>
    <row r="6" spans="2:38" x14ac:dyDescent="0.15">
      <c r="C6" s="2" t="s">
        <v>3</v>
      </c>
      <c r="D6" s="1"/>
      <c r="E6" s="1"/>
      <c r="H6" s="1"/>
      <c r="P6" s="52">
        <f t="array" ref="P6:Q6">LINEST(AG34:AG37,LN(AC34:AC37))</f>
        <v>21.339208268399272</v>
      </c>
      <c r="Q6" s="52">
        <v>1.3370955830213092</v>
      </c>
      <c r="R6" t="s">
        <v>57</v>
      </c>
      <c r="T6" s="4"/>
      <c r="U6" s="39" t="s">
        <v>43</v>
      </c>
      <c r="V6" t="s">
        <v>57</v>
      </c>
      <c r="W6" s="9">
        <f>$P$6*LN($J$3)+$Q$6</f>
        <v>49.871294227436977</v>
      </c>
      <c r="X6" t="s">
        <v>31</v>
      </c>
      <c r="AA6" s="55">
        <v>25</v>
      </c>
      <c r="AB6" s="56">
        <f>(-$D$15-SQRT($D$15^2-(4*$C$15*($E$15-AA6))))/(2*$C$15)</f>
        <v>296.29699977143565</v>
      </c>
      <c r="AC6" s="55">
        <f>AA6</f>
        <v>25</v>
      </c>
      <c r="AD6" s="57">
        <f>AB6</f>
        <v>296.29699977143565</v>
      </c>
      <c r="AE6" s="55">
        <v>10</v>
      </c>
      <c r="AF6" s="57">
        <f t="shared" ref="AF6:AF11" si="0">(-$D$19-SQRT($D$19^2-(4*$C$19*($E$19-AE6))))/(2*$C$19)</f>
        <v>231.45482058174542</v>
      </c>
      <c r="AG6" s="56">
        <v>10</v>
      </c>
      <c r="AH6" s="57">
        <f>(-$D$24-SQRT($D$24^2-(4*$C$24*($E$24-AG6))))/(2*$C$24)</f>
        <v>137.79479127749656</v>
      </c>
    </row>
    <row r="7" spans="2:38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ref="AB7:AB12" si="1">(-$D$15-SQRT($D$15^2-(4*$C$15*($E$15-AA7))))/(2*$C$15)</f>
        <v>266.84949561947269</v>
      </c>
      <c r="AC7" s="55">
        <f t="shared" ref="AC7:AC12" si="2">AA7</f>
        <v>100</v>
      </c>
      <c r="AD7" s="57">
        <f t="shared" ref="AD7:AD12" si="3">AB7</f>
        <v>266.84949561947269</v>
      </c>
      <c r="AE7" s="55">
        <v>50</v>
      </c>
      <c r="AF7" s="57">
        <f t="shared" si="0"/>
        <v>211.56213987435652</v>
      </c>
      <c r="AG7" s="56">
        <v>20</v>
      </c>
      <c r="AH7" s="57">
        <f>(-$D$24-SQRT($D$24^2-(4*$C$24*($E$24-AG7))))/(2*$C$24)</f>
        <v>129.5056281141523</v>
      </c>
    </row>
    <row r="8" spans="2:38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1"/>
        <v>220.17522952287823</v>
      </c>
      <c r="AC8" s="55">
        <f t="shared" si="2"/>
        <v>200</v>
      </c>
      <c r="AD8" s="57">
        <f t="shared" si="3"/>
        <v>220.17522952287823</v>
      </c>
      <c r="AE8" s="55">
        <v>90</v>
      </c>
      <c r="AF8" s="57">
        <f t="shared" si="0"/>
        <v>189.11321368100411</v>
      </c>
      <c r="AG8" s="56">
        <v>40</v>
      </c>
      <c r="AH8" s="57">
        <f>(-$D$24-SQRT($D$24^2-(4*$C$24*($E$24-AG8))))/(2*$C$24)</f>
        <v>110.92570358593754</v>
      </c>
    </row>
    <row r="9" spans="2:38" x14ac:dyDescent="0.15">
      <c r="C9" s="8">
        <v>-6.8139688100984433E-3</v>
      </c>
      <c r="D9" s="8">
        <v>1.1893599597777449</v>
      </c>
      <c r="E9" s="8">
        <v>585.33805908380089</v>
      </c>
      <c r="H9" s="2"/>
      <c r="P9" t="s">
        <v>415</v>
      </c>
      <c r="Q9" s="52">
        <f t="array" ref="Q9:R9">LINEST(AC35:AC37,U35:U37)</f>
        <v>2.7286260130508846</v>
      </c>
      <c r="R9" s="52">
        <v>-1.8224395304643206</v>
      </c>
      <c r="T9" s="111">
        <f>(J3-R9)/Q9</f>
        <v>4.2309432283753763</v>
      </c>
      <c r="U9" s="39" t="s">
        <v>42</v>
      </c>
      <c r="V9" t="s">
        <v>58</v>
      </c>
      <c r="W9" s="125">
        <f>IF($J$3&gt;$AJ$35,AVERAGE(T10,T11,T11),AVERAGE(T9,T9,T11))</f>
        <v>4.2277239687228612</v>
      </c>
      <c r="X9" t="s">
        <v>25</v>
      </c>
      <c r="Y9" t="str">
        <f>IF(W9&gt;10,"Ei käyttöalueella","OK")</f>
        <v>OK</v>
      </c>
      <c r="AA9" s="55">
        <v>230</v>
      </c>
      <c r="AB9" s="56">
        <f t="shared" si="1"/>
        <v>203.56687017959618</v>
      </c>
      <c r="AC9" s="55">
        <f t="shared" si="2"/>
        <v>230</v>
      </c>
      <c r="AD9" s="57">
        <f t="shared" si="3"/>
        <v>203.56687017959618</v>
      </c>
      <c r="AE9" s="55">
        <v>130</v>
      </c>
      <c r="AF9" s="57">
        <f t="shared" si="0"/>
        <v>162.761483860868</v>
      </c>
      <c r="AG9" s="56">
        <v>60</v>
      </c>
      <c r="AH9" s="57">
        <f>(-$D$24-SQRT($D$24^2-(4*$C$24*($E$24-AG9))))/(2*$C$24)</f>
        <v>88.098495554899614</v>
      </c>
    </row>
    <row r="10" spans="2:38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1.2762882805153166</v>
      </c>
      <c r="R10" s="52">
        <v>11.248600062355793</v>
      </c>
      <c r="T10" s="111">
        <f>(J3-R10)/Q10</f>
        <v>-1.1959506824878767</v>
      </c>
      <c r="W10" t="b">
        <f>IF(AND(W9&lt;=7.51,J3&gt;=W11),TRUE,FALSE)</f>
        <v>0</v>
      </c>
      <c r="AA10" s="55">
        <v>270</v>
      </c>
      <c r="AB10" s="56">
        <f t="shared" si="1"/>
        <v>178.31318398600729</v>
      </c>
      <c r="AC10" s="55">
        <f t="shared" si="2"/>
        <v>270</v>
      </c>
      <c r="AD10" s="57">
        <f t="shared" si="3"/>
        <v>178.31318398600729</v>
      </c>
      <c r="AE10" s="55">
        <v>170</v>
      </c>
      <c r="AF10" s="57">
        <f t="shared" si="0"/>
        <v>129.26947010597144</v>
      </c>
      <c r="AG10" s="56">
        <v>80</v>
      </c>
      <c r="AH10" s="57">
        <f>(-$D$24-SQRT($D$24^2-(4*$C$24*($E$24-AG10))))/(2*$C$24)</f>
        <v>55.102547399007342</v>
      </c>
    </row>
    <row r="11" spans="2:38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4.4360931098632395E-3</v>
      </c>
      <c r="R11" s="7">
        <v>0.24860552171499872</v>
      </c>
      <c r="S11" s="7">
        <v>1.3849806812332401</v>
      </c>
      <c r="T11" s="111">
        <f>Q11*J3^2+R11*J3+S11</f>
        <v>4.2212854494178309</v>
      </c>
      <c r="V11" t="s">
        <v>348</v>
      </c>
      <c r="W11" s="294">
        <v>40</v>
      </c>
      <c r="X11" t="s">
        <v>13</v>
      </c>
      <c r="AA11" s="55">
        <v>300</v>
      </c>
      <c r="AB11" s="56">
        <f t="shared" si="1"/>
        <v>155.75560277579419</v>
      </c>
      <c r="AC11" s="55">
        <f t="shared" si="2"/>
        <v>300</v>
      </c>
      <c r="AD11" s="57">
        <f t="shared" si="3"/>
        <v>155.75560277579419</v>
      </c>
      <c r="AE11" s="55">
        <v>200</v>
      </c>
      <c r="AF11" s="57">
        <f t="shared" si="0"/>
        <v>92.408694768599474</v>
      </c>
      <c r="AG11" s="56"/>
      <c r="AH11" s="57"/>
    </row>
    <row r="12" spans="2:38" x14ac:dyDescent="0.15">
      <c r="C12" t="s">
        <v>11</v>
      </c>
      <c r="D12" s="1"/>
      <c r="E12" s="1"/>
      <c r="H12" s="1"/>
      <c r="P12" s="2" t="s">
        <v>51</v>
      </c>
      <c r="AA12" s="58">
        <v>340</v>
      </c>
      <c r="AB12" s="59">
        <f t="shared" si="1"/>
        <v>115.63284896931589</v>
      </c>
      <c r="AC12" s="58">
        <f t="shared" si="2"/>
        <v>340</v>
      </c>
      <c r="AD12" s="60">
        <f t="shared" si="3"/>
        <v>115.63284896931589</v>
      </c>
      <c r="AE12" s="58"/>
      <c r="AF12" s="60"/>
      <c r="AG12" s="59"/>
      <c r="AH12" s="60"/>
    </row>
    <row r="13" spans="2:38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-0.6640176679296641</v>
      </c>
      <c r="Q13" s="51">
        <v>24.777996128718478</v>
      </c>
      <c r="R13" s="51">
        <v>-160.27368491835747</v>
      </c>
      <c r="U13" s="39" t="s">
        <v>43</v>
      </c>
      <c r="V13" t="s">
        <v>58</v>
      </c>
      <c r="W13" s="295">
        <f>P18</f>
        <v>16.849582822181617</v>
      </c>
      <c r="X13" t="s">
        <v>49</v>
      </c>
      <c r="Y13" s="129" t="s">
        <v>414</v>
      </c>
    </row>
    <row r="14" spans="2:38" ht="14" thickBot="1" x14ac:dyDescent="0.2">
      <c r="C14" s="8">
        <v>-5.1982094538708086E-3</v>
      </c>
      <c r="D14" s="8">
        <v>0.42948298029178672</v>
      </c>
      <c r="E14" s="8">
        <v>423.15812764411237</v>
      </c>
      <c r="H14" s="2"/>
      <c r="O14" t="s">
        <v>413</v>
      </c>
      <c r="P14">
        <f t="array" ref="P14:S14">LINEST(AE34:AE37,AC34:AC37^{1,2,3})</f>
        <v>-0.1612003754232319</v>
      </c>
      <c r="Q14">
        <v>7.3605201313344395</v>
      </c>
      <c r="R14">
        <v>-100.58465797693809</v>
      </c>
      <c r="S14">
        <v>446.15460740017829</v>
      </c>
      <c r="V14" t="s">
        <v>52</v>
      </c>
      <c r="W14" s="296">
        <f>IF(W13&gt;Y14,Y14,W13)</f>
        <v>16.849582822181617</v>
      </c>
      <c r="X14" t="s">
        <v>49</v>
      </c>
      <c r="Y14" s="129">
        <v>516</v>
      </c>
      <c r="Z14" t="s">
        <v>49</v>
      </c>
    </row>
    <row r="15" spans="2:38" x14ac:dyDescent="0.15">
      <c r="B15" s="446" t="s">
        <v>9</v>
      </c>
      <c r="C15" s="446">
        <v>-5.3124999999999943E-3</v>
      </c>
      <c r="D15" s="446">
        <v>0.44481060606060391</v>
      </c>
      <c r="E15" s="446">
        <v>359.59848484848504</v>
      </c>
      <c r="H15" s="2"/>
    </row>
    <row r="16" spans="2:38" x14ac:dyDescent="0.15">
      <c r="C16" s="2" t="s">
        <v>10</v>
      </c>
      <c r="D16" s="1"/>
      <c r="E16" s="1"/>
      <c r="H16" s="1"/>
      <c r="O16" t="s">
        <v>412</v>
      </c>
      <c r="P16" s="3">
        <f>$P$13*J3^2+$Q$13*J3+$R$13</f>
        <v>17.859483986325358</v>
      </c>
      <c r="Q16" t="s">
        <v>49</v>
      </c>
    </row>
    <row r="17" spans="3:42" x14ac:dyDescent="0.15">
      <c r="C17" t="s">
        <v>11</v>
      </c>
      <c r="D17" s="1"/>
      <c r="E17" s="1"/>
      <c r="H17" s="1"/>
      <c r="O17" t="s">
        <v>413</v>
      </c>
      <c r="P17" s="3">
        <f>$P$14*J3^3+$Q$14*J3^2+$R$14*J3+$S$14</f>
        <v>15.839681658037875</v>
      </c>
      <c r="Q17" t="s">
        <v>49</v>
      </c>
    </row>
    <row r="18" spans="3:42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16.849582822181617</v>
      </c>
      <c r="Q18" t="s">
        <v>49</v>
      </c>
    </row>
    <row r="19" spans="3:42" x14ac:dyDescent="0.15">
      <c r="C19" s="8">
        <v>-5.4076220456380723E-3</v>
      </c>
      <c r="D19" s="8">
        <v>0.38487845486233063</v>
      </c>
      <c r="E19" s="8">
        <v>210.6115528773266</v>
      </c>
      <c r="AB19" s="6"/>
      <c r="AC19" s="6"/>
    </row>
    <row r="20" spans="3:42" x14ac:dyDescent="0.15">
      <c r="C20" s="2"/>
      <c r="D20" s="2"/>
      <c r="E20" s="2"/>
      <c r="H20" s="1"/>
      <c r="AB20" s="6"/>
      <c r="AC20" s="6"/>
    </row>
    <row r="21" spans="3:42" x14ac:dyDescent="0.15">
      <c r="C21" s="2" t="s">
        <v>12</v>
      </c>
      <c r="D21" s="1"/>
      <c r="E21" s="1"/>
      <c r="H21" s="1"/>
      <c r="AB21" s="6"/>
      <c r="AC21" s="6"/>
    </row>
    <row r="22" spans="3:42" x14ac:dyDescent="0.15">
      <c r="C22" t="s">
        <v>11</v>
      </c>
      <c r="D22" s="1"/>
      <c r="E22" s="1"/>
      <c r="H22" s="1"/>
      <c r="AB22" s="6"/>
      <c r="AC22" s="6"/>
    </row>
    <row r="23" spans="3:42" x14ac:dyDescent="0.15">
      <c r="C23" t="s">
        <v>4</v>
      </c>
      <c r="D23" t="s">
        <v>5</v>
      </c>
      <c r="E23" t="s">
        <v>6</v>
      </c>
      <c r="H23" s="1"/>
    </row>
    <row r="24" spans="3:42" x14ac:dyDescent="0.15">
      <c r="C24" s="8">
        <v>-4.8369249344508451E-3</v>
      </c>
      <c r="D24" s="8">
        <v>8.6517666071401517E-2</v>
      </c>
      <c r="E24" s="8">
        <v>89.918966543950177</v>
      </c>
      <c r="H24" s="1"/>
    </row>
    <row r="25" spans="3:42" x14ac:dyDescent="0.15">
      <c r="G25" s="2"/>
      <c r="H25" s="1"/>
    </row>
    <row r="27" spans="3:42" x14ac:dyDescent="0.15">
      <c r="U27" t="s">
        <v>407</v>
      </c>
    </row>
    <row r="28" spans="3:42" x14ac:dyDescent="0.15">
      <c r="U28" s="4" t="s">
        <v>17</v>
      </c>
    </row>
    <row r="29" spans="3:42" x14ac:dyDescent="0.15">
      <c r="U29" s="4">
        <f>L3/J3^2</f>
        <v>1.0579591836734694</v>
      </c>
      <c r="AP29" s="2" t="s">
        <v>1155</v>
      </c>
    </row>
    <row r="31" spans="3:42" x14ac:dyDescent="0.15">
      <c r="U31" s="2" t="s">
        <v>16</v>
      </c>
      <c r="AP31" s="2" t="s">
        <v>1110</v>
      </c>
    </row>
    <row r="32" spans="3:4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P33" s="2" t="s">
        <v>1107</v>
      </c>
      <c r="AS33" t="s">
        <v>1115</v>
      </c>
    </row>
    <row r="34" spans="21:47" x14ac:dyDescent="0.15">
      <c r="U34" s="35">
        <v>10</v>
      </c>
      <c r="V34" s="98">
        <f>C9</f>
        <v>-6.8139688100984433E-3</v>
      </c>
      <c r="W34" s="99">
        <f>D9</f>
        <v>1.1893599597777449</v>
      </c>
      <c r="X34" s="100">
        <f>E9</f>
        <v>585.33805908380089</v>
      </c>
      <c r="Y34" s="36">
        <f>C9-U29</f>
        <v>-1.064773152483568</v>
      </c>
      <c r="Z34" s="28">
        <f>(-W34+SQRT(W34^2-(4*Y34*X34)))/(2*Y34)</f>
        <v>-22.894475026915327</v>
      </c>
      <c r="AA34" s="29">
        <f>(-W34-SQRT(W34^2-(4*Y34*X34)))/(2*Y34)</f>
        <v>24.01148286750896</v>
      </c>
      <c r="AB34" s="36">
        <f>AB6</f>
        <v>296.29699977143565</v>
      </c>
      <c r="AC34" s="53">
        <f>IF(Z34&lt;0,AA34,IF(Z34&gt;AB34,AA34,Z34))</f>
        <v>24.01148286750896</v>
      </c>
      <c r="AD34" s="53">
        <f>V34*AC34^2+W34*AC34+X34</f>
        <v>609.96775274097354</v>
      </c>
      <c r="AE34" s="53">
        <f>X51*AC34^2+Y51*AC34+Z51</f>
        <v>43.051213943230458</v>
      </c>
      <c r="AF34" s="53">
        <f>AVERAGE(K61:K62,K61)</f>
        <v>55.316352024496155</v>
      </c>
      <c r="AG34" s="53">
        <f>AVERAGE(U61:U62,U61)</f>
        <v>70.115281502624441</v>
      </c>
      <c r="AI34">
        <v>10</v>
      </c>
      <c r="AJ34" s="3">
        <f>AC34</f>
        <v>24.01148286750896</v>
      </c>
      <c r="AL34">
        <f>AN52*AC34^2+AO52*AC34+AP52</f>
        <v>475.51062366911606</v>
      </c>
      <c r="AM34" t="s">
        <v>14</v>
      </c>
      <c r="AP34" s="616">
        <f>AC38/$J$3-1</f>
        <v>0.91320200649799355</v>
      </c>
      <c r="AS34" s="278" t="b">
        <f>IF(AP36&gt;AC38,FALSE,TRUE)</f>
        <v>1</v>
      </c>
      <c r="AT34" t="s">
        <v>1117</v>
      </c>
    </row>
    <row r="35" spans="21:47" x14ac:dyDescent="0.15">
      <c r="U35" s="35">
        <v>8</v>
      </c>
      <c r="V35" s="98">
        <f>C14</f>
        <v>-5.1982094538708086E-3</v>
      </c>
      <c r="W35" s="99">
        <f>D14</f>
        <v>0.42948298029178672</v>
      </c>
      <c r="X35" s="100">
        <f>E14</f>
        <v>423.15812764411237</v>
      </c>
      <c r="Y35" s="36">
        <f>C14-U29</f>
        <v>-1.0631573931273401</v>
      </c>
      <c r="Z35" s="28">
        <f t="shared" ref="Z35:Z37" si="4">(-W35+SQRT(W35^2-(4*Y35*X35)))/(2*Y35)</f>
        <v>-19.749481612874817</v>
      </c>
      <c r="AA35" s="29">
        <f t="shared" ref="AA35:AA37" si="5">(-W35-SQRT(W35^2-(4*Y35*X35)))/(2*Y35)</f>
        <v>20.153450943350371</v>
      </c>
      <c r="AB35" s="36">
        <f>AD6</f>
        <v>296.29699977143565</v>
      </c>
      <c r="AC35" s="53">
        <f t="shared" ref="AC35:AC38" si="6">IF(Z35&lt;0,AA35,IF(Z35&gt;AB35,AA35,Z35))</f>
        <v>20.153450943350371</v>
      </c>
      <c r="AD35" s="53">
        <f>V35*AC35^2+W35*AC35+X35</f>
        <v>429.70237882786518</v>
      </c>
      <c r="AE35" s="53">
        <f t="shared" ref="AE35:AE37" si="7">X52*AC35^2+Y52*AC35+Z52</f>
        <v>89.072205189462082</v>
      </c>
      <c r="AF35" s="53">
        <f>AVERAGE(K66:K67,K66)</f>
        <v>48.764322781411657</v>
      </c>
      <c r="AG35" s="53">
        <f>AVERAGE(U66:U67,U66)</f>
        <v>64.073692420927784</v>
      </c>
      <c r="AI35">
        <v>9</v>
      </c>
      <c r="AJ35" s="3">
        <f>Q9*AI35+R9</f>
        <v>22.735194586993643</v>
      </c>
      <c r="AL35">
        <f t="shared" ref="AL35:AL37" si="8">AN53*AC35^2+AO53*AC35+AP53</f>
        <v>343.97582932918669</v>
      </c>
      <c r="AM35" t="s">
        <v>14</v>
      </c>
      <c r="AP35" t="s">
        <v>1114</v>
      </c>
      <c r="AS35" t="s">
        <v>1116</v>
      </c>
    </row>
    <row r="36" spans="21:47" x14ac:dyDescent="0.15">
      <c r="U36" s="35">
        <v>6</v>
      </c>
      <c r="V36" s="98">
        <f>C19</f>
        <v>-5.4076220456380723E-3</v>
      </c>
      <c r="W36" s="99">
        <f>D19</f>
        <v>0.38487845486233063</v>
      </c>
      <c r="X36" s="100">
        <f>E19</f>
        <v>210.6115528773266</v>
      </c>
      <c r="Y36" s="36">
        <f>C19-U29</f>
        <v>-1.0633668057191075</v>
      </c>
      <c r="Z36" s="28">
        <f t="shared" si="4"/>
        <v>-13.893608542795951</v>
      </c>
      <c r="AA36" s="29">
        <f t="shared" si="5"/>
        <v>14.255551809025757</v>
      </c>
      <c r="AB36" s="36">
        <f>AF6</f>
        <v>231.45482058174542</v>
      </c>
      <c r="AC36" s="53">
        <f t="shared" si="6"/>
        <v>14.255551809025757</v>
      </c>
      <c r="AD36" s="53">
        <f>V36*AC36^2+W36*AC36+X36</f>
        <v>214.99926658305597</v>
      </c>
      <c r="AE36" s="53">
        <f t="shared" si="7"/>
        <v>41.073918083666413</v>
      </c>
      <c r="AF36" s="53">
        <f>AVERAGE(K71:K72,K71)</f>
        <v>46.40116648892424</v>
      </c>
      <c r="AG36" s="53">
        <f>AVERAGE(U71:U72,U71)</f>
        <v>58.377835198318827</v>
      </c>
      <c r="AI36">
        <v>8</v>
      </c>
      <c r="AJ36" s="3">
        <f>AC35</f>
        <v>20.153450943350371</v>
      </c>
      <c r="AL36">
        <f t="shared" si="8"/>
        <v>207.19647532769284</v>
      </c>
      <c r="AM36" t="s">
        <v>14</v>
      </c>
      <c r="AP36" s="279">
        <f>Tulokset!$CS$16</f>
        <v>11.666666666666666</v>
      </c>
      <c r="AQ36" t="s">
        <v>13</v>
      </c>
      <c r="AS36" s="627">
        <f>IF($AP$36&gt;$AJ$35,AVERAGE(AS40,AS41,AS41),AVERAGE(AS39,AS39,AS41))</f>
        <v>4.9254283930252125</v>
      </c>
      <c r="AT36" t="s">
        <v>25</v>
      </c>
    </row>
    <row r="37" spans="21:47" x14ac:dyDescent="0.15">
      <c r="U37" s="38">
        <v>4</v>
      </c>
      <c r="V37" s="101">
        <f>C24</f>
        <v>-4.8369249344508451E-3</v>
      </c>
      <c r="W37" s="102">
        <f>D24</f>
        <v>8.6517666071401517E-2</v>
      </c>
      <c r="X37" s="103">
        <f>E24</f>
        <v>89.918966543950177</v>
      </c>
      <c r="Y37" s="37">
        <f>C24-U29</f>
        <v>-1.0627961086079203</v>
      </c>
      <c r="Z37" s="30">
        <f t="shared" si="4"/>
        <v>-9.1575411865430354</v>
      </c>
      <c r="AA37" s="31">
        <f t="shared" si="5"/>
        <v>9.2389468911468331</v>
      </c>
      <c r="AB37" s="37">
        <f>AH6</f>
        <v>137.79479127749656</v>
      </c>
      <c r="AC37" s="53">
        <f t="shared" si="6"/>
        <v>9.2389468911468331</v>
      </c>
      <c r="AD37" s="53">
        <f>V37*AC37^2+W37*AC37+X37</f>
        <v>90.305427751862467</v>
      </c>
      <c r="AE37" s="53">
        <f t="shared" si="7"/>
        <v>18.012869316484739</v>
      </c>
      <c r="AF37" s="53">
        <f>AVERAGE(K76:K77,K76)</f>
        <v>36.154228418302132</v>
      </c>
      <c r="AG37" s="53">
        <f>AVERAGE(U76:U77,U76)</f>
        <v>48.846181490727112</v>
      </c>
      <c r="AI37">
        <v>6</v>
      </c>
      <c r="AJ37" s="3">
        <f t="shared" ref="AJ37:AJ38" si="9">AC36</f>
        <v>14.255551809025757</v>
      </c>
      <c r="AL37">
        <f t="shared" si="8"/>
        <v>82.85015609148266</v>
      </c>
      <c r="AM37" t="s">
        <v>14</v>
      </c>
      <c r="AP37" s="279">
        <f>Tulokset!$CS$17</f>
        <v>143.99999999999997</v>
      </c>
      <c r="AQ37" t="s">
        <v>14</v>
      </c>
    </row>
    <row r="38" spans="21:47" x14ac:dyDescent="0.15">
      <c r="U38" s="639">
        <v>7.5</v>
      </c>
      <c r="V38" s="633">
        <f>C15</f>
        <v>-5.3124999999999943E-3</v>
      </c>
      <c r="W38" s="634">
        <f t="shared" ref="W38:X38" si="10">D15</f>
        <v>0.44481060606060391</v>
      </c>
      <c r="X38" s="635">
        <f t="shared" si="10"/>
        <v>359.59848484848504</v>
      </c>
      <c r="Y38" s="636">
        <f>C15-U29</f>
        <v>-1.0632716836734695</v>
      </c>
      <c r="Z38" s="637">
        <f>(-W38+SQRT(W38^2-(4*Y38*X38)))/(2*Y38)</f>
        <v>-18.182233624302189</v>
      </c>
      <c r="AA38" s="638">
        <f t="shared" ref="AA38" si="11">(-W38-SQRT(W38^2-(4*Y38*X38)))/(2*Y38)</f>
        <v>18.600575063174936</v>
      </c>
      <c r="AB38" s="636">
        <f>AD6</f>
        <v>296.29699977143565</v>
      </c>
      <c r="AC38" s="53">
        <f t="shared" si="6"/>
        <v>18.600575063174936</v>
      </c>
      <c r="AD38" s="53">
        <f>V38*AC38^2+W38*AC38+X38</f>
        <v>366.03419176679489</v>
      </c>
      <c r="AE38" s="2" t="s">
        <v>1156</v>
      </c>
      <c r="AI38">
        <v>4</v>
      </c>
      <c r="AJ38" s="3">
        <f t="shared" si="9"/>
        <v>9.2389468911468331</v>
      </c>
      <c r="AS38" s="4" t="s">
        <v>418</v>
      </c>
    </row>
    <row r="39" spans="21:47" x14ac:dyDescent="0.15">
      <c r="AR39" t="s">
        <v>415</v>
      </c>
      <c r="AS39" s="111">
        <f>(AP36-R9)/Q9</f>
        <v>4.943552591162458</v>
      </c>
      <c r="AT39" t="s">
        <v>25</v>
      </c>
      <c r="AU39" t="s">
        <v>1148</v>
      </c>
    </row>
    <row r="40" spans="21:47" x14ac:dyDescent="0.15">
      <c r="U40" s="2" t="s">
        <v>35</v>
      </c>
      <c r="W40" t="s">
        <v>36</v>
      </c>
      <c r="AR40" t="s">
        <v>416</v>
      </c>
      <c r="AS40" s="111">
        <f>(AP36-R10)/Q10</f>
        <v>0.32756439959009381</v>
      </c>
      <c r="AT40" t="s">
        <v>25</v>
      </c>
      <c r="AU40" t="s">
        <v>1146</v>
      </c>
    </row>
    <row r="41" spans="21:47" x14ac:dyDescent="0.15">
      <c r="AR41" t="s">
        <v>417</v>
      </c>
      <c r="AS41" s="111">
        <f>Q11*AP36^2+R11*AP36+S11</f>
        <v>4.8891799967507215</v>
      </c>
      <c r="AT41" t="s">
        <v>25</v>
      </c>
      <c r="AU41" t="s">
        <v>1147</v>
      </c>
    </row>
    <row r="42" spans="21:47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7" x14ac:dyDescent="0.15">
      <c r="U43" s="10" t="s">
        <v>55</v>
      </c>
      <c r="V43" s="21"/>
      <c r="W43" s="49">
        <v>16</v>
      </c>
      <c r="X43" s="49">
        <v>13</v>
      </c>
      <c r="Y43" s="49">
        <v>0</v>
      </c>
      <c r="Z43" s="49">
        <v>-4</v>
      </c>
      <c r="AA43" s="49">
        <v>-9</v>
      </c>
      <c r="AB43" s="49">
        <v>-14</v>
      </c>
      <c r="AC43" s="49">
        <v>-23</v>
      </c>
      <c r="AD43" s="49">
        <v>-32</v>
      </c>
      <c r="AE43" s="39" t="s">
        <v>42</v>
      </c>
      <c r="AF43" s="53">
        <f>$W$5+W43</f>
        <v>53.624498211409062</v>
      </c>
      <c r="AG43" s="53">
        <f t="shared" ref="AG43:AM43" si="12">$W$5+X43</f>
        <v>50.624498211409062</v>
      </c>
      <c r="AH43" s="53">
        <f t="shared" si="12"/>
        <v>37.624498211409062</v>
      </c>
      <c r="AI43" s="53">
        <f t="shared" si="12"/>
        <v>33.624498211409062</v>
      </c>
      <c r="AJ43" s="53">
        <f t="shared" si="12"/>
        <v>28.624498211409062</v>
      </c>
      <c r="AK43" s="53">
        <f t="shared" si="12"/>
        <v>23.624498211409062</v>
      </c>
      <c r="AL43" s="53">
        <f t="shared" si="12"/>
        <v>14.624498211409062</v>
      </c>
      <c r="AM43" s="53">
        <f t="shared" si="12"/>
        <v>5.6244982114090618</v>
      </c>
      <c r="AN43" s="5">
        <f t="array" ref="AN43">10*LOG10(SUM(10^(AF43:AM43/10)))</f>
        <v>55.50142566656028</v>
      </c>
      <c r="AO43" s="5">
        <f t="array" ref="AO43">10*LOG10(SUM(10^((AF43:AM43+AF46:AM46)/10)))</f>
        <v>38.034614296129121</v>
      </c>
      <c r="AP43" t="str">
        <f>IF(ABS(W5-AO43)&lt;0.5,"OK","Tarkista laskenta!")</f>
        <v>OK</v>
      </c>
    </row>
    <row r="44" spans="21:47" x14ac:dyDescent="0.15">
      <c r="U44" s="14" t="s">
        <v>56</v>
      </c>
      <c r="V44" s="26"/>
      <c r="W44" s="49">
        <v>8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57.871294227436977</v>
      </c>
      <c r="AG44" s="53">
        <f t="shared" ref="AG44:AM44" si="13">$W$6+X44</f>
        <v>57.871294227436977</v>
      </c>
      <c r="AH44" s="53">
        <f t="shared" si="13"/>
        <v>48.871294227436977</v>
      </c>
      <c r="AI44" s="53">
        <f t="shared" si="13"/>
        <v>45.871294227436977</v>
      </c>
      <c r="AJ44" s="53">
        <f t="shared" si="13"/>
        <v>44.871294227436977</v>
      </c>
      <c r="AK44" s="53">
        <f t="shared" si="13"/>
        <v>39.871294227436977</v>
      </c>
      <c r="AL44" s="53">
        <f t="shared" si="13"/>
        <v>35.871294227436977</v>
      </c>
      <c r="AM44" s="53">
        <f t="shared" si="13"/>
        <v>33.871294227436977</v>
      </c>
      <c r="AN44" s="5">
        <f t="array" ref="AN44">10*LOG10(SUM(10^(AF44:AM44/10)))</f>
        <v>61.422449053821531</v>
      </c>
      <c r="AO44" s="5">
        <f t="array" ref="AO44">10*LOG10(SUM(10^((AF44:AM44+AF46:AM46)/10)))</f>
        <v>49.818343961480657</v>
      </c>
      <c r="AP44" t="str">
        <f>IF(ABS(W6-AO44)&lt;0.5,"OK","Tarkista laskenta!")</f>
        <v>OK</v>
      </c>
    </row>
    <row r="46" spans="21:47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LINEST(Y59:Y66,X59:X66^{1,2})</f>
        <v>-1.297803923722612E-3</v>
      </c>
      <c r="Y51" s="54">
        <v>1.9037936039080579</v>
      </c>
      <c r="Z51" s="54">
        <v>-1.9134430085888141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LINEST(Y69:Y77,X69:X77^{1,2})</f>
        <v>8.0724924119134826E-4</v>
      </c>
      <c r="Y52" s="54">
        <v>0.52076468277130405</v>
      </c>
      <c r="Z52" s="54">
        <v>78.249126070968572</v>
      </c>
      <c r="AM52" t="s">
        <v>3</v>
      </c>
      <c r="AN52" s="54">
        <f t="array" ref="AN52:AP52">LINEST(AO60:AO67,AN60:AN67^{1,2})</f>
        <v>-7.6219320066368427E-3</v>
      </c>
      <c r="AO52" s="54">
        <v>3.112898616363355</v>
      </c>
      <c r="AP52" s="54">
        <v>405.15974675333609</v>
      </c>
    </row>
    <row r="53" spans="3:42" x14ac:dyDescent="0.15">
      <c r="W53" t="s">
        <v>10</v>
      </c>
      <c r="X53" s="54">
        <f t="array" ref="X53:Z53">LINEST(Y80:Y87,X80:X87^{1,2})</f>
        <v>5.289034105752118E-4</v>
      </c>
      <c r="Y53" s="54">
        <v>0.32101065752599756</v>
      </c>
      <c r="Z53" s="54">
        <v>36.390249872377268</v>
      </c>
      <c r="AM53" t="s">
        <v>114</v>
      </c>
      <c r="AN53" s="54">
        <f t="array" ref="AN53:AP53">LINEST(AO71:AO76,AN71:AN76^{1,2})</f>
        <v>-5.7282510079486471E-3</v>
      </c>
      <c r="AO53" s="54">
        <v>1.9785546048957781</v>
      </c>
      <c r="AP53" s="54">
        <v>306.42772166892223</v>
      </c>
    </row>
    <row r="54" spans="3:42" x14ac:dyDescent="0.15">
      <c r="W54" t="s">
        <v>12</v>
      </c>
      <c r="X54" s="54">
        <f t="array" ref="X54:Z54">LINEST(Y91:Y97,X91:X97^{1,2})</f>
        <v>-1.3773357689846413E-4</v>
      </c>
      <c r="Y54" s="54">
        <v>0.23027944916167101</v>
      </c>
      <c r="Z54" s="54">
        <v>15.897086397449931</v>
      </c>
      <c r="AM54" t="s">
        <v>10</v>
      </c>
      <c r="AN54" s="54">
        <f t="array" ref="AN54:AP54">LINEST(AO82:AO87,AN82:AN87^{1,2})</f>
        <v>-4.2804853752422449E-3</v>
      </c>
      <c r="AO54" s="54">
        <v>1.051247887022948</v>
      </c>
      <c r="AP54" s="54">
        <v>193.08024009001832</v>
      </c>
    </row>
    <row r="55" spans="3:42" x14ac:dyDescent="0.15">
      <c r="AM55" t="s">
        <v>12</v>
      </c>
      <c r="AN55" s="54">
        <f t="array" ref="AN55:AP55">LINEST(AO93:AO98,AN93:AN98^{1,2})</f>
        <v>-5.0878603192212905E-3</v>
      </c>
      <c r="AO55" s="54">
        <v>0.86558669554021606</v>
      </c>
      <c r="AP55" s="54">
        <v>75.287336873388924</v>
      </c>
    </row>
    <row r="56" spans="3:42" x14ac:dyDescent="0.15">
      <c r="C56" s="2" t="s">
        <v>45</v>
      </c>
    </row>
    <row r="57" spans="3:42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366.3</v>
      </c>
      <c r="E59" s="68">
        <v>62.097783424500207</v>
      </c>
      <c r="F59" s="69">
        <v>515.99235857408132</v>
      </c>
      <c r="H59" t="s">
        <v>4</v>
      </c>
      <c r="I59" t="s">
        <v>5</v>
      </c>
      <c r="K59" s="27" t="s">
        <v>424</v>
      </c>
      <c r="M59" s="10" t="s">
        <v>3</v>
      </c>
      <c r="N59" s="67">
        <v>367.27606807457477</v>
      </c>
      <c r="O59" s="68">
        <v>82.689090072186829</v>
      </c>
      <c r="P59" s="69">
        <v>515.99235857408132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68">
        <v>180.92175344436646</v>
      </c>
      <c r="Y59" s="68">
        <v>302.32759265404218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341.4</v>
      </c>
      <c r="E60" s="68">
        <v>61.404747810618019</v>
      </c>
      <c r="F60" s="69">
        <v>499.98917692950459</v>
      </c>
      <c r="G60" s="316" t="s">
        <v>412</v>
      </c>
      <c r="H60" s="317">
        <f t="array" ref="H60:J60">LINEST(E59:E62,D59:D62^{1,2})</f>
        <v>1.384028324719925E-4</v>
      </c>
      <c r="I60" s="317">
        <v>-6.6728935884296917E-2</v>
      </c>
      <c r="J60" s="317">
        <v>67.996996899777869</v>
      </c>
      <c r="K60" s="318">
        <f>$H$60*AC34^2+$I$60*AC34+$J$60</f>
        <v>66.474532533324748</v>
      </c>
      <c r="M60" s="12"/>
      <c r="N60" s="67">
        <v>341.06998870275049</v>
      </c>
      <c r="O60" s="68">
        <v>82.105276378556539</v>
      </c>
      <c r="P60" s="69">
        <v>499.98917692950459</v>
      </c>
      <c r="Q60" s="316" t="s">
        <v>412</v>
      </c>
      <c r="R60" s="317">
        <f t="array" ref="R60:T60">LINEST(O59:O62,N59:N62^{1,2})</f>
        <v>-8.8356876630416958E-6</v>
      </c>
      <c r="S60" s="317">
        <v>3.0904101697611534E-2</v>
      </c>
      <c r="T60" s="319">
        <v>72.550846806097766</v>
      </c>
      <c r="U60" s="84">
        <f>$R$60*AC34^2+$S$60*AC34+$T$60</f>
        <v>73.287805887253285</v>
      </c>
      <c r="W60" s="232"/>
      <c r="X60" s="68">
        <v>223.5792236627149</v>
      </c>
      <c r="Y60" s="68">
        <v>356.54486395172677</v>
      </c>
      <c r="AM60" s="228" t="s">
        <v>3</v>
      </c>
      <c r="AN60" s="68">
        <v>180.92175344436646</v>
      </c>
      <c r="AO60" s="288">
        <v>721.34661173481254</v>
      </c>
    </row>
    <row r="61" spans="3:42" x14ac:dyDescent="0.15">
      <c r="C61" s="12"/>
      <c r="D61" s="67">
        <v>309.8</v>
      </c>
      <c r="E61" s="68">
        <v>60.573303422326219</v>
      </c>
      <c r="F61" s="69">
        <v>457.54888920061728</v>
      </c>
      <c r="G61" s="129" t="s">
        <v>423</v>
      </c>
      <c r="H61">
        <f t="array" ref="H61:I61">LINEST(E59:E62,D59:D62)</f>
        <v>1.3453221095910938E-2</v>
      </c>
      <c r="I61">
        <v>56.856792112511286</v>
      </c>
      <c r="K61" s="298">
        <f>H61*$AC$34+I61</f>
        <v>57.179823900368561</v>
      </c>
      <c r="M61" s="12"/>
      <c r="N61" s="67">
        <v>303.07324445507652</v>
      </c>
      <c r="O61" s="68">
        <v>81.080240846621081</v>
      </c>
      <c r="P61" s="69">
        <v>457.54888920061728</v>
      </c>
      <c r="Q61" s="129" t="s">
        <v>420</v>
      </c>
      <c r="R61">
        <f t="array" ref="R61:S61">LINEST(O59:O62,N59:N62)</f>
        <v>2.5736507270352857E-2</v>
      </c>
      <c r="S61">
        <v>73.278097500272963</v>
      </c>
      <c r="T61" s="24"/>
      <c r="U61" s="84">
        <f>R61*AC34+S61</f>
        <v>73.896069203664567</v>
      </c>
      <c r="W61" s="232"/>
      <c r="X61" s="68">
        <v>277.77636826296043</v>
      </c>
      <c r="Y61" s="68">
        <v>421.03669396837233</v>
      </c>
      <c r="AM61" s="232"/>
      <c r="AN61" s="68">
        <v>223.5792236627149</v>
      </c>
      <c r="AO61" s="289">
        <v>715.9378701953035</v>
      </c>
    </row>
    <row r="62" spans="3:42" x14ac:dyDescent="0.15">
      <c r="C62" s="14"/>
      <c r="D62" s="67">
        <v>221</v>
      </c>
      <c r="E62" s="68">
        <v>60.013148119886417</v>
      </c>
      <c r="F62" s="69">
        <v>356.54486395172677</v>
      </c>
      <c r="G62" s="297" t="s">
        <v>462</v>
      </c>
      <c r="H62" s="2">
        <f t="array" ref="H62:I62">LINEST(E59:E62,LN(D59:D62))</f>
        <v>3.7150068381495589</v>
      </c>
      <c r="I62" s="2">
        <v>39.781139530608449</v>
      </c>
      <c r="K62" s="298">
        <f>H62*LN($AC$34)+I62</f>
        <v>51.589408272751321</v>
      </c>
      <c r="M62" s="14"/>
      <c r="N62" s="67">
        <v>223.5792236627149</v>
      </c>
      <c r="O62" s="68">
        <v>79.022331218565611</v>
      </c>
      <c r="P62" s="69">
        <v>356.54486395172677</v>
      </c>
      <c r="Q62" s="297" t="s">
        <v>462</v>
      </c>
      <c r="R62" s="2">
        <f t="array" ref="R62:S62">LINEST(O59:O62,LN(N59:N62))</f>
        <v>7.359429369270396</v>
      </c>
      <c r="S62" s="2">
        <v>39.161523106757379</v>
      </c>
      <c r="T62" s="24"/>
      <c r="U62" s="84">
        <f>R62*LN(AC34)+S62</f>
        <v>62.55370610054419</v>
      </c>
      <c r="W62" s="232"/>
      <c r="X62" s="68">
        <v>303.07324445507652</v>
      </c>
      <c r="Y62" s="68">
        <v>457.54888920061728</v>
      </c>
      <c r="AM62" s="232"/>
      <c r="AN62" s="68">
        <v>277.77636826296043</v>
      </c>
      <c r="AO62" s="289">
        <v>682.75011971480819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68">
        <v>344.00846492037118</v>
      </c>
      <c r="Y63" s="68">
        <v>508.8924685660923</v>
      </c>
      <c r="AM63" s="232"/>
      <c r="AN63" s="68">
        <v>303.07324445507652</v>
      </c>
      <c r="AO63" s="289">
        <v>645.18533974845593</v>
      </c>
    </row>
    <row r="64" spans="3:42" x14ac:dyDescent="0.15">
      <c r="C64" s="10" t="s">
        <v>408</v>
      </c>
      <c r="D64" s="67">
        <v>304</v>
      </c>
      <c r="E64" s="68">
        <v>58.341740546145942</v>
      </c>
      <c r="F64" s="69">
        <v>311.04275486404356</v>
      </c>
      <c r="H64" t="s">
        <v>4</v>
      </c>
      <c r="I64" t="s">
        <v>5</v>
      </c>
      <c r="K64" s="298"/>
      <c r="M64" s="10" t="s">
        <v>408</v>
      </c>
      <c r="N64" s="67">
        <v>306.42216557619219</v>
      </c>
      <c r="O64" s="68">
        <v>78.99039262930242</v>
      </c>
      <c r="P64" s="69">
        <v>311.04275486404356</v>
      </c>
      <c r="R64" t="s">
        <v>4</v>
      </c>
      <c r="S64" t="s">
        <v>5</v>
      </c>
      <c r="T64" s="24" t="s">
        <v>6</v>
      </c>
      <c r="U64" s="3"/>
      <c r="W64" s="232"/>
      <c r="X64" s="68">
        <v>367.18361972524661</v>
      </c>
      <c r="Y64" s="68">
        <v>519.47729833181302</v>
      </c>
      <c r="AM64" s="232"/>
      <c r="AN64" s="68">
        <v>344.00846492037118</v>
      </c>
      <c r="AO64" s="289">
        <v>586.03019621125861</v>
      </c>
    </row>
    <row r="65" spans="3:41" x14ac:dyDescent="0.15">
      <c r="C65" s="12"/>
      <c r="D65" s="67">
        <v>281.7</v>
      </c>
      <c r="E65" s="68">
        <v>57.377484119444958</v>
      </c>
      <c r="F65" s="69">
        <v>289.48558554113851</v>
      </c>
      <c r="G65" s="316" t="s">
        <v>412</v>
      </c>
      <c r="H65" s="317">
        <f t="array" ref="H65:J65">LINEST(E64:E67,D64:D67^{1,2})</f>
        <v>1.7903146769029964E-4</v>
      </c>
      <c r="I65" s="317">
        <v>-6.2196267539453211E-2</v>
      </c>
      <c r="J65" s="317">
        <v>60.700059629450521</v>
      </c>
      <c r="K65" s="318">
        <f>$H$65*AC35^2+$I$65*AC35+$J$65</f>
        <v>59.519305907403378</v>
      </c>
      <c r="M65" s="12"/>
      <c r="N65" s="67">
        <v>280.37540028596254</v>
      </c>
      <c r="O65" s="68">
        <v>78.069558159890079</v>
      </c>
      <c r="P65" s="69">
        <v>289.48558554113851</v>
      </c>
      <c r="Q65" s="316" t="s">
        <v>412</v>
      </c>
      <c r="R65" s="317">
        <f t="array" ref="R65:T65">LINEST(O64:O67,N64:N67^{1,2})</f>
        <v>-2.4721772854465293E-5</v>
      </c>
      <c r="S65" s="317">
        <v>4.8827308589329932E-2</v>
      </c>
      <c r="T65" s="319">
        <v>66.34164448711266</v>
      </c>
      <c r="U65" s="84">
        <f>$R$65*AC35^2+$S$65*AC35+$T$65</f>
        <v>67.315642221018805</v>
      </c>
      <c r="W65" s="232"/>
      <c r="X65" s="68">
        <v>341.06998870275049</v>
      </c>
      <c r="Y65" s="68">
        <v>499.98917692950459</v>
      </c>
      <c r="AM65" s="232"/>
      <c r="AN65" s="68">
        <v>367.18361972524661</v>
      </c>
      <c r="AO65" s="289">
        <v>518.51525144517996</v>
      </c>
    </row>
    <row r="66" spans="3:41" x14ac:dyDescent="0.15">
      <c r="C66" s="12"/>
      <c r="D66" s="67">
        <v>255.1</v>
      </c>
      <c r="E66" s="68">
        <v>56.489949323611974</v>
      </c>
      <c r="F66" s="69">
        <v>260.47989897572495</v>
      </c>
      <c r="G66" s="129" t="s">
        <v>423</v>
      </c>
      <c r="H66">
        <f t="array" ref="H66:I66">LINEST(E64:E67,D64:D67)</f>
        <v>2.3251260708397729E-2</v>
      </c>
      <c r="I66">
        <v>50.944242882696471</v>
      </c>
      <c r="K66" s="298">
        <f>H66*$AC$35+I66</f>
        <v>51.412836024754213</v>
      </c>
      <c r="M66" s="12"/>
      <c r="N66" s="67">
        <v>247.99195567141854</v>
      </c>
      <c r="O66" s="68">
        <v>76.942323327149879</v>
      </c>
      <c r="P66" s="69">
        <v>260.47989897572495</v>
      </c>
      <c r="Q66" s="129" t="s">
        <v>420</v>
      </c>
      <c r="R66">
        <f t="array" ref="R66:S66">LINEST(O64:O67,N64:N67)</f>
        <v>3.6932753188143583E-2</v>
      </c>
      <c r="S66">
        <v>67.712743139350536</v>
      </c>
      <c r="T66" s="24"/>
      <c r="U66" s="84">
        <f>R66*AC35+S66</f>
        <v>68.457065568930659</v>
      </c>
      <c r="W66" s="290"/>
      <c r="X66" s="68">
        <v>367.27606807457477</v>
      </c>
      <c r="Y66" s="68">
        <v>515.99235857408132</v>
      </c>
      <c r="AM66" s="232"/>
      <c r="AN66" s="68">
        <v>341.06998870275049</v>
      </c>
      <c r="AO66" s="289">
        <v>579.62341036618864</v>
      </c>
    </row>
    <row r="67" spans="3:41" x14ac:dyDescent="0.15">
      <c r="C67" s="14"/>
      <c r="D67" s="67">
        <v>180.1</v>
      </c>
      <c r="E67" s="68">
        <v>55.305009598786256</v>
      </c>
      <c r="F67" s="69">
        <v>196.96128282198916</v>
      </c>
      <c r="G67" s="297" t="s">
        <v>462</v>
      </c>
      <c r="H67" s="2">
        <f t="array" ref="H67:I67">LINEST(E64:E67,LN(D64:D67))</f>
        <v>5.3221693771170955</v>
      </c>
      <c r="I67" s="2">
        <v>27.482822986776412</v>
      </c>
      <c r="K67" s="298">
        <f>H67*LN($AC$35)+I67</f>
        <v>43.467296294726559</v>
      </c>
      <c r="M67" s="14"/>
      <c r="N67" s="67">
        <v>179.97539914207314</v>
      </c>
      <c r="O67" s="68">
        <v>74.326760800359523</v>
      </c>
      <c r="P67" s="69">
        <v>196.96128282198916</v>
      </c>
      <c r="Q67" s="297" t="s">
        <v>462</v>
      </c>
      <c r="R67" s="2">
        <f t="array" ref="R67:S67">LINEST(O64:O67,LN(N64:N67))</f>
        <v>8.6635088396805724</v>
      </c>
      <c r="S67" s="2">
        <v>29.287175616213275</v>
      </c>
      <c r="T67" s="24"/>
      <c r="U67" s="84">
        <f>R67*LN($AC$35)+S67</f>
        <v>55.306946124922035</v>
      </c>
      <c r="W67" s="12"/>
      <c r="X67" s="17"/>
      <c r="Y67" s="13"/>
      <c r="AM67" s="290"/>
      <c r="AN67" s="68">
        <v>367.27606807457477</v>
      </c>
      <c r="AO67" s="291">
        <v>514.97229930894991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6" t="s">
        <v>13</v>
      </c>
      <c r="Y68" s="11" t="s">
        <v>49</v>
      </c>
      <c r="AM68" s="236"/>
      <c r="AN68" s="292"/>
      <c r="AO68" s="293"/>
    </row>
    <row r="69" spans="3:41" x14ac:dyDescent="0.15">
      <c r="C69" s="10" t="s">
        <v>409</v>
      </c>
      <c r="D69" s="67">
        <v>218.4</v>
      </c>
      <c r="E69" s="68">
        <v>51.6790949757684</v>
      </c>
      <c r="F69" s="69">
        <v>130.02142396481116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216.68199713194693</v>
      </c>
      <c r="O69" s="68">
        <v>71.859694306887633</v>
      </c>
      <c r="P69" s="69">
        <v>130.02142396481116</v>
      </c>
      <c r="R69" t="s">
        <v>4</v>
      </c>
      <c r="S69" t="s">
        <v>5</v>
      </c>
      <c r="T69" s="24" t="s">
        <v>6</v>
      </c>
      <c r="U69" s="3"/>
      <c r="W69" s="228" t="s">
        <v>404</v>
      </c>
      <c r="X69" s="68">
        <v>142.54034990280852</v>
      </c>
      <c r="Y69" s="68">
        <v>164.90844203665162</v>
      </c>
      <c r="AM69" s="12"/>
      <c r="AN69" s="17"/>
      <c r="AO69" s="13"/>
    </row>
    <row r="70" spans="3:41" ht="14" thickBot="1" x14ac:dyDescent="0.2">
      <c r="C70" s="12"/>
      <c r="D70" s="67">
        <v>202.3</v>
      </c>
      <c r="E70" s="68">
        <v>50.407916560559215</v>
      </c>
      <c r="F70" s="69">
        <v>123.40172430505064</v>
      </c>
      <c r="G70" s="316" t="s">
        <v>412</v>
      </c>
      <c r="H70" s="317">
        <f t="array" ref="H70:J70">LINEST(E69:E72,D69:D72^{1,2})</f>
        <v>4.3771258461317448E-4</v>
      </c>
      <c r="I70" s="317">
        <v>-0.13316035781212651</v>
      </c>
      <c r="J70" s="317">
        <v>59.736296991604441</v>
      </c>
      <c r="K70" s="318">
        <f>$H$70*AC36^2+$I$70*AC36+$J$70</f>
        <v>57.926974894865033</v>
      </c>
      <c r="M70" s="12"/>
      <c r="N70" s="67">
        <v>203.48048535677617</v>
      </c>
      <c r="O70" s="68">
        <v>71.05536483352482</v>
      </c>
      <c r="P70" s="69">
        <v>123.40172430505064</v>
      </c>
      <c r="Q70" s="316" t="s">
        <v>412</v>
      </c>
      <c r="R70" s="317">
        <f t="array" ref="R70:T70">LINEST(O69:O72,N69:N72^{1,2})</f>
        <v>1.2754445574274584E-4</v>
      </c>
      <c r="S70" s="317">
        <v>2.8071138298031151E-3</v>
      </c>
      <c r="T70" s="319">
        <v>65.241579703239807</v>
      </c>
      <c r="U70" s="84">
        <f>$R$70*AC36^2+$S$70*AC36+$T$70</f>
        <v>65.307516340770036</v>
      </c>
      <c r="W70" s="232"/>
      <c r="X70" s="68">
        <v>179.97539914207314</v>
      </c>
      <c r="Y70" s="68">
        <v>196.96128282198916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179.3</v>
      </c>
      <c r="E71" s="68">
        <v>50.113476278917901</v>
      </c>
      <c r="F71" s="69">
        <v>110.69899121354534</v>
      </c>
      <c r="G71" s="129" t="s">
        <v>423</v>
      </c>
      <c r="H71">
        <f t="array" ref="H71:I71">LINEST(E69:E72,D69:D72)</f>
        <v>1.6691170023465752E-2</v>
      </c>
      <c r="I71">
        <v>47.472082944897487</v>
      </c>
      <c r="K71" s="298">
        <f>H71*$AC$36+I71</f>
        <v>47.710024783920261</v>
      </c>
      <c r="M71" s="12"/>
      <c r="N71" s="67">
        <v>177.657613751502</v>
      </c>
      <c r="O71" s="68">
        <v>69.785748446535706</v>
      </c>
      <c r="P71" s="69">
        <v>110.69899121354534</v>
      </c>
      <c r="Q71" s="129" t="s">
        <v>420</v>
      </c>
      <c r="R71">
        <f t="array" ref="R71:S71">LINEST(O69:O72,N69:N72)</f>
        <v>4.6552416712476584E-2</v>
      </c>
      <c r="S71">
        <v>61.64630588002133</v>
      </c>
      <c r="T71" s="24"/>
      <c r="U71" s="84">
        <f>R71*AC36+S71</f>
        <v>62.309936268301399</v>
      </c>
      <c r="W71" s="232"/>
      <c r="X71" s="68">
        <v>225.68063250055866</v>
      </c>
      <c r="Y71" s="68">
        <v>237.81117979773683</v>
      </c>
      <c r="AM71" s="228" t="s">
        <v>404</v>
      </c>
      <c r="AN71" s="68">
        <v>142.54034990280852</v>
      </c>
      <c r="AO71" s="288">
        <v>473.91392562092256</v>
      </c>
    </row>
    <row r="72" spans="3:41" x14ac:dyDescent="0.15">
      <c r="C72" s="14"/>
      <c r="D72" s="67">
        <v>128</v>
      </c>
      <c r="E72" s="68">
        <v>49.839015741427502</v>
      </c>
      <c r="F72" s="69">
        <v>86.543140247698204</v>
      </c>
      <c r="G72" s="297" t="s">
        <v>462</v>
      </c>
      <c r="H72" s="2">
        <f t="array" ref="H72:I72">LINEST(E69:E72,LN(D69:D72))</f>
        <v>2.6616686914466596</v>
      </c>
      <c r="I72" s="2">
        <v>36.711006433690152</v>
      </c>
      <c r="K72" s="298">
        <f>H72*LN($AC$36)+I72</f>
        <v>43.78344989893219</v>
      </c>
      <c r="M72" s="14"/>
      <c r="N72" s="67">
        <v>129.31721034610501</v>
      </c>
      <c r="O72" s="68">
        <v>67.734414836531897</v>
      </c>
      <c r="P72" s="69">
        <v>86.543140247698204</v>
      </c>
      <c r="Q72" s="297" t="s">
        <v>462</v>
      </c>
      <c r="R72" s="2">
        <f t="array" ref="R72:S72">LINEST(O69:O72,LN(N69:N72))</f>
        <v>7.7546738852761088</v>
      </c>
      <c r="S72" s="2">
        <v>29.908329016852115</v>
      </c>
      <c r="T72" s="24"/>
      <c r="U72" s="84">
        <f>R72*LN($AC$36)+S72</f>
        <v>50.51363305835369</v>
      </c>
      <c r="W72" s="232"/>
      <c r="X72" s="68">
        <v>247.99195567141854</v>
      </c>
      <c r="Y72" s="68">
        <v>260.47989897572495</v>
      </c>
      <c r="AM72" s="232"/>
      <c r="AN72" s="68">
        <v>179.97539914207314</v>
      </c>
      <c r="AO72" s="289">
        <v>473.1384992406995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68">
        <v>284.00641090512107</v>
      </c>
      <c r="Y73" s="68">
        <v>292.86254766640252</v>
      </c>
      <c r="AM73" s="232"/>
      <c r="AN73" s="68">
        <v>225.68063250055866</v>
      </c>
      <c r="AO73" s="289">
        <v>462.69713755706249</v>
      </c>
    </row>
    <row r="74" spans="3:41" x14ac:dyDescent="0.15">
      <c r="C74" s="10" t="s">
        <v>410</v>
      </c>
      <c r="D74" s="67">
        <v>135.1</v>
      </c>
      <c r="E74" s="68">
        <v>42.598859931585011</v>
      </c>
      <c r="F74" s="69">
        <v>45.537563418715308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136.94470684441694</v>
      </c>
      <c r="O74" s="68">
        <v>61.636094765036098</v>
      </c>
      <c r="P74" s="69">
        <v>45.537563418715308</v>
      </c>
      <c r="R74" t="s">
        <v>4</v>
      </c>
      <c r="S74" t="s">
        <v>5</v>
      </c>
      <c r="T74" s="24" t="s">
        <v>6</v>
      </c>
      <c r="W74" s="232"/>
      <c r="X74" s="68">
        <v>305.11582722495291</v>
      </c>
      <c r="Y74" s="68">
        <v>310.41418560822922</v>
      </c>
      <c r="AM74" s="232"/>
      <c r="AN74" s="68">
        <v>247.99195567141854</v>
      </c>
      <c r="AO74" s="289">
        <v>445.05159760438255</v>
      </c>
    </row>
    <row r="75" spans="3:41" x14ac:dyDescent="0.15">
      <c r="C75" s="12"/>
      <c r="D75" s="67">
        <v>124.4</v>
      </c>
      <c r="E75" s="68">
        <v>41.766385883723473</v>
      </c>
      <c r="F75" s="69">
        <v>43.27283236895304</v>
      </c>
      <c r="G75" s="316" t="s">
        <v>412</v>
      </c>
      <c r="H75" s="317">
        <f t="array" ref="H75:J75">LINEST(E74:E77,D74:D77^{1,2})</f>
        <v>8.4241062650992351E-4</v>
      </c>
      <c r="I75" s="317">
        <v>-0.14168724327947177</v>
      </c>
      <c r="J75" s="317">
        <v>46.362347174072724</v>
      </c>
      <c r="K75" s="318">
        <f>$H$75*AC37^2+$I$75*AC37+$J$75</f>
        <v>45.125212862167224</v>
      </c>
      <c r="M75" s="12"/>
      <c r="N75" s="67">
        <v>126.48327019359726</v>
      </c>
      <c r="O75" s="68">
        <v>60.708709459674338</v>
      </c>
      <c r="P75" s="69">
        <v>43.27283236895304</v>
      </c>
      <c r="Q75" s="316" t="s">
        <v>412</v>
      </c>
      <c r="R75" s="317">
        <f t="array" ref="R75:T75">LINEST(O74:O77,N74:N77^{1,2})</f>
        <v>3.7912117857628723E-4</v>
      </c>
      <c r="S75" s="317">
        <v>-1.0613785702693062E-2</v>
      </c>
      <c r="T75" s="319">
        <v>55.981722272520869</v>
      </c>
      <c r="U75" s="84">
        <f>$R$75*AC37^2+$S$75*AC37+$T$75</f>
        <v>55.916023148607678</v>
      </c>
      <c r="W75" s="290"/>
      <c r="X75" s="68">
        <v>280.37540028596254</v>
      </c>
      <c r="Y75" s="68">
        <v>289.48558554113851</v>
      </c>
      <c r="AM75" s="232"/>
      <c r="AN75" s="68">
        <v>284.00641090512107</v>
      </c>
      <c r="AO75" s="289">
        <v>408.52036683816453</v>
      </c>
    </row>
    <row r="76" spans="3:41" x14ac:dyDescent="0.15">
      <c r="C76" s="12"/>
      <c r="D76" s="67">
        <v>113.2</v>
      </c>
      <c r="E76" s="68">
        <v>41.1225087051739</v>
      </c>
      <c r="F76" s="69">
        <v>39.567992760532817</v>
      </c>
      <c r="G76" s="129" t="s">
        <v>423</v>
      </c>
      <c r="H76">
        <f t="array" ref="H76:I76">LINEST(E74:E77,D74:D77)</f>
        <v>3.5173246523195922E-2</v>
      </c>
      <c r="I76">
        <v>37.515420960701775</v>
      </c>
      <c r="K76" s="298">
        <f>H76*$AC$37+I76</f>
        <v>37.840384717318798</v>
      </c>
      <c r="M76" s="12"/>
      <c r="N76" s="67">
        <v>110.48203024842798</v>
      </c>
      <c r="O76" s="68">
        <v>59.434186199278997</v>
      </c>
      <c r="P76" s="69">
        <v>39.567992760532817</v>
      </c>
      <c r="Q76" s="129" t="s">
        <v>420</v>
      </c>
      <c r="R76">
        <f t="array" ref="R76:S76">LINEST(O74:O77,N74:N77)</f>
        <v>7.0691547669535434E-2</v>
      </c>
      <c r="S76">
        <v>51.814419206850864</v>
      </c>
      <c r="T76" s="24"/>
      <c r="U76" s="84">
        <f>R76*AC37+S76</f>
        <v>52.467534661422675</v>
      </c>
      <c r="W76" s="232"/>
      <c r="X76" s="68">
        <v>306.42216557619219</v>
      </c>
      <c r="Y76" s="68">
        <v>311.04275486404356</v>
      </c>
      <c r="AM76" s="232"/>
      <c r="AN76" s="68">
        <v>305.11582722495291</v>
      </c>
      <c r="AO76" s="289">
        <v>374.87627917763552</v>
      </c>
    </row>
    <row r="77" spans="3:41" ht="14" thickBot="1" x14ac:dyDescent="0.2">
      <c r="C77" s="14"/>
      <c r="D77" s="67">
        <v>78.2</v>
      </c>
      <c r="E77" s="68">
        <v>40.43354617963378</v>
      </c>
      <c r="F77" s="69">
        <v>33.309297611254642</v>
      </c>
      <c r="G77" s="297" t="s">
        <v>462</v>
      </c>
      <c r="H77" s="2">
        <f t="array" ref="H77:I77">LINEST(E74:E77,LN(D74:D77))</f>
        <v>3.5059275896616744</v>
      </c>
      <c r="I77" s="2">
        <v>24.986738579812641</v>
      </c>
      <c r="J77" s="25"/>
      <c r="K77" s="298">
        <f>H77*LN($AC$37)+I77</f>
        <v>32.7819158202688</v>
      </c>
      <c r="M77" s="14"/>
      <c r="N77" s="67">
        <v>79.668407730229532</v>
      </c>
      <c r="O77" s="68">
        <v>57.542846550437403</v>
      </c>
      <c r="P77" s="69">
        <v>33.309297611254642</v>
      </c>
      <c r="Q77" s="297" t="s">
        <v>462</v>
      </c>
      <c r="R77" s="2">
        <f t="array" ref="R77:S77">LINEST(O74:O77,LN(N74:N77))</f>
        <v>7.3283870392003507</v>
      </c>
      <c r="S77" s="2">
        <v>25.309334897927904</v>
      </c>
      <c r="T77" s="26"/>
      <c r="U77" s="84">
        <f>R77*LN($AC$37)+S77</f>
        <v>41.603475149336006</v>
      </c>
      <c r="W77" s="236"/>
      <c r="X77" s="68">
        <v>68.235663849616046</v>
      </c>
      <c r="Y77" s="68">
        <v>119.40185523650993</v>
      </c>
      <c r="AM77" s="290"/>
      <c r="AN77" s="68"/>
      <c r="AO77" s="291"/>
    </row>
    <row r="78" spans="3:41" x14ac:dyDescent="0.15">
      <c r="W78" s="12"/>
      <c r="X78" s="17"/>
      <c r="Y78" s="13"/>
      <c r="AM78" s="232"/>
      <c r="AN78" s="68"/>
      <c r="AO78" s="289"/>
    </row>
    <row r="79" spans="3:41" ht="14" thickBot="1" x14ac:dyDescent="0.2">
      <c r="F79" s="5"/>
      <c r="W79" s="12"/>
      <c r="X79" s="16" t="s">
        <v>13</v>
      </c>
      <c r="Y79" s="11" t="s">
        <v>49</v>
      </c>
      <c r="AM79" s="236"/>
      <c r="AN79" s="68"/>
      <c r="AO79" s="293"/>
    </row>
    <row r="80" spans="3:41" x14ac:dyDescent="0.15">
      <c r="F80" s="5"/>
      <c r="W80" s="228" t="s">
        <v>411</v>
      </c>
      <c r="X80" s="68">
        <v>98.62537172384414</v>
      </c>
      <c r="Y80" s="68">
        <v>73.255512194579921</v>
      </c>
      <c r="AM80" s="12"/>
      <c r="AN80" s="17"/>
      <c r="AO80" s="13"/>
    </row>
    <row r="81" spans="6:41" ht="14" thickBot="1" x14ac:dyDescent="0.2">
      <c r="F81" s="5"/>
      <c r="W81" s="232"/>
      <c r="X81" s="68">
        <v>129.31721034610501</v>
      </c>
      <c r="Y81" s="68">
        <v>86.543140247698204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68">
        <v>160.77952147934997</v>
      </c>
      <c r="Y82" s="68">
        <v>101.62904601770833</v>
      </c>
      <c r="AM82" s="228" t="s">
        <v>411</v>
      </c>
      <c r="AN82" s="68">
        <v>98.62537172384414</v>
      </c>
      <c r="AO82" s="288">
        <v>255.30068106481482</v>
      </c>
    </row>
    <row r="83" spans="6:41" x14ac:dyDescent="0.15">
      <c r="W83" s="232"/>
      <c r="X83" s="68">
        <v>177.657613751502</v>
      </c>
      <c r="Y83" s="68">
        <v>110.69899121354534</v>
      </c>
      <c r="AM83" s="232"/>
      <c r="AN83" s="68">
        <v>129.31721034610501</v>
      </c>
      <c r="AO83" s="289">
        <v>256.34269128011908</v>
      </c>
    </row>
    <row r="84" spans="6:41" x14ac:dyDescent="0.15">
      <c r="W84" s="232"/>
      <c r="X84" s="68">
        <v>203.34117912137015</v>
      </c>
      <c r="Y84" s="68">
        <v>123.35633973294334</v>
      </c>
      <c r="AM84" s="232"/>
      <c r="AN84" s="68">
        <v>160.77952147934997</v>
      </c>
      <c r="AO84" s="289">
        <v>253.81558432274147</v>
      </c>
    </row>
    <row r="85" spans="6:41" x14ac:dyDescent="0.15">
      <c r="W85" s="232"/>
      <c r="X85" s="68">
        <v>222.79446560777538</v>
      </c>
      <c r="Y85" s="68">
        <v>134.90921358508626</v>
      </c>
      <c r="AM85" s="232"/>
      <c r="AN85" s="68">
        <v>177.657613751502</v>
      </c>
      <c r="AO85" s="289">
        <v>243.93185845736002</v>
      </c>
    </row>
    <row r="86" spans="6:41" x14ac:dyDescent="0.15">
      <c r="W86" s="290"/>
      <c r="X86" s="68">
        <v>203.48048535677617</v>
      </c>
      <c r="Y86" s="68">
        <v>123.40172430505064</v>
      </c>
      <c r="AM86" s="232"/>
      <c r="AN86" s="68">
        <v>203.34117912137015</v>
      </c>
      <c r="AO86" s="289">
        <v>228.34086817976635</v>
      </c>
    </row>
    <row r="87" spans="6:41" ht="14" thickBot="1" x14ac:dyDescent="0.2">
      <c r="F87" s="5"/>
      <c r="W87" s="236"/>
      <c r="X87" s="68">
        <v>216.68199713194693</v>
      </c>
      <c r="Y87" s="68">
        <v>130.02142396481116</v>
      </c>
      <c r="AM87" s="232"/>
      <c r="AN87" s="68">
        <v>222.79446560777538</v>
      </c>
      <c r="AO87" s="289">
        <v>215.69856850350868</v>
      </c>
    </row>
    <row r="88" spans="6:41" x14ac:dyDescent="0.15">
      <c r="F88" s="5"/>
      <c r="W88" s="12"/>
      <c r="X88" s="17"/>
      <c r="Y88" s="13"/>
      <c r="AM88" s="290"/>
      <c r="AN88" s="68"/>
      <c r="AO88" s="291"/>
    </row>
    <row r="89" spans="6:41" ht="14" thickBot="1" x14ac:dyDescent="0.2">
      <c r="F89" s="5"/>
      <c r="W89" s="12"/>
      <c r="X89" s="17"/>
      <c r="Y89" s="13"/>
      <c r="AM89" s="236"/>
      <c r="AN89" s="68"/>
      <c r="AO89" s="293"/>
    </row>
    <row r="90" spans="6:41" x14ac:dyDescent="0.15">
      <c r="F90" s="5"/>
      <c r="W90" s="12"/>
      <c r="X90" s="16" t="s">
        <v>13</v>
      </c>
      <c r="Y90" s="11" t="s">
        <v>49</v>
      </c>
      <c r="AM90" s="12"/>
      <c r="AN90" s="17"/>
      <c r="AO90" s="13"/>
    </row>
    <row r="91" spans="6:41" ht="14" thickBot="1" x14ac:dyDescent="0.2">
      <c r="F91" s="5"/>
      <c r="W91" s="10" t="s">
        <v>410</v>
      </c>
      <c r="X91" s="68">
        <v>60.763954617523893</v>
      </c>
      <c r="Y91" s="68">
        <v>29.409439010889692</v>
      </c>
      <c r="AM91" s="12"/>
      <c r="AN91" s="17"/>
      <c r="AO91" s="13"/>
    </row>
    <row r="92" spans="6:41" x14ac:dyDescent="0.15">
      <c r="F92" s="5"/>
      <c r="W92" s="12"/>
      <c r="X92" s="68">
        <v>79.668407730229532</v>
      </c>
      <c r="Y92" s="68">
        <v>33.309297611254642</v>
      </c>
      <c r="AM92" s="228"/>
      <c r="AN92" s="320" t="s">
        <v>13</v>
      </c>
      <c r="AO92" s="11" t="s">
        <v>516</v>
      </c>
    </row>
    <row r="93" spans="6:41" x14ac:dyDescent="0.15">
      <c r="F93" s="5"/>
      <c r="W93" s="12"/>
      <c r="X93" s="68">
        <v>98.463521838786008</v>
      </c>
      <c r="Y93" s="68">
        <v>37.281582637626165</v>
      </c>
      <c r="AM93" s="322" t="s">
        <v>406</v>
      </c>
      <c r="AN93" s="68">
        <v>60.763954617523893</v>
      </c>
      <c r="AO93" s="323">
        <v>109.31968624976143</v>
      </c>
    </row>
    <row r="94" spans="6:41" x14ac:dyDescent="0.15">
      <c r="F94" s="5"/>
      <c r="W94" s="12"/>
      <c r="X94" s="68">
        <v>110.48203024842798</v>
      </c>
      <c r="Y94" s="68">
        <v>39.567992760532817</v>
      </c>
      <c r="AM94" s="232"/>
      <c r="AN94" s="68">
        <v>79.668407730229532</v>
      </c>
      <c r="AO94" s="289">
        <v>111.65317186130773</v>
      </c>
    </row>
    <row r="95" spans="6:41" x14ac:dyDescent="0.15">
      <c r="F95" s="5"/>
      <c r="W95" s="12"/>
      <c r="X95" s="68">
        <v>128.45544998656661</v>
      </c>
      <c r="Y95" s="68">
        <v>42.914202318586497</v>
      </c>
      <c r="AM95" s="232"/>
      <c r="AN95" s="68">
        <v>98.463521838786008</v>
      </c>
      <c r="AO95" s="289">
        <v>110.42478023967983</v>
      </c>
    </row>
    <row r="96" spans="6:41" x14ac:dyDescent="0.15">
      <c r="F96" s="5"/>
      <c r="W96" s="12"/>
      <c r="X96" s="68">
        <v>132.43201934330645</v>
      </c>
      <c r="Y96" s="68">
        <v>43.891248017188815</v>
      </c>
      <c r="AM96" s="232"/>
      <c r="AN96" s="68">
        <v>110.48203024842798</v>
      </c>
      <c r="AO96" s="289">
        <v>110.02884818331296</v>
      </c>
    </row>
    <row r="97" spans="6:41" x14ac:dyDescent="0.15">
      <c r="F97" s="5"/>
      <c r="W97" s="14"/>
      <c r="X97" s="68">
        <v>126.48327019359726</v>
      </c>
      <c r="Y97" s="68">
        <v>43.27283236895304</v>
      </c>
      <c r="AM97" s="232"/>
      <c r="AN97" s="68">
        <v>128.45544998656661</v>
      </c>
      <c r="AO97" s="289">
        <v>102.35401122473381</v>
      </c>
    </row>
    <row r="98" spans="6:41" x14ac:dyDescent="0.15">
      <c r="F98" s="5"/>
      <c r="X98" s="8">
        <v>136.94470684441694</v>
      </c>
      <c r="Y98" s="8">
        <v>45.537563418715308</v>
      </c>
      <c r="AM98" s="232"/>
      <c r="AN98" s="68">
        <v>132.43201934330645</v>
      </c>
      <c r="AO98" s="289">
        <v>100.48562347094051</v>
      </c>
    </row>
    <row r="99" spans="6:41" ht="14" thickBot="1" x14ac:dyDescent="0.2">
      <c r="F99" s="5"/>
      <c r="AM99" s="236"/>
      <c r="AN99" s="68"/>
      <c r="AO99" s="293"/>
    </row>
    <row r="100" spans="6:41" x14ac:dyDescent="0.15">
      <c r="AN100" s="8"/>
    </row>
  </sheetData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CA685-08FA-4280-B01A-6A5094680680}">
  <sheetPr codeName="Taul13"/>
  <dimension ref="B2:AQ49"/>
  <sheetViews>
    <sheetView workbookViewId="0">
      <selection activeCell="I19" sqref="I19"/>
    </sheetView>
  </sheetViews>
  <sheetFormatPr baseColWidth="10" defaultColWidth="8.83203125" defaultRowHeight="13" x14ac:dyDescent="0.15"/>
  <cols>
    <col min="2" max="2" width="22.5" customWidth="1"/>
  </cols>
  <sheetData>
    <row r="2" spans="2:43" ht="14" thickBot="1" x14ac:dyDescent="0.2">
      <c r="E2" t="s">
        <v>455</v>
      </c>
    </row>
    <row r="3" spans="2:43" ht="17" x14ac:dyDescent="0.15">
      <c r="B3" s="2" t="s">
        <v>79</v>
      </c>
      <c r="E3" t="s">
        <v>454</v>
      </c>
      <c r="F3" t="s">
        <v>456</v>
      </c>
      <c r="K3" s="1815" t="s">
        <v>427</v>
      </c>
      <c r="L3" s="1816"/>
      <c r="M3" s="1816"/>
      <c r="N3" s="1816"/>
      <c r="O3" s="1816"/>
      <c r="P3" s="1816"/>
      <c r="Q3" s="1817" t="s">
        <v>428</v>
      </c>
      <c r="R3" s="1817"/>
      <c r="S3" s="1817"/>
      <c r="T3" s="1817"/>
      <c r="U3" s="1817"/>
      <c r="V3" s="1817"/>
      <c r="W3" s="1807" t="s">
        <v>429</v>
      </c>
      <c r="X3" s="1816" t="s">
        <v>313</v>
      </c>
      <c r="Y3" s="1816"/>
      <c r="Z3" s="1816"/>
      <c r="AA3" s="1816"/>
      <c r="AB3" s="1816"/>
      <c r="AC3" s="1816"/>
      <c r="AD3" s="1816"/>
      <c r="AE3" s="1816"/>
      <c r="AF3" s="1807" t="s">
        <v>430</v>
      </c>
      <c r="AG3" s="1810" t="s">
        <v>431</v>
      </c>
    </row>
    <row r="4" spans="2:43" x14ac:dyDescent="0.15">
      <c r="B4" t="s">
        <v>7</v>
      </c>
      <c r="C4" s="314" t="str">
        <f>Tulokset!E38</f>
        <v>-</v>
      </c>
      <c r="D4" t="s">
        <v>25</v>
      </c>
      <c r="E4" s="313">
        <f>'R-series ALU'!E39/'R-series ALU'!E33^2</f>
        <v>0.84636734693877558</v>
      </c>
      <c r="F4" s="313">
        <f>AVERAGE(E4:E5)</f>
        <v>0.9521632653061225</v>
      </c>
      <c r="K4" s="1813" t="s">
        <v>432</v>
      </c>
      <c r="L4" s="1712" t="s">
        <v>433</v>
      </c>
      <c r="M4" s="1712" t="s">
        <v>434</v>
      </c>
      <c r="N4" s="1712" t="s">
        <v>435</v>
      </c>
      <c r="O4" s="1712" t="s">
        <v>436</v>
      </c>
      <c r="P4" s="1712" t="s">
        <v>437</v>
      </c>
      <c r="Q4" s="1814" t="s">
        <v>438</v>
      </c>
      <c r="R4" s="1814" t="s">
        <v>439</v>
      </c>
      <c r="S4" s="1814" t="s">
        <v>440</v>
      </c>
      <c r="T4" s="1814" t="s">
        <v>441</v>
      </c>
      <c r="U4" s="1814" t="s">
        <v>442</v>
      </c>
      <c r="V4" s="1814" t="s">
        <v>443</v>
      </c>
      <c r="W4" s="1808"/>
      <c r="X4" s="1809" t="s">
        <v>61</v>
      </c>
      <c r="Y4" s="1809" t="s">
        <v>62</v>
      </c>
      <c r="Z4" s="1809" t="s">
        <v>63</v>
      </c>
      <c r="AA4" s="1809" t="s">
        <v>64</v>
      </c>
      <c r="AB4" s="1809" t="s">
        <v>65</v>
      </c>
      <c r="AC4" s="1809" t="s">
        <v>66</v>
      </c>
      <c r="AD4" s="1809" t="s">
        <v>67</v>
      </c>
      <c r="AE4" s="1809" t="s">
        <v>68</v>
      </c>
      <c r="AF4" s="1808"/>
      <c r="AG4" s="1811"/>
    </row>
    <row r="5" spans="2:43" x14ac:dyDescent="0.15">
      <c r="B5" t="s">
        <v>8</v>
      </c>
      <c r="C5" s="314" t="str">
        <f>Tulokset!H38</f>
        <v>-</v>
      </c>
      <c r="D5" t="s">
        <v>25</v>
      </c>
      <c r="E5" s="313">
        <f>'R-series ALU'!G39/'R-series ALU'!G33^2</f>
        <v>1.0579591836734694</v>
      </c>
      <c r="K5" s="1813"/>
      <c r="L5" s="1712"/>
      <c r="M5" s="1712"/>
      <c r="N5" s="1712"/>
      <c r="O5" s="1712"/>
      <c r="P5" s="1712"/>
      <c r="Q5" s="1814"/>
      <c r="R5" s="1814"/>
      <c r="S5" s="1814"/>
      <c r="T5" s="1814"/>
      <c r="U5" s="1814"/>
      <c r="V5" s="1814"/>
      <c r="W5" s="1808"/>
      <c r="X5" s="1809"/>
      <c r="Y5" s="1809"/>
      <c r="Z5" s="1809"/>
      <c r="AA5" s="1809"/>
      <c r="AB5" s="1809"/>
      <c r="AC5" s="1809"/>
      <c r="AD5" s="1809"/>
      <c r="AE5" s="1809"/>
      <c r="AF5" s="1809"/>
      <c r="AG5" s="1812"/>
    </row>
    <row r="6" spans="2:43" x14ac:dyDescent="0.15">
      <c r="K6" s="308">
        <v>100</v>
      </c>
      <c r="L6" s="3">
        <v>9.9980000000000011</v>
      </c>
      <c r="M6" s="3">
        <v>345.6</v>
      </c>
      <c r="N6" s="3">
        <v>-64.028924709346654</v>
      </c>
      <c r="O6" s="3">
        <v>31.756873632767196</v>
      </c>
      <c r="P6" s="3">
        <v>95.78579834211385</v>
      </c>
      <c r="Q6" s="3">
        <v>100</v>
      </c>
      <c r="R6" s="3">
        <v>10.001000000000001</v>
      </c>
      <c r="S6" s="3">
        <v>366.1</v>
      </c>
      <c r="T6" s="3">
        <v>-79.000897073500028</v>
      </c>
      <c r="U6" s="3">
        <v>23.559591095089353</v>
      </c>
      <c r="V6" s="3">
        <v>102.56048816858939</v>
      </c>
      <c r="W6" s="3">
        <v>1023.831367997175</v>
      </c>
      <c r="X6" s="3">
        <v>69.944354434953652</v>
      </c>
      <c r="Y6" s="3">
        <v>66.442442059355784</v>
      </c>
      <c r="Z6" s="3">
        <v>58.164753109082021</v>
      </c>
      <c r="AA6" s="3">
        <v>45.033848136713658</v>
      </c>
      <c r="AB6" s="3">
        <v>39.586902452698837</v>
      </c>
      <c r="AC6" s="3">
        <v>38.272160465547479</v>
      </c>
      <c r="AD6" s="3">
        <v>38.517466643896555</v>
      </c>
      <c r="AE6" s="3">
        <v>37.52673013243556</v>
      </c>
      <c r="AF6" s="3">
        <v>71.759903439883232</v>
      </c>
      <c r="AG6" s="309">
        <v>54.052145206595526</v>
      </c>
      <c r="AI6" s="3">
        <f>X6-$AG6</f>
        <v>15.892209228358126</v>
      </c>
      <c r="AJ6" s="3">
        <f t="shared" ref="AJ6:AP14" si="0">Y6-$AG6</f>
        <v>12.390296852760258</v>
      </c>
      <c r="AK6" s="3">
        <f t="shared" si="0"/>
        <v>4.112607902486495</v>
      </c>
      <c r="AL6" s="3">
        <f t="shared" si="0"/>
        <v>-9.0182970698818679</v>
      </c>
      <c r="AM6" s="3">
        <f t="shared" si="0"/>
        <v>-14.465242753896689</v>
      </c>
      <c r="AN6" s="3">
        <f t="shared" si="0"/>
        <v>-15.779984741048047</v>
      </c>
      <c r="AO6" s="3">
        <f t="shared" si="0"/>
        <v>-15.534678562698971</v>
      </c>
      <c r="AP6" s="3">
        <f>AE6-$AG6</f>
        <v>-16.525415074159966</v>
      </c>
      <c r="AQ6" s="3"/>
    </row>
    <row r="7" spans="2:43" x14ac:dyDescent="0.15">
      <c r="B7" s="2" t="s">
        <v>88</v>
      </c>
      <c r="K7" s="308">
        <v>100</v>
      </c>
      <c r="L7" s="3">
        <v>9.9939</v>
      </c>
      <c r="M7" s="3">
        <v>295</v>
      </c>
      <c r="N7" s="3">
        <v>-130.36697343925576</v>
      </c>
      <c r="O7" s="3">
        <v>168.86179030109395</v>
      </c>
      <c r="P7" s="3">
        <v>299.22876374034973</v>
      </c>
      <c r="Q7" s="3">
        <v>100</v>
      </c>
      <c r="R7" s="3">
        <v>9.9873999999999974</v>
      </c>
      <c r="S7" s="3">
        <v>310.10000000000002</v>
      </c>
      <c r="T7" s="3">
        <v>-144.30650848150103</v>
      </c>
      <c r="U7" s="3">
        <v>158.44179166193612</v>
      </c>
      <c r="V7" s="3">
        <v>302.74830014343718</v>
      </c>
      <c r="W7" s="3">
        <v>912.58281565252344</v>
      </c>
      <c r="X7" s="3">
        <v>68.934606198098393</v>
      </c>
      <c r="Y7" s="3">
        <v>65.013265249389434</v>
      </c>
      <c r="Z7" s="3">
        <v>57.098562492395388</v>
      </c>
      <c r="AA7" s="3">
        <v>43.125181869049115</v>
      </c>
      <c r="AB7" s="3">
        <v>38.564168534984802</v>
      </c>
      <c r="AC7" s="3">
        <v>36.384242182618181</v>
      </c>
      <c r="AD7" s="3">
        <v>37.159369776419958</v>
      </c>
      <c r="AE7" s="3">
        <v>36.079431075497304</v>
      </c>
      <c r="AF7" s="3">
        <v>70.626022744765351</v>
      </c>
      <c r="AG7" s="309">
        <v>52.776208381479023</v>
      </c>
      <c r="AI7" s="3">
        <f t="shared" ref="AI7:AI14" si="1">X7-$AG7</f>
        <v>16.15839781661937</v>
      </c>
      <c r="AJ7" s="3">
        <f t="shared" si="0"/>
        <v>12.237056867910411</v>
      </c>
      <c r="AK7" s="3">
        <f t="shared" si="0"/>
        <v>4.3223541109163648</v>
      </c>
      <c r="AL7" s="3">
        <f t="shared" si="0"/>
        <v>-9.6510265124299082</v>
      </c>
      <c r="AM7" s="3">
        <f t="shared" si="0"/>
        <v>-14.212039846494221</v>
      </c>
      <c r="AN7" s="3">
        <f t="shared" si="0"/>
        <v>-16.391966198860842</v>
      </c>
      <c r="AO7" s="3">
        <f t="shared" si="0"/>
        <v>-15.616838605059066</v>
      </c>
      <c r="AP7" s="3">
        <f t="shared" si="0"/>
        <v>-16.696777305981719</v>
      </c>
      <c r="AQ7" s="3"/>
    </row>
    <row r="8" spans="2:43" x14ac:dyDescent="0.15">
      <c r="B8" t="s">
        <v>90</v>
      </c>
      <c r="K8" s="308">
        <v>100</v>
      </c>
      <c r="L8" s="3">
        <v>9.9953000000000003</v>
      </c>
      <c r="M8" s="3">
        <v>205.5</v>
      </c>
      <c r="N8" s="3">
        <v>-199.45251585140622</v>
      </c>
      <c r="O8" s="3">
        <v>297.73803406902653</v>
      </c>
      <c r="P8" s="3">
        <v>497.19054992043277</v>
      </c>
      <c r="Q8" s="3">
        <v>100</v>
      </c>
      <c r="R8" s="3">
        <v>10.019999999999998</v>
      </c>
      <c r="S8" s="3">
        <v>222.9</v>
      </c>
      <c r="T8" s="3">
        <v>-227.84147911245913</v>
      </c>
      <c r="U8" s="3">
        <v>277.15624577993214</v>
      </c>
      <c r="V8" s="3">
        <v>504.9977248923912</v>
      </c>
      <c r="W8" s="3">
        <v>714.25296036329905</v>
      </c>
      <c r="X8" s="3">
        <v>69.500148913211248</v>
      </c>
      <c r="Y8" s="3">
        <v>66.53050933060625</v>
      </c>
      <c r="Z8" s="3">
        <v>56.554531734825574</v>
      </c>
      <c r="AA8" s="3">
        <v>41.207128869549869</v>
      </c>
      <c r="AB8" s="3">
        <v>37.212637880414007</v>
      </c>
      <c r="AC8" s="3">
        <v>36.615562296469449</v>
      </c>
      <c r="AD8" s="3">
        <v>35.194774178601236</v>
      </c>
      <c r="AE8" s="3">
        <v>34.126363375665321</v>
      </c>
      <c r="AF8" s="3">
        <v>71.427778108560901</v>
      </c>
      <c r="AG8" s="309">
        <v>53.024004158793858</v>
      </c>
      <c r="AI8" s="3">
        <f t="shared" si="1"/>
        <v>16.47614475441739</v>
      </c>
      <c r="AJ8" s="3">
        <f t="shared" si="0"/>
        <v>13.506505171812393</v>
      </c>
      <c r="AK8" s="3">
        <f t="shared" si="0"/>
        <v>3.5305275760317159</v>
      </c>
      <c r="AL8" s="3">
        <f t="shared" si="0"/>
        <v>-11.816875289243988</v>
      </c>
      <c r="AM8" s="3">
        <f t="shared" si="0"/>
        <v>-15.81136627837985</v>
      </c>
      <c r="AN8" s="3">
        <f t="shared" si="0"/>
        <v>-16.408441862324409</v>
      </c>
      <c r="AO8" s="3">
        <f t="shared" si="0"/>
        <v>-17.829229980192622</v>
      </c>
      <c r="AP8" s="3">
        <f t="shared" si="0"/>
        <v>-18.897640783128537</v>
      </c>
      <c r="AQ8" s="3"/>
    </row>
    <row r="9" spans="2:43" x14ac:dyDescent="0.15">
      <c r="B9" t="s">
        <v>89</v>
      </c>
      <c r="K9" s="308">
        <v>80</v>
      </c>
      <c r="L9" s="3">
        <v>8.0030000000000001</v>
      </c>
      <c r="M9" s="3">
        <v>282.10000000000002</v>
      </c>
      <c r="N9" s="3">
        <v>-42.323972616678951</v>
      </c>
      <c r="O9" s="3">
        <v>21.239296194746526</v>
      </c>
      <c r="P9" s="3">
        <v>63.56326881142548</v>
      </c>
      <c r="Q9" s="3">
        <v>80</v>
      </c>
      <c r="R9" s="3">
        <v>8.0111999999999988</v>
      </c>
      <c r="S9" s="3">
        <v>304.10000000000002</v>
      </c>
      <c r="T9" s="3">
        <v>-53.428982848158206</v>
      </c>
      <c r="U9" s="3">
        <v>15.964517474551934</v>
      </c>
      <c r="V9" s="3">
        <v>69.393500322710139</v>
      </c>
      <c r="W9" s="3">
        <v>600.7118339877411</v>
      </c>
      <c r="X9" s="3">
        <v>67.234144561375444</v>
      </c>
      <c r="Y9" s="3">
        <v>62.301237505305579</v>
      </c>
      <c r="Z9" s="3">
        <v>54.116525954893504</v>
      </c>
      <c r="AA9" s="3">
        <v>40.908330293533496</v>
      </c>
      <c r="AB9" s="3">
        <v>36.891389748200275</v>
      </c>
      <c r="AC9" s="3">
        <v>31.815109111480648</v>
      </c>
      <c r="AD9" s="3">
        <v>33.586514710521072</v>
      </c>
      <c r="AE9" s="3">
        <v>32.503268411335654</v>
      </c>
      <c r="AF9" s="3">
        <v>68.61477164480813</v>
      </c>
      <c r="AG9" s="309">
        <v>50.113323788361761</v>
      </c>
      <c r="AI9" s="3">
        <f t="shared" si="1"/>
        <v>17.120820773013683</v>
      </c>
      <c r="AJ9" s="3">
        <f t="shared" si="0"/>
        <v>12.187913716943818</v>
      </c>
      <c r="AK9" s="3">
        <f t="shared" si="0"/>
        <v>4.003202166531743</v>
      </c>
      <c r="AL9" s="3">
        <f t="shared" si="0"/>
        <v>-9.2049934948282655</v>
      </c>
      <c r="AM9" s="3">
        <f t="shared" si="0"/>
        <v>-13.221934040161486</v>
      </c>
      <c r="AN9" s="3">
        <f t="shared" si="0"/>
        <v>-18.298214676881113</v>
      </c>
      <c r="AO9" s="3">
        <f t="shared" si="0"/>
        <v>-16.526809077840689</v>
      </c>
      <c r="AP9" s="3">
        <f t="shared" si="0"/>
        <v>-17.610055377026107</v>
      </c>
      <c r="AQ9" s="3"/>
    </row>
    <row r="10" spans="2:43" x14ac:dyDescent="0.15">
      <c r="C10" t="s">
        <v>4</v>
      </c>
      <c r="D10" t="s">
        <v>5</v>
      </c>
      <c r="K10" s="308">
        <v>80</v>
      </c>
      <c r="L10" s="3">
        <v>8.0055000000000014</v>
      </c>
      <c r="M10" s="3">
        <v>240.1</v>
      </c>
      <c r="N10" s="3">
        <v>-83.924627548136982</v>
      </c>
      <c r="O10" s="3">
        <v>110.69146680385855</v>
      </c>
      <c r="P10" s="3">
        <v>194.61609435199554</v>
      </c>
      <c r="Q10" s="3">
        <v>80</v>
      </c>
      <c r="R10" s="3">
        <v>8.0047999999999995</v>
      </c>
      <c r="S10" s="3">
        <v>254.15</v>
      </c>
      <c r="T10" s="3">
        <v>-95.786151584433213</v>
      </c>
      <c r="U10" s="3">
        <v>104.86166544562084</v>
      </c>
      <c r="V10" s="3">
        <v>200.64781703005406</v>
      </c>
      <c r="W10" s="3">
        <v>517.97700404648128</v>
      </c>
      <c r="X10" s="3">
        <v>65.935988353671362</v>
      </c>
      <c r="Y10" s="3">
        <v>60.658209116503386</v>
      </c>
      <c r="Z10" s="3">
        <v>52.899307595035523</v>
      </c>
      <c r="AA10" s="3">
        <v>39.130727175198793</v>
      </c>
      <c r="AB10" s="3">
        <v>35.156725990297538</v>
      </c>
      <c r="AC10" s="3">
        <v>30.589415923041177</v>
      </c>
      <c r="AD10" s="3">
        <v>32.039247395855341</v>
      </c>
      <c r="AE10" s="3">
        <v>30.629523015730452</v>
      </c>
      <c r="AF10" s="3">
        <v>67.240126473337639</v>
      </c>
      <c r="AG10" s="309">
        <v>48.656389304625122</v>
      </c>
      <c r="AI10" s="3">
        <f t="shared" si="1"/>
        <v>17.27959904904624</v>
      </c>
      <c r="AJ10" s="3">
        <f t="shared" si="0"/>
        <v>12.001819811878264</v>
      </c>
      <c r="AK10" s="3">
        <f t="shared" si="0"/>
        <v>4.242918290410401</v>
      </c>
      <c r="AL10" s="3">
        <f t="shared" si="0"/>
        <v>-9.5256621294263297</v>
      </c>
      <c r="AM10" s="3">
        <f t="shared" si="0"/>
        <v>-13.499663314327584</v>
      </c>
      <c r="AN10" s="3">
        <f t="shared" si="0"/>
        <v>-18.066973381583946</v>
      </c>
      <c r="AO10" s="3">
        <f t="shared" si="0"/>
        <v>-16.617141908769781</v>
      </c>
      <c r="AP10" s="3">
        <f t="shared" si="0"/>
        <v>-18.02686628889467</v>
      </c>
      <c r="AQ10" s="3"/>
    </row>
    <row r="11" spans="2:43" x14ac:dyDescent="0.15">
      <c r="B11" t="s">
        <v>141</v>
      </c>
      <c r="C11" s="107">
        <f>L29</f>
        <v>21.558461915520574</v>
      </c>
      <c r="D11" s="107">
        <f>M29</f>
        <v>3.8866064051300953</v>
      </c>
      <c r="F11" t="s">
        <v>459</v>
      </c>
      <c r="K11" s="308">
        <v>80</v>
      </c>
      <c r="L11" s="3">
        <v>7.9989999999999997</v>
      </c>
      <c r="M11" s="3">
        <v>169.5</v>
      </c>
      <c r="N11" s="3">
        <v>-127.64123985851943</v>
      </c>
      <c r="O11" s="3">
        <v>190.70416856960969</v>
      </c>
      <c r="P11" s="3">
        <v>318.34540842812908</v>
      </c>
      <c r="Q11" s="3">
        <v>80</v>
      </c>
      <c r="R11" s="3">
        <v>7.9888999999999992</v>
      </c>
      <c r="S11" s="3">
        <v>180</v>
      </c>
      <c r="T11" s="3">
        <v>-149.71723373925749</v>
      </c>
      <c r="U11" s="3">
        <v>177.47819594028149</v>
      </c>
      <c r="V11" s="3">
        <v>327.19542967953902</v>
      </c>
      <c r="W11" s="3">
        <v>396.01528741861938</v>
      </c>
      <c r="X11" s="3">
        <v>67.296242328506921</v>
      </c>
      <c r="Y11" s="3">
        <v>61.083092167881539</v>
      </c>
      <c r="Z11" s="3">
        <v>51.443914007280675</v>
      </c>
      <c r="AA11" s="3">
        <v>37.436984984573357</v>
      </c>
      <c r="AB11" s="3">
        <v>33.991587281203188</v>
      </c>
      <c r="AC11" s="3">
        <v>30.612742948609988</v>
      </c>
      <c r="AD11" s="3">
        <v>28.798356475690717</v>
      </c>
      <c r="AE11" s="3">
        <v>27.71722744629594</v>
      </c>
      <c r="AF11" s="3">
        <v>68.324392306141064</v>
      </c>
      <c r="AG11" s="309">
        <v>48.64710508699757</v>
      </c>
      <c r="AI11" s="3">
        <f t="shared" si="1"/>
        <v>18.649137241509351</v>
      </c>
      <c r="AJ11" s="3">
        <f t="shared" si="0"/>
        <v>12.435987080883969</v>
      </c>
      <c r="AK11" s="3">
        <f t="shared" si="0"/>
        <v>2.7968089202831052</v>
      </c>
      <c r="AL11" s="3">
        <f t="shared" si="0"/>
        <v>-11.210120102424213</v>
      </c>
      <c r="AM11" s="3">
        <f t="shared" si="0"/>
        <v>-14.655517805794382</v>
      </c>
      <c r="AN11" s="3">
        <f t="shared" si="0"/>
        <v>-18.034362138387582</v>
      </c>
      <c r="AO11" s="3">
        <f t="shared" si="0"/>
        <v>-19.848748611306853</v>
      </c>
      <c r="AP11" s="3">
        <f t="shared" si="0"/>
        <v>-20.92987764070163</v>
      </c>
      <c r="AQ11" s="3"/>
    </row>
    <row r="12" spans="2:43" x14ac:dyDescent="0.15">
      <c r="B12" t="s">
        <v>457</v>
      </c>
      <c r="C12" s="107">
        <f>U28</f>
        <v>-0.57965010557602148</v>
      </c>
      <c r="D12" s="107">
        <f>V28</f>
        <v>-3.3707784927193938</v>
      </c>
      <c r="E12">
        <f>C12*LN(F4)+D12</f>
        <v>-3.3423647623106199</v>
      </c>
      <c r="F12" s="213">
        <f>IF(E12&lt;-1,-1,IF(E12&gt;1,1,E12))</f>
        <v>-1</v>
      </c>
      <c r="G12" t="s">
        <v>31</v>
      </c>
      <c r="K12" s="308">
        <v>60</v>
      </c>
      <c r="L12" s="3">
        <v>5.988999999999999</v>
      </c>
      <c r="M12" s="3">
        <v>199.7</v>
      </c>
      <c r="N12" s="3">
        <v>-23.459373713588381</v>
      </c>
      <c r="O12" s="3">
        <v>10.910513665900297</v>
      </c>
      <c r="P12" s="3">
        <v>34.369887379488681</v>
      </c>
      <c r="Q12" s="3">
        <v>60</v>
      </c>
      <c r="R12" s="3">
        <v>5.9939999999999998</v>
      </c>
      <c r="S12" s="3">
        <v>218.2</v>
      </c>
      <c r="T12" s="3">
        <v>-27.4204270966043</v>
      </c>
      <c r="U12" s="3">
        <v>8.1606630098083706</v>
      </c>
      <c r="V12" s="3">
        <v>35.581090106412674</v>
      </c>
      <c r="W12" s="3">
        <v>259.35833531644158</v>
      </c>
      <c r="X12" s="3">
        <v>61.366762753653845</v>
      </c>
      <c r="Y12" s="3">
        <v>55.884924627314881</v>
      </c>
      <c r="Z12" s="3">
        <v>46.989125287479069</v>
      </c>
      <c r="AA12" s="3">
        <v>34.946790007381985</v>
      </c>
      <c r="AB12" s="3">
        <v>30.722183874220484</v>
      </c>
      <c r="AC12" s="3">
        <v>23.753305795418918</v>
      </c>
      <c r="AD12" s="3">
        <v>25.452754920157975</v>
      </c>
      <c r="AE12" s="3">
        <v>23.657990100749792</v>
      </c>
      <c r="AF12" s="3">
        <v>62.58320144579492</v>
      </c>
      <c r="AG12" s="309">
        <v>43.397891485041725</v>
      </c>
      <c r="AI12" s="3">
        <f t="shared" si="1"/>
        <v>17.968871268612119</v>
      </c>
      <c r="AJ12" s="3">
        <f t="shared" si="0"/>
        <v>12.487033142273155</v>
      </c>
      <c r="AK12" s="3">
        <f t="shared" si="0"/>
        <v>3.591233802437344</v>
      </c>
      <c r="AL12" s="3">
        <f t="shared" si="0"/>
        <v>-8.4511014776597406</v>
      </c>
      <c r="AM12" s="3">
        <f t="shared" si="0"/>
        <v>-12.675707610821242</v>
      </c>
      <c r="AN12" s="3">
        <f t="shared" si="0"/>
        <v>-19.644585689622808</v>
      </c>
      <c r="AO12" s="3">
        <f t="shared" si="0"/>
        <v>-17.94513656488375</v>
      </c>
      <c r="AP12" s="3">
        <f t="shared" si="0"/>
        <v>-19.739901384291933</v>
      </c>
      <c r="AQ12" s="3"/>
    </row>
    <row r="13" spans="2:43" x14ac:dyDescent="0.15">
      <c r="K13" s="308">
        <v>60</v>
      </c>
      <c r="L13" s="3">
        <v>5.9947999999999997</v>
      </c>
      <c r="M13" s="3">
        <v>173.95</v>
      </c>
      <c r="N13" s="3">
        <v>-41.97741313864146</v>
      </c>
      <c r="O13" s="3">
        <v>55.474149340767042</v>
      </c>
      <c r="P13" s="3">
        <v>97.451562479408508</v>
      </c>
      <c r="Q13" s="3">
        <v>60</v>
      </c>
      <c r="R13" s="3">
        <v>6.0069999999999988</v>
      </c>
      <c r="S13" s="3">
        <v>182.1</v>
      </c>
      <c r="T13" s="3">
        <v>-49.858537320759162</v>
      </c>
      <c r="U13" s="3">
        <v>53.024605703615251</v>
      </c>
      <c r="V13" s="3">
        <v>102.88314302437441</v>
      </c>
      <c r="W13" s="3">
        <v>220.49732692531043</v>
      </c>
      <c r="X13" s="3">
        <v>60.696326680480432</v>
      </c>
      <c r="Y13" s="3">
        <v>54.29788293029663</v>
      </c>
      <c r="Z13" s="3">
        <v>44.977806639831179</v>
      </c>
      <c r="AA13" s="3">
        <v>33.46182000852744</v>
      </c>
      <c r="AB13" s="3">
        <v>30.224885205480724</v>
      </c>
      <c r="AC13" s="3">
        <v>23.194924135847206</v>
      </c>
      <c r="AD13" s="3">
        <v>23.259405868737375</v>
      </c>
      <c r="AE13" s="3">
        <v>21.641169172190146</v>
      </c>
      <c r="AF13" s="3">
        <v>61.697410757595293</v>
      </c>
      <c r="AG13" s="309">
        <v>42.037975231571743</v>
      </c>
      <c r="AI13" s="3">
        <f t="shared" si="1"/>
        <v>18.658351448908689</v>
      </c>
      <c r="AJ13" s="3">
        <f t="shared" si="0"/>
        <v>12.259907698724888</v>
      </c>
      <c r="AK13" s="3">
        <f t="shared" si="0"/>
        <v>2.9398314082594368</v>
      </c>
      <c r="AL13" s="3">
        <f t="shared" si="0"/>
        <v>-8.576155223044303</v>
      </c>
      <c r="AM13" s="3">
        <f t="shared" si="0"/>
        <v>-11.813090026091018</v>
      </c>
      <c r="AN13" s="3">
        <f t="shared" si="0"/>
        <v>-18.843051095724537</v>
      </c>
      <c r="AO13" s="3">
        <f t="shared" si="0"/>
        <v>-18.778569362834368</v>
      </c>
      <c r="AP13" s="3">
        <f t="shared" si="0"/>
        <v>-20.396806059381596</v>
      </c>
      <c r="AQ13" s="3"/>
    </row>
    <row r="14" spans="2:43" ht="14" thickBot="1" x14ac:dyDescent="0.2">
      <c r="F14" t="s">
        <v>458</v>
      </c>
      <c r="H14" t="s">
        <v>460</v>
      </c>
      <c r="K14" s="310">
        <v>60</v>
      </c>
      <c r="L14" s="311">
        <v>6.0060000000000002</v>
      </c>
      <c r="M14" s="311">
        <v>128.4</v>
      </c>
      <c r="N14" s="311">
        <v>-62.401752628216236</v>
      </c>
      <c r="O14" s="311">
        <v>95.93427382776386</v>
      </c>
      <c r="P14" s="311">
        <v>158.33602645598009</v>
      </c>
      <c r="Q14" s="311">
        <v>60</v>
      </c>
      <c r="R14" s="311">
        <v>6.0003000000000002</v>
      </c>
      <c r="S14" s="311">
        <v>130</v>
      </c>
      <c r="T14" s="311">
        <v>-77.298695160468242</v>
      </c>
      <c r="U14" s="311">
        <v>89.519464554965609</v>
      </c>
      <c r="V14" s="311">
        <v>166.81815971543386</v>
      </c>
      <c r="W14" s="311">
        <v>173.13748215541941</v>
      </c>
      <c r="X14" s="311">
        <v>61.27583180576643</v>
      </c>
      <c r="Y14" s="311">
        <v>54.252490404039399</v>
      </c>
      <c r="Z14" s="311">
        <v>43.309075772355826</v>
      </c>
      <c r="AA14" s="311">
        <v>31.684610278627403</v>
      </c>
      <c r="AB14" s="311">
        <v>25.613292739404354</v>
      </c>
      <c r="AC14" s="311">
        <v>21.985333705734263</v>
      </c>
      <c r="AD14" s="311">
        <v>20.857122600026315</v>
      </c>
      <c r="AE14" s="311">
        <v>19.02380520290744</v>
      </c>
      <c r="AF14" s="311">
        <v>62.125402324774001</v>
      </c>
      <c r="AG14" s="312">
        <v>41.522310881079832</v>
      </c>
      <c r="AI14" s="3">
        <f t="shared" si="1"/>
        <v>19.753520924686597</v>
      </c>
      <c r="AJ14" s="3">
        <f t="shared" si="0"/>
        <v>12.730179522959567</v>
      </c>
      <c r="AK14" s="3">
        <f t="shared" si="0"/>
        <v>1.7867648912759933</v>
      </c>
      <c r="AL14" s="3">
        <f t="shared" si="0"/>
        <v>-9.8377006024524292</v>
      </c>
      <c r="AM14" s="3">
        <f t="shared" si="0"/>
        <v>-15.909018141675478</v>
      </c>
      <c r="AN14" s="3">
        <f t="shared" si="0"/>
        <v>-19.536977175345569</v>
      </c>
      <c r="AO14" s="3">
        <f t="shared" si="0"/>
        <v>-20.665188281053517</v>
      </c>
      <c r="AP14" s="3">
        <f t="shared" si="0"/>
        <v>-22.498505678172393</v>
      </c>
      <c r="AQ14" s="3"/>
    </row>
    <row r="15" spans="2:43" x14ac:dyDescent="0.15">
      <c r="B15" t="s">
        <v>91</v>
      </c>
      <c r="C15" s="314">
        <f>MAX(C4,C5)</f>
        <v>0</v>
      </c>
      <c r="D15" t="s">
        <v>25</v>
      </c>
      <c r="E15" s="82" t="s">
        <v>42</v>
      </c>
      <c r="F15" s="5" t="e">
        <f>C11*LN(C15)+D11</f>
        <v>#NUM!</v>
      </c>
      <c r="G15" t="s">
        <v>31</v>
      </c>
      <c r="H15" s="3" t="e">
        <f>F15+F12</f>
        <v>#NUM!</v>
      </c>
      <c r="I15" t="s">
        <v>31</v>
      </c>
    </row>
    <row r="16" spans="2:43" x14ac:dyDescent="0.15">
      <c r="B16" t="s">
        <v>92</v>
      </c>
      <c r="C16" s="79">
        <f>(2*MAX(C4,C5)+MIN(C4,C5))/3</f>
        <v>0</v>
      </c>
      <c r="D16" t="s">
        <v>25</v>
      </c>
      <c r="E16" s="82" t="s">
        <v>42</v>
      </c>
      <c r="F16" s="5" t="e">
        <f>C11*LN(C16)+D11</f>
        <v>#NUM!</v>
      </c>
      <c r="G16" t="s">
        <v>31</v>
      </c>
      <c r="H16" s="3" t="e">
        <f>F16+F12</f>
        <v>#NUM!</v>
      </c>
      <c r="I16" t="s">
        <v>31</v>
      </c>
      <c r="U16" s="2" t="s">
        <v>453</v>
      </c>
      <c r="AI16" s="3">
        <f>AVERAGE(AI6:AI14)</f>
        <v>17.550783611685731</v>
      </c>
      <c r="AJ16" s="3">
        <f t="shared" ref="AJ16:AP16" si="2">AVERAGE(AJ6:AJ14)</f>
        <v>12.470744429571859</v>
      </c>
      <c r="AK16" s="3">
        <f t="shared" si="2"/>
        <v>3.4806943409591775</v>
      </c>
      <c r="AL16" s="3">
        <f t="shared" si="2"/>
        <v>-9.699103544599005</v>
      </c>
      <c r="AM16" s="3">
        <f t="shared" si="2"/>
        <v>-14.029286646404659</v>
      </c>
      <c r="AN16" s="3">
        <f t="shared" si="2"/>
        <v>-17.889395217753208</v>
      </c>
      <c r="AO16" s="3">
        <f t="shared" si="2"/>
        <v>-17.706926772737738</v>
      </c>
      <c r="AP16" s="3">
        <f t="shared" si="2"/>
        <v>-19.035760621304281</v>
      </c>
    </row>
    <row r="17" spans="2:42" x14ac:dyDescent="0.15">
      <c r="L17" s="4" t="s">
        <v>25</v>
      </c>
      <c r="M17" s="4" t="s">
        <v>27</v>
      </c>
      <c r="N17" s="4" t="s">
        <v>444</v>
      </c>
      <c r="O17" s="4" t="s">
        <v>445</v>
      </c>
      <c r="P17" t="s">
        <v>446</v>
      </c>
      <c r="R17" t="s">
        <v>447</v>
      </c>
      <c r="S17" t="s">
        <v>87</v>
      </c>
      <c r="U17" t="s">
        <v>82</v>
      </c>
      <c r="V17" t="s">
        <v>448</v>
      </c>
      <c r="X17" t="s">
        <v>449</v>
      </c>
      <c r="AI17" s="3">
        <f>ROUND(AI16,0)</f>
        <v>18</v>
      </c>
      <c r="AJ17" s="3">
        <f t="shared" ref="AJ17:AP17" si="3">ROUND(AJ16,0)</f>
        <v>12</v>
      </c>
      <c r="AK17" s="3">
        <f t="shared" si="3"/>
        <v>3</v>
      </c>
      <c r="AL17" s="3">
        <f t="shared" si="3"/>
        <v>-10</v>
      </c>
      <c r="AM17" s="3">
        <f t="shared" si="3"/>
        <v>-14</v>
      </c>
      <c r="AN17" s="3">
        <f t="shared" si="3"/>
        <v>-18</v>
      </c>
      <c r="AO17" s="3">
        <f t="shared" si="3"/>
        <v>-18</v>
      </c>
      <c r="AP17" s="3">
        <f t="shared" si="3"/>
        <v>-19</v>
      </c>
    </row>
    <row r="18" spans="2:42" ht="14" x14ac:dyDescent="0.15">
      <c r="B18" s="83" t="s">
        <v>82</v>
      </c>
      <c r="K18" s="3"/>
      <c r="L18" s="5">
        <f>L6</f>
        <v>9.9980000000000011</v>
      </c>
      <c r="M18" s="6">
        <f>AG6</f>
        <v>54.052145206595526</v>
      </c>
      <c r="N18" s="99">
        <f>P6/M6^2</f>
        <v>8.0196175148723031E-4</v>
      </c>
      <c r="O18" s="99">
        <f>V6/S6^2</f>
        <v>7.6520997302445765E-4</v>
      </c>
      <c r="P18" s="213">
        <f>AVERAGE(N18:O18)</f>
        <v>7.8358586225584404E-4</v>
      </c>
      <c r="R18">
        <f t="shared" ref="R18:R26" si="4">$L$29*LN(L18)+$M$29</f>
        <v>53.522487316077793</v>
      </c>
      <c r="S18" s="3">
        <f>M18-R18</f>
        <v>0.52965789051773271</v>
      </c>
      <c r="U18">
        <f t="shared" ref="U18:U26" si="5">$U$28*LN(P18)+$V$28</f>
        <v>0.77466454202855406</v>
      </c>
      <c r="V18" s="84">
        <f>R18+U18</f>
        <v>54.297151858106346</v>
      </c>
      <c r="X18" s="3">
        <f>V18-M18</f>
        <v>0.24500665151082046</v>
      </c>
    </row>
    <row r="19" spans="2:42" x14ac:dyDescent="0.15">
      <c r="K19" s="3"/>
      <c r="L19" s="5">
        <f t="shared" ref="L19:L26" si="6">L7</f>
        <v>9.9939</v>
      </c>
      <c r="M19" s="6">
        <f t="shared" ref="M19:M26" si="7">AG7</f>
        <v>52.776208381479023</v>
      </c>
      <c r="N19" s="99">
        <f t="shared" ref="N19:N26" si="8">P7/M7^2</f>
        <v>3.4384230248819276E-3</v>
      </c>
      <c r="O19" s="99">
        <f t="shared" ref="O19:O26" si="9">V7/S7^2</f>
        <v>3.1483150169535471E-3</v>
      </c>
      <c r="P19" s="213">
        <f t="shared" ref="P19:P26" si="10">AVERAGE(N19:O19)</f>
        <v>3.2933690209177371E-3</v>
      </c>
      <c r="R19">
        <f t="shared" si="4"/>
        <v>53.513644765335449</v>
      </c>
      <c r="S19" s="3">
        <f t="shared" ref="S19:S26" si="11">M19-R19</f>
        <v>-0.7374363838564264</v>
      </c>
      <c r="U19">
        <f t="shared" si="5"/>
        <v>-5.7588787350060233E-2</v>
      </c>
      <c r="V19" s="84">
        <f t="shared" ref="V19:V26" si="12">R19+U19</f>
        <v>53.456055977985386</v>
      </c>
      <c r="X19" s="3">
        <f t="shared" ref="X19:X26" si="13">V19-M19</f>
        <v>0.67984759650636306</v>
      </c>
    </row>
    <row r="20" spans="2:42" x14ac:dyDescent="0.15">
      <c r="B20" s="2" t="s">
        <v>84</v>
      </c>
      <c r="K20" s="3"/>
      <c r="L20" s="5">
        <f t="shared" si="6"/>
        <v>9.9953000000000003</v>
      </c>
      <c r="M20" s="6">
        <f t="shared" si="7"/>
        <v>53.024004158793858</v>
      </c>
      <c r="N20" s="99">
        <f t="shared" si="8"/>
        <v>1.1773327174725056E-2</v>
      </c>
      <c r="O20" s="99">
        <f t="shared" si="9"/>
        <v>1.0164108316721305E-2</v>
      </c>
      <c r="P20" s="213">
        <f t="shared" si="10"/>
        <v>1.096871774572318E-2</v>
      </c>
      <c r="R20">
        <f t="shared" si="4"/>
        <v>53.516664580708863</v>
      </c>
      <c r="S20" s="3">
        <f t="shared" si="11"/>
        <v>-0.49266042191500503</v>
      </c>
      <c r="U20">
        <f t="shared" si="5"/>
        <v>-0.75498688269917702</v>
      </c>
      <c r="V20" s="84">
        <f t="shared" si="12"/>
        <v>52.761677698009684</v>
      </c>
      <c r="X20" s="3">
        <f t="shared" si="13"/>
        <v>-0.26232646078417332</v>
      </c>
    </row>
    <row r="21" spans="2:42" x14ac:dyDescent="0.15">
      <c r="B21" t="s">
        <v>85</v>
      </c>
      <c r="C21" t="s">
        <v>28</v>
      </c>
      <c r="D21" s="3" t="str">
        <f>'R-series ALU'!N54</f>
        <v>-</v>
      </c>
      <c r="E21" t="s">
        <v>31</v>
      </c>
      <c r="K21" s="3"/>
      <c r="L21" s="5">
        <f t="shared" si="6"/>
        <v>8.0030000000000001</v>
      </c>
      <c r="M21" s="6">
        <f t="shared" si="7"/>
        <v>50.113323788361761</v>
      </c>
      <c r="N21" s="99">
        <f t="shared" si="8"/>
        <v>7.9873009967434787E-4</v>
      </c>
      <c r="O21" s="99">
        <f t="shared" si="9"/>
        <v>7.5038812782047876E-4</v>
      </c>
      <c r="P21" s="213">
        <f t="shared" si="10"/>
        <v>7.7455911374741337E-4</v>
      </c>
      <c r="R21">
        <f t="shared" si="4"/>
        <v>48.724250594754039</v>
      </c>
      <c r="S21" s="3">
        <f t="shared" si="11"/>
        <v>1.3890731936077216</v>
      </c>
      <c r="U21">
        <f t="shared" si="5"/>
        <v>0.78138075180835287</v>
      </c>
      <c r="V21" s="84">
        <f t="shared" si="12"/>
        <v>49.505631346562396</v>
      </c>
      <c r="X21" s="3">
        <f t="shared" si="13"/>
        <v>-0.60769244179936521</v>
      </c>
    </row>
    <row r="22" spans="2:42" x14ac:dyDescent="0.15">
      <c r="B22" s="25"/>
      <c r="C22" s="25" t="s">
        <v>8</v>
      </c>
      <c r="D22" s="81" t="str">
        <f>'R-series ALU'!N55</f>
        <v>-</v>
      </c>
      <c r="E22" t="s">
        <v>31</v>
      </c>
      <c r="K22" s="3"/>
      <c r="L22" s="5">
        <f t="shared" si="6"/>
        <v>8.0055000000000014</v>
      </c>
      <c r="M22" s="6">
        <f t="shared" si="7"/>
        <v>48.656389304625122</v>
      </c>
      <c r="N22" s="99">
        <f t="shared" si="8"/>
        <v>3.3759377704797714E-3</v>
      </c>
      <c r="O22" s="99">
        <f t="shared" si="9"/>
        <v>3.1063773510820757E-3</v>
      </c>
      <c r="P22" s="213">
        <f t="shared" si="10"/>
        <v>3.2411575607809236E-3</v>
      </c>
      <c r="R22">
        <f t="shared" si="4"/>
        <v>48.730984037016214</v>
      </c>
      <c r="S22" s="3">
        <f t="shared" si="11"/>
        <v>-7.4594732391091156E-2</v>
      </c>
      <c r="U22">
        <f t="shared" si="5"/>
        <v>-4.8325676375312376E-2</v>
      </c>
      <c r="V22" s="84">
        <f t="shared" si="12"/>
        <v>48.6826583606409</v>
      </c>
      <c r="X22" s="3">
        <f t="shared" si="13"/>
        <v>2.6269056015777892E-2</v>
      </c>
    </row>
    <row r="23" spans="2:42" x14ac:dyDescent="0.15">
      <c r="C23" t="s">
        <v>87</v>
      </c>
      <c r="D23" s="3" t="e">
        <f>ABS(D21-D22)</f>
        <v>#VALUE!</v>
      </c>
      <c r="E23" t="s">
        <v>31</v>
      </c>
      <c r="K23" s="3"/>
      <c r="L23" s="5">
        <f t="shared" si="6"/>
        <v>7.9989999999999997</v>
      </c>
      <c r="M23" s="6">
        <f t="shared" si="7"/>
        <v>48.64710508699757</v>
      </c>
      <c r="N23" s="99">
        <f t="shared" si="8"/>
        <v>1.1080495590122922E-2</v>
      </c>
      <c r="O23" s="99">
        <f t="shared" si="9"/>
        <v>1.0098624372825278E-2</v>
      </c>
      <c r="P23" s="213">
        <f t="shared" si="10"/>
        <v>1.05895599814741E-2</v>
      </c>
      <c r="R23">
        <f t="shared" si="4"/>
        <v>48.71347271080726</v>
      </c>
      <c r="S23" s="3">
        <f t="shared" si="11"/>
        <v>-6.6367623809689746E-2</v>
      </c>
      <c r="U23">
        <f t="shared" si="5"/>
        <v>-0.73459550395123774</v>
      </c>
      <c r="V23" s="84">
        <f t="shared" si="12"/>
        <v>47.978877206856019</v>
      </c>
      <c r="X23" s="3">
        <f t="shared" si="13"/>
        <v>-0.66822788014155066</v>
      </c>
    </row>
    <row r="24" spans="2:42" x14ac:dyDescent="0.15">
      <c r="D24" s="3"/>
      <c r="K24" s="3"/>
      <c r="L24" s="5">
        <f t="shared" si="6"/>
        <v>5.988999999999999</v>
      </c>
      <c r="M24" s="6">
        <f t="shared" si="7"/>
        <v>43.397891485041725</v>
      </c>
      <c r="N24" s="99">
        <f t="shared" si="8"/>
        <v>8.6183073758079999E-4</v>
      </c>
      <c r="O24" s="99">
        <f t="shared" si="9"/>
        <v>7.4732542371113786E-4</v>
      </c>
      <c r="P24" s="213">
        <f t="shared" si="10"/>
        <v>8.0457808064596887E-4</v>
      </c>
      <c r="R24">
        <f t="shared" si="4"/>
        <v>42.474624562876087</v>
      </c>
      <c r="S24" s="3">
        <f t="shared" si="11"/>
        <v>0.92326692216563799</v>
      </c>
      <c r="U24">
        <f t="shared" si="5"/>
        <v>0.75934011613379315</v>
      </c>
      <c r="V24" s="84">
        <f t="shared" si="12"/>
        <v>43.23396467900988</v>
      </c>
      <c r="X24" s="3">
        <f t="shared" si="13"/>
        <v>-0.16392680603184573</v>
      </c>
    </row>
    <row r="25" spans="2:42" x14ac:dyDescent="0.15">
      <c r="B25" t="s">
        <v>86</v>
      </c>
      <c r="C25" t="s">
        <v>7</v>
      </c>
      <c r="D25" s="3" t="str">
        <f>'R-series ALU'!N53</f>
        <v>-</v>
      </c>
      <c r="E25" t="s">
        <v>31</v>
      </c>
      <c r="K25" s="3"/>
      <c r="L25" s="5">
        <f t="shared" si="6"/>
        <v>5.9947999999999997</v>
      </c>
      <c r="M25" s="6">
        <f t="shared" si="7"/>
        <v>42.037975231571743</v>
      </c>
      <c r="N25" s="99">
        <f t="shared" si="8"/>
        <v>3.2206233741101731E-3</v>
      </c>
      <c r="O25" s="99">
        <f t="shared" si="9"/>
        <v>3.1025895947720313E-3</v>
      </c>
      <c r="P25" s="213">
        <f t="shared" si="10"/>
        <v>3.1616064844411022E-3</v>
      </c>
      <c r="R25">
        <f t="shared" si="4"/>
        <v>42.495492582848584</v>
      </c>
      <c r="S25" s="3">
        <f t="shared" si="11"/>
        <v>-0.45751735127684157</v>
      </c>
      <c r="U25">
        <f t="shared" si="5"/>
        <v>-3.3921221542812852E-2</v>
      </c>
      <c r="V25" s="84">
        <f t="shared" si="12"/>
        <v>42.461571361305772</v>
      </c>
      <c r="X25" s="3">
        <f t="shared" si="13"/>
        <v>0.4235961297340296</v>
      </c>
    </row>
    <row r="26" spans="2:42" x14ac:dyDescent="0.15">
      <c r="B26" s="25"/>
      <c r="C26" s="25" t="s">
        <v>57</v>
      </c>
      <c r="D26" s="81" t="str">
        <f>'R-series ALU'!N56</f>
        <v>-</v>
      </c>
      <c r="E26" t="s">
        <v>31</v>
      </c>
      <c r="K26" s="3"/>
      <c r="L26" s="5">
        <f t="shared" si="6"/>
        <v>6.0060000000000002</v>
      </c>
      <c r="M26" s="6">
        <f t="shared" si="7"/>
        <v>41.522310881079832</v>
      </c>
      <c r="N26" s="99">
        <f t="shared" si="8"/>
        <v>9.6039456658017237E-3</v>
      </c>
      <c r="O26" s="99">
        <f t="shared" si="9"/>
        <v>9.8708970245818851E-3</v>
      </c>
      <c r="P26" s="213">
        <f t="shared" si="10"/>
        <v>9.7374213451918053E-3</v>
      </c>
      <c r="R26">
        <f t="shared" si="4"/>
        <v>42.535732374121807</v>
      </c>
      <c r="S26" s="3">
        <f t="shared" si="11"/>
        <v>-1.0134214930419745</v>
      </c>
      <c r="U26">
        <f t="shared" si="5"/>
        <v>-0.68596733805203858</v>
      </c>
      <c r="V26" s="84">
        <f t="shared" si="12"/>
        <v>41.849765036069769</v>
      </c>
      <c r="X26" s="3">
        <f t="shared" si="13"/>
        <v>0.3274541549899368</v>
      </c>
    </row>
    <row r="27" spans="2:42" x14ac:dyDescent="0.15">
      <c r="C27" t="s">
        <v>87</v>
      </c>
      <c r="D27" s="3" t="e">
        <f>ABS(D25-D26)</f>
        <v>#VALUE!</v>
      </c>
      <c r="E27" t="s">
        <v>31</v>
      </c>
      <c r="K27" s="3"/>
      <c r="U27" t="s">
        <v>452</v>
      </c>
    </row>
    <row r="28" spans="2:42" x14ac:dyDescent="0.15">
      <c r="K28" s="3"/>
      <c r="L28" t="s">
        <v>451</v>
      </c>
      <c r="U28" s="2" cm="1">
        <f t="array" ref="U28:V28">LINEST(S18:S26,LN(P18:P26))</f>
        <v>-0.57965010557602148</v>
      </c>
      <c r="V28" s="2">
        <v>-3.3707784927193938</v>
      </c>
      <c r="X28" s="314">
        <f t="array" ref="X28">AVERAGE(ABS(X18:X26))</f>
        <v>0.37826079750154029</v>
      </c>
      <c r="Y28" t="s">
        <v>31</v>
      </c>
    </row>
    <row r="29" spans="2:42" x14ac:dyDescent="0.15">
      <c r="B29" t="s">
        <v>94</v>
      </c>
      <c r="C29" s="3" t="e">
        <f>AVERAGE(D27,D23)</f>
        <v>#VALUE!</v>
      </c>
      <c r="D29" t="s">
        <v>31</v>
      </c>
      <c r="L29" s="2">
        <f t="array" ref="L29:M29">LINEST(M18:M26,LN(L18:L26))</f>
        <v>21.558461915520574</v>
      </c>
      <c r="M29" s="2">
        <v>3.8866064051300953</v>
      </c>
    </row>
    <row r="30" spans="2:42" x14ac:dyDescent="0.15">
      <c r="B30" t="s">
        <v>93</v>
      </c>
      <c r="C30" s="3" t="e">
        <f>-10*LOG10((1-10^(-C29/10)))-3</f>
        <v>#VALUE!</v>
      </c>
      <c r="D30" t="s">
        <v>31</v>
      </c>
      <c r="U30" s="4" t="s">
        <v>22</v>
      </c>
      <c r="V30" s="4" t="s">
        <v>450</v>
      </c>
    </row>
    <row r="31" spans="2:42" x14ac:dyDescent="0.15">
      <c r="U31" s="4">
        <v>1</v>
      </c>
      <c r="V31" s="4">
        <v>-1</v>
      </c>
    </row>
    <row r="32" spans="2:42" x14ac:dyDescent="0.15">
      <c r="B32" t="s">
        <v>83</v>
      </c>
      <c r="C32" s="3" t="e">
        <f>H15+C30</f>
        <v>#NUM!</v>
      </c>
      <c r="D32" t="s">
        <v>31</v>
      </c>
    </row>
    <row r="33" spans="2:23" x14ac:dyDescent="0.15">
      <c r="B33" t="s">
        <v>95</v>
      </c>
      <c r="C33" s="3" t="e">
        <f>H15-2.6</f>
        <v>#NUM!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 t="e">
        <f>MIN(H15,IF(C29&lt;3,H16,IF(C29&gt;10,C33,C32)))</f>
        <v>#VALUE!</v>
      </c>
      <c r="D35" s="2" t="s">
        <v>31</v>
      </c>
      <c r="F35" s="5" t="e">
        <f>C35+10*LOG10(4/10)</f>
        <v>#VALUE!</v>
      </c>
      <c r="G35" s="5" t="e">
        <f>C35+10*LOG10(4/2.5)</f>
        <v>#VALUE!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315">
        <f>AI17</f>
        <v>18</v>
      </c>
      <c r="D39" s="315">
        <f t="shared" ref="D39:J39" si="14">AJ17</f>
        <v>12</v>
      </c>
      <c r="E39" s="315">
        <f t="shared" si="14"/>
        <v>3</v>
      </c>
      <c r="F39" s="315">
        <f t="shared" si="14"/>
        <v>-10</v>
      </c>
      <c r="G39" s="315">
        <f t="shared" si="14"/>
        <v>-14</v>
      </c>
      <c r="H39" s="315">
        <f t="shared" si="14"/>
        <v>-18</v>
      </c>
      <c r="I39" s="315">
        <f t="shared" si="14"/>
        <v>-18</v>
      </c>
      <c r="J39" s="315">
        <f t="shared" si="14"/>
        <v>-19</v>
      </c>
      <c r="K39" s="87" t="s">
        <v>42</v>
      </c>
      <c r="L39" s="86" t="e">
        <f>$C$35+C39</f>
        <v>#VALUE!</v>
      </c>
      <c r="M39" s="86" t="e">
        <f t="shared" ref="M39:S39" si="15">$C$35+D39</f>
        <v>#VALUE!</v>
      </c>
      <c r="N39" s="86" t="e">
        <f t="shared" si="15"/>
        <v>#VALUE!</v>
      </c>
      <c r="O39" s="86" t="e">
        <f t="shared" si="15"/>
        <v>#VALUE!</v>
      </c>
      <c r="P39" s="86" t="e">
        <f t="shared" si="15"/>
        <v>#VALUE!</v>
      </c>
      <c r="Q39" s="86" t="e">
        <f t="shared" si="15"/>
        <v>#VALUE!</v>
      </c>
      <c r="R39" s="86" t="e">
        <f t="shared" si="15"/>
        <v>#VALUE!</v>
      </c>
      <c r="S39" s="86" t="e">
        <f t="shared" si="15"/>
        <v>#VALUE!</v>
      </c>
      <c r="T39" s="5" t="e">
        <f t="array" ref="T39">10*LOG10(SUM(10^(L39:S39/10)))</f>
        <v>#VALUE!</v>
      </c>
      <c r="U39" s="5" t="e">
        <f t="array" ref="U39">10*LOG10(SUM(10^((L39:S39+L41:S41)/10)))</f>
        <v>#VALUE!</v>
      </c>
      <c r="W39" t="e">
        <f>IF(ABS(C35-U39)&lt;0.5,"OK","Tarkista laskenta!")</f>
        <v>#VALUE!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mergeCells count="26"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</mergeCells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D3B4E-5DA4-4DE6-923E-4384D826CE6D}">
  <sheetPr codeName="Taul14"/>
  <dimension ref="C4:AC63"/>
  <sheetViews>
    <sheetView topLeftCell="A4" workbookViewId="0">
      <selection activeCell="E33" sqref="E33"/>
    </sheetView>
  </sheetViews>
  <sheetFormatPr baseColWidth="10" defaultColWidth="8.83203125" defaultRowHeight="13" x14ac:dyDescent="0.15"/>
  <cols>
    <col min="6" max="6" width="12.1640625" customWidth="1"/>
    <col min="7" max="7" width="7" customWidth="1"/>
    <col min="8" max="8" width="47" bestFit="1" customWidth="1"/>
    <col min="9" max="9" width="9.6640625" customWidth="1"/>
    <col min="11" max="11" width="5.83203125" customWidth="1"/>
    <col min="13" max="13" width="13.1640625" customWidth="1"/>
    <col min="14" max="14" width="9" bestFit="1" customWidth="1"/>
    <col min="15" max="15" width="23" bestFit="1" customWidth="1"/>
    <col min="16" max="16" width="12.5" bestFit="1" customWidth="1"/>
    <col min="17" max="17" width="13" bestFit="1" customWidth="1"/>
    <col min="18" max="18" width="9.5" bestFit="1" customWidth="1"/>
    <col min="19" max="19" width="9.33203125" bestFit="1" customWidth="1"/>
    <col min="20" max="20" width="9.83203125" bestFit="1" customWidth="1"/>
  </cols>
  <sheetData>
    <row r="4" spans="5:29" ht="14" thickBot="1" x14ac:dyDescent="0.2"/>
    <row r="5" spans="5:29" x14ac:dyDescent="0.1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" x14ac:dyDescent="0.15">
      <c r="H6" s="232" t="s">
        <v>485</v>
      </c>
      <c r="I6" s="363">
        <f>'R-series ALU'!E33</f>
        <v>9.7222222222222214</v>
      </c>
      <c r="J6" s="364" t="s">
        <v>72</v>
      </c>
      <c r="M6" s="232"/>
      <c r="AC6" s="364"/>
    </row>
    <row r="7" spans="5:29" x14ac:dyDescent="0.15">
      <c r="H7" s="232" t="s">
        <v>486</v>
      </c>
      <c r="I7" s="233">
        <f>I6*1.2*(I9-I8)</f>
        <v>221.66666666666666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15">
      <c r="E8" s="3"/>
      <c r="H8" s="232" t="s">
        <v>489</v>
      </c>
      <c r="I8" s="365">
        <f>'R-series ALU'!F86</f>
        <v>1</v>
      </c>
      <c r="J8" s="364" t="s">
        <v>230</v>
      </c>
      <c r="M8" s="234">
        <v>50</v>
      </c>
      <c r="N8" s="80">
        <v>3256.3317271747369</v>
      </c>
      <c r="O8" s="5">
        <v>-0.58214389746577666</v>
      </c>
      <c r="AC8" s="364"/>
    </row>
    <row r="9" spans="5:29" x14ac:dyDescent="0.15">
      <c r="H9" s="232" t="s">
        <v>490</v>
      </c>
      <c r="I9" s="365">
        <f>'R-series ALU'!F87</f>
        <v>20</v>
      </c>
      <c r="J9" s="364" t="s">
        <v>230</v>
      </c>
      <c r="M9" s="234">
        <v>50</v>
      </c>
      <c r="N9" s="80">
        <v>4035.0197488904359</v>
      </c>
      <c r="O9" s="5">
        <v>0.25822895426740189</v>
      </c>
      <c r="P9">
        <f t="array" ref="P9:Q9">LINEST(O8:O10,N8:N10)</f>
        <v>3.2522525251415591E-4</v>
      </c>
      <c r="Q9">
        <v>-1.3895607014599203</v>
      </c>
      <c r="AC9" s="364"/>
    </row>
    <row r="10" spans="5:29" ht="14" thickBot="1" x14ac:dyDescent="0.2">
      <c r="H10" s="234" t="s">
        <v>491</v>
      </c>
      <c r="I10" s="365">
        <f>'R-series ALU'!F88</f>
        <v>50</v>
      </c>
      <c r="J10" s="364" t="s">
        <v>230</v>
      </c>
      <c r="M10" s="234">
        <v>50</v>
      </c>
      <c r="N10" s="80">
        <v>6371.083814037529</v>
      </c>
      <c r="O10" s="5">
        <v>0.59860180600058044</v>
      </c>
      <c r="AC10" s="364"/>
    </row>
    <row r="11" spans="5:29" ht="14" thickBot="1" x14ac:dyDescent="0.2">
      <c r="H11" s="234" t="s">
        <v>492</v>
      </c>
      <c r="I11" s="365">
        <f>'R-series ALU'!F89</f>
        <v>30</v>
      </c>
      <c r="J11" s="364" t="s">
        <v>230</v>
      </c>
      <c r="M11" s="234">
        <v>50</v>
      </c>
      <c r="N11" s="80">
        <v>1061.8473023395884</v>
      </c>
      <c r="O11" s="5">
        <v>-12.800466064666473</v>
      </c>
      <c r="P11" t="s">
        <v>493</v>
      </c>
      <c r="Q11" s="366">
        <f>P9*I12+Q9</f>
        <v>-1.2364601645077955</v>
      </c>
      <c r="AC11" s="364"/>
    </row>
    <row r="12" spans="5:29" x14ac:dyDescent="0.15">
      <c r="H12" s="232" t="s">
        <v>494</v>
      </c>
      <c r="I12" s="367">
        <f>$I$7/4186/(20)/1000/((12.5/2000)^2*PI())*0.0125/0.0000005729</f>
        <v>470.75230403721741</v>
      </c>
      <c r="J12" s="368" t="s">
        <v>393</v>
      </c>
      <c r="M12" s="234">
        <v>50</v>
      </c>
      <c r="N12" s="80"/>
      <c r="O12" s="5"/>
      <c r="AC12" s="364"/>
    </row>
    <row r="13" spans="5:29" ht="14" thickBot="1" x14ac:dyDescent="0.2">
      <c r="H13" s="369" t="s">
        <v>495</v>
      </c>
      <c r="I13" s="370">
        <f>I7/1000/($P$48)-$S$22</f>
        <v>6.3500675425841937</v>
      </c>
      <c r="J13" s="239" t="s">
        <v>496</v>
      </c>
      <c r="M13" s="234">
        <v>50</v>
      </c>
      <c r="N13" s="80"/>
      <c r="O13" s="5"/>
      <c r="AC13" s="364"/>
    </row>
    <row r="14" spans="5:29" ht="14" thickBot="1" x14ac:dyDescent="0.2">
      <c r="M14" s="371">
        <v>50</v>
      </c>
      <c r="N14" s="257"/>
      <c r="O14" s="209"/>
      <c r="P14" s="25"/>
      <c r="Q14" s="25"/>
      <c r="AC14" s="364"/>
    </row>
    <row r="15" spans="5:29" x14ac:dyDescent="0.15">
      <c r="H15" s="360" t="s">
        <v>497</v>
      </c>
      <c r="I15" s="372"/>
      <c r="J15" s="362"/>
      <c r="M15" s="234">
        <v>100</v>
      </c>
      <c r="N15" s="80">
        <v>4813.7077706061336</v>
      </c>
      <c r="O15" s="5">
        <v>-2.3333895731398684</v>
      </c>
      <c r="AC15" s="364"/>
    </row>
    <row r="16" spans="5:29" x14ac:dyDescent="0.1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6158.7143535696114</v>
      </c>
      <c r="O16" s="5">
        <v>-1.9655812384002047E-2</v>
      </c>
      <c r="P16">
        <f t="array" ref="P16:Q16">LINEST(O15:O17,N15:N17)</f>
        <v>1.0307593940134471E-3</v>
      </c>
      <c r="Q16">
        <v>-6.8922440626073289</v>
      </c>
      <c r="AC16" s="364"/>
    </row>
    <row r="17" spans="3:29" ht="14" thickBot="1" x14ac:dyDescent="0.2">
      <c r="C17" t="s">
        <v>532</v>
      </c>
      <c r="E17" t="b">
        <f>IF(I17&lt;I8,TRUE,FALSE)</f>
        <v>1</v>
      </c>
      <c r="F17" t="b">
        <f>IF(I17&gt;I16,TRUE,FALSE)</f>
        <v>0</v>
      </c>
      <c r="H17" s="234" t="s">
        <v>492</v>
      </c>
      <c r="I17" s="235">
        <f>(I13+AVERAGE(I8:I9))*2-I10</f>
        <v>-16.299864914831616</v>
      </c>
      <c r="J17" s="364" t="s">
        <v>230</v>
      </c>
      <c r="M17" s="234">
        <v>100</v>
      </c>
      <c r="N17" s="80">
        <v>10618.473023395884</v>
      </c>
      <c r="O17" s="5">
        <v>3.9313311962206896</v>
      </c>
      <c r="AC17" s="364"/>
    </row>
    <row r="18" spans="3:29" ht="16" thickBot="1" x14ac:dyDescent="0.2">
      <c r="E18" t="b">
        <f t="array" ref="E18">IF(ISERROR(I16:I22),TRUE,FALSE)</f>
        <v>0</v>
      </c>
      <c r="H18" s="234" t="s">
        <v>498</v>
      </c>
      <c r="I18" s="373">
        <f>I7/4186/(I16-I17)</f>
        <v>7.9870889861919942E-4</v>
      </c>
      <c r="J18" s="364" t="s">
        <v>72</v>
      </c>
      <c r="M18" s="234">
        <v>100</v>
      </c>
      <c r="N18" s="80">
        <v>1274.2167628075058</v>
      </c>
      <c r="O18" s="5">
        <v>-15.676480512907034</v>
      </c>
      <c r="P18" t="s">
        <v>493</v>
      </c>
      <c r="Q18" s="366">
        <f>I12*P16+Q16</f>
        <v>-6.4070117029674929</v>
      </c>
      <c r="AC18" s="364"/>
    </row>
    <row r="19" spans="3:29" x14ac:dyDescent="0.15">
      <c r="E19" t="b">
        <f>IF(I18&lt;0,TRUE,IF(I19&gt;50,TRUE,FALSE))</f>
        <v>0</v>
      </c>
      <c r="H19" s="234" t="s">
        <v>499</v>
      </c>
      <c r="I19" s="235">
        <f>$O$62*I18^$M$62</f>
        <v>2.677660654366646E-3</v>
      </c>
      <c r="J19" s="364" t="s">
        <v>500</v>
      </c>
      <c r="M19" s="234">
        <v>100</v>
      </c>
      <c r="N19" s="80"/>
      <c r="O19" s="5"/>
      <c r="AC19" s="364"/>
    </row>
    <row r="20" spans="3:29" x14ac:dyDescent="0.15">
      <c r="E20" t="b">
        <f>IF(I18&lt;0,TRUE,IF(I20&gt;50,TRUE,FALSE))</f>
        <v>0</v>
      </c>
      <c r="H20" s="234" t="s">
        <v>557</v>
      </c>
      <c r="I20" s="235">
        <f>((I18*3.6)/1)^2*100</f>
        <v>8.2676493253460901E-4</v>
      </c>
      <c r="J20" s="364" t="s">
        <v>500</v>
      </c>
      <c r="M20" s="234">
        <v>100</v>
      </c>
      <c r="N20" s="80"/>
      <c r="O20" s="5"/>
      <c r="S20" t="s">
        <v>488</v>
      </c>
      <c r="AC20" s="364"/>
    </row>
    <row r="21" spans="3:29" x14ac:dyDescent="0.15">
      <c r="E21" t="b">
        <f>IF(I22&lt;3000,TRUE,FALSE)</f>
        <v>1</v>
      </c>
      <c r="H21" s="234" t="s">
        <v>501</v>
      </c>
      <c r="I21" s="373">
        <f>I18/1000/((12.5/2000)^2*PI())</f>
        <v>6.5084656285045294E-3</v>
      </c>
      <c r="J21" s="364" t="s">
        <v>502</v>
      </c>
      <c r="M21" s="234">
        <v>100</v>
      </c>
      <c r="N21" s="80"/>
      <c r="O21" s="5"/>
      <c r="AC21" s="364"/>
    </row>
    <row r="22" spans="3:29" ht="14" thickBot="1" x14ac:dyDescent="0.2">
      <c r="D22" s="2" t="s">
        <v>536</v>
      </c>
      <c r="E22" s="2" t="b">
        <f>IF(OR(E17,E18,F17,E21,E19,E20),TRUE,FALSE)</f>
        <v>1</v>
      </c>
      <c r="H22" s="369" t="s">
        <v>487</v>
      </c>
      <c r="I22" s="374">
        <f>I21*0.0125/0.0000005729</f>
        <v>142.00701755333674</v>
      </c>
      <c r="J22" s="375" t="s">
        <v>393</v>
      </c>
      <c r="M22" s="371">
        <v>100</v>
      </c>
      <c r="N22" s="257"/>
      <c r="O22" s="209"/>
      <c r="P22" s="25"/>
      <c r="Q22" s="25"/>
      <c r="S22" s="32">
        <f>IF($I$6&lt;50,T24,IF($I$6&gt;300,$T$27,S31*I6^2+T31*I6+U31))</f>
        <v>-1.2364601645077955</v>
      </c>
      <c r="AC22" s="364"/>
    </row>
    <row r="23" spans="3:29" ht="14" thickBot="1" x14ac:dyDescent="0.2">
      <c r="M23" s="234">
        <v>200</v>
      </c>
      <c r="N23" s="80">
        <v>7503.72093653309</v>
      </c>
      <c r="O23" s="5">
        <v>-0.5877905348641832</v>
      </c>
      <c r="AC23" s="364"/>
    </row>
    <row r="24" spans="3:29" x14ac:dyDescent="0.15">
      <c r="H24" s="360" t="s">
        <v>503</v>
      </c>
      <c r="I24" s="361"/>
      <c r="J24" s="362"/>
      <c r="M24" s="234">
        <v>200</v>
      </c>
      <c r="N24" s="80">
        <v>9768.995181524213</v>
      </c>
      <c r="O24" s="5">
        <v>2.1785214225707108</v>
      </c>
      <c r="P24">
        <f t="array" ref="P24:Q24">LINEST(O23:O26,N23:N26)</f>
        <v>8.8763510610137097E-4</v>
      </c>
      <c r="Q24">
        <v>-8.6804612512913657</v>
      </c>
      <c r="S24" s="233">
        <v>50</v>
      </c>
      <c r="T24" s="376">
        <f>Q11</f>
        <v>-1.2364601645077955</v>
      </c>
      <c r="AC24" s="364"/>
    </row>
    <row r="25" spans="3:29" ht="14" thickBot="1" x14ac:dyDescent="0.2">
      <c r="C25" t="s">
        <v>532</v>
      </c>
      <c r="E25" t="b">
        <f>IF(I26&lt;I8,TRUE,FALSE)</f>
        <v>0</v>
      </c>
      <c r="F25" t="b">
        <f>IF(I26&gt;I25,TRUE,FALSE)</f>
        <v>1</v>
      </c>
      <c r="H25" s="234" t="s">
        <v>491</v>
      </c>
      <c r="I25" s="235">
        <f>(I13+AVERAGE(I8:I9))*2-I11</f>
        <v>3.7001350851683839</v>
      </c>
      <c r="J25" s="364" t="s">
        <v>230</v>
      </c>
      <c r="M25" s="234">
        <v>200</v>
      </c>
      <c r="N25" s="80">
        <v>16140.078995561744</v>
      </c>
      <c r="O25" s="5">
        <v>4.1257350882105861</v>
      </c>
      <c r="S25" s="233">
        <v>100</v>
      </c>
      <c r="T25" s="376">
        <f>Q18</f>
        <v>-6.4070117029674929</v>
      </c>
      <c r="AC25" s="364"/>
    </row>
    <row r="26" spans="3:29" ht="14" thickBot="1" x14ac:dyDescent="0.2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3610.2808279546002</v>
      </c>
      <c r="O26" s="5">
        <v>-7.5753290394847372</v>
      </c>
      <c r="P26" t="s">
        <v>493</v>
      </c>
      <c r="Q26" s="366">
        <f>P24*I12+Q24</f>
        <v>-8.2626049799498258</v>
      </c>
      <c r="S26" s="233">
        <v>200</v>
      </c>
      <c r="T26" s="376">
        <f>Q26</f>
        <v>-8.2626049799498258</v>
      </c>
      <c r="AC26" s="364"/>
    </row>
    <row r="27" spans="3:29" ht="15" x14ac:dyDescent="0.15">
      <c r="H27" s="234" t="s">
        <v>498</v>
      </c>
      <c r="I27" s="373">
        <f>I7/4186/(I25-I26)</f>
        <v>-2.0134815238105532E-3</v>
      </c>
      <c r="J27" s="364" t="s">
        <v>72</v>
      </c>
      <c r="M27" s="234">
        <v>200</v>
      </c>
      <c r="N27" s="80"/>
      <c r="O27" s="5"/>
      <c r="S27" s="233">
        <v>300</v>
      </c>
      <c r="T27" s="376">
        <f>Q34</f>
        <v>-7.739372836912211</v>
      </c>
      <c r="AC27" s="364"/>
    </row>
    <row r="28" spans="3:29" x14ac:dyDescent="0.15">
      <c r="E28" t="b">
        <f>IF(I27&lt;0,TRUE,IF(I28&gt;50,TRUE,FALSE))</f>
        <v>1</v>
      </c>
      <c r="H28" s="234" t="s">
        <v>499</v>
      </c>
      <c r="I28" s="235" t="e">
        <f>$O$62*I27^$M$62</f>
        <v>#NUM!</v>
      </c>
      <c r="J28" s="364" t="s">
        <v>500</v>
      </c>
      <c r="M28" s="234">
        <v>200</v>
      </c>
      <c r="N28" s="80"/>
      <c r="O28" s="5"/>
      <c r="AC28" s="364"/>
    </row>
    <row r="29" spans="3:29" x14ac:dyDescent="0.15">
      <c r="E29" t="b">
        <f>IF(I27&lt;0,TRUE,IF(I29&gt;50,TRUE,FALSE))</f>
        <v>1</v>
      </c>
      <c r="H29" s="234" t="s">
        <v>557</v>
      </c>
      <c r="I29" s="235">
        <f>((I27*3.6)/1)^2*100</f>
        <v>5.2541237693575016E-3</v>
      </c>
      <c r="J29" s="364" t="s">
        <v>500</v>
      </c>
      <c r="M29" s="234">
        <v>200</v>
      </c>
      <c r="N29" s="80"/>
      <c r="O29" s="5"/>
      <c r="S29" cm="1">
        <f t="array" ref="S29:T29">LINEST(T24:T27,S24:S27)</f>
        <v>-2.2629734288297013E-2</v>
      </c>
      <c r="T29">
        <v>-2.2340305992360667</v>
      </c>
      <c r="AC29" s="364"/>
    </row>
    <row r="30" spans="3:29" x14ac:dyDescent="0.15">
      <c r="E30" t="b">
        <f>IF(I31&lt;3000,TRUE,FALSE)</f>
        <v>1</v>
      </c>
      <c r="H30" s="234" t="s">
        <v>501</v>
      </c>
      <c r="I30" s="373">
        <f>I27/1000/((12.5/2000)^2*PI())</f>
        <v>-1.6407323511738944E-2</v>
      </c>
      <c r="J30" s="364" t="s">
        <v>502</v>
      </c>
      <c r="M30" s="371">
        <v>200</v>
      </c>
      <c r="N30" s="257"/>
      <c r="O30" s="209"/>
      <c r="P30" s="25"/>
      <c r="Q30" s="25"/>
      <c r="AC30" s="364"/>
    </row>
    <row r="31" spans="3:29" ht="14" thickBot="1" x14ac:dyDescent="0.2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-357.98838173631844</v>
      </c>
      <c r="J31" s="375" t="s">
        <v>393</v>
      </c>
      <c r="M31" s="234">
        <v>300</v>
      </c>
      <c r="N31" s="80">
        <v>9202.676620276432</v>
      </c>
      <c r="O31" s="5">
        <v>-0.20011698471886774</v>
      </c>
      <c r="S31">
        <f t="array" ref="S31:U31">LINEST(T24:T27,S24:S27^{1,2})</f>
        <v>2.4690752624071587E-4</v>
      </c>
      <c r="T31">
        <v>-0.10946585580515895</v>
      </c>
      <c r="U31">
        <v>3.0807585249284966</v>
      </c>
      <c r="AC31" s="364"/>
    </row>
    <row r="32" spans="3:29" x14ac:dyDescent="0.15">
      <c r="M32" s="234">
        <v>300</v>
      </c>
      <c r="N32" s="80">
        <v>11467.950865267556</v>
      </c>
      <c r="O32" s="5">
        <v>0.54913358192586514</v>
      </c>
      <c r="P32">
        <f t="array" ref="P32:Q32">LINEST(O31:O34,N31:N34)</f>
        <v>6.7764089532560562E-4</v>
      </c>
      <c r="Q32">
        <v>-8.0583738496965829</v>
      </c>
      <c r="AC32" s="364"/>
    </row>
    <row r="33" spans="9:29" ht="14" thickBot="1" x14ac:dyDescent="0.2">
      <c r="I33" s="213"/>
      <c r="M33" s="234">
        <v>300</v>
      </c>
      <c r="N33" s="80">
        <v>19962.729283984263</v>
      </c>
      <c r="O33" s="5">
        <v>4.6168384879725153</v>
      </c>
      <c r="AC33" s="364"/>
    </row>
    <row r="34" spans="9:29" ht="14" thickBot="1" x14ac:dyDescent="0.2">
      <c r="M34" s="234">
        <v>300</v>
      </c>
      <c r="N34" s="80">
        <v>4672.1281302941888</v>
      </c>
      <c r="O34" s="5">
        <v>-6.4985011332894622</v>
      </c>
      <c r="P34" t="s">
        <v>493</v>
      </c>
      <c r="Q34" s="366">
        <f>I12*P32+Q32</f>
        <v>-7.739372836912211</v>
      </c>
      <c r="AC34" s="364"/>
    </row>
    <row r="35" spans="9:29" x14ac:dyDescent="0.15">
      <c r="I35" s="213"/>
      <c r="M35" s="234">
        <v>300</v>
      </c>
      <c r="N35" s="80"/>
      <c r="O35" s="5"/>
      <c r="AC35" s="364"/>
    </row>
    <row r="36" spans="9:29" x14ac:dyDescent="0.15">
      <c r="M36" s="234">
        <v>300</v>
      </c>
      <c r="N36" s="80"/>
      <c r="O36" s="5"/>
      <c r="AC36" s="364"/>
    </row>
    <row r="37" spans="9:29" x14ac:dyDescent="0.15">
      <c r="M37" s="234">
        <v>300</v>
      </c>
      <c r="N37" s="80"/>
      <c r="O37" s="5"/>
      <c r="AC37" s="364"/>
    </row>
    <row r="38" spans="9:29" ht="14" thickBot="1" x14ac:dyDescent="0.2">
      <c r="M38" s="369">
        <v>300</v>
      </c>
      <c r="N38" s="377"/>
      <c r="O38" s="37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" thickBot="1" x14ac:dyDescent="0.2">
      <c r="M39" s="233"/>
    </row>
    <row r="40" spans="9:29" x14ac:dyDescent="0.1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15">
      <c r="M41" s="232"/>
      <c r="AC41" s="364"/>
    </row>
    <row r="42" spans="9:29" x14ac:dyDescent="0.15">
      <c r="M42" s="232" t="s">
        <v>485</v>
      </c>
      <c r="N42" t="s">
        <v>505</v>
      </c>
      <c r="P42" t="s">
        <v>506</v>
      </c>
      <c r="AC42" s="364"/>
    </row>
    <row r="43" spans="9:29" ht="14" thickBot="1" x14ac:dyDescent="0.2">
      <c r="M43" s="234">
        <v>50</v>
      </c>
      <c r="N43" s="99">
        <v>6.4938995554714843E-2</v>
      </c>
      <c r="P43">
        <f t="array" ref="P43:Q43">LINEST(LN(N43:N46),LN(M43:M46))</f>
        <v>0.4421634980882071</v>
      </c>
      <c r="Q43">
        <v>-4.4629350371469592</v>
      </c>
      <c r="R43">
        <f>EXP(Q43)</f>
        <v>1.1528477074685723E-2</v>
      </c>
      <c r="AC43" s="364"/>
    </row>
    <row r="44" spans="9:29" ht="14" thickBot="1" x14ac:dyDescent="0.2">
      <c r="M44" s="234">
        <v>100</v>
      </c>
      <c r="N44" s="99">
        <v>8.7931162376678279E-2</v>
      </c>
      <c r="P44" s="379">
        <f>R43*I6^(P43)</f>
        <v>3.1515616588507218E-2</v>
      </c>
      <c r="AC44" s="364"/>
    </row>
    <row r="45" spans="9:29" x14ac:dyDescent="0.15">
      <c r="M45" s="234">
        <v>200</v>
      </c>
      <c r="N45" s="99">
        <v>0.12208547008547008</v>
      </c>
      <c r="AC45" s="364"/>
    </row>
    <row r="46" spans="9:29" x14ac:dyDescent="0.15">
      <c r="M46" s="234">
        <v>300</v>
      </c>
      <c r="N46" s="99">
        <v>0.14192175988378125</v>
      </c>
      <c r="P46" t="s">
        <v>507</v>
      </c>
      <c r="AC46" s="364"/>
    </row>
    <row r="47" spans="9:29" ht="14" thickBot="1" x14ac:dyDescent="0.2">
      <c r="M47" s="232"/>
      <c r="P47">
        <f t="array" ref="P47:S47">LINEST(N43:N46,M43:M46^{1,2,3})</f>
        <v>2.9107000060654627E-10</v>
      </c>
      <c r="Q47">
        <v>-8.905428958879592E-7</v>
      </c>
      <c r="R47">
        <v>5.8833104581184768E-4</v>
      </c>
      <c r="S47">
        <v>3.7712416753766548E-2</v>
      </c>
      <c r="AC47" s="364"/>
    </row>
    <row r="48" spans="9:29" ht="14" thickBot="1" x14ac:dyDescent="0.2">
      <c r="M48" s="232"/>
      <c r="P48" s="379">
        <f>P47*I6^3+Q47*I6^2+R47*I6+S47</f>
        <v>4.3348393859297757E-2</v>
      </c>
      <c r="AC48" s="364"/>
    </row>
    <row r="49" spans="13:29" x14ac:dyDescent="0.15">
      <c r="M49" s="232"/>
      <c r="AC49" s="364"/>
    </row>
    <row r="50" spans="13:29" x14ac:dyDescent="0.15">
      <c r="M50" s="232"/>
      <c r="O50" s="380"/>
      <c r="AC50" s="364"/>
    </row>
    <row r="51" spans="13:29" x14ac:dyDescent="0.15">
      <c r="M51" s="232"/>
      <c r="AC51" s="364"/>
    </row>
    <row r="52" spans="13:29" x14ac:dyDescent="0.15">
      <c r="M52" s="232"/>
      <c r="AC52" s="364"/>
    </row>
    <row r="53" spans="13:29" x14ac:dyDescent="0.15">
      <c r="M53" s="232"/>
      <c r="AC53" s="364"/>
    </row>
    <row r="54" spans="13:29" x14ac:dyDescent="0.15">
      <c r="M54" s="232"/>
      <c r="AC54" s="364"/>
    </row>
    <row r="55" spans="13:29" x14ac:dyDescent="0.15">
      <c r="M55" s="232"/>
      <c r="AC55" s="364"/>
    </row>
    <row r="56" spans="13:29" x14ac:dyDescent="0.15">
      <c r="M56" s="232"/>
      <c r="AC56" s="364"/>
    </row>
    <row r="57" spans="13:29" ht="14" thickBot="1" x14ac:dyDescent="0.2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" thickBot="1" x14ac:dyDescent="0.2"/>
    <row r="60" spans="13:29" x14ac:dyDescent="0.15">
      <c r="M60" s="303" t="s">
        <v>508</v>
      </c>
      <c r="N60" s="230"/>
      <c r="O60" s="230"/>
      <c r="P60" s="231"/>
    </row>
    <row r="61" spans="13:29" x14ac:dyDescent="0.15">
      <c r="M61" s="232"/>
      <c r="P61" s="364"/>
    </row>
    <row r="62" spans="13:29" x14ac:dyDescent="0.15">
      <c r="M62" s="381">
        <v>1.6827320848017202</v>
      </c>
      <c r="N62">
        <v>6.0792984153319773</v>
      </c>
      <c r="O62">
        <v>436.72268926823335</v>
      </c>
      <c r="P62" s="364"/>
    </row>
    <row r="63" spans="13:29" ht="14" thickBot="1" x14ac:dyDescent="0.2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4DC65-EEA6-432F-A66A-A5119D1CE6CD}">
  <sheetPr codeName="Taul15"/>
  <dimension ref="C1:AZ99"/>
  <sheetViews>
    <sheetView zoomScale="70" zoomScaleNormal="70" workbookViewId="0">
      <selection activeCell="BL19" sqref="BL19"/>
    </sheetView>
  </sheetViews>
  <sheetFormatPr baseColWidth="10" defaultColWidth="8.83203125" defaultRowHeight="13" x14ac:dyDescent="0.15"/>
  <cols>
    <col min="7" max="7" width="10.5" customWidth="1"/>
    <col min="8" max="8" width="12.33203125" bestFit="1" customWidth="1"/>
    <col min="9" max="11" width="9" bestFit="1" customWidth="1"/>
    <col min="16" max="16" width="10.83203125" customWidth="1"/>
    <col min="17" max="17" width="12.5" bestFit="1" customWidth="1"/>
    <col min="18" max="18" width="9.6640625" bestFit="1" customWidth="1"/>
    <col min="19" max="19" width="9" bestFit="1" customWidth="1"/>
    <col min="22" max="22" width="13" customWidth="1"/>
    <col min="25" max="25" width="10" customWidth="1"/>
  </cols>
  <sheetData>
    <row r="1" spans="3:50" x14ac:dyDescent="0.15">
      <c r="P1" t="s">
        <v>518</v>
      </c>
    </row>
    <row r="2" spans="3:50" x14ac:dyDescent="0.15">
      <c r="C2" s="2" t="s">
        <v>0</v>
      </c>
      <c r="J2" t="s">
        <v>15</v>
      </c>
      <c r="P2" s="259">
        <f t="array" ref="P2:R2">LINEST(AL34:AL37,AC34:AC37^{1,2})</f>
        <v>0.29967476128460641</v>
      </c>
      <c r="Q2" s="259">
        <v>11.947616054484747</v>
      </c>
      <c r="R2" s="259">
        <v>-57.657641657996834</v>
      </c>
      <c r="V2" t="s">
        <v>519</v>
      </c>
      <c r="W2" s="84">
        <f>P2*J3^2+Q2*J3+R2</f>
        <v>86.825476045608156</v>
      </c>
      <c r="X2" t="s">
        <v>14</v>
      </c>
      <c r="AU2" t="s">
        <v>533</v>
      </c>
    </row>
    <row r="3" spans="3:50" ht="17" x14ac:dyDescent="0.25">
      <c r="J3" s="7">
        <f>'R-series ALU'!E33</f>
        <v>9.7222222222222214</v>
      </c>
      <c r="K3" t="s">
        <v>13</v>
      </c>
      <c r="L3" s="122">
        <f>'R-series ALU'!E39</f>
        <v>80</v>
      </c>
      <c r="M3" t="s">
        <v>14</v>
      </c>
      <c r="P3" t="s">
        <v>34</v>
      </c>
      <c r="AA3" s="2" t="s">
        <v>53</v>
      </c>
      <c r="AM3" s="2" t="s">
        <v>524</v>
      </c>
      <c r="AU3" t="s">
        <v>3</v>
      </c>
      <c r="AV3">
        <v>-6.3124369392543317E-3</v>
      </c>
      <c r="AW3">
        <v>0.63457514688226124</v>
      </c>
      <c r="AX3">
        <v>646.42542368946533</v>
      </c>
    </row>
    <row r="4" spans="3:50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  <c r="AU4" t="s">
        <v>408</v>
      </c>
      <c r="AV4">
        <v>-5.8938322601629753E-3</v>
      </c>
      <c r="AW4">
        <v>0.41704887403929791</v>
      </c>
      <c r="AX4">
        <v>424.65374076504946</v>
      </c>
    </row>
    <row r="5" spans="3:50" x14ac:dyDescent="0.15">
      <c r="C5" t="s">
        <v>2</v>
      </c>
      <c r="D5" s="1"/>
      <c r="E5" s="1"/>
      <c r="H5" s="1"/>
      <c r="P5" s="52">
        <f t="array" ref="P5:Q5">LINEST(AF34:AF37,LN(AC34:AC37))</f>
        <v>20.44288941801549</v>
      </c>
      <c r="Q5" s="52">
        <v>-11.146056406110958</v>
      </c>
      <c r="R5" t="s">
        <v>28</v>
      </c>
      <c r="T5" s="4"/>
      <c r="U5" s="39" t="s">
        <v>43</v>
      </c>
      <c r="V5" t="s">
        <v>28</v>
      </c>
      <c r="W5" s="9">
        <f>$P$5*LN($J$3)+$Q$5</f>
        <v>35.349541902898544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M5" s="129" t="s">
        <v>523</v>
      </c>
      <c r="AN5">
        <v>0</v>
      </c>
      <c r="AU5" t="s">
        <v>411</v>
      </c>
      <c r="AV5">
        <v>-6.900999826613176E-3</v>
      </c>
      <c r="AW5">
        <v>0.58828187691278289</v>
      </c>
      <c r="AX5">
        <v>199.23235504253068</v>
      </c>
    </row>
    <row r="6" spans="3:50" x14ac:dyDescent="0.15">
      <c r="C6" s="2" t="s">
        <v>3</v>
      </c>
      <c r="D6" s="1"/>
      <c r="E6" s="1"/>
      <c r="H6" s="1"/>
      <c r="P6" s="52">
        <f t="array" ref="P6:Q6">LINEST(AG34:AG37,LN(AC34:AC37))</f>
        <v>18.023245773424701</v>
      </c>
      <c r="Q6" s="52">
        <v>11.535709298259533</v>
      </c>
      <c r="R6" t="s">
        <v>7</v>
      </c>
      <c r="T6" s="4"/>
      <c r="U6" s="39" t="s">
        <v>43</v>
      </c>
      <c r="V6" t="s">
        <v>7</v>
      </c>
      <c r="W6" s="9">
        <f>$P$6*LN($J$3)+$Q$6</f>
        <v>52.528035704291518</v>
      </c>
      <c r="X6" t="s">
        <v>31</v>
      </c>
      <c r="AA6" s="55">
        <v>25</v>
      </c>
      <c r="AB6" s="56">
        <f t="shared" ref="AB6:AB12" si="0">(-$D$9-SQRT($D$9^2-(4*$C$9*($E$9-AA6))))/(2*$C$9)</f>
        <v>368.02333717549868</v>
      </c>
      <c r="AC6" s="55">
        <v>20</v>
      </c>
      <c r="AD6" s="57">
        <f t="shared" ref="AD6:AD12" si="1">(-$D$14-SQRT($D$14^2-(4*$C$14*($E$14-AC6))))/(2*$C$14)</f>
        <v>299.78303188704132</v>
      </c>
      <c r="AE6" s="55">
        <v>10</v>
      </c>
      <c r="AF6" s="57">
        <f t="shared" ref="AF6:AF11" si="2">(-$D$19-SQRT($D$19^2-(4*$C$19*($E$19-AE6))))/(2*$C$19)</f>
        <v>213.61335762915562</v>
      </c>
      <c r="AG6" s="56">
        <v>10</v>
      </c>
      <c r="AH6" s="57">
        <f>(-$D$24-SQRT($D$24^2-(4*$C$24*($E$24-AG6))))/(2*$C$24)</f>
        <v>122.85148290021115</v>
      </c>
      <c r="AM6" s="129" t="s">
        <v>226</v>
      </c>
      <c r="AN6" s="227">
        <v>0.79559999999999997</v>
      </c>
      <c r="AO6" s="272" t="s">
        <v>2123</v>
      </c>
      <c r="AU6" t="s">
        <v>409</v>
      </c>
      <c r="AV6">
        <v>-4.5287059645176828E-3</v>
      </c>
      <c r="AW6">
        <v>-0.1767038368018404</v>
      </c>
      <c r="AX6">
        <v>100.05776360579901</v>
      </c>
    </row>
    <row r="7" spans="3:50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si="0"/>
        <v>348.74296772600093</v>
      </c>
      <c r="AC7" s="55">
        <v>50</v>
      </c>
      <c r="AD7" s="57">
        <f t="shared" si="1"/>
        <v>289.97555040775342</v>
      </c>
      <c r="AE7" s="55">
        <v>50</v>
      </c>
      <c r="AF7" s="57">
        <f t="shared" si="2"/>
        <v>195.72898551317115</v>
      </c>
      <c r="AG7" s="56">
        <v>20</v>
      </c>
      <c r="AH7" s="57">
        <f>(-$D$24-SQRT($D$24^2-(4*$C$24*($E$24-AG7))))/(2*$C$24)</f>
        <v>114.87245597479257</v>
      </c>
      <c r="AM7" s="129" t="s">
        <v>2201</v>
      </c>
      <c r="AN7">
        <f>700/3.6</f>
        <v>194.44444444444443</v>
      </c>
      <c r="AU7" t="s">
        <v>534</v>
      </c>
    </row>
    <row r="8" spans="3:50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320.90760039583563</v>
      </c>
      <c r="AC8" s="55">
        <v>100</v>
      </c>
      <c r="AD8" s="57">
        <f t="shared" si="1"/>
        <v>272.7308916827721</v>
      </c>
      <c r="AE8" s="55">
        <v>90</v>
      </c>
      <c r="AF8" s="57">
        <f t="shared" si="2"/>
        <v>175.4581740263832</v>
      </c>
      <c r="AG8" s="56">
        <v>40</v>
      </c>
      <c r="AH8" s="57">
        <f>(-$D$24-SQRT($D$24^2-(4*$C$24*($E$24-AG8))))/(2*$C$24)</f>
        <v>97.290460384499539</v>
      </c>
      <c r="AM8" s="129" t="s">
        <v>527</v>
      </c>
      <c r="AN8" s="3">
        <f>W2</f>
        <v>86.825476045608156</v>
      </c>
      <c r="AO8" t="s">
        <v>14</v>
      </c>
      <c r="AU8" t="s">
        <v>3</v>
      </c>
      <c r="AV8">
        <v>-6.3692279172430392E-3</v>
      </c>
      <c r="AW8">
        <v>0.61218658299521111</v>
      </c>
      <c r="AX8">
        <v>647.10637655233779</v>
      </c>
    </row>
    <row r="9" spans="3:50" x14ac:dyDescent="0.15">
      <c r="C9" s="8">
        <f>AV17</f>
        <v>-6.3124369392543317E-3</v>
      </c>
      <c r="D9" s="8">
        <f t="shared" ref="D9:E9" si="3">AW17</f>
        <v>0.63457514688226124</v>
      </c>
      <c r="E9" s="8">
        <f t="shared" si="3"/>
        <v>646.42542368946533</v>
      </c>
      <c r="H9" s="2"/>
      <c r="P9" t="s">
        <v>415</v>
      </c>
      <c r="Q9" s="52">
        <f t="array" ref="Q9:R9">LINEST(AC35:AC37,U35:U37)</f>
        <v>2.9568267729779842</v>
      </c>
      <c r="R9" s="52">
        <v>-1.4284239928555955</v>
      </c>
      <c r="T9" s="111">
        <f>(J3-R9)/Q9</f>
        <v>3.771153020184332</v>
      </c>
      <c r="U9" s="39" t="s">
        <v>42</v>
      </c>
      <c r="V9" t="s">
        <v>44</v>
      </c>
      <c r="W9" s="125">
        <f>IF($J$3&gt;$AJ$35,AVERAGE(T10,T11,T11),AVERAGE(T9,T9,T11))</f>
        <v>3.7513739428936064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289.85995878473915</v>
      </c>
      <c r="AC9" s="55">
        <v>150</v>
      </c>
      <c r="AD9" s="57">
        <f t="shared" si="1"/>
        <v>254.13099309054866</v>
      </c>
      <c r="AE9" s="55">
        <v>130</v>
      </c>
      <c r="AF9" s="57">
        <f t="shared" si="2"/>
        <v>151.47576534370617</v>
      </c>
      <c r="AG9" s="56">
        <v>60</v>
      </c>
      <c r="AH9" s="57">
        <f>(-$D$24-SQRT($D$24^2-(4*$C$24*($E$24-AG9))))/(2*$C$24)</f>
        <v>76.542309887609477</v>
      </c>
      <c r="AM9" s="129" t="s">
        <v>528</v>
      </c>
      <c r="AN9" s="3">
        <f>'Laskenta poistopuoli 350'!W2</f>
        <v>96.032520462415562</v>
      </c>
      <c r="AO9" t="s">
        <v>14</v>
      </c>
      <c r="AU9" t="s">
        <v>408</v>
      </c>
      <c r="AV9">
        <v>-5.9567718565286054E-3</v>
      </c>
      <c r="AW9">
        <v>0.39696011261246528</v>
      </c>
      <c r="AX9">
        <v>425.145301245204</v>
      </c>
    </row>
    <row r="10" spans="3:50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2.7254086309143766</v>
      </c>
      <c r="R10" s="52">
        <v>0.65433928571687261</v>
      </c>
      <c r="T10" s="111">
        <f>(J3-R10)/Q10</f>
        <v>3.3271645336585975</v>
      </c>
      <c r="W10" t="b">
        <f>IF(AND(W9&lt;=10.01,'R-series ALU'!E33&gt;=W11),TRUE,FALSE)</f>
        <v>0</v>
      </c>
      <c r="AA10" s="55">
        <v>400</v>
      </c>
      <c r="AB10" s="56">
        <f t="shared" si="0"/>
        <v>254.13770997194598</v>
      </c>
      <c r="AC10" s="55">
        <v>230</v>
      </c>
      <c r="AD10" s="57">
        <f t="shared" si="1"/>
        <v>220.52447882740637</v>
      </c>
      <c r="AE10" s="55">
        <v>170</v>
      </c>
      <c r="AF10" s="57">
        <f t="shared" si="2"/>
        <v>120.42188405539274</v>
      </c>
      <c r="AG10" s="56">
        <v>80</v>
      </c>
      <c r="AH10" s="57">
        <f>(-$D$24-SQRT($D$24^2-(4*$C$24*($E$24-AG10))))/(2*$C$24)</f>
        <v>49.842265162290595</v>
      </c>
      <c r="AU10" t="s">
        <v>411</v>
      </c>
      <c r="AV10">
        <v>-6.9707491642898908E-3</v>
      </c>
      <c r="AW10">
        <v>0.56996786479199912</v>
      </c>
      <c r="AX10">
        <v>199.6307447316521</v>
      </c>
    </row>
    <row r="11" spans="3:50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-1.0983050659137878E-3</v>
      </c>
      <c r="R11" s="7">
        <v>0.38325567037747171</v>
      </c>
      <c r="S11" s="7">
        <v>8.9532550517630816E-2</v>
      </c>
      <c r="T11" s="111">
        <f>Q11*J3^2+R11*J3+S11</f>
        <v>3.7118157883121552</v>
      </c>
      <c r="V11" t="s">
        <v>348</v>
      </c>
      <c r="W11" s="294">
        <v>40</v>
      </c>
      <c r="X11" t="s">
        <v>13</v>
      </c>
      <c r="AA11" s="55">
        <v>500</v>
      </c>
      <c r="AB11" s="56">
        <f t="shared" si="0"/>
        <v>210.64715881769263</v>
      </c>
      <c r="AC11" s="55">
        <v>320</v>
      </c>
      <c r="AD11" s="57">
        <f t="shared" si="1"/>
        <v>173.2504723348554</v>
      </c>
      <c r="AE11" s="55">
        <v>205</v>
      </c>
      <c r="AF11" s="57">
        <f t="shared" si="2"/>
        <v>73.943002844798301</v>
      </c>
      <c r="AG11" s="56"/>
      <c r="AH11" s="57"/>
      <c r="AM11" s="129" t="s">
        <v>525</v>
      </c>
      <c r="AN11" s="227">
        <f>(J3/1000*AN8)/W14</f>
        <v>4.6774758473156861E-2</v>
      </c>
      <c r="AU11" t="s">
        <v>409</v>
      </c>
      <c r="AV11">
        <v>-4.6179437787463177E-3</v>
      </c>
      <c r="AW11">
        <v>-0.1908792356649929</v>
      </c>
      <c r="AX11">
        <v>100.24507978840288</v>
      </c>
    </row>
    <row r="12" spans="3:50" x14ac:dyDescent="0.15">
      <c r="C12" t="s">
        <v>11</v>
      </c>
      <c r="D12" s="1"/>
      <c r="E12" s="1"/>
      <c r="H12" s="1"/>
      <c r="P12" s="2" t="s">
        <v>51</v>
      </c>
      <c r="AA12" s="58">
        <v>610</v>
      </c>
      <c r="AB12" s="59">
        <f t="shared" si="0"/>
        <v>141.35108796400908</v>
      </c>
      <c r="AC12" s="58">
        <v>395</v>
      </c>
      <c r="AD12" s="60">
        <f t="shared" si="1"/>
        <v>114.64592676119456</v>
      </c>
      <c r="AE12" s="58"/>
      <c r="AF12" s="60"/>
      <c r="AG12" s="59"/>
      <c r="AH12" s="60"/>
      <c r="AM12" s="129" t="s">
        <v>526</v>
      </c>
      <c r="AN12" s="227">
        <f>('Laskenta poistopuoli 350'!J3/1000*AN9)/'Laskenta poistopuoli 350'!W14</f>
        <v>5.5410838021853259E-2</v>
      </c>
    </row>
    <row r="13" spans="3:50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0.3495763108279672</v>
      </c>
      <c r="Q13" s="51">
        <v>-5.7148281843479127</v>
      </c>
      <c r="R13" s="51">
        <v>41.109224362543472</v>
      </c>
      <c r="U13" s="39" t="s">
        <v>43</v>
      </c>
      <c r="V13" t="s">
        <v>44</v>
      </c>
      <c r="W13" s="295">
        <f>P18</f>
        <v>18.046839796085074</v>
      </c>
      <c r="X13" t="s">
        <v>49</v>
      </c>
      <c r="Y13" s="129" t="s">
        <v>414</v>
      </c>
      <c r="AU13" t="s">
        <v>535</v>
      </c>
    </row>
    <row r="14" spans="3:50" ht="14" thickBot="1" x14ac:dyDescent="0.2">
      <c r="C14" s="8">
        <f>AV18</f>
        <v>-5.8938322601629753E-3</v>
      </c>
      <c r="D14" s="8">
        <f t="shared" ref="D14:E14" si="4">AW18</f>
        <v>0.41704887403929791</v>
      </c>
      <c r="E14" s="8">
        <f t="shared" si="4"/>
        <v>424.65374076504946</v>
      </c>
      <c r="H14" s="2"/>
      <c r="O14" t="s">
        <v>413</v>
      </c>
      <c r="P14">
        <f t="array" ref="P14:S14">LINEST(AE34:AE37,AC34:AC37^{1,2,3})</f>
        <v>4.0852991263209673E-3</v>
      </c>
      <c r="Q14">
        <v>0.11255091563039613</v>
      </c>
      <c r="R14">
        <v>-1.3965353860528136</v>
      </c>
      <c r="S14">
        <v>16.687478352298484</v>
      </c>
      <c r="V14" t="s">
        <v>52</v>
      </c>
      <c r="W14" s="296">
        <f>IF(W13&gt;Y14,Y14,W13)</f>
        <v>18.046839796085074</v>
      </c>
      <c r="X14" t="s">
        <v>49</v>
      </c>
      <c r="Y14" s="129">
        <v>516</v>
      </c>
      <c r="Z14" t="s">
        <v>49</v>
      </c>
      <c r="AM14" s="297" t="s">
        <v>520</v>
      </c>
      <c r="AN14" s="84">
        <f>1100+((AN6-0.73)*3000)-300*(AN7/1000)/2-AN5</f>
        <v>1267.6333333333332</v>
      </c>
      <c r="AU14" s="451" t="b">
        <f>Tulokset!D41</f>
        <v>0</v>
      </c>
    </row>
    <row r="15" spans="3:50" x14ac:dyDescent="0.15">
      <c r="C15" s="2"/>
      <c r="D15" s="2"/>
      <c r="E15" s="2"/>
      <c r="H15" s="2"/>
    </row>
    <row r="16" spans="3:50" ht="14" thickBot="1" x14ac:dyDescent="0.2">
      <c r="C16" s="2" t="s">
        <v>411</v>
      </c>
      <c r="D16" s="1"/>
      <c r="E16" s="1"/>
      <c r="H16" s="1"/>
      <c r="O16" t="s">
        <v>412</v>
      </c>
      <c r="P16" s="3">
        <f>$P$13*J3^2+$Q$13*J3+$R$13</f>
        <v>18.590908740353875</v>
      </c>
      <c r="Q16" t="s">
        <v>49</v>
      </c>
      <c r="V16" t="s">
        <v>58</v>
      </c>
      <c r="W16">
        <f>'Laskenta poistopuoli 350'!W13</f>
        <v>16.849582822181617</v>
      </c>
      <c r="AM16" s="129" t="s">
        <v>521</v>
      </c>
      <c r="AN16" s="3">
        <f>(AN8-L3)/AN11</f>
        <v>145.92220822530095</v>
      </c>
      <c r="AU16" t="s">
        <v>21</v>
      </c>
    </row>
    <row r="17" spans="3:52" ht="14" thickBot="1" x14ac:dyDescent="0.2">
      <c r="C17" t="s">
        <v>11</v>
      </c>
      <c r="D17" s="1"/>
      <c r="E17" s="1"/>
      <c r="H17" s="1"/>
      <c r="O17" t="s">
        <v>413</v>
      </c>
      <c r="P17" s="3">
        <f>$P$14*J3^3+$Q$14*J3^2+$R$14*J3+$S$14</f>
        <v>17.502770851816276</v>
      </c>
      <c r="Q17" t="s">
        <v>49</v>
      </c>
      <c r="V17" t="s">
        <v>73</v>
      </c>
      <c r="W17" s="294">
        <v>2.37</v>
      </c>
      <c r="AM17" s="129" t="s">
        <v>522</v>
      </c>
      <c r="AN17" s="3">
        <f>(AN9-'Laskenta poistopuoli 350'!L3)/AN12</f>
        <v>-71.601146620805835</v>
      </c>
      <c r="AU17" s="2" t="s">
        <v>3</v>
      </c>
      <c r="AV17" s="2">
        <f>IF($AU$14,AV8,AV3)</f>
        <v>-6.3124369392543317E-3</v>
      </c>
      <c r="AW17" s="2">
        <f t="shared" ref="AW17:AX17" si="5">IF($AU$14,AW8,AW3)</f>
        <v>0.63457514688226124</v>
      </c>
      <c r="AX17" s="2">
        <f t="shared" si="5"/>
        <v>646.42542368946533</v>
      </c>
    </row>
    <row r="18" spans="3:52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18.046839796085074</v>
      </c>
      <c r="Q18" t="s">
        <v>49</v>
      </c>
      <c r="AM18" s="297" t="s">
        <v>529</v>
      </c>
      <c r="AN18" s="84">
        <f>AN16+AN17</f>
        <v>74.321061604495114</v>
      </c>
      <c r="AU18" s="2" t="s">
        <v>408</v>
      </c>
      <c r="AV18" s="2">
        <f t="shared" ref="AV18:AX20" si="6">IF($AU$14,AV9,AV4)</f>
        <v>-5.8938322601629753E-3</v>
      </c>
      <c r="AW18" s="2">
        <f t="shared" si="6"/>
        <v>0.41704887403929791</v>
      </c>
      <c r="AX18" s="2">
        <f t="shared" si="6"/>
        <v>424.65374076504946</v>
      </c>
    </row>
    <row r="19" spans="3:52" x14ac:dyDescent="0.15">
      <c r="C19" s="8">
        <f>AV19</f>
        <v>-6.900999826613176E-3</v>
      </c>
      <c r="D19" s="8">
        <f t="shared" ref="D19:E19" si="7">AW19</f>
        <v>0.58828187691278289</v>
      </c>
      <c r="E19" s="8">
        <f t="shared" si="7"/>
        <v>199.23235504253068</v>
      </c>
      <c r="V19" s="74" t="s">
        <v>74</v>
      </c>
      <c r="W19" s="77">
        <f>W13+W16+W17</f>
        <v>37.266422618266688</v>
      </c>
      <c r="X19" s="75" t="s">
        <v>49</v>
      </c>
      <c r="AB19" s="6"/>
      <c r="AC19" s="6"/>
      <c r="AU19" s="2" t="s">
        <v>411</v>
      </c>
      <c r="AV19" s="2">
        <f t="shared" si="6"/>
        <v>-6.900999826613176E-3</v>
      </c>
      <c r="AW19" s="2">
        <f t="shared" si="6"/>
        <v>0.58828187691278289</v>
      </c>
      <c r="AX19" s="2">
        <f t="shared" si="6"/>
        <v>199.23235504253068</v>
      </c>
    </row>
    <row r="20" spans="3:52" x14ac:dyDescent="0.15">
      <c r="C20" s="2"/>
      <c r="D20" s="2"/>
      <c r="E20" s="2"/>
      <c r="H20" s="1"/>
      <c r="AB20" s="6"/>
      <c r="AC20" s="6"/>
      <c r="AU20" s="2" t="s">
        <v>409</v>
      </c>
      <c r="AV20" s="2">
        <f>IF($AU$14,AV11,AV6)</f>
        <v>-4.5287059645176828E-3</v>
      </c>
      <c r="AW20" s="2">
        <f t="shared" si="6"/>
        <v>-0.1767038368018404</v>
      </c>
      <c r="AX20" s="2">
        <f t="shared" si="6"/>
        <v>100.05776360579901</v>
      </c>
    </row>
    <row r="21" spans="3:52" x14ac:dyDescent="0.15">
      <c r="C21" s="2" t="s">
        <v>409</v>
      </c>
      <c r="D21" s="1"/>
      <c r="E21" s="1"/>
      <c r="H21" s="1"/>
      <c r="O21" t="s">
        <v>461</v>
      </c>
      <c r="V21" t="s">
        <v>78</v>
      </c>
      <c r="W21">
        <f>MAX(J3,'Laskenta poistopuoli 60'!J3)</f>
        <v>9.7222222222222214</v>
      </c>
      <c r="X21" t="s">
        <v>13</v>
      </c>
      <c r="AB21" s="6"/>
      <c r="AC21" s="6"/>
    </row>
    <row r="22" spans="3:52" ht="15" x14ac:dyDescent="0.15">
      <c r="C22" t="s">
        <v>11</v>
      </c>
      <c r="D22" s="1"/>
      <c r="E22" s="1"/>
      <c r="H22" s="1"/>
      <c r="O22">
        <v>165</v>
      </c>
      <c r="P22" t="s">
        <v>13</v>
      </c>
      <c r="V22" t="s">
        <v>75</v>
      </c>
      <c r="W22">
        <f>W19/W21</f>
        <v>3.8331177550217168</v>
      </c>
      <c r="X22" t="s">
        <v>77</v>
      </c>
      <c r="AB22" s="6"/>
      <c r="AC22" s="6"/>
    </row>
    <row r="23" spans="3:52" x14ac:dyDescent="0.15">
      <c r="C23" t="s">
        <v>4</v>
      </c>
      <c r="D23" t="s">
        <v>5</v>
      </c>
      <c r="E23" t="s">
        <v>6</v>
      </c>
      <c r="H23" s="1"/>
      <c r="O23">
        <v>198</v>
      </c>
      <c r="P23" t="s">
        <v>14</v>
      </c>
    </row>
    <row r="24" spans="3:52" x14ac:dyDescent="0.15">
      <c r="C24" s="8">
        <f>AV20</f>
        <v>-4.5287059645176828E-3</v>
      </c>
      <c r="D24" s="8">
        <f t="shared" ref="D24:E24" si="8">AW20</f>
        <v>-0.1767038368018404</v>
      </c>
      <c r="E24" s="8">
        <f t="shared" si="8"/>
        <v>100.05776360579901</v>
      </c>
      <c r="H24" s="1"/>
    </row>
    <row r="25" spans="3:52" x14ac:dyDescent="0.15">
      <c r="G25" s="2"/>
      <c r="H25" s="1"/>
    </row>
    <row r="27" spans="3:52" x14ac:dyDescent="0.15">
      <c r="U27" t="s">
        <v>407</v>
      </c>
    </row>
    <row r="28" spans="3:52" x14ac:dyDescent="0.15">
      <c r="U28" s="4" t="s">
        <v>17</v>
      </c>
    </row>
    <row r="29" spans="3:52" x14ac:dyDescent="0.15">
      <c r="U29" s="4">
        <f>L3/J3^2</f>
        <v>0.84636734693877558</v>
      </c>
    </row>
    <row r="31" spans="3:52" x14ac:dyDescent="0.15">
      <c r="U31" s="2" t="s">
        <v>16</v>
      </c>
      <c r="AO31" s="2" t="s">
        <v>1110</v>
      </c>
    </row>
    <row r="32" spans="3:5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5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2.9568267729779842</v>
      </c>
      <c r="AX33" s="52">
        <f>R9</f>
        <v>-1.4284239928555955</v>
      </c>
      <c r="AZ33" s="111">
        <f>(AO36-AX33)/AW33</f>
        <v>4.4287649108146665</v>
      </c>
    </row>
    <row r="34" spans="21:52" x14ac:dyDescent="0.15">
      <c r="U34" s="35">
        <v>10</v>
      </c>
      <c r="V34" s="98">
        <f>C9</f>
        <v>-6.3124369392543317E-3</v>
      </c>
      <c r="W34" s="99">
        <f>D9</f>
        <v>0.63457514688226124</v>
      </c>
      <c r="X34" s="100">
        <f>E9</f>
        <v>646.42542368946533</v>
      </c>
      <c r="Y34" s="36">
        <f>C9-U29</f>
        <v>-0.8526797838780299</v>
      </c>
      <c r="Z34" s="28">
        <f>(-W34+SQRT(W34^2-(4*Y34*X34)))/(2*Y34)</f>
        <v>-27.164212868253959</v>
      </c>
      <c r="AA34" s="29">
        <f>(-W34-SQRT(W34^2-(4*Y34*X34)))/(2*Y34)</f>
        <v>27.908425594860638</v>
      </c>
      <c r="AB34" s="36">
        <f>AB6</f>
        <v>368.02333717549868</v>
      </c>
      <c r="AC34" s="53">
        <f>IF(Z34&lt;0,AA34,IF(Z34&gt;AB34,AA34,Z34))</f>
        <v>27.908425594860638</v>
      </c>
      <c r="AD34" s="53">
        <f>V34*AC34^2+W34*AC34+X34</f>
        <v>659.21878469374587</v>
      </c>
      <c r="AE34" s="53">
        <f>X51*AC34^2+Y51*AC34+Z51</f>
        <v>154.17951331273559</v>
      </c>
      <c r="AF34" s="53">
        <f>AVERAGE(K61:K62,K61)</f>
        <v>57.830536447420592</v>
      </c>
      <c r="AG34" s="53">
        <f>AVERAGE(U61:U62,U61)</f>
        <v>71.401594067305325</v>
      </c>
      <c r="AI34">
        <v>10</v>
      </c>
      <c r="AJ34" s="3">
        <f>AC34</f>
        <v>27.908425594860638</v>
      </c>
      <c r="AL34">
        <f>AN52*AC34^2+AO52*AC34+AP52</f>
        <v>511.96466710118233</v>
      </c>
      <c r="AM34" t="s">
        <v>14</v>
      </c>
      <c r="AO34" s="616">
        <f>AC34/$J$3-1</f>
        <v>1.8705809183285229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X34" si="9">Q10</f>
        <v>2.7254086309143766</v>
      </c>
      <c r="AX34" s="52">
        <f t="shared" si="9"/>
        <v>0.65433928571687261</v>
      </c>
      <c r="AZ34" s="111">
        <f>(AO36-AX34)/AW34</f>
        <v>4.0406151415375646</v>
      </c>
    </row>
    <row r="35" spans="21:52" x14ac:dyDescent="0.15">
      <c r="U35" s="35">
        <v>8</v>
      </c>
      <c r="V35" s="98">
        <f>C14</f>
        <v>-5.8938322601629753E-3</v>
      </c>
      <c r="W35" s="99">
        <f>D14</f>
        <v>0.41704887403929791</v>
      </c>
      <c r="X35" s="100">
        <f>E14</f>
        <v>424.65374076504946</v>
      </c>
      <c r="Y35" s="36">
        <f>C14-U29</f>
        <v>-0.85226117919893851</v>
      </c>
      <c r="Z35" s="28">
        <f t="shared" ref="Z35:Z37" si="10">(-W35+SQRT(W35^2-(4*Y35*X35)))/(2*Y35)</f>
        <v>-22.078567134844359</v>
      </c>
      <c r="AA35" s="29">
        <f t="shared" ref="AA35:AA37" si="11">(-W35-SQRT(W35^2-(4*Y35*X35)))/(2*Y35)</f>
        <v>22.567911110867403</v>
      </c>
      <c r="AB35" s="36">
        <f>AD6</f>
        <v>299.78303188704132</v>
      </c>
      <c r="AC35" s="53">
        <f t="shared" ref="AC35:AC37" si="12">IF(Z35&lt;0,AA35,IF(Z35&gt;AB35,AA35,Z35))</f>
        <v>22.567911110867403</v>
      </c>
      <c r="AD35" s="53">
        <f>V35*AC35^2+W35*AC35+X35</f>
        <v>431.06387136834888</v>
      </c>
      <c r="AE35" s="53">
        <f t="shared" ref="AE35:AE37" si="13">X52*AC35^2+Y52*AC35+Z52</f>
        <v>89.450708769975051</v>
      </c>
      <c r="AF35" s="53">
        <f>AVERAGE(K66:K67,K66)</f>
        <v>50.625203226087898</v>
      </c>
      <c r="AG35" s="53">
        <f>AVERAGE(U66:U67,U66)</f>
        <v>67.192173538404489</v>
      </c>
      <c r="AI35">
        <v>9</v>
      </c>
      <c r="AJ35" s="3">
        <f>Q9*AI35+R9</f>
        <v>25.183016963946262</v>
      </c>
      <c r="AL35">
        <f t="shared" ref="AL35:AL37" si="14">AN53*AC35^2+AO53*AC35+AP53</f>
        <v>357.48105261443914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ref="AW35:AY35" si="15">Q11</f>
        <v>-1.0983050659137878E-3</v>
      </c>
      <c r="AX35" s="52">
        <f t="shared" si="15"/>
        <v>0.38325567037747171</v>
      </c>
      <c r="AY35" s="52">
        <f t="shared" si="15"/>
        <v>8.9532550517630816E-2</v>
      </c>
      <c r="AZ35" s="111">
        <f>AW35*AO36^2+AX35*AO36+AY35</f>
        <v>4.4113571820609794</v>
      </c>
    </row>
    <row r="36" spans="21:52" x14ac:dyDescent="0.15">
      <c r="U36" s="35">
        <v>6</v>
      </c>
      <c r="V36" s="98">
        <f>C19</f>
        <v>-6.900999826613176E-3</v>
      </c>
      <c r="W36" s="99">
        <f>D19</f>
        <v>0.58828187691278289</v>
      </c>
      <c r="X36" s="100">
        <f>E19</f>
        <v>199.23235504253068</v>
      </c>
      <c r="Y36" s="36">
        <f>C19-U29</f>
        <v>-0.85326834676538876</v>
      </c>
      <c r="Z36" s="28">
        <f t="shared" si="10"/>
        <v>-14.939649475215743</v>
      </c>
      <c r="AA36" s="29">
        <f t="shared" si="11"/>
        <v>15.629094805214063</v>
      </c>
      <c r="AB36" s="36">
        <f>AF6</f>
        <v>213.61335762915562</v>
      </c>
      <c r="AC36" s="53">
        <f t="shared" si="12"/>
        <v>15.629094805214063</v>
      </c>
      <c r="AD36" s="53">
        <f>V36*AC36^2+W36*AC36+X36</f>
        <v>206.74097067216883</v>
      </c>
      <c r="AE36" s="53">
        <f t="shared" si="13"/>
        <v>37.949984433278473</v>
      </c>
      <c r="AF36" s="53">
        <f>AVERAGE(K71:K72,K71)</f>
        <v>46.542142126244208</v>
      </c>
      <c r="AG36" s="53">
        <f>AVERAGE(U71:U72,U71)</f>
        <v>62.437064980011733</v>
      </c>
      <c r="AI36">
        <v>8</v>
      </c>
      <c r="AJ36" s="3">
        <f>AC35</f>
        <v>22.567911110867403</v>
      </c>
      <c r="AL36">
        <f t="shared" si="14"/>
        <v>209.76760870030293</v>
      </c>
      <c r="AM36" t="s">
        <v>14</v>
      </c>
      <c r="AO36" s="609">
        <f>Tulokset!$CR$16</f>
        <v>11.666666666666666</v>
      </c>
      <c r="AP36" t="s">
        <v>13</v>
      </c>
      <c r="AR36" s="617">
        <f>IF($AO$36&gt;$AJ$35,AVERAGE(AZ34,AZ35,AZ35),AVERAGE(AZ33,AZ33,AZ35))</f>
        <v>4.4229623345634375</v>
      </c>
      <c r="AS36" t="s">
        <v>25</v>
      </c>
    </row>
    <row r="37" spans="21:52" x14ac:dyDescent="0.15">
      <c r="U37" s="38">
        <v>4</v>
      </c>
      <c r="V37" s="101">
        <f>C24</f>
        <v>-4.5287059645176828E-3</v>
      </c>
      <c r="W37" s="102">
        <f>D24</f>
        <v>-0.1767038368018404</v>
      </c>
      <c r="X37" s="103">
        <f>E24</f>
        <v>100.05776360579901</v>
      </c>
      <c r="Y37" s="37">
        <f>C24-U29</f>
        <v>-0.85089605290329329</v>
      </c>
      <c r="Z37" s="30">
        <f t="shared" si="10"/>
        <v>-10.948271966407942</v>
      </c>
      <c r="AA37" s="31">
        <f t="shared" si="11"/>
        <v>10.740604018955466</v>
      </c>
      <c r="AB37" s="37">
        <f>AH6</f>
        <v>122.85148290021115</v>
      </c>
      <c r="AC37" s="53">
        <f t="shared" si="12"/>
        <v>10.740604018955466</v>
      </c>
      <c r="AD37" s="53">
        <f>V37*AC37^2+W37*AC37+X37</f>
        <v>97.637423543402448</v>
      </c>
      <c r="AE37" s="53">
        <f t="shared" si="13"/>
        <v>19.733641311727901</v>
      </c>
      <c r="AF37" s="53">
        <f>AVERAGE(K76:K77,K76)</f>
        <v>36.913977930173736</v>
      </c>
      <c r="AG37" s="53">
        <f>AVERAGE(U76:U77,U76)</f>
        <v>53.616144293086087</v>
      </c>
      <c r="AI37">
        <v>6</v>
      </c>
      <c r="AJ37" s="3">
        <f t="shared" ref="AJ37:AJ38" si="16">AC36</f>
        <v>15.629094805214063</v>
      </c>
      <c r="AL37">
        <f t="shared" si="14"/>
        <v>102.09310097355285</v>
      </c>
      <c r="AM37" t="s">
        <v>14</v>
      </c>
      <c r="AO37" s="609">
        <f>Tulokset!$CR$17</f>
        <v>115.19999999999999</v>
      </c>
      <c r="AP37" t="s">
        <v>14</v>
      </c>
    </row>
    <row r="38" spans="21:52" x14ac:dyDescent="0.15">
      <c r="AI38">
        <v>4</v>
      </c>
      <c r="AJ38" s="3">
        <f t="shared" si="16"/>
        <v>10.740604018955466</v>
      </c>
    </row>
    <row r="40" spans="21:52" x14ac:dyDescent="0.15">
      <c r="U40" s="2" t="s">
        <v>35</v>
      </c>
      <c r="W40" t="s">
        <v>36</v>
      </c>
    </row>
    <row r="42" spans="21:5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52" x14ac:dyDescent="0.15">
      <c r="U43" s="10" t="s">
        <v>26</v>
      </c>
      <c r="V43" s="21"/>
      <c r="W43" s="49">
        <v>15</v>
      </c>
      <c r="X43" s="49">
        <v>13</v>
      </c>
      <c r="Y43" s="49">
        <v>1</v>
      </c>
      <c r="Z43" s="49">
        <v>-5</v>
      </c>
      <c r="AA43" s="49">
        <v>-9</v>
      </c>
      <c r="AB43" s="49">
        <v>-14</v>
      </c>
      <c r="AC43" s="49">
        <v>-24</v>
      </c>
      <c r="AD43" s="49">
        <v>-29</v>
      </c>
      <c r="AE43" s="39" t="s">
        <v>42</v>
      </c>
      <c r="AF43" s="53">
        <f>$W$5+W43</f>
        <v>50.349541902898544</v>
      </c>
      <c r="AG43" s="53">
        <f t="shared" ref="AG43:AM43" si="17">$W$5+X43</f>
        <v>48.349541902898544</v>
      </c>
      <c r="AH43" s="53">
        <f t="shared" si="17"/>
        <v>36.349541902898544</v>
      </c>
      <c r="AI43" s="53">
        <f t="shared" si="17"/>
        <v>30.349541902898544</v>
      </c>
      <c r="AJ43" s="53">
        <f t="shared" si="17"/>
        <v>26.349541902898544</v>
      </c>
      <c r="AK43" s="53">
        <f t="shared" si="17"/>
        <v>21.349541902898544</v>
      </c>
      <c r="AL43" s="53">
        <f t="shared" si="17"/>
        <v>11.349541902898544</v>
      </c>
      <c r="AM43" s="53">
        <f t="shared" si="17"/>
        <v>6.3495419028985438</v>
      </c>
      <c r="AN43" s="5">
        <f t="array" ref="AN43">10*LOG10(SUM(10^(AF43:AM43/10)))</f>
        <v>52.61856517370223</v>
      </c>
      <c r="AO43" s="5">
        <f t="array" ref="AO43">10*LOG10(SUM(10^((AF43:AM43+AF46:AM46)/10)))</f>
        <v>35.664172636801219</v>
      </c>
      <c r="AP43" t="str">
        <f>IF(ABS(W5-AO43)&lt;0.5,"OK","Tarkista laskenta!")</f>
        <v>OK</v>
      </c>
    </row>
    <row r="44" spans="21:52" x14ac:dyDescent="0.15">
      <c r="U44" s="14" t="s">
        <v>29</v>
      </c>
      <c r="V44" s="26"/>
      <c r="W44" s="49">
        <v>6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58.528035704291518</v>
      </c>
      <c r="AG44" s="53">
        <f t="shared" ref="AG44:AM44" si="18">$W$6+X44</f>
        <v>60.528035704291518</v>
      </c>
      <c r="AH44" s="53">
        <f t="shared" si="18"/>
        <v>51.528035704291518</v>
      </c>
      <c r="AI44" s="53">
        <f t="shared" si="18"/>
        <v>48.528035704291518</v>
      </c>
      <c r="AJ44" s="53">
        <f t="shared" si="18"/>
        <v>47.528035704291518</v>
      </c>
      <c r="AK44" s="53">
        <f t="shared" si="18"/>
        <v>42.528035704291518</v>
      </c>
      <c r="AL44" s="53">
        <f t="shared" si="18"/>
        <v>38.528035704291518</v>
      </c>
      <c r="AM44" s="53">
        <f t="shared" si="18"/>
        <v>36.528035704291518</v>
      </c>
      <c r="AN44" s="5">
        <f t="array" ref="AN44">10*LOG10(SUM(10^(AF44:AM44/10)))</f>
        <v>63.306886106070337</v>
      </c>
      <c r="AO44" s="5">
        <f t="array" ref="AO44">10*LOG10(SUM(10^((AF44:AM44+AF46:AM46)/10)))</f>
        <v>52.450459850736067</v>
      </c>
      <c r="AP44" t="str">
        <f>IF(ABS(W6-AO44)&lt;0.5,"OK","Tarkista laskenta!")</f>
        <v>OK</v>
      </c>
    </row>
    <row r="46" spans="21:5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LINEST(Y59:Y67,X59:X67^{1,2})</f>
        <v>3.776917108145616E-4</v>
      </c>
      <c r="Y51" s="54">
        <v>0.95964026918999501</v>
      </c>
      <c r="Z51" s="54">
        <v>127.10328765971141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LINEST(Y70:Y78,X70:X78^{1,2})</f>
        <v>5.8205355126901169E-4</v>
      </c>
      <c r="Y52" s="54">
        <v>0.59864600253013434</v>
      </c>
      <c r="Z52" s="54">
        <v>75.644072947638819</v>
      </c>
      <c r="AM52" t="s">
        <v>3</v>
      </c>
      <c r="AN52" s="54">
        <f t="array" ref="AN52:AP52">LINEST(AO60:AO67,AN60:AN67^{1,2})</f>
        <v>-7.8886988291031798E-3</v>
      </c>
      <c r="AO52" s="54">
        <v>3.1314055362362243</v>
      </c>
      <c r="AP52" s="54">
        <v>430.71642015888642</v>
      </c>
    </row>
    <row r="53" spans="3:42" x14ac:dyDescent="0.15">
      <c r="W53" t="s">
        <v>10</v>
      </c>
      <c r="X53" s="54">
        <f t="array" ref="X53:Z53">LINEST(Y81:Y88,X81:X88^{1,2})</f>
        <v>1.1899585521334657E-4</v>
      </c>
      <c r="Y53" s="54">
        <v>0.44802087071349334</v>
      </c>
      <c r="Z53" s="54">
        <v>30.918756818696775</v>
      </c>
      <c r="AM53" t="s">
        <v>114</v>
      </c>
      <c r="AN53" s="54">
        <f t="array" ref="AN53:AP53">LINEST(AO71:AO78,AN71:AN78^{1,2})</f>
        <v>-6.7203587621186599E-3</v>
      </c>
      <c r="AO53" s="54">
        <v>2.2460738760700178</v>
      </c>
      <c r="AP53" s="54">
        <v>310.21460706422556</v>
      </c>
    </row>
    <row r="54" spans="3:42" x14ac:dyDescent="0.15">
      <c r="W54" t="s">
        <v>12</v>
      </c>
      <c r="X54" s="54">
        <f t="array" ref="X54:Z54">LINEST(Y92:Y98,X92:X98^{1,2})</f>
        <v>7.8439500677749137E-5</v>
      </c>
      <c r="Y54" s="54">
        <v>0.19954382418716141</v>
      </c>
      <c r="Z54" s="54">
        <v>17.581371285828794</v>
      </c>
      <c r="AM54" t="s">
        <v>10</v>
      </c>
      <c r="AN54" s="54">
        <f t="array" ref="AN54:AP54">LINEST(AO82:AO89,AN82:AN89^{1,2})</f>
        <v>-5.5201103910772495E-3</v>
      </c>
      <c r="AO54" s="54">
        <v>1.3813935974166838</v>
      </c>
      <c r="AP54" s="54">
        <v>189.5260668644919</v>
      </c>
    </row>
    <row r="55" spans="3:42" x14ac:dyDescent="0.15">
      <c r="AM55" t="s">
        <v>12</v>
      </c>
      <c r="AN55" s="54">
        <f t="array" ref="AN55:AP55">LINEST(AO93:AO99,AN93:AN99^{1,2})</f>
        <v>-3.0470369228017091E-3</v>
      </c>
      <c r="AO55" s="54">
        <v>0.51215993958746597</v>
      </c>
      <c r="AP55" s="54">
        <v>96.943701798593878</v>
      </c>
    </row>
    <row r="56" spans="3:42" x14ac:dyDescent="0.15">
      <c r="C56" s="2" t="s">
        <v>45</v>
      </c>
    </row>
    <row r="57" spans="3:42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344.7</v>
      </c>
      <c r="E59" s="68">
        <v>62.144673041028028</v>
      </c>
      <c r="F59" s="69">
        <v>504.49107312811128</v>
      </c>
      <c r="H59" t="s">
        <v>4</v>
      </c>
      <c r="I59" t="s">
        <v>5</v>
      </c>
      <c r="K59" s="27" t="s">
        <v>424</v>
      </c>
      <c r="M59" s="10" t="s">
        <v>3</v>
      </c>
      <c r="N59" s="67">
        <v>347.55882244303535</v>
      </c>
      <c r="O59" s="68">
        <v>81.851516160933571</v>
      </c>
      <c r="P59" s="69">
        <v>500.76674771949382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287">
        <v>149.92627936606368</v>
      </c>
      <c r="Y59" s="288">
        <v>269.87126140289683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324</v>
      </c>
      <c r="E60" s="68">
        <v>61.110829409089718</v>
      </c>
      <c r="F60" s="69">
        <v>469.62425060416473</v>
      </c>
      <c r="G60" s="316" t="s">
        <v>412</v>
      </c>
      <c r="H60" s="317">
        <f t="array" ref="H60:J60">LINEST(E59:E62,D59:D62^{1,2})</f>
        <v>1.3159831517958962E-4</v>
      </c>
      <c r="I60" s="317">
        <v>-6.155995211310706E-2</v>
      </c>
      <c r="J60" s="317">
        <v>67.562262537292582</v>
      </c>
      <c r="K60" s="318">
        <f>$H$60*AC34^2+$I$60*AC34+$J$60</f>
        <v>65.946720518692061</v>
      </c>
      <c r="M60" s="12"/>
      <c r="N60" s="67">
        <v>318.57365469368182</v>
      </c>
      <c r="O60" s="68">
        <v>81.06411222486777</v>
      </c>
      <c r="P60" s="69">
        <v>470.18898951735156</v>
      </c>
      <c r="Q60" s="129" t="s">
        <v>412</v>
      </c>
      <c r="R60">
        <f t="array" ref="R60:T60">LINEST(O59:O62,N59:N62^{1,2})</f>
        <v>4.3665763317716743E-5</v>
      </c>
      <c r="S60">
        <v>-2.5165414473464579E-4</v>
      </c>
      <c r="T60" s="24">
        <v>76.678071775380687</v>
      </c>
      <c r="U60" s="84">
        <f>$R$60*AC34^2+$S$60*AC34+$T$60</f>
        <v>76.705058903710452</v>
      </c>
      <c r="W60" s="232"/>
      <c r="X60" s="17">
        <v>207.42294296613554</v>
      </c>
      <c r="Y60" s="289">
        <v>344.24106644222212</v>
      </c>
      <c r="AM60" s="228" t="s">
        <v>3</v>
      </c>
      <c r="AN60" s="287">
        <v>149.92627936606368</v>
      </c>
      <c r="AO60" s="288">
        <v>722.42610700384864</v>
      </c>
    </row>
    <row r="61" spans="3:42" x14ac:dyDescent="0.15">
      <c r="C61" s="12"/>
      <c r="D61" s="67">
        <v>292.5</v>
      </c>
      <c r="E61" s="68">
        <v>60.985409403702306</v>
      </c>
      <c r="F61" s="69">
        <v>439.47511337645165</v>
      </c>
      <c r="G61" s="129" t="s">
        <v>423</v>
      </c>
      <c r="H61">
        <f t="array" ref="H61:I61">LINEST(E59:E62,D59:D62)</f>
        <v>9.0496559967216238E-3</v>
      </c>
      <c r="I61">
        <v>58.558672170948562</v>
      </c>
      <c r="K61" s="298">
        <f>H61*$AC$34+I61</f>
        <v>58.811233821992154</v>
      </c>
      <c r="M61" s="12"/>
      <c r="N61" s="67">
        <v>289.31281640836551</v>
      </c>
      <c r="O61" s="68">
        <v>80.236796311049133</v>
      </c>
      <c r="P61" s="69">
        <v>441.0612450801093</v>
      </c>
      <c r="Q61" s="129" t="s">
        <v>420</v>
      </c>
      <c r="R61">
        <f t="array" ref="R61:S61">LINEST(O59:O62,N59:N62)</f>
        <v>2.365077806030259E-2</v>
      </c>
      <c r="S61">
        <v>73.539201191246732</v>
      </c>
      <c r="T61" s="24"/>
      <c r="U61" s="84">
        <f>R61*AC34+S61</f>
        <v>74.199257171003254</v>
      </c>
      <c r="W61" s="232"/>
      <c r="X61" s="17">
        <v>261.10737691631488</v>
      </c>
      <c r="Y61" s="289">
        <v>404.74934395940249</v>
      </c>
      <c r="AM61" s="232"/>
      <c r="AN61" s="17">
        <v>207.42294296613554</v>
      </c>
      <c r="AO61" s="289">
        <v>739.53034803011769</v>
      </c>
    </row>
    <row r="62" spans="3:42" x14ac:dyDescent="0.15">
      <c r="C62" s="14"/>
      <c r="D62" s="67">
        <v>199.8</v>
      </c>
      <c r="E62" s="68">
        <v>60.500427442168004</v>
      </c>
      <c r="F62" s="69">
        <v>336.60814408776122</v>
      </c>
      <c r="G62" s="297" t="s">
        <v>462</v>
      </c>
      <c r="H62" s="2">
        <f t="array" ref="H62:I62">LINEST(E59:E62,LN(D59:D62))</f>
        <v>2.2906023494137728</v>
      </c>
      <c r="I62" s="2">
        <v>48.243889943890657</v>
      </c>
      <c r="K62" s="298">
        <f>H62*LN($AC$34)+I62</f>
        <v>55.86914169827746</v>
      </c>
      <c r="M62" s="14"/>
      <c r="N62" s="67">
        <v>207.42294296613554</v>
      </c>
      <c r="O62" s="68">
        <v>78.507118643238755</v>
      </c>
      <c r="P62" s="69">
        <v>345.32573641349239</v>
      </c>
      <c r="Q62" s="297" t="s">
        <v>462</v>
      </c>
      <c r="R62" s="2">
        <f t="array" ref="R62:S62">LINEST(O59:O62,LN(N59:N62))</f>
        <v>6.2823703283303383</v>
      </c>
      <c r="S62" s="2">
        <v>44.892705372702324</v>
      </c>
      <c r="T62" s="24"/>
      <c r="U62" s="84">
        <f>R62*LN(AC34)+S62</f>
        <v>65.806267859909497</v>
      </c>
      <c r="W62" s="232"/>
      <c r="X62" s="17">
        <v>289.31281640836551</v>
      </c>
      <c r="Y62" s="289">
        <v>441.21443337830112</v>
      </c>
      <c r="AM62" s="232"/>
      <c r="AN62" s="17">
        <v>261.10737691631488</v>
      </c>
      <c r="AO62" s="289">
        <v>717.88057288445566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17">
        <v>320.54086242225918</v>
      </c>
      <c r="Y63" s="289">
        <v>476.01090864587957</v>
      </c>
      <c r="AM63" s="232"/>
      <c r="AN63" s="17">
        <v>289.31281640836551</v>
      </c>
      <c r="AO63" s="289">
        <v>675.41900858718213</v>
      </c>
    </row>
    <row r="64" spans="3:42" x14ac:dyDescent="0.15">
      <c r="C64" s="10" t="s">
        <v>408</v>
      </c>
      <c r="D64" s="67">
        <v>281.5</v>
      </c>
      <c r="E64" s="68">
        <v>58.24228272767192</v>
      </c>
      <c r="F64" s="69">
        <v>289.3769446226944</v>
      </c>
      <c r="H64" t="s">
        <v>4</v>
      </c>
      <c r="I64" t="s">
        <v>5</v>
      </c>
      <c r="K64" s="298"/>
      <c r="M64" s="10" t="s">
        <v>408</v>
      </c>
      <c r="N64" s="67">
        <v>283.96765425773657</v>
      </c>
      <c r="O64" s="68">
        <v>77.735360552640628</v>
      </c>
      <c r="P64" s="69">
        <v>293.36943783656</v>
      </c>
      <c r="R64" t="s">
        <v>4</v>
      </c>
      <c r="S64" t="s">
        <v>5</v>
      </c>
      <c r="T64" s="24" t="s">
        <v>6</v>
      </c>
      <c r="U64" s="3"/>
      <c r="W64" s="232"/>
      <c r="X64" s="17">
        <v>348.77932335192918</v>
      </c>
      <c r="Y64" s="289">
        <v>508.64545939713418</v>
      </c>
      <c r="AM64" s="232"/>
      <c r="AN64" s="17">
        <v>320.54086242225918</v>
      </c>
      <c r="AO64" s="289">
        <v>623.23687622746013</v>
      </c>
    </row>
    <row r="65" spans="3:41" x14ac:dyDescent="0.15">
      <c r="C65" s="12"/>
      <c r="D65" s="67">
        <v>263.3</v>
      </c>
      <c r="E65" s="68">
        <v>57.721583476668464</v>
      </c>
      <c r="F65" s="69">
        <v>271.22877794721762</v>
      </c>
      <c r="G65" s="316" t="s">
        <v>412</v>
      </c>
      <c r="H65" s="317">
        <f t="array" ref="H65:J65">LINEST(E64:E67,D64:D67^{1,2})</f>
        <v>6.9041931714994414E-5</v>
      </c>
      <c r="I65" s="317">
        <v>-8.99369941815387E-3</v>
      </c>
      <c r="J65" s="317">
        <v>55.303034341627615</v>
      </c>
      <c r="K65" s="318">
        <f>$H$65*AC35^2+$I$65*AC35+$J$65</f>
        <v>55.135229121089935</v>
      </c>
      <c r="M65" s="12"/>
      <c r="N65" s="67">
        <v>261.96983501546862</v>
      </c>
      <c r="O65" s="68">
        <v>76.862945314317813</v>
      </c>
      <c r="P65" s="69">
        <v>272.85889494484417</v>
      </c>
      <c r="Q65" s="129" t="s">
        <v>412</v>
      </c>
      <c r="R65">
        <f t="array" ref="R65:T65">LINEST(O64:O67,N64:N67^{1,2})</f>
        <v>8.8477708060310498E-5</v>
      </c>
      <c r="S65">
        <v>-1.0385446984018065E-2</v>
      </c>
      <c r="T65" s="24">
        <v>73.537970177100874</v>
      </c>
      <c r="U65" s="84">
        <f>$R$65*AC35^2+$S$65*AC35+$T$65</f>
        <v>73.34865496835134</v>
      </c>
      <c r="W65" s="232"/>
      <c r="X65" s="17">
        <v>318.57365469368182</v>
      </c>
      <c r="Y65" s="289">
        <v>470.25008534934227</v>
      </c>
      <c r="AM65" s="232"/>
      <c r="AN65" s="17">
        <v>348.77932335192918</v>
      </c>
      <c r="AO65" s="289">
        <v>572.2874906916403</v>
      </c>
    </row>
    <row r="66" spans="3:41" x14ac:dyDescent="0.15">
      <c r="C66" s="12"/>
      <c r="D66" s="67">
        <v>237.6</v>
      </c>
      <c r="E66" s="68">
        <v>57.063736576510934</v>
      </c>
      <c r="F66" s="69">
        <v>247.39903203589208</v>
      </c>
      <c r="G66" s="129" t="s">
        <v>423</v>
      </c>
      <c r="H66">
        <f t="array" ref="H66:I66">LINEST(E64:E67,D64:D67)</f>
        <v>2.1304908406853763E-2</v>
      </c>
      <c r="I66">
        <v>52.137799277665401</v>
      </c>
      <c r="K66" s="298">
        <f>H66*$AC$35+I66</f>
        <v>52.618606556816445</v>
      </c>
      <c r="M66" s="12"/>
      <c r="N66" s="67">
        <v>234.55670322791551</v>
      </c>
      <c r="O66" s="68">
        <v>75.986323411337054</v>
      </c>
      <c r="P66" s="69">
        <v>250.0642668033866</v>
      </c>
      <c r="Q66" s="129" t="s">
        <v>420</v>
      </c>
      <c r="R66">
        <f t="array" ref="R66:S66">LINEST(O64:O67,N64:N67)</f>
        <v>2.9048929500162052E-2</v>
      </c>
      <c r="S66">
        <v>69.331403523358659</v>
      </c>
      <c r="T66" s="24"/>
      <c r="U66" s="84">
        <f>R66*$AC$35+S66</f>
        <v>69.986977182184177</v>
      </c>
      <c r="W66" s="290"/>
      <c r="X66" s="18">
        <v>347.55882244303535</v>
      </c>
      <c r="Y66" s="291">
        <v>500.70540336719438</v>
      </c>
      <c r="AM66" s="232"/>
      <c r="AN66" s="17">
        <v>318.57365469368182</v>
      </c>
      <c r="AO66" s="289">
        <v>618.04528681032571</v>
      </c>
    </row>
    <row r="67" spans="3:41" ht="14" thickBot="1" x14ac:dyDescent="0.2">
      <c r="C67" s="14"/>
      <c r="D67" s="67">
        <v>163.80000000000001</v>
      </c>
      <c r="E67" s="68">
        <v>55.682298664375324</v>
      </c>
      <c r="F67" s="69">
        <v>188.57183219107492</v>
      </c>
      <c r="G67" s="297" t="s">
        <v>462</v>
      </c>
      <c r="H67" s="2">
        <f t="array" ref="H67:I67">LINEST(E64:E67,LN(D64:D67))</f>
        <v>4.5248871319092387</v>
      </c>
      <c r="I67" s="2">
        <v>32.536454438084718</v>
      </c>
      <c r="K67" s="298">
        <f>H67*LN($AC$35)+I67</f>
        <v>46.638396564630781</v>
      </c>
      <c r="M67" s="14"/>
      <c r="N67" s="67">
        <v>167.45120469341205</v>
      </c>
      <c r="O67" s="68">
        <v>74.277783828246243</v>
      </c>
      <c r="P67" s="69">
        <v>194.61310189169498</v>
      </c>
      <c r="Q67" s="297" t="s">
        <v>462</v>
      </c>
      <c r="R67" s="2">
        <f t="array" ref="R67:S67">LINEST(O64:O67,LN(N64:N67))</f>
        <v>6.2653954627769073</v>
      </c>
      <c r="S67" s="2">
        <v>42.076279375547109</v>
      </c>
      <c r="T67" s="24"/>
      <c r="U67" s="84">
        <f>R67*LN($AC$35)+S67</f>
        <v>61.602566250845129</v>
      </c>
      <c r="W67" s="236"/>
      <c r="X67" s="292">
        <v>88.39543467590552</v>
      </c>
      <c r="Y67" s="293">
        <v>219.51717363439141</v>
      </c>
      <c r="AM67" s="290"/>
      <c r="AN67" s="18">
        <v>347.55882244303535</v>
      </c>
      <c r="AO67" s="291">
        <v>562.76723154802846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7"/>
      <c r="Y68" s="13"/>
      <c r="AM68" s="236"/>
      <c r="AN68" s="292">
        <v>88.39543467590552</v>
      </c>
      <c r="AO68" s="293">
        <v>748.22122088951073</v>
      </c>
    </row>
    <row r="69" spans="3:41" ht="14" thickBot="1" x14ac:dyDescent="0.2">
      <c r="C69" s="10" t="s">
        <v>409</v>
      </c>
      <c r="D69" s="67">
        <v>199.7</v>
      </c>
      <c r="E69" s="68">
        <v>52.054568508290444</v>
      </c>
      <c r="F69" s="69">
        <v>128.69163767750064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196.59593379240673</v>
      </c>
      <c r="O69" s="68">
        <v>70.294486455567011</v>
      </c>
      <c r="P69" s="69">
        <v>120.34652098211106</v>
      </c>
      <c r="R69" t="s">
        <v>4</v>
      </c>
      <c r="S69" t="s">
        <v>5</v>
      </c>
      <c r="T69" s="24" t="s">
        <v>6</v>
      </c>
      <c r="U69" s="3"/>
      <c r="W69" s="12"/>
      <c r="X69" s="16" t="s">
        <v>13</v>
      </c>
      <c r="Y69" s="11" t="s">
        <v>49</v>
      </c>
      <c r="AM69" s="12"/>
      <c r="AN69" s="17"/>
      <c r="AO69" s="13"/>
    </row>
    <row r="70" spans="3:41" ht="14" thickBot="1" x14ac:dyDescent="0.2">
      <c r="C70" s="12"/>
      <c r="D70" s="67">
        <v>189.6</v>
      </c>
      <c r="E70" s="68">
        <v>50.877843425757796</v>
      </c>
      <c r="F70" s="69">
        <v>112.55887039452776</v>
      </c>
      <c r="G70" s="316" t="s">
        <v>412</v>
      </c>
      <c r="H70" s="317">
        <f t="array" ref="H70:J70">LINEST(E69:E72,D69:D72^{1,2})</f>
        <v>6.5254221392761704E-4</v>
      </c>
      <c r="I70" s="317">
        <v>-0.18351921947972666</v>
      </c>
      <c r="J70" s="317">
        <v>62.513685753569391</v>
      </c>
      <c r="K70" s="318">
        <f>$H$70*AC36^2+$I$70*AC36+$J$70</f>
        <v>59.804842049669858</v>
      </c>
      <c r="M70" s="12"/>
      <c r="N70" s="67">
        <v>188.24966838990059</v>
      </c>
      <c r="O70" s="68">
        <v>70.39393478183564</v>
      </c>
      <c r="P70" s="69">
        <v>121.47322095590408</v>
      </c>
      <c r="Q70" s="129" t="s">
        <v>412</v>
      </c>
      <c r="R70">
        <f t="array" ref="R70:T70">LINEST(O69:O72,N69:N72^{1,2})</f>
        <v>6.1522633864861273E-5</v>
      </c>
      <c r="S70">
        <v>1.2551051384514608E-2</v>
      </c>
      <c r="T70" s="24">
        <v>65.60898642374967</v>
      </c>
      <c r="U70" s="84">
        <f>$R$70*AC36^2+$S$70*AC36+$T$70</f>
        <v>65.820176043658407</v>
      </c>
      <c r="W70" s="228" t="s">
        <v>404</v>
      </c>
      <c r="X70" s="287">
        <v>117.956213615922</v>
      </c>
      <c r="Y70" s="288">
        <v>149.69222564951269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172.1</v>
      </c>
      <c r="E71" s="68">
        <v>50.40068165114193</v>
      </c>
      <c r="F71" s="69">
        <v>106.12964882779858</v>
      </c>
      <c r="G71" s="129" t="s">
        <v>423</v>
      </c>
      <c r="H71">
        <f t="array" ref="H71:I71">LINEST(E69:E72,D69:D72)</f>
        <v>1.9689976514100441E-2</v>
      </c>
      <c r="I71">
        <v>47.493587888608069</v>
      </c>
      <c r="K71" s="298">
        <f>H71*$AC$36+I71</f>
        <v>47.801324398259382</v>
      </c>
      <c r="M71" s="12"/>
      <c r="N71" s="67">
        <v>164.38494862120547</v>
      </c>
      <c r="O71" s="68">
        <v>69.238525709591201</v>
      </c>
      <c r="P71" s="69">
        <v>108.17336872060635</v>
      </c>
      <c r="Q71" s="129" t="s">
        <v>420</v>
      </c>
      <c r="R71">
        <f t="array" ref="R71:S71">LINEST(O69:O72,N69:N72)</f>
        <v>3.1870958627067944E-2</v>
      </c>
      <c r="S71">
        <v>64.153635278266677</v>
      </c>
      <c r="T71" s="24"/>
      <c r="U71" s="84">
        <f>R71*AC36+S71</f>
        <v>64.651749512182178</v>
      </c>
      <c r="W71" s="232"/>
      <c r="X71" s="17">
        <v>167.45120469341205</v>
      </c>
      <c r="Y71" s="289">
        <v>194.21295707561856</v>
      </c>
      <c r="AM71" s="228" t="s">
        <v>404</v>
      </c>
      <c r="AN71" s="287">
        <v>117.956213615922</v>
      </c>
      <c r="AO71" s="288">
        <v>480.47740951140975</v>
      </c>
    </row>
    <row r="72" spans="3:41" x14ac:dyDescent="0.15">
      <c r="C72" s="14"/>
      <c r="D72" s="67">
        <v>116.3</v>
      </c>
      <c r="E72" s="68">
        <v>49.985155052847965</v>
      </c>
      <c r="F72" s="69">
        <v>85.326812740785954</v>
      </c>
      <c r="G72" s="297" t="s">
        <v>462</v>
      </c>
      <c r="H72" s="2">
        <f t="array" ref="H72:I72">LINEST(E69:E72,LN(D69:D72))</f>
        <v>2.8809246720542263</v>
      </c>
      <c r="I72" s="2">
        <v>36.103728955610414</v>
      </c>
      <c r="K72" s="298">
        <f>H72*LN($AC$36)+I72</f>
        <v>44.023777582213832</v>
      </c>
      <c r="M72" s="14"/>
      <c r="N72" s="67">
        <v>119.65707821171999</v>
      </c>
      <c r="O72" s="68">
        <v>68.005684116574912</v>
      </c>
      <c r="P72" s="69">
        <v>85.810867205336919</v>
      </c>
      <c r="Q72" s="297" t="s">
        <v>462</v>
      </c>
      <c r="R72" s="2">
        <f t="array" ref="R72:S72">LINEST(O69:O72,LN(N69:N72))</f>
        <v>4.8783884094532386</v>
      </c>
      <c r="S72" s="2">
        <v>44.596351357752141</v>
      </c>
      <c r="T72" s="24"/>
      <c r="U72" s="84">
        <f>R72*LN($AC$36)+S72</f>
        <v>58.007695915670837</v>
      </c>
      <c r="W72" s="232"/>
      <c r="X72" s="17">
        <v>209.867282129915</v>
      </c>
      <c r="Y72" s="289">
        <v>226.86308284600184</v>
      </c>
      <c r="AM72" s="232"/>
      <c r="AN72" s="17">
        <v>167.45120469341205</v>
      </c>
      <c r="AO72" s="289">
        <v>499.25319556455048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17">
        <v>234.55670322791551</v>
      </c>
      <c r="Y73" s="289">
        <v>250.01490513085002</v>
      </c>
      <c r="AM73" s="232"/>
      <c r="AN73" s="17">
        <v>209.867282129915</v>
      </c>
      <c r="AO73" s="289">
        <v>489.60273417160482</v>
      </c>
    </row>
    <row r="74" spans="3:41" x14ac:dyDescent="0.15">
      <c r="C74" s="10" t="s">
        <v>410</v>
      </c>
      <c r="D74" s="67">
        <v>120.9</v>
      </c>
      <c r="E74" s="68">
        <v>42.714217266282517</v>
      </c>
      <c r="F74" s="69">
        <v>42.308179527845539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120.06691977873932</v>
      </c>
      <c r="O74" s="68">
        <v>60.277409039035533</v>
      </c>
      <c r="P74" s="69">
        <v>42.25542567916542</v>
      </c>
      <c r="R74" t="s">
        <v>4</v>
      </c>
      <c r="S74" t="s">
        <v>5</v>
      </c>
      <c r="T74" s="24" t="s">
        <v>6</v>
      </c>
      <c r="W74" s="232"/>
      <c r="X74" s="17">
        <v>285.05414656505906</v>
      </c>
      <c r="Y74" s="289">
        <v>291.75989245361296</v>
      </c>
      <c r="AM74" s="232"/>
      <c r="AN74" s="17">
        <v>234.55670322791551</v>
      </c>
      <c r="AO74" s="289">
        <v>465.36220734164971</v>
      </c>
    </row>
    <row r="75" spans="3:41" x14ac:dyDescent="0.15">
      <c r="C75" s="12"/>
      <c r="D75" s="67">
        <v>111.7</v>
      </c>
      <c r="E75" s="68">
        <v>41.582199094486363</v>
      </c>
      <c r="F75" s="69">
        <v>40.495302050898424</v>
      </c>
      <c r="G75" s="316" t="s">
        <v>412</v>
      </c>
      <c r="H75" s="317">
        <f t="array" ref="H75:J75">LINEST(E74:E77,D74:D77^{1,2})</f>
        <v>1.902347406649211E-3</v>
      </c>
      <c r="I75" s="317">
        <v>-0.33291713030740883</v>
      </c>
      <c r="J75" s="317">
        <v>55.121889541939801</v>
      </c>
      <c r="K75" s="318">
        <f>$H$75*AC37^2+$I$75*AC37+$J$75</f>
        <v>51.76561436427582</v>
      </c>
      <c r="M75" s="12"/>
      <c r="N75" s="67">
        <v>110.21384224054002</v>
      </c>
      <c r="O75" s="68">
        <v>59.745318906529754</v>
      </c>
      <c r="P75" s="69">
        <v>41.173680053971971</v>
      </c>
      <c r="R75">
        <f t="array" ref="R75:T75">LINEST(O74:O77,N74:N77^{1,2})</f>
        <v>3.2824702902644714E-4</v>
      </c>
      <c r="S75">
        <v>-1.7144705829168654E-2</v>
      </c>
      <c r="T75" s="24">
        <v>57.615783132893725</v>
      </c>
      <c r="U75" s="84">
        <f>$R$75*AC37^2+$S$75*AC37+$T$75</f>
        <v>57.469505402470581</v>
      </c>
      <c r="W75" s="232"/>
      <c r="X75" s="17">
        <v>262.71629311714196</v>
      </c>
      <c r="Y75" s="289">
        <v>272.36127011804143</v>
      </c>
      <c r="AM75" s="232"/>
      <c r="AN75" s="17">
        <v>285.05414656505906</v>
      </c>
      <c r="AO75" s="289">
        <v>405.83209680812467</v>
      </c>
    </row>
    <row r="76" spans="3:41" x14ac:dyDescent="0.15">
      <c r="C76" s="12"/>
      <c r="D76" s="67">
        <v>102.2</v>
      </c>
      <c r="E76" s="68">
        <v>41.026264842676959</v>
      </c>
      <c r="F76" s="69">
        <v>37.460548315091366</v>
      </c>
      <c r="G76" s="129" t="s">
        <v>423</v>
      </c>
      <c r="H76">
        <f t="array" ref="H76:I76">LINEST(E74:E77,D74:D77)</f>
        <v>3.5780633026119293E-2</v>
      </c>
      <c r="I76">
        <v>37.86855731228237</v>
      </c>
      <c r="K76" s="298">
        <f>H76*$AC$37+I76</f>
        <v>38.252862923163477</v>
      </c>
      <c r="M76" s="12"/>
      <c r="N76" s="67">
        <v>101.54208149102088</v>
      </c>
      <c r="O76" s="68">
        <v>59.237513523597116</v>
      </c>
      <c r="P76" s="69">
        <v>38.90352411116335</v>
      </c>
      <c r="Q76" s="129" t="s">
        <v>420</v>
      </c>
      <c r="R76">
        <f t="array" ref="R76:S76">LINEST(O74:O77,N74:N77)</f>
        <v>4.4751210043568197E-2</v>
      </c>
      <c r="S76">
        <v>54.820194958958702</v>
      </c>
      <c r="T76" s="24"/>
      <c r="U76" s="84">
        <f>R76*AC37+S76</f>
        <v>55.300849985405769</v>
      </c>
      <c r="W76" s="290"/>
      <c r="X76" s="18">
        <v>261.96983501546862</v>
      </c>
      <c r="Y76" s="291">
        <v>272.86710131104024</v>
      </c>
      <c r="AM76" s="232"/>
      <c r="AN76" s="17">
        <v>262.71629311714196</v>
      </c>
      <c r="AO76" s="289">
        <v>432.65135686837277</v>
      </c>
    </row>
    <row r="77" spans="3:41" x14ac:dyDescent="0.15">
      <c r="C77" s="14"/>
      <c r="D77" s="67">
        <v>75.400000000000006</v>
      </c>
      <c r="E77" s="68">
        <v>40.82876371299777</v>
      </c>
      <c r="F77" s="69">
        <v>31.856143614151943</v>
      </c>
      <c r="G77" s="297" t="s">
        <v>462</v>
      </c>
      <c r="H77" s="2">
        <f t="array" ref="H77:I77">LINEST(E74:E77,LN(D74:D77))</f>
        <v>3.2580688437372398</v>
      </c>
      <c r="I77" s="2">
        <v>26.501450441601413</v>
      </c>
      <c r="J77" s="25"/>
      <c r="K77" s="298">
        <f>H77*LN($AC$37)+I77</f>
        <v>34.236207944194241</v>
      </c>
      <c r="M77" s="14"/>
      <c r="N77" s="67">
        <v>71.51080035745774</v>
      </c>
      <c r="O77" s="68">
        <v>58.0702069810362</v>
      </c>
      <c r="P77" s="69">
        <v>32.284243019271635</v>
      </c>
      <c r="Q77" s="297" t="s">
        <v>462</v>
      </c>
      <c r="R77" s="2">
        <f t="array" ref="R77:S77">LINEST(O74:O77,LN(N74:N77))</f>
        <v>4.0905879464247681</v>
      </c>
      <c r="S77" s="2">
        <v>40.53554897522703</v>
      </c>
      <c r="T77" s="26"/>
      <c r="U77" s="84">
        <f>R77*LN($AC$37)+S77</f>
        <v>50.246732908446731</v>
      </c>
      <c r="W77" s="232"/>
      <c r="X77" s="17">
        <v>283.96765425773657</v>
      </c>
      <c r="Y77" s="289">
        <v>293.34861075163002</v>
      </c>
      <c r="AM77" s="290"/>
      <c r="AN77" s="18">
        <v>261.96983501546862</v>
      </c>
      <c r="AO77" s="291">
        <v>433.6376239036544</v>
      </c>
    </row>
    <row r="78" spans="3:41" ht="14" thickBot="1" x14ac:dyDescent="0.2">
      <c r="W78" s="236"/>
      <c r="X78" s="292">
        <v>69.746589293639971</v>
      </c>
      <c r="Y78" s="293">
        <v>122.34343264857729</v>
      </c>
      <c r="AM78" s="232"/>
      <c r="AN78" s="17">
        <v>283.96765425773657</v>
      </c>
      <c r="AO78" s="289">
        <v>410.00831718529457</v>
      </c>
    </row>
    <row r="79" spans="3:41" ht="14" thickBot="1" x14ac:dyDescent="0.2">
      <c r="F79" s="5"/>
      <c r="W79" s="12"/>
      <c r="X79" s="17"/>
      <c r="Y79" s="13"/>
      <c r="AM79" s="236"/>
      <c r="AN79" s="292"/>
      <c r="AO79" s="293"/>
    </row>
    <row r="80" spans="3:41" ht="14" thickBot="1" x14ac:dyDescent="0.2">
      <c r="F80" s="5"/>
      <c r="W80" s="12"/>
      <c r="X80" s="16" t="s">
        <v>13</v>
      </c>
      <c r="Y80" s="11" t="s">
        <v>49</v>
      </c>
      <c r="AM80" s="12"/>
      <c r="AN80" s="17"/>
      <c r="AO80" s="13"/>
    </row>
    <row r="81" spans="6:41" ht="14" thickBot="1" x14ac:dyDescent="0.2">
      <c r="F81" s="5"/>
      <c r="W81" s="228" t="s">
        <v>411</v>
      </c>
      <c r="X81" s="287">
        <v>81.276712462616203</v>
      </c>
      <c r="Y81" s="288">
        <v>68.338082142436136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17">
        <v>119.65707821171999</v>
      </c>
      <c r="Y82" s="289">
        <v>85.817945626993549</v>
      </c>
      <c r="AM82" s="228" t="s">
        <v>411</v>
      </c>
      <c r="AN82" s="287">
        <v>81.276712462616203</v>
      </c>
      <c r="AO82" s="288">
        <v>265.00501232977552</v>
      </c>
    </row>
    <row r="83" spans="6:41" x14ac:dyDescent="0.15">
      <c r="W83" s="232"/>
      <c r="X83" s="17">
        <v>150.59712190136415</v>
      </c>
      <c r="Y83" s="289">
        <v>100.58211420649553</v>
      </c>
      <c r="AM83" s="232"/>
      <c r="AN83" s="17">
        <v>119.65707821171999</v>
      </c>
      <c r="AO83" s="289">
        <v>275.72121747030798</v>
      </c>
    </row>
    <row r="84" spans="6:41" x14ac:dyDescent="0.15">
      <c r="W84" s="232"/>
      <c r="X84" s="17">
        <v>164.38494862120547</v>
      </c>
      <c r="Y84" s="289">
        <v>108.18499603886791</v>
      </c>
      <c r="AM84" s="232"/>
      <c r="AN84" s="17">
        <v>150.59712190136415</v>
      </c>
      <c r="AO84" s="289">
        <v>277.98938334266228</v>
      </c>
    </row>
    <row r="85" spans="6:41" x14ac:dyDescent="0.15">
      <c r="W85" s="232"/>
      <c r="X85" s="17">
        <v>191.8026926749649</v>
      </c>
      <c r="Y85" s="289">
        <v>122.06707576044337</v>
      </c>
      <c r="AM85" s="232"/>
      <c r="AN85" s="17">
        <v>164.38494862120547</v>
      </c>
      <c r="AO85" s="289">
        <v>260.1718305683068</v>
      </c>
    </row>
    <row r="86" spans="6:41" x14ac:dyDescent="0.15">
      <c r="W86" s="232"/>
      <c r="X86" s="17">
        <v>202.10154643378257</v>
      </c>
      <c r="Y86" s="289">
        <v>127.03579746433738</v>
      </c>
      <c r="AM86" s="232"/>
      <c r="AN86" s="17">
        <v>191.8026926749649</v>
      </c>
      <c r="AO86" s="289">
        <v>256.38645724089372</v>
      </c>
    </row>
    <row r="87" spans="6:41" x14ac:dyDescent="0.15">
      <c r="F87" s="5"/>
      <c r="W87" s="290"/>
      <c r="X87" s="18">
        <v>188.24966838990059</v>
      </c>
      <c r="Y87" s="291">
        <v>121.47438704053738</v>
      </c>
      <c r="AM87" s="232"/>
      <c r="AN87" s="17">
        <v>202.10154643378257</v>
      </c>
      <c r="AO87" s="289">
        <v>247.75451315166487</v>
      </c>
    </row>
    <row r="88" spans="6:41" ht="14" thickBot="1" x14ac:dyDescent="0.2">
      <c r="F88" s="5"/>
      <c r="W88" s="236"/>
      <c r="X88" s="292">
        <v>196.59593379240673</v>
      </c>
      <c r="Y88" s="293">
        <v>120.34526296527847</v>
      </c>
      <c r="AM88" s="290"/>
      <c r="AN88" s="18">
        <v>188.24966838990059</v>
      </c>
      <c r="AO88" s="291">
        <v>256.27772092943292</v>
      </c>
    </row>
    <row r="89" spans="6:41" ht="14" thickBot="1" x14ac:dyDescent="0.2">
      <c r="F89" s="5"/>
      <c r="W89" s="12"/>
      <c r="X89" s="17"/>
      <c r="Y89" s="13"/>
      <c r="AM89" s="236"/>
      <c r="AN89" s="292">
        <v>196.59593379240673</v>
      </c>
      <c r="AO89" s="293">
        <v>237.96625636891571</v>
      </c>
    </row>
    <row r="90" spans="6:41" ht="14" thickBot="1" x14ac:dyDescent="0.2">
      <c r="F90" s="5"/>
      <c r="W90" s="12"/>
      <c r="X90" s="17"/>
      <c r="Y90" s="13"/>
      <c r="AM90" s="12"/>
      <c r="AN90" s="17"/>
      <c r="AO90" s="13"/>
    </row>
    <row r="91" spans="6:41" ht="14" thickBot="1" x14ac:dyDescent="0.2">
      <c r="F91" s="5"/>
      <c r="W91" s="228"/>
      <c r="X91" s="320" t="s">
        <v>13</v>
      </c>
      <c r="Y91" s="321" t="s">
        <v>49</v>
      </c>
      <c r="AM91" s="12"/>
      <c r="AN91" s="17"/>
      <c r="AO91" s="13"/>
    </row>
    <row r="92" spans="6:41" x14ac:dyDescent="0.15">
      <c r="F92" s="5"/>
      <c r="W92" s="322" t="s">
        <v>409</v>
      </c>
      <c r="X92" s="19">
        <v>49.906264553821721</v>
      </c>
      <c r="Y92" s="323">
        <v>27.789129554462839</v>
      </c>
      <c r="AM92" s="228"/>
      <c r="AN92" s="320" t="s">
        <v>13</v>
      </c>
      <c r="AO92" s="11" t="s">
        <v>516</v>
      </c>
    </row>
    <row r="93" spans="6:41" x14ac:dyDescent="0.15">
      <c r="F93" s="5"/>
      <c r="W93" s="232"/>
      <c r="X93" s="17">
        <v>71.51080035745774</v>
      </c>
      <c r="Y93" s="289">
        <v>32.284696155606284</v>
      </c>
      <c r="AM93" s="322" t="s">
        <v>517</v>
      </c>
      <c r="AN93" s="19">
        <v>49.906264553821721</v>
      </c>
      <c r="AO93" s="323">
        <v>115.4382451776105</v>
      </c>
    </row>
    <row r="94" spans="6:41" x14ac:dyDescent="0.15">
      <c r="F94" s="5"/>
      <c r="W94" s="232"/>
      <c r="X94" s="17">
        <v>90.043158959485879</v>
      </c>
      <c r="Y94" s="289">
        <v>35.64020826027015</v>
      </c>
      <c r="AM94" s="232"/>
      <c r="AN94" s="17">
        <v>71.51080035745774</v>
      </c>
      <c r="AO94" s="289">
        <v>116.49698561821329</v>
      </c>
    </row>
    <row r="95" spans="6:41" x14ac:dyDescent="0.15">
      <c r="F95" s="5"/>
      <c r="W95" s="232"/>
      <c r="X95" s="17">
        <v>101.54208149102088</v>
      </c>
      <c r="Y95" s="289">
        <v>38.902321225263641</v>
      </c>
      <c r="AM95" s="232"/>
      <c r="AN95" s="17">
        <v>90.043158959485879</v>
      </c>
      <c r="AO95" s="289">
        <v>119.17840227299482</v>
      </c>
    </row>
    <row r="96" spans="6:41" x14ac:dyDescent="0.15">
      <c r="F96" s="5"/>
      <c r="W96" s="232"/>
      <c r="X96" s="17">
        <v>119.0326314099045</v>
      </c>
      <c r="Y96" s="289">
        <v>42.421503042537594</v>
      </c>
      <c r="AM96" s="232"/>
      <c r="AN96" s="17">
        <v>101.54208149102088</v>
      </c>
      <c r="AO96" s="289">
        <v>118.07500366378952</v>
      </c>
    </row>
    <row r="97" spans="6:41" x14ac:dyDescent="0.15">
      <c r="F97" s="5"/>
      <c r="W97" s="232"/>
      <c r="X97" s="17">
        <v>110.21384224054002</v>
      </c>
      <c r="Y97" s="289">
        <v>41.173887650695342</v>
      </c>
      <c r="AM97" s="232"/>
      <c r="AN97" s="17">
        <v>119.0326314099045</v>
      </c>
      <c r="AO97" s="289">
        <v>114.88763761184336</v>
      </c>
    </row>
    <row r="98" spans="6:41" ht="14" thickBot="1" x14ac:dyDescent="0.2">
      <c r="F98" s="5"/>
      <c r="W98" s="236"/>
      <c r="X98" s="292">
        <v>120.06691977873932</v>
      </c>
      <c r="Y98" s="293">
        <v>42.255082918151238</v>
      </c>
      <c r="AM98" s="232"/>
      <c r="AN98" s="17">
        <v>110.21384224054002</v>
      </c>
      <c r="AO98" s="289">
        <v>116.44711487432268</v>
      </c>
    </row>
    <row r="99" spans="6:41" ht="14" thickBot="1" x14ac:dyDescent="0.2">
      <c r="F99" s="5"/>
      <c r="AM99" s="236"/>
      <c r="AN99" s="292">
        <v>120.06691977873932</v>
      </c>
      <c r="AO99" s="293">
        <v>113.88939116261066</v>
      </c>
    </row>
  </sheetData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C19F-F00E-4520-91FA-2D21F4E3F71F}">
  <sheetPr codeName="Taul16"/>
  <dimension ref="C1:AZ100"/>
  <sheetViews>
    <sheetView topLeftCell="L1" zoomScale="70" zoomScaleNormal="70" workbookViewId="0">
      <selection activeCell="R20" sqref="R20"/>
    </sheetView>
  </sheetViews>
  <sheetFormatPr baseColWidth="10" defaultColWidth="8.83203125" defaultRowHeight="13" x14ac:dyDescent="0.15"/>
  <cols>
    <col min="7" max="7" width="10.5" customWidth="1"/>
    <col min="16" max="16" width="10.83203125" customWidth="1"/>
    <col min="17" max="17" width="12.33203125" bestFit="1" customWidth="1"/>
    <col min="18" max="18" width="12.6640625" bestFit="1" customWidth="1"/>
    <col min="19" max="20" width="9" bestFit="1" customWidth="1"/>
    <col min="22" max="22" width="13" customWidth="1"/>
    <col min="25" max="25" width="10" customWidth="1"/>
  </cols>
  <sheetData>
    <row r="1" spans="3:34" x14ac:dyDescent="0.15">
      <c r="P1" t="s">
        <v>518</v>
      </c>
    </row>
    <row r="2" spans="3:34" x14ac:dyDescent="0.15">
      <c r="C2" s="2" t="s">
        <v>59</v>
      </c>
      <c r="J2" t="s">
        <v>15</v>
      </c>
      <c r="P2" s="259">
        <f t="array" ref="P2:R2">LINEST(AL34:AL37,AC34:AC37^{1,2})</f>
        <v>0.37836075014939463</v>
      </c>
      <c r="Q2" s="259">
        <v>13.466869211089174</v>
      </c>
      <c r="R2" s="259">
        <v>-70.658639995165004</v>
      </c>
      <c r="V2" t="s">
        <v>519</v>
      </c>
      <c r="W2" s="84">
        <f>P2*J3^2+Q2*J3+R2</f>
        <v>96.032520462415562</v>
      </c>
      <c r="X2" t="s">
        <v>14</v>
      </c>
    </row>
    <row r="3" spans="3:34" x14ac:dyDescent="0.15">
      <c r="J3" s="7">
        <f>'R-series ALU'!G33</f>
        <v>9.7222222222222214</v>
      </c>
      <c r="K3" t="s">
        <v>13</v>
      </c>
      <c r="L3" s="122">
        <f>'R-series ALU'!G39</f>
        <v>100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18.392515149019982</v>
      </c>
      <c r="Q5" s="52">
        <v>-4.2076997120203714</v>
      </c>
      <c r="R5" t="s">
        <v>8</v>
      </c>
      <c r="T5" s="4"/>
      <c r="U5" s="39" t="s">
        <v>43</v>
      </c>
      <c r="V5" t="s">
        <v>8</v>
      </c>
      <c r="W5" s="9">
        <f>$P$5*LN($J$3)+$Q$5</f>
        <v>37.624498211409062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21.339208268399272</v>
      </c>
      <c r="Q6" s="52">
        <v>1.3370955830213092</v>
      </c>
      <c r="R6" t="s">
        <v>57</v>
      </c>
      <c r="T6" s="4"/>
      <c r="U6" s="39" t="s">
        <v>43</v>
      </c>
      <c r="V6" t="s">
        <v>57</v>
      </c>
      <c r="W6" s="9">
        <f>$P$6*LN($J$3)+$Q$6</f>
        <v>49.871294227436977</v>
      </c>
      <c r="X6" t="s">
        <v>31</v>
      </c>
      <c r="AA6" s="55">
        <v>25</v>
      </c>
      <c r="AB6" s="56">
        <f t="shared" ref="AB6:AB12" si="0">(-$D$9-SQRT($D$9^2-(4*$C$9*($E$9-AA6))))/(2*$C$9)</f>
        <v>387.02425293331947</v>
      </c>
      <c r="AC6" s="55">
        <v>20</v>
      </c>
      <c r="AD6" s="57">
        <f t="shared" ref="AD6:AD12" si="1">(-$D$14-SQRT($D$14^2-(4*$C$14*($E$14-AC6))))/(2*$C$14)</f>
        <v>322.84873701660229</v>
      </c>
      <c r="AE6" s="55">
        <v>10</v>
      </c>
      <c r="AF6" s="57">
        <f t="shared" ref="AF6:AF11" si="2">(-$D$19-SQRT($D$19^2-(4*$C$19*($E$19-AE6))))/(2*$C$19)</f>
        <v>231.45482058174542</v>
      </c>
      <c r="AG6" s="56">
        <v>10</v>
      </c>
      <c r="AH6" s="57">
        <f>(-$D$24-SQRT($D$24^2-(4*$C$24*($E$24-AG6))))/(2*$C$24)</f>
        <v>137.79479127749656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si="0"/>
        <v>368.06471553994226</v>
      </c>
      <c r="AC7" s="55">
        <v>50</v>
      </c>
      <c r="AD7" s="57">
        <f t="shared" si="1"/>
        <v>312.4056077515325</v>
      </c>
      <c r="AE7" s="55">
        <v>50</v>
      </c>
      <c r="AF7" s="57">
        <f t="shared" si="2"/>
        <v>211.56213987435652</v>
      </c>
      <c r="AG7" s="56">
        <v>20</v>
      </c>
      <c r="AH7" s="57">
        <f>(-$D$24-SQRT($D$24^2-(4*$C$24*($E$24-AG7))))/(2*$C$24)</f>
        <v>129.5056281141523</v>
      </c>
    </row>
    <row r="8" spans="3:34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340.58746162202522</v>
      </c>
      <c r="AC8" s="55">
        <v>100</v>
      </c>
      <c r="AD8" s="57">
        <f t="shared" si="1"/>
        <v>294.04327330941805</v>
      </c>
      <c r="AE8" s="55">
        <v>90</v>
      </c>
      <c r="AF8" s="57">
        <f t="shared" si="2"/>
        <v>189.11321368100411</v>
      </c>
      <c r="AG8" s="56">
        <v>40</v>
      </c>
      <c r="AH8" s="57">
        <f>(-$D$24-SQRT($D$24^2-(4*$C$24*($E$24-AG8))))/(2*$C$24)</f>
        <v>110.92570358593754</v>
      </c>
    </row>
    <row r="9" spans="3:34" x14ac:dyDescent="0.15">
      <c r="C9" s="8">
        <v>-6.8139688100984433E-3</v>
      </c>
      <c r="D9" s="8">
        <v>1.1893599597777449</v>
      </c>
      <c r="E9" s="8">
        <v>585.33805908380089</v>
      </c>
      <c r="H9" s="2"/>
      <c r="P9" t="s">
        <v>415</v>
      </c>
      <c r="Q9" s="52">
        <f t="array" ref="Q9:R9">LINEST(AC35:AC37,U35:U37)</f>
        <v>2.7286260130508846</v>
      </c>
      <c r="R9" s="52">
        <v>-1.8224395304643206</v>
      </c>
      <c r="T9" s="111">
        <f>(J3-R9)/Q9</f>
        <v>4.2309432283753763</v>
      </c>
      <c r="U9" s="39" t="s">
        <v>42</v>
      </c>
      <c r="V9" t="s">
        <v>58</v>
      </c>
      <c r="W9" s="125">
        <f>IF($J$3&gt;$AJ$35,AVERAGE(T10,T11,T11),AVERAGE(T9,T9,T11))</f>
        <v>4.2277239687228612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309.74196635006911</v>
      </c>
      <c r="AC9" s="55">
        <v>150</v>
      </c>
      <c r="AD9" s="57">
        <f t="shared" si="1"/>
        <v>274.23785237808198</v>
      </c>
      <c r="AE9" s="55">
        <v>130</v>
      </c>
      <c r="AF9" s="57">
        <f t="shared" si="2"/>
        <v>162.761483860868</v>
      </c>
      <c r="AG9" s="56">
        <v>60</v>
      </c>
      <c r="AH9" s="57">
        <f>(-$D$24-SQRT($D$24^2-(4*$C$24*($E$24-AG9))))/(2*$C$24)</f>
        <v>88.098495554899614</v>
      </c>
    </row>
    <row r="10" spans="3:34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1.2762882805153166</v>
      </c>
      <c r="R10" s="52">
        <v>11.248600062355793</v>
      </c>
      <c r="T10" s="111">
        <f>(J3-R10)/Q10</f>
        <v>-1.1959506824878767</v>
      </c>
      <c r="W10" t="b">
        <f>IF(AND(W9&lt;=10.01,'R-series ALU'!E33&gt;=W11),TRUE,FALSE)</f>
        <v>0</v>
      </c>
      <c r="AA10" s="55">
        <v>400</v>
      </c>
      <c r="AB10" s="56">
        <f t="shared" si="0"/>
        <v>273.86522624529636</v>
      </c>
      <c r="AC10" s="55">
        <v>170</v>
      </c>
      <c r="AD10" s="57">
        <f t="shared" si="1"/>
        <v>265.8270250865362</v>
      </c>
      <c r="AE10" s="55">
        <v>170</v>
      </c>
      <c r="AF10" s="57">
        <f t="shared" si="2"/>
        <v>129.26947010597144</v>
      </c>
      <c r="AG10" s="56">
        <v>80</v>
      </c>
      <c r="AH10" s="57">
        <f>(-$D$24-SQRT($D$24^2-(4*$C$24*($E$24-AG10))))/(2*$C$24)</f>
        <v>55.102547399007342</v>
      </c>
    </row>
    <row r="11" spans="3:34" ht="14" thickBot="1" x14ac:dyDescent="0.2">
      <c r="C11" s="2" t="s">
        <v>114</v>
      </c>
      <c r="D11" s="1"/>
      <c r="E11" s="1"/>
      <c r="H11" s="1"/>
      <c r="P11" t="s">
        <v>417</v>
      </c>
      <c r="Q11" s="7">
        <f t="array" ref="Q11:S11">LINEST(U34:U37,AC34:AC37^{1,2})</f>
        <v>4.4360931098632395E-3</v>
      </c>
      <c r="R11" s="7">
        <v>0.24860552171499872</v>
      </c>
      <c r="S11" s="7">
        <v>1.3849806812332401</v>
      </c>
      <c r="T11" s="111">
        <f>Q11*J3^2+R11*J3+S11</f>
        <v>4.2212854494178309</v>
      </c>
      <c r="V11" t="s">
        <v>348</v>
      </c>
      <c r="W11" s="294">
        <v>40</v>
      </c>
      <c r="X11" t="s">
        <v>13</v>
      </c>
      <c r="AA11" s="55">
        <v>500</v>
      </c>
      <c r="AB11" s="56">
        <f t="shared" si="0"/>
        <v>229.19151617790286</v>
      </c>
      <c r="AC11" s="55">
        <v>190</v>
      </c>
      <c r="AD11" s="57">
        <f t="shared" si="1"/>
        <v>257.08860009311786</v>
      </c>
      <c r="AE11" s="55">
        <v>200</v>
      </c>
      <c r="AF11" s="57">
        <f t="shared" si="2"/>
        <v>92.408694768599474</v>
      </c>
      <c r="AG11" s="56"/>
      <c r="AH11" s="57"/>
    </row>
    <row r="12" spans="3:34" x14ac:dyDescent="0.15">
      <c r="C12" t="s">
        <v>11</v>
      </c>
      <c r="D12" s="1"/>
      <c r="E12" s="1"/>
      <c r="H12" s="1"/>
      <c r="P12" s="2" t="s">
        <v>51</v>
      </c>
      <c r="AA12" s="58">
        <v>580</v>
      </c>
      <c r="AB12" s="59">
        <f t="shared" si="0"/>
        <v>178.92566610177286</v>
      </c>
      <c r="AC12" s="58">
        <v>380</v>
      </c>
      <c r="AD12" s="60">
        <f t="shared" si="1"/>
        <v>141.35600404769997</v>
      </c>
      <c r="AE12" s="58"/>
      <c r="AF12" s="60"/>
      <c r="AG12" s="59"/>
      <c r="AH12" s="60"/>
    </row>
    <row r="13" spans="3:34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-0.6640176679296641</v>
      </c>
      <c r="Q13" s="51">
        <v>24.777996128718478</v>
      </c>
      <c r="R13" s="51">
        <v>-160.27368491835747</v>
      </c>
      <c r="U13" s="39" t="s">
        <v>43</v>
      </c>
      <c r="V13" t="s">
        <v>58</v>
      </c>
      <c r="W13" s="295">
        <f>P18</f>
        <v>16.849582822181617</v>
      </c>
      <c r="X13" t="s">
        <v>49</v>
      </c>
      <c r="Y13" s="129" t="s">
        <v>414</v>
      </c>
    </row>
    <row r="14" spans="3:34" ht="14" thickBot="1" x14ac:dyDescent="0.2">
      <c r="C14" s="8">
        <v>-5.1982094538708086E-3</v>
      </c>
      <c r="D14" s="8">
        <v>0.42948298029178672</v>
      </c>
      <c r="E14" s="8">
        <v>423.15812764411237</v>
      </c>
      <c r="H14" s="2"/>
      <c r="O14" t="s">
        <v>413</v>
      </c>
      <c r="P14">
        <f t="array" ref="P14:S14">LINEST(AE34:AE37,AC34:AC37^{1,2,3})</f>
        <v>-0.1612003754232319</v>
      </c>
      <c r="Q14">
        <v>7.3605201313344395</v>
      </c>
      <c r="R14">
        <v>-100.58465797693809</v>
      </c>
      <c r="S14">
        <v>446.15460740017829</v>
      </c>
      <c r="V14" t="s">
        <v>52</v>
      </c>
      <c r="W14" s="296">
        <f>IF(W13&gt;Y14,Y14,W13)</f>
        <v>16.849582822181617</v>
      </c>
      <c r="X14" t="s">
        <v>49</v>
      </c>
      <c r="Y14" s="129">
        <v>516</v>
      </c>
      <c r="Z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O16" t="s">
        <v>412</v>
      </c>
      <c r="P16" s="3">
        <f>$P$13*J3^2+$Q$13*J3+$R$13</f>
        <v>17.859483986325358</v>
      </c>
      <c r="Q16" t="s">
        <v>49</v>
      </c>
    </row>
    <row r="17" spans="3:52" x14ac:dyDescent="0.15">
      <c r="C17" t="s">
        <v>11</v>
      </c>
      <c r="D17" s="1"/>
      <c r="E17" s="1"/>
      <c r="H17" s="1"/>
      <c r="O17" t="s">
        <v>413</v>
      </c>
      <c r="P17" s="3">
        <f>$P$14*J3^3+$Q$14*J3^2+$R$14*J3+$S$14</f>
        <v>15.839681658037875</v>
      </c>
      <c r="Q17" t="s">
        <v>49</v>
      </c>
    </row>
    <row r="18" spans="3:52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16.849582822181617</v>
      </c>
      <c r="Q18" t="s">
        <v>49</v>
      </c>
    </row>
    <row r="19" spans="3:52" x14ac:dyDescent="0.15">
      <c r="C19" s="8">
        <v>-5.4076220456380723E-3</v>
      </c>
      <c r="D19" s="8">
        <v>0.38487845486233063</v>
      </c>
      <c r="E19" s="8">
        <v>210.6115528773266</v>
      </c>
      <c r="AB19" s="6"/>
      <c r="AC19" s="6"/>
    </row>
    <row r="20" spans="3:52" x14ac:dyDescent="0.15">
      <c r="C20" s="2"/>
      <c r="D20" s="2"/>
      <c r="E20" s="2"/>
      <c r="H20" s="1"/>
      <c r="AB20" s="6"/>
      <c r="AC20" s="6"/>
    </row>
    <row r="21" spans="3:52" x14ac:dyDescent="0.15">
      <c r="C21" s="2" t="s">
        <v>12</v>
      </c>
      <c r="D21" s="1"/>
      <c r="E21" s="1"/>
      <c r="H21" s="1"/>
      <c r="AB21" s="6"/>
      <c r="AC21" s="6"/>
    </row>
    <row r="22" spans="3:52" x14ac:dyDescent="0.15">
      <c r="C22" t="s">
        <v>11</v>
      </c>
      <c r="D22" s="1"/>
      <c r="E22" s="1"/>
      <c r="H22" s="1"/>
      <c r="AB22" s="6"/>
      <c r="AC22" s="6"/>
    </row>
    <row r="23" spans="3:52" x14ac:dyDescent="0.15">
      <c r="C23" t="s">
        <v>4</v>
      </c>
      <c r="D23" t="s">
        <v>5</v>
      </c>
      <c r="E23" t="s">
        <v>6</v>
      </c>
      <c r="H23" s="1"/>
    </row>
    <row r="24" spans="3:52" x14ac:dyDescent="0.15">
      <c r="C24" s="8">
        <v>-4.8369249344508451E-3</v>
      </c>
      <c r="D24" s="8">
        <v>8.6517666071401517E-2</v>
      </c>
      <c r="E24" s="8">
        <v>89.918966543950177</v>
      </c>
      <c r="H24" s="1"/>
    </row>
    <row r="25" spans="3:52" x14ac:dyDescent="0.15">
      <c r="G25" s="2"/>
      <c r="H25" s="1"/>
    </row>
    <row r="27" spans="3:52" x14ac:dyDescent="0.15">
      <c r="U27" t="s">
        <v>407</v>
      </c>
    </row>
    <row r="28" spans="3:52" x14ac:dyDescent="0.15">
      <c r="U28" s="4" t="s">
        <v>17</v>
      </c>
    </row>
    <row r="29" spans="3:52" x14ac:dyDescent="0.15">
      <c r="U29" s="4">
        <f>L3/J3^2</f>
        <v>1.0579591836734694</v>
      </c>
    </row>
    <row r="31" spans="3:52" x14ac:dyDescent="0.15">
      <c r="U31" s="2" t="s">
        <v>16</v>
      </c>
      <c r="AO31" s="2" t="s">
        <v>1110</v>
      </c>
    </row>
    <row r="32" spans="3:5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5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2.7286260130508846</v>
      </c>
      <c r="AX33" s="52">
        <f>R9</f>
        <v>-1.8224395304643206</v>
      </c>
      <c r="AZ33" s="111">
        <f>(AO36-AX33)/AW33</f>
        <v>4.943552591162458</v>
      </c>
    </row>
    <row r="34" spans="21:52" x14ac:dyDescent="0.15">
      <c r="U34" s="35">
        <v>10</v>
      </c>
      <c r="V34" s="98">
        <f>C9</f>
        <v>-6.8139688100984433E-3</v>
      </c>
      <c r="W34" s="99">
        <f>D9</f>
        <v>1.1893599597777449</v>
      </c>
      <c r="X34" s="100">
        <f>E9</f>
        <v>585.33805908380089</v>
      </c>
      <c r="Y34" s="36">
        <f>C9-U29</f>
        <v>-1.064773152483568</v>
      </c>
      <c r="Z34" s="28">
        <f>(-W34+SQRT(W34^2-(4*Y34*X34)))/(2*Y34)</f>
        <v>-22.894475026915327</v>
      </c>
      <c r="AA34" s="29">
        <f>(-W34-SQRT(W34^2-(4*Y34*X34)))/(2*Y34)</f>
        <v>24.01148286750896</v>
      </c>
      <c r="AB34" s="36">
        <f>AB6</f>
        <v>387.02425293331947</v>
      </c>
      <c r="AC34" s="53">
        <f>IF(Z34&lt;0,AA34,IF(Z34&gt;AB34,AA34,Z34))</f>
        <v>24.01148286750896</v>
      </c>
      <c r="AD34" s="53">
        <f>V34*AC34^2+W34*AC34+X34</f>
        <v>609.96775274097354</v>
      </c>
      <c r="AE34" s="53">
        <f>X51*AC34^2+Y51*AC34+Z51</f>
        <v>43.051213943230458</v>
      </c>
      <c r="AF34" s="53">
        <f>AVERAGE(K61:K62,K61)</f>
        <v>55.316352024496155</v>
      </c>
      <c r="AG34" s="53">
        <f>AVERAGE(U61:U62,U61)</f>
        <v>70.115281502624441</v>
      </c>
      <c r="AI34">
        <v>10</v>
      </c>
      <c r="AJ34" s="3">
        <f>AC34</f>
        <v>24.01148286750896</v>
      </c>
      <c r="AL34">
        <f>AN52*AC34^2+AO52*AC34+AP52</f>
        <v>475.51062366911606</v>
      </c>
      <c r="AM34" t="s">
        <v>14</v>
      </c>
      <c r="AO34" s="616">
        <f>AC34/$J$3-1</f>
        <v>1.4697525235152074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Y35" si="3">Q10</f>
        <v>1.2762882805153166</v>
      </c>
      <c r="AX34" s="52">
        <f t="shared" si="3"/>
        <v>11.248600062355793</v>
      </c>
      <c r="AZ34" s="111">
        <f>(AO36-AX34)/AW34</f>
        <v>0.32756439959009381</v>
      </c>
    </row>
    <row r="35" spans="21:52" x14ac:dyDescent="0.15">
      <c r="U35" s="35">
        <v>8</v>
      </c>
      <c r="V35" s="98">
        <f>C14</f>
        <v>-5.1982094538708086E-3</v>
      </c>
      <c r="W35" s="99">
        <f>D14</f>
        <v>0.42948298029178672</v>
      </c>
      <c r="X35" s="100">
        <f>E14</f>
        <v>423.15812764411237</v>
      </c>
      <c r="Y35" s="36">
        <f>C14-U29</f>
        <v>-1.0631573931273401</v>
      </c>
      <c r="Z35" s="28">
        <f t="shared" ref="Z35:Z37" si="4">(-W35+SQRT(W35^2-(4*Y35*X35)))/(2*Y35)</f>
        <v>-19.749481612874817</v>
      </c>
      <c r="AA35" s="29">
        <f t="shared" ref="AA35:AA37" si="5">(-W35-SQRT(W35^2-(4*Y35*X35)))/(2*Y35)</f>
        <v>20.153450943350371</v>
      </c>
      <c r="AB35" s="36">
        <f>AD6</f>
        <v>322.84873701660229</v>
      </c>
      <c r="AC35" s="53">
        <f t="shared" ref="AC35:AC37" si="6">IF(Z35&lt;0,AA35,IF(Z35&gt;AB35,AA35,Z35))</f>
        <v>20.153450943350371</v>
      </c>
      <c r="AD35" s="53">
        <f>V35*AC35^2+W35*AC35+X35</f>
        <v>429.70237882786518</v>
      </c>
      <c r="AE35" s="53">
        <f t="shared" ref="AE35:AE37" si="7">X52*AC35^2+Y52*AC35+Z52</f>
        <v>89.072205189462082</v>
      </c>
      <c r="AF35" s="53">
        <f>AVERAGE(K66:K67,K66)</f>
        <v>48.764322781411657</v>
      </c>
      <c r="AG35" s="53">
        <f>AVERAGE(U66:U67,U66)</f>
        <v>64.073692420927784</v>
      </c>
      <c r="AI35">
        <v>9</v>
      </c>
      <c r="AJ35" s="3">
        <f>Q9*AI35+R9</f>
        <v>22.735194586993643</v>
      </c>
      <c r="AL35">
        <f t="shared" ref="AL35:AL37" si="8">AN53*AC35^2+AO53*AC35+AP53</f>
        <v>343.97582932918669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si="3"/>
        <v>4.4360931098632395E-3</v>
      </c>
      <c r="AX35" s="52">
        <f t="shared" si="3"/>
        <v>0.24860552171499872</v>
      </c>
      <c r="AY35" s="52">
        <f t="shared" si="3"/>
        <v>1.3849806812332401</v>
      </c>
      <c r="AZ35" s="111">
        <f>AW35*AO36^2+AX35*AO36+AY35</f>
        <v>4.8891799967507215</v>
      </c>
    </row>
    <row r="36" spans="21:52" x14ac:dyDescent="0.15">
      <c r="U36" s="35">
        <v>6</v>
      </c>
      <c r="V36" s="98">
        <f>C19</f>
        <v>-5.4076220456380723E-3</v>
      </c>
      <c r="W36" s="99">
        <f>D19</f>
        <v>0.38487845486233063</v>
      </c>
      <c r="X36" s="100">
        <f>E19</f>
        <v>210.6115528773266</v>
      </c>
      <c r="Y36" s="36">
        <f>C19-U29</f>
        <v>-1.0633668057191075</v>
      </c>
      <c r="Z36" s="28">
        <f t="shared" si="4"/>
        <v>-13.893608542795951</v>
      </c>
      <c r="AA36" s="29">
        <f t="shared" si="5"/>
        <v>14.255551809025757</v>
      </c>
      <c r="AB36" s="36">
        <f>AF6</f>
        <v>231.45482058174542</v>
      </c>
      <c r="AC36" s="53">
        <f t="shared" si="6"/>
        <v>14.255551809025757</v>
      </c>
      <c r="AD36" s="53">
        <f>V36*AC36^2+W36*AC36+X36</f>
        <v>214.99926658305597</v>
      </c>
      <c r="AE36" s="53">
        <f t="shared" si="7"/>
        <v>41.073918083666413</v>
      </c>
      <c r="AF36" s="53">
        <f>AVERAGE(K71:K72,K71)</f>
        <v>46.40116648892424</v>
      </c>
      <c r="AG36" s="53">
        <f>AVERAGE(U71:U72,U71)</f>
        <v>58.377835198318827</v>
      </c>
      <c r="AI36">
        <v>8</v>
      </c>
      <c r="AJ36" s="3">
        <f>AC35</f>
        <v>20.153450943350371</v>
      </c>
      <c r="AL36">
        <f t="shared" si="8"/>
        <v>207.19647532769284</v>
      </c>
      <c r="AM36" t="s">
        <v>14</v>
      </c>
      <c r="AO36" s="609">
        <f>Tulokset!$CS$16</f>
        <v>11.666666666666666</v>
      </c>
      <c r="AP36" t="s">
        <v>13</v>
      </c>
      <c r="AR36" s="617">
        <f>IF($AO$36&gt;$AJ$35,AVERAGE(AZ34,AZ35,AZ35),AVERAGE(AZ33,AZ33,AZ35))</f>
        <v>4.9254283930252125</v>
      </c>
      <c r="AS36" t="s">
        <v>25</v>
      </c>
    </row>
    <row r="37" spans="21:52" x14ac:dyDescent="0.15">
      <c r="U37" s="38">
        <v>4</v>
      </c>
      <c r="V37" s="101">
        <f>C24</f>
        <v>-4.8369249344508451E-3</v>
      </c>
      <c r="W37" s="102">
        <f>D24</f>
        <v>8.6517666071401517E-2</v>
      </c>
      <c r="X37" s="103">
        <f>E24</f>
        <v>89.918966543950177</v>
      </c>
      <c r="Y37" s="37">
        <f>C24-U29</f>
        <v>-1.0627961086079203</v>
      </c>
      <c r="Z37" s="30">
        <f t="shared" si="4"/>
        <v>-9.1575411865430354</v>
      </c>
      <c r="AA37" s="31">
        <f t="shared" si="5"/>
        <v>9.2389468911468331</v>
      </c>
      <c r="AB37" s="37">
        <f>AH6</f>
        <v>137.79479127749656</v>
      </c>
      <c r="AC37" s="53">
        <f t="shared" si="6"/>
        <v>9.2389468911468331</v>
      </c>
      <c r="AD37" s="53">
        <f>V37*AC37^2+W37*AC37+X37</f>
        <v>90.305427751862467</v>
      </c>
      <c r="AE37" s="53">
        <f t="shared" si="7"/>
        <v>18.012869316484739</v>
      </c>
      <c r="AF37" s="53">
        <f>AVERAGE(K76:K77,K76)</f>
        <v>36.154228418302132</v>
      </c>
      <c r="AG37" s="53">
        <f>AVERAGE(U76:U77,U76)</f>
        <v>48.846181490727112</v>
      </c>
      <c r="AI37">
        <v>6</v>
      </c>
      <c r="AJ37" s="3">
        <f t="shared" ref="AJ37:AJ38" si="9">AC36</f>
        <v>14.255551809025757</v>
      </c>
      <c r="AL37">
        <f t="shared" si="8"/>
        <v>82.85015609148266</v>
      </c>
      <c r="AM37" t="s">
        <v>14</v>
      </c>
      <c r="AO37" s="609">
        <f>Tulokset!$CS$17</f>
        <v>143.99999999999997</v>
      </c>
      <c r="AP37" t="s">
        <v>14</v>
      </c>
    </row>
    <row r="38" spans="21:52" x14ac:dyDescent="0.15">
      <c r="AI38">
        <v>4</v>
      </c>
      <c r="AJ38" s="3">
        <f t="shared" si="9"/>
        <v>9.2389468911468331</v>
      </c>
    </row>
    <row r="40" spans="21:52" x14ac:dyDescent="0.15">
      <c r="U40" s="2" t="s">
        <v>35</v>
      </c>
      <c r="W40" t="s">
        <v>36</v>
      </c>
    </row>
    <row r="42" spans="21:5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52" x14ac:dyDescent="0.15">
      <c r="U43" s="10" t="s">
        <v>55</v>
      </c>
      <c r="V43" s="21"/>
      <c r="W43" s="49">
        <v>16</v>
      </c>
      <c r="X43" s="49">
        <v>13</v>
      </c>
      <c r="Y43" s="49">
        <v>0</v>
      </c>
      <c r="Z43" s="49">
        <v>-4</v>
      </c>
      <c r="AA43" s="49">
        <v>-9</v>
      </c>
      <c r="AB43" s="49">
        <v>-14</v>
      </c>
      <c r="AC43" s="49">
        <v>-23</v>
      </c>
      <c r="AD43" s="49">
        <v>-32</v>
      </c>
      <c r="AE43" s="39" t="s">
        <v>42</v>
      </c>
      <c r="AF43" s="53">
        <f>$W$5+W43</f>
        <v>53.624498211409062</v>
      </c>
      <c r="AG43" s="53">
        <f t="shared" ref="AG43:AM43" si="10">$W$5+X43</f>
        <v>50.624498211409062</v>
      </c>
      <c r="AH43" s="53">
        <f t="shared" si="10"/>
        <v>37.624498211409062</v>
      </c>
      <c r="AI43" s="53">
        <f t="shared" si="10"/>
        <v>33.624498211409062</v>
      </c>
      <c r="AJ43" s="53">
        <f t="shared" si="10"/>
        <v>28.624498211409062</v>
      </c>
      <c r="AK43" s="53">
        <f t="shared" si="10"/>
        <v>23.624498211409062</v>
      </c>
      <c r="AL43" s="53">
        <f t="shared" si="10"/>
        <v>14.624498211409062</v>
      </c>
      <c r="AM43" s="53">
        <f t="shared" si="10"/>
        <v>5.6244982114090618</v>
      </c>
      <c r="AN43" s="5">
        <f t="array" ref="AN43">10*LOG10(SUM(10^(AF43:AM43/10)))</f>
        <v>55.50142566656028</v>
      </c>
      <c r="AO43" s="5">
        <f t="array" ref="AO43">10*LOG10(SUM(10^((AF43:AM43+AF46:AM46)/10)))</f>
        <v>38.034614296129121</v>
      </c>
      <c r="AP43" t="str">
        <f>IF(ABS(W5-AO43)&lt;0.5,"OK","Tarkista laskenta!")</f>
        <v>OK</v>
      </c>
    </row>
    <row r="44" spans="21:52" x14ac:dyDescent="0.15">
      <c r="U44" s="14" t="s">
        <v>56</v>
      </c>
      <c r="V44" s="26"/>
      <c r="W44" s="49">
        <v>8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57.871294227436977</v>
      </c>
      <c r="AG44" s="53">
        <f t="shared" ref="AG44:AM44" si="11">$W$6+X44</f>
        <v>57.871294227436977</v>
      </c>
      <c r="AH44" s="53">
        <f t="shared" si="11"/>
        <v>48.871294227436977</v>
      </c>
      <c r="AI44" s="53">
        <f t="shared" si="11"/>
        <v>45.871294227436977</v>
      </c>
      <c r="AJ44" s="53">
        <f t="shared" si="11"/>
        <v>44.871294227436977</v>
      </c>
      <c r="AK44" s="53">
        <f t="shared" si="11"/>
        <v>39.871294227436977</v>
      </c>
      <c r="AL44" s="53">
        <f t="shared" si="11"/>
        <v>35.871294227436977</v>
      </c>
      <c r="AM44" s="53">
        <f t="shared" si="11"/>
        <v>33.871294227436977</v>
      </c>
      <c r="AN44" s="5">
        <f t="array" ref="AN44">10*LOG10(SUM(10^(AF44:AM44/10)))</f>
        <v>61.422449053821531</v>
      </c>
      <c r="AO44" s="5">
        <f t="array" ref="AO44">10*LOG10(SUM(10^((AF44:AM44+AF46:AM46)/10)))</f>
        <v>49.818343961480657</v>
      </c>
      <c r="AP44" t="str">
        <f>IF(ABS(W6-AO44)&lt;0.5,"OK","Tarkista laskenta!")</f>
        <v>OK</v>
      </c>
    </row>
    <row r="46" spans="21:5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LINEST(Y59:Y66,X59:X66^{1,2})</f>
        <v>-1.297803923722612E-3</v>
      </c>
      <c r="Y51" s="54">
        <v>1.9037936039080579</v>
      </c>
      <c r="Z51" s="54">
        <v>-1.9134430085888141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LINEST(Y69:Y77,X69:X77^{1,2})</f>
        <v>8.0724924119134826E-4</v>
      </c>
      <c r="Y52" s="54">
        <v>0.52076468277130405</v>
      </c>
      <c r="Z52" s="54">
        <v>78.249126070968572</v>
      </c>
      <c r="AM52" t="s">
        <v>3</v>
      </c>
      <c r="AN52" s="54">
        <f t="array" ref="AN52:AP52">LINEST(AO60:AO67,AN60:AN67^{1,2})</f>
        <v>-7.6219320066368427E-3</v>
      </c>
      <c r="AO52" s="54">
        <v>3.112898616363355</v>
      </c>
      <c r="AP52" s="54">
        <v>405.15974675333609</v>
      </c>
    </row>
    <row r="53" spans="3:42" x14ac:dyDescent="0.15">
      <c r="W53" t="s">
        <v>10</v>
      </c>
      <c r="X53" s="54">
        <f t="array" ref="X53:Z53">LINEST(Y80:Y87,X80:X87^{1,2})</f>
        <v>5.289034105752118E-4</v>
      </c>
      <c r="Y53" s="54">
        <v>0.32101065752599756</v>
      </c>
      <c r="Z53" s="54">
        <v>36.390249872377268</v>
      </c>
      <c r="AM53" t="s">
        <v>114</v>
      </c>
      <c r="AN53" s="54">
        <f t="array" ref="AN53:AP53">LINEST(AO71:AO76,AN71:AN76^{1,2})</f>
        <v>-5.7282510079486471E-3</v>
      </c>
      <c r="AO53" s="54">
        <v>1.9785546048957781</v>
      </c>
      <c r="AP53" s="54">
        <v>306.42772166892223</v>
      </c>
    </row>
    <row r="54" spans="3:42" x14ac:dyDescent="0.15">
      <c r="W54" t="s">
        <v>12</v>
      </c>
      <c r="X54" s="54">
        <f t="array" ref="X54:Z54">LINEST(Y91:Y97,X91:X97^{1,2})</f>
        <v>-1.3773357689846413E-4</v>
      </c>
      <c r="Y54" s="54">
        <v>0.23027944916167101</v>
      </c>
      <c r="Z54" s="54">
        <v>15.897086397449931</v>
      </c>
      <c r="AM54" t="s">
        <v>10</v>
      </c>
      <c r="AN54" s="54">
        <f t="array" ref="AN54:AP54">LINEST(AO82:AO87,AN82:AN87^{1,2})</f>
        <v>-4.2804853752422449E-3</v>
      </c>
      <c r="AO54" s="54">
        <v>1.051247887022948</v>
      </c>
      <c r="AP54" s="54">
        <v>193.08024009001832</v>
      </c>
    </row>
    <row r="55" spans="3:42" x14ac:dyDescent="0.15">
      <c r="AM55" t="s">
        <v>12</v>
      </c>
      <c r="AN55" s="54">
        <f t="array" ref="AN55:AP55">LINEST(AO93:AO98,AN93:AN98^{1,2})</f>
        <v>-5.0878603192212905E-3</v>
      </c>
      <c r="AO55" s="54">
        <v>0.86558669554021606</v>
      </c>
      <c r="AP55" s="54">
        <v>75.287336873388924</v>
      </c>
    </row>
    <row r="56" spans="3:42" x14ac:dyDescent="0.15">
      <c r="C56" s="2" t="s">
        <v>45</v>
      </c>
    </row>
    <row r="57" spans="3:42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366.3</v>
      </c>
      <c r="E59" s="68">
        <v>62.097783424500207</v>
      </c>
      <c r="F59" s="69">
        <v>515.99235857408132</v>
      </c>
      <c r="H59" t="s">
        <v>4</v>
      </c>
      <c r="I59" t="s">
        <v>5</v>
      </c>
      <c r="K59" s="27" t="s">
        <v>424</v>
      </c>
      <c r="M59" s="10" t="s">
        <v>3</v>
      </c>
      <c r="N59" s="67">
        <v>367.27606807457477</v>
      </c>
      <c r="O59" s="68">
        <v>82.689090072186829</v>
      </c>
      <c r="P59" s="69">
        <v>515.99235857408132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68">
        <v>180.92175344436646</v>
      </c>
      <c r="Y59" s="68">
        <v>302.32759265404218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341.4</v>
      </c>
      <c r="E60" s="68">
        <v>61.404747810618019</v>
      </c>
      <c r="F60" s="69">
        <v>499.98917692950459</v>
      </c>
      <c r="G60" s="316" t="s">
        <v>412</v>
      </c>
      <c r="H60" s="317">
        <f t="array" ref="H60:J60">LINEST(E59:E62,D59:D62^{1,2})</f>
        <v>1.384028324719925E-4</v>
      </c>
      <c r="I60" s="317">
        <v>-6.6728935884296917E-2</v>
      </c>
      <c r="J60" s="317">
        <v>67.996996899777869</v>
      </c>
      <c r="K60" s="318">
        <f>$H$60*AC34^2+$I$60*AC34+$J$60</f>
        <v>66.474532533324748</v>
      </c>
      <c r="M60" s="12"/>
      <c r="N60" s="67">
        <v>341.06998870275049</v>
      </c>
      <c r="O60" s="68">
        <v>82.105276378556539</v>
      </c>
      <c r="P60" s="69">
        <v>499.98917692950459</v>
      </c>
      <c r="Q60" s="316" t="s">
        <v>412</v>
      </c>
      <c r="R60" s="317">
        <f t="array" ref="R60:T60">LINEST(O59:O62,N59:N62^{1,2})</f>
        <v>-8.8356876630416958E-6</v>
      </c>
      <c r="S60" s="317">
        <v>3.0904101697611534E-2</v>
      </c>
      <c r="T60" s="319">
        <v>72.550846806097766</v>
      </c>
      <c r="U60" s="84">
        <f>$R$60*AC34^2+$S$60*AC34+$T$60</f>
        <v>73.287805887253285</v>
      </c>
      <c r="W60" s="232"/>
      <c r="X60" s="68">
        <v>223.5792236627149</v>
      </c>
      <c r="Y60" s="68">
        <v>356.54486395172677</v>
      </c>
      <c r="AM60" s="228" t="s">
        <v>3</v>
      </c>
      <c r="AN60" s="68">
        <v>180.92175344436646</v>
      </c>
      <c r="AO60" s="288">
        <v>721.34661173481254</v>
      </c>
    </row>
    <row r="61" spans="3:42" x14ac:dyDescent="0.15">
      <c r="C61" s="12"/>
      <c r="D61" s="67">
        <v>309.8</v>
      </c>
      <c r="E61" s="68">
        <v>60.573303422326219</v>
      </c>
      <c r="F61" s="69">
        <v>457.54888920061728</v>
      </c>
      <c r="G61" s="129" t="s">
        <v>423</v>
      </c>
      <c r="H61">
        <f t="array" ref="H61:I61">LINEST(E59:E62,D59:D62)</f>
        <v>1.3453221095910938E-2</v>
      </c>
      <c r="I61">
        <v>56.856792112511286</v>
      </c>
      <c r="K61" s="298">
        <f>H61*$AC$34+I61</f>
        <v>57.179823900368561</v>
      </c>
      <c r="M61" s="12"/>
      <c r="N61" s="67">
        <v>303.07324445507652</v>
      </c>
      <c r="O61" s="68">
        <v>81.080240846621081</v>
      </c>
      <c r="P61" s="69">
        <v>457.54888920061728</v>
      </c>
      <c r="Q61" s="129" t="s">
        <v>420</v>
      </c>
      <c r="R61">
        <f t="array" ref="R61:S61">LINEST(O59:O62,N59:N62)</f>
        <v>2.5736507270352857E-2</v>
      </c>
      <c r="S61">
        <v>73.278097500272963</v>
      </c>
      <c r="T61" s="24"/>
      <c r="U61" s="84">
        <f>R61*AC34+S61</f>
        <v>73.896069203664567</v>
      </c>
      <c r="W61" s="232"/>
      <c r="X61" s="68">
        <v>277.77636826296043</v>
      </c>
      <c r="Y61" s="68">
        <v>421.03669396837233</v>
      </c>
      <c r="AM61" s="232"/>
      <c r="AN61" s="68">
        <v>223.5792236627149</v>
      </c>
      <c r="AO61" s="289">
        <v>715.9378701953035</v>
      </c>
    </row>
    <row r="62" spans="3:42" x14ac:dyDescent="0.15">
      <c r="C62" s="14"/>
      <c r="D62" s="67">
        <v>221</v>
      </c>
      <c r="E62" s="68">
        <v>60.013148119886417</v>
      </c>
      <c r="F62" s="69">
        <v>356.54486395172677</v>
      </c>
      <c r="G62" s="297" t="s">
        <v>462</v>
      </c>
      <c r="H62" s="2">
        <f t="array" ref="H62:I62">LINEST(E59:E62,LN(D59:D62))</f>
        <v>3.7150068381495589</v>
      </c>
      <c r="I62" s="2">
        <v>39.781139530608449</v>
      </c>
      <c r="K62" s="298">
        <f>H62*LN($AC$34)+I62</f>
        <v>51.589408272751321</v>
      </c>
      <c r="M62" s="14"/>
      <c r="N62" s="67">
        <v>223.5792236627149</v>
      </c>
      <c r="O62" s="68">
        <v>79.022331218565611</v>
      </c>
      <c r="P62" s="69">
        <v>356.54486395172677</v>
      </c>
      <c r="Q62" s="297" t="s">
        <v>462</v>
      </c>
      <c r="R62" s="2">
        <f t="array" ref="R62:S62">LINEST(O59:O62,LN(N59:N62))</f>
        <v>7.359429369270396</v>
      </c>
      <c r="S62" s="2">
        <v>39.161523106757379</v>
      </c>
      <c r="T62" s="24"/>
      <c r="U62" s="84">
        <f>R62*LN(AC34)+S62</f>
        <v>62.55370610054419</v>
      </c>
      <c r="W62" s="232"/>
      <c r="X62" s="68">
        <v>303.07324445507652</v>
      </c>
      <c r="Y62" s="68">
        <v>457.54888920061728</v>
      </c>
      <c r="AM62" s="232"/>
      <c r="AN62" s="68">
        <v>277.77636826296043</v>
      </c>
      <c r="AO62" s="289">
        <v>682.75011971480819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68">
        <v>344.00846492037118</v>
      </c>
      <c r="Y63" s="68">
        <v>508.8924685660923</v>
      </c>
      <c r="AM63" s="232"/>
      <c r="AN63" s="68">
        <v>303.07324445507652</v>
      </c>
      <c r="AO63" s="289">
        <v>645.18533974845593</v>
      </c>
    </row>
    <row r="64" spans="3:42" x14ac:dyDescent="0.15">
      <c r="C64" s="10" t="s">
        <v>408</v>
      </c>
      <c r="D64" s="67">
        <v>304</v>
      </c>
      <c r="E64" s="68">
        <v>58.341740546145942</v>
      </c>
      <c r="F64" s="69">
        <v>311.04275486404356</v>
      </c>
      <c r="H64" t="s">
        <v>4</v>
      </c>
      <c r="I64" t="s">
        <v>5</v>
      </c>
      <c r="K64" s="298"/>
      <c r="M64" s="10" t="s">
        <v>408</v>
      </c>
      <c r="N64" s="67">
        <v>306.42216557619219</v>
      </c>
      <c r="O64" s="68">
        <v>78.99039262930242</v>
      </c>
      <c r="P64" s="69">
        <v>311.04275486404356</v>
      </c>
      <c r="R64" t="s">
        <v>4</v>
      </c>
      <c r="S64" t="s">
        <v>5</v>
      </c>
      <c r="T64" s="24" t="s">
        <v>6</v>
      </c>
      <c r="U64" s="3"/>
      <c r="W64" s="232"/>
      <c r="X64" s="68">
        <v>367.18361972524661</v>
      </c>
      <c r="Y64" s="68">
        <v>519.47729833181302</v>
      </c>
      <c r="AM64" s="232"/>
      <c r="AN64" s="68">
        <v>344.00846492037118</v>
      </c>
      <c r="AO64" s="289">
        <v>586.03019621125861</v>
      </c>
    </row>
    <row r="65" spans="3:41" x14ac:dyDescent="0.15">
      <c r="C65" s="12"/>
      <c r="D65" s="67">
        <v>281.7</v>
      </c>
      <c r="E65" s="68">
        <v>57.377484119444958</v>
      </c>
      <c r="F65" s="69">
        <v>289.48558554113851</v>
      </c>
      <c r="G65" s="316" t="s">
        <v>412</v>
      </c>
      <c r="H65" s="317">
        <f t="array" ref="H65:J65">LINEST(E64:E67,D64:D67^{1,2})</f>
        <v>1.7903146769029964E-4</v>
      </c>
      <c r="I65" s="317">
        <v>-6.2196267539453211E-2</v>
      </c>
      <c r="J65" s="317">
        <v>60.700059629450521</v>
      </c>
      <c r="K65" s="318">
        <f>$H$65*AC35^2+$I$65*AC35+$J$65</f>
        <v>59.519305907403378</v>
      </c>
      <c r="M65" s="12"/>
      <c r="N65" s="67">
        <v>280.37540028596254</v>
      </c>
      <c r="O65" s="68">
        <v>78.069558159890079</v>
      </c>
      <c r="P65" s="69">
        <v>289.48558554113851</v>
      </c>
      <c r="Q65" s="316" t="s">
        <v>412</v>
      </c>
      <c r="R65" s="317">
        <f t="array" ref="R65:T65">LINEST(O64:O67,N64:N67^{1,2})</f>
        <v>-2.4721772854465293E-5</v>
      </c>
      <c r="S65" s="317">
        <v>4.8827308589329932E-2</v>
      </c>
      <c r="T65" s="319">
        <v>66.34164448711266</v>
      </c>
      <c r="U65" s="84">
        <f>$R$65*AC35^2+$S$65*AC35+$T$65</f>
        <v>67.315642221018805</v>
      </c>
      <c r="W65" s="232"/>
      <c r="X65" s="68">
        <v>341.06998870275049</v>
      </c>
      <c r="Y65" s="68">
        <v>499.98917692950459</v>
      </c>
      <c r="AM65" s="232"/>
      <c r="AN65" s="68">
        <v>367.18361972524661</v>
      </c>
      <c r="AO65" s="289">
        <v>518.51525144517996</v>
      </c>
    </row>
    <row r="66" spans="3:41" x14ac:dyDescent="0.15">
      <c r="C66" s="12"/>
      <c r="D66" s="67">
        <v>255.1</v>
      </c>
      <c r="E66" s="68">
        <v>56.489949323611974</v>
      </c>
      <c r="F66" s="69">
        <v>260.47989897572495</v>
      </c>
      <c r="G66" s="129" t="s">
        <v>423</v>
      </c>
      <c r="H66">
        <f t="array" ref="H66:I66">LINEST(E64:E67,D64:D67)</f>
        <v>2.3251260708397729E-2</v>
      </c>
      <c r="I66">
        <v>50.944242882696471</v>
      </c>
      <c r="K66" s="298">
        <f>H66*$AC$35+I66</f>
        <v>51.412836024754213</v>
      </c>
      <c r="M66" s="12"/>
      <c r="N66" s="67">
        <v>247.99195567141854</v>
      </c>
      <c r="O66" s="68">
        <v>76.942323327149879</v>
      </c>
      <c r="P66" s="69">
        <v>260.47989897572495</v>
      </c>
      <c r="Q66" s="129" t="s">
        <v>420</v>
      </c>
      <c r="R66">
        <f t="array" ref="R66:S66">LINEST(O64:O67,N64:N67)</f>
        <v>3.6932753188143583E-2</v>
      </c>
      <c r="S66">
        <v>67.712743139350536</v>
      </c>
      <c r="T66" s="24"/>
      <c r="U66" s="84">
        <f>R66*AC35+S66</f>
        <v>68.457065568930659</v>
      </c>
      <c r="W66" s="290"/>
      <c r="X66" s="68">
        <v>367.27606807457477</v>
      </c>
      <c r="Y66" s="68">
        <v>515.99235857408132</v>
      </c>
      <c r="AM66" s="232"/>
      <c r="AN66" s="68">
        <v>341.06998870275049</v>
      </c>
      <c r="AO66" s="289">
        <v>579.62341036618864</v>
      </c>
    </row>
    <row r="67" spans="3:41" x14ac:dyDescent="0.15">
      <c r="C67" s="14"/>
      <c r="D67" s="67">
        <v>180.1</v>
      </c>
      <c r="E67" s="68">
        <v>55.305009598786256</v>
      </c>
      <c r="F67" s="69">
        <v>196.96128282198916</v>
      </c>
      <c r="G67" s="297" t="s">
        <v>462</v>
      </c>
      <c r="H67" s="2">
        <f t="array" ref="H67:I67">LINEST(E64:E67,LN(D64:D67))</f>
        <v>5.3221693771170955</v>
      </c>
      <c r="I67" s="2">
        <v>27.482822986776412</v>
      </c>
      <c r="K67" s="298">
        <f>H67*LN($AC$35)+I67</f>
        <v>43.467296294726559</v>
      </c>
      <c r="M67" s="14"/>
      <c r="N67" s="67">
        <v>179.97539914207314</v>
      </c>
      <c r="O67" s="68">
        <v>74.326760800359523</v>
      </c>
      <c r="P67" s="69">
        <v>196.96128282198916</v>
      </c>
      <c r="Q67" s="297" t="s">
        <v>462</v>
      </c>
      <c r="R67" s="2">
        <f t="array" ref="R67:S67">LINEST(O64:O67,LN(N64:N67))</f>
        <v>8.6635088396805724</v>
      </c>
      <c r="S67" s="2">
        <v>29.287175616213275</v>
      </c>
      <c r="T67" s="24"/>
      <c r="U67" s="84">
        <f>R67*LN($AC$35)+S67</f>
        <v>55.306946124922035</v>
      </c>
      <c r="W67" s="12"/>
      <c r="X67" s="17"/>
      <c r="Y67" s="13"/>
      <c r="AM67" s="290"/>
      <c r="AN67" s="68">
        <v>367.27606807457477</v>
      </c>
      <c r="AO67" s="291">
        <v>514.97229930894991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6" t="s">
        <v>13</v>
      </c>
      <c r="Y68" s="11" t="s">
        <v>49</v>
      </c>
      <c r="AM68" s="236"/>
      <c r="AN68" s="292"/>
      <c r="AO68" s="293"/>
    </row>
    <row r="69" spans="3:41" x14ac:dyDescent="0.15">
      <c r="C69" s="10" t="s">
        <v>409</v>
      </c>
      <c r="D69" s="67">
        <v>218.4</v>
      </c>
      <c r="E69" s="68">
        <v>51.6790949757684</v>
      </c>
      <c r="F69" s="69">
        <v>130.02142396481116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216.68199713194693</v>
      </c>
      <c r="O69" s="68">
        <v>71.859694306887633</v>
      </c>
      <c r="P69" s="69">
        <v>130.02142396481116</v>
      </c>
      <c r="R69" t="s">
        <v>4</v>
      </c>
      <c r="S69" t="s">
        <v>5</v>
      </c>
      <c r="T69" s="24" t="s">
        <v>6</v>
      </c>
      <c r="U69" s="3"/>
      <c r="W69" s="228" t="s">
        <v>404</v>
      </c>
      <c r="X69" s="68">
        <v>142.54034990280852</v>
      </c>
      <c r="Y69" s="68">
        <v>164.90844203665162</v>
      </c>
      <c r="AM69" s="12"/>
      <c r="AN69" s="17"/>
      <c r="AO69" s="13"/>
    </row>
    <row r="70" spans="3:41" ht="14" thickBot="1" x14ac:dyDescent="0.2">
      <c r="C70" s="12"/>
      <c r="D70" s="67">
        <v>202.3</v>
      </c>
      <c r="E70" s="68">
        <v>50.407916560559215</v>
      </c>
      <c r="F70" s="69">
        <v>123.40172430505064</v>
      </c>
      <c r="G70" s="316" t="s">
        <v>412</v>
      </c>
      <c r="H70" s="317">
        <f t="array" ref="H70:J70">LINEST(E69:E72,D69:D72^{1,2})</f>
        <v>4.3771258461317448E-4</v>
      </c>
      <c r="I70" s="317">
        <v>-0.13316035781212651</v>
      </c>
      <c r="J70" s="317">
        <v>59.736296991604441</v>
      </c>
      <c r="K70" s="318">
        <f>$H$70*AC36^2+$I$70*AC36+$J$70</f>
        <v>57.926974894865033</v>
      </c>
      <c r="M70" s="12"/>
      <c r="N70" s="67">
        <v>203.48048535677617</v>
      </c>
      <c r="O70" s="68">
        <v>71.05536483352482</v>
      </c>
      <c r="P70" s="69">
        <v>123.40172430505064</v>
      </c>
      <c r="Q70" s="316" t="s">
        <v>412</v>
      </c>
      <c r="R70" s="317">
        <f t="array" ref="R70:T70">LINEST(O69:O72,N69:N72^{1,2})</f>
        <v>1.2754445574274584E-4</v>
      </c>
      <c r="S70" s="317">
        <v>2.8071138298031151E-3</v>
      </c>
      <c r="T70" s="319">
        <v>65.241579703239807</v>
      </c>
      <c r="U70" s="84">
        <f>$R$70*AC36^2+$S$70*AC36+$T$70</f>
        <v>65.307516340770036</v>
      </c>
      <c r="W70" s="232"/>
      <c r="X70" s="68">
        <v>179.97539914207314</v>
      </c>
      <c r="Y70" s="68">
        <v>196.96128282198916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179.3</v>
      </c>
      <c r="E71" s="68">
        <v>50.113476278917901</v>
      </c>
      <c r="F71" s="69">
        <v>110.69899121354534</v>
      </c>
      <c r="G71" s="129" t="s">
        <v>423</v>
      </c>
      <c r="H71">
        <f t="array" ref="H71:I71">LINEST(E69:E72,D69:D72)</f>
        <v>1.6691170023465752E-2</v>
      </c>
      <c r="I71">
        <v>47.472082944897487</v>
      </c>
      <c r="K71" s="298">
        <f>H71*$AC$36+I71</f>
        <v>47.710024783920261</v>
      </c>
      <c r="M71" s="12"/>
      <c r="N71" s="67">
        <v>177.657613751502</v>
      </c>
      <c r="O71" s="68">
        <v>69.785748446535706</v>
      </c>
      <c r="P71" s="69">
        <v>110.69899121354534</v>
      </c>
      <c r="Q71" s="129" t="s">
        <v>420</v>
      </c>
      <c r="R71">
        <f t="array" ref="R71:S71">LINEST(O69:O72,N69:N72)</f>
        <v>4.6552416712476584E-2</v>
      </c>
      <c r="S71">
        <v>61.64630588002133</v>
      </c>
      <c r="T71" s="24"/>
      <c r="U71" s="84">
        <f>R71*AC36+S71</f>
        <v>62.309936268301399</v>
      </c>
      <c r="W71" s="232"/>
      <c r="X71" s="68">
        <v>225.68063250055866</v>
      </c>
      <c r="Y71" s="68">
        <v>237.81117979773683</v>
      </c>
      <c r="AM71" s="228" t="s">
        <v>404</v>
      </c>
      <c r="AN71" s="68">
        <v>142.54034990280852</v>
      </c>
      <c r="AO71" s="288">
        <v>473.91392562092256</v>
      </c>
    </row>
    <row r="72" spans="3:41" x14ac:dyDescent="0.15">
      <c r="C72" s="14"/>
      <c r="D72" s="67">
        <v>128</v>
      </c>
      <c r="E72" s="68">
        <v>49.839015741427502</v>
      </c>
      <c r="F72" s="69">
        <v>86.543140247698204</v>
      </c>
      <c r="G72" s="297" t="s">
        <v>462</v>
      </c>
      <c r="H72" s="2">
        <f t="array" ref="H72:I72">LINEST(E69:E72,LN(D69:D72))</f>
        <v>2.6616686914466596</v>
      </c>
      <c r="I72" s="2">
        <v>36.711006433690152</v>
      </c>
      <c r="K72" s="298">
        <f>H72*LN($AC$36)+I72</f>
        <v>43.78344989893219</v>
      </c>
      <c r="M72" s="14"/>
      <c r="N72" s="67">
        <v>129.31721034610501</v>
      </c>
      <c r="O72" s="68">
        <v>67.734414836531897</v>
      </c>
      <c r="P72" s="69">
        <v>86.543140247698204</v>
      </c>
      <c r="Q72" s="297" t="s">
        <v>462</v>
      </c>
      <c r="R72" s="2">
        <f t="array" ref="R72:S72">LINEST(O69:O72,LN(N69:N72))</f>
        <v>7.7546738852761088</v>
      </c>
      <c r="S72" s="2">
        <v>29.908329016852115</v>
      </c>
      <c r="T72" s="24"/>
      <c r="U72" s="84">
        <f>R72*LN($AC$36)+S72</f>
        <v>50.51363305835369</v>
      </c>
      <c r="W72" s="232"/>
      <c r="X72" s="68">
        <v>247.99195567141854</v>
      </c>
      <c r="Y72" s="68">
        <v>260.47989897572495</v>
      </c>
      <c r="AM72" s="232"/>
      <c r="AN72" s="68">
        <v>179.97539914207314</v>
      </c>
      <c r="AO72" s="289">
        <v>473.1384992406995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68">
        <v>284.00641090512107</v>
      </c>
      <c r="Y73" s="68">
        <v>292.86254766640252</v>
      </c>
      <c r="AM73" s="232"/>
      <c r="AN73" s="68">
        <v>225.68063250055866</v>
      </c>
      <c r="AO73" s="289">
        <v>462.69713755706249</v>
      </c>
    </row>
    <row r="74" spans="3:41" x14ac:dyDescent="0.15">
      <c r="C74" s="10" t="s">
        <v>410</v>
      </c>
      <c r="D74" s="67">
        <v>135.1</v>
      </c>
      <c r="E74" s="68">
        <v>42.598859931585011</v>
      </c>
      <c r="F74" s="69">
        <v>45.537563418715308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136.94470684441694</v>
      </c>
      <c r="O74" s="68">
        <v>61.636094765036098</v>
      </c>
      <c r="P74" s="69">
        <v>45.537563418715308</v>
      </c>
      <c r="R74" t="s">
        <v>4</v>
      </c>
      <c r="S74" t="s">
        <v>5</v>
      </c>
      <c r="T74" s="24" t="s">
        <v>6</v>
      </c>
      <c r="W74" s="232"/>
      <c r="X74" s="68">
        <v>305.11582722495291</v>
      </c>
      <c r="Y74" s="68">
        <v>310.41418560822922</v>
      </c>
      <c r="AM74" s="232"/>
      <c r="AN74" s="68">
        <v>247.99195567141854</v>
      </c>
      <c r="AO74" s="289">
        <v>445.05159760438255</v>
      </c>
    </row>
    <row r="75" spans="3:41" x14ac:dyDescent="0.15">
      <c r="C75" s="12"/>
      <c r="D75" s="67">
        <v>124.4</v>
      </c>
      <c r="E75" s="68">
        <v>41.766385883723473</v>
      </c>
      <c r="F75" s="69">
        <v>43.27283236895304</v>
      </c>
      <c r="G75" s="316" t="s">
        <v>412</v>
      </c>
      <c r="H75" s="317">
        <f t="array" ref="H75:J75">LINEST(E74:E77,D74:D77^{1,2})</f>
        <v>8.4241062650992351E-4</v>
      </c>
      <c r="I75" s="317">
        <v>-0.14168724327947177</v>
      </c>
      <c r="J75" s="317">
        <v>46.362347174072724</v>
      </c>
      <c r="K75" s="318">
        <f>$H$75*AC37^2+$I$75*AC37+$J$75</f>
        <v>45.125212862167224</v>
      </c>
      <c r="M75" s="12"/>
      <c r="N75" s="67">
        <v>126.48327019359726</v>
      </c>
      <c r="O75" s="68">
        <v>60.708709459674338</v>
      </c>
      <c r="P75" s="69">
        <v>43.27283236895304</v>
      </c>
      <c r="Q75" s="316" t="s">
        <v>412</v>
      </c>
      <c r="R75" s="317">
        <f t="array" ref="R75:T75">LINEST(O74:O77,N74:N77^{1,2})</f>
        <v>3.7912117857628723E-4</v>
      </c>
      <c r="S75" s="317">
        <v>-1.0613785702693062E-2</v>
      </c>
      <c r="T75" s="319">
        <v>55.981722272520869</v>
      </c>
      <c r="U75" s="84">
        <f>$R$75*AC37^2+$S$75*AC37+$T$75</f>
        <v>55.916023148607678</v>
      </c>
      <c r="W75" s="290"/>
      <c r="X75" s="68">
        <v>280.37540028596254</v>
      </c>
      <c r="Y75" s="68">
        <v>289.48558554113851</v>
      </c>
      <c r="AM75" s="232"/>
      <c r="AN75" s="68">
        <v>284.00641090512107</v>
      </c>
      <c r="AO75" s="289">
        <v>408.52036683816453</v>
      </c>
    </row>
    <row r="76" spans="3:41" x14ac:dyDescent="0.15">
      <c r="C76" s="12"/>
      <c r="D76" s="67">
        <v>113.2</v>
      </c>
      <c r="E76" s="68">
        <v>41.1225087051739</v>
      </c>
      <c r="F76" s="69">
        <v>39.567992760532817</v>
      </c>
      <c r="G76" s="129" t="s">
        <v>423</v>
      </c>
      <c r="H76">
        <f t="array" ref="H76:I76">LINEST(E74:E77,D74:D77)</f>
        <v>3.5173246523195922E-2</v>
      </c>
      <c r="I76">
        <v>37.515420960701775</v>
      </c>
      <c r="K76" s="298">
        <f>H76*$AC$37+I76</f>
        <v>37.840384717318798</v>
      </c>
      <c r="M76" s="12"/>
      <c r="N76" s="67">
        <v>110.48203024842798</v>
      </c>
      <c r="O76" s="68">
        <v>59.434186199278997</v>
      </c>
      <c r="P76" s="69">
        <v>39.567992760532817</v>
      </c>
      <c r="Q76" s="129" t="s">
        <v>420</v>
      </c>
      <c r="R76">
        <f t="array" ref="R76:S76">LINEST(O74:O77,N74:N77)</f>
        <v>7.0691547669535434E-2</v>
      </c>
      <c r="S76">
        <v>51.814419206850864</v>
      </c>
      <c r="T76" s="24"/>
      <c r="U76" s="84">
        <f>R76*AC37+S76</f>
        <v>52.467534661422675</v>
      </c>
      <c r="W76" s="232"/>
      <c r="X76" s="68">
        <v>306.42216557619219</v>
      </c>
      <c r="Y76" s="68">
        <v>311.04275486404356</v>
      </c>
      <c r="AM76" s="232"/>
      <c r="AN76" s="68">
        <v>305.11582722495291</v>
      </c>
      <c r="AO76" s="289">
        <v>374.87627917763552</v>
      </c>
    </row>
    <row r="77" spans="3:41" ht="14" thickBot="1" x14ac:dyDescent="0.2">
      <c r="C77" s="14"/>
      <c r="D77" s="67">
        <v>78.2</v>
      </c>
      <c r="E77" s="68">
        <v>40.43354617963378</v>
      </c>
      <c r="F77" s="69">
        <v>33.309297611254642</v>
      </c>
      <c r="G77" s="297" t="s">
        <v>462</v>
      </c>
      <c r="H77" s="2">
        <f t="array" ref="H77:I77">LINEST(E74:E77,LN(D74:D77))</f>
        <v>3.5059275896616744</v>
      </c>
      <c r="I77" s="2">
        <v>24.986738579812641</v>
      </c>
      <c r="J77" s="25"/>
      <c r="K77" s="298">
        <f>H77*LN($AC$37)+I77</f>
        <v>32.7819158202688</v>
      </c>
      <c r="M77" s="14"/>
      <c r="N77" s="67">
        <v>79.668407730229532</v>
      </c>
      <c r="O77" s="68">
        <v>57.542846550437403</v>
      </c>
      <c r="P77" s="69">
        <v>33.309297611254642</v>
      </c>
      <c r="Q77" s="297" t="s">
        <v>462</v>
      </c>
      <c r="R77" s="2">
        <f t="array" ref="R77:S77">LINEST(O74:O77,LN(N74:N77))</f>
        <v>7.3283870392003507</v>
      </c>
      <c r="S77" s="2">
        <v>25.309334897927904</v>
      </c>
      <c r="T77" s="26"/>
      <c r="U77" s="84">
        <f>R77*LN($AC$37)+S77</f>
        <v>41.603475149336006</v>
      </c>
      <c r="W77" s="236"/>
      <c r="X77" s="68">
        <v>68.235663849616046</v>
      </c>
      <c r="Y77" s="68">
        <v>119.40185523650993</v>
      </c>
      <c r="AM77" s="290"/>
      <c r="AN77" s="68"/>
      <c r="AO77" s="291"/>
    </row>
    <row r="78" spans="3:41" x14ac:dyDescent="0.15">
      <c r="W78" s="12"/>
      <c r="X78" s="17"/>
      <c r="Y78" s="13"/>
      <c r="AM78" s="232"/>
      <c r="AN78" s="68"/>
      <c r="AO78" s="289"/>
    </row>
    <row r="79" spans="3:41" ht="14" thickBot="1" x14ac:dyDescent="0.2">
      <c r="F79" s="5"/>
      <c r="W79" s="12"/>
      <c r="X79" s="16" t="s">
        <v>13</v>
      </c>
      <c r="Y79" s="11" t="s">
        <v>49</v>
      </c>
      <c r="AM79" s="236"/>
      <c r="AN79" s="68"/>
      <c r="AO79" s="293"/>
    </row>
    <row r="80" spans="3:41" x14ac:dyDescent="0.15">
      <c r="F80" s="5"/>
      <c r="W80" s="228" t="s">
        <v>411</v>
      </c>
      <c r="X80" s="68">
        <v>98.62537172384414</v>
      </c>
      <c r="Y80" s="68">
        <v>73.255512194579921</v>
      </c>
      <c r="AM80" s="12"/>
      <c r="AN80" s="17"/>
      <c r="AO80" s="13"/>
    </row>
    <row r="81" spans="6:41" ht="14" thickBot="1" x14ac:dyDescent="0.2">
      <c r="F81" s="5"/>
      <c r="W81" s="232"/>
      <c r="X81" s="68">
        <v>129.31721034610501</v>
      </c>
      <c r="Y81" s="68">
        <v>86.543140247698204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68">
        <v>160.77952147934997</v>
      </c>
      <c r="Y82" s="68">
        <v>101.62904601770833</v>
      </c>
      <c r="AM82" s="228" t="s">
        <v>411</v>
      </c>
      <c r="AN82" s="68">
        <v>98.62537172384414</v>
      </c>
      <c r="AO82" s="288">
        <v>255.30068106481482</v>
      </c>
    </row>
    <row r="83" spans="6:41" x14ac:dyDescent="0.15">
      <c r="W83" s="232"/>
      <c r="X83" s="68">
        <v>177.657613751502</v>
      </c>
      <c r="Y83" s="68">
        <v>110.69899121354534</v>
      </c>
      <c r="AM83" s="232"/>
      <c r="AN83" s="68">
        <v>129.31721034610501</v>
      </c>
      <c r="AO83" s="289">
        <v>256.34269128011908</v>
      </c>
    </row>
    <row r="84" spans="6:41" x14ac:dyDescent="0.15">
      <c r="W84" s="232"/>
      <c r="X84" s="68">
        <v>203.34117912137015</v>
      </c>
      <c r="Y84" s="68">
        <v>123.35633973294334</v>
      </c>
      <c r="AM84" s="232"/>
      <c r="AN84" s="68">
        <v>160.77952147934997</v>
      </c>
      <c r="AO84" s="289">
        <v>253.81558432274147</v>
      </c>
    </row>
    <row r="85" spans="6:41" x14ac:dyDescent="0.15">
      <c r="W85" s="232"/>
      <c r="X85" s="68">
        <v>222.79446560777538</v>
      </c>
      <c r="Y85" s="68">
        <v>134.90921358508626</v>
      </c>
      <c r="AM85" s="232"/>
      <c r="AN85" s="68">
        <v>177.657613751502</v>
      </c>
      <c r="AO85" s="289">
        <v>243.93185845736002</v>
      </c>
    </row>
    <row r="86" spans="6:41" x14ac:dyDescent="0.15">
      <c r="W86" s="290"/>
      <c r="X86" s="68">
        <v>203.48048535677617</v>
      </c>
      <c r="Y86" s="68">
        <v>123.40172430505064</v>
      </c>
      <c r="AM86" s="232"/>
      <c r="AN86" s="68">
        <v>203.34117912137015</v>
      </c>
      <c r="AO86" s="289">
        <v>228.34086817976635</v>
      </c>
    </row>
    <row r="87" spans="6:41" ht="14" thickBot="1" x14ac:dyDescent="0.2">
      <c r="F87" s="5"/>
      <c r="W87" s="236"/>
      <c r="X87" s="68">
        <v>216.68199713194693</v>
      </c>
      <c r="Y87" s="68">
        <v>130.02142396481116</v>
      </c>
      <c r="AM87" s="232"/>
      <c r="AN87" s="68">
        <v>222.79446560777538</v>
      </c>
      <c r="AO87" s="289">
        <v>215.69856850350868</v>
      </c>
    </row>
    <row r="88" spans="6:41" x14ac:dyDescent="0.15">
      <c r="F88" s="5"/>
      <c r="W88" s="12"/>
      <c r="X88" s="17"/>
      <c r="Y88" s="13"/>
      <c r="AM88" s="290"/>
      <c r="AN88" s="68"/>
      <c r="AO88" s="291"/>
    </row>
    <row r="89" spans="6:41" ht="14" thickBot="1" x14ac:dyDescent="0.2">
      <c r="F89" s="5"/>
      <c r="W89" s="12"/>
      <c r="X89" s="17"/>
      <c r="Y89" s="13"/>
      <c r="AM89" s="236"/>
      <c r="AN89" s="68"/>
      <c r="AO89" s="293"/>
    </row>
    <row r="90" spans="6:41" x14ac:dyDescent="0.15">
      <c r="F90" s="5"/>
      <c r="W90" s="12"/>
      <c r="X90" s="16" t="s">
        <v>13</v>
      </c>
      <c r="Y90" s="11" t="s">
        <v>49</v>
      </c>
      <c r="AM90" s="12"/>
      <c r="AN90" s="17"/>
      <c r="AO90" s="13"/>
    </row>
    <row r="91" spans="6:41" ht="14" thickBot="1" x14ac:dyDescent="0.2">
      <c r="F91" s="5"/>
      <c r="W91" s="10" t="s">
        <v>410</v>
      </c>
      <c r="X91" s="68">
        <v>60.763954617523893</v>
      </c>
      <c r="Y91" s="68">
        <v>29.409439010889692</v>
      </c>
      <c r="AM91" s="12"/>
      <c r="AN91" s="17"/>
      <c r="AO91" s="13"/>
    </row>
    <row r="92" spans="6:41" x14ac:dyDescent="0.15">
      <c r="F92" s="5"/>
      <c r="W92" s="12"/>
      <c r="X92" s="68">
        <v>79.668407730229532</v>
      </c>
      <c r="Y92" s="68">
        <v>33.309297611254642</v>
      </c>
      <c r="AM92" s="228"/>
      <c r="AN92" s="320" t="s">
        <v>13</v>
      </c>
      <c r="AO92" s="11" t="s">
        <v>516</v>
      </c>
    </row>
    <row r="93" spans="6:41" x14ac:dyDescent="0.15">
      <c r="F93" s="5"/>
      <c r="W93" s="12"/>
      <c r="X93" s="68">
        <v>98.463521838786008</v>
      </c>
      <c r="Y93" s="68">
        <v>37.281582637626165</v>
      </c>
      <c r="AM93" s="322" t="s">
        <v>406</v>
      </c>
      <c r="AN93" s="68">
        <v>60.763954617523893</v>
      </c>
      <c r="AO93" s="323">
        <v>109.31968624976143</v>
      </c>
    </row>
    <row r="94" spans="6:41" x14ac:dyDescent="0.15">
      <c r="F94" s="5"/>
      <c r="W94" s="12"/>
      <c r="X94" s="68">
        <v>110.48203024842798</v>
      </c>
      <c r="Y94" s="68">
        <v>39.567992760532817</v>
      </c>
      <c r="AM94" s="232"/>
      <c r="AN94" s="68">
        <v>79.668407730229532</v>
      </c>
      <c r="AO94" s="289">
        <v>111.65317186130773</v>
      </c>
    </row>
    <row r="95" spans="6:41" x14ac:dyDescent="0.15">
      <c r="F95" s="5"/>
      <c r="W95" s="12"/>
      <c r="X95" s="68">
        <v>128.45544998656661</v>
      </c>
      <c r="Y95" s="68">
        <v>42.914202318586497</v>
      </c>
      <c r="AM95" s="232"/>
      <c r="AN95" s="68">
        <v>98.463521838786008</v>
      </c>
      <c r="AO95" s="289">
        <v>110.42478023967983</v>
      </c>
    </row>
    <row r="96" spans="6:41" x14ac:dyDescent="0.15">
      <c r="F96" s="5"/>
      <c r="W96" s="12"/>
      <c r="X96" s="68">
        <v>132.43201934330645</v>
      </c>
      <c r="Y96" s="68">
        <v>43.891248017188815</v>
      </c>
      <c r="AM96" s="232"/>
      <c r="AN96" s="68">
        <v>110.48203024842798</v>
      </c>
      <c r="AO96" s="289">
        <v>110.02884818331296</v>
      </c>
    </row>
    <row r="97" spans="6:41" x14ac:dyDescent="0.15">
      <c r="F97" s="5"/>
      <c r="W97" s="14"/>
      <c r="X97" s="68">
        <v>126.48327019359726</v>
      </c>
      <c r="Y97" s="68">
        <v>43.27283236895304</v>
      </c>
      <c r="AM97" s="232"/>
      <c r="AN97" s="68">
        <v>128.45544998656661</v>
      </c>
      <c r="AO97" s="289">
        <v>102.35401122473381</v>
      </c>
    </row>
    <row r="98" spans="6:41" x14ac:dyDescent="0.15">
      <c r="F98" s="5"/>
      <c r="X98" s="8">
        <v>136.94470684441694</v>
      </c>
      <c r="Y98" s="8">
        <v>45.537563418715308</v>
      </c>
      <c r="AM98" s="232"/>
      <c r="AN98" s="68">
        <v>132.43201934330645</v>
      </c>
      <c r="AO98" s="289">
        <v>100.48562347094051</v>
      </c>
    </row>
    <row r="99" spans="6:41" ht="14" thickBot="1" x14ac:dyDescent="0.2">
      <c r="F99" s="5"/>
      <c r="AM99" s="236"/>
      <c r="AN99" s="68"/>
      <c r="AO99" s="293"/>
    </row>
    <row r="100" spans="6:41" x14ac:dyDescent="0.15">
      <c r="AN100" s="8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1372C-FB3B-41D4-A797-A57B656887EB}">
  <dimension ref="A2:DN64"/>
  <sheetViews>
    <sheetView zoomScale="85" zoomScaleNormal="85" workbookViewId="0">
      <selection activeCell="AC16" sqref="AC16"/>
    </sheetView>
  </sheetViews>
  <sheetFormatPr baseColWidth="10" defaultColWidth="8.83203125" defaultRowHeight="13" x14ac:dyDescent="0.15"/>
  <cols>
    <col min="3" max="3" width="11.6640625" customWidth="1"/>
    <col min="16" max="23" width="8" customWidth="1"/>
    <col min="24" max="24" width="14.5" customWidth="1"/>
    <col min="25" max="25" width="8" customWidth="1"/>
    <col min="26" max="28" width="7" customWidth="1"/>
    <col min="29" max="29" width="8.5" customWidth="1"/>
    <col min="30" max="55" width="7" customWidth="1"/>
    <col min="70" max="70" width="10.6640625" bestFit="1" customWidth="1"/>
    <col min="90" max="90" width="23.1640625" customWidth="1"/>
    <col min="91" max="91" width="13.33203125" customWidth="1"/>
    <col min="96" max="96" width="11.33203125" customWidth="1"/>
    <col min="97" max="97" width="9.6640625" bestFit="1" customWidth="1"/>
    <col min="115" max="115" width="12.6640625" customWidth="1"/>
  </cols>
  <sheetData>
    <row r="2" spans="2:115" x14ac:dyDescent="0.15">
      <c r="BB2" t="s">
        <v>359</v>
      </c>
      <c r="BD2" t="b">
        <v>0</v>
      </c>
      <c r="BE2" t="s">
        <v>182</v>
      </c>
      <c r="DG2" s="2" t="s">
        <v>1281</v>
      </c>
    </row>
    <row r="3" spans="2:115" ht="14" x14ac:dyDescent="0.15">
      <c r="AC3" s="83" t="s">
        <v>1167</v>
      </c>
      <c r="BB3" t="s">
        <v>360</v>
      </c>
      <c r="BD3" t="b">
        <f>IF(OR($C$6=1,$C$6=2,$C$6=6),TRUE,FALSE)</f>
        <v>1</v>
      </c>
      <c r="BF3" t="s">
        <v>576</v>
      </c>
      <c r="DG3" s="10" t="s">
        <v>1175</v>
      </c>
      <c r="DH3" s="22"/>
      <c r="DI3" s="22"/>
      <c r="DJ3" s="22"/>
      <c r="DK3" s="21">
        <v>1</v>
      </c>
    </row>
    <row r="4" spans="2:115" x14ac:dyDescent="0.15">
      <c r="W4" t="s">
        <v>610</v>
      </c>
      <c r="AC4" s="2" t="s">
        <v>1160</v>
      </c>
      <c r="AI4" s="2" t="s">
        <v>1166</v>
      </c>
      <c r="BB4" t="s">
        <v>21</v>
      </c>
      <c r="BD4" t="b">
        <f>IF(AND(BD2,BD3),TRUE,FALSE)</f>
        <v>0</v>
      </c>
      <c r="DG4" s="12" t="b">
        <f>AC7</f>
        <v>1</v>
      </c>
      <c r="DH4" t="str">
        <f>AD7</f>
        <v>Suomi</v>
      </c>
      <c r="DK4" s="24" cm="1">
        <f t="array" ref="DK4">INDEX(DK10:DK14,DK3)</f>
        <v>17</v>
      </c>
    </row>
    <row r="5" spans="2:115" ht="14" thickBot="1" x14ac:dyDescent="0.2">
      <c r="W5" s="484">
        <v>1</v>
      </c>
      <c r="AC5" s="484">
        <f>KirjastoC!B4</f>
        <v>1</v>
      </c>
      <c r="AD5" t="s">
        <v>1159</v>
      </c>
      <c r="AI5" t="s">
        <v>1168</v>
      </c>
      <c r="AK5" t="str">
        <f>IF($AC$7,KirjastoC!M7,KirjastoC!M6)</f>
        <v>Ilman tilavuusvirta [m³/h]</v>
      </c>
      <c r="DG5" s="12" t="b">
        <f>AC8</f>
        <v>0</v>
      </c>
      <c r="DH5" t="str">
        <f>AD8</f>
        <v>Muut kielet</v>
      </c>
      <c r="DK5" s="24"/>
    </row>
    <row r="6" spans="2:115" ht="14" thickBot="1" x14ac:dyDescent="0.2">
      <c r="C6" s="302">
        <f>W7</f>
        <v>1</v>
      </c>
      <c r="D6" t="s">
        <v>612</v>
      </c>
      <c r="W6" t="s">
        <v>613</v>
      </c>
      <c r="AI6" t="s">
        <v>1169</v>
      </c>
      <c r="AK6" t="str">
        <f>IF(AC7,KirjastoC!M6,KirjastoC!M7)</f>
        <v>Ilman tilavuusvirta [dm³/s]</v>
      </c>
      <c r="BD6" t="s">
        <v>183</v>
      </c>
      <c r="DG6" s="12"/>
      <c r="DK6" s="24"/>
    </row>
    <row r="7" spans="2:115" x14ac:dyDescent="0.15">
      <c r="W7" s="484" cm="1">
        <f t="array" ref="W7">INDEX(Y12:Y17,W5)</f>
        <v>1</v>
      </c>
      <c r="AC7" s="484" t="b">
        <f>IF(AC5=1,TRUE,FALSE)</f>
        <v>1</v>
      </c>
      <c r="AD7" t="s">
        <v>988</v>
      </c>
      <c r="BD7" s="104">
        <v>63</v>
      </c>
      <c r="BE7" s="104">
        <v>125</v>
      </c>
      <c r="BF7" s="104">
        <v>250</v>
      </c>
      <c r="BG7" s="104">
        <v>500</v>
      </c>
      <c r="BH7" s="104">
        <v>1000</v>
      </c>
      <c r="BI7" s="104">
        <v>2000</v>
      </c>
      <c r="BJ7" s="104">
        <v>4000</v>
      </c>
      <c r="BK7" s="104">
        <v>8000</v>
      </c>
      <c r="DG7" s="12"/>
      <c r="DK7" s="24"/>
    </row>
    <row r="8" spans="2:115" ht="14" thickBot="1" x14ac:dyDescent="0.2">
      <c r="C8" s="2" t="s">
        <v>123</v>
      </c>
      <c r="AC8" s="484" t="b">
        <f>IF(AC5=1,FALSE,TRUE)</f>
        <v>0</v>
      </c>
      <c r="AD8" t="s">
        <v>1161</v>
      </c>
      <c r="AI8" s="2" t="s">
        <v>123</v>
      </c>
      <c r="BC8" t="s">
        <v>184</v>
      </c>
      <c r="BD8" s="4">
        <v>8</v>
      </c>
      <c r="BE8" s="4">
        <v>3</v>
      </c>
      <c r="BF8" s="4">
        <v>5</v>
      </c>
      <c r="BG8" s="4">
        <v>4</v>
      </c>
      <c r="BH8" s="4">
        <v>3</v>
      </c>
      <c r="BI8" s="4">
        <v>3</v>
      </c>
      <c r="BJ8" s="4">
        <v>5</v>
      </c>
      <c r="BK8" s="4">
        <v>3</v>
      </c>
      <c r="CW8" s="2" t="s">
        <v>1149</v>
      </c>
      <c r="DA8" s="2" t="s">
        <v>1170</v>
      </c>
      <c r="DG8" s="12" t="s">
        <v>1176</v>
      </c>
      <c r="DK8" s="24"/>
    </row>
    <row r="9" spans="2:115" ht="14" x14ac:dyDescent="0.15">
      <c r="C9" s="465" t="s">
        <v>7</v>
      </c>
      <c r="D9" s="361"/>
      <c r="E9" s="361"/>
      <c r="F9" s="361"/>
      <c r="G9" s="361"/>
      <c r="H9" s="361"/>
      <c r="I9" s="361"/>
      <c r="J9" s="362"/>
      <c r="N9" s="465" t="s">
        <v>8</v>
      </c>
      <c r="O9" s="361"/>
      <c r="P9" s="361"/>
      <c r="Q9" s="361"/>
      <c r="R9" s="361"/>
      <c r="S9" s="361"/>
      <c r="T9" s="361"/>
      <c r="U9" s="362"/>
      <c r="W9" t="s">
        <v>609</v>
      </c>
      <c r="AI9" s="465" t="s">
        <v>7</v>
      </c>
      <c r="AJ9" s="361"/>
      <c r="AK9" s="361"/>
      <c r="AL9" s="361"/>
      <c r="AM9" s="361"/>
      <c r="AN9" s="361"/>
      <c r="AO9" s="361"/>
      <c r="AP9" s="362"/>
      <c r="AR9" s="465" t="s">
        <v>8</v>
      </c>
      <c r="AS9" s="361"/>
      <c r="AT9" s="361"/>
      <c r="AU9" s="361"/>
      <c r="AV9" s="361"/>
      <c r="AW9" s="361"/>
      <c r="AX9" s="361"/>
      <c r="AY9" s="362"/>
      <c r="BB9" t="s">
        <v>185</v>
      </c>
      <c r="BC9" s="73">
        <v>-26.2</v>
      </c>
      <c r="BD9" s="73">
        <v>-16.100000000000001</v>
      </c>
      <c r="BE9" s="73">
        <v>-8.6</v>
      </c>
      <c r="BF9" s="73">
        <v>-3.2</v>
      </c>
      <c r="BG9" s="73">
        <v>0</v>
      </c>
      <c r="BH9" s="73">
        <v>1.2</v>
      </c>
      <c r="BI9" s="73">
        <v>1</v>
      </c>
      <c r="BJ9" s="73">
        <v>-1.1000000000000001</v>
      </c>
      <c r="CR9" s="83" t="s">
        <v>1110</v>
      </c>
      <c r="CW9" s="278" t="s">
        <v>311</v>
      </c>
      <c r="CX9" s="628" t="s">
        <v>13</v>
      </c>
      <c r="CY9" s="628" t="s">
        <v>14</v>
      </c>
      <c r="DA9" s="278" t="s">
        <v>311</v>
      </c>
      <c r="DB9" s="628" t="s">
        <v>13</v>
      </c>
      <c r="DC9" s="628" t="s">
        <v>14</v>
      </c>
      <c r="DG9" s="458" t="s">
        <v>988</v>
      </c>
      <c r="DH9" s="4" t="s">
        <v>1177</v>
      </c>
      <c r="DJ9" t="s">
        <v>21</v>
      </c>
      <c r="DK9" s="24" t="s">
        <v>1178</v>
      </c>
    </row>
    <row r="10" spans="2:115" x14ac:dyDescent="0.15">
      <c r="C10" s="304" t="str">
        <f>IF($C$6=1,'Laskenta tulopuoli C5'!AA4,'Laskenta tulopuoli C5'!AA4)</f>
        <v>10 V</v>
      </c>
      <c r="D10" s="24"/>
      <c r="E10" s="305" t="str">
        <f>IF($C$6=1,'Laskenta tulopuoli C5'!AC4,'Laskenta tulopuoli C5'!AC4)</f>
        <v>8 V</v>
      </c>
      <c r="F10" s="24"/>
      <c r="G10" s="305" t="str">
        <f>IF($C$6=1,'Laskenta tulopuoli C5'!AE4,'Laskenta tulopuoli C5'!AE4)</f>
        <v>6 V</v>
      </c>
      <c r="H10" s="24"/>
      <c r="I10" s="305" t="str">
        <f>IF($C$6=1,'Laskenta tulopuoli C5'!AG4,'Laskenta tulopuoli C5'!AG4)</f>
        <v>4 V</v>
      </c>
      <c r="J10" s="364"/>
      <c r="N10" s="304" t="str">
        <f>IF($C$6=1,'Laskenta poistopuoli C5'!AA4,'Laskenta poistopuoli 60'!AA4)</f>
        <v>10 V</v>
      </c>
      <c r="O10" s="24"/>
      <c r="P10" s="305" t="str">
        <f>IF($C$6=1,'Laskenta poistopuoli C5'!AC4,'Laskenta poistopuoli 60'!AC4)</f>
        <v>8 V</v>
      </c>
      <c r="Q10" s="24"/>
      <c r="R10" s="305" t="str">
        <f>IF($C$6=1,'Laskenta poistopuoli C5'!AE4,'Laskenta poistopuoli 60'!AE4)</f>
        <v>6 V</v>
      </c>
      <c r="S10" s="24"/>
      <c r="T10" s="305" t="str">
        <f>IF($C$6=1,'Laskenta poistopuoli C5'!AG4,'Laskenta poistopuoli 60'!AG4)</f>
        <v>4 V</v>
      </c>
      <c r="U10" s="364"/>
      <c r="AC10" t="str">
        <f>IF(AC7,"dm³/s","m³/h")</f>
        <v>dm³/s</v>
      </c>
      <c r="AI10" s="304" t="str">
        <f>C10</f>
        <v>10 V</v>
      </c>
      <c r="AJ10" s="24"/>
      <c r="AK10" s="305" t="str">
        <f>E10</f>
        <v>8 V</v>
      </c>
      <c r="AL10" s="24"/>
      <c r="AM10" s="305" t="str">
        <f>G10</f>
        <v>6 V</v>
      </c>
      <c r="AN10" s="24"/>
      <c r="AO10" s="305" t="str">
        <f>I10</f>
        <v>4 V</v>
      </c>
      <c r="AP10" s="364"/>
      <c r="AR10" s="304" t="str">
        <f>N10</f>
        <v>10 V</v>
      </c>
      <c r="AS10" s="24"/>
      <c r="AT10" s="305" t="str">
        <f>P10</f>
        <v>8 V</v>
      </c>
      <c r="AU10" s="24"/>
      <c r="AV10" s="305" t="str">
        <f>R10</f>
        <v>6 V</v>
      </c>
      <c r="AW10" s="24"/>
      <c r="AX10" s="305" t="str">
        <f>T10</f>
        <v>4 V</v>
      </c>
      <c r="AY10" s="364"/>
      <c r="CR10" t="s">
        <v>1119</v>
      </c>
      <c r="CW10" s="95" t="s">
        <v>1152</v>
      </c>
      <c r="CX10" s="279">
        <v>1</v>
      </c>
      <c r="CY10" s="645">
        <f>CY11/(CX11^2)*CX10^2</f>
        <v>4.4444444444444447E-4</v>
      </c>
      <c r="DA10" s="95" t="s">
        <v>1152</v>
      </c>
      <c r="DB10" s="279">
        <f>IF($AC$7,CX10,CX10*3.6)</f>
        <v>1</v>
      </c>
      <c r="DC10" s="279">
        <f>CY10</f>
        <v>4.4444444444444447E-4</v>
      </c>
      <c r="DG10" s="458">
        <v>17</v>
      </c>
      <c r="DH10" s="4">
        <v>21</v>
      </c>
      <c r="DJ10" s="740">
        <f>IF($DG$4,DG10,DH10)</f>
        <v>17</v>
      </c>
      <c r="DK10" s="153">
        <f>DJ10</f>
        <v>17</v>
      </c>
    </row>
    <row r="11" spans="2:115" ht="14" thickBot="1" x14ac:dyDescent="0.2">
      <c r="B11" s="594" t="str">
        <f>IF($AC$7,"10V m³/h","10V dm³/s")</f>
        <v>10V m³/h</v>
      </c>
      <c r="C11" s="306" t="str">
        <f>IF($C$6=1,'Laskenta tulopuoli 60'!AA5,IF($C$6=2,'Laskenta tulopuoli 100'!AA5,IF($C$6=3,'Laskenta tulopuoli 150'!AA5,'Laskenta tulopuoli 350'!AA5)))</f>
        <v>Pa</v>
      </c>
      <c r="D11" s="462" t="str">
        <f>IF($C$6=1,'Laskenta tulopuoli 60'!AB5,IF($C$6=2,'Laskenta tulopuoli 100'!AB5,'Laskenta tulopuoli 150'!AB5))</f>
        <v>l/s</v>
      </c>
      <c r="E11" s="307" t="str">
        <f>IF($C$6=1,'Laskenta tulopuoli 60'!AC5,IF($C$6=2,'Laskenta tulopuoli 100'!AC5,IF($C$6=3,'Laskenta tulopuoli 150'!AC5,'Laskenta tulopuoli 350'!AC5)))</f>
        <v>Pa</v>
      </c>
      <c r="F11" s="462" t="str">
        <f>IF($C$6=1,'Laskenta tulopuoli 60'!AD5,IF($C$6=2,'Laskenta tulopuoli 100'!AD5,'Laskenta tulopuoli 150'!AD5))</f>
        <v>l/s</v>
      </c>
      <c r="G11" s="307" t="str">
        <f>IF($C$6=1,'Laskenta tulopuoli 60'!AE5,IF($C$6=2,'Laskenta tulopuoli 100'!AE5,IF($C$6=3,'Laskenta tulopuoli 150'!AE5,'Laskenta tulopuoli 350'!AE5)))</f>
        <v>Pa</v>
      </c>
      <c r="H11" s="462" t="str">
        <f>IF($C$6=1,'Laskenta tulopuoli 60'!AF5,IF($C$6=2,'Laskenta tulopuoli 100'!AF5,'Laskenta tulopuoli 150'!AF5))</f>
        <v>l/s</v>
      </c>
      <c r="I11" s="307" t="str">
        <f>IF($C$6=1,'Laskenta tulopuoli 60'!AG5,IF($C$6=2,'Laskenta tulopuoli 100'!AG5,IF($C$6=3,'Laskenta tulopuoli 150'!AG5,'Laskenta tulopuoli 350'!AG5)))</f>
        <v>Pa</v>
      </c>
      <c r="J11" s="239" t="str">
        <f>IF($C$6=1,'Laskenta tulopuoli 60'!AH5,IF($C$6=2,'Laskenta tulopuoli 100'!AH5,'Laskenta tulopuoli 150'!AH5))</f>
        <v>l/s</v>
      </c>
      <c r="M11" s="594" t="str">
        <f>IF($AC$7,"10V m³/h","10V dm³/s")</f>
        <v>10V m³/h</v>
      </c>
      <c r="N11" s="306" t="str">
        <f>IF($C$6=1,'Laskenta poistopuoli C5'!AA5,'Laskenta poistopuoli 60'!AA5)</f>
        <v>Pa</v>
      </c>
      <c r="O11" s="462" t="str">
        <f>IF($C$6=1,'Laskenta poistopuoli C5'!AB5,'Laskenta poistopuoli 60'!AB5)</f>
        <v>l/s</v>
      </c>
      <c r="P11" s="307" t="str">
        <f>IF($C$6=1,'Laskenta poistopuoli C5'!AC5,'Laskenta poistopuoli 60'!AC5)</f>
        <v>Pa</v>
      </c>
      <c r="Q11" s="462" t="str">
        <f>IF($C$6=1,'Laskenta poistopuoli C5'!AD5,'Laskenta poistopuoli 60'!AD5)</f>
        <v>l/s</v>
      </c>
      <c r="R11" s="307" t="str">
        <f>IF($C$6=1,'Laskenta poistopuoli C5'!AE5,'Laskenta poistopuoli 60'!AE5)</f>
        <v>Pa</v>
      </c>
      <c r="S11" s="462" t="str">
        <f>IF($C$6=1,'Laskenta poistopuoli C5'!AF5,'Laskenta poistopuoli 60'!AF5)</f>
        <v>l/s</v>
      </c>
      <c r="T11" s="307" t="str">
        <f>IF($C$6=1,'Laskenta poistopuoli C5'!AG5,'Laskenta poistopuoli 60'!AG5)</f>
        <v>Pa</v>
      </c>
      <c r="U11" s="239" t="str">
        <f>IF($C$6=1,'Laskenta poistopuoli C5'!AH5,'Laskenta poistopuoli 60'!AH5)</f>
        <v>l/s</v>
      </c>
      <c r="W11" t="s">
        <v>610</v>
      </c>
      <c r="Y11" t="s">
        <v>611</v>
      </c>
      <c r="AC11" t="str">
        <f>IF(AC8,"dm³/s","m³/h")</f>
        <v>m³/h</v>
      </c>
      <c r="AI11" s="306" t="str">
        <f>C11</f>
        <v>Pa</v>
      </c>
      <c r="AJ11" s="462" t="str">
        <f>AC10</f>
        <v>dm³/s</v>
      </c>
      <c r="AK11" s="307" t="str">
        <f t="shared" ref="AK11:AO18" si="0">E11</f>
        <v>Pa</v>
      </c>
      <c r="AL11" s="462" t="str">
        <f>AC10</f>
        <v>dm³/s</v>
      </c>
      <c r="AM11" s="307" t="str">
        <f t="shared" si="0"/>
        <v>Pa</v>
      </c>
      <c r="AN11" s="462" t="str">
        <f>AC10</f>
        <v>dm³/s</v>
      </c>
      <c r="AO11" s="307" t="str">
        <f t="shared" si="0"/>
        <v>Pa</v>
      </c>
      <c r="AP11" s="239" t="str">
        <f>AC10</f>
        <v>dm³/s</v>
      </c>
      <c r="AR11" s="306" t="str">
        <f>N11</f>
        <v>Pa</v>
      </c>
      <c r="AS11" s="462" t="str">
        <f>$AC$10</f>
        <v>dm³/s</v>
      </c>
      <c r="AT11" s="307" t="str">
        <f t="shared" ref="AT11:AX18" si="1">P11</f>
        <v>Pa</v>
      </c>
      <c r="AU11" s="462" t="str">
        <f>$AC$10</f>
        <v>dm³/s</v>
      </c>
      <c r="AV11" s="307" t="str">
        <f t="shared" si="1"/>
        <v>Pa</v>
      </c>
      <c r="AW11" s="462" t="str">
        <f>$AC$10</f>
        <v>dm³/s</v>
      </c>
      <c r="AX11" s="307" t="str">
        <f t="shared" si="1"/>
        <v>Pa</v>
      </c>
      <c r="AY11" s="239" t="str">
        <f>$AC$10</f>
        <v>dm³/s</v>
      </c>
      <c r="CR11" s="618">
        <f>'C-series'!M45</f>
        <v>0.15</v>
      </c>
      <c r="CW11" s="95" t="s">
        <v>1150</v>
      </c>
      <c r="CX11" s="279">
        <f>'C-series'!E33</f>
        <v>450</v>
      </c>
      <c r="CY11" s="344">
        <f>'C-series'!E44</f>
        <v>90</v>
      </c>
      <c r="DA11" s="95" t="s">
        <v>1150</v>
      </c>
      <c r="DB11" s="279">
        <f t="shared" ref="DB11:DB12" si="2">IF($AC$7,CX11,CX11*3.6)</f>
        <v>450</v>
      </c>
      <c r="DC11" s="279">
        <f t="shared" ref="DC11:DC12" si="3">CY11</f>
        <v>90</v>
      </c>
      <c r="DG11" s="458">
        <v>18</v>
      </c>
      <c r="DH11" s="4">
        <v>22</v>
      </c>
      <c r="DJ11" s="740">
        <f t="shared" ref="DJ11:DJ14" si="4">IF($DG$4,DG11,DH11)</f>
        <v>18</v>
      </c>
      <c r="DK11" s="153">
        <f t="shared" ref="DK11:DK14" si="5">DJ11</f>
        <v>18</v>
      </c>
    </row>
    <row r="12" spans="2:115" x14ac:dyDescent="0.15">
      <c r="B12" s="595">
        <f>IF($AC$7,D12*3.6,D12)</f>
        <v>2355.3013438496564</v>
      </c>
      <c r="C12" s="304">
        <f>IF($C$6=1,'Laskenta tulopuoli C5'!AA6,'Laskenta tulopuoli C5'!AA6)</f>
        <v>25</v>
      </c>
      <c r="D12" s="463">
        <f>IF($C$6=1,'Laskenta tulopuoli C5'!AB6,'Laskenta tulopuoli C5'!AB6)</f>
        <v>654.25037329157124</v>
      </c>
      <c r="E12" s="305">
        <f>IF($C$6=1,'Laskenta tulopuoli C5'!AC6,'Laskenta tulopuoli C5'!AC6)</f>
        <v>20</v>
      </c>
      <c r="F12" s="463">
        <f>IF($C$6=1,'Laskenta tulopuoli C5'!AD6,'Laskenta tulopuoli C5'!AD6)</f>
        <v>582.83308011693862</v>
      </c>
      <c r="G12" s="305">
        <f>IF($C$6=1,'Laskenta tulopuoli C5'!AE6,'Laskenta tulopuoli C5'!AE6)</f>
        <v>10</v>
      </c>
      <c r="H12" s="463">
        <f>IF($C$6=1,'Laskenta tulopuoli C5'!AF6,'Laskenta tulopuoli C5'!AF6)</f>
        <v>418.68869265387121</v>
      </c>
      <c r="I12" s="305">
        <f>IF($C$6=1,'Laskenta tulopuoli C5'!AG6,'Laskenta tulopuoli C5'!AG6)</f>
        <v>10</v>
      </c>
      <c r="J12" s="460">
        <f>IF($C$6=1,'Laskenta tulopuoli C5'!AH6,'Laskenta tulopuoli C5'!AH6)</f>
        <v>257.85106453446394</v>
      </c>
      <c r="M12" s="595">
        <f>IF($AC$7,O12*3.6,O12)</f>
        <v>2535.8945472845689</v>
      </c>
      <c r="N12" s="304">
        <f>IF($C$6=1,'Laskenta poistopuoli C5'!AA6,'Laskenta poistopuoli 60'!AA6)</f>
        <v>25</v>
      </c>
      <c r="O12" s="463">
        <f>IF($C$6=1,'Laskenta poistopuoli C5'!AB6,'Laskenta poistopuoli 60'!AB6)</f>
        <v>704.41515202349137</v>
      </c>
      <c r="P12" s="305">
        <f>IF($C$6=1,'Laskenta poistopuoli C5'!AC6,'Laskenta poistopuoli 60'!AC6)</f>
        <v>20</v>
      </c>
      <c r="Q12" s="463">
        <f>IF($C$6=1,'Laskenta poistopuoli C5'!AD6,'Laskenta poistopuoli 60'!AD6)</f>
        <v>635.13108472623696</v>
      </c>
      <c r="R12" s="305">
        <f>IF($C$6=1,'Laskenta poistopuoli C5'!AE6,'Laskenta poistopuoli 60'!AE6)</f>
        <v>10</v>
      </c>
      <c r="S12" s="463">
        <f>IF($C$6=1,'Laskenta poistopuoli C5'!AF6,'Laskenta poistopuoli 60'!AF6)</f>
        <v>461.46618744473108</v>
      </c>
      <c r="T12" s="305">
        <f>IF($C$6=1,'Laskenta poistopuoli C5'!AG6,'Laskenta poistopuoli 60'!AG6)</f>
        <v>10</v>
      </c>
      <c r="U12" s="460">
        <f>IF($C$6=1,'Laskenta poistopuoli C5'!AH6,'Laskenta poistopuoli 60'!AH6)</f>
        <v>281.0750747137705</v>
      </c>
      <c r="W12" s="483">
        <v>1</v>
      </c>
      <c r="X12" s="483" t="s">
        <v>2041</v>
      </c>
      <c r="Y12" s="483">
        <v>1</v>
      </c>
      <c r="AI12" s="304">
        <f>C12</f>
        <v>25</v>
      </c>
      <c r="AJ12" s="463">
        <f>IF($AC$7,D12,D12*3.6)</f>
        <v>654.25037329157124</v>
      </c>
      <c r="AK12" s="305">
        <f t="shared" si="0"/>
        <v>20</v>
      </c>
      <c r="AL12" s="463">
        <f>IF($AC$7,F12,F12*3.6)</f>
        <v>582.83308011693862</v>
      </c>
      <c r="AM12" s="305">
        <f t="shared" si="0"/>
        <v>10</v>
      </c>
      <c r="AN12" s="463">
        <f>IF($AC$7,H12,H12*3.6)</f>
        <v>418.68869265387121</v>
      </c>
      <c r="AO12" s="305">
        <f t="shared" si="0"/>
        <v>10</v>
      </c>
      <c r="AP12" s="460">
        <f>IF($AC$7,J12,J12*3.6)</f>
        <v>257.85106453446394</v>
      </c>
      <c r="AR12" s="304">
        <f>N12</f>
        <v>25</v>
      </c>
      <c r="AS12" s="463">
        <f>IF($AC$7,O12,O12*3.6)</f>
        <v>704.41515202349137</v>
      </c>
      <c r="AT12" s="305">
        <f t="shared" si="1"/>
        <v>20</v>
      </c>
      <c r="AU12" s="463">
        <f>IF($AC$7,Q12,Q12*3.6)</f>
        <v>635.13108472623696</v>
      </c>
      <c r="AV12" s="305">
        <f t="shared" si="1"/>
        <v>10</v>
      </c>
      <c r="AW12" s="463">
        <f>IF($AC$7,S12,S12*3.6)</f>
        <v>461.46618744473108</v>
      </c>
      <c r="AX12" s="305">
        <f t="shared" si="1"/>
        <v>10</v>
      </c>
      <c r="AY12" s="460">
        <f>IF($AC$7,U12,U12*3.6)</f>
        <v>281.0750747137705</v>
      </c>
      <c r="BC12" s="104">
        <v>63</v>
      </c>
      <c r="BD12" s="104">
        <v>125</v>
      </c>
      <c r="BE12" s="104">
        <v>250</v>
      </c>
      <c r="BF12" s="104">
        <v>500</v>
      </c>
      <c r="BG12" s="104">
        <v>1000</v>
      </c>
      <c r="BH12" s="104">
        <v>2000</v>
      </c>
      <c r="BI12" s="104">
        <v>4000</v>
      </c>
      <c r="BJ12" s="104">
        <v>8000</v>
      </c>
      <c r="BK12" s="104" t="s">
        <v>70</v>
      </c>
      <c r="BL12" s="104" t="s">
        <v>27</v>
      </c>
      <c r="BM12" t="s">
        <v>97</v>
      </c>
      <c r="BN12" t="s">
        <v>98</v>
      </c>
      <c r="CW12" s="95" t="s">
        <v>1151</v>
      </c>
      <c r="CX12" s="279">
        <f>CR16</f>
        <v>517.5</v>
      </c>
      <c r="CY12" s="279">
        <f>CR17</f>
        <v>119.02500000000001</v>
      </c>
      <c r="DA12" s="95" t="s">
        <v>1151</v>
      </c>
      <c r="DB12" s="279">
        <f t="shared" si="2"/>
        <v>517.5</v>
      </c>
      <c r="DC12" s="279">
        <f t="shared" si="3"/>
        <v>119.02500000000001</v>
      </c>
      <c r="DG12" s="458">
        <v>19</v>
      </c>
      <c r="DH12" s="4">
        <v>23</v>
      </c>
      <c r="DJ12" s="740">
        <f t="shared" si="4"/>
        <v>19</v>
      </c>
      <c r="DK12" s="153">
        <f t="shared" si="5"/>
        <v>19</v>
      </c>
    </row>
    <row r="13" spans="2:115" x14ac:dyDescent="0.15">
      <c r="B13" s="595">
        <f t="shared" ref="B13:B18" si="6">IF($AC$7,D13*3.6,D13)</f>
        <v>2265.7096769341802</v>
      </c>
      <c r="C13" s="304">
        <f>IF($C$6=1,'Laskenta tulopuoli C5'!AA7,'Laskenta tulopuoli C5'!AA7)</f>
        <v>100</v>
      </c>
      <c r="D13" s="463">
        <f>IF($C$6=1,'Laskenta tulopuoli C5'!AB7,'Laskenta tulopuoli C5'!AB7)</f>
        <v>629.36379914838335</v>
      </c>
      <c r="E13" s="305">
        <f>IF($C$6=1,'Laskenta tulopuoli C5'!AC7,'Laskenta tulopuoli C5'!AC7)</f>
        <v>50</v>
      </c>
      <c r="F13" s="463">
        <f>IF($C$6=1,'Laskenta tulopuoli C5'!AD7,'Laskenta tulopuoli C5'!AD7)</f>
        <v>570.11547619002181</v>
      </c>
      <c r="G13" s="305">
        <f>IF($C$6=1,'Laskenta tulopuoli C5'!AE7,'Laskenta tulopuoli C5'!AE7)</f>
        <v>50</v>
      </c>
      <c r="H13" s="463">
        <f>IF($C$6=1,'Laskenta tulopuoli C5'!AF7,'Laskenta tulopuoli C5'!AF7)</f>
        <v>395.52550235940686</v>
      </c>
      <c r="I13" s="305">
        <f>IF($C$6=1,'Laskenta tulopuoli C5'!AG7,'Laskenta tulopuoli C5'!AG7)</f>
        <v>20</v>
      </c>
      <c r="J13" s="460">
        <f>IF($C$6=1,'Laskenta tulopuoli C5'!AH7,'Laskenta tulopuoli C5'!AH7)</f>
        <v>248.64190471104959</v>
      </c>
      <c r="M13" s="595">
        <f t="shared" ref="M13:M18" si="7">IF($AC$7,O13*3.6,O13)</f>
        <v>2421.5016976500697</v>
      </c>
      <c r="N13" s="304">
        <f>IF($C$6=1,'Laskenta poistopuoli C5'!AA7,'Laskenta poistopuoli 60'!AA7)</f>
        <v>100</v>
      </c>
      <c r="O13" s="463">
        <f>IF($C$6=1,'Laskenta poistopuoli C5'!AB7,'Laskenta poistopuoli 60'!AB7)</f>
        <v>672.63936045835271</v>
      </c>
      <c r="P13" s="305">
        <f>IF($C$6=1,'Laskenta poistopuoli C5'!AC7,'Laskenta poistopuoli 60'!AC7)</f>
        <v>50</v>
      </c>
      <c r="Q13" s="463">
        <f>IF($C$6=1,'Laskenta poistopuoli C5'!AD7,'Laskenta poistopuoli 60'!AD7)</f>
        <v>621.13721586741849</v>
      </c>
      <c r="R13" s="305">
        <f>IF($C$6=1,'Laskenta poistopuoli C5'!AE7,'Laskenta poistopuoli 60'!AE7)</f>
        <v>50</v>
      </c>
      <c r="S13" s="463">
        <f>IF($C$6=1,'Laskenta poistopuoli C5'!AF7,'Laskenta poistopuoli 60'!AF7)</f>
        <v>436.22652389115092</v>
      </c>
      <c r="T13" s="305">
        <f>IF($C$6=1,'Laskenta poistopuoli C5'!AG7,'Laskenta poistopuoli 60'!AG7)</f>
        <v>20</v>
      </c>
      <c r="U13" s="460">
        <f>IF($C$6=1,'Laskenta poistopuoli C5'!AH7,'Laskenta poistopuoli 60'!AH7)</f>
        <v>271.66904546375156</v>
      </c>
      <c r="W13" s="483">
        <v>2</v>
      </c>
      <c r="X13" s="483" t="s">
        <v>2079</v>
      </c>
      <c r="Y13" s="483">
        <v>1</v>
      </c>
      <c r="AC13" t="str">
        <f>IF(AC7,"Mitoituspisteen tilavuusvirrat m³/h","Mitoituspisteen tilavuusvirrat dm³/s")</f>
        <v>Mitoituspisteen tilavuusvirrat m³/h</v>
      </c>
      <c r="AI13" s="304">
        <f t="shared" ref="AI13:AI18" si="8">C13</f>
        <v>100</v>
      </c>
      <c r="AJ13" s="463">
        <f t="shared" ref="AJ13:AP18" si="9">IF($AC$7,D13,D13*3.6)</f>
        <v>629.36379914838335</v>
      </c>
      <c r="AK13" s="305">
        <f t="shared" si="0"/>
        <v>50</v>
      </c>
      <c r="AL13" s="463">
        <f t="shared" si="9"/>
        <v>570.11547619002181</v>
      </c>
      <c r="AM13" s="305">
        <f t="shared" si="0"/>
        <v>50</v>
      </c>
      <c r="AN13" s="463">
        <f t="shared" si="9"/>
        <v>395.52550235940686</v>
      </c>
      <c r="AO13" s="305">
        <f t="shared" si="0"/>
        <v>20</v>
      </c>
      <c r="AP13" s="460">
        <f t="shared" si="9"/>
        <v>248.64190471104959</v>
      </c>
      <c r="AR13" s="304">
        <f t="shared" ref="AR13:AR18" si="10">N13</f>
        <v>100</v>
      </c>
      <c r="AS13" s="463">
        <f t="shared" ref="AS13:AY18" si="11">IF($AC$7,O13,O13*3.6)</f>
        <v>672.63936045835271</v>
      </c>
      <c r="AT13" s="305">
        <f t="shared" si="1"/>
        <v>50</v>
      </c>
      <c r="AU13" s="463">
        <f t="shared" si="11"/>
        <v>621.13721586741849</v>
      </c>
      <c r="AV13" s="305">
        <f t="shared" si="1"/>
        <v>50</v>
      </c>
      <c r="AW13" s="463">
        <f t="shared" si="11"/>
        <v>436.22652389115092</v>
      </c>
      <c r="AX13" s="305">
        <f t="shared" si="1"/>
        <v>20</v>
      </c>
      <c r="AY13" s="460">
        <f t="shared" si="11"/>
        <v>271.66904546375156</v>
      </c>
      <c r="BB13" s="129" t="str">
        <f>C23</f>
        <v>C5</v>
      </c>
      <c r="BC13" s="80">
        <f t="shared" ref="BC13:BJ14" si="12">BD23-BD$8</f>
        <v>48.10544869741544</v>
      </c>
      <c r="BD13" s="80">
        <f t="shared" si="12"/>
        <v>52.10544869741544</v>
      </c>
      <c r="BE13" s="80">
        <f t="shared" si="12"/>
        <v>45.10544869741544</v>
      </c>
      <c r="BF13" s="80">
        <f t="shared" si="12"/>
        <v>33.10544869741544</v>
      </c>
      <c r="BG13" s="80">
        <f t="shared" si="12"/>
        <v>31.10544869741544</v>
      </c>
      <c r="BH13" s="80">
        <f t="shared" si="12"/>
        <v>30.10544869741544</v>
      </c>
      <c r="BI13" s="80">
        <f t="shared" si="12"/>
        <v>19.10544869741544</v>
      </c>
      <c r="BJ13" s="80">
        <f t="shared" si="12"/>
        <v>20.10544869741544</v>
      </c>
      <c r="BK13" s="80">
        <f t="array" ref="BK13">10*LOG10(SUM(10^(BC13:BJ13/10)))</f>
        <v>54.215606058575389</v>
      </c>
      <c r="BL13" s="80">
        <f t="array" ref="BL13">10*LOG10(SUM(10^((BC13:BJ13+BC9:BJ9)/10)))</f>
        <v>40.939315671119573</v>
      </c>
      <c r="BM13" s="80">
        <f>BL13+10*LOG10(4/10)</f>
        <v>36.959915584399198</v>
      </c>
      <c r="BN13" s="80">
        <f>BL13+10*LOG10(4/2.5)</f>
        <v>42.980515497678823</v>
      </c>
      <c r="CR13" t="s">
        <v>1118</v>
      </c>
      <c r="CW13" s="278" t="s">
        <v>312</v>
      </c>
      <c r="CX13" s="628" t="s">
        <v>13</v>
      </c>
      <c r="CY13" s="628" t="s">
        <v>14</v>
      </c>
      <c r="DA13" s="278" t="s">
        <v>312</v>
      </c>
      <c r="DB13" s="628" t="s">
        <v>13</v>
      </c>
      <c r="DC13" s="646" t="s">
        <v>14</v>
      </c>
      <c r="DG13" s="458">
        <v>20</v>
      </c>
      <c r="DH13" s="4">
        <v>24</v>
      </c>
      <c r="DJ13" s="740">
        <f t="shared" si="4"/>
        <v>20</v>
      </c>
      <c r="DK13" s="153">
        <f t="shared" si="5"/>
        <v>20</v>
      </c>
    </row>
    <row r="14" spans="2:115" x14ac:dyDescent="0.15">
      <c r="B14" s="595">
        <f t="shared" si="6"/>
        <v>2141.9134462695411</v>
      </c>
      <c r="C14" s="304">
        <f>IF($C$6=1,'Laskenta tulopuoli C5'!AA8,'Laskenta tulopuoli C5'!AA8)</f>
        <v>200</v>
      </c>
      <c r="D14" s="463">
        <f>IF($C$6=1,'Laskenta tulopuoli C5'!AB8,'Laskenta tulopuoli C5'!AB8)</f>
        <v>594.97595729709474</v>
      </c>
      <c r="E14" s="305">
        <f>IF($C$6=1,'Laskenta tulopuoli C5'!AC8,'Laskenta tulopuoli C5'!AC8)</f>
        <v>100</v>
      </c>
      <c r="F14" s="463">
        <f>IF($C$6=1,'Laskenta tulopuoli C5'!AD8,'Laskenta tulopuoli C5'!AD8)</f>
        <v>548.36777867485296</v>
      </c>
      <c r="G14" s="305">
        <f>IF($C$6=1,'Laskenta tulopuoli C5'!AE8,'Laskenta tulopuoli C5'!AE8)</f>
        <v>90</v>
      </c>
      <c r="H14" s="463">
        <f>IF($C$6=1,'Laskenta tulopuoli C5'!AF8,'Laskenta tulopuoli C5'!AF8)</f>
        <v>371.15944670020446</v>
      </c>
      <c r="I14" s="305">
        <f>IF($C$6=1,'Laskenta tulopuoli C5'!AG8,'Laskenta tulopuoli C5'!AG8)</f>
        <v>40</v>
      </c>
      <c r="J14" s="460">
        <f>IF($C$6=1,'Laskenta tulopuoli C5'!AH8,'Laskenta tulopuoli C5'!AH8)</f>
        <v>229.53785769609709</v>
      </c>
      <c r="M14" s="595">
        <f t="shared" si="7"/>
        <v>2265.5902901488184</v>
      </c>
      <c r="N14" s="304">
        <f>IF($C$6=1,'Laskenta poistopuoli C5'!AA8,'Laskenta poistopuoli 60'!AA8)</f>
        <v>200</v>
      </c>
      <c r="O14" s="463">
        <f>IF($C$6=1,'Laskenta poistopuoli C5'!AB8,'Laskenta poistopuoli 60'!AB8)</f>
        <v>629.33063615244953</v>
      </c>
      <c r="P14" s="305">
        <f>IF($C$6=1,'Laskenta poistopuoli C5'!AC8,'Laskenta poistopuoli 60'!AC8)</f>
        <v>100</v>
      </c>
      <c r="Q14" s="463">
        <f>IF($C$6=1,'Laskenta poistopuoli C5'!AD8,'Laskenta poistopuoli 60'!AD8)</f>
        <v>597.24546096540359</v>
      </c>
      <c r="R14" s="305">
        <f>IF($C$6=1,'Laskenta poistopuoli C5'!AE8,'Laskenta poistopuoli 60'!AE8)</f>
        <v>90</v>
      </c>
      <c r="S14" s="463">
        <f>IF($C$6=1,'Laskenta poistopuoli C5'!AF8,'Laskenta poistopuoli 60'!AF8)</f>
        <v>409.75018913868513</v>
      </c>
      <c r="T14" s="305">
        <f>IF($C$6=1,'Laskenta poistopuoli C5'!AG8,'Laskenta poistopuoli 60'!AG8)</f>
        <v>40</v>
      </c>
      <c r="U14" s="460">
        <f>IF($C$6=1,'Laskenta poistopuoli C5'!AH8,'Laskenta poistopuoli 60'!AH8)</f>
        <v>252.08070997899338</v>
      </c>
      <c r="W14" s="483">
        <v>3</v>
      </c>
      <c r="X14" s="483" t="s">
        <v>2079</v>
      </c>
      <c r="Y14" s="483">
        <v>1</v>
      </c>
      <c r="AC14" t="s">
        <v>7</v>
      </c>
      <c r="AD14" t="s">
        <v>8</v>
      </c>
      <c r="AI14" s="304">
        <f t="shared" si="8"/>
        <v>200</v>
      </c>
      <c r="AJ14" s="463">
        <f t="shared" si="9"/>
        <v>594.97595729709474</v>
      </c>
      <c r="AK14" s="305">
        <f t="shared" si="0"/>
        <v>100</v>
      </c>
      <c r="AL14" s="463">
        <f t="shared" si="9"/>
        <v>548.36777867485296</v>
      </c>
      <c r="AM14" s="305">
        <f t="shared" si="0"/>
        <v>90</v>
      </c>
      <c r="AN14" s="463">
        <f t="shared" si="9"/>
        <v>371.15944670020446</v>
      </c>
      <c r="AO14" s="305">
        <f t="shared" si="0"/>
        <v>40</v>
      </c>
      <c r="AP14" s="460">
        <f t="shared" si="9"/>
        <v>229.53785769609709</v>
      </c>
      <c r="AR14" s="304">
        <f t="shared" si="10"/>
        <v>200</v>
      </c>
      <c r="AS14" s="463">
        <f t="shared" si="11"/>
        <v>629.33063615244953</v>
      </c>
      <c r="AT14" s="305">
        <f t="shared" si="1"/>
        <v>100</v>
      </c>
      <c r="AU14" s="463">
        <f t="shared" si="11"/>
        <v>597.24546096540359</v>
      </c>
      <c r="AV14" s="305">
        <f t="shared" si="1"/>
        <v>90</v>
      </c>
      <c r="AW14" s="463">
        <f t="shared" si="11"/>
        <v>409.75018913868513</v>
      </c>
      <c r="AX14" s="305">
        <f t="shared" si="1"/>
        <v>40</v>
      </c>
      <c r="AY14" s="460">
        <f t="shared" si="11"/>
        <v>252.08070997899338</v>
      </c>
      <c r="BB14" s="129" t="str">
        <f t="shared" ref="BB14:BB15" si="13">C24</f>
        <v xml:space="preserve"> ** C series future version **</v>
      </c>
      <c r="BC14" s="80">
        <f t="shared" si="12"/>
        <v>-8</v>
      </c>
      <c r="BD14" s="80">
        <f t="shared" si="12"/>
        <v>-3</v>
      </c>
      <c r="BE14" s="80">
        <f t="shared" si="12"/>
        <v>-5</v>
      </c>
      <c r="BF14" s="80">
        <f t="shared" si="12"/>
        <v>-4</v>
      </c>
      <c r="BG14" s="80">
        <f t="shared" si="12"/>
        <v>-3</v>
      </c>
      <c r="BH14" s="80">
        <f t="shared" si="12"/>
        <v>-3</v>
      </c>
      <c r="BI14" s="80">
        <f t="shared" si="12"/>
        <v>-5</v>
      </c>
      <c r="BJ14" s="80">
        <f t="shared" si="12"/>
        <v>-3</v>
      </c>
      <c r="BK14" s="80">
        <f t="array" ref="BK14">10*LOG10(SUM(10^(BC14:BJ14/10)))</f>
        <v>5.0430784660028145</v>
      </c>
      <c r="BL14" s="80">
        <f t="array" ref="BL14">10*LOG10(SUM(10^((BC14:BJ14+BC9:BJ9)/10)))</f>
        <v>3.4161523446475064</v>
      </c>
      <c r="BM14" s="80">
        <f>BL14+10*LOG10(4/10)</f>
        <v>-0.56324774207286943</v>
      </c>
      <c r="BN14" s="80">
        <f>BL14+10*LOG10(4/2.5)</f>
        <v>5.4573521712067539</v>
      </c>
      <c r="BT14" s="2" t="s">
        <v>395</v>
      </c>
      <c r="BW14" t="s">
        <v>394</v>
      </c>
      <c r="CR14" t="s">
        <v>1120</v>
      </c>
      <c r="CW14" s="95" t="s">
        <v>1152</v>
      </c>
      <c r="CX14" s="279">
        <v>2</v>
      </c>
      <c r="CY14" s="344">
        <f>CY15/(CX15^2)*CX14^2</f>
        <v>1.9753086419753087E-3</v>
      </c>
      <c r="DA14" s="95" t="s">
        <v>1152</v>
      </c>
      <c r="DB14" s="279">
        <f>IF($AC$7,CX14,CX14*3.6)</f>
        <v>2</v>
      </c>
      <c r="DC14" s="279">
        <f>CY14</f>
        <v>1.9753086419753087E-3</v>
      </c>
      <c r="DG14" s="47">
        <v>21</v>
      </c>
      <c r="DH14" s="50">
        <v>25</v>
      </c>
      <c r="DI14" s="25"/>
      <c r="DJ14" s="741">
        <f t="shared" si="4"/>
        <v>21</v>
      </c>
      <c r="DK14" s="48">
        <f t="shared" si="5"/>
        <v>21</v>
      </c>
    </row>
    <row r="15" spans="2:115" x14ac:dyDescent="0.15">
      <c r="B15" s="595">
        <f t="shared" si="6"/>
        <v>2012.5397182460767</v>
      </c>
      <c r="C15" s="304">
        <f>IF($C$6=1,'Laskenta tulopuoli C5'!AA9,'Laskenta tulopuoli C5'!AA9)</f>
        <v>300</v>
      </c>
      <c r="D15" s="463">
        <f>IF($C$6=1,'Laskenta tulopuoli C5'!AB9,'Laskenta tulopuoli C5'!AB9)</f>
        <v>559.03881062391019</v>
      </c>
      <c r="E15" s="305">
        <f>IF($C$6=1,'Laskenta tulopuoli C5'!AC9,'Laskenta tulopuoli C5'!AC9)</f>
        <v>150</v>
      </c>
      <c r="F15" s="463">
        <f>IF($C$6=1,'Laskenta tulopuoli C5'!AD9,'Laskenta tulopuoli C5'!AD9)</f>
        <v>525.8682520064591</v>
      </c>
      <c r="G15" s="305">
        <f>IF($C$6=1,'Laskenta tulopuoli C5'!AE9,'Laskenta tulopuoli C5'!AE9)</f>
        <v>130</v>
      </c>
      <c r="H15" s="463">
        <f>IF($C$6=1,'Laskenta tulopuoli C5'!AF9,'Laskenta tulopuoli C5'!AF9)</f>
        <v>345.38106086358533</v>
      </c>
      <c r="I15" s="305">
        <f>IF($C$6=1,'Laskenta tulopuoli C5'!AG9,'Laskenta tulopuoli C5'!AG9)</f>
        <v>60</v>
      </c>
      <c r="J15" s="460">
        <f>IF($C$6=1,'Laskenta tulopuoli C5'!AH9,'Laskenta tulopuoli C5'!AH9)</f>
        <v>209.39421485538645</v>
      </c>
      <c r="M15" s="595">
        <f t="shared" si="7"/>
        <v>2105.5230022997694</v>
      </c>
      <c r="N15" s="304">
        <f>IF($C$6=1,'Laskenta poistopuoli C5'!AA9,'Laskenta poistopuoli 60'!AA9)</f>
        <v>300</v>
      </c>
      <c r="O15" s="463">
        <f>IF($C$6=1,'Laskenta poistopuoli C5'!AB9,'Laskenta poistopuoli 60'!AB9)</f>
        <v>584.86750063882482</v>
      </c>
      <c r="P15" s="305">
        <f>IF($C$6=1,'Laskenta poistopuoli C5'!AC9,'Laskenta poistopuoli 60'!AC9)</f>
        <v>150</v>
      </c>
      <c r="Q15" s="463">
        <f>IF($C$6=1,'Laskenta poistopuoli C5'!AD9,'Laskenta poistopuoli 60'!AD9)</f>
        <v>572.58309106524268</v>
      </c>
      <c r="R15" s="305">
        <f>IF($C$6=1,'Laskenta poistopuoli C5'!AE9,'Laskenta poistopuoli 60'!AE9)</f>
        <v>130</v>
      </c>
      <c r="S15" s="463">
        <f>IF($C$6=1,'Laskenta poistopuoli C5'!AF9,'Laskenta poistopuoli 60'!AF9)</f>
        <v>381.83535666879976</v>
      </c>
      <c r="T15" s="305">
        <f>IF($C$6=1,'Laskenta poistopuoli C5'!AG9,'Laskenta poistopuoli 60'!AG9)</f>
        <v>60</v>
      </c>
      <c r="U15" s="460">
        <f>IF($C$6=1,'Laskenta poistopuoli C5'!AH9,'Laskenta poistopuoli 60'!AH9)</f>
        <v>231.29830588165899</v>
      </c>
      <c r="W15" s="483">
        <v>4</v>
      </c>
      <c r="X15" s="483" t="s">
        <v>2079</v>
      </c>
      <c r="Y15" s="483">
        <v>1</v>
      </c>
      <c r="AC15" s="4">
        <f>IF($AC$7,'C-series'!E42*3.6,'C-series'!E42/3.6)</f>
        <v>1620</v>
      </c>
      <c r="AD15" s="4">
        <f>IF($AC$7,'C-series'!G42*3.6,'C-series'!G42/3.6)</f>
        <v>1620</v>
      </c>
      <c r="AI15" s="304">
        <f t="shared" si="8"/>
        <v>300</v>
      </c>
      <c r="AJ15" s="463">
        <f t="shared" si="9"/>
        <v>559.03881062391019</v>
      </c>
      <c r="AK15" s="305">
        <f t="shared" si="0"/>
        <v>150</v>
      </c>
      <c r="AL15" s="463">
        <f t="shared" si="9"/>
        <v>525.8682520064591</v>
      </c>
      <c r="AM15" s="305">
        <f t="shared" si="0"/>
        <v>130</v>
      </c>
      <c r="AN15" s="463">
        <f t="shared" si="9"/>
        <v>345.38106086358533</v>
      </c>
      <c r="AO15" s="305">
        <f t="shared" si="0"/>
        <v>60</v>
      </c>
      <c r="AP15" s="460">
        <f t="shared" si="9"/>
        <v>209.39421485538645</v>
      </c>
      <c r="AR15" s="304">
        <f t="shared" si="10"/>
        <v>300</v>
      </c>
      <c r="AS15" s="463">
        <f t="shared" si="11"/>
        <v>584.86750063882482</v>
      </c>
      <c r="AT15" s="305">
        <f t="shared" si="1"/>
        <v>150</v>
      </c>
      <c r="AU15" s="463">
        <f t="shared" si="11"/>
        <v>572.58309106524268</v>
      </c>
      <c r="AV15" s="305">
        <f t="shared" si="1"/>
        <v>130</v>
      </c>
      <c r="AW15" s="463">
        <f t="shared" si="11"/>
        <v>381.83535666879976</v>
      </c>
      <c r="AX15" s="305">
        <f t="shared" si="1"/>
        <v>60</v>
      </c>
      <c r="AY15" s="460">
        <f t="shared" si="11"/>
        <v>231.29830588165899</v>
      </c>
      <c r="BB15" s="91" t="str">
        <f t="shared" si="13"/>
        <v xml:space="preserve"> ** C series future version **</v>
      </c>
      <c r="BC15" s="271">
        <f>BD25</f>
        <v>0</v>
      </c>
      <c r="BD15" s="271">
        <f t="shared" ref="BD15:BN17" si="14">BE25</f>
        <v>0</v>
      </c>
      <c r="BE15" s="271">
        <f t="shared" si="14"/>
        <v>0</v>
      </c>
      <c r="BF15" s="271">
        <f t="shared" si="14"/>
        <v>0</v>
      </c>
      <c r="BG15" s="271">
        <f t="shared" si="14"/>
        <v>0</v>
      </c>
      <c r="BH15" s="271">
        <f t="shared" si="14"/>
        <v>0</v>
      </c>
      <c r="BI15" s="271">
        <f t="shared" si="14"/>
        <v>0</v>
      </c>
      <c r="BJ15" s="271">
        <f t="shared" si="14"/>
        <v>0</v>
      </c>
      <c r="BK15" s="271">
        <f t="array" ref="BK15">10*LOG10(SUM(10^(BC15:BJ15/10)))</f>
        <v>9.0308998699194358</v>
      </c>
      <c r="BL15" s="271">
        <f t="array" ref="BL15">10*LOG10(SUM(10^((BC15:BJ15+BC9:BJ9)/10)))</f>
        <v>6.9871314811976735</v>
      </c>
      <c r="BM15" s="271">
        <f>BL15+10*LOG10(4/10)</f>
        <v>3.0077313944772976</v>
      </c>
      <c r="BN15" s="271">
        <f>BL15+10*LOG10(4/2.5)</f>
        <v>9.0283313077569218</v>
      </c>
      <c r="BO15" s="272" t="s">
        <v>358</v>
      </c>
      <c r="BT15" t="b">
        <v>0</v>
      </c>
      <c r="BW15" t="str" cm="1">
        <f t="array" ref="BW15">CONCATENATE(INDEX(KirjastoC!D4:K125,37,KirjastoC!B4),"*")</f>
        <v>Keittiöohitus*</v>
      </c>
      <c r="BY15" t="str" cm="1">
        <f t="array" ref="BY15">INDEX(KirjastoC!D4:K135,129,KirjastoC!B4)</f>
        <v>* Huom. keittiöohitusta käytettäessä kokonaispoistoilmavirta syötettyä mitoitusarvoa suurempi</v>
      </c>
      <c r="CR15" t="s">
        <v>7</v>
      </c>
      <c r="CS15" t="s">
        <v>8</v>
      </c>
      <c r="CW15" s="96" t="s">
        <v>1150</v>
      </c>
      <c r="CX15" s="279">
        <f>'C-series'!G33</f>
        <v>450</v>
      </c>
      <c r="CY15" s="344">
        <f>'C-series'!G44</f>
        <v>100</v>
      </c>
      <c r="DA15" s="96" t="s">
        <v>1150</v>
      </c>
      <c r="DB15" s="279">
        <f t="shared" ref="DB15:DB16" si="15">IF($AC$7,CX15,CX15*3.6)</f>
        <v>450</v>
      </c>
      <c r="DC15" s="279">
        <f t="shared" ref="DC15:DC16" si="16">CY15</f>
        <v>100</v>
      </c>
    </row>
    <row r="16" spans="2:115" x14ac:dyDescent="0.15">
      <c r="B16" s="595">
        <f t="shared" si="6"/>
        <v>1876.7589565437756</v>
      </c>
      <c r="C16" s="304">
        <f>IF($C$6=1,'Laskenta tulopuoli C5'!AA10,'Laskenta tulopuoli C5'!AA10)</f>
        <v>400</v>
      </c>
      <c r="D16" s="463">
        <f>IF($C$6=1,'Laskenta tulopuoli C5'!AB10,'Laskenta tulopuoli C5'!AB10)</f>
        <v>521.32193237327101</v>
      </c>
      <c r="E16" s="305">
        <f>IF($C$6=1,'Laskenta tulopuoli C5'!AC10,'Laskenta tulopuoli C5'!AC10)</f>
        <v>230</v>
      </c>
      <c r="F16" s="463">
        <f>IF($C$6=1,'Laskenta tulopuoli C5'!AD10,'Laskenta tulopuoli C5'!AD10)</f>
        <v>488.08981935508075</v>
      </c>
      <c r="G16" s="305">
        <f>IF($C$6=1,'Laskenta tulopuoli C5'!AE10,'Laskenta tulopuoli C5'!AE10)</f>
        <v>170</v>
      </c>
      <c r="H16" s="463">
        <f>IF($C$6=1,'Laskenta tulopuoli C5'!AF10,'Laskenta tulopuoli C5'!AF10)</f>
        <v>317.91195418861821</v>
      </c>
      <c r="I16" s="305">
        <f>IF($C$6=1,'Laskenta tulopuoli C5'!AG10,'Laskenta tulopuoli C5'!AG10)</f>
        <v>160</v>
      </c>
      <c r="J16" s="460">
        <f>IF($C$6=1,'Laskenta tulopuoli C5'!AH10,'Laskenta tulopuoli C5'!AH10)</f>
        <v>82.992893577309133</v>
      </c>
      <c r="M16" s="595">
        <f t="shared" si="7"/>
        <v>1940.9486505263508</v>
      </c>
      <c r="N16" s="304">
        <f>IF($C$6=1,'Laskenta poistopuoli C5'!AA10,'Laskenta poistopuoli 60'!AA10)</f>
        <v>400</v>
      </c>
      <c r="O16" s="463">
        <f>IF($C$6=1,'Laskenta poistopuoli C5'!AB10,'Laskenta poistopuoli 60'!AB10)</f>
        <v>539.1524029239863</v>
      </c>
      <c r="P16" s="305">
        <f>IF($C$6=1,'Laskenta poistopuoli C5'!AC10,'Laskenta poistopuoli 60'!AC10)</f>
        <v>170</v>
      </c>
      <c r="Q16" s="463">
        <f>IF($C$6=1,'Laskenta poistopuoli C5'!AD10,'Laskenta poistopuoli 60'!AD10)</f>
        <v>562.48496374942363</v>
      </c>
      <c r="R16" s="305">
        <f>IF($C$6=1,'Laskenta poistopuoli C5'!AE10,'Laskenta poistopuoli 60'!AE10)</f>
        <v>170</v>
      </c>
      <c r="S16" s="463">
        <f>IF($C$6=1,'Laskenta poistopuoli C5'!AF10,'Laskenta poistopuoli 60'!AF10)</f>
        <v>352.21848586327883</v>
      </c>
      <c r="T16" s="305">
        <f>IF($C$6=1,'Laskenta poistopuoli C5'!AG10,'Laskenta poistopuoli 60'!AG10)</f>
        <v>160</v>
      </c>
      <c r="U16" s="460">
        <f>IF($C$6=1,'Laskenta poistopuoli C5'!AH10,'Laskenta poistopuoli 60'!AH10)</f>
        <v>95.104674324430036</v>
      </c>
      <c r="W16" s="483">
        <v>5</v>
      </c>
      <c r="X16" s="483" t="s">
        <v>2079</v>
      </c>
      <c r="Y16" s="483">
        <v>1</v>
      </c>
      <c r="AI16" s="304">
        <f t="shared" si="8"/>
        <v>400</v>
      </c>
      <c r="AJ16" s="463">
        <f t="shared" si="9"/>
        <v>521.32193237327101</v>
      </c>
      <c r="AK16" s="305">
        <f t="shared" si="0"/>
        <v>230</v>
      </c>
      <c r="AL16" s="463">
        <f t="shared" si="9"/>
        <v>488.08981935508075</v>
      </c>
      <c r="AM16" s="305">
        <f t="shared" si="0"/>
        <v>170</v>
      </c>
      <c r="AN16" s="463">
        <f t="shared" si="9"/>
        <v>317.91195418861821</v>
      </c>
      <c r="AO16" s="305">
        <f t="shared" si="0"/>
        <v>160</v>
      </c>
      <c r="AP16" s="460">
        <f t="shared" si="9"/>
        <v>82.992893577309133</v>
      </c>
      <c r="AR16" s="304">
        <f t="shared" si="10"/>
        <v>400</v>
      </c>
      <c r="AS16" s="463">
        <f t="shared" si="11"/>
        <v>539.1524029239863</v>
      </c>
      <c r="AT16" s="305">
        <f t="shared" si="1"/>
        <v>170</v>
      </c>
      <c r="AU16" s="463">
        <f t="shared" si="11"/>
        <v>562.48496374942363</v>
      </c>
      <c r="AV16" s="305">
        <f t="shared" si="1"/>
        <v>170</v>
      </c>
      <c r="AW16" s="463">
        <f t="shared" si="11"/>
        <v>352.21848586327883</v>
      </c>
      <c r="AX16" s="305">
        <f t="shared" si="1"/>
        <v>160</v>
      </c>
      <c r="AY16" s="460">
        <f t="shared" si="11"/>
        <v>95.104674324430036</v>
      </c>
      <c r="BB16" s="129" t="s">
        <v>561</v>
      </c>
      <c r="BC16" s="299">
        <f>BD26</f>
        <v>0</v>
      </c>
      <c r="BD16" s="299">
        <f t="shared" si="14"/>
        <v>0</v>
      </c>
      <c r="BE16" s="299">
        <f t="shared" si="14"/>
        <v>0</v>
      </c>
      <c r="BF16" s="299">
        <f t="shared" si="14"/>
        <v>0</v>
      </c>
      <c r="BG16" s="299">
        <f t="shared" si="14"/>
        <v>0</v>
      </c>
      <c r="BH16" s="299">
        <f t="shared" si="14"/>
        <v>0</v>
      </c>
      <c r="BI16" s="299">
        <f t="shared" si="14"/>
        <v>0</v>
      </c>
      <c r="BJ16" s="299">
        <f t="shared" si="14"/>
        <v>0</v>
      </c>
      <c r="BK16" s="299">
        <f t="shared" si="14"/>
        <v>0</v>
      </c>
      <c r="BL16" s="299">
        <f t="shared" si="14"/>
        <v>0</v>
      </c>
      <c r="BM16" s="299">
        <f t="shared" si="14"/>
        <v>0</v>
      </c>
      <c r="BN16" s="299">
        <f t="shared" si="14"/>
        <v>0</v>
      </c>
      <c r="BO16" s="286" t="s">
        <v>577</v>
      </c>
      <c r="BW16" t="str" cm="1">
        <f t="array" ref="BW16">INDEX(KirjastoC!D4:K125,37,KirjastoC!B4)</f>
        <v>Keittiöohitus</v>
      </c>
      <c r="BY16" t="str" cm="1">
        <f t="array" ref="BY16">CONCATENATE("* ",INDEX(KirjastoC!D4:K125,8,KirjastoC!B4))</f>
        <v>* Ei käytettävissä tässä mallissa</v>
      </c>
      <c r="CR16" s="609">
        <f>(1+CR11)*'C-series'!E33</f>
        <v>517.5</v>
      </c>
      <c r="CS16" s="609">
        <f>(1+CR11)*'C-series'!G33</f>
        <v>517.5</v>
      </c>
      <c r="CT16" t="s">
        <v>13</v>
      </c>
      <c r="CW16" s="95" t="s">
        <v>1151</v>
      </c>
      <c r="CX16" s="279">
        <f>CS16</f>
        <v>517.5</v>
      </c>
      <c r="CY16" s="279">
        <f>CS17</f>
        <v>132.25</v>
      </c>
      <c r="DA16" s="95" t="s">
        <v>1151</v>
      </c>
      <c r="DB16" s="279">
        <f t="shared" si="15"/>
        <v>517.5</v>
      </c>
      <c r="DC16" s="279">
        <f t="shared" si="16"/>
        <v>132.25</v>
      </c>
    </row>
    <row r="17" spans="1:118" x14ac:dyDescent="0.15">
      <c r="B17" s="595">
        <f t="shared" si="6"/>
        <v>1733.5130196968951</v>
      </c>
      <c r="C17" s="304">
        <f>IF($C$6=1,'Laskenta tulopuoli C5'!AA11,'Laskenta tulopuoli C5'!AA11)</f>
        <v>500</v>
      </c>
      <c r="D17" s="463">
        <f>IF($C$6=1,'Laskenta tulopuoli C5'!AB11,'Laskenta tulopuoli C5'!AB11)</f>
        <v>481.53139436024861</v>
      </c>
      <c r="E17" s="305">
        <f>IF($C$6=1,'Laskenta tulopuoli C5'!AC11,'Laskenta tulopuoli C5'!AC11)</f>
        <v>320</v>
      </c>
      <c r="F17" s="463">
        <f>IF($C$6=1,'Laskenta tulopuoli C5'!AD11,'Laskenta tulopuoli C5'!AD11)</f>
        <v>442.46956587231512</v>
      </c>
      <c r="G17" s="305">
        <f>IF($C$6=1,'Laskenta tulopuoli C5'!AE11,'Laskenta tulopuoli C5'!AE11)</f>
        <v>320</v>
      </c>
      <c r="H17" s="463">
        <f>IF($C$6=1,'Laskenta tulopuoli C5'!AF11,'Laskenta tulopuoli C5'!AF11)</f>
        <v>190.64733408241827</v>
      </c>
      <c r="I17" s="305"/>
      <c r="J17" s="460"/>
      <c r="M17" s="595">
        <f t="shared" si="7"/>
        <v>1771.4636152285163</v>
      </c>
      <c r="N17" s="304">
        <f>IF($C$6=1,'Laskenta poistopuoli C5'!AA11,'Laskenta poistopuoli 60'!AA11)</f>
        <v>500</v>
      </c>
      <c r="O17" s="463">
        <f>IF($C$6=1,'Laskenta poistopuoli C5'!AB11,'Laskenta poistopuoli 60'!AB11)</f>
        <v>492.07322645236565</v>
      </c>
      <c r="P17" s="305">
        <f>IF($C$6=1,'Laskenta poistopuoli C5'!AC11,'Laskenta poistopuoli 60'!AC11)</f>
        <v>190</v>
      </c>
      <c r="Q17" s="463">
        <f>IF($C$6=1,'Laskenta poistopuoli C5'!AD11,'Laskenta poistopuoli 60'!AD11)</f>
        <v>552.24522324859129</v>
      </c>
      <c r="R17" s="305">
        <f>IF($C$6=1,'Laskenta poistopuoli C5'!AE11,'Laskenta poistopuoli 60'!AE11)</f>
        <v>330</v>
      </c>
      <c r="S17" s="463">
        <f>IF($C$6=1,'Laskenta poistopuoli C5'!AF11,'Laskenta poistopuoli 60'!AF11)</f>
        <v>206.76262174494295</v>
      </c>
      <c r="T17" s="305"/>
      <c r="U17" s="460"/>
      <c r="W17" s="483">
        <v>6</v>
      </c>
      <c r="X17" s="483" t="s">
        <v>2079</v>
      </c>
      <c r="Y17" s="483">
        <v>1</v>
      </c>
      <c r="AI17" s="304">
        <f t="shared" si="8"/>
        <v>500</v>
      </c>
      <c r="AJ17" s="463">
        <f t="shared" si="9"/>
        <v>481.53139436024861</v>
      </c>
      <c r="AK17" s="305">
        <f t="shared" si="0"/>
        <v>320</v>
      </c>
      <c r="AL17" s="463">
        <f t="shared" si="9"/>
        <v>442.46956587231512</v>
      </c>
      <c r="AM17" s="305">
        <f t="shared" si="0"/>
        <v>320</v>
      </c>
      <c r="AN17" s="463">
        <f t="shared" si="9"/>
        <v>190.64733408241827</v>
      </c>
      <c r="AO17" s="305"/>
      <c r="AP17" s="460"/>
      <c r="AR17" s="304">
        <f t="shared" si="10"/>
        <v>500</v>
      </c>
      <c r="AS17" s="463">
        <f t="shared" si="11"/>
        <v>492.07322645236565</v>
      </c>
      <c r="AT17" s="305">
        <f t="shared" si="1"/>
        <v>190</v>
      </c>
      <c r="AU17" s="463">
        <f t="shared" si="11"/>
        <v>552.24522324859129</v>
      </c>
      <c r="AV17" s="305">
        <f t="shared" si="1"/>
        <v>330</v>
      </c>
      <c r="AW17" s="463">
        <f t="shared" si="11"/>
        <v>206.76262174494295</v>
      </c>
      <c r="AX17" s="305"/>
      <c r="AY17" s="460"/>
      <c r="BB17" s="129" t="s">
        <v>560</v>
      </c>
      <c r="BC17" s="299">
        <f>BD27</f>
        <v>0</v>
      </c>
      <c r="BD17" s="299">
        <f t="shared" si="14"/>
        <v>0</v>
      </c>
      <c r="BE17" s="299">
        <f t="shared" si="14"/>
        <v>0</v>
      </c>
      <c r="BF17" s="299">
        <f t="shared" si="14"/>
        <v>0</v>
      </c>
      <c r="BG17" s="299">
        <f t="shared" si="14"/>
        <v>0</v>
      </c>
      <c r="BH17" s="299">
        <f t="shared" si="14"/>
        <v>0</v>
      </c>
      <c r="BI17" s="299">
        <f t="shared" si="14"/>
        <v>0</v>
      </c>
      <c r="BJ17" s="299">
        <f t="shared" si="14"/>
        <v>0</v>
      </c>
      <c r="BK17" s="299">
        <f t="shared" si="14"/>
        <v>0</v>
      </c>
      <c r="BL17" s="299">
        <f t="shared" si="14"/>
        <v>0</v>
      </c>
      <c r="BM17" s="299">
        <f t="shared" si="14"/>
        <v>0</v>
      </c>
      <c r="BN17" s="299">
        <f t="shared" si="14"/>
        <v>0</v>
      </c>
      <c r="BO17" s="286" t="s">
        <v>578</v>
      </c>
      <c r="BV17" s="2" t="s">
        <v>21</v>
      </c>
      <c r="BW17" s="2" t="str">
        <f>IF(BT15,BW15,BW16)</f>
        <v>Keittiöohitus</v>
      </c>
      <c r="BY17" s="2" t="str">
        <f>IF(BT15,IF(OR($C$6=3,$C$6=4,$C$6=5),BY16,BY15),"")</f>
        <v/>
      </c>
      <c r="CR17" s="609">
        <f>('C-series'!E44/'C-series'!E33^2)*TuloksetC!CR16^2</f>
        <v>119.02500000000001</v>
      </c>
      <c r="CS17" s="609">
        <f>('C-series'!G44/'C-series'!G33^2)*TuloksetC!CS16^2</f>
        <v>132.25</v>
      </c>
      <c r="CT17" t="s">
        <v>14</v>
      </c>
      <c r="DN17" t="s">
        <v>1333</v>
      </c>
    </row>
    <row r="18" spans="1:118" ht="14" thickBot="1" x14ac:dyDescent="0.2">
      <c r="B18" s="595">
        <f t="shared" si="6"/>
        <v>1703.8533435447255</v>
      </c>
      <c r="C18" s="306">
        <f>IF($C$6=1,'Laskenta tulopuoli C5'!AA12,'Laskenta tulopuoli C5'!AA12)</f>
        <v>520</v>
      </c>
      <c r="D18" s="464">
        <f>IF($C$6=1,'Laskenta tulopuoli C5'!AB12,'Laskenta tulopuoli C5'!AB12)</f>
        <v>473.2925954290904</v>
      </c>
      <c r="E18" s="307">
        <f>IF($C$6=1,'Laskenta tulopuoli C5'!AC12,'Laskenta tulopuoli C5'!AC12)</f>
        <v>510</v>
      </c>
      <c r="F18" s="464">
        <f>IF($C$6=1,'Laskenta tulopuoli C5'!AD12,'Laskenta tulopuoli C5'!AD12)</f>
        <v>330.67113176285858</v>
      </c>
      <c r="G18" s="307"/>
      <c r="H18" s="464"/>
      <c r="I18" s="307"/>
      <c r="J18" s="461"/>
      <c r="M18" s="595">
        <f t="shared" si="7"/>
        <v>1719.5925161801126</v>
      </c>
      <c r="N18" s="306">
        <f>IF($C$6=1,'Laskenta poistopuoli C5'!AA12,'Laskenta poistopuoli 60'!AA12)</f>
        <v>530</v>
      </c>
      <c r="O18" s="464">
        <f>IF($C$6=1,'Laskenta poistopuoli C5'!AB12,'Laskenta poistopuoli 60'!AB12)</f>
        <v>477.66458782780904</v>
      </c>
      <c r="P18" s="307">
        <f>IF($C$6=1,'Laskenta poistopuoli C5'!AC12,'Laskenta poistopuoli 60'!AC12)</f>
        <v>510</v>
      </c>
      <c r="Q18" s="464">
        <f>IF($C$6=1,'Laskenta poistopuoli C5'!AD12,'Laskenta poistopuoli 60'!AD12)</f>
        <v>362.1499176804237</v>
      </c>
      <c r="R18" s="307"/>
      <c r="S18" s="464"/>
      <c r="T18" s="307"/>
      <c r="U18" s="461"/>
      <c r="AI18" s="306">
        <f t="shared" si="8"/>
        <v>520</v>
      </c>
      <c r="AJ18" s="464">
        <f t="shared" si="9"/>
        <v>473.2925954290904</v>
      </c>
      <c r="AK18" s="307">
        <f t="shared" si="0"/>
        <v>510</v>
      </c>
      <c r="AL18" s="464">
        <f t="shared" si="9"/>
        <v>330.67113176285858</v>
      </c>
      <c r="AM18" s="307"/>
      <c r="AN18" s="464"/>
      <c r="AO18" s="307"/>
      <c r="AP18" s="461"/>
      <c r="AR18" s="306">
        <f t="shared" si="10"/>
        <v>530</v>
      </c>
      <c r="AS18" s="464">
        <f t="shared" si="11"/>
        <v>477.66458782780904</v>
      </c>
      <c r="AT18" s="307">
        <f t="shared" si="1"/>
        <v>510</v>
      </c>
      <c r="AU18" s="464">
        <f t="shared" si="11"/>
        <v>362.1499176804237</v>
      </c>
      <c r="AV18" s="307"/>
      <c r="AW18" s="464"/>
      <c r="AX18" s="307"/>
      <c r="AY18" s="461"/>
      <c r="BB18" s="129" t="s">
        <v>585</v>
      </c>
      <c r="BC18" s="80">
        <f>BD28-BD$8</f>
        <v>-8</v>
      </c>
      <c r="BD18" s="80">
        <f t="shared" ref="BD18:BJ18" si="17">BE28-BE$8</f>
        <v>-3</v>
      </c>
      <c r="BE18" s="80">
        <f t="shared" si="17"/>
        <v>-5</v>
      </c>
      <c r="BF18" s="80">
        <f t="shared" si="17"/>
        <v>-4</v>
      </c>
      <c r="BG18" s="80">
        <f t="shared" si="17"/>
        <v>-3</v>
      </c>
      <c r="BH18" s="80">
        <f t="shared" si="17"/>
        <v>-3</v>
      </c>
      <c r="BI18" s="80">
        <f t="shared" si="17"/>
        <v>-5</v>
      </c>
      <c r="BJ18" s="80">
        <f t="shared" si="17"/>
        <v>-3</v>
      </c>
      <c r="BK18" s="80">
        <f t="array" ref="BK18">10*LOG10(SUM(10^(BC18:BJ18/10)))</f>
        <v>5.0430784660028145</v>
      </c>
      <c r="BL18" s="80">
        <f t="array" ref="BL18">10*LOG10(SUM(10^((BC18:BJ18+BC9:BJ9)/10)))</f>
        <v>3.4161523446475064</v>
      </c>
      <c r="BM18" s="80">
        <f>BL18+10*LOG10(4/10)</f>
        <v>-0.56324774207286943</v>
      </c>
      <c r="BN18" s="80">
        <f>BL18+10*LOG10(4/2.5)</f>
        <v>5.4573521712067539</v>
      </c>
      <c r="CM18" t="s">
        <v>513</v>
      </c>
      <c r="DN18" t="b">
        <f>D40</f>
        <v>1</v>
      </c>
    </row>
    <row r="19" spans="1:118" x14ac:dyDescent="0.15"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CM19" t="b">
        <f>D40</f>
        <v>1</v>
      </c>
      <c r="CR19" s="4">
        <f>IF($AC$7,CR16,CR16*3.6)</f>
        <v>517.5</v>
      </c>
      <c r="CS19" s="4">
        <f>IF($AC$7,CS16,CS16*3.6)</f>
        <v>517.5</v>
      </c>
      <c r="CT19" s="4" t="str">
        <f>IF(AC7,"dm³/s","m³/h")</f>
        <v>dm³/s</v>
      </c>
    </row>
    <row r="20" spans="1:118" x14ac:dyDescent="0.15">
      <c r="O20" s="420"/>
      <c r="P20" t="s">
        <v>118</v>
      </c>
      <c r="BT20" s="2" t="s">
        <v>390</v>
      </c>
      <c r="CR20" s="5">
        <f>IF($AC$7,CR16*3.6,CR16)</f>
        <v>1863</v>
      </c>
      <c r="CS20" s="5">
        <f>IF($AC$7,CS16*3.6,CS16)</f>
        <v>1863</v>
      </c>
      <c r="CT20" s="4" t="str">
        <f t="shared" ref="CT20" si="18">IF(AC8,"dm³/s","m³/h")</f>
        <v>m³/h</v>
      </c>
      <c r="CV20" s="2" t="s">
        <v>1111</v>
      </c>
      <c r="CX20" s="2" t="s">
        <v>117</v>
      </c>
      <c r="CZ20" s="2" t="s">
        <v>79</v>
      </c>
    </row>
    <row r="21" spans="1:118" x14ac:dyDescent="0.15">
      <c r="D21" s="2" t="s">
        <v>44</v>
      </c>
      <c r="G21" s="2" t="s">
        <v>58</v>
      </c>
      <c r="J21" s="2" t="s">
        <v>73</v>
      </c>
      <c r="O21" s="2" t="s">
        <v>187</v>
      </c>
      <c r="P21" s="2" t="s">
        <v>29</v>
      </c>
      <c r="Z21" s="2" t="s">
        <v>26</v>
      </c>
      <c r="AJ21" s="2" t="s">
        <v>55</v>
      </c>
      <c r="AT21" s="2" t="s">
        <v>56</v>
      </c>
      <c r="BD21" s="2" t="s">
        <v>96</v>
      </c>
      <c r="BT21" s="104">
        <v>63</v>
      </c>
      <c r="BU21" s="104">
        <v>125</v>
      </c>
      <c r="BV21" s="104">
        <v>250</v>
      </c>
      <c r="BW21" s="104">
        <v>500</v>
      </c>
      <c r="BX21" s="104">
        <v>1000</v>
      </c>
      <c r="BY21" s="104">
        <v>2000</v>
      </c>
      <c r="BZ21" s="104">
        <v>4000</v>
      </c>
      <c r="CA21" s="104">
        <v>8000</v>
      </c>
      <c r="CB21" s="104" t="s">
        <v>70</v>
      </c>
      <c r="CC21" s="104" t="s">
        <v>27</v>
      </c>
      <c r="CI21" t="s">
        <v>530</v>
      </c>
      <c r="CJ21" t="s">
        <v>531</v>
      </c>
      <c r="CL21" s="2" t="s">
        <v>568</v>
      </c>
      <c r="CM21" s="2" t="s">
        <v>566</v>
      </c>
      <c r="CT21" s="4"/>
      <c r="CV21" s="4" t="s">
        <v>7</v>
      </c>
      <c r="CW21" s="4" t="s">
        <v>8</v>
      </c>
      <c r="CX21" s="4" t="s">
        <v>7</v>
      </c>
      <c r="CY21" s="4" t="s">
        <v>8</v>
      </c>
      <c r="CZ21" s="4" t="s">
        <v>7</v>
      </c>
      <c r="DA21" s="4" t="s">
        <v>8</v>
      </c>
      <c r="DG21" s="2" t="s">
        <v>1267</v>
      </c>
      <c r="DN21" t="s">
        <v>1274</v>
      </c>
    </row>
    <row r="22" spans="1:118" x14ac:dyDescent="0.15">
      <c r="D22" s="2" t="s">
        <v>117</v>
      </c>
      <c r="E22" s="2" t="s">
        <v>18</v>
      </c>
      <c r="F22" s="2" t="s">
        <v>54</v>
      </c>
      <c r="G22" s="2" t="s">
        <v>117</v>
      </c>
      <c r="H22" s="2" t="s">
        <v>18</v>
      </c>
      <c r="I22" s="2" t="s">
        <v>54</v>
      </c>
      <c r="J22" s="2" t="s">
        <v>54</v>
      </c>
      <c r="K22" s="2" t="s">
        <v>124</v>
      </c>
      <c r="L22" s="2" t="s">
        <v>75</v>
      </c>
      <c r="M22" s="2" t="s">
        <v>203</v>
      </c>
      <c r="N22" s="2" t="s">
        <v>202</v>
      </c>
      <c r="O22" s="2" t="s">
        <v>188</v>
      </c>
      <c r="P22" s="104">
        <v>63</v>
      </c>
      <c r="Q22" s="104">
        <v>125</v>
      </c>
      <c r="R22" s="104">
        <v>250</v>
      </c>
      <c r="S22" s="104">
        <v>500</v>
      </c>
      <c r="T22" s="104">
        <v>1000</v>
      </c>
      <c r="U22" s="104">
        <v>2000</v>
      </c>
      <c r="V22" s="104">
        <v>4000</v>
      </c>
      <c r="W22" s="104">
        <v>8000</v>
      </c>
      <c r="X22" s="104" t="s">
        <v>70</v>
      </c>
      <c r="Y22" s="104" t="s">
        <v>27</v>
      </c>
      <c r="Z22" s="104">
        <v>63</v>
      </c>
      <c r="AA22" s="104">
        <v>125</v>
      </c>
      <c r="AB22" s="104">
        <v>250</v>
      </c>
      <c r="AC22" s="104">
        <v>500</v>
      </c>
      <c r="AD22" s="104">
        <v>1000</v>
      </c>
      <c r="AE22" s="104">
        <v>2000</v>
      </c>
      <c r="AF22" s="104">
        <v>4000</v>
      </c>
      <c r="AG22" s="104">
        <v>8000</v>
      </c>
      <c r="AH22" s="104" t="s">
        <v>70</v>
      </c>
      <c r="AI22" s="104" t="s">
        <v>27</v>
      </c>
      <c r="AJ22" s="104">
        <v>63</v>
      </c>
      <c r="AK22" s="104">
        <v>125</v>
      </c>
      <c r="AL22" s="104">
        <v>250</v>
      </c>
      <c r="AM22" s="104">
        <v>500</v>
      </c>
      <c r="AN22" s="104">
        <v>1000</v>
      </c>
      <c r="AO22" s="104">
        <v>2000</v>
      </c>
      <c r="AP22" s="104">
        <v>4000</v>
      </c>
      <c r="AQ22" s="104">
        <v>8000</v>
      </c>
      <c r="AR22" s="104" t="s">
        <v>70</v>
      </c>
      <c r="AS22" s="104" t="s">
        <v>27</v>
      </c>
      <c r="AT22" s="104">
        <v>63</v>
      </c>
      <c r="AU22" s="104">
        <v>125</v>
      </c>
      <c r="AV22" s="104">
        <v>250</v>
      </c>
      <c r="AW22" s="104">
        <v>500</v>
      </c>
      <c r="AX22" s="104">
        <v>1000</v>
      </c>
      <c r="AY22" s="104">
        <v>2000</v>
      </c>
      <c r="AZ22" s="104">
        <v>4000</v>
      </c>
      <c r="BA22" s="104">
        <v>8000</v>
      </c>
      <c r="BB22" s="104" t="s">
        <v>70</v>
      </c>
      <c r="BC22" s="104" t="s">
        <v>27</v>
      </c>
      <c r="BD22" s="104">
        <v>63</v>
      </c>
      <c r="BE22" s="104">
        <v>125</v>
      </c>
      <c r="BF22" s="104">
        <v>250</v>
      </c>
      <c r="BG22" s="104">
        <v>500</v>
      </c>
      <c r="BH22" s="104">
        <v>1000</v>
      </c>
      <c r="BI22" s="104">
        <v>2000</v>
      </c>
      <c r="BJ22" s="104">
        <v>4000</v>
      </c>
      <c r="BK22" s="104">
        <v>8000</v>
      </c>
      <c r="BL22" s="104" t="s">
        <v>70</v>
      </c>
      <c r="BM22" s="104" t="s">
        <v>27</v>
      </c>
      <c r="BN22" t="s">
        <v>97</v>
      </c>
      <c r="BO22" t="s">
        <v>98</v>
      </c>
      <c r="BS22" t="s">
        <v>115</v>
      </c>
      <c r="BT22" s="80" t="e">
        <f>'Laskenta keittiöohitus'!C32</f>
        <v>#VALUE!</v>
      </c>
      <c r="BU22" s="80" t="e">
        <f>'Laskenta keittiöohitus'!D32</f>
        <v>#VALUE!</v>
      </c>
      <c r="BV22" s="80" t="e">
        <f>'Laskenta keittiöohitus'!E32</f>
        <v>#VALUE!</v>
      </c>
      <c r="BW22" s="80" t="e">
        <f>'Laskenta keittiöohitus'!F32</f>
        <v>#VALUE!</v>
      </c>
      <c r="BX22" s="80" t="e">
        <f>'Laskenta keittiöohitus'!G32</f>
        <v>#VALUE!</v>
      </c>
      <c r="BY22" s="80" t="e">
        <f>'Laskenta keittiöohitus'!H32</f>
        <v>#VALUE!</v>
      </c>
      <c r="BZ22" s="80" t="e">
        <f>'Laskenta keittiöohitus'!I32</f>
        <v>#VALUE!</v>
      </c>
      <c r="CA22" s="80" t="e">
        <f>'Laskenta keittiöohitus'!J32</f>
        <v>#VALUE!</v>
      </c>
      <c r="CB22" s="80" t="e">
        <f>'Laskenta keittiöohitus'!K32</f>
        <v>#VALUE!</v>
      </c>
      <c r="CC22" s="80" t="e">
        <f>'Laskenta keittiöohitus'!D27</f>
        <v>#VALUE!</v>
      </c>
      <c r="CI22" s="866">
        <f>'Laskenta tulopuoli C5'!AN18</f>
        <v>1027.1845116083973</v>
      </c>
      <c r="CJ22" s="866">
        <f>'Laskenta tulopuoli C5'!AN14</f>
        <v>1241</v>
      </c>
      <c r="CL22" s="95" t="e">
        <f>'C-selection'!#REF!</f>
        <v>#REF!</v>
      </c>
      <c r="CM22" s="95" t="s">
        <v>2080</v>
      </c>
      <c r="CR22" s="95" t="str">
        <f t="shared" ref="CR22:CR27" si="19">C23</f>
        <v>C5</v>
      </c>
      <c r="CV22" s="865">
        <f>'Laskenta tulopuoli C5'!AO34</f>
        <v>0.35002795896513539</v>
      </c>
      <c r="CW22" s="865">
        <f>'Laskenta poistopuoli C5'!AO34</f>
        <v>0.4018934063240962</v>
      </c>
      <c r="CX22" s="344" t="b">
        <f>'Laskenta tulopuoli C5'!AR34</f>
        <v>1</v>
      </c>
      <c r="CY22" s="344" t="b">
        <f>'Laskenta poistopuoli C5'!AR34</f>
        <v>1</v>
      </c>
      <c r="CZ22" s="609">
        <f>'Laskenta tulopuoli C5'!AR36</f>
        <v>7.7637920605587816</v>
      </c>
      <c r="DA22" s="609">
        <f>'Laskenta poistopuoli C5'!AR36</f>
        <v>7.3469420172517221</v>
      </c>
      <c r="DK22" s="4" t="s">
        <v>1256</v>
      </c>
      <c r="DL22" s="4" t="s">
        <v>1259</v>
      </c>
      <c r="DN22" t="s">
        <v>1275</v>
      </c>
    </row>
    <row r="23" spans="1:118" x14ac:dyDescent="0.15">
      <c r="A23" s="483">
        <v>1</v>
      </c>
      <c r="C23" s="95" t="str">
        <f>X12</f>
        <v>C5</v>
      </c>
      <c r="D23" s="95" t="b">
        <f>'Laskenta tulopuoli C5'!W10</f>
        <v>1</v>
      </c>
      <c r="E23" s="609">
        <f>'Laskenta tulopuoli C5'!W9</f>
        <v>6.8428828118574261</v>
      </c>
      <c r="F23" s="609">
        <f>'Laskenta tulopuoli C5'!W14</f>
        <v>315.55597452041849</v>
      </c>
      <c r="G23" s="95" t="b">
        <f>'Laskenta poistopuoli C5'!W10</f>
        <v>1</v>
      </c>
      <c r="H23" s="609">
        <f>'Laskenta poistopuoli C5'!W9</f>
        <v>6.4730648967108504</v>
      </c>
      <c r="I23" s="609">
        <f>'Laskenta poistopuoli C5'!W14</f>
        <v>285.04718273449032</v>
      </c>
      <c r="J23" s="675">
        <v>4.4000000000000004</v>
      </c>
      <c r="K23" s="609">
        <f>F23+I23+J23</f>
        <v>605.00315725490884</v>
      </c>
      <c r="L23" s="645">
        <f>K23/MAX('C-series'!$E$33,'C-series'!$G$33)</f>
        <v>1.3444514605664641</v>
      </c>
      <c r="M23" s="675">
        <f>550*0.7</f>
        <v>385</v>
      </c>
      <c r="N23" s="867">
        <v>0.99833518954912692</v>
      </c>
      <c r="O23" s="1071">
        <v>0.85</v>
      </c>
      <c r="P23" s="279">
        <f>'Laskenta tulopuoli C5'!AF$44</f>
        <v>71.091859588864153</v>
      </c>
      <c r="Q23" s="279">
        <f>'Laskenta tulopuoli C5'!AG$44</f>
        <v>71.091859588864153</v>
      </c>
      <c r="R23" s="279">
        <f>'Laskenta tulopuoli C5'!AH$44</f>
        <v>73.091859588864153</v>
      </c>
      <c r="S23" s="279">
        <f>'Laskenta tulopuoli C5'!AI$44</f>
        <v>63.091859588864153</v>
      </c>
      <c r="T23" s="279">
        <f>'Laskenta tulopuoli C5'!AJ$44</f>
        <v>63.091859588864153</v>
      </c>
      <c r="U23" s="279">
        <f>'Laskenta tulopuoli C5'!AK$44</f>
        <v>61.091859588864153</v>
      </c>
      <c r="V23" s="279">
        <f>'Laskenta tulopuoli C5'!AL$44</f>
        <v>54.091859588864153</v>
      </c>
      <c r="W23" s="279">
        <f>'Laskenta tulopuoli C5'!AM$44</f>
        <v>55.091859588864153</v>
      </c>
      <c r="X23" s="279">
        <f>'Laskenta tulopuoli C5'!AN$44</f>
        <v>77.163130805820046</v>
      </c>
      <c r="Y23" s="646">
        <f>'Laskenta tulopuoli C5'!$W$6</f>
        <v>69.091859588864153</v>
      </c>
      <c r="Z23" s="279">
        <f>'Laskenta tulopuoli C5'!$AF$43</f>
        <v>61.650294986973819</v>
      </c>
      <c r="AA23" s="279">
        <f>'Laskenta tulopuoli C5'!$AG$43</f>
        <v>59.650294986973819</v>
      </c>
      <c r="AB23" s="279">
        <f>'Laskenta tulopuoli C5'!$AH$43</f>
        <v>53.650294986973819</v>
      </c>
      <c r="AC23" s="279">
        <f>'Laskenta tulopuoli C5'!$AI$43</f>
        <v>49.650294986973819</v>
      </c>
      <c r="AD23" s="279">
        <f>'Laskenta tulopuoli C5'!$AJ$43</f>
        <v>41.650294986973819</v>
      </c>
      <c r="AE23" s="279">
        <f>'Laskenta tulopuoli C5'!$AK$43</f>
        <v>36.650294986973819</v>
      </c>
      <c r="AF23" s="279">
        <f>'Laskenta tulopuoli C5'!$AL$43</f>
        <v>30.650294986973819</v>
      </c>
      <c r="AG23" s="279">
        <f>'Laskenta tulopuoli C5'!$AM$43</f>
        <v>27.650294986973819</v>
      </c>
      <c r="AH23" s="279">
        <f>'Laskenta tulopuoli C5'!$AN$43</f>
        <v>64.361498823925174</v>
      </c>
      <c r="AI23" s="646">
        <f>'Laskenta tulopuoli C5'!$W$5</f>
        <v>50.650294986973819</v>
      </c>
      <c r="AJ23" s="279">
        <f>'Laskenta poistopuoli C5'!AF$43</f>
        <v>58.481771481749483</v>
      </c>
      <c r="AK23" s="279">
        <f>'Laskenta poistopuoli C5'!AG$43</f>
        <v>58.481771481749483</v>
      </c>
      <c r="AL23" s="279">
        <f>'Laskenta poistopuoli C5'!AH$43</f>
        <v>56.481771481749483</v>
      </c>
      <c r="AM23" s="279">
        <f>'Laskenta poistopuoli C5'!AI$43</f>
        <v>50.481771481749483</v>
      </c>
      <c r="AN23" s="279">
        <f>'Laskenta poistopuoli C5'!AJ$43</f>
        <v>45.481771481749483</v>
      </c>
      <c r="AO23" s="279">
        <f>'Laskenta poistopuoli C5'!AK$43</f>
        <v>40.481771481749483</v>
      </c>
      <c r="AP23" s="279">
        <f>'Laskenta poistopuoli C5'!AL$43</f>
        <v>34.481771481749483</v>
      </c>
      <c r="AQ23" s="279">
        <f>'Laskenta poistopuoli C5'!AM$43</f>
        <v>27.481771481749483</v>
      </c>
      <c r="AR23" s="279">
        <f>'Laskenta poistopuoli C5'!AN$43</f>
        <v>63.045719894026291</v>
      </c>
      <c r="AS23" s="646">
        <f>'Laskenta poistopuoli C5'!AO$43</f>
        <v>52.739398520919458</v>
      </c>
      <c r="AT23" s="279">
        <f>'Laskenta poistopuoli C5'!AF$44</f>
        <v>70.61187195005057</v>
      </c>
      <c r="AU23" s="279">
        <f>'Laskenta poistopuoli C5'!AG$44</f>
        <v>71.61187195005057</v>
      </c>
      <c r="AV23" s="279">
        <f>'Laskenta poistopuoli C5'!AH$44</f>
        <v>74.61187195005057</v>
      </c>
      <c r="AW23" s="279">
        <f>'Laskenta poistopuoli C5'!AI$44</f>
        <v>65.61187195005057</v>
      </c>
      <c r="AX23" s="279">
        <f>'Laskenta poistopuoli C5'!AJ$44</f>
        <v>64.61187195005057</v>
      </c>
      <c r="AY23" s="279">
        <f>'Laskenta poistopuoli C5'!AK$44</f>
        <v>62.61187195005057</v>
      </c>
      <c r="AZ23" s="279">
        <f>'Laskenta poistopuoli C5'!AL$44</f>
        <v>54.61187195005057</v>
      </c>
      <c r="BA23" s="279">
        <f>'Laskenta poistopuoli C5'!AM$44</f>
        <v>55.61187195005057</v>
      </c>
      <c r="BB23" s="279">
        <f>'Laskenta poistopuoli C5'!AN$44</f>
        <v>78.057507815457683</v>
      </c>
      <c r="BC23" s="646">
        <f>'Laskenta poistopuoli C5'!AO$44</f>
        <v>70.814170441247683</v>
      </c>
      <c r="BD23" s="279">
        <f>'Laskenta vaipan läpi C5'!L50</f>
        <v>56.10544869741544</v>
      </c>
      <c r="BE23" s="279">
        <f>'Laskenta vaipan läpi C5'!M50</f>
        <v>55.10544869741544</v>
      </c>
      <c r="BF23" s="279">
        <f>'Laskenta vaipan läpi C5'!N50</f>
        <v>50.10544869741544</v>
      </c>
      <c r="BG23" s="279">
        <f>'Laskenta vaipan läpi C5'!O50</f>
        <v>37.10544869741544</v>
      </c>
      <c r="BH23" s="279">
        <f>'Laskenta vaipan läpi C5'!P50</f>
        <v>34.10544869741544</v>
      </c>
      <c r="BI23" s="279">
        <f>'Laskenta vaipan läpi C5'!Q50</f>
        <v>33.10544869741544</v>
      </c>
      <c r="BJ23" s="279">
        <f>'Laskenta vaipan läpi C5'!R50</f>
        <v>24.10544869741544</v>
      </c>
      <c r="BK23" s="279">
        <f>'Laskenta vaipan läpi C5'!S50</f>
        <v>23.10544869741544</v>
      </c>
      <c r="BL23" s="279">
        <f>'Laskenta vaipan läpi C5'!T50</f>
        <v>59.266326313676807</v>
      </c>
      <c r="BM23" s="646">
        <f>'Laskenta vaipan läpi C5'!U50</f>
        <v>44.953200819997718</v>
      </c>
      <c r="BN23" s="279">
        <f>BM23+10*LOG10(4/10)</f>
        <v>40.973800733277344</v>
      </c>
      <c r="BO23" s="279">
        <f>BM23+10*LOG10(4/2.5)</f>
        <v>46.994400646556969</v>
      </c>
      <c r="BS23" t="s">
        <v>116</v>
      </c>
      <c r="BT23" s="80" t="e">
        <f>BT22</f>
        <v>#VALUE!</v>
      </c>
      <c r="BU23" s="80" t="e">
        <f t="shared" ref="BU23:CC23" si="20">BU22</f>
        <v>#VALUE!</v>
      </c>
      <c r="BV23" s="80" t="e">
        <f t="shared" si="20"/>
        <v>#VALUE!</v>
      </c>
      <c r="BW23" s="80" t="e">
        <f t="shared" si="20"/>
        <v>#VALUE!</v>
      </c>
      <c r="BX23" s="80" t="e">
        <f t="shared" si="20"/>
        <v>#VALUE!</v>
      </c>
      <c r="BY23" s="80" t="e">
        <f t="shared" si="20"/>
        <v>#VALUE!</v>
      </c>
      <c r="BZ23" s="80" t="e">
        <f t="shared" si="20"/>
        <v>#VALUE!</v>
      </c>
      <c r="CA23" s="80" t="e">
        <f t="shared" si="20"/>
        <v>#VALUE!</v>
      </c>
      <c r="CB23" s="80" t="e">
        <f t="shared" si="20"/>
        <v>#VALUE!</v>
      </c>
      <c r="CC23" s="80" t="e">
        <f t="shared" si="20"/>
        <v>#VALUE!</v>
      </c>
      <c r="CI23" s="866" t="s">
        <v>393</v>
      </c>
      <c r="CJ23" s="866" t="s">
        <v>393</v>
      </c>
      <c r="CL23" s="95" t="s">
        <v>2048</v>
      </c>
      <c r="CM23" s="95"/>
      <c r="CR23" s="95" t="str">
        <f t="shared" si="19"/>
        <v xml:space="preserve"> ** C series future version **</v>
      </c>
      <c r="CV23" s="865"/>
      <c r="CW23" s="865"/>
      <c r="CX23" s="344"/>
      <c r="CY23" s="344"/>
      <c r="CZ23" s="609"/>
      <c r="DA23" s="609"/>
      <c r="DG23" s="483">
        <v>1</v>
      </c>
      <c r="DI23" t="str">
        <f>X12</f>
        <v>C5</v>
      </c>
      <c r="DK23" s="619">
        <f>'Kojeet ja kennon hyötysuhde_C'!N4</f>
        <v>0.85299999999999998</v>
      </c>
      <c r="DL23" s="619">
        <f>'Kojeet ja kennon hyötysuhde_C'!O4</f>
        <v>0.81600000000000006</v>
      </c>
      <c r="DN23">
        <v>2000</v>
      </c>
    </row>
    <row r="24" spans="1:118" x14ac:dyDescent="0.15">
      <c r="A24" s="483">
        <v>2</v>
      </c>
      <c r="C24" s="95" t="str">
        <f t="shared" ref="C24:C28" si="21">X13</f>
        <v xml:space="preserve"> ** C series future version **</v>
      </c>
      <c r="D24" s="95"/>
      <c r="E24" s="609"/>
      <c r="F24" s="609"/>
      <c r="G24" s="95"/>
      <c r="H24" s="609"/>
      <c r="I24" s="609"/>
      <c r="J24" s="344"/>
      <c r="K24" s="609"/>
      <c r="L24" s="645"/>
      <c r="M24" s="344"/>
      <c r="N24" s="868"/>
      <c r="O24" s="279"/>
      <c r="P24" s="279"/>
      <c r="Q24" s="279"/>
      <c r="R24" s="279"/>
      <c r="S24" s="279"/>
      <c r="T24" s="279"/>
      <c r="U24" s="279"/>
      <c r="V24" s="279"/>
      <c r="W24" s="279"/>
      <c r="X24" s="279"/>
      <c r="Y24" s="646"/>
      <c r="Z24" s="279"/>
      <c r="AA24" s="279"/>
      <c r="AB24" s="279"/>
      <c r="AC24" s="279"/>
      <c r="AD24" s="279"/>
      <c r="AE24" s="279"/>
      <c r="AF24" s="279"/>
      <c r="AG24" s="279"/>
      <c r="AH24" s="279"/>
      <c r="AI24" s="646"/>
      <c r="AJ24" s="279"/>
      <c r="AK24" s="279"/>
      <c r="AL24" s="279"/>
      <c r="AM24" s="279"/>
      <c r="AN24" s="279"/>
      <c r="AO24" s="279"/>
      <c r="AP24" s="279"/>
      <c r="AQ24" s="279"/>
      <c r="AR24" s="279"/>
      <c r="AS24" s="646"/>
      <c r="AT24" s="279"/>
      <c r="AU24" s="279"/>
      <c r="AV24" s="279"/>
      <c r="AW24" s="279"/>
      <c r="AX24" s="279"/>
      <c r="AY24" s="279"/>
      <c r="AZ24" s="279"/>
      <c r="BA24" s="279"/>
      <c r="BB24" s="279"/>
      <c r="BC24" s="646"/>
      <c r="BD24" s="279"/>
      <c r="BE24" s="279"/>
      <c r="BF24" s="279"/>
      <c r="BG24" s="279"/>
      <c r="BH24" s="279"/>
      <c r="BI24" s="279"/>
      <c r="BJ24" s="279"/>
      <c r="BK24" s="279"/>
      <c r="BL24" s="279"/>
      <c r="BM24" s="646"/>
      <c r="BN24" s="279"/>
      <c r="BO24" s="279"/>
      <c r="BS24" t="s">
        <v>129</v>
      </c>
      <c r="BT24" s="4" t="s">
        <v>393</v>
      </c>
      <c r="BU24" s="4" t="s">
        <v>393</v>
      </c>
      <c r="BV24" s="4" t="s">
        <v>393</v>
      </c>
      <c r="BW24" s="4" t="s">
        <v>393</v>
      </c>
      <c r="BX24" s="4" t="s">
        <v>393</v>
      </c>
      <c r="BY24" s="4" t="s">
        <v>393</v>
      </c>
      <c r="BZ24" s="4" t="s">
        <v>393</v>
      </c>
      <c r="CA24" s="4" t="s">
        <v>393</v>
      </c>
      <c r="CB24" s="4" t="s">
        <v>393</v>
      </c>
      <c r="CC24" s="4" t="s">
        <v>393</v>
      </c>
      <c r="CI24" s="866" t="s">
        <v>393</v>
      </c>
      <c r="CJ24" s="866" t="s">
        <v>393</v>
      </c>
      <c r="CL24" s="95" t="s">
        <v>2048</v>
      </c>
      <c r="CM24" s="95"/>
      <c r="CR24" s="95" t="str">
        <f t="shared" si="19"/>
        <v xml:space="preserve"> ** C series future version **</v>
      </c>
      <c r="CV24" s="865"/>
      <c r="CW24" s="865"/>
      <c r="CX24" s="344"/>
      <c r="CY24" s="344"/>
      <c r="CZ24" s="609"/>
      <c r="DA24" s="609"/>
      <c r="DG24" s="483">
        <v>2</v>
      </c>
      <c r="DI24" t="str">
        <f t="shared" ref="DI24:DI28" si="22">X13</f>
        <v xml:space="preserve"> ** C series future version **</v>
      </c>
      <c r="DK24" s="619"/>
      <c r="DL24" s="619"/>
    </row>
    <row r="25" spans="1:118" x14ac:dyDescent="0.15">
      <c r="A25" s="483">
        <v>3</v>
      </c>
      <c r="C25" s="95" t="str">
        <f t="shared" si="21"/>
        <v xml:space="preserve"> ** C series future version **</v>
      </c>
      <c r="D25" s="344"/>
      <c r="E25" s="609"/>
      <c r="F25" s="609"/>
      <c r="G25" s="344"/>
      <c r="H25" s="609"/>
      <c r="I25" s="609"/>
      <c r="J25" s="344"/>
      <c r="K25" s="609"/>
      <c r="L25" s="645"/>
      <c r="M25" s="344"/>
      <c r="N25" s="868"/>
      <c r="O25" s="279"/>
      <c r="P25" s="279"/>
      <c r="Q25" s="279"/>
      <c r="R25" s="279"/>
      <c r="S25" s="279"/>
      <c r="T25" s="279"/>
      <c r="U25" s="279"/>
      <c r="V25" s="279"/>
      <c r="W25" s="279"/>
      <c r="X25" s="279"/>
      <c r="Y25" s="646"/>
      <c r="Z25" s="279"/>
      <c r="AA25" s="279"/>
      <c r="AB25" s="279"/>
      <c r="AC25" s="279"/>
      <c r="AD25" s="279"/>
      <c r="AE25" s="279"/>
      <c r="AF25" s="279"/>
      <c r="AG25" s="279"/>
      <c r="AH25" s="279"/>
      <c r="AI25" s="646"/>
      <c r="AJ25" s="279"/>
      <c r="AK25" s="279"/>
      <c r="AL25" s="279"/>
      <c r="AM25" s="279"/>
      <c r="AN25" s="279"/>
      <c r="AO25" s="279"/>
      <c r="AP25" s="279"/>
      <c r="AQ25" s="279"/>
      <c r="AR25" s="279"/>
      <c r="AS25" s="646"/>
      <c r="AT25" s="279"/>
      <c r="AU25" s="279"/>
      <c r="AV25" s="279"/>
      <c r="AW25" s="279"/>
      <c r="AX25" s="279"/>
      <c r="AY25" s="279"/>
      <c r="AZ25" s="279"/>
      <c r="BA25" s="279"/>
      <c r="BB25" s="279"/>
      <c r="BC25" s="646"/>
      <c r="BD25" s="279"/>
      <c r="BE25" s="279"/>
      <c r="BF25" s="279"/>
      <c r="BG25" s="279"/>
      <c r="BH25" s="279"/>
      <c r="BI25" s="279"/>
      <c r="BJ25" s="279"/>
      <c r="BK25" s="279"/>
      <c r="BL25" s="279"/>
      <c r="BM25" s="646"/>
      <c r="BN25" s="279"/>
      <c r="BO25" s="279"/>
      <c r="BS25" t="s">
        <v>561</v>
      </c>
      <c r="BT25" s="4" t="s">
        <v>393</v>
      </c>
      <c r="BU25" s="4" t="s">
        <v>393</v>
      </c>
      <c r="BV25" s="4" t="s">
        <v>393</v>
      </c>
      <c r="BW25" s="4" t="s">
        <v>393</v>
      </c>
      <c r="BX25" s="4" t="s">
        <v>393</v>
      </c>
      <c r="BY25" s="4" t="s">
        <v>393</v>
      </c>
      <c r="BZ25" s="4" t="s">
        <v>393</v>
      </c>
      <c r="CA25" s="4" t="s">
        <v>393</v>
      </c>
      <c r="CB25" s="4" t="s">
        <v>393</v>
      </c>
      <c r="CC25" s="4" t="s">
        <v>393</v>
      </c>
      <c r="CI25" s="866" t="s">
        <v>393</v>
      </c>
      <c r="CJ25" s="866" t="s">
        <v>393</v>
      </c>
      <c r="CL25" s="95" t="s">
        <v>2048</v>
      </c>
      <c r="CM25" s="95"/>
      <c r="CR25" s="95" t="str">
        <f t="shared" si="19"/>
        <v xml:space="preserve"> ** C series future version **</v>
      </c>
      <c r="CV25" s="865"/>
      <c r="CW25" s="865"/>
      <c r="CX25" s="344"/>
      <c r="CY25" s="344"/>
      <c r="CZ25" s="609"/>
      <c r="DA25" s="609"/>
      <c r="DG25" s="483">
        <v>3</v>
      </c>
      <c r="DI25" t="str">
        <f t="shared" si="22"/>
        <v xml:space="preserve"> ** C series future version **</v>
      </c>
      <c r="DK25" s="619"/>
      <c r="DL25" s="619"/>
    </row>
    <row r="26" spans="1:118" x14ac:dyDescent="0.15">
      <c r="A26" s="483">
        <v>4</v>
      </c>
      <c r="C26" s="95" t="str">
        <f t="shared" si="21"/>
        <v xml:space="preserve"> ** C series future version **</v>
      </c>
      <c r="D26" s="344"/>
      <c r="E26" s="609"/>
      <c r="F26" s="609"/>
      <c r="G26" s="344"/>
      <c r="H26" s="609"/>
      <c r="I26" s="609"/>
      <c r="J26" s="344"/>
      <c r="K26" s="609"/>
      <c r="L26" s="645"/>
      <c r="M26" s="344"/>
      <c r="N26" s="868"/>
      <c r="O26" s="279"/>
      <c r="P26" s="279"/>
      <c r="Q26" s="279"/>
      <c r="R26" s="279"/>
      <c r="S26" s="279"/>
      <c r="T26" s="279"/>
      <c r="U26" s="279"/>
      <c r="V26" s="279"/>
      <c r="W26" s="279"/>
      <c r="X26" s="279"/>
      <c r="Y26" s="646"/>
      <c r="Z26" s="279"/>
      <c r="AA26" s="279"/>
      <c r="AB26" s="279"/>
      <c r="AC26" s="279"/>
      <c r="AD26" s="279"/>
      <c r="AE26" s="279"/>
      <c r="AF26" s="279"/>
      <c r="AG26" s="279"/>
      <c r="AH26" s="279"/>
      <c r="AI26" s="646"/>
      <c r="AJ26" s="279"/>
      <c r="AK26" s="279"/>
      <c r="AL26" s="279"/>
      <c r="AM26" s="279"/>
      <c r="AN26" s="279"/>
      <c r="AO26" s="279"/>
      <c r="AP26" s="279"/>
      <c r="AQ26" s="279"/>
      <c r="AR26" s="279"/>
      <c r="AS26" s="646"/>
      <c r="AT26" s="279"/>
      <c r="AU26" s="279"/>
      <c r="AV26" s="279"/>
      <c r="AW26" s="279"/>
      <c r="AX26" s="279"/>
      <c r="AY26" s="279"/>
      <c r="AZ26" s="279"/>
      <c r="BA26" s="279"/>
      <c r="BB26" s="279"/>
      <c r="BC26" s="646"/>
      <c r="BD26" s="279"/>
      <c r="BE26" s="279"/>
      <c r="BF26" s="279"/>
      <c r="BG26" s="279"/>
      <c r="BH26" s="279"/>
      <c r="BI26" s="279"/>
      <c r="BJ26" s="279"/>
      <c r="BK26" s="279"/>
      <c r="BL26" s="279"/>
      <c r="BM26" s="646"/>
      <c r="BN26" s="279"/>
      <c r="BO26" s="279"/>
      <c r="BS26" t="s">
        <v>560</v>
      </c>
      <c r="BT26" s="4" t="s">
        <v>393</v>
      </c>
      <c r="BU26" s="4" t="s">
        <v>393</v>
      </c>
      <c r="BV26" s="4" t="s">
        <v>393</v>
      </c>
      <c r="BW26" s="4" t="s">
        <v>393</v>
      </c>
      <c r="BX26" s="4" t="s">
        <v>393</v>
      </c>
      <c r="BY26" s="4" t="s">
        <v>393</v>
      </c>
      <c r="BZ26" s="4" t="s">
        <v>393</v>
      </c>
      <c r="CA26" s="4" t="s">
        <v>393</v>
      </c>
      <c r="CB26" s="4" t="s">
        <v>393</v>
      </c>
      <c r="CC26" s="4" t="s">
        <v>393</v>
      </c>
      <c r="CI26" s="866" t="s">
        <v>393</v>
      </c>
      <c r="CJ26" s="866" t="s">
        <v>393</v>
      </c>
      <c r="CL26" s="95" t="s">
        <v>2048</v>
      </c>
      <c r="CM26" s="95"/>
      <c r="CR26" s="95" t="str">
        <f t="shared" si="19"/>
        <v xml:space="preserve"> ** C series future version **</v>
      </c>
      <c r="CV26" s="865"/>
      <c r="CW26" s="865"/>
      <c r="CX26" s="344"/>
      <c r="CY26" s="344"/>
      <c r="CZ26" s="609"/>
      <c r="DA26" s="609"/>
      <c r="DG26" s="483">
        <v>4</v>
      </c>
      <c r="DI26" t="str">
        <f t="shared" si="22"/>
        <v xml:space="preserve"> ** C series future version **</v>
      </c>
      <c r="DK26" s="619"/>
      <c r="DL26" s="619"/>
      <c r="DN26" s="39"/>
    </row>
    <row r="27" spans="1:118" x14ac:dyDescent="0.15">
      <c r="A27" s="483">
        <v>5</v>
      </c>
      <c r="C27" s="95" t="str">
        <f t="shared" si="21"/>
        <v xml:space="preserve"> ** C series future version **</v>
      </c>
      <c r="D27" s="344"/>
      <c r="E27" s="609"/>
      <c r="F27" s="609"/>
      <c r="G27" s="344"/>
      <c r="H27" s="609"/>
      <c r="I27" s="609"/>
      <c r="J27" s="344"/>
      <c r="K27" s="609"/>
      <c r="L27" s="645"/>
      <c r="M27" s="344"/>
      <c r="N27" s="868"/>
      <c r="O27" s="279"/>
      <c r="P27" s="279"/>
      <c r="Q27" s="279"/>
      <c r="R27" s="279"/>
      <c r="S27" s="279"/>
      <c r="T27" s="279"/>
      <c r="U27" s="279"/>
      <c r="V27" s="279"/>
      <c r="W27" s="279"/>
      <c r="X27" s="279"/>
      <c r="Y27" s="646"/>
      <c r="Z27" s="279"/>
      <c r="AA27" s="279"/>
      <c r="AB27" s="279"/>
      <c r="AC27" s="279"/>
      <c r="AD27" s="279"/>
      <c r="AE27" s="279"/>
      <c r="AF27" s="279"/>
      <c r="AG27" s="279"/>
      <c r="AH27" s="279"/>
      <c r="AI27" s="646"/>
      <c r="AJ27" s="279"/>
      <c r="AK27" s="279"/>
      <c r="AL27" s="279"/>
      <c r="AM27" s="279"/>
      <c r="AN27" s="279"/>
      <c r="AO27" s="279"/>
      <c r="AP27" s="279"/>
      <c r="AQ27" s="279"/>
      <c r="AR27" s="279"/>
      <c r="AS27" s="646"/>
      <c r="AT27" s="279"/>
      <c r="AU27" s="279"/>
      <c r="AV27" s="279"/>
      <c r="AW27" s="279"/>
      <c r="AX27" s="279"/>
      <c r="AY27" s="279"/>
      <c r="AZ27" s="279"/>
      <c r="BA27" s="279"/>
      <c r="BB27" s="279"/>
      <c r="BC27" s="646"/>
      <c r="BD27" s="279"/>
      <c r="BE27" s="279"/>
      <c r="BF27" s="279"/>
      <c r="BG27" s="279"/>
      <c r="BH27" s="279"/>
      <c r="BI27" s="279"/>
      <c r="BJ27" s="279"/>
      <c r="BK27" s="279"/>
      <c r="BL27" s="279"/>
      <c r="BM27" s="646"/>
      <c r="BN27" s="279"/>
      <c r="BO27" s="279"/>
      <c r="BS27" t="s">
        <v>585</v>
      </c>
      <c r="BT27" s="485" t="e">
        <f>BT22</f>
        <v>#VALUE!</v>
      </c>
      <c r="BU27" s="485" t="e">
        <f t="shared" ref="BU27:CC27" si="23">BU22</f>
        <v>#VALUE!</v>
      </c>
      <c r="BV27" s="485" t="e">
        <f t="shared" si="23"/>
        <v>#VALUE!</v>
      </c>
      <c r="BW27" s="485" t="e">
        <f t="shared" si="23"/>
        <v>#VALUE!</v>
      </c>
      <c r="BX27" s="485" t="e">
        <f t="shared" si="23"/>
        <v>#VALUE!</v>
      </c>
      <c r="BY27" s="485" t="e">
        <f t="shared" si="23"/>
        <v>#VALUE!</v>
      </c>
      <c r="BZ27" s="485" t="e">
        <f t="shared" si="23"/>
        <v>#VALUE!</v>
      </c>
      <c r="CA27" s="485" t="e">
        <f t="shared" si="23"/>
        <v>#VALUE!</v>
      </c>
      <c r="CB27" s="485" t="e">
        <f t="shared" si="23"/>
        <v>#VALUE!</v>
      </c>
      <c r="CC27" s="485" t="e">
        <f t="shared" si="23"/>
        <v>#VALUE!</v>
      </c>
      <c r="CI27" s="866" t="s">
        <v>393</v>
      </c>
      <c r="CJ27" s="866" t="s">
        <v>393</v>
      </c>
      <c r="CL27" s="95" t="s">
        <v>2048</v>
      </c>
      <c r="CM27" s="95"/>
      <c r="CR27" s="95" t="str">
        <f t="shared" si="19"/>
        <v xml:space="preserve"> ** C series future version **</v>
      </c>
      <c r="CV27" s="865"/>
      <c r="CW27" s="865"/>
      <c r="CX27" s="344"/>
      <c r="CY27" s="344"/>
      <c r="CZ27" s="609"/>
      <c r="DA27" s="609"/>
      <c r="DG27" s="483">
        <v>5</v>
      </c>
      <c r="DI27" t="str">
        <f t="shared" si="22"/>
        <v xml:space="preserve"> ** C series future version **</v>
      </c>
      <c r="DK27" s="619"/>
      <c r="DL27" s="619"/>
      <c r="DN27" s="39"/>
    </row>
    <row r="28" spans="1:118" x14ac:dyDescent="0.15">
      <c r="A28" s="483">
        <v>6</v>
      </c>
      <c r="C28" s="95" t="str">
        <f t="shared" si="21"/>
        <v xml:space="preserve"> ** C series future version **</v>
      </c>
      <c r="D28" s="95"/>
      <c r="E28" s="609"/>
      <c r="F28" s="609"/>
      <c r="G28" s="95"/>
      <c r="H28" s="609"/>
      <c r="I28" s="609"/>
      <c r="J28" s="344"/>
      <c r="K28" s="609"/>
      <c r="L28" s="645"/>
      <c r="M28" s="344"/>
      <c r="N28" s="868"/>
      <c r="O28" s="279"/>
      <c r="P28" s="279"/>
      <c r="Q28" s="279"/>
      <c r="R28" s="279"/>
      <c r="S28" s="279"/>
      <c r="T28" s="279"/>
      <c r="U28" s="279"/>
      <c r="V28" s="279"/>
      <c r="W28" s="279"/>
      <c r="X28" s="279"/>
      <c r="Y28" s="646"/>
      <c r="Z28" s="279"/>
      <c r="AA28" s="279"/>
      <c r="AB28" s="279"/>
      <c r="AC28" s="279"/>
      <c r="AD28" s="279"/>
      <c r="AE28" s="279"/>
      <c r="AF28" s="279"/>
      <c r="AG28" s="279"/>
      <c r="AH28" s="279"/>
      <c r="AI28" s="646"/>
      <c r="AJ28" s="279"/>
      <c r="AK28" s="279"/>
      <c r="AL28" s="279"/>
      <c r="AM28" s="279"/>
      <c r="AN28" s="279"/>
      <c r="AO28" s="279"/>
      <c r="AP28" s="279"/>
      <c r="AQ28" s="279"/>
      <c r="AR28" s="279"/>
      <c r="AS28" s="646"/>
      <c r="AT28" s="279"/>
      <c r="AU28" s="279"/>
      <c r="AV28" s="279"/>
      <c r="AW28" s="279"/>
      <c r="AX28" s="279"/>
      <c r="AY28" s="279"/>
      <c r="AZ28" s="279"/>
      <c r="BA28" s="279"/>
      <c r="BB28" s="279"/>
      <c r="BC28" s="646"/>
      <c r="BD28" s="279"/>
      <c r="BE28" s="279"/>
      <c r="BF28" s="279"/>
      <c r="BG28" s="279"/>
      <c r="BH28" s="279"/>
      <c r="BI28" s="279"/>
      <c r="BJ28" s="279"/>
      <c r="BK28" s="279"/>
      <c r="BL28" s="279"/>
      <c r="BM28" s="646"/>
      <c r="BN28" s="279"/>
      <c r="BO28" s="279"/>
      <c r="DG28" s="483">
        <v>6</v>
      </c>
      <c r="DI28" t="str">
        <f t="shared" si="22"/>
        <v xml:space="preserve"> ** C series future version **</v>
      </c>
      <c r="DK28" s="619"/>
      <c r="DL28" s="619"/>
    </row>
    <row r="29" spans="1:118" x14ac:dyDescent="0.15">
      <c r="AF29" s="104"/>
      <c r="AG29" s="104"/>
      <c r="AH29" s="104"/>
      <c r="AI29" s="104"/>
    </row>
    <row r="30" spans="1:118" x14ac:dyDescent="0.15">
      <c r="AF30" s="5"/>
      <c r="AG30" s="5"/>
      <c r="AH30" s="5"/>
      <c r="AI30" s="5"/>
    </row>
    <row r="31" spans="1:118" x14ac:dyDescent="0.15">
      <c r="AF31" s="5"/>
      <c r="AG31" s="5"/>
      <c r="AH31" s="5"/>
      <c r="AI31" s="5"/>
    </row>
    <row r="32" spans="1:118" x14ac:dyDescent="0.15">
      <c r="BD32" t="s">
        <v>586</v>
      </c>
    </row>
    <row r="33" spans="3:118" x14ac:dyDescent="0.15">
      <c r="D33" s="2" t="s">
        <v>44</v>
      </c>
      <c r="G33" s="2" t="s">
        <v>58</v>
      </c>
      <c r="J33" s="2" t="s">
        <v>73</v>
      </c>
      <c r="P33" s="2" t="s">
        <v>29</v>
      </c>
      <c r="Z33" s="2" t="s">
        <v>26</v>
      </c>
      <c r="AJ33" s="2" t="s">
        <v>55</v>
      </c>
      <c r="AT33" s="2" t="s">
        <v>56</v>
      </c>
      <c r="BD33" s="2" t="s">
        <v>96</v>
      </c>
      <c r="BT33" s="2" t="s">
        <v>390</v>
      </c>
      <c r="CR33" s="2" t="s">
        <v>1121</v>
      </c>
      <c r="CV33" s="2" t="s">
        <v>1111</v>
      </c>
      <c r="CX33" s="2" t="s">
        <v>117</v>
      </c>
      <c r="CZ33" s="2" t="s">
        <v>79</v>
      </c>
      <c r="DC33" t="s">
        <v>1157</v>
      </c>
    </row>
    <row r="34" spans="3:118" x14ac:dyDescent="0.15">
      <c r="D34" s="2" t="s">
        <v>117</v>
      </c>
      <c r="E34" s="2" t="s">
        <v>18</v>
      </c>
      <c r="F34" s="2" t="s">
        <v>54</v>
      </c>
      <c r="G34" s="2" t="s">
        <v>117</v>
      </c>
      <c r="H34" s="2" t="s">
        <v>18</v>
      </c>
      <c r="I34" s="2" t="s">
        <v>54</v>
      </c>
      <c r="J34" s="2" t="s">
        <v>54</v>
      </c>
      <c r="K34" s="2" t="s">
        <v>121</v>
      </c>
      <c r="L34" s="2" t="s">
        <v>75</v>
      </c>
      <c r="M34" s="2" t="s">
        <v>203</v>
      </c>
      <c r="N34" s="2" t="s">
        <v>202</v>
      </c>
      <c r="O34" s="2" t="s">
        <v>189</v>
      </c>
      <c r="P34" s="104">
        <v>63</v>
      </c>
      <c r="Q34" s="104">
        <v>125</v>
      </c>
      <c r="R34" s="104">
        <v>250</v>
      </c>
      <c r="S34" s="104">
        <v>500</v>
      </c>
      <c r="T34" s="104">
        <v>1000</v>
      </c>
      <c r="U34" s="104">
        <v>2000</v>
      </c>
      <c r="V34" s="104">
        <v>4000</v>
      </c>
      <c r="W34" s="104">
        <v>8000</v>
      </c>
      <c r="X34" s="104" t="s">
        <v>70</v>
      </c>
      <c r="Y34" s="104" t="s">
        <v>27</v>
      </c>
      <c r="Z34" s="104">
        <v>63</v>
      </c>
      <c r="AA34" s="104">
        <v>125</v>
      </c>
      <c r="AB34" s="104">
        <v>250</v>
      </c>
      <c r="AC34" s="104">
        <v>500</v>
      </c>
      <c r="AD34" s="104">
        <v>1000</v>
      </c>
      <c r="AE34" s="104">
        <v>2000</v>
      </c>
      <c r="AF34" s="104">
        <v>4000</v>
      </c>
      <c r="AG34" s="104">
        <v>8000</v>
      </c>
      <c r="AH34" s="104" t="s">
        <v>70</v>
      </c>
      <c r="AI34" s="104" t="s">
        <v>27</v>
      </c>
      <c r="AJ34" s="104">
        <v>63</v>
      </c>
      <c r="AK34" s="104">
        <v>125</v>
      </c>
      <c r="AL34" s="104">
        <v>250</v>
      </c>
      <c r="AM34" s="104">
        <v>500</v>
      </c>
      <c r="AN34" s="104">
        <v>1000</v>
      </c>
      <c r="AO34" s="104">
        <v>2000</v>
      </c>
      <c r="AP34" s="104">
        <v>4000</v>
      </c>
      <c r="AQ34" s="104">
        <v>8000</v>
      </c>
      <c r="AR34" s="104" t="s">
        <v>70</v>
      </c>
      <c r="AS34" s="104" t="s">
        <v>27</v>
      </c>
      <c r="AT34" s="104">
        <v>63</v>
      </c>
      <c r="AU34" s="104">
        <v>125</v>
      </c>
      <c r="AV34" s="104">
        <v>250</v>
      </c>
      <c r="AW34" s="104">
        <v>500</v>
      </c>
      <c r="AX34" s="104">
        <v>1000</v>
      </c>
      <c r="AY34" s="104">
        <v>2000</v>
      </c>
      <c r="AZ34" s="104">
        <v>4000</v>
      </c>
      <c r="BA34" s="104">
        <v>8000</v>
      </c>
      <c r="BB34" s="104" t="s">
        <v>70</v>
      </c>
      <c r="BC34" s="104" t="s">
        <v>27</v>
      </c>
      <c r="BD34" s="104">
        <v>63</v>
      </c>
      <c r="BE34" s="104">
        <v>125</v>
      </c>
      <c r="BF34" s="104">
        <v>250</v>
      </c>
      <c r="BG34" s="104">
        <v>500</v>
      </c>
      <c r="BH34" s="104">
        <v>1000</v>
      </c>
      <c r="BI34" s="104">
        <v>2000</v>
      </c>
      <c r="BJ34" s="104">
        <v>4000</v>
      </c>
      <c r="BK34" s="104">
        <v>8000</v>
      </c>
      <c r="BL34" s="104" t="s">
        <v>70</v>
      </c>
      <c r="BM34" s="104" t="s">
        <v>27</v>
      </c>
      <c r="BN34" t="s">
        <v>97</v>
      </c>
      <c r="BO34" t="s">
        <v>98</v>
      </c>
      <c r="BQ34" s="2" t="s">
        <v>166</v>
      </c>
      <c r="BR34" s="2" t="s">
        <v>186</v>
      </c>
      <c r="BT34" s="104">
        <v>63</v>
      </c>
      <c r="BU34" s="104">
        <v>125</v>
      </c>
      <c r="BV34" s="104">
        <v>250</v>
      </c>
      <c r="BW34" s="104">
        <v>500</v>
      </c>
      <c r="BX34" s="104">
        <v>1000</v>
      </c>
      <c r="BY34" s="104">
        <v>2000</v>
      </c>
      <c r="BZ34" s="104">
        <v>4000</v>
      </c>
      <c r="CA34" s="104">
        <v>8000</v>
      </c>
      <c r="CB34" s="104" t="s">
        <v>70</v>
      </c>
      <c r="CC34" s="104" t="s">
        <v>27</v>
      </c>
      <c r="CI34" s="104" t="s">
        <v>530</v>
      </c>
      <c r="CJ34" s="104" t="s">
        <v>531</v>
      </c>
      <c r="CM34" s="241" t="str">
        <f>CM21</f>
        <v>Sähkönsyöttö, teksti</v>
      </c>
      <c r="CR34" t="s">
        <v>7</v>
      </c>
      <c r="CS34" t="s">
        <v>8</v>
      </c>
      <c r="CT34" t="s">
        <v>7</v>
      </c>
      <c r="CU34" t="s">
        <v>8</v>
      </c>
      <c r="CV34" t="s">
        <v>7</v>
      </c>
      <c r="CW34" t="s">
        <v>8</v>
      </c>
      <c r="CX34" t="s">
        <v>7</v>
      </c>
      <c r="CY34" t="s">
        <v>8</v>
      </c>
      <c r="CZ34" t="s">
        <v>7</v>
      </c>
      <c r="DA34" t="s">
        <v>8</v>
      </c>
      <c r="DK34" s="4" t="s">
        <v>1256</v>
      </c>
      <c r="DL34" s="4" t="s">
        <v>1259</v>
      </c>
    </row>
    <row r="35" spans="3:118" x14ac:dyDescent="0.15">
      <c r="C35" t="s">
        <v>21</v>
      </c>
      <c r="D35" s="95" t="b">
        <f>INDEX(D23:D28,$C$6)</f>
        <v>1</v>
      </c>
      <c r="E35" s="609">
        <f>INDEX(E23:E28,$C$6)</f>
        <v>6.8428828118574261</v>
      </c>
      <c r="F35" s="609">
        <f>INDEX(F23:F28,$C$6)</f>
        <v>315.55597452041849</v>
      </c>
      <c r="G35" s="609" t="b">
        <f t="shared" ref="G35:BC35" si="24">INDEX(G23:G28,$C$6)</f>
        <v>1</v>
      </c>
      <c r="H35" s="609">
        <f t="shared" si="24"/>
        <v>6.4730648967108504</v>
      </c>
      <c r="I35" s="609">
        <f t="shared" si="24"/>
        <v>285.04718273449032</v>
      </c>
      <c r="J35" s="609">
        <f t="shared" si="24"/>
        <v>4.4000000000000004</v>
      </c>
      <c r="K35" s="609">
        <f t="shared" si="24"/>
        <v>605.00315725490884</v>
      </c>
      <c r="L35" s="609">
        <f t="shared" si="24"/>
        <v>1.3444514605664641</v>
      </c>
      <c r="M35" s="609">
        <f t="shared" si="24"/>
        <v>385</v>
      </c>
      <c r="N35" s="609">
        <f t="shared" si="24"/>
        <v>0.99833518954912692</v>
      </c>
      <c r="O35" s="609">
        <f t="shared" si="24"/>
        <v>0.85</v>
      </c>
      <c r="P35" s="279">
        <f t="shared" si="24"/>
        <v>71.091859588864153</v>
      </c>
      <c r="Q35" s="279">
        <f t="shared" si="24"/>
        <v>71.091859588864153</v>
      </c>
      <c r="R35" s="279">
        <f t="shared" si="24"/>
        <v>73.091859588864153</v>
      </c>
      <c r="S35" s="279">
        <f t="shared" si="24"/>
        <v>63.091859588864153</v>
      </c>
      <c r="T35" s="279">
        <f t="shared" si="24"/>
        <v>63.091859588864153</v>
      </c>
      <c r="U35" s="279">
        <f t="shared" si="24"/>
        <v>61.091859588864153</v>
      </c>
      <c r="V35" s="279">
        <f t="shared" si="24"/>
        <v>54.091859588864153</v>
      </c>
      <c r="W35" s="279">
        <f t="shared" si="24"/>
        <v>55.091859588864153</v>
      </c>
      <c r="X35" s="279">
        <f t="shared" si="24"/>
        <v>77.163130805820046</v>
      </c>
      <c r="Y35" s="279">
        <f t="shared" si="24"/>
        <v>69.091859588864153</v>
      </c>
      <c r="Z35" s="279">
        <f t="shared" si="24"/>
        <v>61.650294986973819</v>
      </c>
      <c r="AA35" s="279">
        <f t="shared" si="24"/>
        <v>59.650294986973819</v>
      </c>
      <c r="AB35" s="279">
        <f t="shared" si="24"/>
        <v>53.650294986973819</v>
      </c>
      <c r="AC35" s="279">
        <f t="shared" si="24"/>
        <v>49.650294986973819</v>
      </c>
      <c r="AD35" s="279">
        <f t="shared" si="24"/>
        <v>41.650294986973819</v>
      </c>
      <c r="AE35" s="279">
        <f t="shared" si="24"/>
        <v>36.650294986973819</v>
      </c>
      <c r="AF35" s="279">
        <f t="shared" si="24"/>
        <v>30.650294986973819</v>
      </c>
      <c r="AG35" s="279">
        <f t="shared" si="24"/>
        <v>27.650294986973819</v>
      </c>
      <c r="AH35" s="279">
        <f t="shared" si="24"/>
        <v>64.361498823925174</v>
      </c>
      <c r="AI35" s="279">
        <f t="shared" si="24"/>
        <v>50.650294986973819</v>
      </c>
      <c r="AJ35" s="279">
        <f t="shared" si="24"/>
        <v>58.481771481749483</v>
      </c>
      <c r="AK35" s="279">
        <f t="shared" si="24"/>
        <v>58.481771481749483</v>
      </c>
      <c r="AL35" s="279">
        <f t="shared" si="24"/>
        <v>56.481771481749483</v>
      </c>
      <c r="AM35" s="279">
        <f t="shared" si="24"/>
        <v>50.481771481749483</v>
      </c>
      <c r="AN35" s="279">
        <f t="shared" si="24"/>
        <v>45.481771481749483</v>
      </c>
      <c r="AO35" s="279">
        <f t="shared" si="24"/>
        <v>40.481771481749483</v>
      </c>
      <c r="AP35" s="279">
        <f t="shared" si="24"/>
        <v>34.481771481749483</v>
      </c>
      <c r="AQ35" s="279">
        <f t="shared" si="24"/>
        <v>27.481771481749483</v>
      </c>
      <c r="AR35" s="279">
        <f t="shared" si="24"/>
        <v>63.045719894026291</v>
      </c>
      <c r="AS35" s="279">
        <f t="shared" si="24"/>
        <v>52.739398520919458</v>
      </c>
      <c r="AT35" s="279">
        <f t="shared" si="24"/>
        <v>70.61187195005057</v>
      </c>
      <c r="AU35" s="279">
        <f t="shared" si="24"/>
        <v>71.61187195005057</v>
      </c>
      <c r="AV35" s="279">
        <f t="shared" si="24"/>
        <v>74.61187195005057</v>
      </c>
      <c r="AW35" s="279">
        <f t="shared" si="24"/>
        <v>65.61187195005057</v>
      </c>
      <c r="AX35" s="279">
        <f t="shared" si="24"/>
        <v>64.61187195005057</v>
      </c>
      <c r="AY35" s="279">
        <f t="shared" si="24"/>
        <v>62.61187195005057</v>
      </c>
      <c r="AZ35" s="279">
        <f t="shared" si="24"/>
        <v>54.61187195005057</v>
      </c>
      <c r="BA35" s="279">
        <f t="shared" si="24"/>
        <v>55.61187195005057</v>
      </c>
      <c r="BB35" s="279">
        <f t="shared" si="24"/>
        <v>78.057507815457683</v>
      </c>
      <c r="BC35" s="279">
        <f t="shared" si="24"/>
        <v>70.814170441247683</v>
      </c>
      <c r="BD35" s="869" cm="1">
        <f t="array" ref="BD35">IF($BD$4,INDEX(BC13:BC18,$C$6),INDEX(BD23:BD28,$C$6))</f>
        <v>56.10544869741544</v>
      </c>
      <c r="BE35" s="869" cm="1">
        <f t="array" ref="BE35">IF($BD$4,INDEX(BD13:BD18,$C$6),INDEX(BE23:BE28,$C$6))</f>
        <v>55.10544869741544</v>
      </c>
      <c r="BF35" s="869" cm="1">
        <f t="array" ref="BF35">IF($BD$4,INDEX(BE13:BE18,$C$6),INDEX(BF23:BF28,$C$6))</f>
        <v>50.10544869741544</v>
      </c>
      <c r="BG35" s="869" cm="1">
        <f t="array" ref="BG35">IF($BD$4,INDEX(BF13:BF18,$C$6),INDEX(BG23:BG28,$C$6))</f>
        <v>37.10544869741544</v>
      </c>
      <c r="BH35" s="869" cm="1">
        <f t="array" ref="BH35">IF($BD$4,INDEX(BG13:BG18,$C$6),INDEX(BH23:BH28,$C$6))</f>
        <v>34.10544869741544</v>
      </c>
      <c r="BI35" s="869" cm="1">
        <f t="array" ref="BI35">IF($BD$4,INDEX(BH13:BH18,$C$6),INDEX(BI23:BI28,$C$6))</f>
        <v>33.10544869741544</v>
      </c>
      <c r="BJ35" s="869" cm="1">
        <f t="array" ref="BJ35">IF($BD$4,INDEX(BI13:BI18,$C$6),INDEX(BJ23:BJ28,$C$6))</f>
        <v>24.10544869741544</v>
      </c>
      <c r="BK35" s="869" cm="1">
        <f t="array" ref="BK35">IF($BD$4,INDEX(BJ13:BJ18,$C$6),INDEX(BK23:BK28,$C$6))</f>
        <v>23.10544869741544</v>
      </c>
      <c r="BL35" s="869" cm="1">
        <f t="array" ref="BL35">IF($BD$4,INDEX(BK13:BK18,$C$6),INDEX(BL23:BL28,$C$6))</f>
        <v>59.266326313676807</v>
      </c>
      <c r="BM35" s="869" cm="1">
        <f t="array" ref="BM35">IF($BD$4,INDEX(BL13:BL18,$C$6),INDEX(BM23:BM28,$C$6))</f>
        <v>44.953200819997718</v>
      </c>
      <c r="BN35" s="869" cm="1">
        <f t="array" ref="BN35">IF($BD$4,INDEX(BM13:BM18,$C$6),INDEX(BN23:BN28,$C$6))</f>
        <v>40.973800733277344</v>
      </c>
      <c r="BO35" s="869" cm="1">
        <f t="array" ref="BO35">IF($BD$4,INDEX(BN13:BN18,$C$6),INDEX(BO23:BO28,$C$6))</f>
        <v>46.994400646556969</v>
      </c>
      <c r="BQ35" s="5">
        <f>'SEC-laskenta_C'!M5</f>
        <v>-70.406005743907684</v>
      </c>
      <c r="BR35" s="5" t="str">
        <f>'SEC-laskenta_C'!T5</f>
        <v>A+</v>
      </c>
      <c r="BT35" s="80" t="e" cm="1">
        <f t="array" ref="BT35">INDEX(BT22:BT27,$C$6)</f>
        <v>#VALUE!</v>
      </c>
      <c r="BU35" s="80" t="e" cm="1">
        <f t="array" ref="BU35">INDEX(BU22:BU27,$C$6)</f>
        <v>#VALUE!</v>
      </c>
      <c r="BV35" s="80" t="e" cm="1">
        <f t="array" ref="BV35">INDEX(BV22:BV27,$C$6)</f>
        <v>#VALUE!</v>
      </c>
      <c r="BW35" s="80" t="e" cm="1">
        <f t="array" ref="BW35">INDEX(BW22:BW27,$C$6)</f>
        <v>#VALUE!</v>
      </c>
      <c r="BX35" s="80" t="e" cm="1">
        <f t="array" ref="BX35">INDEX(BX22:BX27,$C$6)</f>
        <v>#VALUE!</v>
      </c>
      <c r="BY35" s="80" t="e" cm="1">
        <f t="array" ref="BY35">INDEX(BY22:BY27,$C$6)</f>
        <v>#VALUE!</v>
      </c>
      <c r="BZ35" s="80" t="e" cm="1">
        <f t="array" ref="BZ35">INDEX(BZ22:BZ27,$C$6)</f>
        <v>#VALUE!</v>
      </c>
      <c r="CA35" s="80" t="e" cm="1">
        <f t="array" ref="CA35">INDEX(CA22:CA27,$C$6)</f>
        <v>#VALUE!</v>
      </c>
      <c r="CB35" s="80" t="e" cm="1">
        <f t="array" ref="CB35">INDEX(CB22:CB27,$C$6)</f>
        <v>#VALUE!</v>
      </c>
      <c r="CC35" s="80" t="e" cm="1">
        <f t="array" ref="CC35">INDEX(CC22:CC27,$C$6)</f>
        <v>#VALUE!</v>
      </c>
      <c r="CI35" s="32" cm="1">
        <f t="array" ref="CI35">INDEX(CI22:CI27,$C$6)</f>
        <v>1027.1845116083973</v>
      </c>
      <c r="CJ35" s="32" cm="1">
        <f t="array" ref="CJ35">INDEX(CJ22:CJ27,$C$6)</f>
        <v>1241</v>
      </c>
      <c r="CL35" s="376" t="e" cm="1">
        <f t="array" ref="CL35">INDEX(CL22:CL27,$C$6)</f>
        <v>#REF!</v>
      </c>
      <c r="CM35" s="376" t="str" cm="1">
        <f t="array" ref="CM35">INDEX(CM22:CM27,$C$6)</f>
        <v>230 V, 50 Hz, max 2 kW</v>
      </c>
      <c r="CR35" s="110">
        <f>CR19</f>
        <v>517.5</v>
      </c>
      <c r="CS35" s="110">
        <f>CS19</f>
        <v>517.5</v>
      </c>
      <c r="CT35" s="110">
        <f>CR17</f>
        <v>119.02500000000001</v>
      </c>
      <c r="CU35" s="110">
        <f>CS17</f>
        <v>132.25</v>
      </c>
      <c r="CV35" s="615" cm="1">
        <f t="array" ref="CV35">INDEX(CV22:CV27,$C$6)</f>
        <v>0.35002795896513539</v>
      </c>
      <c r="CW35" s="615" cm="1">
        <f t="array" ref="CW35">INDEX(CW22:CW27,$C$6)</f>
        <v>0.4018934063240962</v>
      </c>
      <c r="CX35" s="615" t="b" cm="1">
        <f t="array" ref="CX35">IF($DC$35,INDEX(CX22:CX27,$C$6),FALSE)</f>
        <v>1</v>
      </c>
      <c r="CY35" s="615" t="b" cm="1">
        <f t="array" ref="CY35">IF(DC35,INDEX(CY22:CY27,$C$6),FALSE)</f>
        <v>1</v>
      </c>
      <c r="CZ35" s="620" cm="1">
        <f t="array" ref="CZ35">INDEX(CZ22:CZ27,$C$6)</f>
        <v>7.7637920605587816</v>
      </c>
      <c r="DA35" s="620" cm="1">
        <f t="array" ref="DA35">INDEX(DA22:DA27,$C$6)</f>
        <v>7.3469420172517221</v>
      </c>
      <c r="DC35" t="b">
        <f>IF(CR11&gt;=0,TRUE,FALSE)</f>
        <v>1</v>
      </c>
      <c r="DG35" t="s">
        <v>21</v>
      </c>
      <c r="DI35" t="str">
        <f t="shared" ref="DI35:DN35" si="25">INDEX(DI23:DI28,$C$6)</f>
        <v>C5</v>
      </c>
      <c r="DK35">
        <f t="shared" si="25"/>
        <v>0.85299999999999998</v>
      </c>
      <c r="DL35">
        <f t="shared" si="25"/>
        <v>0.81600000000000006</v>
      </c>
      <c r="DN35">
        <f t="shared" si="25"/>
        <v>2000</v>
      </c>
    </row>
    <row r="36" spans="3:118" x14ac:dyDescent="0.15">
      <c r="E36" s="5"/>
      <c r="F36" s="5"/>
      <c r="H36" s="5"/>
      <c r="I36" s="5"/>
      <c r="K36" s="5"/>
      <c r="L36" s="5"/>
      <c r="M36" s="5"/>
      <c r="N36" s="5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CI36" s="314"/>
      <c r="CJ36" s="314"/>
      <c r="CL36" s="376"/>
      <c r="CM36" s="376"/>
      <c r="CR36" s="3">
        <f>CR20</f>
        <v>1863</v>
      </c>
      <c r="CS36" s="3">
        <f>CS20</f>
        <v>1863</v>
      </c>
    </row>
    <row r="37" spans="3:118" x14ac:dyDescent="0.15">
      <c r="C37" t="s">
        <v>120</v>
      </c>
      <c r="D37" t="str" cm="1">
        <f t="array" ref="D37">IF(D35,"",INDEX(KirjastoC!D4:K125,23,KirjastoC!B4))</f>
        <v/>
      </c>
      <c r="E37" s="5">
        <f>IF($D$35,E35,"-")</f>
        <v>6.8428828118574261</v>
      </c>
      <c r="F37" s="5">
        <f>IF($D$35,F35,"-")</f>
        <v>315.55597452041849</v>
      </c>
      <c r="G37" t="str" cm="1">
        <f t="array" ref="G37">IF(G35,"",INDEX(KirjastoC!D4:K125,23,KirjastoC!B4))</f>
        <v/>
      </c>
      <c r="H37" s="5">
        <f>IF($G$35,H35,"-")</f>
        <v>6.4730648967108504</v>
      </c>
      <c r="I37" s="5">
        <f>IF($G$35,I35,"-")</f>
        <v>285.04718273449032</v>
      </c>
      <c r="K37" s="5">
        <f>IF(AND($D$35,$G$35),K35,"-")</f>
        <v>605.00315725490884</v>
      </c>
      <c r="L37" s="5">
        <f>IF(AND(D35,G35),L35,"-")</f>
        <v>1.3444514605664641</v>
      </c>
      <c r="M37" s="5">
        <f>M35</f>
        <v>385</v>
      </c>
      <c r="N37" s="5">
        <f>N35</f>
        <v>0.99833518954912692</v>
      </c>
      <c r="O37" s="32">
        <f>O35</f>
        <v>0.85</v>
      </c>
      <c r="P37" s="80">
        <f>IF($D$35,P35,"-")</f>
        <v>71.091859588864153</v>
      </c>
      <c r="Q37" s="80">
        <f t="shared" ref="Q37:Y37" si="26">IF($D$35,Q35,"-")</f>
        <v>71.091859588864153</v>
      </c>
      <c r="R37" s="80">
        <f t="shared" si="26"/>
        <v>73.091859588864153</v>
      </c>
      <c r="S37" s="80">
        <f t="shared" si="26"/>
        <v>63.091859588864153</v>
      </c>
      <c r="T37" s="80">
        <f t="shared" si="26"/>
        <v>63.091859588864153</v>
      </c>
      <c r="U37" s="80">
        <f t="shared" si="26"/>
        <v>61.091859588864153</v>
      </c>
      <c r="V37" s="80">
        <f t="shared" si="26"/>
        <v>54.091859588864153</v>
      </c>
      <c r="W37" s="80">
        <f t="shared" si="26"/>
        <v>55.091859588864153</v>
      </c>
      <c r="X37" s="80">
        <f t="shared" si="26"/>
        <v>77.163130805820046</v>
      </c>
      <c r="Y37" s="80">
        <f t="shared" si="26"/>
        <v>69.091859588864153</v>
      </c>
      <c r="Z37" s="80">
        <f>IF($D$35,Z35,"-")</f>
        <v>61.650294986973819</v>
      </c>
      <c r="AA37" s="80">
        <f t="shared" ref="AA37:AI37" si="27">IF($D$35,AA35,"-")</f>
        <v>59.650294986973819</v>
      </c>
      <c r="AB37" s="80">
        <f t="shared" si="27"/>
        <v>53.650294986973819</v>
      </c>
      <c r="AC37" s="80">
        <f t="shared" si="27"/>
        <v>49.650294986973819</v>
      </c>
      <c r="AD37" s="80">
        <f t="shared" si="27"/>
        <v>41.650294986973819</v>
      </c>
      <c r="AE37" s="80">
        <f t="shared" si="27"/>
        <v>36.650294986973819</v>
      </c>
      <c r="AF37" s="80">
        <f t="shared" si="27"/>
        <v>30.650294986973819</v>
      </c>
      <c r="AG37" s="80">
        <f t="shared" si="27"/>
        <v>27.650294986973819</v>
      </c>
      <c r="AH37" s="80">
        <f t="shared" si="27"/>
        <v>64.361498823925174</v>
      </c>
      <c r="AI37" s="80">
        <f t="shared" si="27"/>
        <v>50.650294986973819</v>
      </c>
      <c r="AJ37" s="80">
        <f>IF($G$35,AJ35,"-")</f>
        <v>58.481771481749483</v>
      </c>
      <c r="AK37" s="80">
        <f t="shared" ref="AK37:BC37" si="28">IF($G$35,AK35,"-")</f>
        <v>58.481771481749483</v>
      </c>
      <c r="AL37" s="80">
        <f t="shared" si="28"/>
        <v>56.481771481749483</v>
      </c>
      <c r="AM37" s="80">
        <f t="shared" si="28"/>
        <v>50.481771481749483</v>
      </c>
      <c r="AN37" s="80">
        <f t="shared" si="28"/>
        <v>45.481771481749483</v>
      </c>
      <c r="AO37" s="80">
        <f t="shared" si="28"/>
        <v>40.481771481749483</v>
      </c>
      <c r="AP37" s="80">
        <f t="shared" si="28"/>
        <v>34.481771481749483</v>
      </c>
      <c r="AQ37" s="80">
        <f t="shared" si="28"/>
        <v>27.481771481749483</v>
      </c>
      <c r="AR37" s="80">
        <f t="shared" si="28"/>
        <v>63.045719894026291</v>
      </c>
      <c r="AS37" s="80">
        <f t="shared" si="28"/>
        <v>52.739398520919458</v>
      </c>
      <c r="AT37" s="80">
        <f t="shared" si="28"/>
        <v>70.61187195005057</v>
      </c>
      <c r="AU37" s="80">
        <f t="shared" si="28"/>
        <v>71.61187195005057</v>
      </c>
      <c r="AV37" s="80">
        <f t="shared" si="28"/>
        <v>74.61187195005057</v>
      </c>
      <c r="AW37" s="80">
        <f t="shared" si="28"/>
        <v>65.61187195005057</v>
      </c>
      <c r="AX37" s="80">
        <f t="shared" si="28"/>
        <v>64.61187195005057</v>
      </c>
      <c r="AY37" s="80">
        <f t="shared" si="28"/>
        <v>62.61187195005057</v>
      </c>
      <c r="AZ37" s="80">
        <f t="shared" si="28"/>
        <v>54.61187195005057</v>
      </c>
      <c r="BA37" s="80">
        <f t="shared" si="28"/>
        <v>55.61187195005057</v>
      </c>
      <c r="BB37" s="80">
        <f t="shared" si="28"/>
        <v>78.057507815457683</v>
      </c>
      <c r="BC37" s="80">
        <f t="shared" si="28"/>
        <v>70.814170441247683</v>
      </c>
      <c r="BD37" s="80">
        <f>IF(AND($D$35,$G$35),BD35,"-")</f>
        <v>56.10544869741544</v>
      </c>
      <c r="BE37" s="80">
        <f t="shared" ref="BE37:BK37" si="29">IF(AND($D$35,$G$35),BE35,"-")</f>
        <v>55.10544869741544</v>
      </c>
      <c r="BF37" s="80">
        <f t="shared" si="29"/>
        <v>50.10544869741544</v>
      </c>
      <c r="BG37" s="80">
        <f t="shared" si="29"/>
        <v>37.10544869741544</v>
      </c>
      <c r="BH37" s="80">
        <f t="shared" si="29"/>
        <v>34.10544869741544</v>
      </c>
      <c r="BI37" s="80">
        <f t="shared" si="29"/>
        <v>33.10544869741544</v>
      </c>
      <c r="BJ37" s="80">
        <f t="shared" si="29"/>
        <v>24.10544869741544</v>
      </c>
      <c r="BK37" s="80">
        <f t="shared" si="29"/>
        <v>23.10544869741544</v>
      </c>
      <c r="BL37" s="80">
        <f>IF(AND($D$35,$G$35),BL35,"-")</f>
        <v>59.266326313676807</v>
      </c>
      <c r="BM37" s="108">
        <f t="shared" ref="BM37:BO37" si="30">IF(AND($D$35,$G$35),BM35,"-")</f>
        <v>44.953200819997718</v>
      </c>
      <c r="BN37" s="80">
        <f t="shared" si="30"/>
        <v>40.973800733277344</v>
      </c>
      <c r="BO37" s="80">
        <f t="shared" si="30"/>
        <v>46.994400646556969</v>
      </c>
      <c r="BQ37" s="5">
        <f>BQ35</f>
        <v>-70.406005743907684</v>
      </c>
      <c r="BR37" s="5" t="str">
        <f>BR35</f>
        <v>A+</v>
      </c>
      <c r="BT37" s="4" t="str">
        <f t="shared" ref="BT37:CC37" si="31">IF(AND($BT$15,$G$35),BT35,"-")</f>
        <v>-</v>
      </c>
      <c r="BU37" s="4" t="str">
        <f t="shared" si="31"/>
        <v>-</v>
      </c>
      <c r="BV37" s="4" t="str">
        <f t="shared" si="31"/>
        <v>-</v>
      </c>
      <c r="BW37" s="4" t="str">
        <f t="shared" si="31"/>
        <v>-</v>
      </c>
      <c r="BX37" s="4" t="str">
        <f t="shared" si="31"/>
        <v>-</v>
      </c>
      <c r="BY37" s="4" t="str">
        <f t="shared" si="31"/>
        <v>-</v>
      </c>
      <c r="BZ37" s="4" t="str">
        <f t="shared" si="31"/>
        <v>-</v>
      </c>
      <c r="CA37" s="4" t="str">
        <f t="shared" si="31"/>
        <v>-</v>
      </c>
      <c r="CB37" s="80" t="str">
        <f t="shared" si="31"/>
        <v>-</v>
      </c>
      <c r="CC37" s="80" t="str">
        <f t="shared" si="31"/>
        <v>-</v>
      </c>
      <c r="CI37" s="32">
        <f t="shared" ref="CI37:CJ37" si="32">IF(AND($D$35,$G$35),CI35,"-")</f>
        <v>1027.1845116083973</v>
      </c>
      <c r="CJ37" s="32">
        <f t="shared" si="32"/>
        <v>1241</v>
      </c>
      <c r="CL37" s="376" t="e">
        <f>CL35</f>
        <v>#REF!</v>
      </c>
      <c r="CM37" s="376" t="str" cm="1">
        <f t="array" ref="CM37">CONCATENATE(INDEX(KirjastoC!D4:K129,124,KirjastoC!B4),CM35)</f>
        <v>Sähkönsyöttö: 230 V, 50 Hz, max 2 kW</v>
      </c>
      <c r="CR37" s="620">
        <f>IF(AND($CX$35,$D$35),CR35,"-")</f>
        <v>517.5</v>
      </c>
      <c r="CS37" s="620">
        <f>IF(AND($CY$35,$G$35),CS35,"-")</f>
        <v>517.5</v>
      </c>
      <c r="CT37" s="620">
        <f>IF(AND($CX$35,$D$35),CT35,"-")</f>
        <v>119.02500000000001</v>
      </c>
      <c r="CU37" s="620">
        <f>IF(AND($CY$35,$G$35),CU35,"-")</f>
        <v>132.25</v>
      </c>
      <c r="CV37" s="615">
        <f>IF(AND($D$35),CV35,"-")</f>
        <v>0.35002795896513539</v>
      </c>
      <c r="CW37" s="615">
        <f>IF(AND($G$35),CW35,"-")</f>
        <v>0.4018934063240962</v>
      </c>
      <c r="CX37" t="str" cm="1">
        <f t="array" ref="CX37">IF(AND(CX35,CY35),"",INDEX(KirjastoC!D4:K150,139,KirjastoC!B4))</f>
        <v/>
      </c>
      <c r="CZ37" s="620">
        <f>IF(AND($CX$35,$D$35),CZ35,"-")</f>
        <v>7.7637920605587816</v>
      </c>
      <c r="DA37" s="620">
        <f>IF(AND($CY$35,$G$35),DA35,"-")</f>
        <v>7.3469420172517221</v>
      </c>
      <c r="DG37" t="s">
        <v>120</v>
      </c>
      <c r="DK37">
        <f>DK35</f>
        <v>0.85299999999999998</v>
      </c>
      <c r="DL37">
        <f>DL35</f>
        <v>0.81600000000000006</v>
      </c>
      <c r="DN37">
        <f>DN35</f>
        <v>2000</v>
      </c>
    </row>
    <row r="38" spans="3:118" x14ac:dyDescent="0.15">
      <c r="C38" t="s">
        <v>119</v>
      </c>
      <c r="CR38" s="620">
        <f>IF(AND($CX$35,D35),CR36,"-")</f>
        <v>1863</v>
      </c>
      <c r="CS38" s="620">
        <f>IF(AND($CY$35,$G$35),CS36,"-")</f>
        <v>1863</v>
      </c>
    </row>
    <row r="39" spans="3:118" x14ac:dyDescent="0.15">
      <c r="D39" s="2" t="s">
        <v>513</v>
      </c>
      <c r="G39">
        <v>1</v>
      </c>
      <c r="H39">
        <v>2</v>
      </c>
      <c r="I39">
        <v>3</v>
      </c>
      <c r="J39">
        <v>4</v>
      </c>
      <c r="K39">
        <v>5</v>
      </c>
    </row>
    <row r="40" spans="3:118" x14ac:dyDescent="0.15">
      <c r="C40" t="s">
        <v>567</v>
      </c>
      <c r="D40" t="b">
        <v>1</v>
      </c>
      <c r="J40" t="s">
        <v>561</v>
      </c>
      <c r="K40" t="s">
        <v>560</v>
      </c>
      <c r="M40" t="s">
        <v>120</v>
      </c>
      <c r="R40" s="104" t="s">
        <v>173</v>
      </c>
    </row>
    <row r="41" spans="3:118" x14ac:dyDescent="0.15">
      <c r="D41" s="10" t="s">
        <v>491</v>
      </c>
      <c r="E41" s="22"/>
      <c r="F41" s="22"/>
      <c r="G41" s="449" t="s">
        <v>393</v>
      </c>
      <c r="H41" s="449" t="s">
        <v>393</v>
      </c>
      <c r="I41" s="449" t="s">
        <v>393</v>
      </c>
      <c r="J41" s="21">
        <f>'Laskenta vesipatteri 250'!$I$16</f>
        <v>50</v>
      </c>
      <c r="K41" s="21">
        <f>'Laskenta vesipatteri 350'!$I$16</f>
        <v>50</v>
      </c>
      <c r="M41" t="str" cm="1">
        <f t="array" ref="M41">INDEX(G41:K41,1,$C$6)</f>
        <v>-</v>
      </c>
      <c r="N41" t="str">
        <f>IF($M$47,"-",M41)</f>
        <v>-</v>
      </c>
      <c r="P41" t="s">
        <v>120</v>
      </c>
      <c r="R41" s="39">
        <f>IF(AND(D35,G35),L35/3.6,"-")</f>
        <v>0.37345873904624005</v>
      </c>
    </row>
    <row r="42" spans="3:118" x14ac:dyDescent="0.15">
      <c r="D42" s="12" t="s">
        <v>492</v>
      </c>
      <c r="G42" s="39" t="s">
        <v>393</v>
      </c>
      <c r="H42" s="39" t="s">
        <v>393</v>
      </c>
      <c r="I42" s="39" t="s">
        <v>393</v>
      </c>
      <c r="J42" s="24">
        <f>'Laskenta vesipatteri 250'!$I$17</f>
        <v>-16.299864914831616</v>
      </c>
      <c r="K42" s="24">
        <f>'Laskenta vesipatteri 350'!$I$17</f>
        <v>-22.779968499342356</v>
      </c>
      <c r="M42" t="str" cm="1">
        <f t="array" ref="M42">INDEX(G42:K42,1,$C$6)</f>
        <v>-</v>
      </c>
      <c r="N42" t="str">
        <f t="shared" ref="N42:N46" si="33">IF($M$47,"-",M42)</f>
        <v>-</v>
      </c>
    </row>
    <row r="43" spans="3:118" x14ac:dyDescent="0.15">
      <c r="D43" s="12" t="s">
        <v>498</v>
      </c>
      <c r="G43" s="39" t="s">
        <v>393</v>
      </c>
      <c r="H43" s="39" t="s">
        <v>393</v>
      </c>
      <c r="I43" s="39" t="s">
        <v>393</v>
      </c>
      <c r="J43" s="24">
        <f>'Laskenta vesipatteri 250'!$I$18</f>
        <v>7.9870889861919942E-4</v>
      </c>
      <c r="K43" s="24">
        <f>'Laskenta vesipatteri 350'!$I$18</f>
        <v>7.275943254249328E-4</v>
      </c>
      <c r="M43" t="str" cm="1">
        <f t="array" ref="M43">INDEX(G43:K43,1,$C$6)</f>
        <v>-</v>
      </c>
      <c r="N43" t="str">
        <f t="shared" si="33"/>
        <v>-</v>
      </c>
    </row>
    <row r="44" spans="3:118" ht="12.75" customHeight="1" x14ac:dyDescent="0.15">
      <c r="D44" s="12" t="s">
        <v>553</v>
      </c>
      <c r="G44" s="39" t="s">
        <v>393</v>
      </c>
      <c r="H44" s="39" t="s">
        <v>393</v>
      </c>
      <c r="I44" s="39" t="s">
        <v>393</v>
      </c>
      <c r="J44" s="24">
        <f>'Laskenta vesipatteri 250'!$I$19</f>
        <v>2.677660654366646E-3</v>
      </c>
      <c r="K44" s="24">
        <f>'Laskenta vesipatteri 350'!$I$19</f>
        <v>1.5984757318314553E-3</v>
      </c>
      <c r="M44" t="str" cm="1">
        <f t="array" ref="M44">INDEX(G44:K44,1,$C$6)</f>
        <v>-</v>
      </c>
      <c r="N44" t="str">
        <f t="shared" si="33"/>
        <v>-</v>
      </c>
    </row>
    <row r="45" spans="3:118" ht="12.75" customHeight="1" x14ac:dyDescent="0.15">
      <c r="D45" s="12" t="s">
        <v>554</v>
      </c>
      <c r="G45" s="39" t="s">
        <v>393</v>
      </c>
      <c r="H45" s="39" t="s">
        <v>393</v>
      </c>
      <c r="I45" s="39" t="s">
        <v>393</v>
      </c>
      <c r="J45" s="24">
        <f>'Laskenta vesipatteri 250'!$I$20</f>
        <v>8.2676493253460901E-4</v>
      </c>
      <c r="K45" s="24">
        <f>'Laskenta vesipatteri 350'!$I$20</f>
        <v>6.8609397909816965E-4</v>
      </c>
      <c r="M45" t="str" cm="1">
        <f t="array" ref="M45">INDEX(G45:K45,1,$C$6)</f>
        <v>-</v>
      </c>
      <c r="N45" t="str">
        <f t="shared" si="33"/>
        <v>-</v>
      </c>
    </row>
    <row r="46" spans="3:118" x14ac:dyDescent="0.15">
      <c r="D46" s="14" t="s">
        <v>501</v>
      </c>
      <c r="E46" s="25"/>
      <c r="F46" s="25"/>
      <c r="G46" s="450" t="s">
        <v>393</v>
      </c>
      <c r="H46" s="450" t="s">
        <v>393</v>
      </c>
      <c r="I46" s="450" t="s">
        <v>393</v>
      </c>
      <c r="J46" s="26">
        <f>'Laskenta vesipatteri 250'!$I$21</f>
        <v>6.5084656285045294E-3</v>
      </c>
      <c r="K46" s="26">
        <f>'Laskenta vesipatteri 350'!$I$21</f>
        <v>5.9289719529979469E-3</v>
      </c>
      <c r="M46" t="str" cm="1">
        <f t="array" ref="M46">INDEX(G46:K46,1,$C$6)</f>
        <v>-</v>
      </c>
      <c r="N46" t="str">
        <f t="shared" si="33"/>
        <v>-</v>
      </c>
    </row>
    <row r="47" spans="3:118" x14ac:dyDescent="0.15">
      <c r="F47" t="s">
        <v>537</v>
      </c>
      <c r="H47" s="39"/>
      <c r="J47" t="b">
        <f>'Laskenta vesipatteri 250'!$E$22</f>
        <v>1</v>
      </c>
      <c r="K47" t="b">
        <f>'Laskenta vesipatteri 350'!$E$22</f>
        <v>1</v>
      </c>
      <c r="M47" cm="1">
        <f t="array" ref="M47">IF(D40,INDEX(G47:K47,1,$C$6),TRUE)</f>
        <v>0</v>
      </c>
    </row>
    <row r="48" spans="3:118" x14ac:dyDescent="0.15">
      <c r="D48" s="389" t="s">
        <v>491</v>
      </c>
      <c r="E48" s="22"/>
      <c r="F48" s="22"/>
      <c r="G48" s="449" t="s">
        <v>393</v>
      </c>
      <c r="H48" s="449" t="s">
        <v>393</v>
      </c>
      <c r="I48" s="449" t="s">
        <v>393</v>
      </c>
      <c r="J48" s="21">
        <f>'Laskenta vesipatteri 250'!$I$25</f>
        <v>3.7001350851683839</v>
      </c>
      <c r="K48" s="21">
        <f>'Laskenta vesipatteri 350'!$I$25</f>
        <v>-2.7799684993423561</v>
      </c>
      <c r="M48" t="str" cm="1">
        <f t="array" ref="M48">INDEX(G48:K48,1,$C$6)</f>
        <v>-</v>
      </c>
      <c r="N48" t="str">
        <f>IF($M$54,"-",M48)</f>
        <v>-</v>
      </c>
    </row>
    <row r="49" spans="4:16" x14ac:dyDescent="0.15">
      <c r="D49" s="390" t="s">
        <v>492</v>
      </c>
      <c r="G49" s="39" t="s">
        <v>393</v>
      </c>
      <c r="H49" s="39" t="s">
        <v>393</v>
      </c>
      <c r="I49" s="39" t="s">
        <v>393</v>
      </c>
      <c r="J49" s="24">
        <f>'Laskenta vesipatteri 250'!$I$26</f>
        <v>30</v>
      </c>
      <c r="K49" s="24">
        <f>'Laskenta vesipatteri 350'!$I$26</f>
        <v>30</v>
      </c>
      <c r="M49" t="str" cm="1">
        <f t="array" ref="M49">INDEX(G49:K49,1,$C$6)</f>
        <v>-</v>
      </c>
      <c r="N49" t="str">
        <f t="shared" ref="N49:N53" si="34">IF($M$54,"-",M49)</f>
        <v>-</v>
      </c>
    </row>
    <row r="50" spans="4:16" x14ac:dyDescent="0.15">
      <c r="D50" s="390" t="s">
        <v>498</v>
      </c>
      <c r="G50" s="39" t="s">
        <v>393</v>
      </c>
      <c r="H50" s="39" t="s">
        <v>393</v>
      </c>
      <c r="I50" s="39" t="s">
        <v>393</v>
      </c>
      <c r="J50" s="24">
        <f>'Laskenta vesipatteri 250'!$I$27</f>
        <v>-2.0134815238105532E-3</v>
      </c>
      <c r="K50" s="24">
        <f>'Laskenta vesipatteri 350'!$I$27</f>
        <v>-1.615446704464931E-3</v>
      </c>
      <c r="M50" t="str" cm="1">
        <f t="array" ref="M50">INDEX(G50:K50,1,$C$6)</f>
        <v>-</v>
      </c>
      <c r="N50" t="str">
        <f t="shared" si="34"/>
        <v>-</v>
      </c>
    </row>
    <row r="51" spans="4:16" x14ac:dyDescent="0.15">
      <c r="D51" s="390" t="s">
        <v>553</v>
      </c>
      <c r="G51" s="39" t="s">
        <v>393</v>
      </c>
      <c r="H51" s="39" t="s">
        <v>393</v>
      </c>
      <c r="I51" s="39" t="s">
        <v>393</v>
      </c>
      <c r="J51" s="24" t="e">
        <f>'Laskenta vesipatteri 250'!$I$28</f>
        <v>#NUM!</v>
      </c>
      <c r="K51" s="24" t="e">
        <f>'Laskenta vesipatteri 350'!$I$28</f>
        <v>#NUM!</v>
      </c>
      <c r="M51" t="str" cm="1">
        <f t="array" ref="M51">INDEX(G51:K51,1,$C$6)</f>
        <v>-</v>
      </c>
      <c r="N51" t="str">
        <f t="shared" si="34"/>
        <v>-</v>
      </c>
    </row>
    <row r="52" spans="4:16" x14ac:dyDescent="0.15">
      <c r="D52" s="390" t="s">
        <v>555</v>
      </c>
      <c r="G52" s="39" t="s">
        <v>393</v>
      </c>
      <c r="H52" s="39" t="s">
        <v>393</v>
      </c>
      <c r="I52" s="39" t="s">
        <v>393</v>
      </c>
      <c r="J52" s="24">
        <f>'Laskenta vesipatteri 250'!$I$29</f>
        <v>5.2541237693575016E-3</v>
      </c>
      <c r="K52" s="24">
        <f>'Laskenta vesipatteri 350'!$I$29</f>
        <v>3.3821297992367217E-3</v>
      </c>
      <c r="M52" t="str" cm="1">
        <f t="array" ref="M52">INDEX(G52:K52,1,$C$6)</f>
        <v>-</v>
      </c>
      <c r="N52" t="str">
        <f t="shared" si="34"/>
        <v>-</v>
      </c>
    </row>
    <row r="53" spans="4:16" x14ac:dyDescent="0.15">
      <c r="D53" s="391" t="s">
        <v>501</v>
      </c>
      <c r="E53" s="25"/>
      <c r="F53" s="25"/>
      <c r="G53" s="450" t="s">
        <v>393</v>
      </c>
      <c r="H53" s="450" t="s">
        <v>393</v>
      </c>
      <c r="I53" s="450" t="s">
        <v>393</v>
      </c>
      <c r="J53" s="26">
        <f>'Laskenta vesipatteri 250'!$I$30</f>
        <v>-1.6407323511738944E-2</v>
      </c>
      <c r="K53" s="26">
        <f>'Laskenta vesipatteri 350'!$I$30</f>
        <v>-1.3163844009835826E-2</v>
      </c>
      <c r="M53" t="str" cm="1">
        <f t="array" ref="M53">INDEX(G53:K53,1,$C$6)</f>
        <v>-</v>
      </c>
      <c r="N53" t="str">
        <f t="shared" si="34"/>
        <v>-</v>
      </c>
    </row>
    <row r="54" spans="4:16" x14ac:dyDescent="0.15">
      <c r="F54" t="s">
        <v>537</v>
      </c>
      <c r="J54" t="b">
        <f>'Laskenta vesipatteri 250'!$E$31</f>
        <v>1</v>
      </c>
      <c r="K54" t="b">
        <f>'Laskenta vesipatteri 350'!$E$31</f>
        <v>1</v>
      </c>
      <c r="M54" cm="1">
        <f t="array" ref="M54">IF(D40,INDEX(G54:K54,1,$C$6),TRUE)</f>
        <v>0</v>
      </c>
    </row>
    <row r="55" spans="4:16" x14ac:dyDescent="0.15">
      <c r="D55" s="233" t="s">
        <v>486</v>
      </c>
    </row>
    <row r="56" spans="4:16" x14ac:dyDescent="0.15">
      <c r="D56">
        <f>'Laskenta vesipatteri 350'!$I$7</f>
        <v>221.66666666666666</v>
      </c>
    </row>
    <row r="57" spans="4:16" x14ac:dyDescent="0.15">
      <c r="D57" s="2" t="str">
        <f>IF(OR($C$6=4,$C$6=5),D56,"-")</f>
        <v>-</v>
      </c>
    </row>
    <row r="58" spans="4:16" x14ac:dyDescent="0.15">
      <c r="M58" s="2" t="s">
        <v>565</v>
      </c>
    </row>
    <row r="59" spans="4:16" x14ac:dyDescent="0.15">
      <c r="M59" s="10" t="str" cm="1">
        <f t="array" ref="M59">IF(M47,INDEX(KirjastoC!D4:K130,127,KirjastoC!B4),"")</f>
        <v/>
      </c>
      <c r="N59" s="22"/>
      <c r="O59" s="22"/>
      <c r="P59" s="21"/>
    </row>
    <row r="60" spans="4:16" x14ac:dyDescent="0.15">
      <c r="M60" s="14" t="str" cm="1">
        <f t="array" ref="M60">IF(M54,INDEX(KirjastoC!D4:K130,127,KirjastoC!B4),"")</f>
        <v/>
      </c>
      <c r="N60" s="25"/>
      <c r="O60" s="25"/>
      <c r="P60" s="26"/>
    </row>
    <row r="62" spans="4:16" x14ac:dyDescent="0.15">
      <c r="M62" s="10" t="str" cm="1">
        <f t="array" ref="M62">IF(OR($C$6=1,$C$6=2),IF('Laskenta tulopuoli C5'!AZ14,"",INDEX(KirjastoC!D4:K129,126,KirjastoC!B4)),INDEX(KirjastoC!D4:K125,105,KirjastoC!B4))</f>
        <v/>
      </c>
      <c r="N62" s="22"/>
      <c r="O62" s="22"/>
      <c r="P62" s="21"/>
    </row>
    <row r="63" spans="4:16" x14ac:dyDescent="0.15">
      <c r="M63" s="10" t="str">
        <f>IF(OR($C$6=4,$C$6=5),M59,"")</f>
        <v/>
      </c>
      <c r="N63" s="22"/>
      <c r="O63" s="22"/>
      <c r="P63" s="21"/>
    </row>
    <row r="64" spans="4:16" x14ac:dyDescent="0.15">
      <c r="M64" s="14" t="str">
        <f>IF(OR($C$6=4,$C$6=5),M60,"")</f>
        <v/>
      </c>
      <c r="N64" s="25"/>
      <c r="O64" s="25"/>
      <c r="P64" s="26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4209" r:id="rId4" name="Drop Down 1">
              <controlPr defaultSize="0" autoLine="0" autoPict="0">
                <anchor moveWithCells="1">
                  <from>
                    <xdr:col>4</xdr:col>
                    <xdr:colOff>152400</xdr:colOff>
                    <xdr:row>3</xdr:row>
                    <xdr:rowOff>12700</xdr:rowOff>
                  </from>
                  <to>
                    <xdr:col>11</xdr:col>
                    <xdr:colOff>152400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0" r:id="rId5" name="Drop Down 2">
              <controlPr defaultSize="0" autoLine="0" autoPict="0">
                <anchor moveWithCells="1">
                  <from>
                    <xdr:col>116</xdr:col>
                    <xdr:colOff>88900</xdr:colOff>
                    <xdr:row>3</xdr:row>
                    <xdr:rowOff>12700</xdr:rowOff>
                  </from>
                  <to>
                    <xdr:col>117</xdr:col>
                    <xdr:colOff>50800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211" r:id="rId6" name="Drop Down 3">
              <controlPr defaultSize="0" autoLine="0" autoPict="0">
                <anchor moveWithCells="1">
                  <from>
                    <xdr:col>22</xdr:col>
                    <xdr:colOff>25400</xdr:colOff>
                    <xdr:row>1</xdr:row>
                    <xdr:rowOff>76200</xdr:rowOff>
                  </from>
                  <to>
                    <xdr:col>23</xdr:col>
                    <xdr:colOff>825500</xdr:colOff>
                    <xdr:row>2</xdr:row>
                    <xdr:rowOff>101600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9C294-0033-4B74-B7CB-2C22639913D5}">
  <sheetPr codeName="Taul17"/>
  <dimension ref="B2:AQ49"/>
  <sheetViews>
    <sheetView topLeftCell="A4" workbookViewId="0">
      <selection activeCell="C4" sqref="C4"/>
    </sheetView>
  </sheetViews>
  <sheetFormatPr baseColWidth="10" defaultColWidth="8.83203125" defaultRowHeight="13" x14ac:dyDescent="0.15"/>
  <cols>
    <col min="2" max="2" width="22.5" customWidth="1"/>
  </cols>
  <sheetData>
    <row r="2" spans="2:43" ht="14" thickBot="1" x14ac:dyDescent="0.2">
      <c r="E2" t="s">
        <v>455</v>
      </c>
    </row>
    <row r="3" spans="2:43" ht="17" x14ac:dyDescent="0.15">
      <c r="B3" s="2" t="s">
        <v>79</v>
      </c>
      <c r="E3" t="s">
        <v>454</v>
      </c>
      <c r="F3" t="s">
        <v>456</v>
      </c>
      <c r="K3" s="1815" t="s">
        <v>427</v>
      </c>
      <c r="L3" s="1816"/>
      <c r="M3" s="1816"/>
      <c r="N3" s="1816"/>
      <c r="O3" s="1816"/>
      <c r="P3" s="1816"/>
      <c r="Q3" s="1817" t="s">
        <v>428</v>
      </c>
      <c r="R3" s="1817"/>
      <c r="S3" s="1817"/>
      <c r="T3" s="1817"/>
      <c r="U3" s="1817"/>
      <c r="V3" s="1817"/>
      <c r="W3" s="1807" t="s">
        <v>429</v>
      </c>
      <c r="X3" s="1816" t="s">
        <v>313</v>
      </c>
      <c r="Y3" s="1816"/>
      <c r="Z3" s="1816"/>
      <c r="AA3" s="1816"/>
      <c r="AB3" s="1816"/>
      <c r="AC3" s="1816"/>
      <c r="AD3" s="1816"/>
      <c r="AE3" s="1816"/>
      <c r="AF3" s="1807" t="s">
        <v>430</v>
      </c>
      <c r="AG3" s="1810" t="s">
        <v>431</v>
      </c>
    </row>
    <row r="4" spans="2:43" x14ac:dyDescent="0.15">
      <c r="B4" t="s">
        <v>7</v>
      </c>
      <c r="C4" s="314" t="str">
        <f>Tulokset!E38</f>
        <v>-</v>
      </c>
      <c r="D4" t="s">
        <v>25</v>
      </c>
      <c r="E4" s="313">
        <f>'R-series ALU'!E39/'R-series ALU'!E33^2</f>
        <v>0.84636734693877558</v>
      </c>
      <c r="F4" s="313">
        <f>AVERAGE(E4:E5)</f>
        <v>0.9521632653061225</v>
      </c>
      <c r="K4" s="1813" t="s">
        <v>432</v>
      </c>
      <c r="L4" s="1712" t="s">
        <v>433</v>
      </c>
      <c r="M4" s="1712" t="s">
        <v>434</v>
      </c>
      <c r="N4" s="1712" t="s">
        <v>435</v>
      </c>
      <c r="O4" s="1712" t="s">
        <v>436</v>
      </c>
      <c r="P4" s="1712" t="s">
        <v>437</v>
      </c>
      <c r="Q4" s="1814" t="s">
        <v>438</v>
      </c>
      <c r="R4" s="1814" t="s">
        <v>439</v>
      </c>
      <c r="S4" s="1814" t="s">
        <v>440</v>
      </c>
      <c r="T4" s="1814" t="s">
        <v>441</v>
      </c>
      <c r="U4" s="1814" t="s">
        <v>442</v>
      </c>
      <c r="V4" s="1814" t="s">
        <v>443</v>
      </c>
      <c r="W4" s="1808"/>
      <c r="X4" s="1809" t="s">
        <v>61</v>
      </c>
      <c r="Y4" s="1809" t="s">
        <v>62</v>
      </c>
      <c r="Z4" s="1809" t="s">
        <v>63</v>
      </c>
      <c r="AA4" s="1809" t="s">
        <v>64</v>
      </c>
      <c r="AB4" s="1809" t="s">
        <v>65</v>
      </c>
      <c r="AC4" s="1809" t="s">
        <v>66</v>
      </c>
      <c r="AD4" s="1809" t="s">
        <v>67</v>
      </c>
      <c r="AE4" s="1809" t="s">
        <v>68</v>
      </c>
      <c r="AF4" s="1808"/>
      <c r="AG4" s="1811"/>
    </row>
    <row r="5" spans="2:43" x14ac:dyDescent="0.15">
      <c r="B5" t="s">
        <v>8</v>
      </c>
      <c r="C5" s="314" t="str">
        <f>Tulokset!H38</f>
        <v>-</v>
      </c>
      <c r="D5" t="s">
        <v>25</v>
      </c>
      <c r="E5" s="313">
        <f>'R-series ALU'!G39/'R-series ALU'!G33^2</f>
        <v>1.0579591836734694</v>
      </c>
      <c r="K5" s="1813"/>
      <c r="L5" s="1712"/>
      <c r="M5" s="1712"/>
      <c r="N5" s="1712"/>
      <c r="O5" s="1712"/>
      <c r="P5" s="1712"/>
      <c r="Q5" s="1814"/>
      <c r="R5" s="1814"/>
      <c r="S5" s="1814"/>
      <c r="T5" s="1814"/>
      <c r="U5" s="1814"/>
      <c r="V5" s="1814"/>
      <c r="W5" s="1808"/>
      <c r="X5" s="1809"/>
      <c r="Y5" s="1809"/>
      <c r="Z5" s="1809"/>
      <c r="AA5" s="1809"/>
      <c r="AB5" s="1809"/>
      <c r="AC5" s="1809"/>
      <c r="AD5" s="1809"/>
      <c r="AE5" s="1809"/>
      <c r="AF5" s="1809"/>
      <c r="AG5" s="1812"/>
    </row>
    <row r="6" spans="2:43" x14ac:dyDescent="0.15">
      <c r="K6" s="308">
        <v>100</v>
      </c>
      <c r="L6" s="3">
        <v>9.9980000000000011</v>
      </c>
      <c r="M6" s="3">
        <v>345.6</v>
      </c>
      <c r="N6" s="3">
        <v>-64.028924709346654</v>
      </c>
      <c r="O6" s="3">
        <v>31.756873632767196</v>
      </c>
      <c r="P6" s="3">
        <v>95.78579834211385</v>
      </c>
      <c r="Q6" s="3">
        <v>100</v>
      </c>
      <c r="R6" s="3">
        <v>10.001000000000001</v>
      </c>
      <c r="S6" s="3">
        <v>366.1</v>
      </c>
      <c r="T6" s="3">
        <v>-79.000897073500028</v>
      </c>
      <c r="U6" s="3">
        <v>23.559591095089353</v>
      </c>
      <c r="V6" s="3">
        <v>102.56048816858939</v>
      </c>
      <c r="W6" s="3">
        <v>1023.831367997175</v>
      </c>
      <c r="X6" s="3">
        <v>69.944354434953652</v>
      </c>
      <c r="Y6" s="3">
        <v>66.442442059355784</v>
      </c>
      <c r="Z6" s="3">
        <v>58.164753109082021</v>
      </c>
      <c r="AA6" s="3">
        <v>45.033848136713658</v>
      </c>
      <c r="AB6" s="3">
        <v>39.586902452698837</v>
      </c>
      <c r="AC6" s="3">
        <v>38.272160465547479</v>
      </c>
      <c r="AD6" s="3">
        <v>38.517466643896555</v>
      </c>
      <c r="AE6" s="3">
        <v>37.52673013243556</v>
      </c>
      <c r="AF6" s="3">
        <v>71.759903439883232</v>
      </c>
      <c r="AG6" s="309">
        <v>54.052145206595526</v>
      </c>
      <c r="AI6" s="3">
        <f>X6-$AG6</f>
        <v>15.892209228358126</v>
      </c>
      <c r="AJ6" s="3">
        <f t="shared" ref="AJ6:AO14" si="0">Y6-$AG6</f>
        <v>12.390296852760258</v>
      </c>
      <c r="AK6" s="3">
        <f t="shared" si="0"/>
        <v>4.112607902486495</v>
      </c>
      <c r="AL6" s="3">
        <f t="shared" si="0"/>
        <v>-9.0182970698818679</v>
      </c>
      <c r="AM6" s="3">
        <f t="shared" si="0"/>
        <v>-14.465242753896689</v>
      </c>
      <c r="AN6" s="3">
        <f t="shared" si="0"/>
        <v>-15.779984741048047</v>
      </c>
      <c r="AO6" s="3">
        <f t="shared" si="0"/>
        <v>-15.534678562698971</v>
      </c>
      <c r="AP6" s="3">
        <f>AE6-$AG6</f>
        <v>-16.525415074159966</v>
      </c>
      <c r="AQ6" s="3"/>
    </row>
    <row r="7" spans="2:43" x14ac:dyDescent="0.15">
      <c r="B7" s="2" t="s">
        <v>88</v>
      </c>
      <c r="K7" s="308">
        <v>100</v>
      </c>
      <c r="L7" s="3">
        <v>9.9939</v>
      </c>
      <c r="M7" s="3">
        <v>295</v>
      </c>
      <c r="N7" s="3">
        <v>-130.36697343925576</v>
      </c>
      <c r="O7" s="3">
        <v>168.86179030109395</v>
      </c>
      <c r="P7" s="3">
        <v>299.22876374034973</v>
      </c>
      <c r="Q7" s="3">
        <v>100</v>
      </c>
      <c r="R7" s="3">
        <v>9.9873999999999974</v>
      </c>
      <c r="S7" s="3">
        <v>310.10000000000002</v>
      </c>
      <c r="T7" s="3">
        <v>-144.30650848150103</v>
      </c>
      <c r="U7" s="3">
        <v>158.44179166193612</v>
      </c>
      <c r="V7" s="3">
        <v>302.74830014343718</v>
      </c>
      <c r="W7" s="3">
        <v>912.58281565252344</v>
      </c>
      <c r="X7" s="3">
        <v>68.934606198098393</v>
      </c>
      <c r="Y7" s="3">
        <v>65.013265249389434</v>
      </c>
      <c r="Z7" s="3">
        <v>57.098562492395388</v>
      </c>
      <c r="AA7" s="3">
        <v>43.125181869049115</v>
      </c>
      <c r="AB7" s="3">
        <v>38.564168534984802</v>
      </c>
      <c r="AC7" s="3">
        <v>36.384242182618181</v>
      </c>
      <c r="AD7" s="3">
        <v>37.159369776419958</v>
      </c>
      <c r="AE7" s="3">
        <v>36.079431075497304</v>
      </c>
      <c r="AF7" s="3">
        <v>70.626022744765351</v>
      </c>
      <c r="AG7" s="309">
        <v>52.776208381479023</v>
      </c>
      <c r="AI7" s="3">
        <f t="shared" ref="AI7:AI14" si="1">X7-$AG7</f>
        <v>16.15839781661937</v>
      </c>
      <c r="AJ7" s="3">
        <f t="shared" si="0"/>
        <v>12.237056867910411</v>
      </c>
      <c r="AK7" s="3">
        <f t="shared" si="0"/>
        <v>4.3223541109163648</v>
      </c>
      <c r="AL7" s="3">
        <f t="shared" si="0"/>
        <v>-9.6510265124299082</v>
      </c>
      <c r="AM7" s="3">
        <f t="shared" si="0"/>
        <v>-14.212039846494221</v>
      </c>
      <c r="AN7" s="3">
        <f t="shared" si="0"/>
        <v>-16.391966198860842</v>
      </c>
      <c r="AO7" s="3">
        <f t="shared" si="0"/>
        <v>-15.616838605059066</v>
      </c>
      <c r="AP7" s="3">
        <f t="shared" ref="AP7:AP14" si="2">AE7-$AG7</f>
        <v>-16.696777305981719</v>
      </c>
      <c r="AQ7" s="3"/>
    </row>
    <row r="8" spans="2:43" x14ac:dyDescent="0.15">
      <c r="B8" t="s">
        <v>90</v>
      </c>
      <c r="K8" s="308">
        <v>100</v>
      </c>
      <c r="L8" s="3">
        <v>9.9953000000000003</v>
      </c>
      <c r="M8" s="3">
        <v>205.5</v>
      </c>
      <c r="N8" s="3">
        <v>-199.45251585140622</v>
      </c>
      <c r="O8" s="3">
        <v>297.73803406902653</v>
      </c>
      <c r="P8" s="3">
        <v>497.19054992043277</v>
      </c>
      <c r="Q8" s="3">
        <v>100</v>
      </c>
      <c r="R8" s="3">
        <v>10.019999999999998</v>
      </c>
      <c r="S8" s="3">
        <v>222.9</v>
      </c>
      <c r="T8" s="3">
        <v>-227.84147911245913</v>
      </c>
      <c r="U8" s="3">
        <v>277.15624577993214</v>
      </c>
      <c r="V8" s="3">
        <v>504.9977248923912</v>
      </c>
      <c r="W8" s="3">
        <v>714.25296036329905</v>
      </c>
      <c r="X8" s="3">
        <v>69.500148913211248</v>
      </c>
      <c r="Y8" s="3">
        <v>66.53050933060625</v>
      </c>
      <c r="Z8" s="3">
        <v>56.554531734825574</v>
      </c>
      <c r="AA8" s="3">
        <v>41.207128869549869</v>
      </c>
      <c r="AB8" s="3">
        <v>37.212637880414007</v>
      </c>
      <c r="AC8" s="3">
        <v>36.615562296469449</v>
      </c>
      <c r="AD8" s="3">
        <v>35.194774178601236</v>
      </c>
      <c r="AE8" s="3">
        <v>34.126363375665321</v>
      </c>
      <c r="AF8" s="3">
        <v>71.427778108560901</v>
      </c>
      <c r="AG8" s="309">
        <v>53.024004158793858</v>
      </c>
      <c r="AI8" s="3">
        <f t="shared" si="1"/>
        <v>16.47614475441739</v>
      </c>
      <c r="AJ8" s="3">
        <f t="shared" si="0"/>
        <v>13.506505171812393</v>
      </c>
      <c r="AK8" s="3">
        <f t="shared" si="0"/>
        <v>3.5305275760317159</v>
      </c>
      <c r="AL8" s="3">
        <f t="shared" si="0"/>
        <v>-11.816875289243988</v>
      </c>
      <c r="AM8" s="3">
        <f t="shared" si="0"/>
        <v>-15.81136627837985</v>
      </c>
      <c r="AN8" s="3">
        <f t="shared" si="0"/>
        <v>-16.408441862324409</v>
      </c>
      <c r="AO8" s="3">
        <f t="shared" si="0"/>
        <v>-17.829229980192622</v>
      </c>
      <c r="AP8" s="3">
        <f t="shared" si="2"/>
        <v>-18.897640783128537</v>
      </c>
      <c r="AQ8" s="3"/>
    </row>
    <row r="9" spans="2:43" x14ac:dyDescent="0.15">
      <c r="B9" t="s">
        <v>89</v>
      </c>
      <c r="K9" s="308">
        <v>80</v>
      </c>
      <c r="L9" s="3">
        <v>8.0030000000000001</v>
      </c>
      <c r="M9" s="3">
        <v>282.10000000000002</v>
      </c>
      <c r="N9" s="3">
        <v>-42.323972616678951</v>
      </c>
      <c r="O9" s="3">
        <v>21.239296194746526</v>
      </c>
      <c r="P9" s="3">
        <v>63.56326881142548</v>
      </c>
      <c r="Q9" s="3">
        <v>80</v>
      </c>
      <c r="R9" s="3">
        <v>8.0111999999999988</v>
      </c>
      <c r="S9" s="3">
        <v>304.10000000000002</v>
      </c>
      <c r="T9" s="3">
        <v>-53.428982848158206</v>
      </c>
      <c r="U9" s="3">
        <v>15.964517474551934</v>
      </c>
      <c r="V9" s="3">
        <v>69.393500322710139</v>
      </c>
      <c r="W9" s="3">
        <v>600.7118339877411</v>
      </c>
      <c r="X9" s="3">
        <v>67.234144561375444</v>
      </c>
      <c r="Y9" s="3">
        <v>62.301237505305579</v>
      </c>
      <c r="Z9" s="3">
        <v>54.116525954893504</v>
      </c>
      <c r="AA9" s="3">
        <v>40.908330293533496</v>
      </c>
      <c r="AB9" s="3">
        <v>36.891389748200275</v>
      </c>
      <c r="AC9" s="3">
        <v>31.815109111480648</v>
      </c>
      <c r="AD9" s="3">
        <v>33.586514710521072</v>
      </c>
      <c r="AE9" s="3">
        <v>32.503268411335654</v>
      </c>
      <c r="AF9" s="3">
        <v>68.61477164480813</v>
      </c>
      <c r="AG9" s="309">
        <v>50.113323788361761</v>
      </c>
      <c r="AI9" s="3">
        <f t="shared" si="1"/>
        <v>17.120820773013683</v>
      </c>
      <c r="AJ9" s="3">
        <f t="shared" si="0"/>
        <v>12.187913716943818</v>
      </c>
      <c r="AK9" s="3">
        <f t="shared" si="0"/>
        <v>4.003202166531743</v>
      </c>
      <c r="AL9" s="3">
        <f t="shared" si="0"/>
        <v>-9.2049934948282655</v>
      </c>
      <c r="AM9" s="3">
        <f t="shared" si="0"/>
        <v>-13.221934040161486</v>
      </c>
      <c r="AN9" s="3">
        <f t="shared" si="0"/>
        <v>-18.298214676881113</v>
      </c>
      <c r="AO9" s="3">
        <f t="shared" si="0"/>
        <v>-16.526809077840689</v>
      </c>
      <c r="AP9" s="3">
        <f t="shared" si="2"/>
        <v>-17.610055377026107</v>
      </c>
      <c r="AQ9" s="3"/>
    </row>
    <row r="10" spans="2:43" x14ac:dyDescent="0.15">
      <c r="C10" t="s">
        <v>4</v>
      </c>
      <c r="D10" t="s">
        <v>5</v>
      </c>
      <c r="K10" s="308">
        <v>80</v>
      </c>
      <c r="L10" s="3">
        <v>8.0055000000000014</v>
      </c>
      <c r="M10" s="3">
        <v>240.1</v>
      </c>
      <c r="N10" s="3">
        <v>-83.924627548136982</v>
      </c>
      <c r="O10" s="3">
        <v>110.69146680385855</v>
      </c>
      <c r="P10" s="3">
        <v>194.61609435199554</v>
      </c>
      <c r="Q10" s="3">
        <v>80</v>
      </c>
      <c r="R10" s="3">
        <v>8.0047999999999995</v>
      </c>
      <c r="S10" s="3">
        <v>254.15</v>
      </c>
      <c r="T10" s="3">
        <v>-95.786151584433213</v>
      </c>
      <c r="U10" s="3">
        <v>104.86166544562084</v>
      </c>
      <c r="V10" s="3">
        <v>200.64781703005406</v>
      </c>
      <c r="W10" s="3">
        <v>517.97700404648128</v>
      </c>
      <c r="X10" s="3">
        <v>65.935988353671362</v>
      </c>
      <c r="Y10" s="3">
        <v>60.658209116503386</v>
      </c>
      <c r="Z10" s="3">
        <v>52.899307595035523</v>
      </c>
      <c r="AA10" s="3">
        <v>39.130727175198793</v>
      </c>
      <c r="AB10" s="3">
        <v>35.156725990297538</v>
      </c>
      <c r="AC10" s="3">
        <v>30.589415923041177</v>
      </c>
      <c r="AD10" s="3">
        <v>32.039247395855341</v>
      </c>
      <c r="AE10" s="3">
        <v>30.629523015730452</v>
      </c>
      <c r="AF10" s="3">
        <v>67.240126473337639</v>
      </c>
      <c r="AG10" s="309">
        <v>48.656389304625122</v>
      </c>
      <c r="AI10" s="3">
        <f t="shared" si="1"/>
        <v>17.27959904904624</v>
      </c>
      <c r="AJ10" s="3">
        <f t="shared" si="0"/>
        <v>12.001819811878264</v>
      </c>
      <c r="AK10" s="3">
        <f t="shared" si="0"/>
        <v>4.242918290410401</v>
      </c>
      <c r="AL10" s="3">
        <f t="shared" si="0"/>
        <v>-9.5256621294263297</v>
      </c>
      <c r="AM10" s="3">
        <f t="shared" si="0"/>
        <v>-13.499663314327584</v>
      </c>
      <c r="AN10" s="3">
        <f t="shared" si="0"/>
        <v>-18.066973381583946</v>
      </c>
      <c r="AO10" s="3">
        <f t="shared" si="0"/>
        <v>-16.617141908769781</v>
      </c>
      <c r="AP10" s="3">
        <f t="shared" si="2"/>
        <v>-18.02686628889467</v>
      </c>
      <c r="AQ10" s="3"/>
    </row>
    <row r="11" spans="2:43" x14ac:dyDescent="0.15">
      <c r="B11" t="s">
        <v>141</v>
      </c>
      <c r="C11" s="107">
        <f>L29</f>
        <v>21.558461915520574</v>
      </c>
      <c r="D11" s="107">
        <f>M29</f>
        <v>3.8866064051300953</v>
      </c>
      <c r="F11" t="s">
        <v>459</v>
      </c>
      <c r="K11" s="308">
        <v>80</v>
      </c>
      <c r="L11" s="3">
        <v>7.9989999999999997</v>
      </c>
      <c r="M11" s="3">
        <v>169.5</v>
      </c>
      <c r="N11" s="3">
        <v>-127.64123985851943</v>
      </c>
      <c r="O11" s="3">
        <v>190.70416856960969</v>
      </c>
      <c r="P11" s="3">
        <v>318.34540842812908</v>
      </c>
      <c r="Q11" s="3">
        <v>80</v>
      </c>
      <c r="R11" s="3">
        <v>7.9888999999999992</v>
      </c>
      <c r="S11" s="3">
        <v>180</v>
      </c>
      <c r="T11" s="3">
        <v>-149.71723373925749</v>
      </c>
      <c r="U11" s="3">
        <v>177.47819594028149</v>
      </c>
      <c r="V11" s="3">
        <v>327.19542967953902</v>
      </c>
      <c r="W11" s="3">
        <v>396.01528741861938</v>
      </c>
      <c r="X11" s="3">
        <v>67.296242328506921</v>
      </c>
      <c r="Y11" s="3">
        <v>61.083092167881539</v>
      </c>
      <c r="Z11" s="3">
        <v>51.443914007280675</v>
      </c>
      <c r="AA11" s="3">
        <v>37.436984984573357</v>
      </c>
      <c r="AB11" s="3">
        <v>33.991587281203188</v>
      </c>
      <c r="AC11" s="3">
        <v>30.612742948609988</v>
      </c>
      <c r="AD11" s="3">
        <v>28.798356475690717</v>
      </c>
      <c r="AE11" s="3">
        <v>27.71722744629594</v>
      </c>
      <c r="AF11" s="3">
        <v>68.324392306141064</v>
      </c>
      <c r="AG11" s="309">
        <v>48.64710508699757</v>
      </c>
      <c r="AI11" s="3">
        <f t="shared" si="1"/>
        <v>18.649137241509351</v>
      </c>
      <c r="AJ11" s="3">
        <f t="shared" si="0"/>
        <v>12.435987080883969</v>
      </c>
      <c r="AK11" s="3">
        <f t="shared" si="0"/>
        <v>2.7968089202831052</v>
      </c>
      <c r="AL11" s="3">
        <f t="shared" si="0"/>
        <v>-11.210120102424213</v>
      </c>
      <c r="AM11" s="3">
        <f t="shared" si="0"/>
        <v>-14.655517805794382</v>
      </c>
      <c r="AN11" s="3">
        <f t="shared" si="0"/>
        <v>-18.034362138387582</v>
      </c>
      <c r="AO11" s="3">
        <f t="shared" si="0"/>
        <v>-19.848748611306853</v>
      </c>
      <c r="AP11" s="3">
        <f t="shared" si="2"/>
        <v>-20.92987764070163</v>
      </c>
      <c r="AQ11" s="3"/>
    </row>
    <row r="12" spans="2:43" x14ac:dyDescent="0.15">
      <c r="B12" t="s">
        <v>457</v>
      </c>
      <c r="C12" s="107">
        <f>U28</f>
        <v>-0.57965010557602148</v>
      </c>
      <c r="D12" s="107">
        <f>V28</f>
        <v>-3.3707784927193938</v>
      </c>
      <c r="E12">
        <f>C12*LN(F4)+D12</f>
        <v>-3.3423647623106199</v>
      </c>
      <c r="F12" s="213">
        <f>IF(E12&lt;-1,-1,IF(E12&gt;1,1,E12))</f>
        <v>-1</v>
      </c>
      <c r="G12" t="s">
        <v>31</v>
      </c>
      <c r="K12" s="308">
        <v>60</v>
      </c>
      <c r="L12" s="3">
        <v>5.988999999999999</v>
      </c>
      <c r="M12" s="3">
        <v>199.7</v>
      </c>
      <c r="N12" s="3">
        <v>-23.459373713588381</v>
      </c>
      <c r="O12" s="3">
        <v>10.910513665900297</v>
      </c>
      <c r="P12" s="3">
        <v>34.369887379488681</v>
      </c>
      <c r="Q12" s="3">
        <v>60</v>
      </c>
      <c r="R12" s="3">
        <v>5.9939999999999998</v>
      </c>
      <c r="S12" s="3">
        <v>218.2</v>
      </c>
      <c r="T12" s="3">
        <v>-27.4204270966043</v>
      </c>
      <c r="U12" s="3">
        <v>8.1606630098083706</v>
      </c>
      <c r="V12" s="3">
        <v>35.581090106412674</v>
      </c>
      <c r="W12" s="3">
        <v>259.35833531644158</v>
      </c>
      <c r="X12" s="3">
        <v>61.366762753653845</v>
      </c>
      <c r="Y12" s="3">
        <v>55.884924627314881</v>
      </c>
      <c r="Z12" s="3">
        <v>46.989125287479069</v>
      </c>
      <c r="AA12" s="3">
        <v>34.946790007381985</v>
      </c>
      <c r="AB12" s="3">
        <v>30.722183874220484</v>
      </c>
      <c r="AC12" s="3">
        <v>23.753305795418918</v>
      </c>
      <c r="AD12" s="3">
        <v>25.452754920157975</v>
      </c>
      <c r="AE12" s="3">
        <v>23.657990100749792</v>
      </c>
      <c r="AF12" s="3">
        <v>62.58320144579492</v>
      </c>
      <c r="AG12" s="309">
        <v>43.397891485041725</v>
      </c>
      <c r="AI12" s="3">
        <f t="shared" si="1"/>
        <v>17.968871268612119</v>
      </c>
      <c r="AJ12" s="3">
        <f t="shared" si="0"/>
        <v>12.487033142273155</v>
      </c>
      <c r="AK12" s="3">
        <f t="shared" si="0"/>
        <v>3.591233802437344</v>
      </c>
      <c r="AL12" s="3">
        <f t="shared" si="0"/>
        <v>-8.4511014776597406</v>
      </c>
      <c r="AM12" s="3">
        <f t="shared" si="0"/>
        <v>-12.675707610821242</v>
      </c>
      <c r="AN12" s="3">
        <f t="shared" si="0"/>
        <v>-19.644585689622808</v>
      </c>
      <c r="AO12" s="3">
        <f t="shared" si="0"/>
        <v>-17.94513656488375</v>
      </c>
      <c r="AP12" s="3">
        <f t="shared" si="2"/>
        <v>-19.739901384291933</v>
      </c>
      <c r="AQ12" s="3"/>
    </row>
    <row r="13" spans="2:43" x14ac:dyDescent="0.15">
      <c r="K13" s="308">
        <v>60</v>
      </c>
      <c r="L13" s="3">
        <v>5.9947999999999997</v>
      </c>
      <c r="M13" s="3">
        <v>173.95</v>
      </c>
      <c r="N13" s="3">
        <v>-41.97741313864146</v>
      </c>
      <c r="O13" s="3">
        <v>55.474149340767042</v>
      </c>
      <c r="P13" s="3">
        <v>97.451562479408508</v>
      </c>
      <c r="Q13" s="3">
        <v>60</v>
      </c>
      <c r="R13" s="3">
        <v>6.0069999999999988</v>
      </c>
      <c r="S13" s="3">
        <v>182.1</v>
      </c>
      <c r="T13" s="3">
        <v>-49.858537320759162</v>
      </c>
      <c r="U13" s="3">
        <v>53.024605703615251</v>
      </c>
      <c r="V13" s="3">
        <v>102.88314302437441</v>
      </c>
      <c r="W13" s="3">
        <v>220.49732692531043</v>
      </c>
      <c r="X13" s="3">
        <v>60.696326680480432</v>
      </c>
      <c r="Y13" s="3">
        <v>54.29788293029663</v>
      </c>
      <c r="Z13" s="3">
        <v>44.977806639831179</v>
      </c>
      <c r="AA13" s="3">
        <v>33.46182000852744</v>
      </c>
      <c r="AB13" s="3">
        <v>30.224885205480724</v>
      </c>
      <c r="AC13" s="3">
        <v>23.194924135847206</v>
      </c>
      <c r="AD13" s="3">
        <v>23.259405868737375</v>
      </c>
      <c r="AE13" s="3">
        <v>21.641169172190146</v>
      </c>
      <c r="AF13" s="3">
        <v>61.697410757595293</v>
      </c>
      <c r="AG13" s="309">
        <v>42.037975231571743</v>
      </c>
      <c r="AI13" s="3">
        <f t="shared" si="1"/>
        <v>18.658351448908689</v>
      </c>
      <c r="AJ13" s="3">
        <f t="shared" si="0"/>
        <v>12.259907698724888</v>
      </c>
      <c r="AK13" s="3">
        <f t="shared" si="0"/>
        <v>2.9398314082594368</v>
      </c>
      <c r="AL13" s="3">
        <f t="shared" si="0"/>
        <v>-8.576155223044303</v>
      </c>
      <c r="AM13" s="3">
        <f t="shared" si="0"/>
        <v>-11.813090026091018</v>
      </c>
      <c r="AN13" s="3">
        <f t="shared" si="0"/>
        <v>-18.843051095724537</v>
      </c>
      <c r="AO13" s="3">
        <f t="shared" si="0"/>
        <v>-18.778569362834368</v>
      </c>
      <c r="AP13" s="3">
        <f t="shared" si="2"/>
        <v>-20.396806059381596</v>
      </c>
      <c r="AQ13" s="3"/>
    </row>
    <row r="14" spans="2:43" ht="14" thickBot="1" x14ac:dyDescent="0.2">
      <c r="F14" t="s">
        <v>458</v>
      </c>
      <c r="H14" t="s">
        <v>460</v>
      </c>
      <c r="K14" s="310">
        <v>60</v>
      </c>
      <c r="L14" s="311">
        <v>6.0060000000000002</v>
      </c>
      <c r="M14" s="311">
        <v>128.4</v>
      </c>
      <c r="N14" s="311">
        <v>-62.401752628216236</v>
      </c>
      <c r="O14" s="311">
        <v>95.93427382776386</v>
      </c>
      <c r="P14" s="311">
        <v>158.33602645598009</v>
      </c>
      <c r="Q14" s="311">
        <v>60</v>
      </c>
      <c r="R14" s="311">
        <v>6.0003000000000002</v>
      </c>
      <c r="S14" s="311">
        <v>130</v>
      </c>
      <c r="T14" s="311">
        <v>-77.298695160468242</v>
      </c>
      <c r="U14" s="311">
        <v>89.519464554965609</v>
      </c>
      <c r="V14" s="311">
        <v>166.81815971543386</v>
      </c>
      <c r="W14" s="311">
        <v>173.13748215541941</v>
      </c>
      <c r="X14" s="311">
        <v>61.27583180576643</v>
      </c>
      <c r="Y14" s="311">
        <v>54.252490404039399</v>
      </c>
      <c r="Z14" s="311">
        <v>43.309075772355826</v>
      </c>
      <c r="AA14" s="311">
        <v>31.684610278627403</v>
      </c>
      <c r="AB14" s="311">
        <v>25.613292739404354</v>
      </c>
      <c r="AC14" s="311">
        <v>21.985333705734263</v>
      </c>
      <c r="AD14" s="311">
        <v>20.857122600026315</v>
      </c>
      <c r="AE14" s="311">
        <v>19.02380520290744</v>
      </c>
      <c r="AF14" s="311">
        <v>62.125402324774001</v>
      </c>
      <c r="AG14" s="312">
        <v>41.522310881079832</v>
      </c>
      <c r="AI14" s="3">
        <f t="shared" si="1"/>
        <v>19.753520924686597</v>
      </c>
      <c r="AJ14" s="3">
        <f t="shared" si="0"/>
        <v>12.730179522959567</v>
      </c>
      <c r="AK14" s="3">
        <f t="shared" si="0"/>
        <v>1.7867648912759933</v>
      </c>
      <c r="AL14" s="3">
        <f t="shared" si="0"/>
        <v>-9.8377006024524292</v>
      </c>
      <c r="AM14" s="3">
        <f t="shared" si="0"/>
        <v>-15.909018141675478</v>
      </c>
      <c r="AN14" s="3">
        <f t="shared" si="0"/>
        <v>-19.536977175345569</v>
      </c>
      <c r="AO14" s="3">
        <f t="shared" si="0"/>
        <v>-20.665188281053517</v>
      </c>
      <c r="AP14" s="3">
        <f t="shared" si="2"/>
        <v>-22.498505678172393</v>
      </c>
      <c r="AQ14" s="3"/>
    </row>
    <row r="15" spans="2:43" x14ac:dyDescent="0.15">
      <c r="B15" t="s">
        <v>91</v>
      </c>
      <c r="C15" s="314">
        <f>MAX(C4,C5)</f>
        <v>0</v>
      </c>
      <c r="D15" t="s">
        <v>25</v>
      </c>
      <c r="E15" s="82" t="s">
        <v>42</v>
      </c>
      <c r="F15" s="5" t="e">
        <f>C11*LN(C15)+D11</f>
        <v>#NUM!</v>
      </c>
      <c r="G15" t="s">
        <v>31</v>
      </c>
      <c r="H15" s="3" t="e">
        <f>F15+F12</f>
        <v>#NUM!</v>
      </c>
      <c r="I15" t="s">
        <v>31</v>
      </c>
    </row>
    <row r="16" spans="2:43" x14ac:dyDescent="0.15">
      <c r="B16" t="s">
        <v>92</v>
      </c>
      <c r="C16" s="79">
        <f>(2*MAX(C4,C5)+MIN(C4,C5))/3</f>
        <v>0</v>
      </c>
      <c r="D16" t="s">
        <v>25</v>
      </c>
      <c r="E16" s="82" t="s">
        <v>42</v>
      </c>
      <c r="F16" s="5" t="e">
        <f>C11*LN(C16)+D11</f>
        <v>#NUM!</v>
      </c>
      <c r="G16" t="s">
        <v>31</v>
      </c>
      <c r="H16" s="3" t="e">
        <f>F16+F12</f>
        <v>#NUM!</v>
      </c>
      <c r="I16" t="s">
        <v>31</v>
      </c>
      <c r="U16" s="2" t="s">
        <v>453</v>
      </c>
      <c r="AI16" s="3">
        <f>AVERAGE(AI6:AI14)</f>
        <v>17.550783611685731</v>
      </c>
      <c r="AJ16" s="3">
        <f t="shared" ref="AJ16:AP16" si="3">AVERAGE(AJ6:AJ14)</f>
        <v>12.470744429571859</v>
      </c>
      <c r="AK16" s="3">
        <f t="shared" si="3"/>
        <v>3.4806943409591775</v>
      </c>
      <c r="AL16" s="3">
        <f t="shared" si="3"/>
        <v>-9.699103544599005</v>
      </c>
      <c r="AM16" s="3">
        <f t="shared" si="3"/>
        <v>-14.029286646404659</v>
      </c>
      <c r="AN16" s="3">
        <f t="shared" si="3"/>
        <v>-17.889395217753208</v>
      </c>
      <c r="AO16" s="3">
        <f t="shared" si="3"/>
        <v>-17.706926772737738</v>
      </c>
      <c r="AP16" s="3">
        <f t="shared" si="3"/>
        <v>-19.035760621304281</v>
      </c>
    </row>
    <row r="17" spans="2:42" x14ac:dyDescent="0.15">
      <c r="L17" s="4" t="s">
        <v>25</v>
      </c>
      <c r="M17" s="4" t="s">
        <v>27</v>
      </c>
      <c r="N17" s="4" t="s">
        <v>444</v>
      </c>
      <c r="O17" s="4" t="s">
        <v>445</v>
      </c>
      <c r="P17" t="s">
        <v>446</v>
      </c>
      <c r="R17" t="s">
        <v>447</v>
      </c>
      <c r="S17" t="s">
        <v>87</v>
      </c>
      <c r="U17" t="s">
        <v>82</v>
      </c>
      <c r="V17" t="s">
        <v>448</v>
      </c>
      <c r="X17" t="s">
        <v>449</v>
      </c>
      <c r="AI17" s="3">
        <f>ROUND(AI16,0)</f>
        <v>18</v>
      </c>
      <c r="AJ17" s="3">
        <f t="shared" ref="AJ17:AP17" si="4">ROUND(AJ16,0)</f>
        <v>12</v>
      </c>
      <c r="AK17" s="3">
        <f t="shared" si="4"/>
        <v>3</v>
      </c>
      <c r="AL17" s="3">
        <f t="shared" si="4"/>
        <v>-10</v>
      </c>
      <c r="AM17" s="3">
        <f t="shared" si="4"/>
        <v>-14</v>
      </c>
      <c r="AN17" s="3">
        <f t="shared" si="4"/>
        <v>-18</v>
      </c>
      <c r="AO17" s="3">
        <f t="shared" si="4"/>
        <v>-18</v>
      </c>
      <c r="AP17" s="3">
        <f t="shared" si="4"/>
        <v>-19</v>
      </c>
    </row>
    <row r="18" spans="2:42" ht="14" x14ac:dyDescent="0.15">
      <c r="B18" s="83" t="s">
        <v>82</v>
      </c>
      <c r="K18" s="3"/>
      <c r="L18" s="5">
        <f>L6</f>
        <v>9.9980000000000011</v>
      </c>
      <c r="M18" s="6">
        <f>AG6</f>
        <v>54.052145206595526</v>
      </c>
      <c r="N18" s="99">
        <f>P6/M6^2</f>
        <v>8.0196175148723031E-4</v>
      </c>
      <c r="O18" s="99">
        <f>V6/S6^2</f>
        <v>7.6520997302445765E-4</v>
      </c>
      <c r="P18" s="213">
        <f>AVERAGE(N18:O18)</f>
        <v>7.8358586225584404E-4</v>
      </c>
      <c r="R18">
        <f t="shared" ref="R18:R26" si="5">$L$29*LN(L18)+$M$29</f>
        <v>53.522487316077793</v>
      </c>
      <c r="S18" s="3">
        <f>M18-R18</f>
        <v>0.52965789051773271</v>
      </c>
      <c r="U18">
        <f t="shared" ref="U18:U26" si="6">$U$28*LN(P18)+$V$28</f>
        <v>0.77466454202855406</v>
      </c>
      <c r="V18" s="84">
        <f>R18+U18</f>
        <v>54.297151858106346</v>
      </c>
      <c r="X18" s="3">
        <f>V18-M18</f>
        <v>0.24500665151082046</v>
      </c>
    </row>
    <row r="19" spans="2:42" x14ac:dyDescent="0.15">
      <c r="K19" s="3"/>
      <c r="L19" s="5">
        <f t="shared" ref="L19:L26" si="7">L7</f>
        <v>9.9939</v>
      </c>
      <c r="M19" s="6">
        <f t="shared" ref="M19:M26" si="8">AG7</f>
        <v>52.776208381479023</v>
      </c>
      <c r="N19" s="99">
        <f t="shared" ref="N19:N26" si="9">P7/M7^2</f>
        <v>3.4384230248819276E-3</v>
      </c>
      <c r="O19" s="99">
        <f t="shared" ref="O19:O26" si="10">V7/S7^2</f>
        <v>3.1483150169535471E-3</v>
      </c>
      <c r="P19" s="213">
        <f t="shared" ref="P19:P26" si="11">AVERAGE(N19:O19)</f>
        <v>3.2933690209177371E-3</v>
      </c>
      <c r="R19">
        <f t="shared" si="5"/>
        <v>53.513644765335449</v>
      </c>
      <c r="S19" s="3">
        <f t="shared" ref="S19:S26" si="12">M19-R19</f>
        <v>-0.7374363838564264</v>
      </c>
      <c r="U19">
        <f t="shared" si="6"/>
        <v>-5.7588787350060233E-2</v>
      </c>
      <c r="V19" s="84">
        <f t="shared" ref="V19:V26" si="13">R19+U19</f>
        <v>53.456055977985386</v>
      </c>
      <c r="X19" s="3">
        <f t="shared" ref="X19:X26" si="14">V19-M19</f>
        <v>0.67984759650636306</v>
      </c>
    </row>
    <row r="20" spans="2:42" x14ac:dyDescent="0.15">
      <c r="B20" s="2" t="s">
        <v>84</v>
      </c>
      <c r="K20" s="3"/>
      <c r="L20" s="5">
        <f t="shared" si="7"/>
        <v>9.9953000000000003</v>
      </c>
      <c r="M20" s="6">
        <f t="shared" si="8"/>
        <v>53.024004158793858</v>
      </c>
      <c r="N20" s="99">
        <f t="shared" si="9"/>
        <v>1.1773327174725056E-2</v>
      </c>
      <c r="O20" s="99">
        <f t="shared" si="10"/>
        <v>1.0164108316721305E-2</v>
      </c>
      <c r="P20" s="213">
        <f t="shared" si="11"/>
        <v>1.096871774572318E-2</v>
      </c>
      <c r="R20">
        <f t="shared" si="5"/>
        <v>53.516664580708863</v>
      </c>
      <c r="S20" s="3">
        <f t="shared" si="12"/>
        <v>-0.49266042191500503</v>
      </c>
      <c r="U20">
        <f t="shared" si="6"/>
        <v>-0.75498688269917702</v>
      </c>
      <c r="V20" s="84">
        <f t="shared" si="13"/>
        <v>52.761677698009684</v>
      </c>
      <c r="X20" s="3">
        <f t="shared" si="14"/>
        <v>-0.26232646078417332</v>
      </c>
    </row>
    <row r="21" spans="2:42" x14ac:dyDescent="0.15">
      <c r="B21" t="s">
        <v>85</v>
      </c>
      <c r="C21" t="s">
        <v>28</v>
      </c>
      <c r="D21" s="3" t="str">
        <f>'R-series ALU'!N54</f>
        <v>-</v>
      </c>
      <c r="E21" t="s">
        <v>31</v>
      </c>
      <c r="K21" s="3"/>
      <c r="L21" s="5">
        <f t="shared" si="7"/>
        <v>8.0030000000000001</v>
      </c>
      <c r="M21" s="6">
        <f t="shared" si="8"/>
        <v>50.113323788361761</v>
      </c>
      <c r="N21" s="99">
        <f t="shared" si="9"/>
        <v>7.9873009967434787E-4</v>
      </c>
      <c r="O21" s="99">
        <f t="shared" si="10"/>
        <v>7.5038812782047876E-4</v>
      </c>
      <c r="P21" s="213">
        <f t="shared" si="11"/>
        <v>7.7455911374741337E-4</v>
      </c>
      <c r="R21">
        <f t="shared" si="5"/>
        <v>48.724250594754039</v>
      </c>
      <c r="S21" s="3">
        <f t="shared" si="12"/>
        <v>1.3890731936077216</v>
      </c>
      <c r="U21">
        <f t="shared" si="6"/>
        <v>0.78138075180835287</v>
      </c>
      <c r="V21" s="84">
        <f t="shared" si="13"/>
        <v>49.505631346562396</v>
      </c>
      <c r="X21" s="3">
        <f t="shared" si="14"/>
        <v>-0.60769244179936521</v>
      </c>
    </row>
    <row r="22" spans="2:42" x14ac:dyDescent="0.15">
      <c r="B22" s="25"/>
      <c r="C22" s="25" t="s">
        <v>8</v>
      </c>
      <c r="D22" s="81" t="str">
        <f>'R-series ALU'!N55</f>
        <v>-</v>
      </c>
      <c r="E22" t="s">
        <v>31</v>
      </c>
      <c r="K22" s="3"/>
      <c r="L22" s="5">
        <f t="shared" si="7"/>
        <v>8.0055000000000014</v>
      </c>
      <c r="M22" s="6">
        <f t="shared" si="8"/>
        <v>48.656389304625122</v>
      </c>
      <c r="N22" s="99">
        <f t="shared" si="9"/>
        <v>3.3759377704797714E-3</v>
      </c>
      <c r="O22" s="99">
        <f t="shared" si="10"/>
        <v>3.1063773510820757E-3</v>
      </c>
      <c r="P22" s="213">
        <f t="shared" si="11"/>
        <v>3.2411575607809236E-3</v>
      </c>
      <c r="R22">
        <f t="shared" si="5"/>
        <v>48.730984037016214</v>
      </c>
      <c r="S22" s="3">
        <f t="shared" si="12"/>
        <v>-7.4594732391091156E-2</v>
      </c>
      <c r="U22">
        <f t="shared" si="6"/>
        <v>-4.8325676375312376E-2</v>
      </c>
      <c r="V22" s="84">
        <f t="shared" si="13"/>
        <v>48.6826583606409</v>
      </c>
      <c r="X22" s="3">
        <f t="shared" si="14"/>
        <v>2.6269056015777892E-2</v>
      </c>
    </row>
    <row r="23" spans="2:42" x14ac:dyDescent="0.15">
      <c r="C23" t="s">
        <v>87</v>
      </c>
      <c r="D23" s="3" t="e">
        <f>ABS(D21-D22)</f>
        <v>#VALUE!</v>
      </c>
      <c r="E23" t="s">
        <v>31</v>
      </c>
      <c r="K23" s="3"/>
      <c r="L23" s="5">
        <f t="shared" si="7"/>
        <v>7.9989999999999997</v>
      </c>
      <c r="M23" s="6">
        <f t="shared" si="8"/>
        <v>48.64710508699757</v>
      </c>
      <c r="N23" s="99">
        <f t="shared" si="9"/>
        <v>1.1080495590122922E-2</v>
      </c>
      <c r="O23" s="99">
        <f t="shared" si="10"/>
        <v>1.0098624372825278E-2</v>
      </c>
      <c r="P23" s="213">
        <f t="shared" si="11"/>
        <v>1.05895599814741E-2</v>
      </c>
      <c r="R23">
        <f t="shared" si="5"/>
        <v>48.71347271080726</v>
      </c>
      <c r="S23" s="3">
        <f t="shared" si="12"/>
        <v>-6.6367623809689746E-2</v>
      </c>
      <c r="U23">
        <f t="shared" si="6"/>
        <v>-0.73459550395123774</v>
      </c>
      <c r="V23" s="84">
        <f t="shared" si="13"/>
        <v>47.978877206856019</v>
      </c>
      <c r="X23" s="3">
        <f t="shared" si="14"/>
        <v>-0.66822788014155066</v>
      </c>
    </row>
    <row r="24" spans="2:42" x14ac:dyDescent="0.15">
      <c r="D24" s="3"/>
      <c r="K24" s="3"/>
      <c r="L24" s="5">
        <f t="shared" si="7"/>
        <v>5.988999999999999</v>
      </c>
      <c r="M24" s="6">
        <f t="shared" si="8"/>
        <v>43.397891485041725</v>
      </c>
      <c r="N24" s="99">
        <f t="shared" si="9"/>
        <v>8.6183073758079999E-4</v>
      </c>
      <c r="O24" s="99">
        <f t="shared" si="10"/>
        <v>7.4732542371113786E-4</v>
      </c>
      <c r="P24" s="213">
        <f t="shared" si="11"/>
        <v>8.0457808064596887E-4</v>
      </c>
      <c r="R24">
        <f t="shared" si="5"/>
        <v>42.474624562876087</v>
      </c>
      <c r="S24" s="3">
        <f t="shared" si="12"/>
        <v>0.92326692216563799</v>
      </c>
      <c r="U24">
        <f t="shared" si="6"/>
        <v>0.75934011613379315</v>
      </c>
      <c r="V24" s="84">
        <f t="shared" si="13"/>
        <v>43.23396467900988</v>
      </c>
      <c r="X24" s="3">
        <f t="shared" si="14"/>
        <v>-0.16392680603184573</v>
      </c>
    </row>
    <row r="25" spans="2:42" x14ac:dyDescent="0.15">
      <c r="B25" t="s">
        <v>86</v>
      </c>
      <c r="C25" t="s">
        <v>7</v>
      </c>
      <c r="D25" s="3" t="str">
        <f>'R-series ALU'!N53</f>
        <v>-</v>
      </c>
      <c r="E25" t="s">
        <v>31</v>
      </c>
      <c r="K25" s="3"/>
      <c r="L25" s="5">
        <f t="shared" si="7"/>
        <v>5.9947999999999997</v>
      </c>
      <c r="M25" s="6">
        <f t="shared" si="8"/>
        <v>42.037975231571743</v>
      </c>
      <c r="N25" s="99">
        <f t="shared" si="9"/>
        <v>3.2206233741101731E-3</v>
      </c>
      <c r="O25" s="99">
        <f t="shared" si="10"/>
        <v>3.1025895947720313E-3</v>
      </c>
      <c r="P25" s="213">
        <f t="shared" si="11"/>
        <v>3.1616064844411022E-3</v>
      </c>
      <c r="R25">
        <f t="shared" si="5"/>
        <v>42.495492582848584</v>
      </c>
      <c r="S25" s="3">
        <f t="shared" si="12"/>
        <v>-0.45751735127684157</v>
      </c>
      <c r="U25">
        <f t="shared" si="6"/>
        <v>-3.3921221542812852E-2</v>
      </c>
      <c r="V25" s="84">
        <f t="shared" si="13"/>
        <v>42.461571361305772</v>
      </c>
      <c r="X25" s="3">
        <f t="shared" si="14"/>
        <v>0.4235961297340296</v>
      </c>
    </row>
    <row r="26" spans="2:42" x14ac:dyDescent="0.15">
      <c r="B26" s="25"/>
      <c r="C26" s="25" t="s">
        <v>57</v>
      </c>
      <c r="D26" s="81" t="str">
        <f>'R-series ALU'!N56</f>
        <v>-</v>
      </c>
      <c r="E26" t="s">
        <v>31</v>
      </c>
      <c r="K26" s="3"/>
      <c r="L26" s="5">
        <f t="shared" si="7"/>
        <v>6.0060000000000002</v>
      </c>
      <c r="M26" s="6">
        <f t="shared" si="8"/>
        <v>41.522310881079832</v>
      </c>
      <c r="N26" s="99">
        <f t="shared" si="9"/>
        <v>9.6039456658017237E-3</v>
      </c>
      <c r="O26" s="99">
        <f t="shared" si="10"/>
        <v>9.8708970245818851E-3</v>
      </c>
      <c r="P26" s="213">
        <f t="shared" si="11"/>
        <v>9.7374213451918053E-3</v>
      </c>
      <c r="R26">
        <f t="shared" si="5"/>
        <v>42.535732374121807</v>
      </c>
      <c r="S26" s="3">
        <f t="shared" si="12"/>
        <v>-1.0134214930419745</v>
      </c>
      <c r="U26">
        <f t="shared" si="6"/>
        <v>-0.68596733805203858</v>
      </c>
      <c r="V26" s="84">
        <f t="shared" si="13"/>
        <v>41.849765036069769</v>
      </c>
      <c r="X26" s="3">
        <f t="shared" si="14"/>
        <v>0.3274541549899368</v>
      </c>
    </row>
    <row r="27" spans="2:42" x14ac:dyDescent="0.15">
      <c r="C27" t="s">
        <v>87</v>
      </c>
      <c r="D27" s="3" t="e">
        <f>ABS(D25-D26)</f>
        <v>#VALUE!</v>
      </c>
      <c r="E27" t="s">
        <v>31</v>
      </c>
      <c r="K27" s="3"/>
      <c r="U27" t="s">
        <v>452</v>
      </c>
    </row>
    <row r="28" spans="2:42" x14ac:dyDescent="0.15">
      <c r="K28" s="3"/>
      <c r="L28" t="s">
        <v>451</v>
      </c>
      <c r="U28" s="2" cm="1">
        <f t="array" ref="U28:V28">LINEST(S18:S26,LN(P18:P26))</f>
        <v>-0.57965010557602148</v>
      </c>
      <c r="V28" s="2">
        <v>-3.3707784927193938</v>
      </c>
      <c r="X28" s="314">
        <f t="array" ref="X28">AVERAGE(ABS(X18:X26))</f>
        <v>0.37826079750154029</v>
      </c>
      <c r="Y28" t="s">
        <v>31</v>
      </c>
    </row>
    <row r="29" spans="2:42" x14ac:dyDescent="0.15">
      <c r="B29" t="s">
        <v>94</v>
      </c>
      <c r="C29" s="3" t="e">
        <f>AVERAGE(D27,D23)</f>
        <v>#VALUE!</v>
      </c>
      <c r="D29" t="s">
        <v>31</v>
      </c>
      <c r="L29" s="2">
        <f t="array" ref="L29:M29">LINEST(M18:M26,LN(L18:L26))</f>
        <v>21.558461915520574</v>
      </c>
      <c r="M29" s="2">
        <v>3.8866064051300953</v>
      </c>
    </row>
    <row r="30" spans="2:42" x14ac:dyDescent="0.15">
      <c r="B30" t="s">
        <v>93</v>
      </c>
      <c r="C30" s="3" t="e">
        <f>-10*LOG10((1-10^(-C29/10)))-3</f>
        <v>#VALUE!</v>
      </c>
      <c r="D30" t="s">
        <v>31</v>
      </c>
      <c r="U30" s="4" t="s">
        <v>22</v>
      </c>
      <c r="V30" s="4" t="s">
        <v>450</v>
      </c>
    </row>
    <row r="31" spans="2:42" x14ac:dyDescent="0.15">
      <c r="U31" s="4">
        <v>1</v>
      </c>
      <c r="V31" s="4">
        <v>-1</v>
      </c>
    </row>
    <row r="32" spans="2:42" x14ac:dyDescent="0.15">
      <c r="B32" t="s">
        <v>83</v>
      </c>
      <c r="C32" s="3" t="e">
        <f>H15+C30</f>
        <v>#NUM!</v>
      </c>
      <c r="D32" t="s">
        <v>31</v>
      </c>
    </row>
    <row r="33" spans="2:23" x14ac:dyDescent="0.15">
      <c r="B33" t="s">
        <v>95</v>
      </c>
      <c r="C33" s="3" t="e">
        <f>H15-2.6</f>
        <v>#NUM!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 t="e">
        <f>MIN(H15,IF(C29&lt;3,H16,IF(C29&gt;10,C33,C32)))</f>
        <v>#VALUE!</v>
      </c>
      <c r="D35" s="2" t="s">
        <v>31</v>
      </c>
      <c r="F35" s="5" t="e">
        <f>C35+10*LOG10(4/10)</f>
        <v>#VALUE!</v>
      </c>
      <c r="G35" s="5" t="e">
        <f>C35+10*LOG10(4/2.5)</f>
        <v>#VALUE!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315">
        <f>AI17</f>
        <v>18</v>
      </c>
      <c r="D39" s="315">
        <f t="shared" ref="D39:J39" si="15">AJ17</f>
        <v>12</v>
      </c>
      <c r="E39" s="315">
        <f t="shared" si="15"/>
        <v>3</v>
      </c>
      <c r="F39" s="315">
        <f t="shared" si="15"/>
        <v>-10</v>
      </c>
      <c r="G39" s="315">
        <f t="shared" si="15"/>
        <v>-14</v>
      </c>
      <c r="H39" s="315">
        <f t="shared" si="15"/>
        <v>-18</v>
      </c>
      <c r="I39" s="315">
        <f t="shared" si="15"/>
        <v>-18</v>
      </c>
      <c r="J39" s="315">
        <f t="shared" si="15"/>
        <v>-19</v>
      </c>
      <c r="K39" s="87" t="s">
        <v>42</v>
      </c>
      <c r="L39" s="86" t="e">
        <f>$C$35+C39</f>
        <v>#VALUE!</v>
      </c>
      <c r="M39" s="86" t="e">
        <f t="shared" ref="M39:S39" si="16">$C$35+D39</f>
        <v>#VALUE!</v>
      </c>
      <c r="N39" s="86" t="e">
        <f t="shared" si="16"/>
        <v>#VALUE!</v>
      </c>
      <c r="O39" s="86" t="e">
        <f t="shared" si="16"/>
        <v>#VALUE!</v>
      </c>
      <c r="P39" s="86" t="e">
        <f t="shared" si="16"/>
        <v>#VALUE!</v>
      </c>
      <c r="Q39" s="86" t="e">
        <f t="shared" si="16"/>
        <v>#VALUE!</v>
      </c>
      <c r="R39" s="86" t="e">
        <f t="shared" si="16"/>
        <v>#VALUE!</v>
      </c>
      <c r="S39" s="86" t="e">
        <f t="shared" si="16"/>
        <v>#VALUE!</v>
      </c>
      <c r="T39" s="5" t="e">
        <f t="array" ref="T39">10*LOG10(SUM(10^(L39:S39/10)))</f>
        <v>#VALUE!</v>
      </c>
      <c r="U39" s="5" t="e">
        <f t="array" ref="U39">10*LOG10(SUM(10^((L39:S39+L41:S41)/10)))</f>
        <v>#VALUE!</v>
      </c>
      <c r="W39" t="e">
        <f>IF(ABS(C35-U39)&lt;0.5,"OK","Tarkista laskenta!")</f>
        <v>#VALUE!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mergeCells count="26"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</mergeCell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5EF2-C802-4CA3-9487-9354945BF945}">
  <sheetPr codeName="Taul19"/>
  <dimension ref="C2:AP99"/>
  <sheetViews>
    <sheetView zoomScale="70" zoomScaleNormal="70" workbookViewId="0">
      <selection activeCell="AE53" sqref="AE53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 ALU'!$E$33</f>
        <v>9.7222222222222214</v>
      </c>
      <c r="K3" t="s">
        <v>13</v>
      </c>
      <c r="L3" s="122">
        <f>'R-series ALU'!$E$39</f>
        <v>80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19.180279968471655</v>
      </c>
      <c r="Q5" s="52">
        <v>1.4530147399260187</v>
      </c>
      <c r="R5" t="s">
        <v>28</v>
      </c>
      <c r="T5" s="4"/>
      <c r="U5" s="39" t="s">
        <v>43</v>
      </c>
      <c r="V5" t="s">
        <v>28</v>
      </c>
      <c r="W5" s="9">
        <f>$P$5*LN($J$3)+$Q$5</f>
        <v>45.076916167602555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21.838064363658152</v>
      </c>
      <c r="Q6" s="52">
        <v>5.6718033999440181</v>
      </c>
      <c r="R6" t="s">
        <v>7</v>
      </c>
      <c r="T6" s="4"/>
      <c r="U6" s="39" t="s">
        <v>43</v>
      </c>
      <c r="V6" t="s">
        <v>7</v>
      </c>
      <c r="W6" s="9">
        <f>$P$6*LN($J$3)+$Q$6</f>
        <v>55.340607439168373</v>
      </c>
      <c r="X6" t="s">
        <v>31</v>
      </c>
      <c r="AA6" s="55">
        <v>25</v>
      </c>
      <c r="AB6" s="56">
        <f t="shared" ref="AB6:AB12" si="0">(-$D$9-SQRT($D$9^2-(4*$C$9*($E$9-AA6))))/(2*$C$9)</f>
        <v>105.55992375280067</v>
      </c>
      <c r="AC6" s="55">
        <v>20</v>
      </c>
      <c r="AD6" s="57">
        <f t="shared" ref="AD6:AD12" si="1">(-$D$14-SQRT($D$14^2-(4*$C$14*($E$14-AC6))))/(2*$C$14)</f>
        <v>80.704641716435873</v>
      </c>
      <c r="AE6" s="55">
        <v>10</v>
      </c>
      <c r="AF6" s="57">
        <f t="shared" ref="AF6:AF11" si="2">(-$D$19-SQRT($D$19^2-(4*$C$19*($E$19-AE6))))/(2*$C$19)</f>
        <v>54.339001915022031</v>
      </c>
      <c r="AG6" s="56">
        <v>10</v>
      </c>
      <c r="AH6" s="57">
        <f>(-$D$24-SQRT($D$24^2-(4*$C$24*($E$24-AG6))))/(2*$C$24)</f>
        <v>20.411043893478237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91.334084830633799</v>
      </c>
      <c r="AC7" s="55">
        <v>50</v>
      </c>
      <c r="AD7" s="57">
        <f t="shared" si="1"/>
        <v>73.838694391688321</v>
      </c>
      <c r="AE7" s="55">
        <v>40</v>
      </c>
      <c r="AF7" s="57">
        <f t="shared" si="2"/>
        <v>44.807769064929076</v>
      </c>
      <c r="AG7" s="56">
        <v>20</v>
      </c>
      <c r="AH7" s="57">
        <f>(-$D$24-SQRT($D$24^2-(4*$C$24*($E$24-AG7))))/(2*$C$24)</f>
        <v>15.414623288200497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79.861474107511413</v>
      </c>
      <c r="AC8" s="55">
        <v>100</v>
      </c>
      <c r="AD8" s="57">
        <f t="shared" si="1"/>
        <v>61.665564184927057</v>
      </c>
      <c r="AE8" s="55">
        <v>60</v>
      </c>
      <c r="AF8" s="57">
        <f t="shared" si="2"/>
        <v>38.065608935044438</v>
      </c>
      <c r="AG8" s="56">
        <v>25</v>
      </c>
      <c r="AH8" s="57">
        <f>(-$D$24-SQRT($D$24^2-(4*$C$24*($E$24-AG8))))/(2*$C$24)</f>
        <v>12.814599421780468</v>
      </c>
    </row>
    <row r="9" spans="3:34" x14ac:dyDescent="0.15">
      <c r="C9" s="8">
        <v>-2.2433298857689056E-2</v>
      </c>
      <c r="D9" s="8">
        <v>-2.2610071547254913</v>
      </c>
      <c r="E9" s="8">
        <v>513.64369267596055</v>
      </c>
      <c r="H9" s="2"/>
      <c r="P9" t="s">
        <v>23</v>
      </c>
      <c r="Q9" s="52">
        <f t="array" ref="Q9:R9">LINEST(AC35:AC37,U35:U37)</f>
        <v>3.0084490556008272</v>
      </c>
      <c r="R9" s="52">
        <v>-2.5587378757502446</v>
      </c>
      <c r="U9" s="39" t="s">
        <v>42</v>
      </c>
      <c r="V9" t="s">
        <v>44</v>
      </c>
      <c r="W9" s="9">
        <f>IF($J$3&gt;$AJ$35,($J$3-$R$10)/$Q$10,($J$3-$R$9)/$Q$9)</f>
        <v>4.0821565766948957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69.154705393973089</v>
      </c>
      <c r="AC9" s="55">
        <v>150</v>
      </c>
      <c r="AD9" s="57">
        <f t="shared" si="1"/>
        <v>48.356228284154241</v>
      </c>
      <c r="AE9" s="55">
        <v>80</v>
      </c>
      <c r="AF9" s="57">
        <f t="shared" si="2"/>
        <v>30.953738781884212</v>
      </c>
      <c r="AG9" s="56">
        <v>30</v>
      </c>
      <c r="AH9" s="57">
        <f>(-$D$24-SQRT($D$24^2-(4*$C$24*($E$24-AG9))))/(2*$C$24)</f>
        <v>10.138839913756215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LINEST(AJ34:AJ35,AI34:AI35)</f>
        <v>1.21750061661276</v>
      </c>
      <c r="R10" s="52">
        <v>10.873375416660259</v>
      </c>
      <c r="W10" t="b">
        <f>IF(AND(W9&lt;=10.01,'R-series ALU'!E33&gt;=W11),TRUE,FALSE)</f>
        <v>0</v>
      </c>
      <c r="AA10" s="55">
        <v>320</v>
      </c>
      <c r="AB10" s="56">
        <f t="shared" si="0"/>
        <v>55.301465600422567</v>
      </c>
      <c r="AC10" s="55">
        <v>170</v>
      </c>
      <c r="AD10" s="57">
        <f t="shared" si="1"/>
        <v>42.633564679818207</v>
      </c>
      <c r="AE10" s="55">
        <v>100</v>
      </c>
      <c r="AF10" s="57">
        <f t="shared" si="2"/>
        <v>23.403717201633526</v>
      </c>
      <c r="AG10" s="56">
        <v>34</v>
      </c>
      <c r="AH10" s="57">
        <f>(-$D$24-SQRT($D$24^2-(4*$C$24*($E$24-AG10))))/(2*$C$24)</f>
        <v>7.9390146933981729</v>
      </c>
    </row>
    <row r="11" spans="3:34" x14ac:dyDescent="0.15">
      <c r="C11" s="2" t="s">
        <v>114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39.334311694441077</v>
      </c>
      <c r="AC11" s="55">
        <v>190</v>
      </c>
      <c r="AD11" s="57">
        <f t="shared" si="1"/>
        <v>36.633999759441082</v>
      </c>
      <c r="AE11" s="55">
        <v>110</v>
      </c>
      <c r="AF11" s="57">
        <f t="shared" si="2"/>
        <v>19.436728566723829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400</v>
      </c>
      <c r="AB12" s="59">
        <f t="shared" si="0"/>
        <v>36.814967342900474</v>
      </c>
      <c r="AC12" s="58">
        <v>220</v>
      </c>
      <c r="AD12" s="60">
        <f t="shared" si="1"/>
        <v>27.014459006801598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0.16332498780129734</v>
      </c>
      <c r="Q13" s="51">
        <v>-1.4964688650083668</v>
      </c>
      <c r="R13" s="51">
        <v>8.3225991197711195</v>
      </c>
      <c r="U13" s="39" t="s">
        <v>43</v>
      </c>
      <c r="V13" t="s">
        <v>44</v>
      </c>
      <c r="W13" s="9">
        <f>$P$13*J3^2+$Q$13*J3+$R$13</f>
        <v>9.2113362390253641</v>
      </c>
      <c r="X13" t="s">
        <v>49</v>
      </c>
    </row>
    <row r="14" spans="3:34" x14ac:dyDescent="0.15">
      <c r="C14" s="8">
        <v>-1.3760266882226247E-2</v>
      </c>
      <c r="D14" s="8">
        <v>-2.2428322199751851</v>
      </c>
      <c r="E14" s="8">
        <v>290.63088032834924</v>
      </c>
      <c r="H14" s="2"/>
      <c r="V14" t="s">
        <v>52</v>
      </c>
      <c r="W14" s="3">
        <f>IF(W13&gt;118,118,W13)</f>
        <v>9.2113362390253641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100'!W13</f>
        <v>9.0913459749100589</v>
      </c>
    </row>
    <row r="17" spans="3:38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8" x14ac:dyDescent="0.15">
      <c r="C18" t="s">
        <v>4</v>
      </c>
      <c r="D18" t="s">
        <v>5</v>
      </c>
      <c r="E18" t="s">
        <v>6</v>
      </c>
      <c r="H18" s="1"/>
    </row>
    <row r="19" spans="3:38" x14ac:dyDescent="0.15">
      <c r="C19" s="8">
        <v>-1.1130949340999082E-2</v>
      </c>
      <c r="D19" s="8">
        <v>-2.0439489619943845</v>
      </c>
      <c r="E19" s="8">
        <v>153.93280265205709</v>
      </c>
      <c r="V19" s="74" t="s">
        <v>74</v>
      </c>
      <c r="W19" s="77">
        <f>W13+W16+W17</f>
        <v>21.302682213935423</v>
      </c>
      <c r="X19" s="75" t="s">
        <v>49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V21" t="s">
        <v>78</v>
      </c>
      <c r="W21">
        <f>MAX(J3,'Laskenta poistopuoli 60'!J3)</f>
        <v>9.7222222222222214</v>
      </c>
      <c r="X21" t="s">
        <v>13</v>
      </c>
      <c r="AB21" s="6"/>
      <c r="AC21" s="6"/>
    </row>
    <row r="22" spans="3:38" ht="15" x14ac:dyDescent="0.15">
      <c r="C22" t="s">
        <v>11</v>
      </c>
      <c r="D22" s="1"/>
      <c r="E22" s="1"/>
      <c r="H22" s="1"/>
      <c r="V22" t="s">
        <v>75</v>
      </c>
      <c r="W22">
        <f>W19/W21</f>
        <v>2.1911330277190721</v>
      </c>
      <c r="X22" t="s">
        <v>77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-1.0317131036642325E-2</v>
      </c>
      <c r="D24" s="8">
        <v>-1.6318146807999949</v>
      </c>
      <c r="E24" s="8">
        <v>47.605268391279175</v>
      </c>
      <c r="H24" s="1"/>
    </row>
    <row r="25" spans="3:38" x14ac:dyDescent="0.15"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0.84636734693877569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</row>
    <row r="34" spans="21:42" x14ac:dyDescent="0.15">
      <c r="U34" s="35">
        <v>10</v>
      </c>
      <c r="V34" s="98">
        <f>C9</f>
        <v>-2.2433298857689056E-2</v>
      </c>
      <c r="W34" s="99">
        <f>D9</f>
        <v>-2.2610071547254913</v>
      </c>
      <c r="X34" s="100">
        <f>E9</f>
        <v>513.64369267596055</v>
      </c>
      <c r="Y34" s="36">
        <f>C9-U29</f>
        <v>-0.86880064579646477</v>
      </c>
      <c r="Z34" s="28">
        <f>(-W34+SQRT(W34^2-(4*Y34*X34)))/(2*Y34)</f>
        <v>-25.650828030848139</v>
      </c>
      <c r="AA34" s="29">
        <f>(-W34-SQRT(W34^2-(4*Y34*X34)))/(2*Y34)</f>
        <v>23.048381582787858</v>
      </c>
      <c r="AB34" s="36">
        <f>AB6</f>
        <v>105.55992375280067</v>
      </c>
      <c r="AC34" s="53">
        <f>IF(Z34&lt;0,AA34,IF(Z34&gt;AB34,AA34,Z34))</f>
        <v>23.048381582787858</v>
      </c>
      <c r="AD34" s="53">
        <f>V34*AC34^2+W34*AC34+X34</f>
        <v>449.61394291408317</v>
      </c>
      <c r="AE34" s="53">
        <f>X51*AC34^2+Y51*AC34+Z51</f>
        <v>60.663143218065123</v>
      </c>
      <c r="AF34" s="53">
        <f>$H$60*AC34^2+$I$60*AC34+$J$60</f>
        <v>61.718791423748407</v>
      </c>
      <c r="AG34" s="53">
        <f>$R$60*AC34^2+$S$60*AC34+$T$60</f>
        <v>74.465040417154015</v>
      </c>
      <c r="AI34">
        <v>10</v>
      </c>
      <c r="AJ34" s="3">
        <f>AC34</f>
        <v>23.048381582787858</v>
      </c>
      <c r="AL34" s="616">
        <f>AC34/$J$3-1</f>
        <v>1.3706906770867513</v>
      </c>
      <c r="AO34" s="278" t="b">
        <f>IF(AL36&gt;AC34,FALSE,TRUE)</f>
        <v>1</v>
      </c>
      <c r="AP34" t="s">
        <v>1117</v>
      </c>
    </row>
    <row r="35" spans="21:42" x14ac:dyDescent="0.15">
      <c r="U35" s="35">
        <v>6.5</v>
      </c>
      <c r="V35" s="98">
        <f>C14</f>
        <v>-1.3760266882226247E-2</v>
      </c>
      <c r="W35" s="99">
        <f>D14</f>
        <v>-2.2428322199751851</v>
      </c>
      <c r="X35" s="100">
        <f>E14</f>
        <v>290.63088032834924</v>
      </c>
      <c r="Y35" s="36">
        <f>C14-U29</f>
        <v>-0.86012761382100189</v>
      </c>
      <c r="Z35" s="28">
        <f t="shared" ref="Z35:Z37" si="3">(-W35+SQRT(W35^2-(4*Y35*X35)))/(2*Y35)</f>
        <v>-19.731816737476453</v>
      </c>
      <c r="AA35" s="29">
        <f t="shared" ref="AA35:AA37" si="4">(-W35-SQRT(W35^2-(4*Y35*X35)))/(2*Y35)</f>
        <v>17.12425922631633</v>
      </c>
      <c r="AB35" s="36">
        <f>AD6</f>
        <v>80.704641716435873</v>
      </c>
      <c r="AC35" s="53">
        <f t="shared" ref="AC35:AC37" si="5">IF(Z35&lt;0,AA35,IF(Z35&gt;AB35,AA35,Z35))</f>
        <v>17.12425922631633</v>
      </c>
      <c r="AD35" s="53">
        <f>V35*AC35^2+W35*AC35+X35</f>
        <v>248.1889758360187</v>
      </c>
      <c r="AE35" s="53">
        <f t="shared" ref="AE35:AE37" si="6">X52*AC35^2+Y52*AC35+Z52</f>
        <v>30.351489945261093</v>
      </c>
      <c r="AF35" s="53">
        <f>$H$65*AC35^2+$I$65*AC35+$J$65</f>
        <v>55.992618025465205</v>
      </c>
      <c r="AG35" s="53">
        <f>$R$65*AC35^2+$S$65*AC35+$T$65</f>
        <v>67.978418462728925</v>
      </c>
      <c r="AI35">
        <v>7.5</v>
      </c>
      <c r="AJ35" s="3">
        <f>Q9*AI35+R9</f>
        <v>20.004630041255957</v>
      </c>
      <c r="AL35" t="s">
        <v>1114</v>
      </c>
      <c r="AO35" t="s">
        <v>1116</v>
      </c>
    </row>
    <row r="36" spans="21:42" x14ac:dyDescent="0.15">
      <c r="U36" s="35">
        <v>5</v>
      </c>
      <c r="V36" s="98">
        <f>C19</f>
        <v>-1.1130949340999082E-2</v>
      </c>
      <c r="W36" s="99">
        <f>D19</f>
        <v>-2.0439489619943845</v>
      </c>
      <c r="X36" s="100">
        <f>E19</f>
        <v>153.93280265205709</v>
      </c>
      <c r="Y36" s="36">
        <f>C19-U29</f>
        <v>-0.85749829627977481</v>
      </c>
      <c r="Z36" s="28">
        <f t="shared" si="3"/>
        <v>-14.642989166827112</v>
      </c>
      <c r="AA36" s="29">
        <f t="shared" si="4"/>
        <v>12.259370481096793</v>
      </c>
      <c r="AB36" s="36">
        <f>AF6</f>
        <v>54.339001915022031</v>
      </c>
      <c r="AC36" s="53">
        <f t="shared" si="5"/>
        <v>12.259370481096793</v>
      </c>
      <c r="AD36" s="53">
        <f>V36*AC36^2+W36*AC36+X36</f>
        <v>127.20238061208329</v>
      </c>
      <c r="AE36" s="53">
        <f t="shared" si="6"/>
        <v>14.766244081657753</v>
      </c>
      <c r="AF36" s="53">
        <f>$H$70*AC36^2+$I$70*AC36+$J$70</f>
        <v>49.262696930107154</v>
      </c>
      <c r="AG36" s="53">
        <f>$R$70*AC36^2+$S$70*AC36+$T$70</f>
        <v>59.429962194941083</v>
      </c>
      <c r="AI36">
        <v>6.5</v>
      </c>
      <c r="AJ36" s="3">
        <f>AC35</f>
        <v>17.12425922631633</v>
      </c>
      <c r="AL36" s="609">
        <f>Tulokset!$CR$16</f>
        <v>11.666666666666666</v>
      </c>
      <c r="AM36" t="s">
        <v>13</v>
      </c>
      <c r="AO36" s="617">
        <f>IF($AL$36&gt;$AJ$35,($AL$36-$R$10)/$Q$10,($AL$36-$R$9)/$Q$9)</f>
        <v>4.7284844381637399</v>
      </c>
      <c r="AP36" t="s">
        <v>25</v>
      </c>
    </row>
    <row r="37" spans="21:42" x14ac:dyDescent="0.15">
      <c r="U37" s="38">
        <v>3</v>
      </c>
      <c r="V37" s="101">
        <f>C24</f>
        <v>-1.0317131036642325E-2</v>
      </c>
      <c r="W37" s="102">
        <f>D24</f>
        <v>-1.6318146807999949</v>
      </c>
      <c r="X37" s="103">
        <f>E24</f>
        <v>47.605268391279175</v>
      </c>
      <c r="Y37" s="37">
        <f>C24-U29</f>
        <v>-0.85668447797541802</v>
      </c>
      <c r="Z37" s="30">
        <f t="shared" si="3"/>
        <v>-8.4674704078621694</v>
      </c>
      <c r="AA37" s="31">
        <f t="shared" si="4"/>
        <v>6.5626679715481337</v>
      </c>
      <c r="AB37" s="37">
        <f>AH6</f>
        <v>20.411043893478237</v>
      </c>
      <c r="AC37" s="53">
        <f t="shared" si="5"/>
        <v>6.5626679715481337</v>
      </c>
      <c r="AD37" s="53">
        <f>V37*AC37^2+W37*AC37+X37</f>
        <v>36.451865947820188</v>
      </c>
      <c r="AE37" s="53">
        <f t="shared" si="6"/>
        <v>5.46271497231578</v>
      </c>
      <c r="AF37" s="53">
        <f>$H$75*AC37^2+$I$75*AC37+$J$75</f>
        <v>37.656505195411391</v>
      </c>
      <c r="AG37" s="53">
        <f>$R$75*AC37^2+$S$75*AC37+$T$75</f>
        <v>47.182352099335979</v>
      </c>
      <c r="AI37">
        <v>5</v>
      </c>
      <c r="AJ37" s="3">
        <f t="shared" ref="AJ37:AJ38" si="7">AC36</f>
        <v>12.259370481096793</v>
      </c>
      <c r="AL37" s="609">
        <f>Tulokset!$CR$17</f>
        <v>115.19999999999999</v>
      </c>
      <c r="AM37" t="s">
        <v>14</v>
      </c>
    </row>
    <row r="38" spans="21:42" x14ac:dyDescent="0.15">
      <c r="AI38">
        <v>3</v>
      </c>
      <c r="AJ38" s="3">
        <f t="shared" si="7"/>
        <v>6.5626679715481337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26</v>
      </c>
      <c r="V43" s="21"/>
      <c r="W43" s="49">
        <v>21</v>
      </c>
      <c r="X43" s="49">
        <v>10</v>
      </c>
      <c r="Y43" s="49">
        <v>3</v>
      </c>
      <c r="Z43" s="49">
        <v>-8</v>
      </c>
      <c r="AA43" s="49">
        <v>-20</v>
      </c>
      <c r="AB43" s="49">
        <v>-26</v>
      </c>
      <c r="AC43" s="49">
        <v>-34</v>
      </c>
      <c r="AD43" s="49">
        <v>-39</v>
      </c>
      <c r="AE43" s="39" t="s">
        <v>42</v>
      </c>
      <c r="AF43" s="53">
        <f>$W$5+W43</f>
        <v>66.076916167602548</v>
      </c>
      <c r="AG43" s="53">
        <f t="shared" ref="AG43:AM43" si="8">$W$5+X43</f>
        <v>55.076916167602555</v>
      </c>
      <c r="AH43" s="53">
        <f t="shared" si="8"/>
        <v>48.076916167602555</v>
      </c>
      <c r="AI43" s="53">
        <f t="shared" si="8"/>
        <v>37.076916167602555</v>
      </c>
      <c r="AJ43" s="53">
        <f t="shared" si="8"/>
        <v>25.076916167602555</v>
      </c>
      <c r="AK43" s="53">
        <f t="shared" si="8"/>
        <v>19.076916167602555</v>
      </c>
      <c r="AL43" s="53">
        <f t="shared" si="8"/>
        <v>11.076916167602555</v>
      </c>
      <c r="AM43" s="53">
        <f t="shared" si="8"/>
        <v>6.0769161676025547</v>
      </c>
      <c r="AN43" s="5">
        <f t="array" ref="AN43">10*LOG10(SUM(10^(AF43:AM43/10)))</f>
        <v>66.477573741024713</v>
      </c>
      <c r="AO43" s="5">
        <f t="array" ref="AO43">10*LOG10(SUM(10^((AF43:AM43+AF46:AM46)/10)))</f>
        <v>44.679991648027091</v>
      </c>
      <c r="AP43" t="str">
        <f>IF(ABS(W5-AO43)&lt;0.5,"OK","Tarkista laskenta!")</f>
        <v>OK</v>
      </c>
    </row>
    <row r="44" spans="21:42" x14ac:dyDescent="0.15">
      <c r="U44" s="14" t="s">
        <v>29</v>
      </c>
      <c r="V44" s="26"/>
      <c r="W44" s="49">
        <v>22</v>
      </c>
      <c r="X44" s="49">
        <v>7</v>
      </c>
      <c r="Y44" s="49">
        <v>-1</v>
      </c>
      <c r="Z44" s="49">
        <v>-4</v>
      </c>
      <c r="AA44" s="49">
        <v>-10</v>
      </c>
      <c r="AB44" s="49">
        <v>-12</v>
      </c>
      <c r="AC44" s="49">
        <v>-18</v>
      </c>
      <c r="AD44" s="49">
        <v>-28</v>
      </c>
      <c r="AE44" s="39" t="s">
        <v>43</v>
      </c>
      <c r="AF44" s="53">
        <f>$W$6+W44</f>
        <v>77.340607439168366</v>
      </c>
      <c r="AG44" s="53">
        <f t="shared" ref="AG44:AM44" si="9">$W$6+X44</f>
        <v>62.340607439168373</v>
      </c>
      <c r="AH44" s="53">
        <f t="shared" si="9"/>
        <v>54.340607439168373</v>
      </c>
      <c r="AI44" s="53">
        <f t="shared" si="9"/>
        <v>51.340607439168373</v>
      </c>
      <c r="AJ44" s="53">
        <f t="shared" si="9"/>
        <v>45.340607439168373</v>
      </c>
      <c r="AK44" s="53">
        <f t="shared" si="9"/>
        <v>43.340607439168373</v>
      </c>
      <c r="AL44" s="53">
        <f t="shared" si="9"/>
        <v>37.340607439168373</v>
      </c>
      <c r="AM44" s="53">
        <f t="shared" si="9"/>
        <v>27.340607439168373</v>
      </c>
      <c r="AN44" s="5">
        <f t="array" ref="AN44">10*LOG10(SUM(10^(AF44:AM44/10)))</f>
        <v>77.51213330740724</v>
      </c>
      <c r="AO44" s="5">
        <f t="array" ref="AO44">10*LOG10(SUM(10^((AF44:AM44+AF46:AM46)/10)))</f>
        <v>55.37421925764987</v>
      </c>
      <c r="AP44" t="str">
        <f>IF(ABS(W6-AO44)&lt;0.5,"OK","Tarkista laskenta!")</f>
        <v>OK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LINEST(Y59:Y66,X59:X66^{1,2})</f>
        <v>1.1019708129873754E-3</v>
      </c>
      <c r="Y51" s="54">
        <v>0.49949986878694219</v>
      </c>
      <c r="Z51" s="54">
        <v>48.565082007934905</v>
      </c>
    </row>
    <row r="52" spans="3:26" x14ac:dyDescent="0.15">
      <c r="W52" t="s">
        <v>114</v>
      </c>
      <c r="X52" s="54">
        <f t="array" ref="X52:Z52">LINEST(Y68:Y74,X68:X74^{1,2})</f>
        <v>3.3056674883169667E-3</v>
      </c>
      <c r="Y52" s="54">
        <v>0.10846434327603942</v>
      </c>
      <c r="Z52" s="54">
        <v>27.524763640110876</v>
      </c>
    </row>
    <row r="53" spans="3:26" x14ac:dyDescent="0.15">
      <c r="W53" t="s">
        <v>10</v>
      </c>
      <c r="X53" s="54">
        <f t="array" ref="X53:Z53">LINEST(Y76:Y82,X76:X82^{1,2})</f>
        <v>2.3976835076928613E-4</v>
      </c>
      <c r="Y53" s="54">
        <v>0.20093966601378838</v>
      </c>
      <c r="Z53" s="54">
        <v>12.266814967208909</v>
      </c>
    </row>
    <row r="54" spans="3:26" x14ac:dyDescent="0.15">
      <c r="W54" t="s">
        <v>12</v>
      </c>
      <c r="X54" s="54">
        <f t="array" ref="X54:Z54">LINEST(Y84:Y90,X84:X90^{1,2})</f>
        <v>-1.0064670513641066E-3</v>
      </c>
      <c r="Y54" s="54">
        <v>0.10696333911409533</v>
      </c>
      <c r="Z54" s="54">
        <v>4.8040972304055503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95.520909090909086</v>
      </c>
      <c r="E59" s="68">
        <v>60.180326897119542</v>
      </c>
      <c r="F59" s="69">
        <v>106.65063291523533</v>
      </c>
      <c r="H59" t="s">
        <v>4</v>
      </c>
      <c r="I59" t="s">
        <v>5</v>
      </c>
      <c r="K59" s="24"/>
      <c r="M59" s="10" t="s">
        <v>3</v>
      </c>
      <c r="N59" s="67">
        <v>95.407272727272726</v>
      </c>
      <c r="O59" s="68">
        <v>72.434028068386084</v>
      </c>
      <c r="P59" s="69">
        <v>106.19633938032837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95.520909090909086</v>
      </c>
      <c r="Y59" s="20">
        <f>F59</f>
        <v>106.65063291523533</v>
      </c>
    </row>
    <row r="60" spans="3:26" x14ac:dyDescent="0.15">
      <c r="C60" s="12"/>
      <c r="D60" s="67">
        <v>78.172727272727286</v>
      </c>
      <c r="E60" s="68">
        <v>61.456607403903462</v>
      </c>
      <c r="F60" s="69">
        <v>95.448490538974724</v>
      </c>
      <c r="H60" s="2">
        <f t="array" ref="H60:J60">LINEST(E59:E62,D59:D62^{1,2})</f>
        <v>-1.0982553884466228E-3</v>
      </c>
      <c r="I60" s="2">
        <v>0.10839165020177523</v>
      </c>
      <c r="J60" s="2">
        <v>59.803963206133574</v>
      </c>
      <c r="K60" s="24"/>
      <c r="M60" s="12"/>
      <c r="N60" s="67">
        <v>77.219090909090923</v>
      </c>
      <c r="O60" s="68">
        <v>73.081985525444978</v>
      </c>
      <c r="P60" s="69">
        <v>91.725088498374021</v>
      </c>
      <c r="R60" s="2">
        <f t="array" ref="R60:T60">LINEST(O59:O62,N59:N62^{1,2})</f>
        <v>-1.4051787516405751E-4</v>
      </c>
      <c r="S60" s="2">
        <v>-1.1427217610349823E-2</v>
      </c>
      <c r="T60" s="27">
        <v>74.80306630390146</v>
      </c>
      <c r="W60" s="12"/>
      <c r="X60" s="17">
        <f t="shared" ref="X60" si="10">D60</f>
        <v>78.172727272727286</v>
      </c>
      <c r="Y60" s="13">
        <f>F60</f>
        <v>95.448490538974724</v>
      </c>
    </row>
    <row r="61" spans="3:26" x14ac:dyDescent="0.15">
      <c r="C61" s="12"/>
      <c r="D61" s="67">
        <v>56.99727272727273</v>
      </c>
      <c r="E61" s="68">
        <v>62.50621121454131</v>
      </c>
      <c r="F61" s="69">
        <v>80.537498818479889</v>
      </c>
      <c r="K61" s="24"/>
      <c r="M61" s="12"/>
      <c r="N61" s="67">
        <v>59.029999999999994</v>
      </c>
      <c r="O61" s="68">
        <v>73.639643529409511</v>
      </c>
      <c r="P61" s="69">
        <v>82.855372720521331</v>
      </c>
      <c r="T61" s="24"/>
      <c r="W61" s="12"/>
      <c r="X61" s="17">
        <f t="shared" ref="X61" si="11">D61</f>
        <v>56.99727272727273</v>
      </c>
      <c r="Y61" s="13">
        <f>F61</f>
        <v>80.537498818479889</v>
      </c>
    </row>
    <row r="62" spans="3:26" x14ac:dyDescent="0.15">
      <c r="C62" s="14"/>
      <c r="D62" s="67">
        <v>32.736363636363635</v>
      </c>
      <c r="E62" s="68">
        <v>62.149005233465246</v>
      </c>
      <c r="F62" s="69">
        <v>66.133043858226713</v>
      </c>
      <c r="K62" s="24"/>
      <c r="M62" s="14"/>
      <c r="N62" s="67">
        <v>38.99818181818182</v>
      </c>
      <c r="O62" s="68">
        <v>74.143482700632447</v>
      </c>
      <c r="P62" s="69">
        <v>69.415027502984827</v>
      </c>
      <c r="T62" s="24"/>
      <c r="W62" s="12"/>
      <c r="X62" s="17">
        <f>D62</f>
        <v>32.736363636363635</v>
      </c>
      <c r="Y62" s="13">
        <f>F62</f>
        <v>66.133043858226713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N59</f>
        <v>95.407272727272726</v>
      </c>
      <c r="Y63" s="13">
        <f>P59</f>
        <v>106.19633938032837</v>
      </c>
    </row>
    <row r="64" spans="3:26" x14ac:dyDescent="0.15">
      <c r="C64" s="10" t="s">
        <v>114</v>
      </c>
      <c r="D64" s="67">
        <v>71.593636363636364</v>
      </c>
      <c r="E64" s="68">
        <v>55.838973854241011</v>
      </c>
      <c r="F64" s="69">
        <v>52.194949899355123</v>
      </c>
      <c r="H64" t="s">
        <v>4</v>
      </c>
      <c r="I64" t="s">
        <v>5</v>
      </c>
      <c r="K64" s="24"/>
      <c r="M64" s="10" t="s">
        <v>114</v>
      </c>
      <c r="N64" s="67">
        <v>71.99636363636364</v>
      </c>
      <c r="O64" s="68">
        <v>67.703973728550324</v>
      </c>
      <c r="P64" s="69">
        <v>52.536219188228884</v>
      </c>
      <c r="R64" t="s">
        <v>4</v>
      </c>
      <c r="S64" t="s">
        <v>5</v>
      </c>
      <c r="T64" s="24" t="s">
        <v>6</v>
      </c>
      <c r="W64" s="12"/>
      <c r="X64" s="17">
        <f>N60</f>
        <v>77.219090909090923</v>
      </c>
      <c r="Y64" s="13">
        <f>P60</f>
        <v>91.725088498374021</v>
      </c>
    </row>
    <row r="65" spans="3:25" x14ac:dyDescent="0.15">
      <c r="C65" s="12"/>
      <c r="D65" s="67">
        <v>58.130909090909093</v>
      </c>
      <c r="E65" s="68">
        <v>56.980393615773181</v>
      </c>
      <c r="F65" s="69">
        <v>45.464837323019012</v>
      </c>
      <c r="H65" s="2">
        <f t="array" ref="H65:J65">LINEST(E64:E67,D64:D67^{1,2})</f>
        <v>-1.4316881664672219E-3</v>
      </c>
      <c r="I65" s="2">
        <v>0.12588817640384847</v>
      </c>
      <c r="J65" s="2">
        <v>54.256704860852807</v>
      </c>
      <c r="K65" s="24"/>
      <c r="M65" s="12"/>
      <c r="N65" s="67">
        <v>56.690000000000012</v>
      </c>
      <c r="O65" s="68">
        <v>67.260898795552592</v>
      </c>
      <c r="P65" s="69">
        <v>43.668066011702436</v>
      </c>
      <c r="R65" s="2">
        <f t="array" ref="R65:T65">LINEST(O64:O67,N64:N67^{1,2})</f>
        <v>3.7721279960482786E-4</v>
      </c>
      <c r="S65" s="2">
        <v>-3.9883279660960939E-2</v>
      </c>
      <c r="T65" s="27">
        <v>68.550776105251828</v>
      </c>
      <c r="W65" s="12"/>
      <c r="X65" s="17">
        <f>N61</f>
        <v>59.029999999999994</v>
      </c>
      <c r="Y65" s="13">
        <f>P61</f>
        <v>82.855372720521331</v>
      </c>
    </row>
    <row r="66" spans="3:25" x14ac:dyDescent="0.15">
      <c r="C66" s="12"/>
      <c r="D66" s="67">
        <v>42.961818181818181</v>
      </c>
      <c r="E66" s="68">
        <v>56.813930556628023</v>
      </c>
      <c r="F66" s="69">
        <v>38.699649580468403</v>
      </c>
      <c r="K66" s="24"/>
      <c r="M66" s="12"/>
      <c r="N66" s="67">
        <v>44.324545454545458</v>
      </c>
      <c r="O66" s="68">
        <v>67.765318576720148</v>
      </c>
      <c r="P66" s="69">
        <v>38.977527480776331</v>
      </c>
      <c r="T66" s="24"/>
      <c r="W66" s="14"/>
      <c r="X66" s="18">
        <f>N62</f>
        <v>38.99818181818182</v>
      </c>
      <c r="Y66" s="15">
        <f>P62</f>
        <v>69.415027502984827</v>
      </c>
    </row>
    <row r="67" spans="3:25" x14ac:dyDescent="0.15">
      <c r="C67" s="14"/>
      <c r="D67" s="67">
        <v>24.492727272727276</v>
      </c>
      <c r="E67" s="68">
        <v>56.538389487610488</v>
      </c>
      <c r="F67" s="69">
        <v>32.090640557202242</v>
      </c>
      <c r="K67" s="24"/>
      <c r="M67" s="14"/>
      <c r="N67" s="67">
        <v>29.030909090909088</v>
      </c>
      <c r="O67" s="68">
        <v>67.64137602780049</v>
      </c>
      <c r="P67" s="69">
        <v>33.518757421823459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0" t="s">
        <v>114</v>
      </c>
      <c r="X68" s="19">
        <f>D64</f>
        <v>71.593636363636364</v>
      </c>
      <c r="Y68" s="20">
        <f>F64</f>
        <v>52.194949899355123</v>
      </c>
    </row>
    <row r="69" spans="3:25" x14ac:dyDescent="0.15">
      <c r="C69" s="10" t="s">
        <v>10</v>
      </c>
      <c r="D69" s="67">
        <v>48.453636363636363</v>
      </c>
      <c r="E69" s="68">
        <v>49.799365980303392</v>
      </c>
      <c r="F69" s="69">
        <v>22.084999954212599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49.231818181818191</v>
      </c>
      <c r="O69" s="68">
        <v>60.990690037945541</v>
      </c>
      <c r="P69" s="69">
        <v>23.249163831892666</v>
      </c>
      <c r="R69" t="s">
        <v>4</v>
      </c>
      <c r="S69" t="s">
        <v>5</v>
      </c>
      <c r="T69" s="24" t="s">
        <v>6</v>
      </c>
      <c r="W69" s="12"/>
      <c r="X69" s="17">
        <f t="shared" ref="X69" si="12">D65</f>
        <v>58.130909090909093</v>
      </c>
      <c r="Y69" s="13">
        <f t="shared" ref="Y69" si="13">F65</f>
        <v>45.464837323019012</v>
      </c>
    </row>
    <row r="70" spans="3:25" x14ac:dyDescent="0.15">
      <c r="C70" s="12"/>
      <c r="D70" s="67">
        <v>39.006666666666668</v>
      </c>
      <c r="E70" s="68">
        <v>50.541339372801886</v>
      </c>
      <c r="F70" s="69">
        <v>20.340828016323975</v>
      </c>
      <c r="H70" s="2">
        <f t="array" ref="H70:J70">LINEST(E69:E72,D69:D72^{1,2})</f>
        <v>-2.4813072563783746E-3</v>
      </c>
      <c r="I70" s="2">
        <v>0.16747253449120214</v>
      </c>
      <c r="J70" s="2">
        <v>47.582510122952144</v>
      </c>
      <c r="K70" s="24"/>
      <c r="M70" s="12"/>
      <c r="N70" s="67">
        <v>40.072727272727271</v>
      </c>
      <c r="O70" s="68">
        <v>60.942920884584417</v>
      </c>
      <c r="P70" s="69">
        <v>20.640400917798857</v>
      </c>
      <c r="R70" s="2">
        <f t="array" ref="R70:T70">LINEST(O69:O72,N69:N72^{1,2})</f>
        <v>-2.0466834695403832E-3</v>
      </c>
      <c r="S70" s="2">
        <v>0.16670571124716313</v>
      </c>
      <c r="T70" s="27">
        <v>57.693855608320867</v>
      </c>
      <c r="W70" s="12"/>
      <c r="X70" s="17">
        <f>D67</f>
        <v>24.492727272727276</v>
      </c>
      <c r="Y70" s="13">
        <f>F67</f>
        <v>32.090640557202242</v>
      </c>
    </row>
    <row r="71" spans="3:25" x14ac:dyDescent="0.15">
      <c r="C71" s="12"/>
      <c r="D71" s="67">
        <v>29.039090909090906</v>
      </c>
      <c r="E71" s="68">
        <v>50.173067772041257</v>
      </c>
      <c r="F71" s="69">
        <v>17.742840503077311</v>
      </c>
      <c r="K71" s="24"/>
      <c r="M71" s="12"/>
      <c r="N71" s="67">
        <v>30.720000000000002</v>
      </c>
      <c r="O71" s="68">
        <v>61.016773499151313</v>
      </c>
      <c r="P71" s="69">
        <v>18.90122564173631</v>
      </c>
      <c r="T71" s="24"/>
      <c r="W71" s="12"/>
      <c r="X71" s="17">
        <f>N64</f>
        <v>71.99636363636364</v>
      </c>
      <c r="Y71" s="13">
        <f>P64</f>
        <v>52.536219188228884</v>
      </c>
    </row>
    <row r="72" spans="3:25" x14ac:dyDescent="0.15">
      <c r="C72" s="14"/>
      <c r="D72" s="67">
        <v>17.136363636363637</v>
      </c>
      <c r="E72" s="68">
        <v>49.774669272965056</v>
      </c>
      <c r="F72" s="69">
        <v>15.776092335456077</v>
      </c>
      <c r="K72" s="24"/>
      <c r="M72" s="14"/>
      <c r="N72" s="67">
        <v>19.857272727272729</v>
      </c>
      <c r="O72" s="68">
        <v>60.158306495107098</v>
      </c>
      <c r="P72" s="69">
        <v>16.28554460898053</v>
      </c>
      <c r="T72" s="24"/>
      <c r="W72" s="12"/>
      <c r="X72" s="17">
        <f>N65</f>
        <v>56.690000000000012</v>
      </c>
      <c r="Y72" s="13">
        <f>P65</f>
        <v>43.668066011702436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44.324545454545458</v>
      </c>
      <c r="Y73" s="13">
        <f>P66</f>
        <v>38.977527480776331</v>
      </c>
    </row>
    <row r="74" spans="3:25" x14ac:dyDescent="0.15">
      <c r="C74" s="10" t="s">
        <v>12</v>
      </c>
      <c r="D74" s="67">
        <v>21.903636363636362</v>
      </c>
      <c r="E74" s="68">
        <v>38.632326393106936</v>
      </c>
      <c r="F74" s="69">
        <v>6.6132263513281977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21.793636363636359</v>
      </c>
      <c r="O74" s="68">
        <v>49.813501297965026</v>
      </c>
      <c r="P74" s="69">
        <v>6.6531657966354825</v>
      </c>
      <c r="R74" t="s">
        <v>4</v>
      </c>
      <c r="S74" t="s">
        <v>5</v>
      </c>
      <c r="T74" s="24" t="s">
        <v>6</v>
      </c>
      <c r="W74" s="14"/>
      <c r="X74" s="18">
        <f>N67</f>
        <v>29.030909090909088</v>
      </c>
      <c r="Y74" s="15">
        <f>P67</f>
        <v>33.518757421823459</v>
      </c>
    </row>
    <row r="75" spans="3:25" x14ac:dyDescent="0.15">
      <c r="C75" s="12"/>
      <c r="D75" s="67">
        <v>19.979090909090907</v>
      </c>
      <c r="E75" s="68">
        <v>39.344215844681003</v>
      </c>
      <c r="F75" s="69">
        <v>6.6144485250853018</v>
      </c>
      <c r="H75" s="2">
        <f t="array" ref="H75:J75">LINEST(E74:E77,D74:D77^{1,2})</f>
        <v>4.6809357438497299E-3</v>
      </c>
      <c r="I75" s="2">
        <v>-4.4231079421311992E-2</v>
      </c>
      <c r="J75" s="2">
        <v>37.745177683454479</v>
      </c>
      <c r="K75" s="24"/>
      <c r="M75" s="12"/>
      <c r="N75" s="67">
        <v>19.188181818181821</v>
      </c>
      <c r="O75" s="68">
        <v>50.04941091899903</v>
      </c>
      <c r="P75" s="69">
        <v>6.4972963143468565</v>
      </c>
      <c r="R75" s="2">
        <f t="array" ref="R75:T75">LINEST(O74:O77,N74:N77^{1,2})</f>
        <v>-1.5284862940544696E-2</v>
      </c>
      <c r="S75" s="2">
        <v>0.61031421618680159</v>
      </c>
      <c r="T75" s="27">
        <v>43.835360354905617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14.368181818181819</v>
      </c>
      <c r="E76" s="68">
        <v>37.758734004584319</v>
      </c>
      <c r="F76" s="69">
        <v>6.0285714153053958</v>
      </c>
      <c r="K76" s="24"/>
      <c r="M76" s="12"/>
      <c r="N76" s="67">
        <v>15.046363636363639</v>
      </c>
      <c r="O76" s="68">
        <v>49.468484079007489</v>
      </c>
      <c r="P76" s="69">
        <v>6.237904494197366</v>
      </c>
      <c r="T76" s="24"/>
      <c r="W76" s="10" t="s">
        <v>10</v>
      </c>
      <c r="X76" s="19">
        <f>D69</f>
        <v>48.453636363636363</v>
      </c>
      <c r="Y76" s="20">
        <f>F69</f>
        <v>22.084999954212599</v>
      </c>
    </row>
    <row r="77" spans="3:25" x14ac:dyDescent="0.15">
      <c r="C77" s="14"/>
      <c r="D77" s="67">
        <v>8.8800000000000008</v>
      </c>
      <c r="E77" s="68">
        <v>37.81432117265679</v>
      </c>
      <c r="F77" s="69">
        <v>5.783268035632072</v>
      </c>
      <c r="G77" s="25"/>
      <c r="H77" s="25"/>
      <c r="I77" s="25"/>
      <c r="J77" s="25"/>
      <c r="K77" s="26"/>
      <c r="M77" s="14"/>
      <c r="N77" s="67">
        <v>9.67090909090909</v>
      </c>
      <c r="O77" s="68">
        <v>48.329792466244619</v>
      </c>
      <c r="P77" s="69">
        <v>5.7652596451523648</v>
      </c>
      <c r="Q77" s="25"/>
      <c r="R77" s="25"/>
      <c r="S77" s="25"/>
      <c r="T77" s="26"/>
      <c r="W77" s="12"/>
      <c r="X77" s="17">
        <f t="shared" ref="X77" si="14">D70</f>
        <v>39.006666666666668</v>
      </c>
      <c r="Y77" s="13">
        <f>F70</f>
        <v>20.340828016323975</v>
      </c>
    </row>
    <row r="78" spans="3:25" x14ac:dyDescent="0.15">
      <c r="W78" s="12"/>
      <c r="X78" s="17">
        <f>D72</f>
        <v>17.136363636363637</v>
      </c>
      <c r="Y78" s="13">
        <f>F72</f>
        <v>15.776092335456077</v>
      </c>
    </row>
    <row r="79" spans="3:25" x14ac:dyDescent="0.15">
      <c r="F79" s="5"/>
      <c r="W79" s="12"/>
      <c r="X79" s="17">
        <f>N69</f>
        <v>49.231818181818191</v>
      </c>
      <c r="Y79" s="13">
        <f>P69</f>
        <v>23.249163831892666</v>
      </c>
    </row>
    <row r="80" spans="3:25" x14ac:dyDescent="0.15">
      <c r="F80" s="5"/>
      <c r="W80" s="12"/>
      <c r="X80" s="17">
        <f>N70</f>
        <v>40.072727272727271</v>
      </c>
      <c r="Y80" s="13">
        <f>P70</f>
        <v>20.640400917798857</v>
      </c>
    </row>
    <row r="81" spans="6:25" x14ac:dyDescent="0.15">
      <c r="F81" s="5"/>
      <c r="W81" s="12"/>
      <c r="X81" s="17">
        <f>N71</f>
        <v>30.720000000000002</v>
      </c>
      <c r="Y81" s="13">
        <f>P71</f>
        <v>18.90122564173631</v>
      </c>
    </row>
    <row r="82" spans="6:25" x14ac:dyDescent="0.15">
      <c r="F82" s="5"/>
      <c r="W82" s="14"/>
      <c r="X82" s="18">
        <f>N72</f>
        <v>19.857272727272729</v>
      </c>
      <c r="Y82" s="15">
        <f>P72</f>
        <v>16.28554460898053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21.903636363636362</v>
      </c>
      <c r="Y84" s="20">
        <f>F74</f>
        <v>6.6132263513281977</v>
      </c>
    </row>
    <row r="85" spans="6:25" x14ac:dyDescent="0.15">
      <c r="W85" s="12"/>
      <c r="X85" s="17">
        <f t="shared" ref="X85:X86" si="15">D75</f>
        <v>19.979090909090907</v>
      </c>
      <c r="Y85" s="13">
        <f>F75</f>
        <v>6.6144485250853018</v>
      </c>
    </row>
    <row r="86" spans="6:25" x14ac:dyDescent="0.15">
      <c r="W86" s="12"/>
      <c r="X86" s="17">
        <f t="shared" si="15"/>
        <v>14.368181818181819</v>
      </c>
      <c r="Y86" s="13">
        <f>F76</f>
        <v>6.0285714153053958</v>
      </c>
    </row>
    <row r="87" spans="6:25" x14ac:dyDescent="0.15">
      <c r="F87" s="5"/>
      <c r="W87" s="12"/>
      <c r="X87" s="17">
        <f>N74</f>
        <v>21.793636363636359</v>
      </c>
      <c r="Y87" s="13">
        <f>P74</f>
        <v>6.6531657966354825</v>
      </c>
    </row>
    <row r="88" spans="6:25" x14ac:dyDescent="0.15">
      <c r="F88" s="5"/>
      <c r="W88" s="12"/>
      <c r="X88" s="17">
        <f t="shared" ref="X88:X90" si="16">N75</f>
        <v>19.188181818181821</v>
      </c>
      <c r="Y88" s="13">
        <f>P75</f>
        <v>6.4972963143468565</v>
      </c>
    </row>
    <row r="89" spans="6:25" x14ac:dyDescent="0.15">
      <c r="F89" s="5"/>
      <c r="W89" s="12"/>
      <c r="X89" s="17">
        <f t="shared" si="16"/>
        <v>15.046363636363639</v>
      </c>
      <c r="Y89" s="13">
        <f>P76</f>
        <v>6.237904494197366</v>
      </c>
    </row>
    <row r="90" spans="6:25" x14ac:dyDescent="0.15">
      <c r="F90" s="5"/>
      <c r="W90" s="14"/>
      <c r="X90" s="18">
        <f t="shared" si="16"/>
        <v>9.67090909090909</v>
      </c>
      <c r="Y90" s="15">
        <f>P77</f>
        <v>5.7652596451523648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7B569-0D90-4362-B6CB-92444CB7BE70}">
  <sheetPr codeName="Taul20"/>
  <dimension ref="C2:AP99"/>
  <sheetViews>
    <sheetView zoomScale="85" zoomScaleNormal="85" workbookViewId="0">
      <selection activeCell="AE53" sqref="AE53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 ALU'!$G$33</f>
        <v>9.7222222222222214</v>
      </c>
      <c r="K3" t="s">
        <v>13</v>
      </c>
      <c r="L3" s="7">
        <f>'R-series ALU'!$G$39</f>
        <v>100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26.146528358103748</v>
      </c>
      <c r="Q5" s="52">
        <v>-17.31164659101951</v>
      </c>
      <c r="R5" t="s">
        <v>28</v>
      </c>
      <c r="T5" s="4"/>
      <c r="U5" s="39" t="s">
        <v>43</v>
      </c>
      <c r="V5" t="s">
        <v>8</v>
      </c>
      <c r="W5" s="9">
        <f>$P$5*LN($J$3)+$Q$5</f>
        <v>42.156389206413884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23.740808839745995</v>
      </c>
      <c r="Q6" s="52">
        <v>3.5019825556752338</v>
      </c>
      <c r="R6" t="s">
        <v>7</v>
      </c>
      <c r="T6" s="4"/>
      <c r="U6" s="39" t="s">
        <v>43</v>
      </c>
      <c r="V6" t="s">
        <v>57</v>
      </c>
      <c r="W6" s="9">
        <f>$P$6*LN($J$3)+$Q$6</f>
        <v>57.498415680781292</v>
      </c>
      <c r="X6" t="s">
        <v>31</v>
      </c>
      <c r="AA6" s="55">
        <v>25</v>
      </c>
      <c r="AB6" s="56">
        <f t="shared" ref="AB6:AB12" si="0">(-$D$9-SQRT($D$9^2-(4*$C$9*($E$9-AA6))))/(2*$C$9)</f>
        <v>115.67880715777122</v>
      </c>
      <c r="AC6" s="55">
        <v>20</v>
      </c>
      <c r="AD6" s="57">
        <f t="shared" ref="AD6:AD12" si="1">(-$D$14-SQRT($D$14^2-(4*$C$14*($E$14-AC6))))/(2*$C$14)</f>
        <v>91.988373586551461</v>
      </c>
      <c r="AE6" s="55">
        <v>15</v>
      </c>
      <c r="AF6" s="57">
        <f t="shared" ref="AF6:AF11" si="2">(-$D$19-SQRT($D$19^2-(4*$C$19*($E$19-AE6))))/(2*$C$19)</f>
        <v>63.494874015749062</v>
      </c>
      <c r="AG6" s="56">
        <v>10</v>
      </c>
      <c r="AH6" s="57">
        <f>(-$D$24-SQRT($D$24^2-(4*$C$24*($E$24-AG6))))/(2*$C$24)</f>
        <v>29.670491870313402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103.49402125954791</v>
      </c>
      <c r="AC7" s="55">
        <v>50</v>
      </c>
      <c r="AD7" s="57">
        <f t="shared" si="1"/>
        <v>86.286536155517794</v>
      </c>
      <c r="AE7" s="55">
        <v>40</v>
      </c>
      <c r="AF7" s="57">
        <f t="shared" si="2"/>
        <v>56.973770904089747</v>
      </c>
      <c r="AG7" s="56">
        <v>20</v>
      </c>
      <c r="AH7" s="57">
        <f>(-$D$24-SQRT($D$24^2-(4*$C$24*($E$24-AG7))))/(2*$C$24)</f>
        <v>22.578901953211147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93.392194792281046</v>
      </c>
      <c r="AC8" s="55">
        <v>100</v>
      </c>
      <c r="AD8" s="57">
        <f t="shared" si="1"/>
        <v>75.900637350102883</v>
      </c>
      <c r="AE8" s="55">
        <v>60</v>
      </c>
      <c r="AF8" s="57">
        <f t="shared" si="2"/>
        <v>51.145153604780376</v>
      </c>
      <c r="AG8" s="56">
        <v>30</v>
      </c>
      <c r="AH8" s="57">
        <f>(-$D$24-SQRT($D$24^2-(4*$C$24*($E$24-AG8))))/(2*$C$24)</f>
        <v>16.488965411522997</v>
      </c>
    </row>
    <row r="9" spans="3:34" x14ac:dyDescent="0.15">
      <c r="C9" s="8">
        <v>-3.8909821266423048E-2</v>
      </c>
      <c r="D9" s="8">
        <v>0.73136751553427193</v>
      </c>
      <c r="E9" s="8">
        <v>461.07141428430361</v>
      </c>
      <c r="H9" s="2"/>
      <c r="P9" t="s">
        <v>23</v>
      </c>
      <c r="Q9" s="52">
        <f t="array" ref="Q9:R9">LINEST(AC35:AC37,U35:U37)</f>
        <v>2.6202544546974087</v>
      </c>
      <c r="R9" s="52">
        <v>-1.2680814513295129</v>
      </c>
      <c r="U9" s="39" t="s">
        <v>42</v>
      </c>
      <c r="V9" t="s">
        <v>44</v>
      </c>
      <c r="W9" s="9">
        <f>IF($J$3&gt;$AJ$35,($J$3-$R$10)/$Q$10,($J$3-$R$9)/$Q$9)</f>
        <v>4.1943650372768522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83.647531933078071</v>
      </c>
      <c r="AC9" s="55">
        <v>150</v>
      </c>
      <c r="AD9" s="57">
        <f t="shared" si="1"/>
        <v>63.979035472792781</v>
      </c>
      <c r="AE9" s="55">
        <v>80</v>
      </c>
      <c r="AF9" s="57">
        <f t="shared" si="2"/>
        <v>44.536021272153903</v>
      </c>
      <c r="AG9" s="56">
        <v>35</v>
      </c>
      <c r="AH9" s="57">
        <f>(-$D$24-SQRT($D$24^2-(4*$C$24*($E$24-AG9))))/(2*$C$24)</f>
        <v>13.708304384736721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LINEST(AJ34:AJ35,AI34:AI35)</f>
        <v>0.98190690829938032</v>
      </c>
      <c r="R10" s="52">
        <v>11.019525146655701</v>
      </c>
      <c r="W10" t="b">
        <f>IF(AND(W9&lt;=10.01,'R-series ALU'!G33&gt;=W11),TRUE,FALSE)</f>
        <v>0</v>
      </c>
      <c r="AA10" s="55">
        <v>320</v>
      </c>
      <c r="AB10" s="56">
        <f t="shared" si="0"/>
        <v>70.340226812771604</v>
      </c>
      <c r="AC10" s="55">
        <v>170</v>
      </c>
      <c r="AD10" s="57">
        <f t="shared" si="1"/>
        <v>58.592403493552204</v>
      </c>
      <c r="AE10" s="55">
        <v>100</v>
      </c>
      <c r="AF10" s="57">
        <f t="shared" si="2"/>
        <v>36.710790610696051</v>
      </c>
      <c r="AG10" s="56">
        <v>40</v>
      </c>
      <c r="AH10" s="57">
        <f>(-$D$24-SQRT($D$24^2-(4*$C$24*($E$24-AG10))))/(2*$C$24)</f>
        <v>11.06772203702376</v>
      </c>
    </row>
    <row r="11" spans="3:34" x14ac:dyDescent="0.15">
      <c r="C11" s="2" t="s">
        <v>113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53.15774384679068</v>
      </c>
      <c r="AC11" s="55">
        <v>190</v>
      </c>
      <c r="AD11" s="57">
        <f t="shared" si="1"/>
        <v>52.709351379206979</v>
      </c>
      <c r="AE11" s="55">
        <v>125</v>
      </c>
      <c r="AF11" s="57">
        <f t="shared" si="2"/>
        <v>23.297949159489587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425</v>
      </c>
      <c r="AB12" s="59">
        <f t="shared" si="0"/>
        <v>41.2632427578814</v>
      </c>
      <c r="AC12" s="58">
        <v>245</v>
      </c>
      <c r="AD12" s="60">
        <f t="shared" si="1"/>
        <v>32.044849239800861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0.31285705828257088</v>
      </c>
      <c r="Q13" s="51">
        <v>-4.3064932188275611</v>
      </c>
      <c r="R13" s="51">
        <v>21.388278781709701</v>
      </c>
      <c r="U13" s="39" t="s">
        <v>43</v>
      </c>
      <c r="V13" t="s">
        <v>44</v>
      </c>
      <c r="W13" s="9">
        <f>$P$13*J3^2+$Q$13*J3+$R$13</f>
        <v>9.0913459749100589</v>
      </c>
      <c r="X13" t="s">
        <v>49</v>
      </c>
    </row>
    <row r="14" spans="3:34" x14ac:dyDescent="0.15">
      <c r="C14" s="8">
        <v>-2.7800182131953462E-2</v>
      </c>
      <c r="D14" s="8">
        <v>-0.30538686886773114</v>
      </c>
      <c r="E14" s="8">
        <v>283.33331488483418</v>
      </c>
      <c r="H14" s="2"/>
      <c r="V14" t="s">
        <v>52</v>
      </c>
      <c r="W14" s="3">
        <f>IF(W13&gt;118,118,W13)</f>
        <v>9.0913459749100589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60'!W14</f>
        <v>12.469232172648836</v>
      </c>
    </row>
    <row r="17" spans="3:38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8" x14ac:dyDescent="0.15">
      <c r="C18" t="s">
        <v>4</v>
      </c>
      <c r="D18" t="s">
        <v>5</v>
      </c>
      <c r="E18" t="s">
        <v>6</v>
      </c>
      <c r="H18" s="1"/>
    </row>
    <row r="19" spans="3:38" x14ac:dyDescent="0.15">
      <c r="C19" s="8">
        <v>-3.2580629334682858E-2</v>
      </c>
      <c r="D19" s="8">
        <v>9.1237059087708919E-2</v>
      </c>
      <c r="E19" s="8">
        <v>140.55894792882015</v>
      </c>
      <c r="V19" s="74" t="s">
        <v>74</v>
      </c>
      <c r="W19" s="77">
        <f>W13+W16+W17</f>
        <v>24.560578147558893</v>
      </c>
      <c r="X19" s="75" t="s">
        <v>49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V21" t="s">
        <v>78</v>
      </c>
      <c r="W21">
        <f>MAX(J3,'Laskenta poistopuoli 60'!J3)</f>
        <v>9.7222222222222214</v>
      </c>
      <c r="X21" t="s">
        <v>13</v>
      </c>
      <c r="AB21" s="6"/>
      <c r="AC21" s="6"/>
    </row>
    <row r="22" spans="3:38" ht="15" x14ac:dyDescent="0.15">
      <c r="C22" t="s">
        <v>11</v>
      </c>
      <c r="D22" s="1"/>
      <c r="E22" s="1"/>
      <c r="H22" s="1"/>
      <c r="V22" t="s">
        <v>75</v>
      </c>
      <c r="W22">
        <f>W19/W21</f>
        <v>2.5262308951774863</v>
      </c>
      <c r="X22" t="s">
        <v>77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1.7595247173049694E-2</v>
      </c>
      <c r="D24" s="8">
        <v>-2.3294620179338841</v>
      </c>
      <c r="E24" s="8">
        <v>63.626517614156882</v>
      </c>
      <c r="H24" s="1"/>
    </row>
    <row r="25" spans="3:38" x14ac:dyDescent="0.15">
      <c r="E25" s="2"/>
      <c r="F25" s="2"/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1.0579591836734696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</row>
    <row r="34" spans="21:42" x14ac:dyDescent="0.15">
      <c r="U34" s="35">
        <v>10</v>
      </c>
      <c r="V34" s="98">
        <f>C9</f>
        <v>-3.8909821266423048E-2</v>
      </c>
      <c r="W34" s="99">
        <f>D9</f>
        <v>0.73136751553427193</v>
      </c>
      <c r="X34" s="100">
        <f>E9</f>
        <v>461.07141428430361</v>
      </c>
      <c r="Y34" s="36">
        <f>C9-U29</f>
        <v>-1.0968690049398926</v>
      </c>
      <c r="Z34" s="28">
        <f>(-W34+SQRT(W34^2-(4*Y34*X34)))/(2*Y34)</f>
        <v>-20.171816781986692</v>
      </c>
      <c r="AA34" s="29">
        <f>(-W34-SQRT(W34^2-(4*Y34*X34)))/(2*Y34)</f>
        <v>20.838594229649505</v>
      </c>
      <c r="AB34" s="36">
        <f>AB6</f>
        <v>115.67880715777122</v>
      </c>
      <c r="AC34" s="53">
        <f>IF(Z34&lt;0,AA34,IF(Z34&gt;AB34,AA34,Z34))</f>
        <v>20.838594229649505</v>
      </c>
      <c r="AD34" s="53">
        <f>V34*AC34^2+W34*AC34+X34</f>
        <v>459.41561164939128</v>
      </c>
      <c r="AE34" s="53">
        <f>X51*AC34^2+Y51*AC34+Z51</f>
        <v>67.947360792588199</v>
      </c>
      <c r="AF34" s="53">
        <f>$H$60*AC34^2+$I$60*AC34+$J$60</f>
        <v>62.583406329076603</v>
      </c>
      <c r="AG34" s="53">
        <f>$R$60*AC34^2+$S$60*AC34+$T$60</f>
        <v>75.266098174885826</v>
      </c>
      <c r="AI34">
        <v>10</v>
      </c>
      <c r="AJ34" s="3">
        <f>AC34</f>
        <v>20.838594229649505</v>
      </c>
      <c r="AL34" s="616">
        <f>AC34/$J$3-1</f>
        <v>1.143398263621092</v>
      </c>
      <c r="AO34" s="278" t="b">
        <f>IF(AL36&gt;AC34,FALSE,TRUE)</f>
        <v>1</v>
      </c>
      <c r="AP34" t="s">
        <v>1117</v>
      </c>
    </row>
    <row r="35" spans="21:42" x14ac:dyDescent="0.15">
      <c r="U35" s="35">
        <v>6.5</v>
      </c>
      <c r="V35" s="98">
        <f>C14</f>
        <v>-2.7800182131953462E-2</v>
      </c>
      <c r="W35" s="99">
        <f>D14</f>
        <v>-0.30538686886773114</v>
      </c>
      <c r="X35" s="100">
        <f>E14</f>
        <v>283.33331488483418</v>
      </c>
      <c r="Y35" s="36">
        <f>C14-U29</f>
        <v>-1.0857593658054232</v>
      </c>
      <c r="Z35" s="28">
        <f t="shared" ref="Z35:Z37" si="3">(-W35+SQRT(W35^2-(4*Y35*X35)))/(2*Y35)</f>
        <v>-16.2953175510454</v>
      </c>
      <c r="AA35" s="29">
        <f t="shared" ref="AA35:AA37" si="4">(-W35-SQRT(W35^2-(4*Y35*X35)))/(2*Y35)</f>
        <v>16.014051850296696</v>
      </c>
      <c r="AB35" s="36">
        <f>AD6</f>
        <v>91.988373586551461</v>
      </c>
      <c r="AC35" s="53">
        <f t="shared" ref="AC35:AC37" si="5">IF(Z35&lt;0,AA35,IF(Z35&gt;AB35,AA35,Z35))</f>
        <v>16.014051850296696</v>
      </c>
      <c r="AD35" s="53">
        <f>V35*AC35^2+W35*AC35+X35</f>
        <v>271.31348100941426</v>
      </c>
      <c r="AE35" s="53">
        <f t="shared" ref="AE35:AE37" si="6">X52*AC35^2+Y52*AC35+Z52</f>
        <v>31.276773505541858</v>
      </c>
      <c r="AF35" s="53">
        <f>$H$65*AC35^2+$I$65*AC35+$J$65</f>
        <v>55.76409112382813</v>
      </c>
      <c r="AG35" s="53">
        <f>$R$65*AC35^2+$S$65*AC35+$T$65</f>
        <v>69.415902187029019</v>
      </c>
      <c r="AI35">
        <v>7.5</v>
      </c>
      <c r="AJ35" s="3">
        <f>Q9*AI35+R9</f>
        <v>18.383826958901054</v>
      </c>
      <c r="AL35" t="s">
        <v>1114</v>
      </c>
      <c r="AO35" t="s">
        <v>1116</v>
      </c>
    </row>
    <row r="36" spans="21:42" x14ac:dyDescent="0.15">
      <c r="U36" s="35">
        <v>5</v>
      </c>
      <c r="V36" s="98">
        <f>C19</f>
        <v>-3.2580629334682858E-2</v>
      </c>
      <c r="W36" s="99">
        <f>D19</f>
        <v>9.1237059087708919E-2</v>
      </c>
      <c r="X36" s="100">
        <f>E19</f>
        <v>140.55894792882015</v>
      </c>
      <c r="Y36" s="36">
        <f>C19-U29</f>
        <v>-1.0905398130081525</v>
      </c>
      <c r="Z36" s="28">
        <f t="shared" si="3"/>
        <v>-11.311189675582048</v>
      </c>
      <c r="AA36" s="29">
        <f t="shared" si="4"/>
        <v>11.394851966494693</v>
      </c>
      <c r="AB36" s="36">
        <f>AF6</f>
        <v>63.494874015749062</v>
      </c>
      <c r="AC36" s="53">
        <f t="shared" si="5"/>
        <v>11.394851966494693</v>
      </c>
      <c r="AD36" s="53">
        <f>V36*AC36^2+W36*AC36+X36</f>
        <v>137.3682254158964</v>
      </c>
      <c r="AE36" s="53">
        <f t="shared" si="6"/>
        <v>14.348599969336165</v>
      </c>
      <c r="AF36" s="53">
        <f>$H$70*AC36^2+$I$70*AC36+$J$70</f>
        <v>44.314766221702548</v>
      </c>
      <c r="AG36" s="53">
        <f>$R$70*AC36^2+$S$70*AC36+$T$70</f>
        <v>61.870371888064206</v>
      </c>
      <c r="AI36">
        <v>6.5</v>
      </c>
      <c r="AJ36" s="3">
        <f>AC35</f>
        <v>16.014051850296696</v>
      </c>
      <c r="AL36" s="609">
        <f>Tulokset!$CS$16</f>
        <v>11.666666666666666</v>
      </c>
      <c r="AM36" t="s">
        <v>13</v>
      </c>
      <c r="AO36" s="617">
        <f>IF($AL$36&gt;$AJ$35,($AL$36-$R$10)/$Q$10,($AL$36-$R$9)/$Q$9)</f>
        <v>4.9364473342684976</v>
      </c>
      <c r="AP36" t="s">
        <v>25</v>
      </c>
    </row>
    <row r="37" spans="21:42" x14ac:dyDescent="0.15">
      <c r="U37" s="38">
        <v>3</v>
      </c>
      <c r="V37" s="101">
        <f>C24</f>
        <v>1.7595247173049694E-2</v>
      </c>
      <c r="W37" s="102">
        <f>D24</f>
        <v>-2.3294620179338841</v>
      </c>
      <c r="X37" s="103">
        <f>E24</f>
        <v>63.626517614156882</v>
      </c>
      <c r="Y37" s="37">
        <f>C24-U29</f>
        <v>-1.04036393650042</v>
      </c>
      <c r="Z37" s="30">
        <f t="shared" si="3"/>
        <v>-9.0196252046574976</v>
      </c>
      <c r="AA37" s="31">
        <f t="shared" si="4"/>
        <v>6.7805414223325</v>
      </c>
      <c r="AB37" s="37">
        <f>AH6</f>
        <v>29.670491870313402</v>
      </c>
      <c r="AC37" s="53">
        <f t="shared" si="5"/>
        <v>6.7805414223325</v>
      </c>
      <c r="AD37" s="53">
        <f>V37*AC37^2+W37*AC37+X37</f>
        <v>48.640458453907797</v>
      </c>
      <c r="AE37" s="53">
        <f t="shared" si="6"/>
        <v>6.0979170702940362</v>
      </c>
      <c r="AF37" s="53">
        <f>$H$75*AC37^2+$I$75*AC37+$J$75</f>
        <v>33.674301612829325</v>
      </c>
      <c r="AG37" s="53">
        <f>$R$75*AC37^2+$S$75*AC37+$T$75</f>
        <v>48.602632951862844</v>
      </c>
      <c r="AI37">
        <v>5</v>
      </c>
      <c r="AJ37" s="3">
        <f t="shared" ref="AJ37:AJ38" si="7">AC36</f>
        <v>11.394851966494693</v>
      </c>
      <c r="AL37" s="609">
        <f>Tulokset!$CS$17</f>
        <v>143.99999999999997</v>
      </c>
      <c r="AM37" t="s">
        <v>14</v>
      </c>
    </row>
    <row r="38" spans="21:42" x14ac:dyDescent="0.15">
      <c r="AI38">
        <v>3</v>
      </c>
      <c r="AJ38" s="3">
        <f t="shared" si="7"/>
        <v>6.7805414223325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55</v>
      </c>
      <c r="V43" s="21"/>
      <c r="W43" s="49">
        <v>19</v>
      </c>
      <c r="X43" s="49">
        <v>10</v>
      </c>
      <c r="Y43" s="49">
        <v>3</v>
      </c>
      <c r="Z43" s="49">
        <v>-5</v>
      </c>
      <c r="AA43" s="49">
        <v>-13</v>
      </c>
      <c r="AB43" s="49">
        <v>-19</v>
      </c>
      <c r="AC43" s="49">
        <v>-29</v>
      </c>
      <c r="AD43" s="49">
        <v>-34</v>
      </c>
      <c r="AE43" s="39" t="s">
        <v>42</v>
      </c>
      <c r="AF43" s="53">
        <f>$W$5+W43</f>
        <v>61.156389206413884</v>
      </c>
      <c r="AG43" s="53">
        <f t="shared" ref="AG43:AM43" si="8">$W$5+X43</f>
        <v>52.156389206413884</v>
      </c>
      <c r="AH43" s="53">
        <f t="shared" si="8"/>
        <v>45.156389206413884</v>
      </c>
      <c r="AI43" s="53">
        <f t="shared" si="8"/>
        <v>37.156389206413884</v>
      </c>
      <c r="AJ43" s="53">
        <f t="shared" si="8"/>
        <v>29.156389206413884</v>
      </c>
      <c r="AK43" s="53">
        <f t="shared" si="8"/>
        <v>23.156389206413884</v>
      </c>
      <c r="AL43" s="53">
        <f t="shared" si="8"/>
        <v>13.156389206413884</v>
      </c>
      <c r="AM43" s="53">
        <f t="shared" si="8"/>
        <v>8.1563892064138841</v>
      </c>
      <c r="AN43" s="5">
        <f t="array" ref="AN43">10*LOG10(SUM(10^(AF43:AM43/10)))</f>
        <v>61.785226571158482</v>
      </c>
      <c r="AO43" s="5">
        <f t="array" ref="AO43">10*LOG10(SUM(10^((AF43:AM43+AF46:AM46)/10)))</f>
        <v>41.847772402431545</v>
      </c>
      <c r="AP43" t="str">
        <f>IF(ABS(W5-AO43)&lt;0.5,"OK","Tarkista laskenta!")</f>
        <v>OK</v>
      </c>
    </row>
    <row r="44" spans="21:42" x14ac:dyDescent="0.15">
      <c r="U44" s="14" t="s">
        <v>56</v>
      </c>
      <c r="V44" s="26"/>
      <c r="W44" s="49">
        <v>22</v>
      </c>
      <c r="X44" s="49">
        <v>6</v>
      </c>
      <c r="Y44" s="49">
        <v>3</v>
      </c>
      <c r="Z44" s="49">
        <v>-4</v>
      </c>
      <c r="AA44" s="49">
        <v>-9</v>
      </c>
      <c r="AB44" s="49">
        <v>-11</v>
      </c>
      <c r="AC44" s="49">
        <v>-18</v>
      </c>
      <c r="AD44" s="49">
        <v>-22</v>
      </c>
      <c r="AE44" s="39" t="s">
        <v>43</v>
      </c>
      <c r="AF44" s="53">
        <f>$W$6+W44</f>
        <v>79.498415680781292</v>
      </c>
      <c r="AG44" s="53">
        <f t="shared" ref="AG44:AM44" si="9">$W$6+X44</f>
        <v>63.498415680781292</v>
      </c>
      <c r="AH44" s="53">
        <f t="shared" si="9"/>
        <v>60.498415680781292</v>
      </c>
      <c r="AI44" s="53">
        <f t="shared" si="9"/>
        <v>53.498415680781292</v>
      </c>
      <c r="AJ44" s="53">
        <f t="shared" si="9"/>
        <v>48.498415680781292</v>
      </c>
      <c r="AK44" s="53">
        <f t="shared" si="9"/>
        <v>46.498415680781292</v>
      </c>
      <c r="AL44" s="53">
        <f t="shared" si="9"/>
        <v>39.498415680781292</v>
      </c>
      <c r="AM44" s="53">
        <f t="shared" si="9"/>
        <v>35.498415680781292</v>
      </c>
      <c r="AN44" s="5">
        <f t="array" ref="AN44">10*LOG10(SUM(10^(AF44:AM44/10)))</f>
        <v>79.675656089368914</v>
      </c>
      <c r="AO44" s="5">
        <f t="array" ref="AO44">10*LOG10(SUM(10^((AF44:AM44+AF46:AM46)/10)))</f>
        <v>58.287831143821776</v>
      </c>
      <c r="AP44" t="str">
        <f>IF(ABS(W6-AO44)&lt;0.5,"OK","Tarkista laskenta!")</f>
        <v>Tarkista laskenta!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LINEST(Y59:Y66,X59:X66^{1,2})</f>
        <v>3.404876143412186E-3</v>
      </c>
      <c r="Y51" s="54">
        <v>0.14582077649031241</v>
      </c>
      <c r="Z51" s="54">
        <v>63.430103518168544</v>
      </c>
    </row>
    <row r="52" spans="3:26" x14ac:dyDescent="0.15">
      <c r="W52" t="s">
        <v>114</v>
      </c>
      <c r="X52" s="54">
        <f t="array" ref="X52:Z52">LINEST(Y68:Y74,X68:X74^{1,2})</f>
        <v>1.3761811536388557E-3</v>
      </c>
      <c r="Y52" s="54">
        <v>0.30357538159247754</v>
      </c>
      <c r="Z52" s="54">
        <v>26.062380144651947</v>
      </c>
    </row>
    <row r="53" spans="3:26" x14ac:dyDescent="0.15">
      <c r="W53" t="s">
        <v>10</v>
      </c>
      <c r="X53" s="54">
        <f t="array" ref="X53:Z53">LINEST(Y76:Y82,X76:X82^{1,2})</f>
        <v>-3.5886654480964011E-4</v>
      </c>
      <c r="Y53" s="54">
        <v>0.27499770222331427</v>
      </c>
      <c r="Z53" s="54">
        <v>11.261638045030018</v>
      </c>
    </row>
    <row r="54" spans="3:26" x14ac:dyDescent="0.15">
      <c r="W54" t="s">
        <v>12</v>
      </c>
      <c r="X54" s="54">
        <f t="array" ref="X54:Z54">LINEST(Y84:Y90,X84:X90^{1,2})</f>
        <v>2.757743471335926E-3</v>
      </c>
      <c r="Y54" s="54">
        <v>-4.1244508145930545E-2</v>
      </c>
      <c r="Z54" s="54">
        <v>6.2507878639361696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107.47020000000001</v>
      </c>
      <c r="E59" s="68">
        <v>61.13403135247551</v>
      </c>
      <c r="F59" s="69">
        <v>116.62868994636517</v>
      </c>
      <c r="H59" t="s">
        <v>4</v>
      </c>
      <c r="I59" t="s">
        <v>5</v>
      </c>
      <c r="K59" s="24"/>
      <c r="M59" s="10" t="s">
        <v>3</v>
      </c>
      <c r="N59" s="67">
        <v>104.62084545454545</v>
      </c>
      <c r="O59" s="68">
        <v>73.349403929077283</v>
      </c>
      <c r="P59" s="69">
        <v>117.15166181231858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107.47020000000001</v>
      </c>
      <c r="Y59" s="20">
        <f>F59</f>
        <v>116.62868994636517</v>
      </c>
    </row>
    <row r="60" spans="3:26" x14ac:dyDescent="0.15">
      <c r="C60" s="12"/>
      <c r="D60" s="67">
        <v>97.16458181818183</v>
      </c>
      <c r="E60" s="68">
        <v>61.463135764555233</v>
      </c>
      <c r="F60" s="69">
        <v>107.89046746765455</v>
      </c>
      <c r="H60" s="2">
        <f t="array" ref="H60:J60">LINEST(E59:E62,D59:D62^{1,2})</f>
        <v>-4.677120877135426E-4</v>
      </c>
      <c r="I60" s="2">
        <v>4.2405171151349258E-2</v>
      </c>
      <c r="J60" s="2">
        <v>61.902844749596426</v>
      </c>
      <c r="K60" s="24"/>
      <c r="M60" s="12"/>
      <c r="N60" s="67">
        <v>87.716672727272737</v>
      </c>
      <c r="O60" s="68">
        <v>73.586568674570273</v>
      </c>
      <c r="P60" s="69">
        <v>108.25149905730171</v>
      </c>
      <c r="R60" s="2">
        <f t="array" ref="R60:T60">LINEST(O59:O62,N59:N62^{1,2})</f>
        <v>-2.0328170830458944E-4</v>
      </c>
      <c r="S60" s="2">
        <v>1.0981707002607516E-3</v>
      </c>
      <c r="T60" s="27">
        <v>75.331488315179016</v>
      </c>
      <c r="W60" s="12"/>
      <c r="X60" s="17">
        <f>D60</f>
        <v>97.16458181818183</v>
      </c>
      <c r="Y60" s="13">
        <f>F60</f>
        <v>107.89046746765455</v>
      </c>
    </row>
    <row r="61" spans="3:26" x14ac:dyDescent="0.15">
      <c r="C61" s="12"/>
      <c r="D61" s="67">
        <v>77.45038181818181</v>
      </c>
      <c r="E61" s="68">
        <v>62.476142119666449</v>
      </c>
      <c r="F61" s="69">
        <v>92.233101144109327</v>
      </c>
      <c r="K61" s="24"/>
      <c r="M61" s="12"/>
      <c r="N61" s="67">
        <v>60.068663636363638</v>
      </c>
      <c r="O61" s="68">
        <v>74.903691388935115</v>
      </c>
      <c r="P61" s="69">
        <v>88.100138396815751</v>
      </c>
      <c r="T61" s="24"/>
      <c r="W61" s="12"/>
      <c r="X61" s="17">
        <f t="shared" ref="X61:X62" si="10">D61</f>
        <v>77.45038181818181</v>
      </c>
      <c r="Y61" s="13">
        <f t="shared" ref="Y61:Y62" si="11">F61</f>
        <v>92.233101144109327</v>
      </c>
    </row>
    <row r="62" spans="3:26" x14ac:dyDescent="0.15">
      <c r="C62" s="14"/>
      <c r="D62" s="67">
        <v>55.766072727272736</v>
      </c>
      <c r="E62" s="68">
        <v>62.786941941504857</v>
      </c>
      <c r="F62" s="69">
        <v>76.472486133861551</v>
      </c>
      <c r="K62" s="24"/>
      <c r="M62" s="14"/>
      <c r="N62" s="67">
        <v>38.46300909090909</v>
      </c>
      <c r="O62" s="68">
        <v>74.98237026058645</v>
      </c>
      <c r="P62" s="69">
        <v>75.666190479058542</v>
      </c>
      <c r="T62" s="24"/>
      <c r="W62" s="12"/>
      <c r="X62" s="17">
        <f t="shared" si="10"/>
        <v>55.766072727272736</v>
      </c>
      <c r="Y62" s="13">
        <f t="shared" si="11"/>
        <v>76.472486133861551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N59</f>
        <v>104.62084545454545</v>
      </c>
      <c r="Y63" s="13">
        <f>P59</f>
        <v>117.15166181231858</v>
      </c>
    </row>
    <row r="64" spans="3:26" x14ac:dyDescent="0.15">
      <c r="C64" s="10" t="s">
        <v>114</v>
      </c>
      <c r="D64" s="67">
        <v>85.219390909090919</v>
      </c>
      <c r="E64" s="68">
        <v>56.226832789947956</v>
      </c>
      <c r="F64" s="69">
        <v>60.577810396612868</v>
      </c>
      <c r="H64" t="s">
        <v>4</v>
      </c>
      <c r="I64" t="s">
        <v>5</v>
      </c>
      <c r="K64" s="24"/>
      <c r="M64" s="10" t="s">
        <v>114</v>
      </c>
      <c r="N64" s="67">
        <v>81.794172727272723</v>
      </c>
      <c r="O64" s="68">
        <v>68.625830013402279</v>
      </c>
      <c r="P64" s="69">
        <v>61.609359236476912</v>
      </c>
      <c r="R64" t="s">
        <v>4</v>
      </c>
      <c r="S64" t="s">
        <v>5</v>
      </c>
      <c r="T64" s="24" t="s">
        <v>6</v>
      </c>
      <c r="W64" s="12"/>
      <c r="X64" s="17">
        <f>N60</f>
        <v>87.716672727272737</v>
      </c>
      <c r="Y64" s="13">
        <f>P60</f>
        <v>108.25149905730171</v>
      </c>
    </row>
    <row r="65" spans="3:25" x14ac:dyDescent="0.15">
      <c r="C65" s="12"/>
      <c r="D65" s="67">
        <v>75.308918181818171</v>
      </c>
      <c r="E65" s="68">
        <v>56.986921976424952</v>
      </c>
      <c r="F65" s="69">
        <v>55.527582956445499</v>
      </c>
      <c r="H65" s="2">
        <f t="array" ref="H65:J65">LINEST(E64:E67,D64:D67^{1,2})</f>
        <v>-4.5476181235321262E-4</v>
      </c>
      <c r="I65" s="2">
        <v>5.5462481626888674E-2</v>
      </c>
      <c r="J65" s="2">
        <v>54.992535668903244</v>
      </c>
      <c r="K65" s="24"/>
      <c r="M65" s="12"/>
      <c r="N65" s="67">
        <v>68.961309090909083</v>
      </c>
      <c r="O65" s="68">
        <v>68.692809828117717</v>
      </c>
      <c r="P65" s="69">
        <v>55.253225557202001</v>
      </c>
      <c r="R65" s="2">
        <f t="array" ref="R65:T65">LINEST(O64:O67,N64:N67^{1,2})</f>
        <v>-1.9893804719841405E-4</v>
      </c>
      <c r="S65" s="2">
        <v>6.2784188853242271E-3</v>
      </c>
      <c r="T65" s="27">
        <v>69.366376895150609</v>
      </c>
      <c r="W65" s="12"/>
      <c r="X65" s="17">
        <f>N61</f>
        <v>60.068663636363638</v>
      </c>
      <c r="Y65" s="13">
        <f>P61</f>
        <v>88.100138396815751</v>
      </c>
    </row>
    <row r="66" spans="3:25" x14ac:dyDescent="0.15">
      <c r="C66" s="12"/>
      <c r="D66" s="67">
        <v>59.091099999999997</v>
      </c>
      <c r="E66" s="68">
        <v>56.387195431614472</v>
      </c>
      <c r="F66" s="69">
        <v>45.26100217347367</v>
      </c>
      <c r="K66" s="24"/>
      <c r="M66" s="12"/>
      <c r="N66" s="67">
        <v>46.599072727272727</v>
      </c>
      <c r="O66" s="68">
        <v>69.362565246831508</v>
      </c>
      <c r="P66" s="69">
        <v>44.871075383176873</v>
      </c>
      <c r="T66" s="24"/>
      <c r="W66" s="14"/>
      <c r="X66" s="18">
        <f>N62</f>
        <v>38.46300909090909</v>
      </c>
      <c r="Y66" s="15">
        <f>P62</f>
        <v>75.666190479058542</v>
      </c>
    </row>
    <row r="67" spans="3:25" x14ac:dyDescent="0.15">
      <c r="C67" s="14"/>
      <c r="D67" s="67">
        <v>42.177563636363637</v>
      </c>
      <c r="E67" s="68">
        <v>56.610398713632122</v>
      </c>
      <c r="F67" s="69">
        <v>37.764911609904139</v>
      </c>
      <c r="K67" s="24"/>
      <c r="M67" s="14"/>
      <c r="N67" s="67">
        <v>29.631227272727273</v>
      </c>
      <c r="O67" s="68">
        <v>69.325721365716447</v>
      </c>
      <c r="P67" s="69">
        <v>37.472218612103255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0" t="s">
        <v>114</v>
      </c>
      <c r="X68" s="19">
        <f>D64</f>
        <v>85.219390909090919</v>
      </c>
      <c r="Y68" s="20">
        <f>F64</f>
        <v>60.577810396612868</v>
      </c>
    </row>
    <row r="69" spans="3:25" x14ac:dyDescent="0.15">
      <c r="C69" s="10" t="s">
        <v>10</v>
      </c>
      <c r="D69" s="67">
        <v>59.232490909090913</v>
      </c>
      <c r="E69" s="68">
        <v>49.375419806217764</v>
      </c>
      <c r="F69" s="69">
        <v>25.417263103473928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57.921581818181828</v>
      </c>
      <c r="O69" s="68">
        <v>62.212651636773103</v>
      </c>
      <c r="P69" s="69">
        <v>26.864447987055424</v>
      </c>
      <c r="R69" t="s">
        <v>4</v>
      </c>
      <c r="S69" t="s">
        <v>5</v>
      </c>
      <c r="T69" s="24" t="s">
        <v>6</v>
      </c>
      <c r="W69" s="12"/>
      <c r="X69" s="17">
        <f t="shared" ref="X69" si="12">D65</f>
        <v>75.308918181818171</v>
      </c>
      <c r="Y69" s="13">
        <f t="shared" ref="Y69" si="13">F65</f>
        <v>55.527582956445499</v>
      </c>
    </row>
    <row r="70" spans="3:25" x14ac:dyDescent="0.15">
      <c r="C70" s="12"/>
      <c r="D70" s="67">
        <v>52.589927272727273</v>
      </c>
      <c r="E70" s="68">
        <v>50.547867733453664</v>
      </c>
      <c r="F70" s="69">
        <v>24.344285214676759</v>
      </c>
      <c r="H70" s="2">
        <f t="array" ref="H70:J70">LINEST(E69:E72,D69:D72^{1,2})</f>
        <v>-4.6443571247542616E-3</v>
      </c>
      <c r="I70" s="2">
        <v>0.43795144783417811</v>
      </c>
      <c r="J70" s="2">
        <v>39.927409947960214</v>
      </c>
      <c r="K70" s="24"/>
      <c r="M70" s="12"/>
      <c r="N70" s="67">
        <v>49.687200000000004</v>
      </c>
      <c r="O70" s="68">
        <v>62.579738505250276</v>
      </c>
      <c r="P70" s="69">
        <v>24.610628081174507</v>
      </c>
      <c r="R70" s="2">
        <f t="array" ref="R70:T70">LINEST(O69:O72,N69:N72^{1,2})</f>
        <v>-1.6762396791323024E-3</v>
      </c>
      <c r="S70" s="2">
        <v>0.12276790013227128</v>
      </c>
      <c r="T70" s="27">
        <v>60.689097244036617</v>
      </c>
      <c r="W70" s="12"/>
      <c r="X70" s="17">
        <f>D67</f>
        <v>42.177563636363637</v>
      </c>
      <c r="Y70" s="13">
        <f>F67</f>
        <v>37.764911609904139</v>
      </c>
    </row>
    <row r="71" spans="3:25" x14ac:dyDescent="0.15">
      <c r="C71" s="12"/>
      <c r="D71" s="67">
        <v>42.68132727272728</v>
      </c>
      <c r="E71" s="68">
        <v>49.836422150407898</v>
      </c>
      <c r="F71" s="69">
        <v>21.073070749514169</v>
      </c>
      <c r="K71" s="24"/>
      <c r="M71" s="12"/>
      <c r="N71" s="67">
        <v>33.798045454545452</v>
      </c>
      <c r="O71" s="68">
        <v>62.978561224871314</v>
      </c>
      <c r="P71" s="69">
        <v>20.989449770999862</v>
      </c>
      <c r="T71" s="24"/>
      <c r="W71" s="12"/>
      <c r="X71" s="17">
        <f>N64</f>
        <v>81.794172727272723</v>
      </c>
      <c r="Y71" s="13">
        <f>P64</f>
        <v>61.609359236476912</v>
      </c>
    </row>
    <row r="72" spans="3:25" x14ac:dyDescent="0.15">
      <c r="C72" s="14"/>
      <c r="D72" s="67">
        <v>31.091018181818189</v>
      </c>
      <c r="E72" s="68">
        <v>49.141774046972884</v>
      </c>
      <c r="F72" s="69">
        <v>18.071598855872615</v>
      </c>
      <c r="K72" s="24"/>
      <c r="M72" s="14"/>
      <c r="N72" s="67">
        <v>21.24609090909091</v>
      </c>
      <c r="O72" s="68">
        <v>62.520601425604632</v>
      </c>
      <c r="P72" s="69">
        <v>17.303475403537568</v>
      </c>
      <c r="T72" s="24"/>
      <c r="W72" s="12"/>
      <c r="X72" s="17">
        <f>N65</f>
        <v>68.961309090909083</v>
      </c>
      <c r="Y72" s="13">
        <f>P65</f>
        <v>55.253225557202001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46.599072727272727</v>
      </c>
      <c r="Y73" s="13">
        <f>P66</f>
        <v>44.871075383176873</v>
      </c>
    </row>
    <row r="74" spans="3:25" x14ac:dyDescent="0.15">
      <c r="C74" s="10" t="s">
        <v>12</v>
      </c>
      <c r="D74" s="67">
        <v>31.706209090909095</v>
      </c>
      <c r="E74" s="68">
        <v>38.574210349979992</v>
      </c>
      <c r="F74" s="69">
        <v>7.6542509640036691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28.261327272727272</v>
      </c>
      <c r="O74" s="68">
        <v>50.304556178333428</v>
      </c>
      <c r="P74" s="69">
        <v>7.4176728977971926</v>
      </c>
      <c r="R74" t="s">
        <v>4</v>
      </c>
      <c r="S74" t="s">
        <v>5</v>
      </c>
      <c r="T74" s="24" t="s">
        <v>6</v>
      </c>
      <c r="W74" s="14"/>
      <c r="X74" s="18">
        <f>N67</f>
        <v>29.631227272727273</v>
      </c>
      <c r="Y74" s="15">
        <f>P67</f>
        <v>37.472218612103255</v>
      </c>
    </row>
    <row r="75" spans="3:25" x14ac:dyDescent="0.15">
      <c r="C75" s="12"/>
      <c r="D75" s="67">
        <v>26.826818181818176</v>
      </c>
      <c r="E75" s="68">
        <v>39.350744205332788</v>
      </c>
      <c r="F75" s="69">
        <v>7.0952373016298811</v>
      </c>
      <c r="H75" s="2">
        <f t="array" ref="H75:J75">LINEST(E74:E77,D74:D77^{1,2})</f>
        <v>-1.1004077891536422E-2</v>
      </c>
      <c r="I75" s="2">
        <v>0.62759605543996311</v>
      </c>
      <c r="J75" s="2">
        <v>29.92478120829491</v>
      </c>
      <c r="K75" s="24"/>
      <c r="M75" s="12"/>
      <c r="N75" s="67">
        <v>23.704045454545458</v>
      </c>
      <c r="O75" s="68">
        <v>50.910345390046182</v>
      </c>
      <c r="P75" s="69">
        <v>6.9120341052630758</v>
      </c>
      <c r="R75" s="2">
        <f t="array" ref="R75:T75">LINEST(O74:O77,N74:N77^{1,2})</f>
        <v>-1.095556192538661E-2</v>
      </c>
      <c r="S75" s="2">
        <v>0.4649688341537197</v>
      </c>
      <c r="T75" s="27">
        <v>45.953582600117024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21.224554545454549</v>
      </c>
      <c r="E76" s="68">
        <v>37.7927756489185</v>
      </c>
      <c r="F76" s="69">
        <v>6.4091373237387206</v>
      </c>
      <c r="K76" s="24"/>
      <c r="M76" s="12"/>
      <c r="N76" s="67">
        <v>16.993127272727271</v>
      </c>
      <c r="O76" s="68">
        <v>50.609911956999383</v>
      </c>
      <c r="P76" s="69">
        <v>6.4396716809091377</v>
      </c>
      <c r="T76" s="24"/>
      <c r="W76" s="10" t="s">
        <v>10</v>
      </c>
      <c r="X76" s="19">
        <f>D69</f>
        <v>59.232490909090913</v>
      </c>
      <c r="Y76" s="20">
        <f>F69</f>
        <v>25.417263103473928</v>
      </c>
    </row>
    <row r="77" spans="3:25" x14ac:dyDescent="0.15">
      <c r="C77" s="14"/>
      <c r="D77" s="67">
        <v>16.087663636363636</v>
      </c>
      <c r="E77" s="71">
        <v>37.346744413222602</v>
      </c>
      <c r="F77" s="69">
        <v>6.0005082661815887</v>
      </c>
      <c r="G77" s="25"/>
      <c r="H77" s="25"/>
      <c r="I77" s="25"/>
      <c r="J77" s="25"/>
      <c r="K77" s="26"/>
      <c r="M77" s="14"/>
      <c r="N77" s="67">
        <v>11.464836363636362</v>
      </c>
      <c r="O77" s="71">
        <v>49.874271233326027</v>
      </c>
      <c r="P77" s="69">
        <v>6.1312138558419154</v>
      </c>
      <c r="Q77" s="25"/>
      <c r="R77" s="25"/>
      <c r="S77" s="25"/>
      <c r="T77" s="26"/>
      <c r="W77" s="12"/>
      <c r="X77" s="17">
        <f t="shared" ref="X77" si="14">D70</f>
        <v>52.589927272727273</v>
      </c>
      <c r="Y77" s="13">
        <f>F70</f>
        <v>24.344285214676759</v>
      </c>
    </row>
    <row r="78" spans="3:25" x14ac:dyDescent="0.15">
      <c r="W78" s="12"/>
      <c r="X78" s="17">
        <f>D72</f>
        <v>31.091018181818189</v>
      </c>
      <c r="Y78" s="13">
        <f>F72</f>
        <v>18.071598855872615</v>
      </c>
    </row>
    <row r="79" spans="3:25" x14ac:dyDescent="0.15">
      <c r="F79" s="5"/>
      <c r="W79" s="12"/>
      <c r="X79" s="17">
        <f>N69</f>
        <v>57.921581818181828</v>
      </c>
      <c r="Y79" s="13">
        <f>P69</f>
        <v>26.864447987055424</v>
      </c>
    </row>
    <row r="80" spans="3:25" x14ac:dyDescent="0.15">
      <c r="F80" s="5"/>
      <c r="W80" s="12"/>
      <c r="X80" s="17">
        <f>N70</f>
        <v>49.687200000000004</v>
      </c>
      <c r="Y80" s="13">
        <f>P70</f>
        <v>24.610628081174507</v>
      </c>
    </row>
    <row r="81" spans="6:25" x14ac:dyDescent="0.15">
      <c r="F81" s="5"/>
      <c r="W81" s="12"/>
      <c r="X81" s="17">
        <f>N71</f>
        <v>33.798045454545452</v>
      </c>
      <c r="Y81" s="13">
        <f>P71</f>
        <v>20.989449770999862</v>
      </c>
    </row>
    <row r="82" spans="6:25" x14ac:dyDescent="0.15">
      <c r="F82" s="5"/>
      <c r="W82" s="14"/>
      <c r="X82" s="18">
        <f>N72</f>
        <v>21.24609090909091</v>
      </c>
      <c r="Y82" s="15">
        <f>P72</f>
        <v>17.303475403537568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31.706209090909095</v>
      </c>
      <c r="Y84" s="20">
        <f>F74</f>
        <v>7.6542509640036691</v>
      </c>
    </row>
    <row r="85" spans="6:25" x14ac:dyDescent="0.15">
      <c r="W85" s="12"/>
      <c r="X85" s="17">
        <f t="shared" ref="X85:X86" si="15">D75</f>
        <v>26.826818181818176</v>
      </c>
      <c r="Y85" s="13">
        <f>F75</f>
        <v>7.0952373016298811</v>
      </c>
    </row>
    <row r="86" spans="6:25" x14ac:dyDescent="0.15">
      <c r="W86" s="12"/>
      <c r="X86" s="17">
        <f t="shared" si="15"/>
        <v>21.224554545454549</v>
      </c>
      <c r="Y86" s="13">
        <f>F76</f>
        <v>6.4091373237387206</v>
      </c>
    </row>
    <row r="87" spans="6:25" x14ac:dyDescent="0.15">
      <c r="F87" s="5"/>
      <c r="W87" s="12"/>
      <c r="X87" s="17">
        <f>N74</f>
        <v>28.261327272727272</v>
      </c>
      <c r="Y87" s="13">
        <f>P74</f>
        <v>7.4176728977971926</v>
      </c>
    </row>
    <row r="88" spans="6:25" x14ac:dyDescent="0.15">
      <c r="F88" s="5"/>
      <c r="W88" s="12"/>
      <c r="X88" s="17">
        <f t="shared" ref="X88:X90" si="16">N75</f>
        <v>23.704045454545458</v>
      </c>
      <c r="Y88" s="13">
        <f>P75</f>
        <v>6.9120341052630758</v>
      </c>
    </row>
    <row r="89" spans="6:25" x14ac:dyDescent="0.15">
      <c r="F89" s="5"/>
      <c r="W89" s="12"/>
      <c r="X89" s="17">
        <f t="shared" si="16"/>
        <v>16.993127272727271</v>
      </c>
      <c r="Y89" s="13">
        <f>P76</f>
        <v>6.4396716809091377</v>
      </c>
    </row>
    <row r="90" spans="6:25" x14ac:dyDescent="0.15">
      <c r="F90" s="5"/>
      <c r="W90" s="14"/>
      <c r="X90" s="18">
        <f t="shared" si="16"/>
        <v>11.464836363636362</v>
      </c>
      <c r="Y90" s="15">
        <f>P77</f>
        <v>6.1312138558419154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31EE4-9C89-4AD7-B415-73AF2FA740D4}">
  <sheetPr codeName="Taul21"/>
  <dimension ref="B3:W49"/>
  <sheetViews>
    <sheetView workbookViewId="0">
      <selection activeCell="AE53" sqref="AE53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>
        <f>Tulokset!E24</f>
        <v>4.0821565766948957</v>
      </c>
      <c r="D4" t="s">
        <v>25</v>
      </c>
    </row>
    <row r="5" spans="2:7" x14ac:dyDescent="0.15">
      <c r="B5" t="s">
        <v>8</v>
      </c>
      <c r="C5" s="3">
        <f>Tulokset!H24</f>
        <v>4.1943650372768522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80</v>
      </c>
      <c r="C12" s="107">
        <v>7.6565049371440148</v>
      </c>
      <c r="D12" s="107">
        <v>31.928822753619976</v>
      </c>
    </row>
    <row r="13" spans="2:7" x14ac:dyDescent="0.15">
      <c r="B13" t="s">
        <v>81</v>
      </c>
      <c r="C13" s="107">
        <v>26.329228187200453</v>
      </c>
      <c r="D13" s="107">
        <v>-5.5042062290429712</v>
      </c>
    </row>
    <row r="15" spans="2:7" x14ac:dyDescent="0.15">
      <c r="B15" t="s">
        <v>91</v>
      </c>
      <c r="C15" s="3">
        <f>MAX(C4,C5)</f>
        <v>4.1943650372768522</v>
      </c>
      <c r="D15" t="s">
        <v>25</v>
      </c>
      <c r="E15" s="82" t="s">
        <v>42</v>
      </c>
      <c r="F15" s="5">
        <f>IF(C15&gt;7.5,C12*LN(C15)+D12,C13*LN(C15)+D13)</f>
        <v>32.245113172962697</v>
      </c>
      <c r="G15" t="s">
        <v>31</v>
      </c>
    </row>
    <row r="16" spans="2:7" x14ac:dyDescent="0.15">
      <c r="B16" t="s">
        <v>92</v>
      </c>
      <c r="C16" s="79">
        <f>(2*MAX(C4,C5)+MIN(C4,C5))/3</f>
        <v>4.1569622170828664</v>
      </c>
      <c r="D16" t="s">
        <v>25</v>
      </c>
      <c r="E16" s="82" t="s">
        <v>42</v>
      </c>
      <c r="F16" s="5">
        <f>IF(C16&gt;7.5,C12*LN(C16)+D12,C13*LN(C16)+D13)</f>
        <v>32.009271864806912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 t="str">
        <f>'R-series ALU'!N54</f>
        <v>-</v>
      </c>
      <c r="E21" t="s">
        <v>31</v>
      </c>
    </row>
    <row r="22" spans="2:5" x14ac:dyDescent="0.15">
      <c r="B22" s="25"/>
      <c r="C22" s="25" t="s">
        <v>8</v>
      </c>
      <c r="D22" s="81" t="str">
        <f>'R-series ALU'!N55</f>
        <v>-</v>
      </c>
      <c r="E22" t="s">
        <v>31</v>
      </c>
    </row>
    <row r="23" spans="2:5" x14ac:dyDescent="0.15">
      <c r="C23" t="s">
        <v>87</v>
      </c>
      <c r="D23" s="3" t="e">
        <f>ABS(D21-D22)</f>
        <v>#VALUE!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 t="str">
        <f>'R-series ALU'!N53</f>
        <v>-</v>
      </c>
      <c r="E25" t="s">
        <v>31</v>
      </c>
    </row>
    <row r="26" spans="2:5" x14ac:dyDescent="0.15">
      <c r="B26" s="25"/>
      <c r="C26" s="25" t="s">
        <v>57</v>
      </c>
      <c r="D26" s="81" t="str">
        <f>'R-series ALU'!N56</f>
        <v>-</v>
      </c>
      <c r="E26" t="s">
        <v>31</v>
      </c>
    </row>
    <row r="27" spans="2:5" x14ac:dyDescent="0.15">
      <c r="C27" t="s">
        <v>87</v>
      </c>
      <c r="D27" s="3" t="e">
        <f>ABS(D25-D26)</f>
        <v>#VALUE!</v>
      </c>
      <c r="E27" t="s">
        <v>31</v>
      </c>
    </row>
    <row r="29" spans="2:5" x14ac:dyDescent="0.15">
      <c r="B29" t="s">
        <v>94</v>
      </c>
      <c r="C29" s="3" t="e">
        <f>AVERAGE(D27,D23)</f>
        <v>#VALUE!</v>
      </c>
      <c r="D29" t="s">
        <v>31</v>
      </c>
    </row>
    <row r="30" spans="2:5" x14ac:dyDescent="0.15">
      <c r="B30" t="s">
        <v>93</v>
      </c>
      <c r="C30" s="3" t="e">
        <f>-10*LOG10((1-10^(-C29/10)))-3</f>
        <v>#VALUE!</v>
      </c>
      <c r="D30" t="s">
        <v>31</v>
      </c>
    </row>
    <row r="32" spans="2:5" x14ac:dyDescent="0.15">
      <c r="B32" t="s">
        <v>83</v>
      </c>
      <c r="C32" s="3" t="e">
        <f>F15+C30</f>
        <v>#VALUE!</v>
      </c>
      <c r="D32" t="s">
        <v>31</v>
      </c>
    </row>
    <row r="33" spans="2:23" x14ac:dyDescent="0.15">
      <c r="B33" t="s">
        <v>95</v>
      </c>
      <c r="C33" s="3">
        <f>F15-2.6</f>
        <v>29.645113172962695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 t="e">
        <f>MIN(F15,IF(C29&lt;3,F16,IF(C29&gt;10,C33,C32)))</f>
        <v>#VALUE!</v>
      </c>
      <c r="D35" s="2" t="s">
        <v>31</v>
      </c>
      <c r="F35" s="5" t="e">
        <f>C35+10*LOG10(4/10)</f>
        <v>#VALUE!</v>
      </c>
      <c r="G35" s="5" t="e">
        <f>C35+10*LOG10(4/2.5)</f>
        <v>#VALUE!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15</v>
      </c>
      <c r="D39" s="85">
        <v>10</v>
      </c>
      <c r="E39" s="85">
        <v>5</v>
      </c>
      <c r="F39" s="85">
        <v>-5</v>
      </c>
      <c r="G39" s="85">
        <v>-14</v>
      </c>
      <c r="H39" s="85">
        <v>-20</v>
      </c>
      <c r="I39" s="85">
        <v>-26</v>
      </c>
      <c r="J39" s="85">
        <v>-30</v>
      </c>
      <c r="K39" s="87" t="s">
        <v>42</v>
      </c>
      <c r="L39" s="86" t="e">
        <f>$C$35+C39</f>
        <v>#VALUE!</v>
      </c>
      <c r="M39" s="86" t="e">
        <f t="shared" ref="M39:S39" si="0">$C$35+D39</f>
        <v>#VALUE!</v>
      </c>
      <c r="N39" s="86" t="e">
        <f t="shared" si="0"/>
        <v>#VALUE!</v>
      </c>
      <c r="O39" s="86" t="e">
        <f t="shared" si="0"/>
        <v>#VALUE!</v>
      </c>
      <c r="P39" s="86" t="e">
        <f t="shared" si="0"/>
        <v>#VALUE!</v>
      </c>
      <c r="Q39" s="86" t="e">
        <f t="shared" si="0"/>
        <v>#VALUE!</v>
      </c>
      <c r="R39" s="86" t="e">
        <f t="shared" si="0"/>
        <v>#VALUE!</v>
      </c>
      <c r="S39" s="86" t="e">
        <f t="shared" si="0"/>
        <v>#VALUE!</v>
      </c>
      <c r="T39" s="5" t="e">
        <f t="array" ref="T39">10*LOG10(SUM(10^(L39:S39/10)))</f>
        <v>#VALUE!</v>
      </c>
      <c r="U39" s="5" t="e">
        <f t="array" ref="U39">10*LOG10(SUM(10^((L39:S39+L41:S41)/10)))</f>
        <v>#VALUE!</v>
      </c>
      <c r="W39" t="e">
        <f>IF(ABS(C35-U39)&lt;0.5,"OK","Tarkista laskenta!")</f>
        <v>#VALUE!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7B14A-EB3E-4DD3-B6EE-8A6ACB78422D}">
  <sheetPr codeName="Taul22"/>
  <dimension ref="C2:AU99"/>
  <sheetViews>
    <sheetView topLeftCell="J1" zoomScale="70" zoomScaleNormal="70" workbookViewId="0">
      <selection activeCell="AM20" sqref="AM20"/>
    </sheetView>
  </sheetViews>
  <sheetFormatPr baseColWidth="10" defaultColWidth="8.83203125" defaultRowHeight="13" x14ac:dyDescent="0.15"/>
  <cols>
    <col min="16" max="16" width="10.83203125" customWidth="1"/>
    <col min="17" max="18" width="9.33203125" bestFit="1" customWidth="1"/>
    <col min="19" max="19" width="10" bestFit="1" customWidth="1"/>
    <col min="22" max="22" width="13" customWidth="1"/>
    <col min="23" max="23" width="10.1640625" bestFit="1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'R-series ALU'!$E$33</f>
        <v>9.7222222222222214</v>
      </c>
      <c r="K3" t="s">
        <v>13</v>
      </c>
      <c r="L3" s="7">
        <f>'R-series ALU'!$E$39</f>
        <v>80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O5" t="s">
        <v>134</v>
      </c>
      <c r="P5" s="52">
        <f t="array" ref="P5:Q5">LINEST(AF34:AF36,LN(AC34:AC36))</f>
        <v>19.995820411053</v>
      </c>
      <c r="Q5" s="52">
        <v>-8.5884598905362495</v>
      </c>
      <c r="R5" t="s">
        <v>28</v>
      </c>
      <c r="S5" s="9">
        <f>$P$5*LN($J$3)+$Q$5</f>
        <v>36.890318313492536</v>
      </c>
      <c r="T5" t="s">
        <v>31</v>
      </c>
      <c r="U5" s="39" t="s">
        <v>42</v>
      </c>
      <c r="V5" s="32" t="s">
        <v>28</v>
      </c>
      <c r="W5" s="9">
        <f>IF($J$3&gt;$AC$35,S5,IF($J$3&lt;$AC$36,S6,AVERAGE(S5:S6)))</f>
        <v>38.842025518059131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O6" t="s">
        <v>136</v>
      </c>
      <c r="P6" s="52">
        <f t="array" ref="P6:Q6">LINEST(AF35:AF37,LN(AC35:AC37))</f>
        <v>27.405377711246025</v>
      </c>
      <c r="Q6" s="52">
        <v>-23.489155143997898</v>
      </c>
      <c r="R6" t="s">
        <v>28</v>
      </c>
      <c r="S6" s="9">
        <f>$P$6*LN($J$3)+$Q$6</f>
        <v>38.842025518059131</v>
      </c>
      <c r="T6" t="s">
        <v>31</v>
      </c>
      <c r="U6" s="39"/>
      <c r="AA6" s="55">
        <v>60</v>
      </c>
      <c r="AB6" s="56">
        <f t="shared" ref="AB6:AB12" si="0">(-$D$9-SQRT($D$9^2-(4*$C$9*($E$9-AA6))))/(2*$C$9)</f>
        <v>163.27621827727629</v>
      </c>
      <c r="AC6" s="55">
        <v>40</v>
      </c>
      <c r="AD6" s="57">
        <f t="shared" ref="AD6:AD12" si="1">(-$D$14-SQRT($D$14^2-(4*$C$14*($E$14-AC6))))/(2*$C$14)</f>
        <v>119.61125525000722</v>
      </c>
      <c r="AE6" s="55">
        <v>25</v>
      </c>
      <c r="AF6" s="57">
        <f t="shared" ref="AF6:AF11" si="2">(-$D$19-SQRT($D$19^2-(4*$C$19*($E$19-AE6))))/(2*$C$19)</f>
        <v>85.871546877565663</v>
      </c>
      <c r="AG6" s="56">
        <v>10</v>
      </c>
      <c r="AH6" s="57">
        <f>(-$D$24-SQRT($D$24^2-(4*$C$24*($E$24-AG6))))/(2*$C$24)</f>
        <v>45.102913284775056</v>
      </c>
    </row>
    <row r="7" spans="3:34" x14ac:dyDescent="0.15">
      <c r="C7" t="s">
        <v>11</v>
      </c>
      <c r="D7" s="1"/>
      <c r="E7" s="1"/>
      <c r="H7" s="1"/>
      <c r="AA7" s="55">
        <v>120</v>
      </c>
      <c r="AB7" s="56">
        <f t="shared" si="0"/>
        <v>155.01781265788924</v>
      </c>
      <c r="AC7" s="55">
        <v>50</v>
      </c>
      <c r="AD7" s="57">
        <f t="shared" si="1"/>
        <v>117.54420481108893</v>
      </c>
      <c r="AE7" s="55">
        <v>40</v>
      </c>
      <c r="AF7" s="57">
        <f t="shared" si="2"/>
        <v>82.320877538980454</v>
      </c>
      <c r="AG7" s="56">
        <v>20</v>
      </c>
      <c r="AH7" s="57">
        <f>(-$D$24-SQRT($D$24^2-(4*$C$24*($E$24-AG7))))/(2*$C$24)</f>
        <v>41.773612621820391</v>
      </c>
    </row>
    <row r="8" spans="3:34" x14ac:dyDescent="0.15">
      <c r="C8" t="s">
        <v>4</v>
      </c>
      <c r="D8" t="s">
        <v>5</v>
      </c>
      <c r="E8" t="s">
        <v>6</v>
      </c>
      <c r="O8" t="s">
        <v>134</v>
      </c>
      <c r="P8" s="52">
        <f t="array" ref="P8:Q8">LINEST(AG34:AG36,LN(AC34:AC36))</f>
        <v>52.644538287002661</v>
      </c>
      <c r="Q8" s="52">
        <v>-103.63372680241095</v>
      </c>
      <c r="R8" t="s">
        <v>7</v>
      </c>
      <c r="S8" s="9">
        <f>$P$8*LN($J$3)+$Q$8</f>
        <v>16.101759473743996</v>
      </c>
      <c r="T8" t="s">
        <v>31</v>
      </c>
      <c r="U8" s="39" t="s">
        <v>43</v>
      </c>
      <c r="V8" t="s">
        <v>7</v>
      </c>
      <c r="W8" s="9">
        <f>IF($J$3&gt;$AC$35,S8,IF($J$3&lt;$AC$36,S9,AVERAGE(S8:S9)))</f>
        <v>22.810769356685483</v>
      </c>
      <c r="X8" t="s">
        <v>31</v>
      </c>
      <c r="AA8" s="55">
        <v>190</v>
      </c>
      <c r="AB8" s="56">
        <f t="shared" si="0"/>
        <v>145.37230967576792</v>
      </c>
      <c r="AC8" s="55">
        <v>100</v>
      </c>
      <c r="AD8" s="57">
        <f t="shared" si="1"/>
        <v>107.51569663316263</v>
      </c>
      <c r="AE8" s="55">
        <v>60</v>
      </c>
      <c r="AF8" s="57">
        <f t="shared" si="2"/>
        <v>77.614114597794</v>
      </c>
      <c r="AG8" s="56">
        <v>25</v>
      </c>
      <c r="AH8" s="57">
        <f>(-$D$24-SQRT($D$24^2-(4*$C$24*($E$24-AG8))))/(2*$C$24)</f>
        <v>40.043863570173315</v>
      </c>
    </row>
    <row r="9" spans="3:34" x14ac:dyDescent="0.15">
      <c r="C9" s="8">
        <v>-4.5000880006631935E-4</v>
      </c>
      <c r="D9" s="8">
        <v>-7.1220897873912508</v>
      </c>
      <c r="E9" s="8">
        <v>1234.8647268732273</v>
      </c>
      <c r="H9" s="2"/>
      <c r="O9" t="s">
        <v>135</v>
      </c>
      <c r="P9" s="52">
        <f t="array" ref="P9:Q9">LINEST(AG35:AG37,LN(AC35:AC37))</f>
        <v>39.856190262446468</v>
      </c>
      <c r="Q9" s="52">
        <v>-67.838716372913581</v>
      </c>
      <c r="R9" t="s">
        <v>7</v>
      </c>
      <c r="S9" s="9">
        <f>$P$9*LN($J$3)+$Q$9</f>
        <v>22.810769356685483</v>
      </c>
      <c r="T9" t="s">
        <v>31</v>
      </c>
      <c r="AA9" s="55">
        <v>250</v>
      </c>
      <c r="AB9" s="56">
        <f t="shared" si="0"/>
        <v>137.09553750932855</v>
      </c>
      <c r="AC9" s="55">
        <v>150</v>
      </c>
      <c r="AD9" s="57">
        <f t="shared" si="1"/>
        <v>97.947292697105993</v>
      </c>
      <c r="AE9" s="55">
        <v>80</v>
      </c>
      <c r="AF9" s="57">
        <f t="shared" si="2"/>
        <v>72.938172794171322</v>
      </c>
      <c r="AG9" s="56">
        <v>30</v>
      </c>
      <c r="AH9" s="57">
        <f>(-$D$24-SQRT($D$24^2-(4*$C$24*($E$24-AG9))))/(2*$C$24)</f>
        <v>38.265905843604642</v>
      </c>
    </row>
    <row r="10" spans="3:34" x14ac:dyDescent="0.15">
      <c r="C10" s="2"/>
      <c r="D10" s="2"/>
      <c r="E10" s="2"/>
      <c r="H10" s="2"/>
      <c r="V10" t="s">
        <v>144</v>
      </c>
      <c r="W10">
        <v>180</v>
      </c>
      <c r="AA10" s="55">
        <v>320</v>
      </c>
      <c r="AB10" s="56">
        <f t="shared" si="0"/>
        <v>127.42853528220249</v>
      </c>
      <c r="AC10" s="55">
        <v>170</v>
      </c>
      <c r="AD10" s="57">
        <f t="shared" si="1"/>
        <v>94.235341332553887</v>
      </c>
      <c r="AE10" s="55">
        <v>100</v>
      </c>
      <c r="AF10" s="57">
        <f t="shared" si="2"/>
        <v>68.292454467686269</v>
      </c>
      <c r="AG10" s="56">
        <v>50</v>
      </c>
      <c r="AH10" s="57">
        <f>(-$D$24-SQRT($D$24^2-(4*$C$24*($E$24-AG10))))/(2*$C$24)</f>
        <v>30.575525636930571</v>
      </c>
    </row>
    <row r="11" spans="3:34" x14ac:dyDescent="0.15">
      <c r="C11" s="2" t="s">
        <v>114</v>
      </c>
      <c r="D11" s="1"/>
      <c r="E11" s="1"/>
      <c r="H11" s="1"/>
      <c r="P11" t="s">
        <v>130</v>
      </c>
      <c r="T11" s="4"/>
      <c r="U11" s="5"/>
      <c r="V11" t="s">
        <v>142</v>
      </c>
      <c r="W11">
        <v>600</v>
      </c>
      <c r="X11" t="s">
        <v>14</v>
      </c>
      <c r="AA11" s="55">
        <v>350</v>
      </c>
      <c r="AB11" s="56">
        <f t="shared" si="0"/>
        <v>123.28197466777817</v>
      </c>
      <c r="AC11" s="55">
        <v>190</v>
      </c>
      <c r="AD11" s="57">
        <f t="shared" si="1"/>
        <v>90.584425650551594</v>
      </c>
      <c r="AE11" s="55">
        <v>130</v>
      </c>
      <c r="AF11" s="57">
        <f t="shared" si="2"/>
        <v>61.379285336312044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132</v>
      </c>
      <c r="Q12" s="51">
        <v>0</v>
      </c>
      <c r="R12" s="51">
        <f t="array" ref="R12:S12">LINEST(U35:U37,AC35:AC37)</f>
        <v>0.21647068285511512</v>
      </c>
      <c r="S12" s="51">
        <v>0.77783275558689891</v>
      </c>
      <c r="U12" s="39" t="s">
        <v>42</v>
      </c>
      <c r="V12" t="s">
        <v>44</v>
      </c>
      <c r="W12" s="9">
        <f>Q14*J3^2+R14*J3+S14</f>
        <v>2.8824088389005178</v>
      </c>
      <c r="X12" t="s">
        <v>25</v>
      </c>
      <c r="Y12" t="str">
        <f>IF(W12&gt;10,"Ei käyttöalueella","OK")</f>
        <v>OK</v>
      </c>
      <c r="AA12" s="58">
        <v>420</v>
      </c>
      <c r="AB12" s="59">
        <f t="shared" si="0"/>
        <v>113.59833638037064</v>
      </c>
      <c r="AC12" s="58">
        <v>240</v>
      </c>
      <c r="AD12" s="60">
        <f t="shared" si="1"/>
        <v>81.705583352655495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t="s">
        <v>131</v>
      </c>
      <c r="Q13" s="51">
        <v>0</v>
      </c>
      <c r="R13" s="51">
        <f t="array" ref="R13:S13">LINEST(U34:U35,AC34:AC35)</f>
        <v>0.45358086788352431</v>
      </c>
      <c r="S13" s="51">
        <v>-5.5181676274789861</v>
      </c>
      <c r="W13" t="b">
        <f>IF(AND(W12&lt;=10.01,'R-series ALU'!E33&gt;=W14,AD34&lt;W11,J3&lt;W10),TRUE,FALSE)</f>
        <v>0</v>
      </c>
    </row>
    <row r="14" spans="3:34" x14ac:dyDescent="0.15">
      <c r="C14" s="8">
        <v>1.2233839049719407E-2</v>
      </c>
      <c r="D14" s="8">
        <v>-7.7391330421459861</v>
      </c>
      <c r="E14" s="8">
        <v>790.65968836250443</v>
      </c>
      <c r="H14" s="2"/>
      <c r="P14" t="s">
        <v>21</v>
      </c>
      <c r="Q14" s="54">
        <f>IF($J$3&gt;$AC$35,Q13,Q12)</f>
        <v>0</v>
      </c>
      <c r="R14" s="54">
        <f>IF($J$3&gt;$AC$35,R13,R12)</f>
        <v>0.21647068285511512</v>
      </c>
      <c r="S14" s="54">
        <f>IF($J$3&gt;$AC$35,S13,S12)</f>
        <v>0.77783275558689891</v>
      </c>
      <c r="V14" t="s">
        <v>346</v>
      </c>
      <c r="W14">
        <v>30</v>
      </c>
      <c r="X14" t="s">
        <v>13</v>
      </c>
      <c r="Y14" t="s">
        <v>355</v>
      </c>
    </row>
    <row r="15" spans="3:34" x14ac:dyDescent="0.15">
      <c r="C15" s="2"/>
      <c r="D15" s="2"/>
      <c r="E15" s="2"/>
      <c r="H15" s="2"/>
      <c r="V15" t="s">
        <v>22</v>
      </c>
      <c r="W15">
        <v>169</v>
      </c>
      <c r="X15" t="s">
        <v>49</v>
      </c>
    </row>
    <row r="16" spans="3:34" x14ac:dyDescent="0.15">
      <c r="C16" s="2" t="s">
        <v>10</v>
      </c>
      <c r="D16" s="1"/>
      <c r="E16" s="1"/>
      <c r="H16" s="1"/>
      <c r="U16" s="39" t="s">
        <v>43</v>
      </c>
      <c r="V16" t="s">
        <v>44</v>
      </c>
      <c r="W16" s="9">
        <f>$P$18*J3^2+$Q$18*J3+$R$18</f>
        <v>19.377188683385015</v>
      </c>
      <c r="X16" t="s">
        <v>49</v>
      </c>
    </row>
    <row r="17" spans="3:38" x14ac:dyDescent="0.15">
      <c r="C17" t="s">
        <v>11</v>
      </c>
      <c r="D17" s="1"/>
      <c r="E17" s="1"/>
      <c r="H17" s="1"/>
      <c r="P17" t="s">
        <v>51</v>
      </c>
      <c r="V17" t="s">
        <v>52</v>
      </c>
      <c r="W17" s="3">
        <f>IF(W16&gt;W15,W15,W16)</f>
        <v>19.377188683385015</v>
      </c>
      <c r="X17" t="s">
        <v>49</v>
      </c>
    </row>
    <row r="18" spans="3:38" x14ac:dyDescent="0.15">
      <c r="C18" t="s">
        <v>4</v>
      </c>
      <c r="D18" t="s">
        <v>5</v>
      </c>
      <c r="E18" t="s">
        <v>6</v>
      </c>
      <c r="H18" s="1"/>
      <c r="P18" s="51">
        <f t="array" ref="P18:R18">LINEST(AE34:AE37,AC34:AC37^{1,2})</f>
        <v>0.39708817344141112</v>
      </c>
      <c r="Q18" s="51">
        <v>-11.562538649710692</v>
      </c>
      <c r="R18" s="51">
        <v>94.257347433216694</v>
      </c>
    </row>
    <row r="19" spans="3:38" x14ac:dyDescent="0.15">
      <c r="C19" s="8">
        <v>2.9851020773320486E-3</v>
      </c>
      <c r="D19" s="8">
        <v>-4.7266271447957822</v>
      </c>
      <c r="E19" s="8">
        <v>408.87087287577282</v>
      </c>
      <c r="V19" t="s">
        <v>58</v>
      </c>
      <c r="W19">
        <f>'Laskenta poistopuoli 60'!W14</f>
        <v>12.469232172648836</v>
      </c>
      <c r="AB19" s="6"/>
      <c r="AC19" s="6"/>
    </row>
    <row r="20" spans="3:38" x14ac:dyDescent="0.15">
      <c r="C20" s="2"/>
      <c r="D20" s="2"/>
      <c r="E20" s="2"/>
      <c r="H20" s="1"/>
      <c r="V20" t="s">
        <v>73</v>
      </c>
      <c r="W20">
        <v>3</v>
      </c>
      <c r="AB20" s="6"/>
      <c r="AC20" s="6"/>
    </row>
    <row r="21" spans="3:38" x14ac:dyDescent="0.15">
      <c r="C21" s="2" t="s">
        <v>12</v>
      </c>
      <c r="D21" s="1"/>
      <c r="E21" s="1"/>
      <c r="H21" s="1"/>
      <c r="AB21" s="6"/>
      <c r="AC21" s="6"/>
    </row>
    <row r="22" spans="3:38" x14ac:dyDescent="0.15">
      <c r="C22" t="s">
        <v>11</v>
      </c>
      <c r="D22" s="1"/>
      <c r="E22" s="1"/>
      <c r="H22" s="1"/>
      <c r="V22" s="74" t="s">
        <v>74</v>
      </c>
      <c r="W22" s="77">
        <f>W16+W19+W20</f>
        <v>34.846420856033852</v>
      </c>
      <c r="X22" s="75" t="s">
        <v>49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  <c r="V23" t="s">
        <v>78</v>
      </c>
      <c r="W23">
        <f>MAX(J3,'Laskenta poistopuoli 60'!J3)</f>
        <v>9.7222222222222214</v>
      </c>
      <c r="X23" t="s">
        <v>13</v>
      </c>
    </row>
    <row r="24" spans="3:38" ht="15" x14ac:dyDescent="0.15">
      <c r="C24" s="8">
        <v>-2.2344332475586929E-2</v>
      </c>
      <c r="D24" s="8">
        <v>-1.0624358203345938</v>
      </c>
      <c r="E24" s="8">
        <v>103.37341816890566</v>
      </c>
      <c r="H24" s="1"/>
      <c r="V24" t="s">
        <v>75</v>
      </c>
      <c r="W24">
        <f>W22/W23</f>
        <v>3.5842032880491965</v>
      </c>
      <c r="X24" t="s">
        <v>77</v>
      </c>
    </row>
    <row r="25" spans="3:38" x14ac:dyDescent="0.15"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0.84636734693877569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  <c r="AS33" t="s">
        <v>1153</v>
      </c>
    </row>
    <row r="34" spans="21:47" x14ac:dyDescent="0.15">
      <c r="U34" s="35">
        <v>10</v>
      </c>
      <c r="V34" s="98">
        <f>C9</f>
        <v>-4.5000880006631935E-4</v>
      </c>
      <c r="W34" s="99">
        <f>D9</f>
        <v>-7.1220897873912508</v>
      </c>
      <c r="X34" s="100">
        <f>E9</f>
        <v>1234.8647268732273</v>
      </c>
      <c r="Y34" s="36">
        <f>C9-U29</f>
        <v>-0.84681735573884198</v>
      </c>
      <c r="Z34" s="28">
        <f>(-W34+SQRT(W34^2-(4*Y34*X34)))/(2*Y34)</f>
        <v>-42.622991149312966</v>
      </c>
      <c r="AA34" s="29">
        <f>(-W34-SQRT(W34^2-(4*Y34*X34)))/(2*Y34)</f>
        <v>34.212570957609081</v>
      </c>
      <c r="AB34" s="36">
        <f>AB6</f>
        <v>163.27621827727629</v>
      </c>
      <c r="AC34" s="53">
        <f>IF(Z34&lt;0,AA34,IF(Z34&gt;AB34,AA34,Z34))</f>
        <v>34.212570957609081</v>
      </c>
      <c r="AD34" s="53">
        <f>V34*AC34^2+W34*AC34+X34</f>
        <v>990.67298934997518</v>
      </c>
      <c r="AE34" s="53">
        <f>AB83*AC34^2+AC83*AC34+AD83</f>
        <v>165.71018437445142</v>
      </c>
      <c r="AF34" s="53">
        <f>$H$60*AC34^2+$I$60*AC34+$J$60</f>
        <v>50.945656795453942</v>
      </c>
      <c r="AG34" s="53">
        <f>$R$60*AC34^2+$S$60*AC34+$T$60</f>
        <v>88.264784706553527</v>
      </c>
      <c r="AI34">
        <v>10</v>
      </c>
      <c r="AJ34" s="3">
        <f>AC34</f>
        <v>34.212570957609081</v>
      </c>
      <c r="AL34" s="616">
        <f>AC34/$J$3-1</f>
        <v>2.5190072984969345</v>
      </c>
      <c r="AO34" s="278" t="b">
        <f>IF(AL36&gt;AC34,FALSE,TRUE)</f>
        <v>1</v>
      </c>
      <c r="AP34" t="s">
        <v>1117</v>
      </c>
      <c r="AS34" s="213">
        <f>IF($AL$36&gt;$AC$35,Q13,Q12)</f>
        <v>0</v>
      </c>
      <c r="AT34" s="213">
        <f t="shared" ref="AT34:AU34" si="3">IF($AL$36&gt;$AC$35,R13,R12)</f>
        <v>0.21647068285511512</v>
      </c>
      <c r="AU34" s="213">
        <f t="shared" si="3"/>
        <v>0.77783275558689891</v>
      </c>
    </row>
    <row r="35" spans="21:47" x14ac:dyDescent="0.15">
      <c r="U35" s="35">
        <v>6.5</v>
      </c>
      <c r="V35" s="98">
        <f>C14</f>
        <v>1.2233839049719407E-2</v>
      </c>
      <c r="W35" s="99">
        <f>D14</f>
        <v>-7.7391330421459861</v>
      </c>
      <c r="X35" s="100">
        <f>E14</f>
        <v>790.65968836250443</v>
      </c>
      <c r="Y35" s="36">
        <f>C14-U29</f>
        <v>-0.83413350788905627</v>
      </c>
      <c r="Z35" s="28">
        <f t="shared" ref="Z35:Z37" si="4">(-W35+SQRT(W35^2-(4*Y35*X35)))/(2*Y35)</f>
        <v>-35.774246889029946</v>
      </c>
      <c r="AA35" s="29">
        <f t="shared" ref="AA35:AA37" si="5">(-W35-SQRT(W35^2-(4*Y35*X35)))/(2*Y35)</f>
        <v>26.496196110646245</v>
      </c>
      <c r="AB35" s="36">
        <f>AD6</f>
        <v>119.61125525000722</v>
      </c>
      <c r="AC35" s="53">
        <f t="shared" ref="AC35:AC37" si="6">IF(Z35&lt;0,AA35,IF(Z35&gt;AB35,AA35,Z35))</f>
        <v>26.496196110646245</v>
      </c>
      <c r="AD35" s="53">
        <f>V35*AC35^2+W35*AC35+X35</f>
        <v>594.19084878408978</v>
      </c>
      <c r="AE35" s="53">
        <f>AB84*AC35^2+AC84*AC35+AD84</f>
        <v>59.750708614635982</v>
      </c>
      <c r="AF35" s="53">
        <f>$H$65*AC35^2+$I$65*AC35+$J$65</f>
        <v>77.134718690596145</v>
      </c>
      <c r="AG35" s="53">
        <f>$R$65*AC35^2+$S$65*AC35+$T$65</f>
        <v>58.101399323138942</v>
      </c>
      <c r="AI35">
        <v>6.5</v>
      </c>
      <c r="AJ35" s="3">
        <f>AC35</f>
        <v>26.496196110646245</v>
      </c>
      <c r="AL35" t="s">
        <v>1114</v>
      </c>
      <c r="AO35" t="s">
        <v>1116</v>
      </c>
    </row>
    <row r="36" spans="21:47" x14ac:dyDescent="0.15">
      <c r="U36" s="35">
        <v>5</v>
      </c>
      <c r="V36" s="98">
        <f>C19</f>
        <v>2.9851020773320486E-3</v>
      </c>
      <c r="W36" s="99">
        <f>D19</f>
        <v>-4.7266271447957822</v>
      </c>
      <c r="X36" s="100">
        <f>E19</f>
        <v>408.87087287577282</v>
      </c>
      <c r="Y36" s="36">
        <f>C19-U29</f>
        <v>-0.84338224486144364</v>
      </c>
      <c r="Z36" s="28">
        <f t="shared" si="4"/>
        <v>-24.997934027554756</v>
      </c>
      <c r="AA36" s="29">
        <f t="shared" si="5"/>
        <v>19.393562849961011</v>
      </c>
      <c r="AB36" s="36">
        <f>AF6</f>
        <v>85.871546877565663</v>
      </c>
      <c r="AC36" s="53">
        <f t="shared" si="6"/>
        <v>19.393562849961011</v>
      </c>
      <c r="AD36" s="53">
        <f>V36*AC36^2+W36*AC36+X36</f>
        <v>318.32745985302392</v>
      </c>
      <c r="AE36" s="53">
        <f>AB85*AC36^2+AC85*AC36+AD85</f>
        <v>25.788137184931202</v>
      </c>
      <c r="AF36" s="53">
        <f>$H$70*AC36^2+$I$70*AC36+$J$70</f>
        <v>41.604101846384815</v>
      </c>
      <c r="AG36" s="53">
        <f>$R$70*AC36^2+$S$70*AC36+$T$70</f>
        <v>57.308545364253128</v>
      </c>
      <c r="AI36">
        <f>AVERAGE(AI35,AI37)</f>
        <v>5.75</v>
      </c>
      <c r="AJ36">
        <f>AVERAGE(AJ35,AJ37)</f>
        <v>22.944879480303626</v>
      </c>
      <c r="AL36" s="609">
        <f>Tulokset!$CR$16</f>
        <v>11.666666666666666</v>
      </c>
      <c r="AM36" t="s">
        <v>13</v>
      </c>
      <c r="AO36" s="617">
        <f>AS34*AL36^2+AT34*AL36+AU34</f>
        <v>3.3033240555632419</v>
      </c>
      <c r="AP36" t="s">
        <v>25</v>
      </c>
    </row>
    <row r="37" spans="21:47" x14ac:dyDescent="0.15">
      <c r="U37" s="38">
        <v>3</v>
      </c>
      <c r="V37" s="101">
        <f>C24</f>
        <v>-2.2344332475586929E-2</v>
      </c>
      <c r="W37" s="102">
        <f>D24</f>
        <v>-1.0624358203345938</v>
      </c>
      <c r="X37" s="103">
        <f>E24</f>
        <v>103.37341816890566</v>
      </c>
      <c r="Y37" s="37">
        <f>C24-U29</f>
        <v>-0.86871167941436267</v>
      </c>
      <c r="Z37" s="30">
        <f t="shared" si="4"/>
        <v>-11.537166350219687</v>
      </c>
      <c r="AA37" s="31">
        <f t="shared" si="5"/>
        <v>10.314164696724212</v>
      </c>
      <c r="AB37" s="37">
        <f>AH6</f>
        <v>45.102913284775056</v>
      </c>
      <c r="AC37" s="53">
        <f t="shared" si="6"/>
        <v>10.314164696724212</v>
      </c>
      <c r="AD37" s="53">
        <f>V37*AC37^2+W37*AC37+X37</f>
        <v>90.038245508527766</v>
      </c>
      <c r="AE37" s="53">
        <f>AB86*AC37^2+AC86*AC37+AD86</f>
        <v>15.494953272939759</v>
      </c>
      <c r="AF37" s="53">
        <f>$H$75*AC37^2+$I$75*AC37+$J$75</f>
        <v>45.80744924925812</v>
      </c>
      <c r="AG37" s="53">
        <f>$R$75*AC37^2+$S$75*AC37+$T$75</f>
        <v>22.859093168406705</v>
      </c>
      <c r="AI37">
        <v>5</v>
      </c>
      <c r="AJ37" s="3">
        <f>AC36</f>
        <v>19.393562849961011</v>
      </c>
      <c r="AL37" s="609">
        <f>Tulokset!$CR$17</f>
        <v>115.19999999999999</v>
      </c>
      <c r="AM37" t="s">
        <v>14</v>
      </c>
    </row>
    <row r="38" spans="21:47" x14ac:dyDescent="0.15">
      <c r="AI38">
        <f>AVERAGE(AI37,AI39)</f>
        <v>4</v>
      </c>
      <c r="AJ38">
        <f>AVERAGE(AJ37,AJ39)</f>
        <v>14.853863773342612</v>
      </c>
    </row>
    <row r="39" spans="21:47" x14ac:dyDescent="0.15">
      <c r="U39" s="2" t="s">
        <v>35</v>
      </c>
      <c r="W39" t="s">
        <v>36</v>
      </c>
      <c r="AI39">
        <v>3</v>
      </c>
      <c r="AJ39" s="3">
        <f>AC37</f>
        <v>10.314164696724212</v>
      </c>
    </row>
    <row r="41" spans="21:47" x14ac:dyDescent="0.15">
      <c r="U41" s="10"/>
      <c r="V41" s="22"/>
      <c r="W41" s="43">
        <v>63</v>
      </c>
      <c r="X41" s="44">
        <v>125</v>
      </c>
      <c r="Y41" s="44">
        <v>250</v>
      </c>
      <c r="Z41" s="44">
        <v>500</v>
      </c>
      <c r="AA41" s="44">
        <v>1000</v>
      </c>
      <c r="AB41" s="44">
        <v>2000</v>
      </c>
      <c r="AC41" s="44">
        <v>4000</v>
      </c>
      <c r="AD41" s="45">
        <v>8000</v>
      </c>
      <c r="AH41" s="43">
        <v>63</v>
      </c>
      <c r="AI41" s="44">
        <v>125</v>
      </c>
      <c r="AJ41" s="44">
        <v>250</v>
      </c>
      <c r="AK41" s="44">
        <v>500</v>
      </c>
      <c r="AL41" s="44">
        <v>1000</v>
      </c>
      <c r="AM41" s="44">
        <v>2000</v>
      </c>
      <c r="AN41" s="44">
        <v>4000</v>
      </c>
      <c r="AO41" s="45">
        <v>8000</v>
      </c>
      <c r="AP41" t="s">
        <v>70</v>
      </c>
      <c r="AQ41" t="s">
        <v>71</v>
      </c>
    </row>
    <row r="42" spans="21:47" x14ac:dyDescent="0.15">
      <c r="U42" s="10" t="s">
        <v>26</v>
      </c>
      <c r="V42" s="21"/>
      <c r="W42" s="86">
        <f>W49</f>
        <v>17.350315113104458</v>
      </c>
      <c r="X42" s="86">
        <f t="shared" ref="X42:AD42" si="7">X49</f>
        <v>10.630788748907307</v>
      </c>
      <c r="Y42" s="86">
        <f t="shared" si="7"/>
        <v>5.098929410533886</v>
      </c>
      <c r="Z42" s="86">
        <f t="shared" si="7"/>
        <v>-4.4664152942253494</v>
      </c>
      <c r="AA42" s="86">
        <f t="shared" si="7"/>
        <v>-18.988088587428464</v>
      </c>
      <c r="AB42" s="86">
        <f t="shared" si="7"/>
        <v>-23.738381230041611</v>
      </c>
      <c r="AC42" s="86">
        <f t="shared" si="7"/>
        <v>-30</v>
      </c>
      <c r="AD42" s="86">
        <f t="shared" si="7"/>
        <v>-35</v>
      </c>
      <c r="AG42" s="39" t="s">
        <v>42</v>
      </c>
      <c r="AH42" s="53">
        <f t="shared" ref="AH42:AO42" si="8">$S$5+W42</f>
        <v>54.240633426596993</v>
      </c>
      <c r="AI42" s="53">
        <f t="shared" si="8"/>
        <v>47.521107062399842</v>
      </c>
      <c r="AJ42" s="53">
        <f t="shared" si="8"/>
        <v>41.98924772402642</v>
      </c>
      <c r="AK42" s="53">
        <f t="shared" si="8"/>
        <v>32.423903019267186</v>
      </c>
      <c r="AL42" s="53">
        <f t="shared" si="8"/>
        <v>17.902229726064071</v>
      </c>
      <c r="AM42" s="53">
        <f t="shared" si="8"/>
        <v>13.151937083450925</v>
      </c>
      <c r="AN42" s="53">
        <f t="shared" si="8"/>
        <v>6.8903183134925357</v>
      </c>
      <c r="AO42" s="53">
        <f t="shared" si="8"/>
        <v>1.8903183134925357</v>
      </c>
      <c r="AP42" s="5">
        <f t="array" ref="AP42">10*LOG10(SUM(10^(AH42:AO42/10)))</f>
        <v>55.310358346037347</v>
      </c>
      <c r="AQ42" s="5">
        <f t="array" ref="AQ42">10*LOG10(SUM(10^((AH42:AO42+AH45:AO45)/10)))</f>
        <v>37.108774414448867</v>
      </c>
      <c r="AR42" t="str">
        <f>IF(ABS(W5-AQ42)&lt;0.5,"OK","Tarkista laskenta!")</f>
        <v>Tarkista laskenta!</v>
      </c>
    </row>
    <row r="43" spans="21:47" x14ac:dyDescent="0.15">
      <c r="U43" s="14" t="s">
        <v>29</v>
      </c>
      <c r="V43" s="26"/>
      <c r="W43" s="86">
        <f>W55</f>
        <v>11.084563387587638</v>
      </c>
      <c r="X43" s="86">
        <f t="shared" ref="X43:AD43" si="9">X55</f>
        <v>10.126110834418219</v>
      </c>
      <c r="Y43" s="86">
        <f t="shared" si="9"/>
        <v>5.509035760924311</v>
      </c>
      <c r="Z43" s="86">
        <f t="shared" si="9"/>
        <v>-4.322820012855491</v>
      </c>
      <c r="AA43" s="86">
        <f t="shared" si="9"/>
        <v>-13.385658225075337</v>
      </c>
      <c r="AB43" s="86">
        <f t="shared" si="9"/>
        <v>-13.814349572554702</v>
      </c>
      <c r="AC43" s="86">
        <f t="shared" si="9"/>
        <v>-23.933303662829033</v>
      </c>
      <c r="AD43" s="86">
        <f t="shared" si="9"/>
        <v>-28.758992045238902</v>
      </c>
      <c r="AG43" s="39" t="s">
        <v>43</v>
      </c>
      <c r="AH43" s="53">
        <f t="shared" ref="AH43:AO43" si="10">$W$8+W43</f>
        <v>33.895332744273119</v>
      </c>
      <c r="AI43" s="53">
        <f t="shared" si="10"/>
        <v>32.936880191103704</v>
      </c>
      <c r="AJ43" s="53">
        <f t="shared" si="10"/>
        <v>28.319805117609796</v>
      </c>
      <c r="AK43" s="53">
        <f t="shared" si="10"/>
        <v>18.487949343829992</v>
      </c>
      <c r="AL43" s="53">
        <f t="shared" si="10"/>
        <v>9.4251111316101461</v>
      </c>
      <c r="AM43" s="53">
        <f t="shared" si="10"/>
        <v>8.9964197841307811</v>
      </c>
      <c r="AN43" s="53">
        <f t="shared" si="10"/>
        <v>-1.1225343061435495</v>
      </c>
      <c r="AO43" s="53">
        <f t="shared" si="10"/>
        <v>-5.9482226885534182</v>
      </c>
      <c r="AP43" s="5">
        <f t="array" ref="AP43">10*LOG10(SUM(10^(AH43:AO43/10)))</f>
        <v>37.148358902869148</v>
      </c>
      <c r="AQ43" s="5">
        <f t="array" ref="AQ43">10*LOG10(SUM(10^((AH43:AO43+AH45:AO45)/10)))</f>
        <v>23.055407889517923</v>
      </c>
      <c r="AR43" t="str">
        <f>IF(ABS(W8-AQ43)&lt;0.5,"OK","Tarkista laskenta!")</f>
        <v>OK</v>
      </c>
    </row>
    <row r="44" spans="21:47" x14ac:dyDescent="0.15">
      <c r="AE44" t="s">
        <v>140</v>
      </c>
    </row>
    <row r="45" spans="21:47" x14ac:dyDescent="0.15">
      <c r="U45" t="s">
        <v>26</v>
      </c>
      <c r="V45">
        <v>10</v>
      </c>
      <c r="W45" s="49">
        <v>15.295903703473467</v>
      </c>
      <c r="X45" s="49">
        <v>6.9606844827178733</v>
      </c>
      <c r="Y45" s="49">
        <v>1.935537565534295</v>
      </c>
      <c r="Z45" s="49">
        <v>0.80412623094933799</v>
      </c>
      <c r="AA45" s="49">
        <v>-13.48298515888643</v>
      </c>
      <c r="AB45" s="49">
        <v>-17.356702189585882</v>
      </c>
      <c r="AC45" s="49">
        <v>-22.469592711139754</v>
      </c>
      <c r="AD45" s="49">
        <v>-29.685489565677955</v>
      </c>
      <c r="AE45" s="32">
        <f>ABS($W$12-V45)</f>
        <v>7.1175911610994822</v>
      </c>
      <c r="AH45" s="73">
        <v>-26.2</v>
      </c>
      <c r="AI45" s="73">
        <v>-16.100000000000001</v>
      </c>
      <c r="AJ45" s="73">
        <v>-8.6</v>
      </c>
      <c r="AK45" s="73">
        <v>-3.2</v>
      </c>
      <c r="AL45" s="73">
        <v>0</v>
      </c>
      <c r="AM45" s="73">
        <v>1.2</v>
      </c>
      <c r="AN45" s="73">
        <v>1</v>
      </c>
      <c r="AO45" s="73">
        <v>-1.1000000000000001</v>
      </c>
    </row>
    <row r="46" spans="21:47" x14ac:dyDescent="0.15">
      <c r="V46">
        <v>6.5</v>
      </c>
      <c r="W46" s="49">
        <v>14.136883628769926</v>
      </c>
      <c r="X46" s="49">
        <v>5.8347496355939548</v>
      </c>
      <c r="Y46" s="49">
        <v>3.3755957124767981</v>
      </c>
      <c r="Z46" s="49">
        <v>1.0256528729394354</v>
      </c>
      <c r="AA46" s="49">
        <v>-16.732317497815437</v>
      </c>
      <c r="AB46" s="49">
        <v>-20.921804597817399</v>
      </c>
      <c r="AC46" s="49">
        <v>-26.633808344493076</v>
      </c>
      <c r="AD46" s="49">
        <v>-32.178832312787037</v>
      </c>
      <c r="AE46" s="32">
        <f>ABS($W$12-V46)</f>
        <v>3.6175911610994822</v>
      </c>
    </row>
    <row r="47" spans="21:47" x14ac:dyDescent="0.15">
      <c r="V47">
        <v>5</v>
      </c>
      <c r="W47" s="49">
        <v>13.207303139013563</v>
      </c>
      <c r="X47" s="49">
        <v>7.27329685557193</v>
      </c>
      <c r="Y47" s="49">
        <v>6.0198246123504049</v>
      </c>
      <c r="Z47" s="49">
        <v>-5.5137584121986887</v>
      </c>
      <c r="AA47" s="49">
        <v>-18.724936993031957</v>
      </c>
      <c r="AB47" s="49">
        <v>-22.9828764100704</v>
      </c>
      <c r="AC47" s="49">
        <v>-29.235642196929327</v>
      </c>
      <c r="AD47" s="49">
        <v>-33</v>
      </c>
      <c r="AE47" s="32">
        <f>ABS($W$12-V47)</f>
        <v>2.1175911610994822</v>
      </c>
    </row>
    <row r="48" spans="21:47" x14ac:dyDescent="0.15">
      <c r="V48">
        <v>3</v>
      </c>
      <c r="W48" s="49">
        <v>17.350315113104458</v>
      </c>
      <c r="X48" s="49">
        <v>10.630788748907307</v>
      </c>
      <c r="Y48" s="49">
        <v>5.098929410533886</v>
      </c>
      <c r="Z48" s="49">
        <v>-4.4664152942253494</v>
      </c>
      <c r="AA48" s="49">
        <v>-18.988088587428464</v>
      </c>
      <c r="AB48" s="49">
        <v>-23.738381230041611</v>
      </c>
      <c r="AC48" s="49">
        <v>-30</v>
      </c>
      <c r="AD48" s="49">
        <v>-35</v>
      </c>
      <c r="AE48" s="32">
        <f>ABS($W$12-V48)</f>
        <v>0.1175911610994822</v>
      </c>
    </row>
    <row r="49" spans="3:35" x14ac:dyDescent="0.15">
      <c r="U49" t="s">
        <v>139</v>
      </c>
      <c r="V49">
        <f>MATCH(AE49,AE45:AE48,0)</f>
        <v>4</v>
      </c>
      <c r="W49" s="86">
        <f>INDEX(W45:W48,$V$49)</f>
        <v>17.350315113104458</v>
      </c>
      <c r="X49" s="86">
        <f t="shared" ref="X49:AD49" si="11">INDEX(X45:X48,$V$49)</f>
        <v>10.630788748907307</v>
      </c>
      <c r="Y49" s="86">
        <f t="shared" si="11"/>
        <v>5.098929410533886</v>
      </c>
      <c r="Z49" s="86">
        <f t="shared" si="11"/>
        <v>-4.4664152942253494</v>
      </c>
      <c r="AA49" s="86">
        <f t="shared" si="11"/>
        <v>-18.988088587428464</v>
      </c>
      <c r="AB49" s="86">
        <f t="shared" si="11"/>
        <v>-23.738381230041611</v>
      </c>
      <c r="AC49" s="86">
        <f t="shared" si="11"/>
        <v>-30</v>
      </c>
      <c r="AD49" s="86">
        <f t="shared" si="11"/>
        <v>-35</v>
      </c>
      <c r="AE49" s="111">
        <f>MIN(AE45:AE48)</f>
        <v>0.1175911610994822</v>
      </c>
    </row>
    <row r="50" spans="3:35" x14ac:dyDescent="0.15">
      <c r="AE50" t="s">
        <v>140</v>
      </c>
      <c r="AI50" s="110"/>
    </row>
    <row r="51" spans="3:35" x14ac:dyDescent="0.15">
      <c r="U51" t="s">
        <v>29</v>
      </c>
      <c r="V51">
        <v>10</v>
      </c>
      <c r="W51" s="49">
        <v>9.0860632115522435</v>
      </c>
      <c r="X51" s="49">
        <v>4.6160098027811856</v>
      </c>
      <c r="Y51" s="49">
        <v>1.4209759058410043E-2</v>
      </c>
      <c r="Z51" s="49">
        <v>-0.99375938105970718</v>
      </c>
      <c r="AA51" s="49">
        <v>-8.5773328725729545</v>
      </c>
      <c r="AB51" s="49">
        <v>-8.3183136021134469</v>
      </c>
      <c r="AC51" s="49">
        <v>-12.157080066801592</v>
      </c>
      <c r="AD51" s="49">
        <v>-16.104226903646911</v>
      </c>
      <c r="AE51" s="32">
        <f>ABS($W$12-V51)</f>
        <v>7.1175911610994822</v>
      </c>
      <c r="AI51" s="110"/>
    </row>
    <row r="52" spans="3:35" x14ac:dyDescent="0.15">
      <c r="V52">
        <v>6.5</v>
      </c>
      <c r="W52" s="49">
        <v>8.3585835518863654</v>
      </c>
      <c r="X52" s="49">
        <v>4.1894650406436611</v>
      </c>
      <c r="Y52" s="49">
        <v>1.1896979263598197</v>
      </c>
      <c r="Z52" s="49">
        <v>1.3113807808434359</v>
      </c>
      <c r="AA52" s="49">
        <v>-10.802769533783056</v>
      </c>
      <c r="AB52" s="49">
        <v>-10.767062383812114</v>
      </c>
      <c r="AC52" s="49">
        <v>-15.52404319784258</v>
      </c>
      <c r="AD52" s="49">
        <v>-19.758638415577899</v>
      </c>
      <c r="AE52" s="32">
        <f>ABS($W$12-V52)</f>
        <v>3.6175911610994822</v>
      </c>
      <c r="AI52" s="110"/>
    </row>
    <row r="53" spans="3:35" x14ac:dyDescent="0.15">
      <c r="V53">
        <v>5</v>
      </c>
      <c r="W53" s="49">
        <v>9.0198726899580457</v>
      </c>
      <c r="X53" s="49">
        <v>5.3967143634452128</v>
      </c>
      <c r="Y53" s="49">
        <v>5.3185642022107373</v>
      </c>
      <c r="Z53" s="49">
        <v>-4.0658032708185985</v>
      </c>
      <c r="AA53" s="49">
        <v>-11.11864988006031</v>
      </c>
      <c r="AB53" s="49">
        <v>-11.255628030211168</v>
      </c>
      <c r="AC53" s="49">
        <v>-17.052825639989059</v>
      </c>
      <c r="AD53" s="49">
        <v>-23.369744658909188</v>
      </c>
      <c r="AE53" s="32">
        <f>ABS($W$12-V53)</f>
        <v>2.1175911610994822</v>
      </c>
      <c r="AI53" s="110"/>
    </row>
    <row r="54" spans="3:35" x14ac:dyDescent="0.15">
      <c r="V54">
        <v>3</v>
      </c>
      <c r="W54" s="49">
        <v>11.084563387587638</v>
      </c>
      <c r="X54" s="49">
        <v>10.126110834418219</v>
      </c>
      <c r="Y54" s="49">
        <v>5.509035760924311</v>
      </c>
      <c r="Z54" s="49">
        <v>-4.322820012855491</v>
      </c>
      <c r="AA54" s="49">
        <v>-13.385658225075337</v>
      </c>
      <c r="AB54" s="49">
        <v>-13.814349572554702</v>
      </c>
      <c r="AC54" s="49">
        <v>-23.933303662829033</v>
      </c>
      <c r="AD54" s="49">
        <v>-28.758992045238902</v>
      </c>
      <c r="AE54" s="32">
        <f>ABS($W$12-V54)</f>
        <v>0.1175911610994822</v>
      </c>
    </row>
    <row r="55" spans="3:35" x14ac:dyDescent="0.15">
      <c r="U55" t="s">
        <v>139</v>
      </c>
      <c r="V55">
        <f>MATCH(AE55,AE51:AE54,0)</f>
        <v>4</v>
      </c>
      <c r="W55" s="86">
        <f>INDEX(W51:W54,$V$49)</f>
        <v>11.084563387587638</v>
      </c>
      <c r="X55" s="86">
        <f t="shared" ref="X55" si="12">INDEX(X51:X54,$V$49)</f>
        <v>10.126110834418219</v>
      </c>
      <c r="Y55" s="86">
        <f t="shared" ref="Y55" si="13">INDEX(Y51:Y54,$V$49)</f>
        <v>5.509035760924311</v>
      </c>
      <c r="Z55" s="86">
        <f t="shared" ref="Z55" si="14">INDEX(Z51:Z54,$V$49)</f>
        <v>-4.322820012855491</v>
      </c>
      <c r="AA55" s="86">
        <f t="shared" ref="AA55" si="15">INDEX(AA51:AA54,$V$49)</f>
        <v>-13.385658225075337</v>
      </c>
      <c r="AB55" s="86">
        <f t="shared" ref="AB55" si="16">INDEX(AB51:AB54,$V$49)</f>
        <v>-13.814349572554702</v>
      </c>
      <c r="AC55" s="86">
        <f t="shared" ref="AC55" si="17">INDEX(AC51:AC54,$V$49)</f>
        <v>-23.933303662829033</v>
      </c>
      <c r="AD55" s="86">
        <f t="shared" ref="AD55" si="18">INDEX(AD51:AD54,$V$49)</f>
        <v>-28.758992045238902</v>
      </c>
      <c r="AE55" s="111">
        <f>MIN(AE51:AE54)</f>
        <v>0.1175911610994822</v>
      </c>
    </row>
    <row r="56" spans="3:35" x14ac:dyDescent="0.15">
      <c r="C56" s="2" t="s">
        <v>45</v>
      </c>
    </row>
    <row r="57" spans="3:35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35" x14ac:dyDescent="0.15">
      <c r="C58" s="12"/>
      <c r="D58" s="16" t="s">
        <v>13</v>
      </c>
      <c r="E58" s="41" t="s">
        <v>27</v>
      </c>
      <c r="F58" s="11" t="s">
        <v>47</v>
      </c>
      <c r="G58" s="41" t="s">
        <v>133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Q58" s="41" t="s">
        <v>133</v>
      </c>
      <c r="R58" t="s">
        <v>33</v>
      </c>
      <c r="T58" s="24"/>
      <c r="W58" s="10"/>
      <c r="X58" s="16" t="s">
        <v>13</v>
      </c>
      <c r="Y58" s="11" t="s">
        <v>49</v>
      </c>
    </row>
    <row r="59" spans="3:35" x14ac:dyDescent="0.15">
      <c r="C59" s="10" t="s">
        <v>3</v>
      </c>
      <c r="D59" s="116">
        <v>157.28305069533172</v>
      </c>
      <c r="E59" s="118">
        <v>59.584121033260161</v>
      </c>
      <c r="F59" s="117">
        <v>166.48112332133923</v>
      </c>
      <c r="G59" s="112">
        <v>4020</v>
      </c>
      <c r="H59" t="s">
        <v>4</v>
      </c>
      <c r="I59" t="s">
        <v>5</v>
      </c>
      <c r="K59" s="24"/>
      <c r="M59" s="10" t="s">
        <v>3</v>
      </c>
      <c r="N59" s="116">
        <v>157.12388402585512</v>
      </c>
      <c r="O59" s="118">
        <v>73.586266756288396</v>
      </c>
      <c r="P59" s="117">
        <v>168.36896936050229</v>
      </c>
      <c r="Q59" s="112">
        <v>4020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157.28305069533172</v>
      </c>
      <c r="Y59" s="20">
        <f>F59</f>
        <v>166.48112332133923</v>
      </c>
    </row>
    <row r="60" spans="3:35" x14ac:dyDescent="0.15">
      <c r="C60" s="12"/>
      <c r="D60" s="116">
        <v>146.55078601347955</v>
      </c>
      <c r="E60" s="118">
        <v>59.034665171222933</v>
      </c>
      <c r="F60" s="117">
        <v>166.42923332157457</v>
      </c>
      <c r="G60" s="112">
        <v>4006.6666666666665</v>
      </c>
      <c r="H60" s="2">
        <f t="array" ref="H60:J60">LINEST(E59:E62,D59:D62^{1,2})</f>
        <v>-2.4253924294031796E-4</v>
      </c>
      <c r="I60" s="2">
        <v>0.11644381384373942</v>
      </c>
      <c r="J60" s="2">
        <v>47.245706738408366</v>
      </c>
      <c r="K60" s="24"/>
      <c r="M60" s="12"/>
      <c r="N60" s="116">
        <v>146.40382196258597</v>
      </c>
      <c r="O60" s="118">
        <v>72.598590028138631</v>
      </c>
      <c r="P60" s="117">
        <v>168.14315376683695</v>
      </c>
      <c r="Q60" s="112">
        <v>4006.6666666666665</v>
      </c>
      <c r="R60" s="2">
        <f t="array" ref="R60:T60">LINEST(O59:O62,N59:N62^{1,2})</f>
        <v>2.0151766087067014E-3</v>
      </c>
      <c r="S60" s="2">
        <v>-0.50465709385193103</v>
      </c>
      <c r="T60" s="27">
        <v>103.17163709549845</v>
      </c>
      <c r="W60" s="12"/>
      <c r="X60" s="17">
        <f t="shared" ref="X60:X61" si="19">D60</f>
        <v>146.55078601347955</v>
      </c>
      <c r="Y60" s="13">
        <f>F60</f>
        <v>166.42923332157457</v>
      </c>
    </row>
    <row r="61" spans="3:35" x14ac:dyDescent="0.15">
      <c r="C61" s="12"/>
      <c r="D61" s="116">
        <v>135.16967854746008</v>
      </c>
      <c r="E61" s="118">
        <v>58.616529819458627</v>
      </c>
      <c r="F61" s="117">
        <v>166.52729894333069</v>
      </c>
      <c r="G61" s="112">
        <v>3993.3333333333335</v>
      </c>
      <c r="K61" s="24"/>
      <c r="M61" s="12"/>
      <c r="N61" s="116">
        <v>134.62489122030723</v>
      </c>
      <c r="O61" s="118">
        <v>71.643458641188545</v>
      </c>
      <c r="P61" s="117">
        <v>168.27049338091555</v>
      </c>
      <c r="Q61" s="112">
        <v>4013.3333333333335</v>
      </c>
      <c r="T61" s="24"/>
      <c r="W61" s="12"/>
      <c r="X61" s="17">
        <f t="shared" si="19"/>
        <v>135.16967854746008</v>
      </c>
      <c r="Y61" s="13">
        <f>F61</f>
        <v>166.52729894333069</v>
      </c>
    </row>
    <row r="62" spans="3:35" x14ac:dyDescent="0.15">
      <c r="C62" s="14"/>
      <c r="D62" s="116">
        <v>122.87386253386013</v>
      </c>
      <c r="E62" s="118">
        <v>57.87243224523074</v>
      </c>
      <c r="F62" s="117">
        <v>166.32352391719792</v>
      </c>
      <c r="G62" s="112">
        <v>4020</v>
      </c>
      <c r="K62" s="24"/>
      <c r="M62" s="14"/>
      <c r="N62" s="116">
        <v>122.81318999787912</v>
      </c>
      <c r="O62" s="118">
        <v>71.624683220101119</v>
      </c>
      <c r="P62" s="117">
        <v>168.09244462004463</v>
      </c>
      <c r="Q62" s="112">
        <v>4026.6666666666665</v>
      </c>
      <c r="T62" s="24"/>
      <c r="W62" s="12"/>
      <c r="X62" s="17">
        <f>D62</f>
        <v>122.87386253386013</v>
      </c>
      <c r="Y62" s="13">
        <f>F62</f>
        <v>166.32352391719792</v>
      </c>
    </row>
    <row r="63" spans="3:35" x14ac:dyDescent="0.15">
      <c r="C63" s="12"/>
      <c r="D63" s="17"/>
      <c r="E63" s="42"/>
      <c r="F63" s="13"/>
      <c r="G63" s="96"/>
      <c r="K63" s="24"/>
      <c r="M63" s="12"/>
      <c r="N63" s="17"/>
      <c r="O63" s="42"/>
      <c r="P63" s="13"/>
      <c r="Q63" s="35"/>
      <c r="T63" s="24"/>
      <c r="W63" s="12"/>
      <c r="X63" s="17">
        <f>N59</f>
        <v>157.12388402585512</v>
      </c>
      <c r="Y63" s="13">
        <f>P59</f>
        <v>168.36896936050229</v>
      </c>
    </row>
    <row r="64" spans="3:35" x14ac:dyDescent="0.15">
      <c r="C64" s="10" t="s">
        <v>114</v>
      </c>
      <c r="D64" s="116">
        <v>115.79564526412705</v>
      </c>
      <c r="E64" s="118">
        <v>56.197280887668541</v>
      </c>
      <c r="F64" s="117">
        <v>80.608112872381284</v>
      </c>
      <c r="G64" s="112">
        <v>3120</v>
      </c>
      <c r="H64" t="s">
        <v>4</v>
      </c>
      <c r="I64" t="s">
        <v>5</v>
      </c>
      <c r="K64" s="24"/>
      <c r="M64" s="10" t="s">
        <v>114</v>
      </c>
      <c r="N64" s="116">
        <v>115.7527395118049</v>
      </c>
      <c r="O64" s="118">
        <v>69.410422694236928</v>
      </c>
      <c r="P64" s="117">
        <v>81.524141516906852</v>
      </c>
      <c r="Q64" s="112">
        <v>3113.3333333333335</v>
      </c>
      <c r="R64" t="s">
        <v>4</v>
      </c>
      <c r="S64" t="s">
        <v>5</v>
      </c>
      <c r="T64" s="24" t="s">
        <v>6</v>
      </c>
      <c r="W64" s="12"/>
      <c r="X64" s="17">
        <f>N60</f>
        <v>146.40382196258597</v>
      </c>
      <c r="Y64" s="13">
        <f>P60</f>
        <v>168.14315376683695</v>
      </c>
    </row>
    <row r="65" spans="3:25" x14ac:dyDescent="0.15">
      <c r="C65" s="12"/>
      <c r="D65" s="116">
        <v>106.97675022173922</v>
      </c>
      <c r="E65" s="118">
        <v>55.237406763421937</v>
      </c>
      <c r="F65" s="117">
        <v>80.694248796772087</v>
      </c>
      <c r="G65" s="112">
        <v>3113.3333333333335</v>
      </c>
      <c r="H65" s="2">
        <f t="array" ref="H65:J65">LINEST(E64:E67,D64:D67^{1,2})</f>
        <v>4.3868183690127143E-3</v>
      </c>
      <c r="I65" s="2">
        <v>-0.85842399657591062</v>
      </c>
      <c r="J65" s="2">
        <v>96.799930396341239</v>
      </c>
      <c r="K65" s="24"/>
      <c r="M65" s="12"/>
      <c r="N65" s="116">
        <v>106.91665501286138</v>
      </c>
      <c r="O65" s="118">
        <v>68.273831250714295</v>
      </c>
      <c r="P65" s="117">
        <v>81.530004886189204</v>
      </c>
      <c r="Q65" s="112">
        <v>3120</v>
      </c>
      <c r="R65" s="2">
        <f t="array" ref="R65:T65">LINEST(O64:O67,N64:N67^{1,2})</f>
        <v>-5.5969345669236144E-4</v>
      </c>
      <c r="S65" s="2">
        <v>0.20509321187369209</v>
      </c>
      <c r="T65" s="27">
        <v>53.060141260797003</v>
      </c>
      <c r="W65" s="12"/>
      <c r="X65" s="17">
        <f>N61</f>
        <v>134.62489122030723</v>
      </c>
      <c r="Y65" s="13">
        <f>P61</f>
        <v>168.27049338091555</v>
      </c>
    </row>
    <row r="66" spans="3:25" x14ac:dyDescent="0.15">
      <c r="C66" s="12"/>
      <c r="D66" s="116">
        <v>98.206572415924612</v>
      </c>
      <c r="E66" s="118">
        <v>54.74149561639608</v>
      </c>
      <c r="F66" s="117">
        <v>79.165188724749541</v>
      </c>
      <c r="G66" s="112">
        <v>3113.3333333333335</v>
      </c>
      <c r="K66" s="24"/>
      <c r="M66" s="12"/>
      <c r="N66" s="116">
        <v>97.668417506006648</v>
      </c>
      <c r="O66" s="118">
        <v>68.062176855408353</v>
      </c>
      <c r="P66" s="117">
        <v>80.071634336582761</v>
      </c>
      <c r="Q66" s="112">
        <v>3080</v>
      </c>
      <c r="T66" s="24"/>
      <c r="W66" s="14"/>
      <c r="X66" s="18">
        <f>N62</f>
        <v>122.81318999787912</v>
      </c>
      <c r="Y66" s="15">
        <f>P62</f>
        <v>168.09244462004463</v>
      </c>
    </row>
    <row r="67" spans="3:25" x14ac:dyDescent="0.15">
      <c r="C67" s="14"/>
      <c r="D67" s="116">
        <v>88.917966582246621</v>
      </c>
      <c r="E67" s="118">
        <v>55.175030795562357</v>
      </c>
      <c r="F67" s="117">
        <v>78.903619549585414</v>
      </c>
      <c r="G67" s="112">
        <v>3100</v>
      </c>
      <c r="K67" s="24"/>
      <c r="M67" s="14"/>
      <c r="N67" s="116">
        <v>88.471240528681378</v>
      </c>
      <c r="O67" s="118">
        <v>66.721187940680181</v>
      </c>
      <c r="P67" s="117">
        <v>79.731279286309771</v>
      </c>
      <c r="Q67" s="112">
        <v>3120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G68" s="96"/>
      <c r="K68" s="24"/>
      <c r="M68" s="12"/>
      <c r="N68" s="17"/>
      <c r="O68" s="42"/>
      <c r="P68" s="13"/>
      <c r="Q68" s="35"/>
      <c r="T68" s="24"/>
      <c r="W68" s="10" t="s">
        <v>114</v>
      </c>
      <c r="X68" s="19">
        <f>D64</f>
        <v>115.79564526412705</v>
      </c>
      <c r="Y68" s="20">
        <f>F64</f>
        <v>80.608112872381284</v>
      </c>
    </row>
    <row r="69" spans="3:25" x14ac:dyDescent="0.15">
      <c r="C69" s="10" t="s">
        <v>10</v>
      </c>
      <c r="D69" s="116">
        <v>84.357257896408399</v>
      </c>
      <c r="E69" s="118">
        <v>51.396877204560091</v>
      </c>
      <c r="F69" s="117">
        <v>39.263936860617122</v>
      </c>
      <c r="G69" s="112">
        <v>2400</v>
      </c>
      <c r="H69" t="s">
        <v>4</v>
      </c>
      <c r="I69" t="s">
        <v>5</v>
      </c>
      <c r="J69" t="s">
        <v>6</v>
      </c>
      <c r="K69" s="24"/>
      <c r="M69" s="10" t="s">
        <v>10</v>
      </c>
      <c r="N69" s="116">
        <v>84.276112176172617</v>
      </c>
      <c r="O69" s="118">
        <v>62.221587821743327</v>
      </c>
      <c r="P69" s="117">
        <v>39.708361053428277</v>
      </c>
      <c r="Q69" s="112">
        <v>2393.3333333333335</v>
      </c>
      <c r="R69" t="s">
        <v>4</v>
      </c>
      <c r="S69" t="s">
        <v>5</v>
      </c>
      <c r="T69" s="24" t="s">
        <v>6</v>
      </c>
      <c r="W69" s="12"/>
      <c r="X69" s="17">
        <f t="shared" ref="X69" si="20">D65</f>
        <v>106.97675022173922</v>
      </c>
      <c r="Y69" s="13">
        <f t="shared" ref="Y69" si="21">F65</f>
        <v>80.694248796772087</v>
      </c>
    </row>
    <row r="70" spans="3:25" x14ac:dyDescent="0.15">
      <c r="C70" s="12"/>
      <c r="D70" s="116">
        <v>78.503845274925567</v>
      </c>
      <c r="E70" s="118">
        <v>50.687179139252699</v>
      </c>
      <c r="F70" s="117">
        <v>39.205095983284998</v>
      </c>
      <c r="G70" s="112">
        <v>2400</v>
      </c>
      <c r="H70" s="2">
        <f t="array" ref="H70:J70">LINEST(E69:E72,D69:D72^{1,2})</f>
        <v>-1.3755929825614837E-3</v>
      </c>
      <c r="I70" s="2">
        <v>0.29221743902654007</v>
      </c>
      <c r="J70" s="2">
        <v>36.454339238627362</v>
      </c>
      <c r="K70" s="24"/>
      <c r="M70" s="12"/>
      <c r="N70" s="116">
        <v>78.366665869479021</v>
      </c>
      <c r="O70" s="118">
        <v>61.769751245014781</v>
      </c>
      <c r="P70" s="117">
        <v>39.612367593859325</v>
      </c>
      <c r="Q70" s="112">
        <v>2386.6666666666665</v>
      </c>
      <c r="R70" s="2">
        <f t="array" ref="R70:T70">LINEST(O69:O72,N69:N72^{1,2})</f>
        <v>-2.7736381432987483E-4</v>
      </c>
      <c r="S70" s="2">
        <v>0.10405666660144859</v>
      </c>
      <c r="T70" s="27">
        <v>55.39483524243424</v>
      </c>
      <c r="W70" s="12"/>
      <c r="X70" s="17">
        <f>D67</f>
        <v>88.917966582246621</v>
      </c>
      <c r="Y70" s="13">
        <f>F67</f>
        <v>78.903619549585414</v>
      </c>
    </row>
    <row r="71" spans="3:25" x14ac:dyDescent="0.15">
      <c r="C71" s="12"/>
      <c r="D71" s="116">
        <v>72.383196337283366</v>
      </c>
      <c r="E71" s="118">
        <v>50.612475302246779</v>
      </c>
      <c r="F71" s="117">
        <v>39.115474021616095</v>
      </c>
      <c r="G71" s="112">
        <v>2400</v>
      </c>
      <c r="K71" s="24"/>
      <c r="M71" s="12"/>
      <c r="N71" s="116">
        <v>71.9434750225589</v>
      </c>
      <c r="O71" s="118">
        <v>61.518377533862719</v>
      </c>
      <c r="P71" s="117">
        <v>39.564974448031926</v>
      </c>
      <c r="Q71" s="112">
        <v>2400</v>
      </c>
      <c r="T71" s="24"/>
      <c r="W71" s="12"/>
      <c r="X71" s="17">
        <f>N64</f>
        <v>115.7527395118049</v>
      </c>
      <c r="Y71" s="13">
        <f>P64</f>
        <v>81.524141516906852</v>
      </c>
    </row>
    <row r="72" spans="3:25" x14ac:dyDescent="0.15">
      <c r="C72" s="14"/>
      <c r="D72" s="116">
        <v>65.600686333526227</v>
      </c>
      <c r="E72" s="118">
        <v>49.639499165934055</v>
      </c>
      <c r="F72" s="117">
        <v>38.567327276797485</v>
      </c>
      <c r="G72" s="112">
        <v>2400</v>
      </c>
      <c r="K72" s="24"/>
      <c r="M72" s="14"/>
      <c r="N72" s="116">
        <v>65.492862624326236</v>
      </c>
      <c r="O72" s="118">
        <v>60.996208646351839</v>
      </c>
      <c r="P72" s="117">
        <v>38.97346583117239</v>
      </c>
      <c r="Q72" s="112">
        <v>2400</v>
      </c>
      <c r="T72" s="24"/>
      <c r="W72" s="12"/>
      <c r="X72" s="17">
        <f>N65</f>
        <v>106.91665501286138</v>
      </c>
      <c r="Y72" s="13">
        <f>P65</f>
        <v>81.530004886189204</v>
      </c>
    </row>
    <row r="73" spans="3:25" x14ac:dyDescent="0.15">
      <c r="C73" s="12"/>
      <c r="D73" s="17"/>
      <c r="E73" s="42"/>
      <c r="F73" s="13"/>
      <c r="G73" s="96"/>
      <c r="K73" s="24"/>
      <c r="M73" s="12"/>
      <c r="N73" s="17"/>
      <c r="O73" s="42"/>
      <c r="P73" s="13"/>
      <c r="Q73" s="35"/>
      <c r="T73" s="24"/>
      <c r="W73" s="12"/>
      <c r="X73" s="17">
        <f>N66</f>
        <v>97.668417506006648</v>
      </c>
      <c r="Y73" s="13">
        <f>P66</f>
        <v>80.071634336582761</v>
      </c>
    </row>
    <row r="74" spans="3:25" x14ac:dyDescent="0.15">
      <c r="C74" s="10" t="s">
        <v>12</v>
      </c>
      <c r="D74" s="116">
        <v>45.043697488606703</v>
      </c>
      <c r="E74" s="118">
        <v>38.857851553991033</v>
      </c>
      <c r="F74" s="117">
        <v>12.340574913574338</v>
      </c>
      <c r="G74" s="112">
        <v>1440</v>
      </c>
      <c r="H74" t="s">
        <v>4</v>
      </c>
      <c r="I74" t="s">
        <v>5</v>
      </c>
      <c r="J74" t="s">
        <v>6</v>
      </c>
      <c r="K74" s="24"/>
      <c r="M74" s="10" t="s">
        <v>12</v>
      </c>
      <c r="N74" s="116">
        <v>45.056263579141628</v>
      </c>
      <c r="O74" s="118">
        <v>51.172241569318196</v>
      </c>
      <c r="P74" s="117">
        <v>12.47957178325729</v>
      </c>
      <c r="Q74" s="112">
        <v>1473.3333333333333</v>
      </c>
      <c r="R74" t="s">
        <v>4</v>
      </c>
      <c r="S74" t="s">
        <v>5</v>
      </c>
      <c r="T74" s="24" t="s">
        <v>6</v>
      </c>
      <c r="W74" s="14"/>
      <c r="X74" s="18">
        <f>N67</f>
        <v>88.471240528681378</v>
      </c>
      <c r="Y74" s="15">
        <f>P67</f>
        <v>79.731279286309771</v>
      </c>
    </row>
    <row r="75" spans="3:25" x14ac:dyDescent="0.15">
      <c r="C75" s="12"/>
      <c r="D75" s="116">
        <v>42.867192759507176</v>
      </c>
      <c r="E75" s="118">
        <v>38.771970649710418</v>
      </c>
      <c r="F75" s="117">
        <v>12.170740859137242</v>
      </c>
      <c r="G75" s="112">
        <v>1440</v>
      </c>
      <c r="H75" s="2">
        <f t="array" ref="H75:J75">LINEST(E74:E77,D74:D77^{1,2})</f>
        <v>1.0045473392584981E-2</v>
      </c>
      <c r="I75" s="2">
        <v>-0.75458790224089733</v>
      </c>
      <c r="J75" s="2">
        <v>52.521735667065393</v>
      </c>
      <c r="K75" s="24"/>
      <c r="M75" s="12"/>
      <c r="N75" s="116">
        <v>42.835910101814022</v>
      </c>
      <c r="O75" s="118">
        <v>51.491026615654533</v>
      </c>
      <c r="P75" s="117">
        <v>12.297721047662893</v>
      </c>
      <c r="Q75" s="114">
        <v>1480</v>
      </c>
      <c r="R75" s="2">
        <f t="array" ref="R75:T75">LINEST(O74:O77,N74:N77^{1,2})</f>
        <v>-2.728362272228212E-2</v>
      </c>
      <c r="S75" s="2">
        <v>2.3270074664211888</v>
      </c>
      <c r="T75" s="27">
        <v>1.7604410813601277</v>
      </c>
      <c r="W75" s="12"/>
      <c r="X75" s="16" t="s">
        <v>13</v>
      </c>
      <c r="Y75" s="11" t="s">
        <v>49</v>
      </c>
    </row>
    <row r="76" spans="3:25" x14ac:dyDescent="0.15">
      <c r="C76" s="12"/>
      <c r="D76" s="116">
        <v>40.200875313800047</v>
      </c>
      <c r="E76" s="118">
        <v>38.312133032218668</v>
      </c>
      <c r="F76" s="117">
        <v>12.068060072659554</v>
      </c>
      <c r="G76" s="112">
        <v>1480</v>
      </c>
      <c r="K76" s="24"/>
      <c r="M76" s="12"/>
      <c r="N76" s="116">
        <v>40.04683467591375</v>
      </c>
      <c r="O76" s="118">
        <v>51.101913029693968</v>
      </c>
      <c r="P76" s="117">
        <v>12.206532294709383</v>
      </c>
      <c r="Q76" s="114">
        <v>1440</v>
      </c>
      <c r="T76" s="24"/>
      <c r="W76" s="10" t="s">
        <v>10</v>
      </c>
      <c r="X76" s="19">
        <f>D69</f>
        <v>84.357257896408399</v>
      </c>
      <c r="Y76" s="20">
        <f>F69</f>
        <v>39.263936860617122</v>
      </c>
    </row>
    <row r="77" spans="3:25" x14ac:dyDescent="0.15">
      <c r="C77" s="14"/>
      <c r="D77" s="120">
        <v>36.701633625452011</v>
      </c>
      <c r="E77" s="119">
        <v>38.385869540907585</v>
      </c>
      <c r="F77" s="121">
        <v>11.936812679215606</v>
      </c>
      <c r="G77" s="113">
        <v>1466.6666666666667</v>
      </c>
      <c r="H77" s="25"/>
      <c r="I77" s="25"/>
      <c r="J77" s="25"/>
      <c r="K77" s="26"/>
      <c r="M77" s="14"/>
      <c r="N77" s="116">
        <v>36.610447186451644</v>
      </c>
      <c r="O77" s="119">
        <v>50.408682683836055</v>
      </c>
      <c r="P77" s="117">
        <v>12.062555970967841</v>
      </c>
      <c r="Q77" s="115">
        <v>1440</v>
      </c>
      <c r="R77" s="25"/>
      <c r="S77" s="25"/>
      <c r="T77" s="26"/>
      <c r="W77" s="12"/>
      <c r="X77" s="17">
        <f t="shared" ref="X77" si="22">D70</f>
        <v>78.503845274925567</v>
      </c>
      <c r="Y77" s="13">
        <f>F70</f>
        <v>39.205095983284998</v>
      </c>
    </row>
    <row r="78" spans="3:25" x14ac:dyDescent="0.15">
      <c r="W78" s="12"/>
      <c r="X78" s="17">
        <f>D72</f>
        <v>65.600686333526227</v>
      </c>
      <c r="Y78" s="13">
        <f>F72</f>
        <v>38.567327276797485</v>
      </c>
    </row>
    <row r="79" spans="3:25" x14ac:dyDescent="0.15">
      <c r="F79" s="5"/>
      <c r="W79" s="12"/>
      <c r="X79" s="17">
        <f>N69</f>
        <v>84.276112176172617</v>
      </c>
      <c r="Y79" s="13">
        <f>P69</f>
        <v>39.708361053428277</v>
      </c>
    </row>
    <row r="80" spans="3:25" x14ac:dyDescent="0.15">
      <c r="F80" s="5"/>
      <c r="W80" s="12"/>
      <c r="X80" s="17">
        <f>N70</f>
        <v>78.366665869479021</v>
      </c>
      <c r="Y80" s="13">
        <f>P70</f>
        <v>39.612367593859325</v>
      </c>
    </row>
    <row r="81" spans="6:30" x14ac:dyDescent="0.15">
      <c r="F81" s="5"/>
      <c r="W81" s="12"/>
      <c r="X81" s="17">
        <f>N71</f>
        <v>71.9434750225589</v>
      </c>
      <c r="Y81" s="13">
        <f>P71</f>
        <v>39.564974448031926</v>
      </c>
      <c r="AA81" t="s">
        <v>50</v>
      </c>
    </row>
    <row r="82" spans="6:30" x14ac:dyDescent="0.15">
      <c r="F82" s="5"/>
      <c r="W82" s="14"/>
      <c r="X82" s="18">
        <f>N72</f>
        <v>65.492862624326236</v>
      </c>
      <c r="Y82" s="15">
        <f>P72</f>
        <v>38.97346583117239</v>
      </c>
      <c r="AB82" s="4" t="s">
        <v>4</v>
      </c>
      <c r="AC82" s="4" t="s">
        <v>5</v>
      </c>
      <c r="AD82" s="4" t="s">
        <v>6</v>
      </c>
    </row>
    <row r="83" spans="6:30" x14ac:dyDescent="0.15">
      <c r="W83" s="12"/>
      <c r="X83" s="16" t="s">
        <v>13</v>
      </c>
      <c r="Y83" s="11" t="s">
        <v>49</v>
      </c>
      <c r="AA83" t="s">
        <v>3</v>
      </c>
      <c r="AB83" s="54">
        <f t="array" ref="AB83:AD83">LINEST(Y59:Y66,X59:X66^{1,2})</f>
        <v>-1.0756346522803263E-4</v>
      </c>
      <c r="AC83" s="54">
        <v>3.4200096278811223E-2</v>
      </c>
      <c r="AD83" s="54">
        <v>164.66601419104509</v>
      </c>
    </row>
    <row r="84" spans="6:30" x14ac:dyDescent="0.15">
      <c r="W84" s="10" t="s">
        <v>12</v>
      </c>
      <c r="X84" s="19">
        <f>D74</f>
        <v>45.043697488606703</v>
      </c>
      <c r="Y84" s="20">
        <f>F74</f>
        <v>12.340574913574338</v>
      </c>
      <c r="AA84" t="s">
        <v>114</v>
      </c>
      <c r="AB84" s="54">
        <f t="array" ref="AB84:AD84">LINEST(Y68:Y74,X68:X74^{1,2})</f>
        <v>-2.7576805932085923E-3</v>
      </c>
      <c r="AC84" s="54">
        <v>0.63166725308020022</v>
      </c>
      <c r="AD84" s="54">
        <v>44.949954471504952</v>
      </c>
    </row>
    <row r="85" spans="6:30" x14ac:dyDescent="0.15">
      <c r="W85" s="12"/>
      <c r="X85" s="17">
        <f t="shared" ref="X85:X86" si="23">D75</f>
        <v>42.867192759507176</v>
      </c>
      <c r="Y85" s="13">
        <f>F75</f>
        <v>12.170740859137242</v>
      </c>
      <c r="AA85" t="s">
        <v>10</v>
      </c>
      <c r="AB85" s="54">
        <f t="array" ref="AB85:AD85">LINEST(Y76:Y82,X76:X82^{1,2})</f>
        <v>-3.8308146457983862E-3</v>
      </c>
      <c r="AC85" s="54">
        <v>0.60756217460898576</v>
      </c>
      <c r="AD85" s="54">
        <v>15.446150735511129</v>
      </c>
    </row>
    <row r="86" spans="6:30" x14ac:dyDescent="0.15">
      <c r="W86" s="12"/>
      <c r="X86" s="17">
        <f t="shared" si="23"/>
        <v>40.200875313800047</v>
      </c>
      <c r="Y86" s="13">
        <f>F76</f>
        <v>12.068060072659554</v>
      </c>
      <c r="AA86" t="s">
        <v>12</v>
      </c>
      <c r="AB86" s="54">
        <f t="array" ref="AB86:AD86">LINEST(Y84:Y90,X84:X90^{1,2})</f>
        <v>4.8830001645742008E-3</v>
      </c>
      <c r="AC86" s="54">
        <v>-0.35934994558101141</v>
      </c>
      <c r="AD86" s="54">
        <v>18.681884504184467</v>
      </c>
    </row>
    <row r="87" spans="6:30" x14ac:dyDescent="0.15">
      <c r="F87" s="5"/>
      <c r="W87" s="12"/>
      <c r="X87" s="17">
        <f>N74</f>
        <v>45.056263579141628</v>
      </c>
      <c r="Y87" s="13">
        <f>P74</f>
        <v>12.47957178325729</v>
      </c>
    </row>
    <row r="88" spans="6:30" x14ac:dyDescent="0.15">
      <c r="F88" s="5"/>
      <c r="W88" s="12"/>
      <c r="X88" s="17">
        <f t="shared" ref="X88:X90" si="24">N75</f>
        <v>42.835910101814022</v>
      </c>
      <c r="Y88" s="13">
        <f>P75</f>
        <v>12.297721047662893</v>
      </c>
    </row>
    <row r="89" spans="6:30" x14ac:dyDescent="0.15">
      <c r="F89" s="5"/>
      <c r="W89" s="12"/>
      <c r="X89" s="17">
        <f t="shared" si="24"/>
        <v>40.04683467591375</v>
      </c>
      <c r="Y89" s="13">
        <f>P76</f>
        <v>12.206532294709383</v>
      </c>
    </row>
    <row r="90" spans="6:30" x14ac:dyDescent="0.15">
      <c r="F90" s="5"/>
      <c r="W90" s="14"/>
      <c r="X90" s="18">
        <f t="shared" si="24"/>
        <v>36.610447186451644</v>
      </c>
      <c r="Y90" s="15">
        <f>P77</f>
        <v>12.062555970967841</v>
      </c>
    </row>
    <row r="91" spans="6:30" x14ac:dyDescent="0.15">
      <c r="F91" s="5"/>
    </row>
    <row r="92" spans="6:30" x14ac:dyDescent="0.15">
      <c r="F92" s="5"/>
    </row>
    <row r="93" spans="6:30" x14ac:dyDescent="0.15">
      <c r="F93" s="5"/>
      <c r="W93">
        <v>15.295903703473467</v>
      </c>
      <c r="X93">
        <v>6.9606844827178733</v>
      </c>
      <c r="Y93">
        <v>1.935537565534295</v>
      </c>
      <c r="Z93">
        <v>0.80412623094933799</v>
      </c>
      <c r="AA93">
        <v>-13.48298515888643</v>
      </c>
      <c r="AB93">
        <v>-17.356702189585882</v>
      </c>
      <c r="AC93">
        <v>-22.469592711139754</v>
      </c>
      <c r="AD93">
        <v>-29.685489565677955</v>
      </c>
    </row>
    <row r="94" spans="6:30" x14ac:dyDescent="0.15">
      <c r="F94" s="5"/>
      <c r="W94">
        <v>14.136883628769926</v>
      </c>
      <c r="X94">
        <v>5.8347496355939548</v>
      </c>
      <c r="Y94">
        <v>3.3755957124767981</v>
      </c>
      <c r="Z94">
        <v>1.0256528729394354</v>
      </c>
      <c r="AA94">
        <v>-16.732317497815437</v>
      </c>
      <c r="AB94">
        <v>-20.921804597817399</v>
      </c>
      <c r="AC94">
        <v>-26.633808344493076</v>
      </c>
      <c r="AD94">
        <v>-32.178832312787037</v>
      </c>
    </row>
    <row r="95" spans="6:30" x14ac:dyDescent="0.15">
      <c r="F95" s="5"/>
      <c r="W95">
        <v>13.207303139013563</v>
      </c>
      <c r="X95">
        <v>7.27329685557193</v>
      </c>
      <c r="Y95">
        <v>6.0198246123504049</v>
      </c>
      <c r="Z95">
        <v>-5.5137584121986887</v>
      </c>
      <c r="AA95">
        <v>-18.724936993031957</v>
      </c>
      <c r="AB95">
        <v>-22.9828764100704</v>
      </c>
      <c r="AC95">
        <v>-29.235642196929327</v>
      </c>
      <c r="AD95">
        <v>-33</v>
      </c>
    </row>
    <row r="96" spans="6:30" x14ac:dyDescent="0.15">
      <c r="F96" s="5"/>
      <c r="W96">
        <v>17.350315113104458</v>
      </c>
      <c r="X96">
        <v>10.630788748907307</v>
      </c>
      <c r="Y96">
        <v>5.098929410533886</v>
      </c>
      <c r="Z96">
        <v>-4.4664152942253494</v>
      </c>
      <c r="AA96">
        <v>-18.988088587428464</v>
      </c>
      <c r="AB96">
        <v>-23.738381230041611</v>
      </c>
      <c r="AC96">
        <v>-30</v>
      </c>
      <c r="AD96">
        <v>-35</v>
      </c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FC6EA-94BC-45F2-89A4-D5BA148B21AF}">
  <sheetPr codeName="Taul23"/>
  <dimension ref="C2:AU99"/>
  <sheetViews>
    <sheetView topLeftCell="D1" zoomScale="70" zoomScaleNormal="70" workbookViewId="0">
      <selection activeCell="AG52" sqref="AG52"/>
    </sheetView>
  </sheetViews>
  <sheetFormatPr baseColWidth="10" defaultColWidth="8.83203125" defaultRowHeight="13" x14ac:dyDescent="0.15"/>
  <cols>
    <col min="16" max="16" width="10.83203125" customWidth="1"/>
    <col min="17" max="18" width="9.33203125" bestFit="1" customWidth="1"/>
    <col min="19" max="19" width="10" bestFit="1" customWidth="1"/>
    <col min="22" max="22" width="13" customWidth="1"/>
    <col min="23" max="23" width="10.1640625" bestFit="1" customWidth="1"/>
    <col min="25" max="25" width="10" customWidth="1"/>
  </cols>
  <sheetData>
    <row r="2" spans="3:34" x14ac:dyDescent="0.15">
      <c r="C2" s="2" t="s">
        <v>59</v>
      </c>
      <c r="J2" t="s">
        <v>15</v>
      </c>
    </row>
    <row r="3" spans="3:34" x14ac:dyDescent="0.15">
      <c r="J3" s="7">
        <f>'R-series ALU'!$G$33</f>
        <v>9.7222222222222214</v>
      </c>
      <c r="K3" t="s">
        <v>13</v>
      </c>
      <c r="L3" s="7">
        <f>'R-series ALU'!$G$39</f>
        <v>100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O5" t="s">
        <v>134</v>
      </c>
      <c r="P5" s="52">
        <f t="array" ref="P5:Q5">LINEST(AF34:AF36,LN(AC34:AC36))</f>
        <v>-7.974960798206097</v>
      </c>
      <c r="Q5" s="52">
        <v>71.746504732055229</v>
      </c>
      <c r="R5" t="s">
        <v>28</v>
      </c>
      <c r="S5" s="9">
        <f>$P$5*LN($J$3)+$Q$5</f>
        <v>53.608140520354468</v>
      </c>
      <c r="T5" t="s">
        <v>31</v>
      </c>
      <c r="U5" s="39" t="s">
        <v>42</v>
      </c>
      <c r="V5" s="32" t="s">
        <v>8</v>
      </c>
      <c r="W5" s="9">
        <f>IF($J$3&gt;$AC$35,S5,IF($J$3&lt;$AC$36,S6,AVERAGE(S5:S6)))</f>
        <v>42.420905312295687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O6" t="s">
        <v>136</v>
      </c>
      <c r="P6" s="52">
        <f t="array" ref="P6:Q6">LINEST(AF35:AF37,LN(AC35:AC37))</f>
        <v>7.1712004271308931</v>
      </c>
      <c r="Q6" s="52">
        <v>26.110625114847782</v>
      </c>
      <c r="R6" t="s">
        <v>28</v>
      </c>
      <c r="S6" s="9">
        <f>$P$6*LN($J$3)+$Q$6</f>
        <v>42.420905312295687</v>
      </c>
      <c r="T6" t="s">
        <v>31</v>
      </c>
      <c r="U6" s="39"/>
      <c r="AA6" s="55">
        <v>100</v>
      </c>
      <c r="AB6" s="56">
        <f t="shared" ref="AB6:AB12" si="0">(-$D$9-SQRT($D$9^2-(4*$C$9*($E$9-AA6))))/(2*$C$9)</f>
        <v>179.11691580328477</v>
      </c>
      <c r="AC6" s="55">
        <v>50</v>
      </c>
      <c r="AD6" s="57">
        <f t="shared" ref="AD6:AD12" si="1">(-$D$14-SQRT($D$14^2-(4*$C$14*($E$14-AC6))))/(2*$C$14)</f>
        <v>131.14254504164199</v>
      </c>
      <c r="AE6" s="55">
        <v>35</v>
      </c>
      <c r="AF6" s="57">
        <f t="shared" ref="AF6:AF11" si="2">(-$D$19-SQRT($D$19^2-(4*$C$19*($E$19-AE6))))/(2*$C$19)</f>
        <v>96.216817804800328</v>
      </c>
      <c r="AG6" s="56">
        <v>15</v>
      </c>
      <c r="AH6" s="57">
        <f>(-$D$24-SQRT($D$24^2-(4*$C$24*($E$24-AG6))))/(2*$C$24)</f>
        <v>52.354855059834129</v>
      </c>
    </row>
    <row r="7" spans="3:34" x14ac:dyDescent="0.15">
      <c r="C7" t="s">
        <v>11</v>
      </c>
      <c r="D7" s="1"/>
      <c r="E7" s="1"/>
      <c r="H7" s="1"/>
      <c r="AA7" s="55">
        <v>120</v>
      </c>
      <c r="AB7" s="56">
        <f t="shared" si="0"/>
        <v>174.89861666422897</v>
      </c>
      <c r="AC7" s="55">
        <v>50</v>
      </c>
      <c r="AD7" s="57">
        <f t="shared" si="1"/>
        <v>131.14254504164199</v>
      </c>
      <c r="AE7" s="55">
        <v>40</v>
      </c>
      <c r="AF7" s="57">
        <f t="shared" si="2"/>
        <v>94.729294500929157</v>
      </c>
      <c r="AG7" s="56">
        <v>20</v>
      </c>
      <c r="AH7" s="57">
        <f>(-$D$24-SQRT($D$24^2-(4*$C$24*($E$24-AG7))))/(2*$C$24)</f>
        <v>50.492611628762866</v>
      </c>
    </row>
    <row r="8" spans="3:34" x14ac:dyDescent="0.15">
      <c r="C8" t="s">
        <v>4</v>
      </c>
      <c r="D8" t="s">
        <v>5</v>
      </c>
      <c r="E8" t="s">
        <v>6</v>
      </c>
      <c r="O8" t="s">
        <v>134</v>
      </c>
      <c r="P8" s="52">
        <f t="array" ref="P8:Q8">LINEST(AG34:AG36,LN(AC34:AC36))</f>
        <v>-0.99359127891001076</v>
      </c>
      <c r="Q8" s="52">
        <v>69.715474667366991</v>
      </c>
      <c r="R8" t="s">
        <v>7</v>
      </c>
      <c r="S8" s="9">
        <f>$P$8*LN($J$3)+$Q$8</f>
        <v>67.455636537693266</v>
      </c>
      <c r="T8" t="s">
        <v>31</v>
      </c>
      <c r="U8" s="39" t="s">
        <v>43</v>
      </c>
      <c r="V8" t="s">
        <v>57</v>
      </c>
      <c r="W8" s="9">
        <f>IF($J$3&gt;$AC$35,S8,IF($J$3&lt;$AC$36,S9,AVERAGE(S8:S9)))</f>
        <v>45.781094934076748</v>
      </c>
      <c r="X8" t="s">
        <v>31</v>
      </c>
      <c r="AA8" s="55">
        <v>190</v>
      </c>
      <c r="AB8" s="56">
        <f t="shared" si="0"/>
        <v>162.27597672313368</v>
      </c>
      <c r="AC8" s="55">
        <v>100</v>
      </c>
      <c r="AD8" s="57">
        <f t="shared" si="1"/>
        <v>119.35417996021101</v>
      </c>
      <c r="AE8" s="55">
        <v>60</v>
      </c>
      <c r="AF8" s="57">
        <f t="shared" si="2"/>
        <v>88.896594856540219</v>
      </c>
      <c r="AG8" s="56">
        <v>25</v>
      </c>
      <c r="AH8" s="57">
        <f>(-$D$24-SQRT($D$24^2-(4*$C$24*($E$24-AG8))))/(2*$C$24)</f>
        <v>48.580002546231498</v>
      </c>
    </row>
    <row r="9" spans="3:34" x14ac:dyDescent="0.15">
      <c r="C9" s="8">
        <v>4.776121315499704E-2</v>
      </c>
      <c r="D9" s="8">
        <v>-21.649458747735029</v>
      </c>
      <c r="E9" s="8">
        <v>2445.4675096074193</v>
      </c>
      <c r="H9" s="2"/>
      <c r="O9" t="s">
        <v>135</v>
      </c>
      <c r="P9" s="52">
        <f t="array" ref="P9:Q9">LINEST(AG35:AG37,LN(AC35:AC37))</f>
        <v>31.917989564907717</v>
      </c>
      <c r="Q9" s="52">
        <v>-26.813634279361963</v>
      </c>
      <c r="R9" t="s">
        <v>7</v>
      </c>
      <c r="S9" s="9">
        <f>$P$9*LN($J$3)+$Q$9</f>
        <v>45.781094934076748</v>
      </c>
      <c r="T9" t="s">
        <v>31</v>
      </c>
      <c r="AA9" s="55">
        <v>250</v>
      </c>
      <c r="AB9" s="56">
        <f t="shared" si="0"/>
        <v>153.16260121404989</v>
      </c>
      <c r="AC9" s="55">
        <v>150</v>
      </c>
      <c r="AD9" s="57">
        <f t="shared" si="1"/>
        <v>107.93377609376739</v>
      </c>
      <c r="AE9" s="55">
        <v>80</v>
      </c>
      <c r="AF9" s="57">
        <f t="shared" si="2"/>
        <v>83.239100699553205</v>
      </c>
      <c r="AG9" s="56">
        <v>30</v>
      </c>
      <c r="AH9" s="57">
        <f>(-$D$24-SQRT($D$24^2-(4*$C$24*($E$24-AG9))))/(2*$C$24)</f>
        <v>46.612705838811827</v>
      </c>
    </row>
    <row r="10" spans="3:34" x14ac:dyDescent="0.15">
      <c r="C10" s="2"/>
      <c r="D10" s="2"/>
      <c r="E10" s="2"/>
      <c r="H10" s="2"/>
      <c r="V10" t="s">
        <v>144</v>
      </c>
      <c r="W10">
        <v>200</v>
      </c>
      <c r="AA10" s="55">
        <v>320</v>
      </c>
      <c r="AB10" s="56">
        <f t="shared" si="0"/>
        <v>143.78770801919913</v>
      </c>
      <c r="AC10" s="55">
        <v>170</v>
      </c>
      <c r="AD10" s="57">
        <f t="shared" si="1"/>
        <v>103.46121449007943</v>
      </c>
      <c r="AE10" s="55">
        <v>100</v>
      </c>
      <c r="AF10" s="57">
        <f t="shared" si="2"/>
        <v>77.741912106746298</v>
      </c>
      <c r="AG10" s="56">
        <v>55</v>
      </c>
      <c r="AH10" s="57">
        <f>(-$D$24-SQRT($D$24^2-(4*$C$24*($E$24-AG10))))/(2*$C$24)</f>
        <v>35.748954672957019</v>
      </c>
    </row>
    <row r="11" spans="3:34" x14ac:dyDescent="0.15">
      <c r="C11" s="2" t="s">
        <v>114</v>
      </c>
      <c r="D11" s="1"/>
      <c r="E11" s="1"/>
      <c r="H11" s="1"/>
      <c r="P11" t="s">
        <v>130</v>
      </c>
      <c r="T11" s="4"/>
      <c r="U11" s="5"/>
      <c r="V11" t="s">
        <v>143</v>
      </c>
      <c r="W11">
        <v>750</v>
      </c>
      <c r="X11" t="s">
        <v>14</v>
      </c>
      <c r="Y11" t="str">
        <f>IF(W12&gt;10,"Ei käyttöalueella","OK")</f>
        <v>OK</v>
      </c>
      <c r="AA11" s="55">
        <v>390</v>
      </c>
      <c r="AB11" s="56">
        <f t="shared" si="0"/>
        <v>135.37071942904149</v>
      </c>
      <c r="AC11" s="55">
        <v>190</v>
      </c>
      <c r="AD11" s="57">
        <f t="shared" si="1"/>
        <v>99.040422729184755</v>
      </c>
      <c r="AE11" s="55">
        <v>138</v>
      </c>
      <c r="AF11" s="57">
        <f t="shared" si="2"/>
        <v>67.694020441116294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132</v>
      </c>
      <c r="Q12" s="51">
        <v>0</v>
      </c>
      <c r="R12" s="51">
        <f t="array" ref="R12:S12">LINEST(U35:U37,AC35:AC37)</f>
        <v>0.25413599296419354</v>
      </c>
      <c r="S12" s="51">
        <v>0.51171065522512738</v>
      </c>
      <c r="U12" s="39" t="s">
        <v>42</v>
      </c>
      <c r="V12" t="s">
        <v>58</v>
      </c>
      <c r="W12" s="9">
        <f>Q14*J3^2+R14*J3+S14</f>
        <v>2.9824772534881201</v>
      </c>
      <c r="X12" t="s">
        <v>25</v>
      </c>
      <c r="AA12" s="58">
        <v>450</v>
      </c>
      <c r="AB12" s="59">
        <f t="shared" si="0"/>
        <v>128.73037088287538</v>
      </c>
      <c r="AC12" s="58">
        <v>235</v>
      </c>
      <c r="AD12" s="60">
        <f t="shared" si="1"/>
        <v>89.273980043178298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t="s">
        <v>131</v>
      </c>
      <c r="Q13" s="51">
        <v>0</v>
      </c>
      <c r="R13" s="51">
        <f t="array" ref="R13:S13">LINEST(U34:U35,AC34:AC35)</f>
        <v>0.21278900290593059</v>
      </c>
      <c r="S13" s="51">
        <v>1.5651924420974224</v>
      </c>
      <c r="W13" t="b">
        <f>IF(AND(W12&lt;=10.01,'R-series ALU'!G33&gt;=W14,AD34&lt;W11,J3&lt;W10),TRUE,FALSE)</f>
        <v>0</v>
      </c>
    </row>
    <row r="14" spans="3:34" x14ac:dyDescent="0.15">
      <c r="C14" s="8">
        <v>5.8882318738545927E-3</v>
      </c>
      <c r="D14" s="8">
        <v>-5.7164530683486969</v>
      </c>
      <c r="E14" s="8">
        <v>698.40223054012006</v>
      </c>
      <c r="H14" s="2"/>
      <c r="P14" t="s">
        <v>21</v>
      </c>
      <c r="Q14" s="54">
        <f>IF($J$3&gt;$AC$35,Q13,Q12)</f>
        <v>0</v>
      </c>
      <c r="R14" s="54">
        <f>IF($J$3&gt;$AC$35,R13,R12)</f>
        <v>0.25413599296419354</v>
      </c>
      <c r="S14" s="54">
        <f>IF($J$3&gt;$AC$35,S13,S12)</f>
        <v>0.51171065522512738</v>
      </c>
      <c r="V14" t="s">
        <v>346</v>
      </c>
      <c r="W14">
        <v>30</v>
      </c>
      <c r="X14" t="s">
        <v>13</v>
      </c>
      <c r="Y14" t="s">
        <v>355</v>
      </c>
    </row>
    <row r="15" spans="3:34" x14ac:dyDescent="0.15">
      <c r="C15" s="2"/>
      <c r="D15" s="2"/>
      <c r="E15" s="2"/>
      <c r="H15" s="2"/>
      <c r="V15" t="s">
        <v>22</v>
      </c>
      <c r="W15">
        <v>169</v>
      </c>
      <c r="X15" t="s">
        <v>49</v>
      </c>
    </row>
    <row r="16" spans="3:34" x14ac:dyDescent="0.15">
      <c r="C16" s="2" t="s">
        <v>10</v>
      </c>
      <c r="D16" s="1"/>
      <c r="E16" s="1"/>
      <c r="H16" s="1"/>
      <c r="U16" s="39" t="s">
        <v>43</v>
      </c>
      <c r="V16" t="s">
        <v>58</v>
      </c>
      <c r="W16" s="9">
        <f>$P$18*J3^2+$Q$18*J3+$R$18</f>
        <v>5.4141664971775789</v>
      </c>
      <c r="X16" t="s">
        <v>49</v>
      </c>
    </row>
    <row r="17" spans="3:38" x14ac:dyDescent="0.15">
      <c r="C17" t="s">
        <v>11</v>
      </c>
      <c r="D17" s="1"/>
      <c r="E17" s="1"/>
      <c r="H17" s="1"/>
      <c r="P17" t="s">
        <v>51</v>
      </c>
      <c r="V17" t="s">
        <v>52</v>
      </c>
      <c r="W17" s="3">
        <f>IF(W16&gt;W15,W15,W16)</f>
        <v>5.4141664971775789</v>
      </c>
      <c r="X17" t="s">
        <v>49</v>
      </c>
    </row>
    <row r="18" spans="3:38" x14ac:dyDescent="0.15">
      <c r="C18" t="s">
        <v>4</v>
      </c>
      <c r="D18" t="s">
        <v>5</v>
      </c>
      <c r="E18" t="s">
        <v>6</v>
      </c>
      <c r="H18" s="1"/>
      <c r="P18" s="51">
        <f t="array" ref="P18:R18">LINEST(AE34:AE37,AC34:AC37^{1,2})</f>
        <v>0.13586401495182404</v>
      </c>
      <c r="Q18" s="51">
        <v>-1.0413958403958314</v>
      </c>
      <c r="R18" s="51">
        <v>2.6967635321999808</v>
      </c>
    </row>
    <row r="19" spans="3:38" x14ac:dyDescent="0.15">
      <c r="C19" s="8">
        <v>9.2418011283647659E-3</v>
      </c>
      <c r="D19" s="8">
        <v>-5.1259778744073925</v>
      </c>
      <c r="E19" s="8">
        <v>442.64767844723201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AB21" s="6"/>
      <c r="AC21" s="6"/>
    </row>
    <row r="22" spans="3:38" x14ac:dyDescent="0.15">
      <c r="C22" t="s">
        <v>11</v>
      </c>
      <c r="D22" s="1"/>
      <c r="E22" s="1"/>
      <c r="H22" s="1"/>
      <c r="V22" s="74"/>
      <c r="W22" s="77"/>
      <c r="X22" s="75"/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-1.8730173796686417E-2</v>
      </c>
      <c r="D24" s="8">
        <v>-0.75858269614174823</v>
      </c>
      <c r="E24" s="8">
        <v>106.05547127881601</v>
      </c>
      <c r="H24" s="1"/>
    </row>
    <row r="25" spans="3:38" x14ac:dyDescent="0.15"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1.0579591836734696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  <c r="AS33" t="s">
        <v>1153</v>
      </c>
    </row>
    <row r="34" spans="21:47" x14ac:dyDescent="0.15">
      <c r="U34" s="35">
        <v>10</v>
      </c>
      <c r="V34" s="98">
        <f>C9</f>
        <v>4.776121315499704E-2</v>
      </c>
      <c r="W34" s="99">
        <f>D9</f>
        <v>-21.649458747735029</v>
      </c>
      <c r="X34" s="100">
        <f>E9</f>
        <v>2445.4675096074193</v>
      </c>
      <c r="Y34" s="36">
        <f>C9-U29</f>
        <v>-1.0101979705184725</v>
      </c>
      <c r="Z34" s="28">
        <f>(-W34+SQRT(W34^2-(4*Y34*X34)))/(2*Y34)</f>
        <v>-61.070209034408336</v>
      </c>
      <c r="AA34" s="29">
        <f>(-W34-SQRT(W34^2-(4*Y34*X34)))/(2*Y34)</f>
        <v>39.639302044342131</v>
      </c>
      <c r="AB34" s="36">
        <f>AB6</f>
        <v>179.11691580328477</v>
      </c>
      <c r="AC34" s="53">
        <f>IF(Z34&lt;0,AA34,IF(Z34&gt;AB34,AA34,Z34))</f>
        <v>39.639302044342131</v>
      </c>
      <c r="AD34" s="53">
        <f>V34*AC34^2+W34*AC34+X34</f>
        <v>1662.3440403796828</v>
      </c>
      <c r="AE34" s="53">
        <f>AB83*AC34^2+AC83*AC34+AD83</f>
        <v>173.31107883593776</v>
      </c>
      <c r="AF34" s="53">
        <f>$H$60*AC34^2+$I$60*AC34+$J$60</f>
        <v>41.917066969959969</v>
      </c>
      <c r="AG34" s="53">
        <f>$R$60*AC34^2+$S$60*AC34+$T$60</f>
        <v>62.17419296075208</v>
      </c>
      <c r="AI34">
        <v>10</v>
      </c>
      <c r="AJ34" s="3">
        <f>AC34</f>
        <v>39.639302044342131</v>
      </c>
      <c r="AL34" s="616">
        <f>AC34/$J$3-1</f>
        <v>3.0771853531323341</v>
      </c>
      <c r="AO34" s="278" t="b">
        <f>IF(AL36&gt;AC34,FALSE,TRUE)</f>
        <v>1</v>
      </c>
      <c r="AP34" t="s">
        <v>1117</v>
      </c>
      <c r="AS34" s="213">
        <f>IF($AL$36&gt;$AC$35,Q13,Q12)</f>
        <v>0</v>
      </c>
      <c r="AT34" s="213">
        <f t="shared" ref="AT34:AU34" si="3">IF($AL$36&gt;$AC$35,R13,R12)</f>
        <v>0.25413599296419354</v>
      </c>
      <c r="AU34" s="213">
        <f t="shared" si="3"/>
        <v>0.51171065522512738</v>
      </c>
    </row>
    <row r="35" spans="21:47" x14ac:dyDescent="0.15">
      <c r="U35" s="35">
        <v>6.5</v>
      </c>
      <c r="V35" s="98">
        <f>C14</f>
        <v>5.8882318738545927E-3</v>
      </c>
      <c r="W35" s="99">
        <f>D14</f>
        <v>-5.7164530683486969</v>
      </c>
      <c r="X35" s="100">
        <f>E14</f>
        <v>698.40223054012006</v>
      </c>
      <c r="Y35" s="36">
        <f>C14-U29</f>
        <v>-1.052070951799615</v>
      </c>
      <c r="Z35" s="28">
        <f t="shared" ref="Z35:Z37" si="4">(-W35+SQRT(W35^2-(4*Y35*X35)))/(2*Y35)</f>
        <v>-28.624607898139566</v>
      </c>
      <c r="AA35" s="29">
        <f t="shared" ref="AA35:AA37" si="5">(-W35-SQRT(W35^2-(4*Y35*X35)))/(2*Y35)</f>
        <v>23.191083611046146</v>
      </c>
      <c r="AB35" s="36">
        <f>AD6</f>
        <v>131.14254504164199</v>
      </c>
      <c r="AC35" s="53">
        <f t="shared" ref="AC35:AC37" si="6">IF(Z35&lt;0,AA35,IF(Z35&gt;AB35,AA35,Z35))</f>
        <v>23.191083611046146</v>
      </c>
      <c r="AD35" s="53">
        <f>V35*AC35^2+W35*AC35+X35</f>
        <v>568.99833578340827</v>
      </c>
      <c r="AE35" s="53">
        <f>AB84*AC35^2+AC84*AC35+AD84</f>
        <v>66.759608644955676</v>
      </c>
      <c r="AF35" s="53">
        <f>$H$65*AC35^2+$I$65*AC35+$J$65</f>
        <v>48.237622825250142</v>
      </c>
      <c r="AG35" s="53">
        <f>$R$65*AC35^2+$S$65*AC35+$T$65</f>
        <v>79.16005415267621</v>
      </c>
      <c r="AI35">
        <v>6.5</v>
      </c>
      <c r="AJ35" s="3">
        <f>AC35</f>
        <v>23.191083611046146</v>
      </c>
      <c r="AL35" t="s">
        <v>1114</v>
      </c>
      <c r="AO35" t="s">
        <v>1116</v>
      </c>
    </row>
    <row r="36" spans="21:47" x14ac:dyDescent="0.15">
      <c r="U36" s="35">
        <v>5</v>
      </c>
      <c r="V36" s="98">
        <f>C19</f>
        <v>9.2418011283647659E-3</v>
      </c>
      <c r="W36" s="99">
        <f>D19</f>
        <v>-5.1259778744073925</v>
      </c>
      <c r="X36" s="100">
        <f>E19</f>
        <v>442.64767844723201</v>
      </c>
      <c r="Y36" s="36">
        <f>C19-U29</f>
        <v>-1.0487173825451048</v>
      </c>
      <c r="Z36" s="28">
        <f t="shared" si="4"/>
        <v>-23.133479912180182</v>
      </c>
      <c r="AA36" s="29">
        <f t="shared" si="5"/>
        <v>18.245625510484953</v>
      </c>
      <c r="AB36" s="36">
        <f>AF6</f>
        <v>96.216817804800328</v>
      </c>
      <c r="AC36" s="53">
        <f t="shared" si="6"/>
        <v>18.245625510484953</v>
      </c>
      <c r="AD36" s="53">
        <f>V36*AC36^2+W36*AC36+X36</f>
        <v>352.19762771301362</v>
      </c>
      <c r="AE36" s="53">
        <f>AB85*AC36^2+AC85*AC36+AD85</f>
        <v>10.639860620888896</v>
      </c>
      <c r="AF36" s="53">
        <f>$H$70*AC36^2+$I$70*AC36+$J$70</f>
        <v>47.508278932254314</v>
      </c>
      <c r="AG36" s="53">
        <f>$R$70*AC36^2+$S$70*AC36+$T$70</f>
        <v>58.147003482051552</v>
      </c>
      <c r="AI36">
        <f>AVERAGE(AI35,AI37)</f>
        <v>5.75</v>
      </c>
      <c r="AJ36">
        <f>AVERAGE(AJ35,AJ37)</f>
        <v>20.718354560765547</v>
      </c>
      <c r="AL36" s="609">
        <f>Tulokset!$CS$16</f>
        <v>11.666666666666666</v>
      </c>
      <c r="AM36" t="s">
        <v>13</v>
      </c>
      <c r="AO36" s="617">
        <f>AS34*AL36^2+AT34*AL36+AU34</f>
        <v>3.4766305731407185</v>
      </c>
      <c r="AP36" t="s">
        <v>25</v>
      </c>
    </row>
    <row r="37" spans="21:47" x14ac:dyDescent="0.15">
      <c r="U37" s="38">
        <v>3</v>
      </c>
      <c r="V37" s="101">
        <f>C24</f>
        <v>-1.8730173796686417E-2</v>
      </c>
      <c r="W37" s="102">
        <f>D24</f>
        <v>-0.75858269614174823</v>
      </c>
      <c r="X37" s="103">
        <f>E24</f>
        <v>106.05547127881601</v>
      </c>
      <c r="Y37" s="37">
        <f>C24-U29</f>
        <v>-1.0766893574701561</v>
      </c>
      <c r="Z37" s="30">
        <f t="shared" si="4"/>
        <v>-10.283315579829027</v>
      </c>
      <c r="AA37" s="31">
        <f t="shared" si="5"/>
        <v>9.5787644566302692</v>
      </c>
      <c r="AB37" s="37">
        <f>AH6</f>
        <v>52.354855059834129</v>
      </c>
      <c r="AC37" s="53">
        <f t="shared" si="6"/>
        <v>9.5787644566302692</v>
      </c>
      <c r="AD37" s="53">
        <f>V37*AC37^2+W37*AC37+X37</f>
        <v>97.070641760181246</v>
      </c>
      <c r="AE37" s="53">
        <f>AB86*AC37^2+AC86*AC37+AD86</f>
        <v>9.915290620818503</v>
      </c>
      <c r="AF37" s="53">
        <f>$H$75*AC37^2+$I$75*AC37+$J$75</f>
        <v>42.158869843220558</v>
      </c>
      <c r="AG37" s="53">
        <f>$R$75*AC37^2+$S$75*AC37+$T$75</f>
        <v>47.402498000270981</v>
      </c>
      <c r="AI37">
        <v>5</v>
      </c>
      <c r="AJ37" s="3">
        <f>AC36</f>
        <v>18.245625510484953</v>
      </c>
      <c r="AL37" s="609">
        <f>Tulokset!$CS$17</f>
        <v>143.99999999999997</v>
      </c>
      <c r="AM37" t="s">
        <v>14</v>
      </c>
    </row>
    <row r="38" spans="21:47" x14ac:dyDescent="0.15">
      <c r="AI38">
        <f>AVERAGE(AI37,AI39)</f>
        <v>4</v>
      </c>
      <c r="AJ38">
        <f>AVERAGE(AJ37,AJ39)</f>
        <v>13.912194983557612</v>
      </c>
    </row>
    <row r="39" spans="21:47" x14ac:dyDescent="0.15">
      <c r="U39" s="2" t="s">
        <v>35</v>
      </c>
      <c r="W39" t="s">
        <v>36</v>
      </c>
      <c r="AI39">
        <v>3</v>
      </c>
      <c r="AJ39" s="3">
        <f>AC37</f>
        <v>9.5787644566302692</v>
      </c>
    </row>
    <row r="41" spans="21:47" x14ac:dyDescent="0.15">
      <c r="U41" s="10"/>
      <c r="V41" s="22"/>
      <c r="W41" s="43">
        <v>63</v>
      </c>
      <c r="X41" s="44">
        <v>125</v>
      </c>
      <c r="Y41" s="44">
        <v>250</v>
      </c>
      <c r="Z41" s="44">
        <v>500</v>
      </c>
      <c r="AA41" s="44">
        <v>1000</v>
      </c>
      <c r="AB41" s="44">
        <v>2000</v>
      </c>
      <c r="AC41" s="44">
        <v>4000</v>
      </c>
      <c r="AD41" s="45">
        <v>8000</v>
      </c>
      <c r="AH41" s="43">
        <v>63</v>
      </c>
      <c r="AI41" s="44">
        <v>125</v>
      </c>
      <c r="AJ41" s="44">
        <v>250</v>
      </c>
      <c r="AK41" s="44">
        <v>500</v>
      </c>
      <c r="AL41" s="44">
        <v>1000</v>
      </c>
      <c r="AM41" s="44">
        <v>2000</v>
      </c>
      <c r="AN41" s="44">
        <v>4000</v>
      </c>
      <c r="AO41" s="45">
        <v>8000</v>
      </c>
      <c r="AP41" t="s">
        <v>70</v>
      </c>
      <c r="AQ41" t="s">
        <v>71</v>
      </c>
    </row>
    <row r="42" spans="21:47" x14ac:dyDescent="0.15">
      <c r="U42" s="10" t="s">
        <v>55</v>
      </c>
      <c r="V42" s="21"/>
      <c r="W42" s="86">
        <f>W49</f>
        <v>11.309407920324789</v>
      </c>
      <c r="X42" s="86">
        <f t="shared" ref="X42:AD42" si="7">X49</f>
        <v>11.112927756783211</v>
      </c>
      <c r="Y42" s="86">
        <f t="shared" si="7"/>
        <v>6.4458938755306647</v>
      </c>
      <c r="Z42" s="86">
        <f t="shared" si="7"/>
        <v>-8.1119705467250149</v>
      </c>
      <c r="AA42" s="86">
        <f t="shared" si="7"/>
        <v>-18.68980700464456</v>
      </c>
      <c r="AB42" s="86">
        <f t="shared" si="7"/>
        <v>-25.105548407351193</v>
      </c>
      <c r="AC42" s="86">
        <f t="shared" si="7"/>
        <v>-30</v>
      </c>
      <c r="AD42" s="86">
        <f t="shared" si="7"/>
        <v>-34</v>
      </c>
      <c r="AG42" s="39" t="s">
        <v>42</v>
      </c>
      <c r="AH42" s="53">
        <f t="shared" ref="AH42:AO42" si="8">$S$5+W42</f>
        <v>64.917548440679255</v>
      </c>
      <c r="AI42" s="53">
        <f t="shared" si="8"/>
        <v>64.721068277137675</v>
      </c>
      <c r="AJ42" s="53">
        <f t="shared" si="8"/>
        <v>60.054034395885132</v>
      </c>
      <c r="AK42" s="53">
        <f t="shared" si="8"/>
        <v>45.496169973629449</v>
      </c>
      <c r="AL42" s="53">
        <f t="shared" si="8"/>
        <v>34.918333515709904</v>
      </c>
      <c r="AM42" s="53">
        <f t="shared" si="8"/>
        <v>28.502592113003274</v>
      </c>
      <c r="AN42" s="53">
        <f t="shared" si="8"/>
        <v>23.608140520354468</v>
      </c>
      <c r="AO42" s="53">
        <f t="shared" si="8"/>
        <v>19.608140520354468</v>
      </c>
      <c r="AP42" s="5">
        <f t="array" ref="AP42">10*LOG10(SUM(10^(AH42:AO42/10)))</f>
        <v>68.525087000288181</v>
      </c>
      <c r="AQ42" s="5">
        <f t="array" ref="AQ42">10*LOG10(SUM(10^((AH42:AO42+AH45:AO45)/10)))</f>
        <v>53.826835282266387</v>
      </c>
      <c r="AR42" t="str">
        <f>IF(ABS(W5-AQ42)&lt;0.5,"OK","Tarkista laskenta!")</f>
        <v>Tarkista laskenta!</v>
      </c>
    </row>
    <row r="43" spans="21:47" x14ac:dyDescent="0.15">
      <c r="U43" s="14" t="s">
        <v>56</v>
      </c>
      <c r="V43" s="26"/>
      <c r="W43" s="86">
        <f>W55</f>
        <v>8.1745920488476003</v>
      </c>
      <c r="X43" s="86">
        <f t="shared" ref="X43:AD43" si="9">X55</f>
        <v>7.9779140886882125</v>
      </c>
      <c r="Y43" s="86">
        <f t="shared" si="9"/>
        <v>7.0100901619141673</v>
      </c>
      <c r="Z43" s="86">
        <f t="shared" si="9"/>
        <v>-4.1121752744456082</v>
      </c>
      <c r="AA43" s="86">
        <f t="shared" si="9"/>
        <v>-14.100294352330009</v>
      </c>
      <c r="AB43" s="86">
        <f t="shared" si="9"/>
        <v>-15.048066525616184</v>
      </c>
      <c r="AC43" s="86">
        <f t="shared" si="9"/>
        <v>-24.498896685085626</v>
      </c>
      <c r="AD43" s="86">
        <f t="shared" si="9"/>
        <v>-30.353443514642237</v>
      </c>
      <c r="AG43" s="39" t="s">
        <v>43</v>
      </c>
      <c r="AH43" s="53">
        <f t="shared" ref="AH43:AO43" si="10">$W$8+W43</f>
        <v>53.955686982924348</v>
      </c>
      <c r="AI43" s="53">
        <f t="shared" si="10"/>
        <v>53.759009022764957</v>
      </c>
      <c r="AJ43" s="53">
        <f t="shared" si="10"/>
        <v>52.791185095990912</v>
      </c>
      <c r="AK43" s="53">
        <f t="shared" si="10"/>
        <v>41.668919659631143</v>
      </c>
      <c r="AL43" s="53">
        <f t="shared" si="10"/>
        <v>31.680800581746738</v>
      </c>
      <c r="AM43" s="53">
        <f t="shared" si="10"/>
        <v>30.733028408460562</v>
      </c>
      <c r="AN43" s="53">
        <f t="shared" si="10"/>
        <v>21.282198248991122</v>
      </c>
      <c r="AO43" s="53">
        <f t="shared" si="10"/>
        <v>15.427651419434511</v>
      </c>
      <c r="AP43" s="5">
        <f t="array" ref="AP43">10*LOG10(SUM(10^(AH43:AO43/10)))</f>
        <v>58.413216055258658</v>
      </c>
      <c r="AQ43" s="5">
        <f t="array" ref="AQ43">10*LOG10(SUM(10^((AH43:AO43+AH45:AO45)/10)))</f>
        <v>46.328349905636315</v>
      </c>
      <c r="AR43" t="str">
        <f>IF(ABS(W8-AQ43)&lt;0.5,"OK","Tarkista laskenta!")</f>
        <v>Tarkista laskenta!</v>
      </c>
    </row>
    <row r="44" spans="21:47" x14ac:dyDescent="0.15">
      <c r="AE44" t="s">
        <v>140</v>
      </c>
    </row>
    <row r="45" spans="21:47" x14ac:dyDescent="0.15">
      <c r="U45" t="s">
        <v>55</v>
      </c>
      <c r="V45">
        <v>10</v>
      </c>
      <c r="W45" s="49">
        <v>16.643754559052947</v>
      </c>
      <c r="X45" s="49">
        <v>9.6038616586855667</v>
      </c>
      <c r="Y45" s="49">
        <v>3.4633172615662886</v>
      </c>
      <c r="Z45" s="49">
        <v>-0.90276455849374493</v>
      </c>
      <c r="AA45" s="49">
        <v>-11.044425173774911</v>
      </c>
      <c r="AB45" s="49">
        <v>-14.768702890672929</v>
      </c>
      <c r="AC45" s="49">
        <v>-20.801809997499124</v>
      </c>
      <c r="AD45" s="49">
        <v>-28.45714878681634</v>
      </c>
      <c r="AE45" s="32">
        <f>ABS($W$12-V45)</f>
        <v>7.0175227465118795</v>
      </c>
      <c r="AH45" s="73">
        <v>-26.2</v>
      </c>
      <c r="AI45" s="73">
        <v>-16.100000000000001</v>
      </c>
      <c r="AJ45" s="73">
        <v>-8.6</v>
      </c>
      <c r="AK45" s="73">
        <v>-3.2</v>
      </c>
      <c r="AL45" s="73">
        <v>0</v>
      </c>
      <c r="AM45" s="73">
        <v>1.2</v>
      </c>
      <c r="AN45" s="73">
        <v>1</v>
      </c>
      <c r="AO45" s="73">
        <v>-1.1000000000000001</v>
      </c>
    </row>
    <row r="46" spans="21:47" x14ac:dyDescent="0.15">
      <c r="V46">
        <v>6.5</v>
      </c>
      <c r="W46" s="49">
        <v>19.378566133628354</v>
      </c>
      <c r="X46" s="49">
        <v>8.4557349290393589</v>
      </c>
      <c r="Y46" s="49">
        <v>3.4064885085549452</v>
      </c>
      <c r="Z46" s="49">
        <v>-1.089403922974963</v>
      </c>
      <c r="AA46" s="49">
        <v>-12.952556703065635</v>
      </c>
      <c r="AB46" s="49">
        <v>-17.854795039701958</v>
      </c>
      <c r="AC46" s="49">
        <v>-24.342681018766374</v>
      </c>
      <c r="AD46" s="49">
        <v>-30.841332830555583</v>
      </c>
      <c r="AE46" s="32">
        <f>ABS($W$12-V46)</f>
        <v>3.5175227465118799</v>
      </c>
    </row>
    <row r="47" spans="21:47" x14ac:dyDescent="0.15">
      <c r="V47">
        <v>5</v>
      </c>
      <c r="W47" s="49">
        <v>12.106309558397262</v>
      </c>
      <c r="X47" s="49">
        <v>8.871716290375522</v>
      </c>
      <c r="Y47" s="49">
        <v>6.5498645757293268</v>
      </c>
      <c r="Z47" s="49">
        <v>-6.3233151496478346</v>
      </c>
      <c r="AA47" s="49">
        <v>-15.065620319456047</v>
      </c>
      <c r="AB47" s="49">
        <v>-20.569623997123269</v>
      </c>
      <c r="AC47" s="49">
        <v>-27.795708654535332</v>
      </c>
      <c r="AD47" s="49">
        <v>-32</v>
      </c>
      <c r="AE47" s="32">
        <f>ABS($W$12-V47)</f>
        <v>2.0175227465118799</v>
      </c>
    </row>
    <row r="48" spans="21:47" x14ac:dyDescent="0.15">
      <c r="V48">
        <v>3</v>
      </c>
      <c r="W48" s="49">
        <v>11.309407920324789</v>
      </c>
      <c r="X48" s="49">
        <v>11.112927756783211</v>
      </c>
      <c r="Y48" s="49">
        <v>6.4458938755306647</v>
      </c>
      <c r="Z48" s="49">
        <v>-8.1119705467250149</v>
      </c>
      <c r="AA48" s="49">
        <v>-18.68980700464456</v>
      </c>
      <c r="AB48" s="49">
        <v>-25.105548407351193</v>
      </c>
      <c r="AC48" s="49">
        <v>-30</v>
      </c>
      <c r="AD48" s="49">
        <v>-34</v>
      </c>
      <c r="AE48" s="32">
        <f>ABS($W$12-V48)</f>
        <v>1.7522746511879905E-2</v>
      </c>
    </row>
    <row r="49" spans="3:35" x14ac:dyDescent="0.15">
      <c r="U49" t="s">
        <v>139</v>
      </c>
      <c r="V49">
        <f>MATCH(AE49,AE45:AE48,0)</f>
        <v>4</v>
      </c>
      <c r="W49" s="86">
        <f>INDEX(W45:W48,$V$49)</f>
        <v>11.309407920324789</v>
      </c>
      <c r="X49" s="86">
        <f t="shared" ref="X49:AD49" si="11">INDEX(X45:X48,$V$49)</f>
        <v>11.112927756783211</v>
      </c>
      <c r="Y49" s="86">
        <f t="shared" si="11"/>
        <v>6.4458938755306647</v>
      </c>
      <c r="Z49" s="86">
        <f t="shared" si="11"/>
        <v>-8.1119705467250149</v>
      </c>
      <c r="AA49" s="86">
        <f t="shared" si="11"/>
        <v>-18.68980700464456</v>
      </c>
      <c r="AB49" s="86">
        <f t="shared" si="11"/>
        <v>-25.105548407351193</v>
      </c>
      <c r="AC49" s="86">
        <f t="shared" si="11"/>
        <v>-30</v>
      </c>
      <c r="AD49" s="86">
        <f t="shared" si="11"/>
        <v>-34</v>
      </c>
      <c r="AE49" s="111">
        <f>MIN(AE45:AE48)</f>
        <v>1.7522746511879905E-2</v>
      </c>
    </row>
    <row r="50" spans="3:35" x14ac:dyDescent="0.15">
      <c r="AE50" t="s">
        <v>140</v>
      </c>
      <c r="AI50" s="110"/>
    </row>
    <row r="51" spans="3:35" x14ac:dyDescent="0.15">
      <c r="U51" t="s">
        <v>56</v>
      </c>
      <c r="V51">
        <v>10</v>
      </c>
      <c r="W51" s="49">
        <v>9.2947440409368909</v>
      </c>
      <c r="X51" s="49">
        <v>3.0579795390972322</v>
      </c>
      <c r="Y51" s="49">
        <v>-5.858210899039662E-2</v>
      </c>
      <c r="Z51" s="49">
        <v>0.19913089100602832</v>
      </c>
      <c r="AA51" s="49">
        <v>-9.978555454168152</v>
      </c>
      <c r="AB51" s="49">
        <v>-9.0529477205952311</v>
      </c>
      <c r="AC51" s="49">
        <v>-12.79870753817251</v>
      </c>
      <c r="AD51" s="49">
        <v>-17.819987857452691</v>
      </c>
      <c r="AE51" s="32">
        <f>ABS($W$12-V51)</f>
        <v>7.0175227465118795</v>
      </c>
      <c r="AI51" s="110"/>
    </row>
    <row r="52" spans="3:35" x14ac:dyDescent="0.15">
      <c r="V52">
        <v>6.5</v>
      </c>
      <c r="W52" s="49">
        <v>7.3233914641408262</v>
      </c>
      <c r="X52" s="49">
        <v>1.4451970915344177</v>
      </c>
      <c r="Y52" s="49">
        <v>2.5879664585779452</v>
      </c>
      <c r="Z52" s="49">
        <v>1.0540480684597675</v>
      </c>
      <c r="AA52" s="49">
        <v>-12.285290617989812</v>
      </c>
      <c r="AB52" s="49">
        <v>-11.658469643057707</v>
      </c>
      <c r="AC52" s="49">
        <v>-16.303592693138867</v>
      </c>
      <c r="AD52" s="49">
        <v>-22.18673389593679</v>
      </c>
      <c r="AE52" s="32">
        <f>ABS($W$12-V52)</f>
        <v>3.5175227465118799</v>
      </c>
      <c r="AI52" s="110"/>
    </row>
    <row r="53" spans="3:35" x14ac:dyDescent="0.15">
      <c r="V53">
        <v>5</v>
      </c>
      <c r="W53" s="49">
        <v>6.7220842635078153</v>
      </c>
      <c r="X53" s="49">
        <v>2.7302013953504112</v>
      </c>
      <c r="Y53" s="49">
        <v>5.8797310325172258</v>
      </c>
      <c r="Z53" s="49">
        <v>-3.8771823360336004</v>
      </c>
      <c r="AA53" s="49">
        <v>-12.349096075200096</v>
      </c>
      <c r="AB53" s="49">
        <v>-12.11471290690996</v>
      </c>
      <c r="AC53" s="49">
        <v>-17.779459234554068</v>
      </c>
      <c r="AD53" s="49">
        <v>-26.287326275549606</v>
      </c>
      <c r="AE53" s="32">
        <f>ABS($W$12-V53)</f>
        <v>2.0175227465118799</v>
      </c>
      <c r="AI53" s="110"/>
    </row>
    <row r="54" spans="3:35" x14ac:dyDescent="0.15">
      <c r="V54">
        <v>3</v>
      </c>
      <c r="W54" s="49">
        <v>8.1745920488476003</v>
      </c>
      <c r="X54" s="49">
        <v>7.9779140886882125</v>
      </c>
      <c r="Y54" s="49">
        <v>7.0100901619141673</v>
      </c>
      <c r="Z54" s="49">
        <v>-4.1121752744456082</v>
      </c>
      <c r="AA54" s="49">
        <v>-14.100294352330009</v>
      </c>
      <c r="AB54" s="49">
        <v>-15.048066525616184</v>
      </c>
      <c r="AC54" s="49">
        <v>-24.498896685085626</v>
      </c>
      <c r="AD54" s="49">
        <v>-30.353443514642237</v>
      </c>
      <c r="AE54" s="32">
        <f>ABS($W$12-V54)</f>
        <v>1.7522746511879905E-2</v>
      </c>
    </row>
    <row r="55" spans="3:35" x14ac:dyDescent="0.15">
      <c r="U55" t="s">
        <v>139</v>
      </c>
      <c r="V55">
        <f>MATCH(AE55,AE51:AE54,0)</f>
        <v>4</v>
      </c>
      <c r="W55" s="86">
        <f>INDEX(W51:W54,$V$49)</f>
        <v>8.1745920488476003</v>
      </c>
      <c r="X55" s="86">
        <f t="shared" ref="X55:AD55" si="12">INDEX(X51:X54,$V$49)</f>
        <v>7.9779140886882125</v>
      </c>
      <c r="Y55" s="86">
        <f t="shared" si="12"/>
        <v>7.0100901619141673</v>
      </c>
      <c r="Z55" s="86">
        <f t="shared" si="12"/>
        <v>-4.1121752744456082</v>
      </c>
      <c r="AA55" s="86">
        <f t="shared" si="12"/>
        <v>-14.100294352330009</v>
      </c>
      <c r="AB55" s="86">
        <f t="shared" si="12"/>
        <v>-15.048066525616184</v>
      </c>
      <c r="AC55" s="86">
        <f t="shared" si="12"/>
        <v>-24.498896685085626</v>
      </c>
      <c r="AD55" s="86">
        <f t="shared" si="12"/>
        <v>-30.353443514642237</v>
      </c>
      <c r="AE55" s="111">
        <f>MIN(AE51:AE54)</f>
        <v>1.7522746511879905E-2</v>
      </c>
    </row>
    <row r="56" spans="3:35" x14ac:dyDescent="0.15">
      <c r="C56" s="2" t="s">
        <v>45</v>
      </c>
    </row>
    <row r="57" spans="3:35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35" x14ac:dyDescent="0.15">
      <c r="C58" s="12"/>
      <c r="D58" s="16" t="s">
        <v>13</v>
      </c>
      <c r="E58" s="41" t="s">
        <v>27</v>
      </c>
      <c r="F58" s="11" t="s">
        <v>47</v>
      </c>
      <c r="G58" s="41" t="s">
        <v>133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Q58" s="41" t="s">
        <v>133</v>
      </c>
      <c r="R58" t="s">
        <v>33</v>
      </c>
      <c r="T58" s="24"/>
      <c r="W58" s="10"/>
      <c r="X58" s="16" t="s">
        <v>13</v>
      </c>
      <c r="Y58" s="11" t="s">
        <v>49</v>
      </c>
    </row>
    <row r="59" spans="3:35" x14ac:dyDescent="0.15">
      <c r="C59" s="10" t="s">
        <v>3</v>
      </c>
      <c r="D59" s="116">
        <v>177.37307385653068</v>
      </c>
      <c r="E59" s="118">
        <v>59.060591218014309</v>
      </c>
      <c r="F59" s="117">
        <v>168.54259322528048</v>
      </c>
      <c r="G59" s="112">
        <v>4086.6666666666665</v>
      </c>
      <c r="H59" t="s">
        <v>4</v>
      </c>
      <c r="I59" t="s">
        <v>5</v>
      </c>
      <c r="K59" s="24"/>
      <c r="M59" s="10" t="s">
        <v>3</v>
      </c>
      <c r="N59" s="116">
        <v>177.73570182908642</v>
      </c>
      <c r="O59" s="118">
        <v>75.33438936131401</v>
      </c>
      <c r="P59" s="117">
        <v>166.12773047785547</v>
      </c>
      <c r="Q59" s="112">
        <v>4066.6666666666665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177.37307385653068</v>
      </c>
      <c r="Y59" s="20">
        <f>F59</f>
        <v>168.54259322528048</v>
      </c>
    </row>
    <row r="60" spans="3:35" x14ac:dyDescent="0.15">
      <c r="C60" s="12"/>
      <c r="D60" s="116">
        <v>163.0789877970802</v>
      </c>
      <c r="E60" s="118">
        <v>58.487634881019723</v>
      </c>
      <c r="F60" s="117">
        <v>167.59942656948792</v>
      </c>
      <c r="G60" s="112">
        <v>4060</v>
      </c>
      <c r="H60" s="2">
        <f t="array" ref="H60:J60">LINEST(E59:E62,D59:D62^{1,2})</f>
        <v>-9.4551175516497006E-4</v>
      </c>
      <c r="I60" s="2">
        <v>0.32886921715375045</v>
      </c>
      <c r="J60" s="2">
        <v>30.366579027739252</v>
      </c>
      <c r="K60" s="24"/>
      <c r="M60" s="12"/>
      <c r="N60" s="116">
        <v>163.49986992681139</v>
      </c>
      <c r="O60" s="118">
        <v>74.723775090917528</v>
      </c>
      <c r="P60" s="117">
        <v>166.43802423984073</v>
      </c>
      <c r="Q60" s="112">
        <v>4020</v>
      </c>
      <c r="R60" s="2">
        <f t="array" ref="R60:T60">LINEST(O59:O62,N59:N62^{1,2})</f>
        <v>-4.2303280713429652E-4</v>
      </c>
      <c r="S60" s="2">
        <v>0.18725410530684089</v>
      </c>
      <c r="T60" s="27">
        <v>55.416271485213016</v>
      </c>
      <c r="W60" s="12"/>
      <c r="X60" s="17">
        <f t="shared" ref="X60:X61" si="13">D60</f>
        <v>163.0789877970802</v>
      </c>
      <c r="Y60" s="13">
        <f>F60</f>
        <v>167.59942656948792</v>
      </c>
    </row>
    <row r="61" spans="3:35" x14ac:dyDescent="0.15">
      <c r="C61" s="12"/>
      <c r="D61" s="116">
        <v>150.05253955002848</v>
      </c>
      <c r="E61" s="118">
        <v>58.850988893487546</v>
      </c>
      <c r="F61" s="117">
        <v>169.17807377970442</v>
      </c>
      <c r="G61" s="112">
        <v>4053.3333333333335</v>
      </c>
      <c r="K61" s="24"/>
      <c r="M61" s="12"/>
      <c r="N61" s="116">
        <v>150.93715952891725</v>
      </c>
      <c r="O61" s="118">
        <v>74.042236453158083</v>
      </c>
      <c r="P61" s="117">
        <v>167.04225955146646</v>
      </c>
      <c r="Q61" s="112">
        <v>4006.6666666666665</v>
      </c>
      <c r="T61" s="24"/>
      <c r="W61" s="12"/>
      <c r="X61" s="17">
        <f t="shared" si="13"/>
        <v>150.05253955002848</v>
      </c>
      <c r="Y61" s="13">
        <f>F61</f>
        <v>169.17807377970442</v>
      </c>
    </row>
    <row r="62" spans="3:35" x14ac:dyDescent="0.15">
      <c r="C62" s="14"/>
      <c r="D62" s="116">
        <v>139.45609818368541</v>
      </c>
      <c r="E62" s="118">
        <v>57.67195124759094</v>
      </c>
      <c r="F62" s="117">
        <v>169.16904544949875</v>
      </c>
      <c r="G62" s="112">
        <v>4040</v>
      </c>
      <c r="K62" s="24"/>
      <c r="M62" s="14"/>
      <c r="N62" s="116">
        <v>139.8137012360778</v>
      </c>
      <c r="O62" s="118">
        <v>73.327605236408132</v>
      </c>
      <c r="P62" s="117">
        <v>166.27144487679067</v>
      </c>
      <c r="Q62" s="112">
        <v>4013.3333333333335</v>
      </c>
      <c r="T62" s="24"/>
      <c r="W62" s="12"/>
      <c r="X62" s="17">
        <f>D62</f>
        <v>139.45609818368541</v>
      </c>
      <c r="Y62" s="13">
        <f>F62</f>
        <v>169.16904544949875</v>
      </c>
    </row>
    <row r="63" spans="3:35" x14ac:dyDescent="0.15">
      <c r="C63" s="12"/>
      <c r="D63" s="17"/>
      <c r="E63" s="42"/>
      <c r="F63" s="13"/>
      <c r="G63" s="96"/>
      <c r="K63" s="24"/>
      <c r="M63" s="12"/>
      <c r="N63" s="17"/>
      <c r="O63" s="42"/>
      <c r="P63" s="13"/>
      <c r="Q63" s="35"/>
      <c r="T63" s="24"/>
      <c r="W63" s="12"/>
      <c r="X63" s="17">
        <f>N59</f>
        <v>177.73570182908642</v>
      </c>
      <c r="Y63" s="13">
        <f>P59</f>
        <v>166.12773047785547</v>
      </c>
    </row>
    <row r="64" spans="3:35" x14ac:dyDescent="0.15">
      <c r="C64" s="10" t="s">
        <v>114</v>
      </c>
      <c r="D64" s="116">
        <v>128.90693428688564</v>
      </c>
      <c r="E64" s="118">
        <v>54.451504598514305</v>
      </c>
      <c r="F64" s="117">
        <v>74.820392141737685</v>
      </c>
      <c r="G64" s="112">
        <v>3073.3333333333335</v>
      </c>
      <c r="H64" t="s">
        <v>4</v>
      </c>
      <c r="I64" t="s">
        <v>5</v>
      </c>
      <c r="K64" s="24"/>
      <c r="M64" s="10" t="s">
        <v>114</v>
      </c>
      <c r="N64" s="116">
        <v>129.19990627446921</v>
      </c>
      <c r="O64" s="118">
        <v>71.015258117342043</v>
      </c>
      <c r="P64" s="117">
        <v>74.664735053247043</v>
      </c>
      <c r="Q64" s="112">
        <v>3080</v>
      </c>
      <c r="R64" t="s">
        <v>4</v>
      </c>
      <c r="S64" t="s">
        <v>5</v>
      </c>
      <c r="T64" s="24" t="s">
        <v>6</v>
      </c>
      <c r="W64" s="12"/>
      <c r="X64" s="17">
        <f>N60</f>
        <v>163.49986992681139</v>
      </c>
      <c r="Y64" s="13">
        <f>P60</f>
        <v>166.43802423984073</v>
      </c>
    </row>
    <row r="65" spans="3:25" x14ac:dyDescent="0.15">
      <c r="C65" s="12"/>
      <c r="D65" s="116">
        <v>118.92053609192801</v>
      </c>
      <c r="E65" s="118">
        <v>54.067114966227088</v>
      </c>
      <c r="F65" s="117">
        <v>75.833334962098107</v>
      </c>
      <c r="G65" s="112">
        <v>3060</v>
      </c>
      <c r="H65" s="2">
        <f t="array" ref="H65:J65">LINEST(E64:E67,D64:D67^{1,2})</f>
        <v>-8.35886805969236E-4</v>
      </c>
      <c r="I65" s="2">
        <v>0.18440299465554127</v>
      </c>
      <c r="J65" s="2">
        <v>44.410679515502345</v>
      </c>
      <c r="K65" s="24"/>
      <c r="M65" s="12"/>
      <c r="N65" s="116">
        <v>118.49379513279769</v>
      </c>
      <c r="O65" s="118">
        <v>69.207392594698533</v>
      </c>
      <c r="P65" s="117">
        <v>75.607005937099942</v>
      </c>
      <c r="Q65" s="112">
        <v>3066.6666666666665</v>
      </c>
      <c r="R65" s="2">
        <f t="array" ref="R65:T65">LINEST(O64:O67,N64:N67^{1,2})</f>
        <v>1.8677123402232993E-3</v>
      </c>
      <c r="S65" s="2">
        <v>-0.36322330930282604</v>
      </c>
      <c r="T65" s="27">
        <v>86.579091360495411</v>
      </c>
      <c r="W65" s="12"/>
      <c r="X65" s="17">
        <f>N61</f>
        <v>150.93715952891725</v>
      </c>
      <c r="Y65" s="13">
        <f>P61</f>
        <v>167.04225955146646</v>
      </c>
    </row>
    <row r="66" spans="3:25" x14ac:dyDescent="0.15">
      <c r="C66" s="12"/>
      <c r="D66" s="116">
        <v>108.09236183775965</v>
      </c>
      <c r="E66" s="118">
        <v>55.01792182177379</v>
      </c>
      <c r="F66" s="117">
        <v>75.129711107349408</v>
      </c>
      <c r="G66" s="112">
        <v>3053.3333333333335</v>
      </c>
      <c r="K66" s="24"/>
      <c r="M66" s="12"/>
      <c r="N66" s="116">
        <v>107.73788615282413</v>
      </c>
      <c r="O66" s="118">
        <v>69.667473858703929</v>
      </c>
      <c r="P66" s="117">
        <v>75.008544459619515</v>
      </c>
      <c r="Q66" s="112">
        <v>3053.3333333333335</v>
      </c>
      <c r="T66" s="24"/>
      <c r="W66" s="14"/>
      <c r="X66" s="18">
        <f>N62</f>
        <v>139.8137012360778</v>
      </c>
      <c r="Y66" s="15">
        <f>P62</f>
        <v>166.27144487679067</v>
      </c>
    </row>
    <row r="67" spans="3:25" x14ac:dyDescent="0.15">
      <c r="C67" s="14"/>
      <c r="D67" s="116">
        <v>97.637725898629455</v>
      </c>
      <c r="E67" s="118">
        <v>54.297349049625566</v>
      </c>
      <c r="F67" s="117">
        <v>75.029888520884157</v>
      </c>
      <c r="G67" s="112">
        <v>3060</v>
      </c>
      <c r="K67" s="24"/>
      <c r="M67" s="14"/>
      <c r="N67" s="116">
        <v>96.456384991227822</v>
      </c>
      <c r="O67" s="118">
        <v>68.747405149388015</v>
      </c>
      <c r="P67" s="117">
        <v>76.147690977104276</v>
      </c>
      <c r="Q67" s="112">
        <v>3073.3333333333335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G68" s="96"/>
      <c r="K68" s="24"/>
      <c r="M68" s="12"/>
      <c r="N68" s="17"/>
      <c r="O68" s="42"/>
      <c r="P68" s="13"/>
      <c r="Q68" s="35"/>
      <c r="T68" s="24"/>
      <c r="W68" s="10" t="s">
        <v>114</v>
      </c>
      <c r="X68" s="19">
        <f>D64</f>
        <v>128.90693428688564</v>
      </c>
      <c r="Y68" s="20">
        <f>F64</f>
        <v>74.820392141737685</v>
      </c>
    </row>
    <row r="69" spans="3:25" x14ac:dyDescent="0.15">
      <c r="C69" s="10" t="s">
        <v>10</v>
      </c>
      <c r="D69" s="116">
        <v>96.446026922929775</v>
      </c>
      <c r="E69" s="118">
        <v>50.705217763769895</v>
      </c>
      <c r="F69" s="117">
        <v>37.521574862086936</v>
      </c>
      <c r="G69" s="112">
        <v>2366.6666666666665</v>
      </c>
      <c r="I69" t="s">
        <v>4</v>
      </c>
      <c r="J69" t="s">
        <v>5</v>
      </c>
      <c r="K69" s="24"/>
      <c r="M69" s="10" t="s">
        <v>10</v>
      </c>
      <c r="N69" s="116">
        <v>96.677155462994648</v>
      </c>
      <c r="O69" s="118">
        <v>63.474654182224072</v>
      </c>
      <c r="P69" s="117">
        <v>37.671500566760479</v>
      </c>
      <c r="Q69" s="112">
        <v>2358</v>
      </c>
      <c r="R69" t="s">
        <v>4</v>
      </c>
      <c r="S69" t="s">
        <v>5</v>
      </c>
      <c r="T69" s="24" t="s">
        <v>6</v>
      </c>
      <c r="W69" s="12"/>
      <c r="X69" s="17">
        <f t="shared" ref="X69" si="14">D65</f>
        <v>118.92053609192801</v>
      </c>
      <c r="Y69" s="13">
        <f t="shared" ref="Y69" si="15">F65</f>
        <v>75.833334962098107</v>
      </c>
    </row>
    <row r="70" spans="3:25" x14ac:dyDescent="0.15">
      <c r="C70" s="12"/>
      <c r="D70" s="116">
        <v>89.482984390049424</v>
      </c>
      <c r="E70" s="118">
        <v>49.862182652532596</v>
      </c>
      <c r="F70" s="117">
        <v>38.03015416313044</v>
      </c>
      <c r="G70" s="112">
        <v>2366.6666666666665</v>
      </c>
      <c r="H70" s="2"/>
      <c r="I70" s="2">
        <f t="array" ref="I70:J70">LINEST(E69:E72,D69:D72)</f>
        <v>3.7361249881721015E-2</v>
      </c>
      <c r="J70" s="2">
        <v>46.826599558308779</v>
      </c>
      <c r="K70" s="24"/>
      <c r="M70" s="12"/>
      <c r="N70" s="116">
        <v>89.050003982355406</v>
      </c>
      <c r="O70" s="118">
        <v>63.121110432341567</v>
      </c>
      <c r="P70" s="117">
        <v>38.131443787846948</v>
      </c>
      <c r="Q70" s="112">
        <v>2360</v>
      </c>
      <c r="R70" s="2">
        <f t="array" ref="R70:T70">LINEST(O69:O72,N69:N72^{1,2})</f>
        <v>-4.9835663178183934E-4</v>
      </c>
      <c r="S70" s="2">
        <v>0.12485231562017783</v>
      </c>
      <c r="T70" s="27">
        <v>56.03489923029948</v>
      </c>
      <c r="W70" s="12"/>
      <c r="X70" s="17">
        <f>D67</f>
        <v>97.637725898629455</v>
      </c>
      <c r="Y70" s="13">
        <f>F67</f>
        <v>75.029888520884157</v>
      </c>
    </row>
    <row r="71" spans="3:25" x14ac:dyDescent="0.15">
      <c r="C71" s="12"/>
      <c r="D71" s="116">
        <v>81.913305263117934</v>
      </c>
      <c r="E71" s="118">
        <v>49.69054596207009</v>
      </c>
      <c r="F71" s="117">
        <v>37.605259566643696</v>
      </c>
      <c r="G71" s="112">
        <v>2346.6666666666665</v>
      </c>
      <c r="K71" s="24"/>
      <c r="M71" s="12"/>
      <c r="N71" s="116">
        <v>81.113386537818101</v>
      </c>
      <c r="O71" s="118">
        <v>62.964148018821327</v>
      </c>
      <c r="P71" s="117">
        <v>38.111301196784787</v>
      </c>
      <c r="Q71" s="112">
        <v>2373.3333333333335</v>
      </c>
      <c r="T71" s="24"/>
      <c r="W71" s="12"/>
      <c r="X71" s="17">
        <f>N64</f>
        <v>129.19990627446921</v>
      </c>
      <c r="Y71" s="13">
        <f>P64</f>
        <v>74.664735053247043</v>
      </c>
    </row>
    <row r="72" spans="3:25" x14ac:dyDescent="0.15">
      <c r="C72" s="14"/>
      <c r="D72" s="116">
        <v>74.605066551746319</v>
      </c>
      <c r="E72" s="118">
        <v>49.842714107243317</v>
      </c>
      <c r="F72" s="117">
        <v>37.553374474480925</v>
      </c>
      <c r="G72" s="112">
        <v>2346.6666666666665</v>
      </c>
      <c r="K72" s="24"/>
      <c r="M72" s="14"/>
      <c r="N72" s="116">
        <v>73.662533531132837</v>
      </c>
      <c r="O72" s="118">
        <v>62.499440267629495</v>
      </c>
      <c r="P72" s="117">
        <v>37.03115401994468</v>
      </c>
      <c r="Q72" s="112">
        <v>2352</v>
      </c>
      <c r="T72" s="24"/>
      <c r="W72" s="12"/>
      <c r="X72" s="17">
        <f>N65</f>
        <v>118.49379513279769</v>
      </c>
      <c r="Y72" s="13">
        <f>P65</f>
        <v>75.607005937099942</v>
      </c>
    </row>
    <row r="73" spans="3:25" x14ac:dyDescent="0.15">
      <c r="C73" s="12"/>
      <c r="D73" s="17"/>
      <c r="E73" s="42"/>
      <c r="F73" s="13"/>
      <c r="G73" s="96"/>
      <c r="K73" s="24"/>
      <c r="M73" s="12"/>
      <c r="N73" s="17"/>
      <c r="O73" s="42"/>
      <c r="P73" s="13"/>
      <c r="Q73" s="35"/>
      <c r="T73" s="24"/>
      <c r="W73" s="12"/>
      <c r="X73" s="17">
        <f>N66</f>
        <v>107.73788615282413</v>
      </c>
      <c r="Y73" s="13">
        <f>P66</f>
        <v>75.008544459619515</v>
      </c>
    </row>
    <row r="74" spans="3:25" x14ac:dyDescent="0.15">
      <c r="C74" s="10" t="s">
        <v>12</v>
      </c>
      <c r="D74" s="116">
        <v>52.691549157468963</v>
      </c>
      <c r="E74" s="118">
        <v>41.380052436275669</v>
      </c>
      <c r="F74" s="117">
        <v>12.146003600193032</v>
      </c>
      <c r="G74" s="112">
        <v>1433.3333333333333</v>
      </c>
      <c r="I74" t="s">
        <v>4</v>
      </c>
      <c r="J74" t="s">
        <v>5</v>
      </c>
      <c r="K74" s="24"/>
      <c r="M74" s="10" t="s">
        <v>12</v>
      </c>
      <c r="N74" s="116">
        <v>52.674432772712962</v>
      </c>
      <c r="O74" s="118">
        <v>52.459873209173018</v>
      </c>
      <c r="P74" s="117">
        <v>12.163996986693864</v>
      </c>
      <c r="Q74" s="112">
        <v>1446.6666666666667</v>
      </c>
      <c r="R74" t="s">
        <v>4</v>
      </c>
      <c r="S74" t="s">
        <v>5</v>
      </c>
      <c r="T74" s="24" t="s">
        <v>6</v>
      </c>
      <c r="W74" s="14"/>
      <c r="X74" s="18">
        <f>N67</f>
        <v>96.456384991227822</v>
      </c>
      <c r="Y74" s="15">
        <f>P67</f>
        <v>76.147690977104276</v>
      </c>
    </row>
    <row r="75" spans="3:25" x14ac:dyDescent="0.15">
      <c r="C75" s="12"/>
      <c r="D75" s="116">
        <v>50.633657357814492</v>
      </c>
      <c r="E75" s="118">
        <v>41.607142667549759</v>
      </c>
      <c r="F75" s="117">
        <v>12.05591376347108</v>
      </c>
      <c r="G75" s="112">
        <v>1433.3333333333333</v>
      </c>
      <c r="H75" s="2"/>
      <c r="I75" s="2">
        <f t="array" ref="I75:J75">LINEST(E74:E77,D74:D77)</f>
        <v>-1.3616432748390729E-2</v>
      </c>
      <c r="J75" s="2">
        <v>42.289298445256939</v>
      </c>
      <c r="K75" s="24"/>
      <c r="M75" s="12"/>
      <c r="N75" s="116">
        <v>50.314053190972899</v>
      </c>
      <c r="O75" s="118">
        <v>51.838959953428834</v>
      </c>
      <c r="P75" s="117">
        <v>12.018930654554175</v>
      </c>
      <c r="Q75" s="112">
        <v>1440</v>
      </c>
      <c r="R75" s="2">
        <f t="array" ref="R75:T75">LINEST(O74:O77,N74:N77^{1,2})</f>
        <v>6.3700247481394186E-4</v>
      </c>
      <c r="S75" s="2">
        <v>7.5665774519152101E-2</v>
      </c>
      <c r="T75" s="27">
        <v>46.619266653588156</v>
      </c>
      <c r="W75" s="12"/>
      <c r="X75" s="16" t="s">
        <v>13</v>
      </c>
      <c r="Y75" s="11" t="s">
        <v>49</v>
      </c>
    </row>
    <row r="76" spans="3:25" x14ac:dyDescent="0.15">
      <c r="C76" s="12"/>
      <c r="D76" s="116">
        <v>47.425486734660552</v>
      </c>
      <c r="E76" s="118">
        <v>42.11228816912228</v>
      </c>
      <c r="F76" s="117">
        <v>12.128112153149525</v>
      </c>
      <c r="G76" s="112">
        <v>1433.3333333333333</v>
      </c>
      <c r="K76" s="24"/>
      <c r="M76" s="12"/>
      <c r="N76" s="116">
        <v>47.062148526651839</v>
      </c>
      <c r="O76" s="118">
        <v>51.742817256488848</v>
      </c>
      <c r="P76" s="117">
        <v>12.057302090130493</v>
      </c>
      <c r="Q76" s="112">
        <v>1433.3333333333333</v>
      </c>
      <c r="T76" s="24"/>
      <c r="W76" s="10" t="s">
        <v>10</v>
      </c>
      <c r="X76" s="19">
        <f>D69</f>
        <v>96.446026922929775</v>
      </c>
      <c r="Y76" s="20">
        <f>F69</f>
        <v>37.521574862086936</v>
      </c>
    </row>
    <row r="77" spans="3:25" x14ac:dyDescent="0.15">
      <c r="C77" s="14"/>
      <c r="D77" s="116">
        <v>43.955253994144648</v>
      </c>
      <c r="E77" s="118">
        <v>41.40651007171919</v>
      </c>
      <c r="F77" s="117">
        <v>12.087786856883648</v>
      </c>
      <c r="G77" s="112">
        <v>1440</v>
      </c>
      <c r="H77" s="25"/>
      <c r="I77" s="25"/>
      <c r="J77" s="25"/>
      <c r="K77" s="26"/>
      <c r="M77" s="14"/>
      <c r="N77" s="116">
        <v>43.017634077035808</v>
      </c>
      <c r="O77" s="118">
        <v>51.013721065119356</v>
      </c>
      <c r="P77" s="117">
        <v>11.924120066096666</v>
      </c>
      <c r="Q77" s="112">
        <v>1433.3333333333333</v>
      </c>
      <c r="R77" s="25"/>
      <c r="S77" s="25"/>
      <c r="T77" s="26"/>
      <c r="W77" s="12"/>
      <c r="X77" s="17">
        <f t="shared" ref="X77" si="16">D70</f>
        <v>89.482984390049424</v>
      </c>
      <c r="Y77" s="13">
        <f>F70</f>
        <v>38.03015416313044</v>
      </c>
    </row>
    <row r="78" spans="3:25" x14ac:dyDescent="0.15">
      <c r="W78" s="12"/>
      <c r="X78" s="17">
        <f>D72</f>
        <v>74.605066551746319</v>
      </c>
      <c r="Y78" s="13">
        <f>F72</f>
        <v>37.553374474480925</v>
      </c>
    </row>
    <row r="79" spans="3:25" x14ac:dyDescent="0.15">
      <c r="F79" s="5"/>
      <c r="W79" s="12"/>
      <c r="X79" s="17">
        <f>N69</f>
        <v>96.677155462994648</v>
      </c>
      <c r="Y79" s="13">
        <f>P69</f>
        <v>37.671500566760479</v>
      </c>
    </row>
    <row r="80" spans="3:25" x14ac:dyDescent="0.15">
      <c r="F80" s="5"/>
      <c r="W80" s="12"/>
      <c r="X80" s="17">
        <f>N70</f>
        <v>89.050003982355406</v>
      </c>
      <c r="Y80" s="13">
        <f>P70</f>
        <v>38.131443787846948</v>
      </c>
    </row>
    <row r="81" spans="6:30" x14ac:dyDescent="0.15">
      <c r="F81" s="5"/>
      <c r="W81" s="12"/>
      <c r="X81" s="17">
        <f>N71</f>
        <v>81.113386537818101</v>
      </c>
      <c r="Y81" s="13">
        <f>P71</f>
        <v>38.111301196784787</v>
      </c>
      <c r="AA81" t="s">
        <v>50</v>
      </c>
    </row>
    <row r="82" spans="6:30" x14ac:dyDescent="0.15">
      <c r="F82" s="5"/>
      <c r="W82" s="14"/>
      <c r="X82" s="18">
        <f>N72</f>
        <v>73.662533531132837</v>
      </c>
      <c r="Y82" s="15">
        <f>P72</f>
        <v>37.03115401994468</v>
      </c>
      <c r="AB82" s="4" t="s">
        <v>4</v>
      </c>
      <c r="AC82" s="4" t="s">
        <v>5</v>
      </c>
      <c r="AD82" s="4" t="s">
        <v>6</v>
      </c>
    </row>
    <row r="83" spans="6:30" x14ac:dyDescent="0.15">
      <c r="W83" s="12"/>
      <c r="X83" s="16" t="s">
        <v>13</v>
      </c>
      <c r="Y83" s="11" t="s">
        <v>49</v>
      </c>
      <c r="AA83" t="s">
        <v>3</v>
      </c>
      <c r="AB83" s="54">
        <f t="array" ref="AB83:AD83">LINEST(Y59:Y66,X59:X66^{1,2})</f>
        <v>2.5025571648286973E-4</v>
      </c>
      <c r="AC83" s="54">
        <v>-9.8634961625720954E-2</v>
      </c>
      <c r="AD83" s="54">
        <v>176.82767950458211</v>
      </c>
    </row>
    <row r="84" spans="6:30" x14ac:dyDescent="0.15">
      <c r="W84" s="10" t="s">
        <v>12</v>
      </c>
      <c r="X84" s="19">
        <f>D74</f>
        <v>52.691549157468963</v>
      </c>
      <c r="Y84" s="20">
        <f>F74</f>
        <v>12.146003600193032</v>
      </c>
      <c r="AA84" t="s">
        <v>114</v>
      </c>
      <c r="AB84" s="54">
        <f t="array" ref="AB84:AD84">LINEST(Y68:Y74,X68:X74^{1,2})</f>
        <v>-1.3104809546391626E-3</v>
      </c>
      <c r="AC84" s="54">
        <v>0.27612268497059966</v>
      </c>
      <c r="AD84" s="54">
        <v>61.060835571339837</v>
      </c>
    </row>
    <row r="85" spans="6:30" x14ac:dyDescent="0.15">
      <c r="W85" s="12"/>
      <c r="X85" s="17">
        <f t="shared" ref="X85:X86" si="17">D75</f>
        <v>50.633657357814492</v>
      </c>
      <c r="Y85" s="13">
        <f>F75</f>
        <v>12.05591376347108</v>
      </c>
      <c r="AA85" t="s">
        <v>10</v>
      </c>
      <c r="AB85" s="54">
        <f t="array" ref="AB85:AD85">LINEST(Y76:Y82,X76:X82^{1,2})</f>
        <v>-5.9348652144834849E-3</v>
      </c>
      <c r="AC85" s="54">
        <v>1.0252845617812771</v>
      </c>
      <c r="AD85" s="54">
        <v>-6.0913639891909028</v>
      </c>
    </row>
    <row r="86" spans="6:30" x14ac:dyDescent="0.15">
      <c r="W86" s="12"/>
      <c r="X86" s="17">
        <f t="shared" si="17"/>
        <v>47.425486734660552</v>
      </c>
      <c r="Y86" s="13">
        <f>F76</f>
        <v>12.128112153149525</v>
      </c>
      <c r="AA86" t="s">
        <v>12</v>
      </c>
      <c r="AB86" s="54">
        <f t="array" ref="AB86:AD86">LINEST(Y84:Y90,X84:X90^{1,2})</f>
        <v>-9.7181951292139239E-4</v>
      </c>
      <c r="AC86" s="54">
        <v>0.11181227950970757</v>
      </c>
      <c r="AD86" s="54">
        <v>8.93343422397135</v>
      </c>
    </row>
    <row r="87" spans="6:30" x14ac:dyDescent="0.15">
      <c r="F87" s="5"/>
      <c r="W87" s="12"/>
      <c r="X87" s="17">
        <f>N74</f>
        <v>52.674432772712962</v>
      </c>
      <c r="Y87" s="13">
        <f>P74</f>
        <v>12.163996986693864</v>
      </c>
    </row>
    <row r="88" spans="6:30" x14ac:dyDescent="0.15">
      <c r="F88" s="5"/>
      <c r="W88" s="12"/>
      <c r="X88" s="17">
        <f t="shared" ref="X88:X90" si="18">N75</f>
        <v>50.314053190972899</v>
      </c>
      <c r="Y88" s="13">
        <f>P75</f>
        <v>12.018930654554175</v>
      </c>
    </row>
    <row r="89" spans="6:30" x14ac:dyDescent="0.15">
      <c r="F89" s="5"/>
      <c r="W89" s="12"/>
      <c r="X89" s="17">
        <f t="shared" si="18"/>
        <v>47.062148526651839</v>
      </c>
      <c r="Y89" s="13">
        <f>P76</f>
        <v>12.057302090130493</v>
      </c>
    </row>
    <row r="90" spans="6:30" x14ac:dyDescent="0.15">
      <c r="F90" s="5"/>
      <c r="W90" s="14"/>
      <c r="X90" s="18">
        <f t="shared" si="18"/>
        <v>43.017634077035808</v>
      </c>
      <c r="Y90" s="15">
        <f>P77</f>
        <v>11.924120066096666</v>
      </c>
    </row>
    <row r="91" spans="6:30" x14ac:dyDescent="0.15">
      <c r="F91" s="5"/>
    </row>
    <row r="92" spans="6:30" x14ac:dyDescent="0.15">
      <c r="F92" s="5"/>
    </row>
    <row r="93" spans="6:30" x14ac:dyDescent="0.15">
      <c r="F93" s="5"/>
    </row>
    <row r="94" spans="6:30" x14ac:dyDescent="0.15">
      <c r="F94" s="5"/>
    </row>
    <row r="95" spans="6:30" x14ac:dyDescent="0.15">
      <c r="F95" s="5"/>
    </row>
    <row r="96" spans="6:30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2C7FB-EFF8-483E-92AC-66EFC1266C53}">
  <sheetPr codeName="Taul24"/>
  <dimension ref="B3:W49"/>
  <sheetViews>
    <sheetView workbookViewId="0">
      <selection activeCell="N48" sqref="M48:N50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 t="str">
        <f>Tulokset!E38</f>
        <v>-</v>
      </c>
      <c r="D4" t="s">
        <v>25</v>
      </c>
    </row>
    <row r="5" spans="2:7" x14ac:dyDescent="0.15">
      <c r="B5" t="s">
        <v>8</v>
      </c>
      <c r="C5" s="3" t="str">
        <f>Tulokset!H38</f>
        <v>-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141</v>
      </c>
      <c r="C12" s="107">
        <v>12.290304219710688</v>
      </c>
      <c r="D12" s="107">
        <v>19.607987409354017</v>
      </c>
    </row>
    <row r="15" spans="2:7" x14ac:dyDescent="0.15">
      <c r="B15" t="s">
        <v>91</v>
      </c>
      <c r="C15" s="3">
        <f>MAX(C4,C5)</f>
        <v>0</v>
      </c>
      <c r="D15" t="s">
        <v>25</v>
      </c>
      <c r="E15" s="82" t="s">
        <v>42</v>
      </c>
      <c r="F15" s="5" t="e">
        <f>C12*LN(C15)+D12</f>
        <v>#NUM!</v>
      </c>
      <c r="G15" t="s">
        <v>31</v>
      </c>
    </row>
    <row r="16" spans="2:7" x14ac:dyDescent="0.15">
      <c r="B16" t="s">
        <v>92</v>
      </c>
      <c r="C16" s="79">
        <f>(2*MAX(C4,C5)+MIN(C4,C5))/3</f>
        <v>0</v>
      </c>
      <c r="D16" t="s">
        <v>25</v>
      </c>
      <c r="E16" s="82" t="s">
        <v>42</v>
      </c>
      <c r="F16" s="5" t="e">
        <f>C12*LN(C16)+D12</f>
        <v>#NUM!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 t="str">
        <f>'R-series ALU'!N54</f>
        <v>-</v>
      </c>
      <c r="E21" t="s">
        <v>31</v>
      </c>
    </row>
    <row r="22" spans="2:5" x14ac:dyDescent="0.15">
      <c r="B22" s="25"/>
      <c r="C22" s="25" t="s">
        <v>8</v>
      </c>
      <c r="D22" s="81" t="str">
        <f>'R-series ALU'!N55</f>
        <v>-</v>
      </c>
      <c r="E22" t="s">
        <v>31</v>
      </c>
    </row>
    <row r="23" spans="2:5" x14ac:dyDescent="0.15">
      <c r="C23" t="s">
        <v>87</v>
      </c>
      <c r="D23" s="3" t="e">
        <f>ABS(D21-D22)</f>
        <v>#VALUE!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 t="str">
        <f>'R-series ALU'!N53</f>
        <v>-</v>
      </c>
      <c r="E25" t="s">
        <v>31</v>
      </c>
    </row>
    <row r="26" spans="2:5" x14ac:dyDescent="0.15">
      <c r="B26" s="25"/>
      <c r="C26" s="25" t="s">
        <v>57</v>
      </c>
      <c r="D26" s="81" t="str">
        <f>'R-series ALU'!N56</f>
        <v>-</v>
      </c>
      <c r="E26" t="s">
        <v>31</v>
      </c>
    </row>
    <row r="27" spans="2:5" x14ac:dyDescent="0.15">
      <c r="C27" t="s">
        <v>87</v>
      </c>
      <c r="D27" s="3" t="e">
        <f>ABS(D25-D26)</f>
        <v>#VALUE!</v>
      </c>
      <c r="E27" t="s">
        <v>31</v>
      </c>
    </row>
    <row r="29" spans="2:5" x14ac:dyDescent="0.15">
      <c r="B29" t="s">
        <v>94</v>
      </c>
      <c r="C29" s="3" t="e">
        <f>AVERAGE(D27,D23)</f>
        <v>#VALUE!</v>
      </c>
      <c r="D29" t="s">
        <v>31</v>
      </c>
    </row>
    <row r="30" spans="2:5" x14ac:dyDescent="0.15">
      <c r="B30" t="s">
        <v>93</v>
      </c>
      <c r="C30" s="3" t="e">
        <f>-10*LOG10((1-10^(-C29/10)))-3</f>
        <v>#VALUE!</v>
      </c>
      <c r="D30" t="s">
        <v>31</v>
      </c>
    </row>
    <row r="32" spans="2:5" x14ac:dyDescent="0.15">
      <c r="B32" t="s">
        <v>83</v>
      </c>
      <c r="C32" s="3" t="e">
        <f>F15+C30</f>
        <v>#NUM!</v>
      </c>
      <c r="D32" t="s">
        <v>31</v>
      </c>
    </row>
    <row r="33" spans="2:23" x14ac:dyDescent="0.15">
      <c r="B33" t="s">
        <v>95</v>
      </c>
      <c r="C33" s="3" t="e">
        <f>F15-2.6</f>
        <v>#NUM!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 t="e">
        <f>MIN(F15,IF(C29&lt;3,F16,IF(C29&gt;10,C33,C32)))</f>
        <v>#VALUE!</v>
      </c>
      <c r="D35" s="2" t="s">
        <v>31</v>
      </c>
      <c r="F35" s="5" t="e">
        <f>C35+10*LOG10(4/10)</f>
        <v>#VALUE!</v>
      </c>
      <c r="G35" s="5" t="e">
        <f>C35+10*LOG10(4/2.5)</f>
        <v>#VALUE!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11</v>
      </c>
      <c r="D39" s="85">
        <v>6</v>
      </c>
      <c r="E39" s="85">
        <v>6</v>
      </c>
      <c r="F39" s="85">
        <v>-4</v>
      </c>
      <c r="G39" s="85">
        <v>-16</v>
      </c>
      <c r="H39" s="85">
        <v>-18</v>
      </c>
      <c r="I39" s="85">
        <v>-23</v>
      </c>
      <c r="J39" s="85">
        <v>-24</v>
      </c>
      <c r="K39" s="87" t="s">
        <v>42</v>
      </c>
      <c r="L39" s="86" t="e">
        <f>$C$35+C39</f>
        <v>#VALUE!</v>
      </c>
      <c r="M39" s="86" t="e">
        <f t="shared" ref="M39:S39" si="0">$C$35+D39</f>
        <v>#VALUE!</v>
      </c>
      <c r="N39" s="86" t="e">
        <f t="shared" si="0"/>
        <v>#VALUE!</v>
      </c>
      <c r="O39" s="86" t="e">
        <f t="shared" si="0"/>
        <v>#VALUE!</v>
      </c>
      <c r="P39" s="86" t="e">
        <f t="shared" si="0"/>
        <v>#VALUE!</v>
      </c>
      <c r="Q39" s="86" t="e">
        <f t="shared" si="0"/>
        <v>#VALUE!</v>
      </c>
      <c r="R39" s="86" t="e">
        <f t="shared" si="0"/>
        <v>#VALUE!</v>
      </c>
      <c r="S39" s="86" t="e">
        <f t="shared" si="0"/>
        <v>#VALUE!</v>
      </c>
      <c r="T39" s="5" t="e">
        <f t="array" ref="T39">10*LOG10(SUM(10^(L39:S39/10)))</f>
        <v>#VALUE!</v>
      </c>
      <c r="U39" s="5" t="e">
        <f t="array" ref="U39">10*LOG10(SUM(10^((L39:S39+L41:S41)/10)))</f>
        <v>#VALUE!</v>
      </c>
      <c r="W39" t="e">
        <f>IF(ABS(C35-U39)&lt;0.5,"OK","Tarkista laskenta!")</f>
        <v>#VALUE!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8994-A040-45E2-95CD-ECAAC9E25043}">
  <dimension ref="B1:AX84"/>
  <sheetViews>
    <sheetView workbookViewId="0">
      <selection activeCell="B126" sqref="B126"/>
    </sheetView>
  </sheetViews>
  <sheetFormatPr baseColWidth="10" defaultColWidth="8.83203125" defaultRowHeight="13" x14ac:dyDescent="0.15"/>
  <cols>
    <col min="2" max="2" width="15.6640625" customWidth="1"/>
    <col min="3" max="5" width="11" customWidth="1"/>
  </cols>
  <sheetData>
    <row r="1" spans="2:50" x14ac:dyDescent="0.15">
      <c r="C1" s="344" t="s">
        <v>1175</v>
      </c>
      <c r="D1" s="344" t="s">
        <v>1180</v>
      </c>
      <c r="E1" s="344" t="s">
        <v>1181</v>
      </c>
    </row>
    <row r="2" spans="2:50" ht="14" x14ac:dyDescent="0.15">
      <c r="B2" s="344" t="b">
        <f>TuloksetC!DG4</f>
        <v>1</v>
      </c>
      <c r="C2" s="344" t="s">
        <v>988</v>
      </c>
      <c r="D2" s="344">
        <v>0</v>
      </c>
      <c r="E2" s="344">
        <v>4</v>
      </c>
      <c r="H2" s="2" t="s">
        <v>1195</v>
      </c>
      <c r="Z2" s="2" t="s">
        <v>21</v>
      </c>
    </row>
    <row r="3" spans="2:50" x14ac:dyDescent="0.15">
      <c r="B3" s="344" t="b">
        <f>IF(B2,FALSE,TRUE)</f>
        <v>0</v>
      </c>
      <c r="C3" s="344" t="s">
        <v>1177</v>
      </c>
      <c r="D3" s="344">
        <v>4</v>
      </c>
      <c r="E3" s="344">
        <v>13</v>
      </c>
      <c r="H3" s="2" t="s">
        <v>1016</v>
      </c>
      <c r="I3" s="2" t="s">
        <v>270</v>
      </c>
      <c r="J3" s="2" t="s">
        <v>271</v>
      </c>
      <c r="K3" s="2" t="s">
        <v>272</v>
      </c>
      <c r="L3" s="2" t="str">
        <f>B11</f>
        <v>Tukholma</v>
      </c>
      <c r="M3" s="2" t="str">
        <f>B12</f>
        <v>Göteborg</v>
      </c>
      <c r="N3" s="2" t="str">
        <f>B13</f>
        <v>Tallinna</v>
      </c>
      <c r="O3" s="2" t="str">
        <f>B14</f>
        <v>Riika</v>
      </c>
      <c r="P3" s="2" t="str">
        <f>B15</f>
        <v>Vilna</v>
      </c>
      <c r="Q3" s="2" t="str">
        <f>B16</f>
        <v>Varsova</v>
      </c>
      <c r="R3" s="2" t="str">
        <f>B17</f>
        <v>Krakova</v>
      </c>
      <c r="S3" s="2" t="str">
        <f>B18</f>
        <v>Gdansk</v>
      </c>
      <c r="T3" s="2" t="str">
        <f>B19</f>
        <v>Reykjavík</v>
      </c>
      <c r="U3" s="2" t="str">
        <f>B20</f>
        <v>Bukarest</v>
      </c>
      <c r="V3" s="2" t="str">
        <f>B21</f>
        <v>Oslo</v>
      </c>
      <c r="W3" s="2" t="str">
        <f>B22</f>
        <v>Kööpenhamina</v>
      </c>
      <c r="X3" s="2" t="str">
        <f>B23</f>
        <v>Berliini</v>
      </c>
      <c r="Z3" t="str" cm="1">
        <f t="array" ref="Z3">INDEX(H3:X3,1,$B$30)</f>
        <v>I (Vantaa)</v>
      </c>
      <c r="AH3" t="s">
        <v>1016</v>
      </c>
      <c r="AI3" t="s">
        <v>270</v>
      </c>
      <c r="AJ3" t="s">
        <v>271</v>
      </c>
      <c r="AK3" t="s">
        <v>272</v>
      </c>
      <c r="AL3" t="s">
        <v>1361</v>
      </c>
      <c r="AM3" t="s">
        <v>1365</v>
      </c>
      <c r="AN3" t="s">
        <v>1362</v>
      </c>
      <c r="AO3" t="s">
        <v>1371</v>
      </c>
      <c r="AP3" t="s">
        <v>1374</v>
      </c>
      <c r="AQ3" t="s">
        <v>1375</v>
      </c>
      <c r="AR3" t="s">
        <v>1376</v>
      </c>
      <c r="AS3" t="s">
        <v>1382</v>
      </c>
      <c r="AT3" t="s">
        <v>1383</v>
      </c>
      <c r="AU3" t="s">
        <v>1385</v>
      </c>
      <c r="AV3" t="s">
        <v>1387</v>
      </c>
      <c r="AW3" t="s">
        <v>1391</v>
      </c>
      <c r="AX3" t="s">
        <v>1389</v>
      </c>
    </row>
    <row r="4" spans="2:50" x14ac:dyDescent="0.15">
      <c r="C4" s="628" t="s">
        <v>21</v>
      </c>
      <c r="D4" s="628">
        <f>IF($B$2,D2,D3)</f>
        <v>0</v>
      </c>
      <c r="E4" s="628">
        <f>IF($B$2,E2,E3)</f>
        <v>4</v>
      </c>
      <c r="G4" s="563">
        <v>-40</v>
      </c>
      <c r="H4" s="564">
        <v>0</v>
      </c>
      <c r="I4" s="564">
        <v>0</v>
      </c>
      <c r="J4" s="564">
        <v>0</v>
      </c>
      <c r="K4" s="564">
        <v>0</v>
      </c>
      <c r="L4" s="564">
        <v>0</v>
      </c>
      <c r="M4" s="564">
        <v>0</v>
      </c>
      <c r="N4" s="564">
        <v>0</v>
      </c>
      <c r="O4" s="564">
        <v>0</v>
      </c>
      <c r="P4" s="564">
        <v>0</v>
      </c>
      <c r="Q4" s="564">
        <v>0</v>
      </c>
      <c r="R4" s="564">
        <v>0</v>
      </c>
      <c r="S4" s="564">
        <v>0</v>
      </c>
      <c r="T4" s="564">
        <v>0</v>
      </c>
      <c r="U4" s="564">
        <v>0</v>
      </c>
      <c r="V4" s="564">
        <v>0</v>
      </c>
      <c r="W4" s="564">
        <v>0</v>
      </c>
      <c r="X4" s="564">
        <v>0</v>
      </c>
      <c r="Z4" s="655" cm="1">
        <f t="array" ref="Z4">INDEX(H4:X4,1,$B$30)</f>
        <v>0</v>
      </c>
      <c r="AH4">
        <v>0</v>
      </c>
      <c r="AI4">
        <v>0</v>
      </c>
      <c r="AJ4">
        <v>0</v>
      </c>
      <c r="AK4">
        <v>0</v>
      </c>
      <c r="AL4" t="s">
        <v>1019</v>
      </c>
      <c r="AM4" t="s">
        <v>1020</v>
      </c>
      <c r="AN4" t="s">
        <v>1392</v>
      </c>
      <c r="AO4" t="s">
        <v>1022</v>
      </c>
      <c r="AP4" t="s">
        <v>1023</v>
      </c>
      <c r="AQ4" t="s">
        <v>1393</v>
      </c>
      <c r="AR4" t="s">
        <v>1394</v>
      </c>
      <c r="AS4" t="s">
        <v>1377</v>
      </c>
      <c r="AT4" t="s">
        <v>1379</v>
      </c>
      <c r="AU4" t="s">
        <v>1380</v>
      </c>
      <c r="AV4" t="s">
        <v>1381</v>
      </c>
      <c r="AW4" t="s">
        <v>1395</v>
      </c>
      <c r="AX4" t="s">
        <v>1396</v>
      </c>
    </row>
    <row r="5" spans="2:50" x14ac:dyDescent="0.15">
      <c r="G5" s="565">
        <v>-39</v>
      </c>
      <c r="H5" s="564">
        <v>0</v>
      </c>
      <c r="I5" s="564">
        <v>0</v>
      </c>
      <c r="J5" s="564">
        <v>0</v>
      </c>
      <c r="K5" s="564">
        <v>0</v>
      </c>
      <c r="L5" s="564">
        <v>0</v>
      </c>
      <c r="M5" s="564">
        <v>0</v>
      </c>
      <c r="N5" s="564">
        <v>0</v>
      </c>
      <c r="O5" s="564">
        <v>0</v>
      </c>
      <c r="P5" s="564">
        <v>0</v>
      </c>
      <c r="Q5" s="564">
        <v>0</v>
      </c>
      <c r="R5" s="564">
        <v>0</v>
      </c>
      <c r="S5" s="564">
        <v>0</v>
      </c>
      <c r="T5" s="564">
        <v>0</v>
      </c>
      <c r="U5" s="564">
        <v>0</v>
      </c>
      <c r="V5" s="564">
        <v>0</v>
      </c>
      <c r="W5" s="564">
        <v>0</v>
      </c>
      <c r="X5" s="564">
        <v>0</v>
      </c>
      <c r="Z5" s="655" cm="1">
        <f t="array" ref="Z5">INDEX(H5:X5,1,$B$30)</f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2:50" x14ac:dyDescent="0.15">
      <c r="B6" s="2" t="s">
        <v>1179</v>
      </c>
      <c r="G6" s="565">
        <v>-38</v>
      </c>
      <c r="H6" s="564">
        <v>0</v>
      </c>
      <c r="I6" s="564">
        <v>0</v>
      </c>
      <c r="J6" s="564">
        <v>0</v>
      </c>
      <c r="K6" s="564">
        <v>3.4246575342465754E-4</v>
      </c>
      <c r="L6" s="564">
        <v>0</v>
      </c>
      <c r="M6" s="564">
        <v>0</v>
      </c>
      <c r="N6" s="564">
        <v>0</v>
      </c>
      <c r="O6" s="564">
        <v>0</v>
      </c>
      <c r="P6" s="564">
        <v>0</v>
      </c>
      <c r="Q6" s="564">
        <v>0</v>
      </c>
      <c r="R6" s="564">
        <v>0</v>
      </c>
      <c r="S6" s="564">
        <v>0</v>
      </c>
      <c r="T6" s="564">
        <v>0</v>
      </c>
      <c r="U6" s="564">
        <v>0</v>
      </c>
      <c r="V6" s="564">
        <v>0</v>
      </c>
      <c r="W6" s="564">
        <v>0</v>
      </c>
      <c r="X6" s="564">
        <v>0</v>
      </c>
      <c r="Z6" s="655" cm="1">
        <f t="array" ref="Z6">INDEX(H6:X6,1,$B$30)</f>
        <v>0</v>
      </c>
      <c r="AH6">
        <v>0</v>
      </c>
      <c r="AI6">
        <v>0</v>
      </c>
      <c r="AJ6">
        <v>0</v>
      </c>
      <c r="AK6">
        <v>3.4246575342465754E-4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2:50" x14ac:dyDescent="0.15">
      <c r="B7" t="str" cm="1">
        <f t="array" ref="B7">INDEX('KirjastoC (kaupungit)'!$D$4:$K$23,1,'KirjastoC (kaupungit)'!$B$4)</f>
        <v>I (Vantaa)</v>
      </c>
      <c r="D7" t="str" cm="1">
        <f t="array" aca="1" ref="D7:D10" ca="1">OFFSET($B$7,$D$4,0,$E$4,1)</f>
        <v>I (Vantaa)</v>
      </c>
      <c r="G7" s="565">
        <v>-37</v>
      </c>
      <c r="H7" s="564">
        <v>0</v>
      </c>
      <c r="I7" s="564">
        <v>0</v>
      </c>
      <c r="J7" s="564">
        <v>0</v>
      </c>
      <c r="K7" s="564">
        <v>5.7077625570776253E-4</v>
      </c>
      <c r="L7" s="564">
        <v>0</v>
      </c>
      <c r="M7" s="564">
        <v>0</v>
      </c>
      <c r="N7" s="564">
        <v>0</v>
      </c>
      <c r="O7" s="564">
        <v>0</v>
      </c>
      <c r="P7" s="564">
        <v>0</v>
      </c>
      <c r="Q7" s="564">
        <v>0</v>
      </c>
      <c r="R7" s="564">
        <v>0</v>
      </c>
      <c r="S7" s="564">
        <v>0</v>
      </c>
      <c r="T7" s="564">
        <v>0</v>
      </c>
      <c r="U7" s="564">
        <v>0</v>
      </c>
      <c r="V7" s="564">
        <v>0</v>
      </c>
      <c r="W7" s="564">
        <v>0</v>
      </c>
      <c r="X7" s="564">
        <v>0</v>
      </c>
      <c r="Z7" s="655" cm="1">
        <f t="array" ref="Z7">INDEX(H7:X7,1,$B$30)</f>
        <v>0</v>
      </c>
      <c r="AH7">
        <v>0</v>
      </c>
      <c r="AI7">
        <v>0</v>
      </c>
      <c r="AJ7">
        <v>0</v>
      </c>
      <c r="AK7">
        <v>5.7077625570776253E-4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2:50" x14ac:dyDescent="0.15">
      <c r="B8" t="str" cm="1">
        <f t="array" ref="B8">INDEX('KirjastoC (kaupungit)'!$D$4:$K$23,2,'KirjastoC (kaupungit)'!$B$4)</f>
        <v>II (Jokioinen)</v>
      </c>
      <c r="D8" t="str">
        <f ca="1"/>
        <v>II (Jokioinen)</v>
      </c>
      <c r="G8" s="565">
        <v>-36</v>
      </c>
      <c r="H8" s="564">
        <v>0</v>
      </c>
      <c r="I8" s="564">
        <v>0</v>
      </c>
      <c r="J8" s="564">
        <v>0</v>
      </c>
      <c r="K8" s="564">
        <v>1.1415525114155251E-3</v>
      </c>
      <c r="L8" s="564">
        <v>0</v>
      </c>
      <c r="M8" s="564">
        <v>0</v>
      </c>
      <c r="N8" s="564">
        <v>0</v>
      </c>
      <c r="O8" s="564">
        <v>0</v>
      </c>
      <c r="P8" s="564">
        <v>0</v>
      </c>
      <c r="Q8" s="564">
        <v>0</v>
      </c>
      <c r="R8" s="564">
        <v>0</v>
      </c>
      <c r="S8" s="564">
        <v>0</v>
      </c>
      <c r="T8" s="564">
        <v>0</v>
      </c>
      <c r="U8" s="564">
        <v>0</v>
      </c>
      <c r="V8" s="564">
        <v>0</v>
      </c>
      <c r="W8" s="564">
        <v>0</v>
      </c>
      <c r="X8" s="564">
        <v>0</v>
      </c>
      <c r="Z8" s="655" cm="1">
        <f t="array" ref="Z8">INDEX(H8:X8,1,$B$30)</f>
        <v>0</v>
      </c>
      <c r="AH8">
        <v>0</v>
      </c>
      <c r="AI8">
        <v>0</v>
      </c>
      <c r="AJ8">
        <v>0</v>
      </c>
      <c r="AK8">
        <v>1.1415525114155251E-3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2:50" x14ac:dyDescent="0.15">
      <c r="B9" t="str" cm="1">
        <f t="array" ref="B9">INDEX('KirjastoC (kaupungit)'!$D$4:$K$23,3,'KirjastoC (kaupungit)'!$B$4)</f>
        <v>III (Jyväskylä)</v>
      </c>
      <c r="D9" t="str">
        <f ca="1"/>
        <v>III (Jyväskylä)</v>
      </c>
      <c r="G9" s="565">
        <v>-35</v>
      </c>
      <c r="H9" s="564">
        <v>0</v>
      </c>
      <c r="I9" s="564">
        <v>0</v>
      </c>
      <c r="J9" s="564">
        <v>0</v>
      </c>
      <c r="K9" s="564">
        <v>1.8264840182648401E-3</v>
      </c>
      <c r="L9" s="564">
        <v>0</v>
      </c>
      <c r="M9" s="564">
        <v>0</v>
      </c>
      <c r="N9" s="564">
        <v>0</v>
      </c>
      <c r="O9" s="564">
        <v>0</v>
      </c>
      <c r="P9" s="564">
        <v>0</v>
      </c>
      <c r="Q9" s="564">
        <v>0</v>
      </c>
      <c r="R9" s="564">
        <v>0</v>
      </c>
      <c r="S9" s="564">
        <v>0</v>
      </c>
      <c r="T9" s="564">
        <v>0</v>
      </c>
      <c r="U9" s="564">
        <v>0</v>
      </c>
      <c r="V9" s="564">
        <v>0</v>
      </c>
      <c r="W9" s="564">
        <v>0</v>
      </c>
      <c r="X9" s="564">
        <v>0</v>
      </c>
      <c r="Z9" s="655" cm="1">
        <f t="array" ref="Z9">INDEX(H9:X9,1,$B$30)</f>
        <v>0</v>
      </c>
      <c r="AH9">
        <v>0</v>
      </c>
      <c r="AI9">
        <v>0</v>
      </c>
      <c r="AJ9">
        <v>0</v>
      </c>
      <c r="AK9">
        <v>1.8264840182648401E-3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2:50" x14ac:dyDescent="0.15">
      <c r="B10" t="str" cm="1">
        <f t="array" ref="B10">INDEX('KirjastoC (kaupungit)'!$D$4:$K$23,4,'KirjastoC (kaupungit)'!$B$4)</f>
        <v>IV (Sodankylä)</v>
      </c>
      <c r="D10" t="str">
        <f ca="1"/>
        <v>IV (Sodankylä)</v>
      </c>
      <c r="G10" s="565">
        <v>-34</v>
      </c>
      <c r="H10" s="564">
        <v>0</v>
      </c>
      <c r="I10" s="564">
        <v>0</v>
      </c>
      <c r="J10" s="564">
        <v>0</v>
      </c>
      <c r="K10" s="564">
        <v>2.9680365296803654E-3</v>
      </c>
      <c r="L10" s="564">
        <v>0</v>
      </c>
      <c r="M10" s="564">
        <v>0</v>
      </c>
      <c r="N10" s="564">
        <v>0</v>
      </c>
      <c r="O10" s="564">
        <v>0</v>
      </c>
      <c r="P10" s="564">
        <v>0</v>
      </c>
      <c r="Q10" s="564">
        <v>0</v>
      </c>
      <c r="R10" s="564">
        <v>0</v>
      </c>
      <c r="S10" s="564">
        <v>0</v>
      </c>
      <c r="T10" s="564">
        <v>0</v>
      </c>
      <c r="U10" s="564">
        <v>0</v>
      </c>
      <c r="V10" s="564">
        <v>0</v>
      </c>
      <c r="W10" s="564">
        <v>0</v>
      </c>
      <c r="X10" s="564">
        <v>0</v>
      </c>
      <c r="Z10" s="655" cm="1">
        <f t="array" ref="Z10">INDEX(H10:X10,1,$B$30)</f>
        <v>0</v>
      </c>
      <c r="AH10">
        <v>0</v>
      </c>
      <c r="AI10">
        <v>0</v>
      </c>
      <c r="AJ10">
        <v>0</v>
      </c>
      <c r="AK10">
        <v>2.9680365296803654E-3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2:50" x14ac:dyDescent="0.15">
      <c r="B11" t="str" cm="1">
        <f t="array" ref="B11">INDEX('KirjastoC (kaupungit)'!$D$4:$K$23,5,'KirjastoC (kaupungit)'!$B$4)</f>
        <v>Tukholma</v>
      </c>
      <c r="G11" s="565">
        <v>-33</v>
      </c>
      <c r="H11" s="564">
        <v>0</v>
      </c>
      <c r="I11" s="564">
        <v>0</v>
      </c>
      <c r="J11" s="564">
        <v>0</v>
      </c>
      <c r="K11" s="564">
        <v>4.10958904109589E-3</v>
      </c>
      <c r="L11" s="564">
        <v>0</v>
      </c>
      <c r="M11" s="564">
        <v>0</v>
      </c>
      <c r="N11" s="564">
        <v>0</v>
      </c>
      <c r="O11" s="564">
        <v>0</v>
      </c>
      <c r="P11" s="564">
        <v>0</v>
      </c>
      <c r="Q11" s="564">
        <v>0</v>
      </c>
      <c r="R11" s="564">
        <v>0</v>
      </c>
      <c r="S11" s="564">
        <v>0</v>
      </c>
      <c r="T11" s="564">
        <v>0</v>
      </c>
      <c r="U11" s="564">
        <v>0</v>
      </c>
      <c r="V11" s="564">
        <v>0</v>
      </c>
      <c r="W11" s="564">
        <v>0</v>
      </c>
      <c r="X11" s="564">
        <v>0</v>
      </c>
      <c r="Z11" s="655" cm="1">
        <f t="array" ref="Z11">INDEX(H11:X11,1,$B$30)</f>
        <v>0</v>
      </c>
      <c r="AH11">
        <v>0</v>
      </c>
      <c r="AI11">
        <v>0</v>
      </c>
      <c r="AJ11">
        <v>0</v>
      </c>
      <c r="AK11">
        <v>4.10958904109589E-3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2:50" x14ac:dyDescent="0.15">
      <c r="B12" t="str" cm="1">
        <f t="array" ref="B12">INDEX('KirjastoC (kaupungit)'!$D$4:$K$23,6,'KirjastoC (kaupungit)'!$B$4)</f>
        <v>Göteborg</v>
      </c>
      <c r="G12" s="565">
        <v>-32</v>
      </c>
      <c r="H12" s="564">
        <v>0</v>
      </c>
      <c r="I12" s="564">
        <v>0</v>
      </c>
      <c r="J12" s="564">
        <v>0</v>
      </c>
      <c r="K12" s="564">
        <v>4.7945205479452057E-3</v>
      </c>
      <c r="L12" s="564">
        <v>0</v>
      </c>
      <c r="M12" s="564">
        <v>0</v>
      </c>
      <c r="N12" s="564">
        <v>0</v>
      </c>
      <c r="O12" s="564">
        <v>0</v>
      </c>
      <c r="P12" s="564">
        <v>0</v>
      </c>
      <c r="Q12" s="564">
        <v>0</v>
      </c>
      <c r="R12" s="564">
        <v>0</v>
      </c>
      <c r="S12" s="564">
        <v>0</v>
      </c>
      <c r="T12" s="564">
        <v>0</v>
      </c>
      <c r="U12" s="564">
        <v>0</v>
      </c>
      <c r="V12" s="564">
        <v>0</v>
      </c>
      <c r="W12" s="564">
        <v>0</v>
      </c>
      <c r="X12" s="564">
        <v>0</v>
      </c>
      <c r="Z12" s="655" cm="1">
        <f t="array" ref="Z12">INDEX(H12:X12,1,$B$30)</f>
        <v>0</v>
      </c>
      <c r="AH12">
        <v>0</v>
      </c>
      <c r="AI12">
        <v>0</v>
      </c>
      <c r="AJ12">
        <v>0</v>
      </c>
      <c r="AK12">
        <v>4.7945205479452057E-3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2:50" x14ac:dyDescent="0.15">
      <c r="B13" t="str" cm="1">
        <f t="array" ref="B13">INDEX('KirjastoC (kaupungit)'!$D$4:$K$23,7,'KirjastoC (kaupungit)'!$B$4)</f>
        <v>Tallinna</v>
      </c>
      <c r="G13" s="565">
        <v>-31</v>
      </c>
      <c r="H13" s="564">
        <v>0</v>
      </c>
      <c r="I13" s="564">
        <v>0</v>
      </c>
      <c r="J13" s="564">
        <v>2.2831050228310502E-4</v>
      </c>
      <c r="K13" s="564">
        <v>6.0502283105022831E-3</v>
      </c>
      <c r="L13" s="564">
        <v>0</v>
      </c>
      <c r="M13" s="564">
        <v>0</v>
      </c>
      <c r="N13" s="564">
        <v>0</v>
      </c>
      <c r="O13" s="564">
        <v>0</v>
      </c>
      <c r="P13" s="564">
        <v>0</v>
      </c>
      <c r="Q13" s="564">
        <v>0</v>
      </c>
      <c r="R13" s="564">
        <v>0</v>
      </c>
      <c r="S13" s="564">
        <v>0</v>
      </c>
      <c r="T13" s="564">
        <v>0</v>
      </c>
      <c r="U13" s="564">
        <v>0</v>
      </c>
      <c r="V13" s="564">
        <v>0</v>
      </c>
      <c r="W13" s="564">
        <v>0</v>
      </c>
      <c r="X13" s="564">
        <v>0</v>
      </c>
      <c r="Z13" s="655" cm="1">
        <f t="array" ref="Z13">INDEX(H13:X13,1,$B$30)</f>
        <v>0</v>
      </c>
      <c r="AH13">
        <v>0</v>
      </c>
      <c r="AI13">
        <v>0</v>
      </c>
      <c r="AJ13">
        <v>2.2831050228310502E-4</v>
      </c>
      <c r="AK13">
        <v>6.0502283105022831E-3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2:50" x14ac:dyDescent="0.15">
      <c r="B14" t="str" cm="1">
        <f t="array" ref="B14">INDEX('KirjastoC (kaupungit)'!$D$4:$K$23,8,'KirjastoC (kaupungit)'!$B$4)</f>
        <v>Riika</v>
      </c>
      <c r="G14" s="565">
        <v>-30</v>
      </c>
      <c r="H14" s="564">
        <v>0</v>
      </c>
      <c r="I14" s="564">
        <v>0</v>
      </c>
      <c r="J14" s="564">
        <v>3.4246575342465754E-4</v>
      </c>
      <c r="K14" s="564">
        <v>7.9908675799086754E-3</v>
      </c>
      <c r="L14" s="564">
        <v>0</v>
      </c>
      <c r="M14" s="564">
        <v>0</v>
      </c>
      <c r="N14" s="564">
        <v>0</v>
      </c>
      <c r="O14" s="564">
        <v>0</v>
      </c>
      <c r="P14" s="564">
        <v>0</v>
      </c>
      <c r="Q14" s="564">
        <v>0</v>
      </c>
      <c r="R14" s="564">
        <v>0</v>
      </c>
      <c r="S14" s="564">
        <v>0</v>
      </c>
      <c r="T14" s="564">
        <v>0</v>
      </c>
      <c r="U14" s="564">
        <v>0</v>
      </c>
      <c r="V14" s="564">
        <v>0</v>
      </c>
      <c r="W14" s="564">
        <v>0</v>
      </c>
      <c r="X14" s="564">
        <v>0</v>
      </c>
      <c r="Z14" s="655" cm="1">
        <f t="array" ref="Z14">INDEX(H14:X14,1,$B$30)</f>
        <v>0</v>
      </c>
      <c r="AH14">
        <v>0</v>
      </c>
      <c r="AI14">
        <v>0</v>
      </c>
      <c r="AJ14">
        <v>3.4246575342465754E-4</v>
      </c>
      <c r="AK14">
        <v>7.9908675799086754E-3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2:50" x14ac:dyDescent="0.15">
      <c r="B15" t="str" cm="1">
        <f t="array" ref="B15">INDEX('KirjastoC (kaupungit)'!$D$4:$K$23,9,'KirjastoC (kaupungit)'!$B$4)</f>
        <v>Vilna</v>
      </c>
      <c r="G15" s="565">
        <v>-29</v>
      </c>
      <c r="H15" s="564">
        <v>0</v>
      </c>
      <c r="I15" s="564">
        <v>0</v>
      </c>
      <c r="J15" s="564">
        <v>4.5662100456621003E-4</v>
      </c>
      <c r="K15" s="564">
        <v>1.1187214611872146E-2</v>
      </c>
      <c r="L15" s="564">
        <v>0</v>
      </c>
      <c r="M15" s="564">
        <v>0</v>
      </c>
      <c r="N15" s="564">
        <v>0</v>
      </c>
      <c r="O15" s="564">
        <v>0</v>
      </c>
      <c r="P15" s="564">
        <v>0</v>
      </c>
      <c r="Q15" s="564">
        <v>0</v>
      </c>
      <c r="R15" s="564">
        <v>0</v>
      </c>
      <c r="S15" s="564">
        <v>0</v>
      </c>
      <c r="T15" s="564">
        <v>0</v>
      </c>
      <c r="U15" s="564">
        <v>0</v>
      </c>
      <c r="V15" s="564">
        <v>0</v>
      </c>
      <c r="W15" s="564">
        <v>0</v>
      </c>
      <c r="X15" s="564">
        <v>0</v>
      </c>
      <c r="Z15" s="655" cm="1">
        <f t="array" ref="Z15">INDEX(H15:X15,1,$B$30)</f>
        <v>0</v>
      </c>
      <c r="AH15">
        <v>0</v>
      </c>
      <c r="AI15">
        <v>0</v>
      </c>
      <c r="AJ15">
        <v>4.5662100456621003E-4</v>
      </c>
      <c r="AK15">
        <v>1.1187214611872146E-2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2:50" x14ac:dyDescent="0.15">
      <c r="B16" t="str" cm="1">
        <f t="array" ref="B16">INDEX('KirjastoC (kaupungit)'!$D$4:$K$23,10,'KirjastoC (kaupungit)'!$B$4)</f>
        <v>Varsova</v>
      </c>
      <c r="G16" s="565">
        <v>-28</v>
      </c>
      <c r="H16" s="564">
        <v>0</v>
      </c>
      <c r="I16" s="564">
        <v>0</v>
      </c>
      <c r="J16" s="564">
        <v>9.1324200913242006E-4</v>
      </c>
      <c r="K16" s="564">
        <v>1.4726027397260274E-2</v>
      </c>
      <c r="L16" s="564">
        <v>0</v>
      </c>
      <c r="M16" s="564">
        <v>0</v>
      </c>
      <c r="N16" s="564">
        <v>0</v>
      </c>
      <c r="O16" s="564">
        <v>0</v>
      </c>
      <c r="P16" s="564">
        <v>0</v>
      </c>
      <c r="Q16" s="564">
        <v>0</v>
      </c>
      <c r="R16" s="564">
        <v>0</v>
      </c>
      <c r="S16" s="564">
        <v>0</v>
      </c>
      <c r="T16" s="564">
        <v>0</v>
      </c>
      <c r="U16" s="564">
        <v>0</v>
      </c>
      <c r="V16" s="564">
        <v>0</v>
      </c>
      <c r="W16" s="564">
        <v>0</v>
      </c>
      <c r="X16" s="564">
        <v>0</v>
      </c>
      <c r="Z16" s="655" cm="1">
        <f t="array" ref="Z16">INDEX(H16:X16,1,$B$30)</f>
        <v>0</v>
      </c>
      <c r="AH16">
        <v>0</v>
      </c>
      <c r="AI16">
        <v>0</v>
      </c>
      <c r="AJ16">
        <v>9.1324200913242006E-4</v>
      </c>
      <c r="AK16">
        <v>1.4726027397260274E-2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2:44" x14ac:dyDescent="0.15">
      <c r="B17" t="str" cm="1">
        <f t="array" ref="B17">INDEX('KirjastoC (kaupungit)'!$D$4:$K$23,11,'KirjastoC (kaupungit)'!$B$4)</f>
        <v>Krakova</v>
      </c>
      <c r="G17" s="565">
        <v>-27</v>
      </c>
      <c r="H17" s="564">
        <v>0</v>
      </c>
      <c r="I17" s="564">
        <v>0</v>
      </c>
      <c r="J17" s="564">
        <v>1.8264840182648401E-3</v>
      </c>
      <c r="K17" s="564">
        <v>1.906392694063927E-2</v>
      </c>
      <c r="L17" s="564">
        <v>0</v>
      </c>
      <c r="M17" s="564">
        <v>0</v>
      </c>
      <c r="N17" s="564">
        <v>0</v>
      </c>
      <c r="O17" s="564">
        <v>0</v>
      </c>
      <c r="P17" s="564">
        <v>0</v>
      </c>
      <c r="Q17" s="564">
        <v>0</v>
      </c>
      <c r="R17" s="564">
        <v>0</v>
      </c>
      <c r="S17" s="564">
        <v>0</v>
      </c>
      <c r="T17" s="564">
        <v>0</v>
      </c>
      <c r="U17" s="564">
        <v>0</v>
      </c>
      <c r="V17" s="564">
        <v>0</v>
      </c>
      <c r="W17" s="564">
        <v>0</v>
      </c>
      <c r="X17" s="564">
        <v>0</v>
      </c>
      <c r="Z17" s="655" cm="1">
        <f t="array" ref="Z17">INDEX(H17:X17,1,$B$30)</f>
        <v>0</v>
      </c>
      <c r="AH17">
        <v>0</v>
      </c>
      <c r="AI17">
        <v>0</v>
      </c>
      <c r="AJ17">
        <v>1.8264840182648401E-3</v>
      </c>
      <c r="AK17">
        <v>1.906392694063927E-2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2:44" x14ac:dyDescent="0.15">
      <c r="B18" t="str" cm="1">
        <f t="array" ref="B18">INDEX('KirjastoC (kaupungit)'!$D$4:$K$23,12,'KirjastoC (kaupungit)'!$B$4)</f>
        <v>Gdansk</v>
      </c>
      <c r="G18" s="565">
        <v>-26</v>
      </c>
      <c r="H18" s="564">
        <v>0</v>
      </c>
      <c r="I18" s="564">
        <v>3.4246575342465754E-4</v>
      </c>
      <c r="J18" s="564">
        <v>2.625570776255708E-3</v>
      </c>
      <c r="K18" s="564">
        <v>2.2488584474885845E-2</v>
      </c>
      <c r="L18" s="564">
        <v>0</v>
      </c>
      <c r="M18" s="564">
        <v>0</v>
      </c>
      <c r="N18" s="564">
        <v>0</v>
      </c>
      <c r="O18" s="564">
        <v>0</v>
      </c>
      <c r="P18" s="564">
        <v>0</v>
      </c>
      <c r="Q18" s="564">
        <v>0</v>
      </c>
      <c r="R18" s="564">
        <v>0</v>
      </c>
      <c r="S18" s="564">
        <v>0</v>
      </c>
      <c r="T18" s="564">
        <v>0</v>
      </c>
      <c r="U18" s="564">
        <v>0</v>
      </c>
      <c r="V18" s="564">
        <v>0</v>
      </c>
      <c r="W18" s="564">
        <v>0</v>
      </c>
      <c r="X18" s="564">
        <v>0</v>
      </c>
      <c r="Z18" s="655" cm="1">
        <f t="array" ref="Z18">INDEX(H18:X18,1,$B$30)</f>
        <v>0</v>
      </c>
      <c r="AH18">
        <v>0</v>
      </c>
      <c r="AI18">
        <v>3.4246575342465754E-4</v>
      </c>
      <c r="AJ18">
        <v>2.625570776255708E-3</v>
      </c>
      <c r="AK18">
        <v>2.2488584474885845E-2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2:44" x14ac:dyDescent="0.15">
      <c r="B19" t="str" cm="1">
        <f t="array" ref="B19">INDEX('KirjastoC (kaupungit)'!$D$4:$K$23,13,'KirjastoC (kaupungit)'!$B$4)</f>
        <v>Reykjavík</v>
      </c>
      <c r="G19" s="565">
        <v>-25</v>
      </c>
      <c r="H19" s="564">
        <v>0</v>
      </c>
      <c r="I19" s="564">
        <v>9.1324200913242006E-4</v>
      </c>
      <c r="J19" s="564">
        <v>3.8812785388127853E-3</v>
      </c>
      <c r="K19" s="564">
        <v>2.7397260273972601E-2</v>
      </c>
      <c r="L19" s="564">
        <v>0</v>
      </c>
      <c r="M19" s="564">
        <v>0</v>
      </c>
      <c r="N19" s="564">
        <v>0</v>
      </c>
      <c r="O19" s="564">
        <v>0</v>
      </c>
      <c r="P19" s="564">
        <v>0</v>
      </c>
      <c r="Q19" s="564">
        <v>0</v>
      </c>
      <c r="R19" s="564">
        <v>0</v>
      </c>
      <c r="S19" s="564">
        <v>0</v>
      </c>
      <c r="T19" s="564">
        <v>0</v>
      </c>
      <c r="U19" s="564">
        <v>0</v>
      </c>
      <c r="V19" s="564">
        <v>0</v>
      </c>
      <c r="W19" s="564">
        <v>0</v>
      </c>
      <c r="X19" s="564">
        <v>0</v>
      </c>
      <c r="Z19" s="655" cm="1">
        <f t="array" ref="Z19">INDEX(H19:X19,1,$B$30)</f>
        <v>0</v>
      </c>
      <c r="AH19">
        <v>0</v>
      </c>
      <c r="AI19">
        <v>9.1324200913242006E-4</v>
      </c>
      <c r="AJ19">
        <v>3.8812785388127853E-3</v>
      </c>
      <c r="AK19">
        <v>2.7397260273972601E-2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2:44" x14ac:dyDescent="0.15">
      <c r="B20" t="str" cm="1">
        <f t="array" ref="B20">INDEX('KirjastoC (kaupungit)'!$D$4:$K$23,14,'KirjastoC (kaupungit)'!$B$4)</f>
        <v>Bukarest</v>
      </c>
      <c r="G20" s="565">
        <v>-24</v>
      </c>
      <c r="H20" s="564">
        <v>1.1415525114155251E-4</v>
      </c>
      <c r="I20" s="564">
        <v>1.3698630136986301E-3</v>
      </c>
      <c r="J20" s="564">
        <v>5.8219178082191785E-3</v>
      </c>
      <c r="K20" s="564">
        <v>3.093607305936073E-2</v>
      </c>
      <c r="L20" s="564">
        <v>0</v>
      </c>
      <c r="M20" s="564">
        <v>0</v>
      </c>
      <c r="N20" s="564">
        <v>0</v>
      </c>
      <c r="O20" s="564">
        <v>0</v>
      </c>
      <c r="P20" s="564">
        <v>1.1415525114155251E-4</v>
      </c>
      <c r="Q20" s="564">
        <v>0</v>
      </c>
      <c r="R20" s="564">
        <v>0</v>
      </c>
      <c r="S20" s="564">
        <v>0</v>
      </c>
      <c r="T20" s="564">
        <v>0</v>
      </c>
      <c r="U20" s="564">
        <v>0</v>
      </c>
      <c r="V20" s="564">
        <v>0</v>
      </c>
      <c r="W20" s="564">
        <v>0</v>
      </c>
      <c r="X20" s="564">
        <v>0</v>
      </c>
      <c r="Z20" s="655" cm="1">
        <f t="array" ref="Z20">INDEX(H20:X20,1,$B$30)</f>
        <v>1.1415525114155251E-4</v>
      </c>
      <c r="AH20">
        <v>1.1415525114155251E-4</v>
      </c>
      <c r="AI20">
        <v>1.3698630136986301E-3</v>
      </c>
      <c r="AJ20">
        <v>5.8219178082191785E-3</v>
      </c>
      <c r="AK20">
        <v>3.093607305936073E-2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2:44" x14ac:dyDescent="0.15">
      <c r="B21" t="str" cm="1">
        <f t="array" ref="B21">INDEX('KirjastoC (kaupungit)'!$D$4:$K$23,15,'KirjastoC (kaupungit)'!$B$4)</f>
        <v>Oslo</v>
      </c>
      <c r="G21" s="565">
        <v>-23</v>
      </c>
      <c r="H21" s="564">
        <v>3.4246575342465754E-4</v>
      </c>
      <c r="I21" s="564">
        <v>2.3972602739726029E-3</v>
      </c>
      <c r="J21" s="564">
        <v>7.3059360730593605E-3</v>
      </c>
      <c r="K21" s="564">
        <v>3.4018264840182645E-2</v>
      </c>
      <c r="L21" s="564">
        <v>0</v>
      </c>
      <c r="M21" s="564">
        <v>0</v>
      </c>
      <c r="N21" s="564">
        <v>0</v>
      </c>
      <c r="O21" s="564">
        <v>0</v>
      </c>
      <c r="P21" s="564">
        <v>1.1415525114155251E-3</v>
      </c>
      <c r="Q21" s="564">
        <v>0</v>
      </c>
      <c r="R21" s="564">
        <v>0</v>
      </c>
      <c r="S21" s="564">
        <v>0</v>
      </c>
      <c r="T21" s="564">
        <v>0</v>
      </c>
      <c r="U21" s="564">
        <v>0</v>
      </c>
      <c r="V21" s="564">
        <v>0</v>
      </c>
      <c r="W21" s="564">
        <v>0</v>
      </c>
      <c r="X21" s="564">
        <v>0</v>
      </c>
      <c r="Z21" s="655" cm="1">
        <f t="array" ref="Z21">INDEX(H21:X21,1,$B$30)</f>
        <v>3.4246575342465754E-4</v>
      </c>
      <c r="AH21">
        <v>3.4246575342465754E-4</v>
      </c>
      <c r="AI21">
        <v>2.3972602739726029E-3</v>
      </c>
      <c r="AJ21">
        <v>7.3059360730593605E-3</v>
      </c>
      <c r="AK21">
        <v>3.4018264840182645E-2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2:44" x14ac:dyDescent="0.15">
      <c r="B22" t="str" cm="1">
        <f t="array" ref="B22">INDEX('KirjastoC (kaupungit)'!$D$4:$K$23,16,'KirjastoC (kaupungit)'!$B$4)</f>
        <v>Kööpenhamina</v>
      </c>
      <c r="G22" s="565">
        <v>-22</v>
      </c>
      <c r="H22" s="564">
        <v>5.7077625570776253E-4</v>
      </c>
      <c r="I22" s="564">
        <v>2.9680365296803654E-3</v>
      </c>
      <c r="J22" s="564">
        <v>8.3333333333333332E-3</v>
      </c>
      <c r="K22" s="564">
        <v>4.1095890410958902E-2</v>
      </c>
      <c r="L22" s="564">
        <v>0</v>
      </c>
      <c r="M22" s="564">
        <v>0</v>
      </c>
      <c r="N22" s="564">
        <v>0</v>
      </c>
      <c r="O22" s="564">
        <v>0</v>
      </c>
      <c r="P22" s="564">
        <v>2.2831050228310501E-3</v>
      </c>
      <c r="Q22" s="564">
        <v>0</v>
      </c>
      <c r="R22" s="564">
        <v>0</v>
      </c>
      <c r="S22" s="564">
        <v>0</v>
      </c>
      <c r="T22" s="564">
        <v>0</v>
      </c>
      <c r="U22" s="564">
        <v>0</v>
      </c>
      <c r="V22" s="564">
        <v>0</v>
      </c>
      <c r="W22" s="564">
        <v>0</v>
      </c>
      <c r="X22" s="564">
        <v>0</v>
      </c>
      <c r="Z22" s="655" cm="1">
        <f t="array" ref="Z22">INDEX(H22:X22,1,$B$30)</f>
        <v>5.7077625570776253E-4</v>
      </c>
      <c r="AH22">
        <v>5.7077625570776253E-4</v>
      </c>
      <c r="AI22">
        <v>2.9680365296803654E-3</v>
      </c>
      <c r="AJ22">
        <v>8.3333333333333332E-3</v>
      </c>
      <c r="AK22">
        <v>4.1095890410958902E-2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2:44" x14ac:dyDescent="0.15">
      <c r="B23" t="str" cm="1">
        <f t="array" ref="B23">INDEX('KirjastoC (kaupungit)'!$D$4:$K$23,17,'KirjastoC (kaupungit)'!$B$4)</f>
        <v>Berliini</v>
      </c>
      <c r="G23" s="565">
        <v>-21</v>
      </c>
      <c r="H23" s="564">
        <v>1.1415525114155251E-3</v>
      </c>
      <c r="I23" s="564">
        <v>4.5662100456621002E-3</v>
      </c>
      <c r="J23" s="564">
        <v>1.0616438356164383E-2</v>
      </c>
      <c r="K23" s="564">
        <v>4.8059360730593609E-2</v>
      </c>
      <c r="L23" s="564">
        <v>0</v>
      </c>
      <c r="M23" s="564">
        <v>0</v>
      </c>
      <c r="N23" s="564">
        <v>0</v>
      </c>
      <c r="O23" s="564">
        <v>0</v>
      </c>
      <c r="P23" s="564">
        <v>3.3105022831050228E-3</v>
      </c>
      <c r="Q23" s="564">
        <v>0</v>
      </c>
      <c r="R23" s="564">
        <v>0</v>
      </c>
      <c r="S23" s="564">
        <v>0</v>
      </c>
      <c r="T23" s="564">
        <v>0</v>
      </c>
      <c r="U23" s="564">
        <v>0</v>
      </c>
      <c r="V23" s="564">
        <v>0</v>
      </c>
      <c r="W23" s="564">
        <v>0</v>
      </c>
      <c r="X23" s="564">
        <v>0</v>
      </c>
      <c r="Z23" s="655" cm="1">
        <f t="array" ref="Z23">INDEX(H23:X23,1,$B$30)</f>
        <v>1.1415525114155251E-3</v>
      </c>
      <c r="AH23">
        <v>1.1415525114155251E-3</v>
      </c>
      <c r="AI23">
        <v>4.5662100456621002E-3</v>
      </c>
      <c r="AJ23">
        <v>1.0616438356164383E-2</v>
      </c>
      <c r="AK23">
        <v>4.8059360730593609E-2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2:44" x14ac:dyDescent="0.15">
      <c r="G24" s="565">
        <v>-20</v>
      </c>
      <c r="H24" s="564">
        <v>2.8538812785388126E-3</v>
      </c>
      <c r="I24" s="564">
        <v>5.8219178082191785E-3</v>
      </c>
      <c r="J24" s="564">
        <v>1.2671232876712329E-2</v>
      </c>
      <c r="K24" s="564">
        <v>5.5251141552511415E-2</v>
      </c>
      <c r="L24" s="564">
        <v>0</v>
      </c>
      <c r="M24" s="564">
        <v>0</v>
      </c>
      <c r="N24" s="564">
        <v>0</v>
      </c>
      <c r="O24" s="564">
        <v>0</v>
      </c>
      <c r="P24" s="564">
        <v>5.5936073059360729E-3</v>
      </c>
      <c r="Q24" s="564">
        <v>0</v>
      </c>
      <c r="R24" s="564">
        <v>0</v>
      </c>
      <c r="S24" s="564">
        <v>0</v>
      </c>
      <c r="T24" s="564">
        <v>0</v>
      </c>
      <c r="U24" s="564">
        <v>0</v>
      </c>
      <c r="V24" s="564">
        <v>0</v>
      </c>
      <c r="W24" s="564">
        <v>0</v>
      </c>
      <c r="X24" s="564">
        <v>0</v>
      </c>
      <c r="Z24" s="655" cm="1">
        <f t="array" ref="Z24">INDEX(H24:X24,1,$B$30)</f>
        <v>2.8538812785388126E-3</v>
      </c>
      <c r="AH24">
        <v>2.8538812785388126E-3</v>
      </c>
      <c r="AI24">
        <v>5.8219178082191785E-3</v>
      </c>
      <c r="AJ24">
        <v>1.2671232876712329E-2</v>
      </c>
      <c r="AK24">
        <v>5.5251141552511415E-2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2:44" x14ac:dyDescent="0.15">
      <c r="G25" s="565">
        <v>-19</v>
      </c>
      <c r="H25" s="564">
        <v>5.3652968036529683E-3</v>
      </c>
      <c r="I25" s="564">
        <v>7.7625570776255707E-3</v>
      </c>
      <c r="J25" s="564">
        <v>1.6552511415525113E-2</v>
      </c>
      <c r="K25" s="564">
        <v>6.2557077625570778E-2</v>
      </c>
      <c r="L25" s="564">
        <v>0</v>
      </c>
      <c r="M25" s="564">
        <v>0</v>
      </c>
      <c r="N25" s="564">
        <v>0</v>
      </c>
      <c r="O25" s="564">
        <v>3.4246575342465754E-4</v>
      </c>
      <c r="P25" s="564">
        <v>6.392694063926941E-3</v>
      </c>
      <c r="Q25" s="564">
        <v>0</v>
      </c>
      <c r="R25" s="564">
        <v>0</v>
      </c>
      <c r="S25" s="564">
        <v>0</v>
      </c>
      <c r="T25" s="564">
        <v>0</v>
      </c>
      <c r="U25" s="564">
        <v>0</v>
      </c>
      <c r="V25" s="564">
        <v>0</v>
      </c>
      <c r="W25" s="564">
        <v>0</v>
      </c>
      <c r="X25" s="564">
        <v>0</v>
      </c>
      <c r="Z25" s="655" cm="1">
        <f t="array" ref="Z25">INDEX(H25:X25,1,$B$30)</f>
        <v>5.3652968036529683E-3</v>
      </c>
      <c r="AH25">
        <v>5.3652968036529683E-3</v>
      </c>
      <c r="AI25">
        <v>7.7625570776255707E-3</v>
      </c>
      <c r="AJ25">
        <v>1.6552511415525113E-2</v>
      </c>
      <c r="AK25">
        <v>6.2557077625570778E-2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2:44" x14ac:dyDescent="0.15">
      <c r="G26" s="565">
        <v>-18</v>
      </c>
      <c r="H26" s="564">
        <v>7.0776255707762558E-3</v>
      </c>
      <c r="I26" s="564">
        <v>1.0045662100456621E-2</v>
      </c>
      <c r="J26" s="564">
        <v>1.8949771689497717E-2</v>
      </c>
      <c r="K26" s="564">
        <v>6.803652968036529E-2</v>
      </c>
      <c r="L26" s="564">
        <v>0</v>
      </c>
      <c r="M26" s="564">
        <v>0</v>
      </c>
      <c r="N26" s="564">
        <v>0</v>
      </c>
      <c r="O26" s="564">
        <v>2.5114155251141552E-3</v>
      </c>
      <c r="P26" s="564">
        <v>7.0776255707762558E-3</v>
      </c>
      <c r="Q26" s="564">
        <v>3.4246575342465754E-4</v>
      </c>
      <c r="R26" s="564">
        <v>0</v>
      </c>
      <c r="S26" s="564">
        <v>0</v>
      </c>
      <c r="T26" s="564">
        <v>0</v>
      </c>
      <c r="U26" s="564">
        <v>0</v>
      </c>
      <c r="V26" s="564">
        <v>4.5662100456621003E-4</v>
      </c>
      <c r="W26" s="564">
        <v>0</v>
      </c>
      <c r="X26" s="564">
        <v>0</v>
      </c>
      <c r="Z26" s="655" cm="1">
        <f t="array" ref="Z26">INDEX(H26:X26,1,$B$30)</f>
        <v>7.0776255707762558E-3</v>
      </c>
      <c r="AH26">
        <v>7.0776255707762558E-3</v>
      </c>
      <c r="AI26">
        <v>1.0045662100456621E-2</v>
      </c>
      <c r="AJ26">
        <v>1.8949771689497717E-2</v>
      </c>
      <c r="AK26">
        <v>6.803652968036529E-2</v>
      </c>
      <c r="AL26">
        <v>0</v>
      </c>
      <c r="AM26">
        <v>4.5662100456621003E-4</v>
      </c>
      <c r="AN26">
        <v>0</v>
      </c>
      <c r="AO26">
        <v>3.4246575342465754E-4</v>
      </c>
      <c r="AP26">
        <v>0</v>
      </c>
      <c r="AQ26">
        <v>0</v>
      </c>
      <c r="AR26">
        <v>0</v>
      </c>
    </row>
    <row r="27" spans="2:44" x14ac:dyDescent="0.15">
      <c r="B27">
        <v>1</v>
      </c>
      <c r="C27" t="s">
        <v>1182</v>
      </c>
      <c r="G27" s="565">
        <v>-17</v>
      </c>
      <c r="H27" s="564">
        <v>9.2465753424657536E-3</v>
      </c>
      <c r="I27" s="564">
        <v>1.3127853881278538E-2</v>
      </c>
      <c r="J27" s="564">
        <v>2.3287671232876714E-2</v>
      </c>
      <c r="K27" s="564">
        <v>7.4543378995433784E-2</v>
      </c>
      <c r="L27" s="564">
        <v>0</v>
      </c>
      <c r="M27" s="564">
        <v>0</v>
      </c>
      <c r="N27" s="564">
        <v>2.2831050228310502E-4</v>
      </c>
      <c r="O27" s="564">
        <v>3.6529680365296802E-3</v>
      </c>
      <c r="P27" s="564">
        <v>7.9908675799086754E-3</v>
      </c>
      <c r="Q27" s="564">
        <v>1.0273972602739725E-3</v>
      </c>
      <c r="R27" s="564">
        <v>1.1415525114155251E-4</v>
      </c>
      <c r="S27" s="564">
        <v>0</v>
      </c>
      <c r="T27" s="564">
        <v>0</v>
      </c>
      <c r="U27" s="564">
        <v>0</v>
      </c>
      <c r="V27" s="564">
        <v>1.8264840182648401E-3</v>
      </c>
      <c r="W27" s="564">
        <v>0</v>
      </c>
      <c r="X27" s="564">
        <v>0</v>
      </c>
      <c r="Z27" s="655" cm="1">
        <f t="array" ref="Z27">INDEX(H27:X27,1,$B$30)</f>
        <v>9.2465753424657536E-3</v>
      </c>
      <c r="AH27">
        <v>9.2465753424657536E-3</v>
      </c>
      <c r="AI27">
        <v>1.3127853881278538E-2</v>
      </c>
      <c r="AJ27">
        <v>2.3287671232876714E-2</v>
      </c>
      <c r="AK27">
        <v>7.4543378995433784E-2</v>
      </c>
      <c r="AL27">
        <v>2.2831050228310502E-4</v>
      </c>
      <c r="AM27">
        <v>1.8264840182648401E-3</v>
      </c>
      <c r="AN27">
        <v>0</v>
      </c>
      <c r="AO27">
        <v>1.0273972602739725E-3</v>
      </c>
      <c r="AP27">
        <v>0</v>
      </c>
      <c r="AQ27">
        <v>0</v>
      </c>
      <c r="AR27">
        <v>0</v>
      </c>
    </row>
    <row r="28" spans="2:44" x14ac:dyDescent="0.15">
      <c r="B28" s="278">
        <f>IF(AND(B2,B27&gt;E2),E2,B27)</f>
        <v>1</v>
      </c>
      <c r="C28" t="s">
        <v>1183</v>
      </c>
      <c r="G28" s="565">
        <v>-16</v>
      </c>
      <c r="H28" s="564">
        <v>1.1872146118721462E-2</v>
      </c>
      <c r="I28" s="564">
        <v>1.8264840182648401E-2</v>
      </c>
      <c r="J28" s="564">
        <v>2.8538812785388126E-2</v>
      </c>
      <c r="K28" s="564">
        <v>8.1621004566210048E-2</v>
      </c>
      <c r="L28" s="564">
        <v>0</v>
      </c>
      <c r="M28" s="564">
        <v>2.2831050228310502E-4</v>
      </c>
      <c r="N28" s="564">
        <v>1.2557077625570776E-3</v>
      </c>
      <c r="O28" s="564">
        <v>9.8173515981735161E-3</v>
      </c>
      <c r="P28" s="564">
        <v>1.1301369863013699E-2</v>
      </c>
      <c r="Q28" s="564">
        <v>2.054794520547945E-3</v>
      </c>
      <c r="R28" s="564">
        <v>1.8264840182648401E-3</v>
      </c>
      <c r="S28" s="564">
        <v>0</v>
      </c>
      <c r="T28" s="564">
        <v>0</v>
      </c>
      <c r="U28" s="564">
        <v>0</v>
      </c>
      <c r="V28" s="564">
        <v>3.767123287671233E-3</v>
      </c>
      <c r="W28" s="564">
        <v>0</v>
      </c>
      <c r="X28" s="564">
        <v>0</v>
      </c>
      <c r="Z28" s="655" cm="1">
        <f t="array" ref="Z28">INDEX(H28:X28,1,$B$30)</f>
        <v>1.1872146118721462E-2</v>
      </c>
      <c r="AH28">
        <v>1.1872146118721462E-2</v>
      </c>
      <c r="AI28">
        <v>1.8264840182648401E-2</v>
      </c>
      <c r="AJ28">
        <v>2.8538812785388126E-2</v>
      </c>
      <c r="AK28">
        <v>8.1621004566210048E-2</v>
      </c>
      <c r="AL28">
        <v>1.2557077625570776E-3</v>
      </c>
      <c r="AM28">
        <v>3.767123287671233E-3</v>
      </c>
      <c r="AN28">
        <v>0</v>
      </c>
      <c r="AO28">
        <v>2.054794520547945E-3</v>
      </c>
      <c r="AP28">
        <v>0</v>
      </c>
      <c r="AQ28">
        <v>0</v>
      </c>
      <c r="AR28">
        <v>0</v>
      </c>
    </row>
    <row r="29" spans="2:44" x14ac:dyDescent="0.15">
      <c r="G29" s="565">
        <v>-15</v>
      </c>
      <c r="H29" s="564">
        <v>1.632420091324201E-2</v>
      </c>
      <c r="I29" s="564">
        <v>2.3287671232876714E-2</v>
      </c>
      <c r="J29" s="564">
        <v>3.5844748858447489E-2</v>
      </c>
      <c r="K29" s="564">
        <v>9.0981735159817348E-2</v>
      </c>
      <c r="L29" s="564">
        <v>0</v>
      </c>
      <c r="M29" s="564">
        <v>2.1689497716894978E-3</v>
      </c>
      <c r="N29" s="564">
        <v>4.7945205479452057E-3</v>
      </c>
      <c r="O29" s="564">
        <v>1.2442922374429224E-2</v>
      </c>
      <c r="P29" s="564">
        <v>1.3470319634703196E-2</v>
      </c>
      <c r="Q29" s="564">
        <v>3.767123287671233E-3</v>
      </c>
      <c r="R29" s="564">
        <v>3.4246575342465752E-3</v>
      </c>
      <c r="S29" s="564">
        <v>0</v>
      </c>
      <c r="T29" s="564">
        <v>0</v>
      </c>
      <c r="U29" s="564">
        <v>0</v>
      </c>
      <c r="V29" s="564">
        <v>6.392694063926941E-3</v>
      </c>
      <c r="W29" s="564">
        <v>0</v>
      </c>
      <c r="X29" s="564">
        <v>1.1415525114155251E-4</v>
      </c>
      <c r="Z29" s="655" cm="1">
        <f t="array" ref="Z29">INDEX(H29:X29,1,$B$30)</f>
        <v>1.632420091324201E-2</v>
      </c>
      <c r="AH29">
        <v>1.632420091324201E-2</v>
      </c>
      <c r="AI29">
        <v>2.3287671232876714E-2</v>
      </c>
      <c r="AJ29">
        <v>3.5844748858447489E-2</v>
      </c>
      <c r="AK29">
        <v>9.0981735159817348E-2</v>
      </c>
      <c r="AL29">
        <v>4.7945205479452057E-3</v>
      </c>
      <c r="AM29">
        <v>6.392694063926941E-3</v>
      </c>
      <c r="AN29">
        <v>0</v>
      </c>
      <c r="AO29">
        <v>3.767123287671233E-3</v>
      </c>
      <c r="AP29">
        <v>1.1415525114155251E-4</v>
      </c>
      <c r="AQ29">
        <v>0</v>
      </c>
      <c r="AR29">
        <v>0</v>
      </c>
    </row>
    <row r="30" spans="2:44" x14ac:dyDescent="0.15">
      <c r="B30">
        <f>IF($B$2,B28,B28+D3)</f>
        <v>1</v>
      </c>
      <c r="C30" t="s">
        <v>1184</v>
      </c>
      <c r="G30" s="565">
        <v>-14</v>
      </c>
      <c r="H30" s="564">
        <v>2.1917808219178082E-2</v>
      </c>
      <c r="I30" s="564">
        <v>2.9794520547945205E-2</v>
      </c>
      <c r="J30" s="564">
        <v>4.3493150684931509E-2</v>
      </c>
      <c r="K30" s="564">
        <v>0.10422374429223745</v>
      </c>
      <c r="L30" s="564">
        <v>0</v>
      </c>
      <c r="M30" s="564">
        <v>2.5114155251141552E-3</v>
      </c>
      <c r="N30" s="564">
        <v>6.8493150684931503E-3</v>
      </c>
      <c r="O30" s="564">
        <v>1.3926940639269407E-2</v>
      </c>
      <c r="P30" s="564">
        <v>1.5639269406392695E-2</v>
      </c>
      <c r="Q30" s="564">
        <v>4.7945205479452057E-3</v>
      </c>
      <c r="R30" s="564">
        <v>4.4520547945205479E-3</v>
      </c>
      <c r="S30" s="564">
        <v>0</v>
      </c>
      <c r="T30" s="564">
        <v>0</v>
      </c>
      <c r="U30" s="564">
        <v>0</v>
      </c>
      <c r="V30" s="564">
        <v>7.4200913242009128E-3</v>
      </c>
      <c r="W30" s="564">
        <v>0</v>
      </c>
      <c r="X30" s="564">
        <v>6.8493150684931507E-4</v>
      </c>
      <c r="Z30" s="655" cm="1">
        <f t="array" ref="Z30">INDEX(H30:X30,1,$B$30)</f>
        <v>2.1917808219178082E-2</v>
      </c>
      <c r="AH30">
        <v>2.1917808219178082E-2</v>
      </c>
      <c r="AI30">
        <v>2.9794520547945205E-2</v>
      </c>
      <c r="AJ30">
        <v>4.3493150684931509E-2</v>
      </c>
      <c r="AK30">
        <v>0.10422374429223745</v>
      </c>
      <c r="AL30">
        <v>6.8493150684931503E-3</v>
      </c>
      <c r="AM30">
        <v>7.4200913242009128E-3</v>
      </c>
      <c r="AN30">
        <v>0</v>
      </c>
      <c r="AO30">
        <v>4.7945205479452057E-3</v>
      </c>
      <c r="AP30">
        <v>6.8493150684931507E-4</v>
      </c>
      <c r="AQ30">
        <v>0</v>
      </c>
      <c r="AR30">
        <v>0</v>
      </c>
    </row>
    <row r="31" spans="2:44" x14ac:dyDescent="0.15">
      <c r="B31" t="str" cm="1">
        <f t="array" ref="B31">INDEX(H3:X3,1,B30)</f>
        <v>I (Vantaa)</v>
      </c>
      <c r="C31" t="s">
        <v>1185</v>
      </c>
      <c r="G31" s="565">
        <v>-13</v>
      </c>
      <c r="H31" s="564">
        <v>2.8652968036529679E-2</v>
      </c>
      <c r="I31" s="564">
        <v>3.6529680365296802E-2</v>
      </c>
      <c r="J31" s="564">
        <v>5.1598173515981734E-2</v>
      </c>
      <c r="K31" s="564">
        <v>0.11746575342465754</v>
      </c>
      <c r="L31" s="564">
        <v>0</v>
      </c>
      <c r="M31" s="564">
        <v>3.5388127853881279E-3</v>
      </c>
      <c r="N31" s="564">
        <v>1.2557077625570776E-2</v>
      </c>
      <c r="O31" s="564">
        <v>1.6210045662100457E-2</v>
      </c>
      <c r="P31" s="564">
        <v>2.0205479452054795E-2</v>
      </c>
      <c r="Q31" s="564">
        <v>6.735159817351598E-3</v>
      </c>
      <c r="R31" s="564">
        <v>7.534246575342466E-3</v>
      </c>
      <c r="S31" s="564">
        <v>0</v>
      </c>
      <c r="T31" s="564">
        <v>0</v>
      </c>
      <c r="U31" s="564">
        <v>6.8493150684931507E-4</v>
      </c>
      <c r="V31" s="564">
        <v>1.1301369863013699E-2</v>
      </c>
      <c r="W31" s="564">
        <v>0</v>
      </c>
      <c r="X31" s="564">
        <v>1.5981735159817352E-3</v>
      </c>
      <c r="Z31" s="655" cm="1">
        <f t="array" ref="Z31">INDEX(H31:X31,1,$B$30)</f>
        <v>2.8652968036529679E-2</v>
      </c>
      <c r="AH31">
        <v>2.8652968036529679E-2</v>
      </c>
      <c r="AI31">
        <v>3.6529680365296802E-2</v>
      </c>
      <c r="AJ31">
        <v>5.1598173515981734E-2</v>
      </c>
      <c r="AK31">
        <v>0.11746575342465754</v>
      </c>
      <c r="AL31">
        <v>1.2557077625570776E-2</v>
      </c>
      <c r="AM31">
        <v>1.1301369863013699E-2</v>
      </c>
      <c r="AN31">
        <v>0</v>
      </c>
      <c r="AO31">
        <v>6.735159817351598E-3</v>
      </c>
      <c r="AP31">
        <v>1.5981735159817352E-3</v>
      </c>
      <c r="AQ31">
        <v>0</v>
      </c>
      <c r="AR31">
        <v>6.8493150684931507E-4</v>
      </c>
    </row>
    <row r="32" spans="2:44" x14ac:dyDescent="0.15">
      <c r="G32" s="565">
        <v>-12</v>
      </c>
      <c r="H32" s="564">
        <v>3.4589041095890408E-2</v>
      </c>
      <c r="I32" s="564">
        <v>4.1324200913242008E-2</v>
      </c>
      <c r="J32" s="564">
        <v>6.095890410958904E-2</v>
      </c>
      <c r="K32" s="564">
        <v>0.13344748858447489</v>
      </c>
      <c r="L32" s="564">
        <v>3.4246575342465754E-4</v>
      </c>
      <c r="M32" s="564">
        <v>7.3059360730593605E-3</v>
      </c>
      <c r="N32" s="564">
        <v>1.9748858447488585E-2</v>
      </c>
      <c r="O32" s="564">
        <v>1.9863013698630139E-2</v>
      </c>
      <c r="P32" s="564">
        <v>2.8995433789954339E-2</v>
      </c>
      <c r="Q32" s="564">
        <v>9.7031963470319629E-3</v>
      </c>
      <c r="R32" s="564">
        <v>1.0159817351598174E-2</v>
      </c>
      <c r="S32" s="564">
        <v>3.4246575342465754E-4</v>
      </c>
      <c r="T32" s="564">
        <v>0</v>
      </c>
      <c r="U32" s="564">
        <v>5.0228310502283104E-3</v>
      </c>
      <c r="V32" s="564">
        <v>1.4041095890410958E-2</v>
      </c>
      <c r="W32" s="564">
        <v>0</v>
      </c>
      <c r="X32" s="564">
        <v>3.767123287671233E-3</v>
      </c>
      <c r="Z32" s="655" cm="1">
        <f t="array" ref="Z32">INDEX(H32:X32,1,$B$30)</f>
        <v>3.4589041095890408E-2</v>
      </c>
      <c r="AH32">
        <v>3.4589041095890408E-2</v>
      </c>
      <c r="AI32">
        <v>4.1324200913242008E-2</v>
      </c>
      <c r="AJ32">
        <v>6.095890410958904E-2</v>
      </c>
      <c r="AK32">
        <v>0.13344748858447489</v>
      </c>
      <c r="AL32">
        <v>1.9748858447488585E-2</v>
      </c>
      <c r="AM32">
        <v>1.4041095890410958E-2</v>
      </c>
      <c r="AN32">
        <v>0</v>
      </c>
      <c r="AO32">
        <v>9.7031963470319629E-3</v>
      </c>
      <c r="AP32">
        <v>3.767123287671233E-3</v>
      </c>
      <c r="AQ32">
        <v>0</v>
      </c>
      <c r="AR32">
        <v>5.0228310502283104E-3</v>
      </c>
    </row>
    <row r="33" spans="7:44" x14ac:dyDescent="0.15">
      <c r="G33" s="565">
        <v>-11</v>
      </c>
      <c r="H33" s="564">
        <v>4.0639269406392696E-2</v>
      </c>
      <c r="I33" s="564">
        <v>4.8401826484018265E-2</v>
      </c>
      <c r="J33" s="564">
        <v>7.1575342465753422E-2</v>
      </c>
      <c r="K33" s="564">
        <v>0.15136986301369862</v>
      </c>
      <c r="L33" s="564">
        <v>1.3698630136986301E-3</v>
      </c>
      <c r="M33" s="564">
        <v>1.2671232876712329E-2</v>
      </c>
      <c r="N33" s="564">
        <v>2.9223744292237442E-2</v>
      </c>
      <c r="O33" s="564">
        <v>2.9109589041095889E-2</v>
      </c>
      <c r="P33" s="564">
        <v>3.6073059360730596E-2</v>
      </c>
      <c r="Q33" s="564">
        <v>1.3356164383561644E-2</v>
      </c>
      <c r="R33" s="564">
        <v>1.3812785388127854E-2</v>
      </c>
      <c r="S33" s="564">
        <v>1.3698630136986301E-3</v>
      </c>
      <c r="T33" s="564">
        <v>1.2557077625570776E-3</v>
      </c>
      <c r="U33" s="564">
        <v>1.0273972602739725E-2</v>
      </c>
      <c r="V33" s="564">
        <v>1.872146118721461E-2</v>
      </c>
      <c r="W33" s="564">
        <v>0</v>
      </c>
      <c r="X33" s="564">
        <v>5.4794520547945206E-3</v>
      </c>
      <c r="Z33" s="655" cm="1">
        <f t="array" ref="Z33">INDEX(H33:X33,1,$B$30)</f>
        <v>4.0639269406392696E-2</v>
      </c>
      <c r="AH33">
        <v>4.0639269406392696E-2</v>
      </c>
      <c r="AI33">
        <v>4.8401826484018265E-2</v>
      </c>
      <c r="AJ33">
        <v>7.1575342465753422E-2</v>
      </c>
      <c r="AK33">
        <v>0.15136986301369862</v>
      </c>
      <c r="AL33">
        <v>2.9223744292237442E-2</v>
      </c>
      <c r="AM33">
        <v>1.872146118721461E-2</v>
      </c>
      <c r="AN33">
        <v>0</v>
      </c>
      <c r="AO33">
        <v>1.3356164383561644E-2</v>
      </c>
      <c r="AP33">
        <v>5.4794520547945206E-3</v>
      </c>
      <c r="AQ33">
        <v>1.2557077625570776E-3</v>
      </c>
      <c r="AR33">
        <v>1.0273972602739725E-2</v>
      </c>
    </row>
    <row r="34" spans="7:44" x14ac:dyDescent="0.15">
      <c r="G34" s="565">
        <v>-10</v>
      </c>
      <c r="H34" s="564">
        <v>4.6575342465753428E-2</v>
      </c>
      <c r="I34" s="564">
        <v>5.6963470319634703E-2</v>
      </c>
      <c r="J34" s="564">
        <v>8.3105022831050229E-2</v>
      </c>
      <c r="K34" s="564">
        <v>0.16860730593607307</v>
      </c>
      <c r="L34" s="564">
        <v>4.9086757990867581E-3</v>
      </c>
      <c r="M34" s="564">
        <v>1.5753424657534248E-2</v>
      </c>
      <c r="N34" s="564">
        <v>4.029680365296804E-2</v>
      </c>
      <c r="O34" s="564">
        <v>3.6415525114155252E-2</v>
      </c>
      <c r="P34" s="564">
        <v>4.5890410958904108E-2</v>
      </c>
      <c r="Q34" s="564">
        <v>1.8036529680365298E-2</v>
      </c>
      <c r="R34" s="564">
        <v>1.6552511415525113E-2</v>
      </c>
      <c r="S34" s="564">
        <v>4.9086757990867581E-3</v>
      </c>
      <c r="T34" s="564">
        <v>3.6529680365296802E-3</v>
      </c>
      <c r="U34" s="564">
        <v>1.3584474885844749E-2</v>
      </c>
      <c r="V34" s="564">
        <v>2.1232876712328767E-2</v>
      </c>
      <c r="W34" s="564">
        <v>2.5114155251141552E-3</v>
      </c>
      <c r="X34" s="564">
        <v>8.1050228310502286E-3</v>
      </c>
      <c r="Z34" s="655" cm="1">
        <f t="array" ref="Z34">INDEX(H34:X34,1,$B$30)</f>
        <v>4.6575342465753428E-2</v>
      </c>
      <c r="AH34">
        <v>4.6575342465753428E-2</v>
      </c>
      <c r="AI34">
        <v>5.6963470319634703E-2</v>
      </c>
      <c r="AJ34">
        <v>8.3105022831050229E-2</v>
      </c>
      <c r="AK34">
        <v>0.16860730593607307</v>
      </c>
      <c r="AL34">
        <v>4.029680365296804E-2</v>
      </c>
      <c r="AM34">
        <v>2.1232876712328767E-2</v>
      </c>
      <c r="AN34">
        <v>2.5114155251141552E-3</v>
      </c>
      <c r="AO34">
        <v>1.8036529680365298E-2</v>
      </c>
      <c r="AP34">
        <v>8.1050228310502286E-3</v>
      </c>
      <c r="AQ34">
        <v>3.6529680365296802E-3</v>
      </c>
      <c r="AR34">
        <v>1.3584474885844749E-2</v>
      </c>
    </row>
    <row r="35" spans="7:44" x14ac:dyDescent="0.15">
      <c r="G35" s="565">
        <v>-9</v>
      </c>
      <c r="H35" s="564">
        <v>5.4680365296803653E-2</v>
      </c>
      <c r="I35" s="564">
        <v>6.7351598173515978E-2</v>
      </c>
      <c r="J35" s="564">
        <v>9.7945205479452055E-2</v>
      </c>
      <c r="K35" s="564">
        <v>0.18630136986301371</v>
      </c>
      <c r="L35" s="564">
        <v>6.735159817351598E-3</v>
      </c>
      <c r="M35" s="564">
        <v>1.7579908675799085E-2</v>
      </c>
      <c r="N35" s="564">
        <v>4.8744292237442921E-2</v>
      </c>
      <c r="O35" s="564">
        <v>3.9497716894977171E-2</v>
      </c>
      <c r="P35" s="564">
        <v>5.2054794520547946E-2</v>
      </c>
      <c r="Q35" s="564">
        <v>2.0547945205479451E-2</v>
      </c>
      <c r="R35" s="564">
        <v>1.872146118721461E-2</v>
      </c>
      <c r="S35" s="564">
        <v>6.735159817351598E-3</v>
      </c>
      <c r="T35" s="564">
        <v>4.7945205479452057E-3</v>
      </c>
      <c r="U35" s="564">
        <v>1.5068493150684932E-2</v>
      </c>
      <c r="V35" s="564">
        <v>2.3173515981735161E-2</v>
      </c>
      <c r="W35" s="564">
        <v>3.0821917808219177E-3</v>
      </c>
      <c r="X35" s="564">
        <v>9.2465753424657536E-3</v>
      </c>
      <c r="Z35" s="655" cm="1">
        <f t="array" ref="Z35">INDEX(H35:X35,1,$B$30)</f>
        <v>5.4680365296803653E-2</v>
      </c>
      <c r="AH35">
        <v>5.4680365296803653E-2</v>
      </c>
      <c r="AI35">
        <v>6.7351598173515978E-2</v>
      </c>
      <c r="AJ35">
        <v>9.7945205479452055E-2</v>
      </c>
      <c r="AK35">
        <v>0.18630136986301371</v>
      </c>
      <c r="AL35">
        <v>4.8744292237442921E-2</v>
      </c>
      <c r="AM35">
        <v>2.3173515981735161E-2</v>
      </c>
      <c r="AN35">
        <v>3.0821917808219177E-3</v>
      </c>
      <c r="AO35">
        <v>2.0547945205479451E-2</v>
      </c>
      <c r="AP35">
        <v>9.2465753424657536E-3</v>
      </c>
      <c r="AQ35">
        <v>4.7945205479452057E-3</v>
      </c>
      <c r="AR35">
        <v>1.5068493150684932E-2</v>
      </c>
    </row>
    <row r="36" spans="7:44" x14ac:dyDescent="0.15">
      <c r="G36" s="565">
        <v>-8</v>
      </c>
      <c r="H36" s="564">
        <v>6.3356164383561647E-2</v>
      </c>
      <c r="I36" s="564">
        <v>7.6255707762557079E-2</v>
      </c>
      <c r="J36" s="564">
        <v>0.11666666666666667</v>
      </c>
      <c r="K36" s="564">
        <v>0.20091324200913241</v>
      </c>
      <c r="L36" s="564">
        <v>9.1324200913242004E-3</v>
      </c>
      <c r="M36" s="564">
        <v>2.363013698630137E-2</v>
      </c>
      <c r="N36" s="564">
        <v>6.2557077625570778E-2</v>
      </c>
      <c r="O36" s="564">
        <v>4.8401826484018265E-2</v>
      </c>
      <c r="P36" s="564">
        <v>6.7009132420091322E-2</v>
      </c>
      <c r="Q36" s="564">
        <v>2.5228310502283104E-2</v>
      </c>
      <c r="R36" s="564">
        <v>2.5684931506849314E-2</v>
      </c>
      <c r="S36" s="564">
        <v>9.1324200913242004E-3</v>
      </c>
      <c r="T36" s="564">
        <v>9.0182648401826489E-3</v>
      </c>
      <c r="U36" s="564">
        <v>2.0319634703196348E-2</v>
      </c>
      <c r="V36" s="564">
        <v>3.0365296803652967E-2</v>
      </c>
      <c r="W36" s="564">
        <v>5.0228310502283104E-3</v>
      </c>
      <c r="X36" s="564">
        <v>1.2785388127853882E-2</v>
      </c>
      <c r="Z36" s="655" cm="1">
        <f t="array" ref="Z36">INDEX(H36:X36,1,$B$30)</f>
        <v>6.3356164383561647E-2</v>
      </c>
      <c r="AH36">
        <v>6.3356164383561647E-2</v>
      </c>
      <c r="AI36">
        <v>7.6255707762557079E-2</v>
      </c>
      <c r="AJ36">
        <v>0.11666666666666667</v>
      </c>
      <c r="AK36">
        <v>0.20091324200913241</v>
      </c>
      <c r="AL36">
        <v>6.2557077625570778E-2</v>
      </c>
      <c r="AM36">
        <v>3.0365296803652967E-2</v>
      </c>
      <c r="AN36">
        <v>5.0228310502283104E-3</v>
      </c>
      <c r="AO36">
        <v>2.5228310502283104E-2</v>
      </c>
      <c r="AP36">
        <v>1.2785388127853882E-2</v>
      </c>
      <c r="AQ36">
        <v>9.0182648401826489E-3</v>
      </c>
      <c r="AR36">
        <v>2.0319634703196348E-2</v>
      </c>
    </row>
    <row r="37" spans="7:44" x14ac:dyDescent="0.15">
      <c r="G37" s="565">
        <v>-7</v>
      </c>
      <c r="H37" s="564">
        <v>7.4999999999999997E-2</v>
      </c>
      <c r="I37" s="564">
        <v>8.7785388127853886E-2</v>
      </c>
      <c r="J37" s="564">
        <v>0.13698630136986301</v>
      </c>
      <c r="K37" s="564">
        <v>0.22237442922374429</v>
      </c>
      <c r="L37" s="564">
        <v>1.1301369863013699E-2</v>
      </c>
      <c r="M37" s="564">
        <v>3.1849315068493152E-2</v>
      </c>
      <c r="N37" s="564">
        <v>8.4474885844748854E-2</v>
      </c>
      <c r="O37" s="564">
        <v>6.837899543378996E-2</v>
      </c>
      <c r="P37" s="564">
        <v>8.2762557077625573E-2</v>
      </c>
      <c r="Q37" s="564">
        <v>3.4018264840182645E-2</v>
      </c>
      <c r="R37" s="564">
        <v>3.8698630136986302E-2</v>
      </c>
      <c r="S37" s="564">
        <v>1.1301369863013699E-2</v>
      </c>
      <c r="T37" s="564">
        <v>1.3356164383561644E-2</v>
      </c>
      <c r="U37" s="564">
        <v>2.8310502283105023E-2</v>
      </c>
      <c r="V37" s="564">
        <v>3.9041095890410958E-2</v>
      </c>
      <c r="W37" s="564">
        <v>8.6757990867579911E-3</v>
      </c>
      <c r="X37" s="564">
        <v>1.6552511415525113E-2</v>
      </c>
      <c r="Z37" s="655" cm="1">
        <f t="array" ref="Z37">INDEX(H37:X37,1,$B$30)</f>
        <v>7.4999999999999997E-2</v>
      </c>
      <c r="AH37">
        <v>7.4999999999999997E-2</v>
      </c>
      <c r="AI37">
        <v>8.7785388127853886E-2</v>
      </c>
      <c r="AJ37">
        <v>0.13698630136986301</v>
      </c>
      <c r="AK37">
        <v>0.22237442922374429</v>
      </c>
      <c r="AL37">
        <v>8.4474885844748854E-2</v>
      </c>
      <c r="AM37">
        <v>3.9041095890410958E-2</v>
      </c>
      <c r="AN37">
        <v>8.6757990867579911E-3</v>
      </c>
      <c r="AO37">
        <v>3.4018264840182645E-2</v>
      </c>
      <c r="AP37">
        <v>1.6552511415525113E-2</v>
      </c>
      <c r="AQ37">
        <v>1.3356164383561644E-2</v>
      </c>
      <c r="AR37">
        <v>2.8310502283105023E-2</v>
      </c>
    </row>
    <row r="38" spans="7:44" x14ac:dyDescent="0.15">
      <c r="G38" s="565">
        <v>-6</v>
      </c>
      <c r="H38" s="564">
        <v>8.8470319634703198E-2</v>
      </c>
      <c r="I38" s="564">
        <v>0.1021689497716895</v>
      </c>
      <c r="J38" s="564">
        <v>0.16095890410958905</v>
      </c>
      <c r="K38" s="564">
        <v>0.24121004566210047</v>
      </c>
      <c r="L38" s="564">
        <v>2.3858447488584476E-2</v>
      </c>
      <c r="M38" s="564">
        <v>4.2808219178082189E-2</v>
      </c>
      <c r="N38" s="564">
        <v>0.10616438356164383</v>
      </c>
      <c r="O38" s="564">
        <v>8.7899543378995429E-2</v>
      </c>
      <c r="P38" s="564">
        <v>0.10582191780821917</v>
      </c>
      <c r="Q38" s="564">
        <v>4.9086757990867577E-2</v>
      </c>
      <c r="R38" s="564">
        <v>5.4337899543378997E-2</v>
      </c>
      <c r="S38" s="564">
        <v>2.3858447488584476E-2</v>
      </c>
      <c r="T38" s="564">
        <v>2.2716894977168951E-2</v>
      </c>
      <c r="U38" s="564">
        <v>3.9954337899543377E-2</v>
      </c>
      <c r="V38" s="564">
        <v>5.3538812785388128E-2</v>
      </c>
      <c r="W38" s="564">
        <v>1.4041095890410958E-2</v>
      </c>
      <c r="X38" s="564">
        <v>2.1803652968036529E-2</v>
      </c>
      <c r="Z38" s="655" cm="1">
        <f t="array" ref="Z38">INDEX(H38:X38,1,$B$30)</f>
        <v>8.8470319634703198E-2</v>
      </c>
      <c r="AH38">
        <v>8.8470319634703198E-2</v>
      </c>
      <c r="AI38">
        <v>0.1021689497716895</v>
      </c>
      <c r="AJ38">
        <v>0.16095890410958905</v>
      </c>
      <c r="AK38">
        <v>0.24121004566210047</v>
      </c>
      <c r="AL38">
        <v>0.10616438356164383</v>
      </c>
      <c r="AM38">
        <v>5.3538812785388128E-2</v>
      </c>
      <c r="AN38">
        <v>1.4041095890410958E-2</v>
      </c>
      <c r="AO38">
        <v>4.9086757990867577E-2</v>
      </c>
      <c r="AP38">
        <v>2.1803652968036529E-2</v>
      </c>
      <c r="AQ38">
        <v>2.2716894977168951E-2</v>
      </c>
      <c r="AR38">
        <v>3.9954337899543377E-2</v>
      </c>
    </row>
    <row r="39" spans="7:44" x14ac:dyDescent="0.15">
      <c r="G39" s="565">
        <v>-5</v>
      </c>
      <c r="H39" s="564">
        <v>0.10547945205479452</v>
      </c>
      <c r="I39" s="564">
        <v>0.12317351598173516</v>
      </c>
      <c r="J39" s="564">
        <v>0.18801369863013698</v>
      </c>
      <c r="K39" s="564">
        <v>0.27180365296803655</v>
      </c>
      <c r="L39" s="564">
        <v>4.2922374429223746E-2</v>
      </c>
      <c r="M39" s="564">
        <v>5.9018264840182647E-2</v>
      </c>
      <c r="N39" s="564">
        <v>0.13070776255707764</v>
      </c>
      <c r="O39" s="564">
        <v>0.11347031963470319</v>
      </c>
      <c r="P39" s="564">
        <v>0.13070776255707764</v>
      </c>
      <c r="Q39" s="564">
        <v>6.9977168949771684E-2</v>
      </c>
      <c r="R39" s="564">
        <v>7.0205479452054798E-2</v>
      </c>
      <c r="S39" s="564">
        <v>4.2922374429223746E-2</v>
      </c>
      <c r="T39" s="564">
        <v>4.1894977168949771E-2</v>
      </c>
      <c r="U39" s="564">
        <v>5.399543378995434E-2</v>
      </c>
      <c r="V39" s="564">
        <v>7.4543378995433784E-2</v>
      </c>
      <c r="W39" s="564">
        <v>2.0662100456621004E-2</v>
      </c>
      <c r="X39" s="564">
        <v>2.8767123287671233E-2</v>
      </c>
      <c r="Z39" s="655" cm="1">
        <f t="array" ref="Z39">INDEX(H39:X39,1,$B$30)</f>
        <v>0.10547945205479452</v>
      </c>
      <c r="AH39">
        <v>0.10547945205479452</v>
      </c>
      <c r="AI39">
        <v>0.12317351598173516</v>
      </c>
      <c r="AJ39">
        <v>0.18801369863013698</v>
      </c>
      <c r="AK39">
        <v>0.27180365296803655</v>
      </c>
      <c r="AL39">
        <v>0.13070776255707764</v>
      </c>
      <c r="AM39">
        <v>7.4543378995433784E-2</v>
      </c>
      <c r="AN39">
        <v>2.0662100456621004E-2</v>
      </c>
      <c r="AO39">
        <v>6.9977168949771684E-2</v>
      </c>
      <c r="AP39">
        <v>2.8767123287671233E-2</v>
      </c>
      <c r="AQ39">
        <v>4.1894977168949771E-2</v>
      </c>
      <c r="AR39">
        <v>5.399543378995434E-2</v>
      </c>
    </row>
    <row r="40" spans="7:44" x14ac:dyDescent="0.15">
      <c r="G40" s="565">
        <v>-4</v>
      </c>
      <c r="H40" s="564">
        <v>0.12888127853881279</v>
      </c>
      <c r="I40" s="564">
        <v>0.14452054794520547</v>
      </c>
      <c r="J40" s="564">
        <v>0.2139269406392694</v>
      </c>
      <c r="K40" s="564">
        <v>0.3065068493150685</v>
      </c>
      <c r="L40" s="564">
        <v>5.6849315068493153E-2</v>
      </c>
      <c r="M40" s="564">
        <v>7.031963470319634E-2</v>
      </c>
      <c r="N40" s="564">
        <v>0.14771689497716894</v>
      </c>
      <c r="O40" s="564">
        <v>0.1291095890410959</v>
      </c>
      <c r="P40" s="564">
        <v>0.14874429223744293</v>
      </c>
      <c r="Q40" s="564">
        <v>8.3447488584474885E-2</v>
      </c>
      <c r="R40" s="564">
        <v>8.1735159817351605E-2</v>
      </c>
      <c r="S40" s="564">
        <v>5.6849315068493153E-2</v>
      </c>
      <c r="T40" s="564">
        <v>4.942922374429224E-2</v>
      </c>
      <c r="U40" s="564">
        <v>6.3698630136986303E-2</v>
      </c>
      <c r="V40" s="564">
        <v>8.6872146118721461E-2</v>
      </c>
      <c r="W40" s="564">
        <v>2.8767123287671233E-2</v>
      </c>
      <c r="X40" s="564">
        <v>3.515981735159817E-2</v>
      </c>
      <c r="Z40" s="655" cm="1">
        <f t="array" ref="Z40">INDEX(H40:X40,1,$B$30)</f>
        <v>0.12888127853881279</v>
      </c>
      <c r="AH40">
        <v>0.12888127853881279</v>
      </c>
      <c r="AI40">
        <v>0.14452054794520547</v>
      </c>
      <c r="AJ40">
        <v>0.2139269406392694</v>
      </c>
      <c r="AK40">
        <v>0.3065068493150685</v>
      </c>
      <c r="AL40">
        <v>0.14771689497716894</v>
      </c>
      <c r="AM40">
        <v>8.6872146118721461E-2</v>
      </c>
      <c r="AN40">
        <v>2.8767123287671233E-2</v>
      </c>
      <c r="AO40">
        <v>8.3447488584474885E-2</v>
      </c>
      <c r="AP40">
        <v>3.515981735159817E-2</v>
      </c>
      <c r="AQ40">
        <v>4.942922374429224E-2</v>
      </c>
      <c r="AR40">
        <v>6.3698630136986303E-2</v>
      </c>
    </row>
    <row r="41" spans="7:44" x14ac:dyDescent="0.15">
      <c r="G41" s="565">
        <v>-3</v>
      </c>
      <c r="H41" s="564">
        <v>0.15570776255707763</v>
      </c>
      <c r="I41" s="564">
        <v>0.16849315068493151</v>
      </c>
      <c r="J41" s="564">
        <v>0.24406392694063928</v>
      </c>
      <c r="K41" s="564">
        <v>0.34178082191780823</v>
      </c>
      <c r="L41" s="564">
        <v>8.0936073059360736E-2</v>
      </c>
      <c r="M41" s="564">
        <v>0.10148401826484019</v>
      </c>
      <c r="N41" s="564">
        <v>0.17340182648401825</v>
      </c>
      <c r="O41" s="564">
        <v>0.16598173515981735</v>
      </c>
      <c r="P41" s="564">
        <v>0.19075342465753425</v>
      </c>
      <c r="Q41" s="564">
        <v>0.11529680365296803</v>
      </c>
      <c r="R41" s="564">
        <v>0.10251141552511416</v>
      </c>
      <c r="S41" s="564">
        <v>8.0936073059360736E-2</v>
      </c>
      <c r="T41" s="564">
        <v>7.8538812785388129E-2</v>
      </c>
      <c r="U41" s="564">
        <v>8.4931506849315067E-2</v>
      </c>
      <c r="V41" s="564">
        <v>0.11780821917808219</v>
      </c>
      <c r="W41" s="564">
        <v>4.4292237442922378E-2</v>
      </c>
      <c r="X41" s="564">
        <v>4.8858447488584478E-2</v>
      </c>
      <c r="Z41" s="655" cm="1">
        <f t="array" ref="Z41">INDEX(H41:X41,1,$B$30)</f>
        <v>0.15570776255707763</v>
      </c>
      <c r="AH41">
        <v>0.15570776255707763</v>
      </c>
      <c r="AI41">
        <v>0.16849315068493151</v>
      </c>
      <c r="AJ41">
        <v>0.24406392694063928</v>
      </c>
      <c r="AK41">
        <v>0.34178082191780823</v>
      </c>
      <c r="AL41">
        <v>0.17340182648401825</v>
      </c>
      <c r="AM41">
        <v>0.11780821917808219</v>
      </c>
      <c r="AN41">
        <v>4.4292237442922378E-2</v>
      </c>
      <c r="AO41">
        <v>0.11529680365296803</v>
      </c>
      <c r="AP41">
        <v>4.8858447488584478E-2</v>
      </c>
      <c r="AQ41">
        <v>7.8538812785388129E-2</v>
      </c>
      <c r="AR41">
        <v>8.4931506849315067E-2</v>
      </c>
    </row>
    <row r="42" spans="7:44" x14ac:dyDescent="0.15">
      <c r="G42" s="565">
        <v>-2</v>
      </c>
      <c r="H42" s="564">
        <v>0.18424657534246575</v>
      </c>
      <c r="I42" s="564">
        <v>0.19337899543378995</v>
      </c>
      <c r="J42" s="564">
        <v>0.27728310502283104</v>
      </c>
      <c r="K42" s="564">
        <v>0.37648401826484018</v>
      </c>
      <c r="L42" s="564">
        <v>0.1110730593607306</v>
      </c>
      <c r="M42" s="564">
        <v>0.13515981735159818</v>
      </c>
      <c r="N42" s="564">
        <v>0.20468036529680364</v>
      </c>
      <c r="O42" s="564">
        <v>0.20228310502283106</v>
      </c>
      <c r="P42" s="564">
        <v>0.22910958904109588</v>
      </c>
      <c r="Q42" s="564">
        <v>0.15376712328767123</v>
      </c>
      <c r="R42" s="564">
        <v>0.13390410958904109</v>
      </c>
      <c r="S42" s="564">
        <v>0.1110730593607306</v>
      </c>
      <c r="T42" s="564">
        <v>0.11723744292237442</v>
      </c>
      <c r="U42" s="564">
        <v>0.11015981735159817</v>
      </c>
      <c r="V42" s="564">
        <v>0.16244292237442923</v>
      </c>
      <c r="W42" s="564">
        <v>7.1689497716894979E-2</v>
      </c>
      <c r="X42" s="564">
        <v>6.632420091324201E-2</v>
      </c>
      <c r="Z42" s="655" cm="1">
        <f t="array" ref="Z42">INDEX(H42:X42,1,$B$30)</f>
        <v>0.18424657534246575</v>
      </c>
      <c r="AH42">
        <v>0.18424657534246575</v>
      </c>
      <c r="AI42">
        <v>0.19337899543378995</v>
      </c>
      <c r="AJ42">
        <v>0.27728310502283104</v>
      </c>
      <c r="AK42">
        <v>0.37648401826484018</v>
      </c>
      <c r="AL42">
        <v>0.20468036529680364</v>
      </c>
      <c r="AM42">
        <v>0.16244292237442923</v>
      </c>
      <c r="AN42">
        <v>7.1689497716894979E-2</v>
      </c>
      <c r="AO42">
        <v>0.15376712328767123</v>
      </c>
      <c r="AP42">
        <v>6.632420091324201E-2</v>
      </c>
      <c r="AQ42">
        <v>0.11723744292237442</v>
      </c>
      <c r="AR42">
        <v>0.11015981735159817</v>
      </c>
    </row>
    <row r="43" spans="7:44" x14ac:dyDescent="0.15">
      <c r="G43" s="565">
        <v>-1</v>
      </c>
      <c r="H43" s="564">
        <v>0.20924657534246574</v>
      </c>
      <c r="I43" s="564">
        <v>0.22340182648401827</v>
      </c>
      <c r="J43" s="564">
        <v>0.31210045662100455</v>
      </c>
      <c r="K43" s="564">
        <v>0.41678082191780824</v>
      </c>
      <c r="L43" s="564">
        <v>0.15719178082191781</v>
      </c>
      <c r="M43" s="564">
        <v>0.16666666666666666</v>
      </c>
      <c r="N43" s="564">
        <v>0.23184931506849316</v>
      </c>
      <c r="O43" s="564">
        <v>0.24463470319634703</v>
      </c>
      <c r="P43" s="564">
        <v>0.27100456621004565</v>
      </c>
      <c r="Q43" s="564">
        <v>0.19121004566210045</v>
      </c>
      <c r="R43" s="564">
        <v>0.16929223744292238</v>
      </c>
      <c r="S43" s="564">
        <v>0.15719178082191781</v>
      </c>
      <c r="T43" s="564">
        <v>0.15570776255707763</v>
      </c>
      <c r="U43" s="564">
        <v>0.13470319634703196</v>
      </c>
      <c r="V43" s="564">
        <v>0.21118721461187215</v>
      </c>
      <c r="W43" s="564">
        <v>0.10148401826484019</v>
      </c>
      <c r="X43" s="564">
        <v>0.10091324200913242</v>
      </c>
      <c r="Z43" s="655" cm="1">
        <f t="array" ref="Z43">INDEX(H43:X43,1,$B$30)</f>
        <v>0.20924657534246574</v>
      </c>
      <c r="AH43">
        <v>0.20924657534246574</v>
      </c>
      <c r="AI43">
        <v>0.22340182648401827</v>
      </c>
      <c r="AJ43">
        <v>0.31210045662100455</v>
      </c>
      <c r="AK43">
        <v>0.41678082191780824</v>
      </c>
      <c r="AL43">
        <v>0.23184931506849316</v>
      </c>
      <c r="AM43">
        <v>0.21118721461187215</v>
      </c>
      <c r="AN43">
        <v>0.10148401826484019</v>
      </c>
      <c r="AO43">
        <v>0.19121004566210045</v>
      </c>
      <c r="AP43">
        <v>0.10091324200913242</v>
      </c>
      <c r="AQ43">
        <v>0.15570776255707763</v>
      </c>
      <c r="AR43">
        <v>0.13470319634703196</v>
      </c>
    </row>
    <row r="44" spans="7:44" x14ac:dyDescent="0.15">
      <c r="G44" s="565">
        <v>0</v>
      </c>
      <c r="H44" s="564">
        <v>0.24920091324200913</v>
      </c>
      <c r="I44" s="564">
        <v>0.27089041095890409</v>
      </c>
      <c r="J44" s="564">
        <v>0.36792237442922376</v>
      </c>
      <c r="K44" s="564">
        <v>0.46027397260273972</v>
      </c>
      <c r="L44" s="564">
        <v>0.21255707762557077</v>
      </c>
      <c r="M44" s="564">
        <v>0.20468036529680364</v>
      </c>
      <c r="N44" s="564">
        <v>0.27363013698630134</v>
      </c>
      <c r="O44" s="564">
        <v>0.28938356164383561</v>
      </c>
      <c r="P44" s="564">
        <v>0.30810502283105023</v>
      </c>
      <c r="Q44" s="564">
        <v>0.22979452054794522</v>
      </c>
      <c r="R44" s="564">
        <v>0.20833333333333334</v>
      </c>
      <c r="S44" s="564">
        <v>0.21255707762557077</v>
      </c>
      <c r="T44" s="564">
        <v>0.20273972602739726</v>
      </c>
      <c r="U44" s="564">
        <v>0.16381278538812785</v>
      </c>
      <c r="V44" s="564">
        <v>0.25753424657534246</v>
      </c>
      <c r="W44" s="564">
        <v>0.14212328767123289</v>
      </c>
      <c r="X44" s="564">
        <v>0.13904109589041097</v>
      </c>
      <c r="Z44" s="655" cm="1">
        <f t="array" ref="Z44">INDEX(H44:X44,1,$B$30)</f>
        <v>0.24920091324200913</v>
      </c>
      <c r="AH44">
        <v>0.24920091324200913</v>
      </c>
      <c r="AI44">
        <v>0.27089041095890409</v>
      </c>
      <c r="AJ44">
        <v>0.36792237442922376</v>
      </c>
      <c r="AK44">
        <v>0.46027397260273972</v>
      </c>
      <c r="AL44">
        <v>0.27363013698630134</v>
      </c>
      <c r="AM44">
        <v>0.25753424657534246</v>
      </c>
      <c r="AN44">
        <v>0.14212328767123289</v>
      </c>
      <c r="AO44">
        <v>0.22979452054794522</v>
      </c>
      <c r="AP44">
        <v>0.13904109589041097</v>
      </c>
      <c r="AQ44">
        <v>0.20273972602739726</v>
      </c>
      <c r="AR44">
        <v>0.16381278538812785</v>
      </c>
    </row>
    <row r="45" spans="7:44" x14ac:dyDescent="0.15">
      <c r="G45" s="565">
        <v>1</v>
      </c>
      <c r="H45" s="564">
        <v>0.30993150684931509</v>
      </c>
      <c r="I45" s="564">
        <v>0.3422374429223744</v>
      </c>
      <c r="J45" s="564">
        <v>0.41004566210045662</v>
      </c>
      <c r="K45" s="564">
        <v>0.51118721461187211</v>
      </c>
      <c r="L45" s="564">
        <v>0.24155251141552511</v>
      </c>
      <c r="M45" s="564">
        <v>0.22500000000000001</v>
      </c>
      <c r="N45" s="564">
        <v>0.30490867579908676</v>
      </c>
      <c r="O45" s="564">
        <v>0.31050228310502281</v>
      </c>
      <c r="P45" s="564">
        <v>0.32968036529680367</v>
      </c>
      <c r="Q45" s="564">
        <v>0.24520547945205479</v>
      </c>
      <c r="R45" s="564">
        <v>0.22888127853881279</v>
      </c>
      <c r="S45" s="564">
        <v>0.24155251141552511</v>
      </c>
      <c r="T45" s="564">
        <v>0.23378995433789954</v>
      </c>
      <c r="U45" s="564">
        <v>0.18013698630136987</v>
      </c>
      <c r="V45" s="564">
        <v>0.28150684931506847</v>
      </c>
      <c r="W45" s="564">
        <v>0.1636986301369863</v>
      </c>
      <c r="X45" s="564">
        <v>0.16232876712328767</v>
      </c>
      <c r="Z45" s="655" cm="1">
        <f t="array" ref="Z45">INDEX(H45:X45,1,$B$30)</f>
        <v>0.30993150684931509</v>
      </c>
      <c r="AH45">
        <v>0.30993150684931509</v>
      </c>
      <c r="AI45">
        <v>0.3422374429223744</v>
      </c>
      <c r="AJ45">
        <v>0.41004566210045662</v>
      </c>
      <c r="AK45">
        <v>0.51118721461187211</v>
      </c>
      <c r="AL45">
        <v>0.30490867579908676</v>
      </c>
      <c r="AM45">
        <v>0.28150684931506847</v>
      </c>
      <c r="AN45">
        <v>0.1636986301369863</v>
      </c>
      <c r="AO45">
        <v>0.24520547945205479</v>
      </c>
      <c r="AP45">
        <v>0.16232876712328767</v>
      </c>
      <c r="AQ45">
        <v>0.23378995433789954</v>
      </c>
      <c r="AR45">
        <v>0.18013698630136987</v>
      </c>
    </row>
    <row r="46" spans="7:44" x14ac:dyDescent="0.15">
      <c r="G46" s="565">
        <v>2</v>
      </c>
      <c r="H46" s="564">
        <v>0.36917808219178083</v>
      </c>
      <c r="I46" s="564">
        <v>0.40136986301369865</v>
      </c>
      <c r="J46" s="564">
        <v>0.45171232876712331</v>
      </c>
      <c r="K46" s="564">
        <v>0.54372146118721465</v>
      </c>
      <c r="L46" s="564">
        <v>0.30034246575342466</v>
      </c>
      <c r="M46" s="564">
        <v>0.27111872146118721</v>
      </c>
      <c r="N46" s="564">
        <v>0.36506849315068496</v>
      </c>
      <c r="O46" s="564">
        <v>0.35239726027397261</v>
      </c>
      <c r="P46" s="564">
        <v>0.36723744292237442</v>
      </c>
      <c r="Q46" s="564">
        <v>0.27716894977168949</v>
      </c>
      <c r="R46" s="564">
        <v>0.26529680365296804</v>
      </c>
      <c r="S46" s="564">
        <v>0.30034246575342466</v>
      </c>
      <c r="T46" s="564">
        <v>0.29497716894977166</v>
      </c>
      <c r="U46" s="564">
        <v>0.21107305936073059</v>
      </c>
      <c r="V46" s="564">
        <v>0.33550228310502284</v>
      </c>
      <c r="W46" s="564">
        <v>0.20742009132420092</v>
      </c>
      <c r="X46" s="564">
        <v>0.1980593607305936</v>
      </c>
      <c r="Z46" s="655" cm="1">
        <f t="array" ref="Z46">INDEX(H46:X46,1,$B$30)</f>
        <v>0.36917808219178083</v>
      </c>
      <c r="AH46">
        <v>0.36917808219178083</v>
      </c>
      <c r="AI46">
        <v>0.40136986301369865</v>
      </c>
      <c r="AJ46">
        <v>0.45171232876712331</v>
      </c>
      <c r="AK46">
        <v>0.54372146118721465</v>
      </c>
      <c r="AL46">
        <v>0.36506849315068496</v>
      </c>
      <c r="AM46">
        <v>0.33550228310502284</v>
      </c>
      <c r="AN46">
        <v>0.20742009132420092</v>
      </c>
      <c r="AO46">
        <v>0.27716894977168949</v>
      </c>
      <c r="AP46">
        <v>0.1980593607305936</v>
      </c>
      <c r="AQ46">
        <v>0.29497716894977166</v>
      </c>
      <c r="AR46">
        <v>0.21107305936073059</v>
      </c>
    </row>
    <row r="47" spans="7:44" x14ac:dyDescent="0.15">
      <c r="G47" s="565">
        <v>3</v>
      </c>
      <c r="H47" s="564">
        <v>0.41598173515981735</v>
      </c>
      <c r="I47" s="564">
        <v>0.44018264840182647</v>
      </c>
      <c r="J47" s="564">
        <v>0.48652968036529681</v>
      </c>
      <c r="K47" s="564">
        <v>0.57363013698630139</v>
      </c>
      <c r="L47" s="564">
        <v>0.3485159817351598</v>
      </c>
      <c r="M47" s="564">
        <v>0.32522831050228312</v>
      </c>
      <c r="N47" s="564">
        <v>0.40559360730593608</v>
      </c>
      <c r="O47" s="564">
        <v>0.39063926940639271</v>
      </c>
      <c r="P47" s="564">
        <v>0.40273972602739727</v>
      </c>
      <c r="Q47" s="564">
        <v>0.31324200913242012</v>
      </c>
      <c r="R47" s="564">
        <v>0.30445205479452053</v>
      </c>
      <c r="S47" s="564">
        <v>0.3485159817351598</v>
      </c>
      <c r="T47" s="564">
        <v>0.35856164383561645</v>
      </c>
      <c r="U47" s="564">
        <v>0.24611872146118721</v>
      </c>
      <c r="V47" s="564">
        <v>0.38824200913242007</v>
      </c>
      <c r="W47" s="564">
        <v>0.26221461187214612</v>
      </c>
      <c r="X47" s="564">
        <v>0.24200913242009131</v>
      </c>
      <c r="Z47" s="655" cm="1">
        <f t="array" ref="Z47">INDEX(H47:X47,1,$B$30)</f>
        <v>0.41598173515981735</v>
      </c>
      <c r="AH47">
        <v>0.41598173515981735</v>
      </c>
      <c r="AI47">
        <v>0.44018264840182647</v>
      </c>
      <c r="AJ47">
        <v>0.48652968036529681</v>
      </c>
      <c r="AK47">
        <v>0.57363013698630139</v>
      </c>
      <c r="AL47">
        <v>0.40559360730593608</v>
      </c>
      <c r="AM47">
        <v>0.38824200913242007</v>
      </c>
      <c r="AN47">
        <v>0.26221461187214612</v>
      </c>
      <c r="AO47">
        <v>0.31324200913242012</v>
      </c>
      <c r="AP47">
        <v>0.24200913242009131</v>
      </c>
      <c r="AQ47">
        <v>0.35856164383561645</v>
      </c>
      <c r="AR47">
        <v>0.24611872146118721</v>
      </c>
    </row>
    <row r="48" spans="7:44" x14ac:dyDescent="0.15">
      <c r="G48" s="565">
        <v>4</v>
      </c>
      <c r="H48" s="564">
        <v>0.45079908675799085</v>
      </c>
      <c r="I48" s="564">
        <v>0.4771689497716895</v>
      </c>
      <c r="J48" s="564">
        <v>0.51837899543378996</v>
      </c>
      <c r="K48" s="564">
        <v>0.61015981735159819</v>
      </c>
      <c r="L48" s="564">
        <v>0.40251141552511416</v>
      </c>
      <c r="M48" s="564">
        <v>0.36780821917808221</v>
      </c>
      <c r="N48" s="564">
        <v>0.4534246575342466</v>
      </c>
      <c r="O48" s="564">
        <v>0.42659817351598173</v>
      </c>
      <c r="P48" s="564">
        <v>0.4343607305936073</v>
      </c>
      <c r="Q48" s="564">
        <v>0.3476027397260274</v>
      </c>
      <c r="R48" s="564">
        <v>0.3393835616438356</v>
      </c>
      <c r="S48" s="564">
        <v>0.40251141552511416</v>
      </c>
      <c r="T48" s="564">
        <v>0.41586757990867579</v>
      </c>
      <c r="U48" s="564">
        <v>0.28127853881278536</v>
      </c>
      <c r="V48" s="564">
        <v>0.44189497716894977</v>
      </c>
      <c r="W48" s="564">
        <v>0.31358447488584473</v>
      </c>
      <c r="X48" s="564">
        <v>0.29486301369863016</v>
      </c>
      <c r="Z48" s="655" cm="1">
        <f t="array" ref="Z48">INDEX(H48:X48,1,$B$30)</f>
        <v>0.45079908675799085</v>
      </c>
      <c r="AH48">
        <v>0.45079908675799085</v>
      </c>
      <c r="AI48">
        <v>0.4771689497716895</v>
      </c>
      <c r="AJ48">
        <v>0.51837899543378996</v>
      </c>
      <c r="AK48">
        <v>0.61015981735159819</v>
      </c>
      <c r="AL48">
        <v>0.4534246575342466</v>
      </c>
      <c r="AM48">
        <v>0.44189497716894977</v>
      </c>
      <c r="AN48">
        <v>0.31358447488584473</v>
      </c>
      <c r="AO48">
        <v>0.3476027397260274</v>
      </c>
      <c r="AP48">
        <v>0.29486301369863016</v>
      </c>
      <c r="AQ48">
        <v>0.41586757990867579</v>
      </c>
      <c r="AR48">
        <v>0.28127853881278536</v>
      </c>
    </row>
    <row r="49" spans="7:44" x14ac:dyDescent="0.15">
      <c r="G49" s="565">
        <v>5</v>
      </c>
      <c r="H49" s="564">
        <v>0.48413242009132418</v>
      </c>
      <c r="I49" s="564">
        <v>0.50776255707762552</v>
      </c>
      <c r="J49" s="564">
        <v>0.54885844748858448</v>
      </c>
      <c r="K49" s="564">
        <v>0.63641552511415522</v>
      </c>
      <c r="L49" s="564">
        <v>0.44121004566210048</v>
      </c>
      <c r="M49" s="564">
        <v>0.41746575342465753</v>
      </c>
      <c r="N49" s="564">
        <v>0.49874429223744293</v>
      </c>
      <c r="O49" s="564">
        <v>0.46575342465753422</v>
      </c>
      <c r="P49" s="564">
        <v>0.46700913242009134</v>
      </c>
      <c r="Q49" s="564">
        <v>0.38367579908675797</v>
      </c>
      <c r="R49" s="564">
        <v>0.37614155251141551</v>
      </c>
      <c r="S49" s="564">
        <v>0.44121004566210048</v>
      </c>
      <c r="T49" s="564">
        <v>0.48139269406392693</v>
      </c>
      <c r="U49" s="564">
        <v>0.32260273972602738</v>
      </c>
      <c r="V49" s="564">
        <v>0.48162100456621004</v>
      </c>
      <c r="W49" s="564">
        <v>0.36598173515981736</v>
      </c>
      <c r="X49" s="564">
        <v>0.34166666666666667</v>
      </c>
      <c r="Z49" s="655" cm="1">
        <f t="array" ref="Z49">INDEX(H49:X49,1,$B$30)</f>
        <v>0.48413242009132418</v>
      </c>
      <c r="AH49">
        <v>0.48413242009132418</v>
      </c>
      <c r="AI49">
        <v>0.50776255707762552</v>
      </c>
      <c r="AJ49">
        <v>0.54885844748858448</v>
      </c>
      <c r="AK49">
        <v>0.63641552511415522</v>
      </c>
      <c r="AL49">
        <v>0.49874429223744293</v>
      </c>
      <c r="AM49">
        <v>0.48162100456621004</v>
      </c>
      <c r="AN49">
        <v>0.36598173515981736</v>
      </c>
      <c r="AO49">
        <v>0.38367579908675797</v>
      </c>
      <c r="AP49">
        <v>0.34166666666666667</v>
      </c>
      <c r="AQ49">
        <v>0.48139269406392693</v>
      </c>
      <c r="AR49">
        <v>0.32260273972602738</v>
      </c>
    </row>
    <row r="50" spans="7:44" x14ac:dyDescent="0.15">
      <c r="G50" s="565">
        <v>6</v>
      </c>
      <c r="H50" s="564">
        <v>0.51586757990867582</v>
      </c>
      <c r="I50" s="564">
        <v>0.54166666666666663</v>
      </c>
      <c r="J50" s="564">
        <v>0.58139269406392691</v>
      </c>
      <c r="K50" s="564">
        <v>0.66415525114155249</v>
      </c>
      <c r="L50" s="564">
        <v>0.46187214611872146</v>
      </c>
      <c r="M50" s="564">
        <v>0.43938356164383563</v>
      </c>
      <c r="N50" s="564">
        <v>0.51609589041095894</v>
      </c>
      <c r="O50" s="564">
        <v>0.47979452054794519</v>
      </c>
      <c r="P50" s="564">
        <v>0.48881278538812784</v>
      </c>
      <c r="Q50" s="564">
        <v>0.40742009132420093</v>
      </c>
      <c r="R50" s="564">
        <v>0.39474885844748858</v>
      </c>
      <c r="S50" s="564">
        <v>0.46187214611872146</v>
      </c>
      <c r="T50" s="564">
        <v>0.51940639269406397</v>
      </c>
      <c r="U50" s="564">
        <v>0.34121004566210045</v>
      </c>
      <c r="V50" s="564">
        <v>0.49771689497716892</v>
      </c>
      <c r="W50" s="564">
        <v>0.39086757990867582</v>
      </c>
      <c r="X50" s="564">
        <v>0.36552511415525113</v>
      </c>
      <c r="Z50" s="655" cm="1">
        <f t="array" ref="Z50">INDEX(H50:X50,1,$B$30)</f>
        <v>0.51586757990867582</v>
      </c>
      <c r="AH50">
        <v>0.51586757990867582</v>
      </c>
      <c r="AI50">
        <v>0.54166666666666663</v>
      </c>
      <c r="AJ50">
        <v>0.58139269406392691</v>
      </c>
      <c r="AK50">
        <v>0.66415525114155249</v>
      </c>
      <c r="AL50">
        <v>0.51609589041095894</v>
      </c>
      <c r="AM50">
        <v>0.49771689497716892</v>
      </c>
      <c r="AN50">
        <v>0.39086757990867582</v>
      </c>
      <c r="AO50">
        <v>0.40742009132420093</v>
      </c>
      <c r="AP50">
        <v>0.36552511415525113</v>
      </c>
      <c r="AQ50">
        <v>0.51940639269406397</v>
      </c>
      <c r="AR50">
        <v>0.34121004566210045</v>
      </c>
    </row>
    <row r="51" spans="7:44" x14ac:dyDescent="0.15">
      <c r="G51" s="565">
        <v>7</v>
      </c>
      <c r="H51" s="564">
        <v>0.55331050228310508</v>
      </c>
      <c r="I51" s="564">
        <v>0.58744292237442919</v>
      </c>
      <c r="J51" s="564">
        <v>0.60719178082191783</v>
      </c>
      <c r="K51" s="564">
        <v>0.6905251141552512</v>
      </c>
      <c r="L51" s="564">
        <v>0.5044520547945206</v>
      </c>
      <c r="M51" s="564">
        <v>0.48276255707762555</v>
      </c>
      <c r="N51" s="564">
        <v>0.5501141552511416</v>
      </c>
      <c r="O51" s="564">
        <v>0.51598173515981738</v>
      </c>
      <c r="P51" s="564">
        <v>0.52465753424657535</v>
      </c>
      <c r="Q51" s="564">
        <v>0.4480593607305936</v>
      </c>
      <c r="R51" s="564">
        <v>0.43378995433789952</v>
      </c>
      <c r="S51" s="564">
        <v>0.5044520547945206</v>
      </c>
      <c r="T51" s="564">
        <v>0.59178082191780823</v>
      </c>
      <c r="U51" s="564">
        <v>0.36860730593607305</v>
      </c>
      <c r="V51" s="564">
        <v>0.53230593607305932</v>
      </c>
      <c r="W51" s="564">
        <v>0.44315068493150683</v>
      </c>
      <c r="X51" s="564">
        <v>0.41495433789954339</v>
      </c>
      <c r="Z51" s="655" cm="1">
        <f t="array" ref="Z51">INDEX(H51:X51,1,$B$30)</f>
        <v>0.55331050228310508</v>
      </c>
      <c r="AH51">
        <v>0.55331050228310508</v>
      </c>
      <c r="AI51">
        <v>0.58744292237442919</v>
      </c>
      <c r="AJ51">
        <v>0.60719178082191783</v>
      </c>
      <c r="AK51">
        <v>0.6905251141552512</v>
      </c>
      <c r="AL51">
        <v>0.5501141552511416</v>
      </c>
      <c r="AM51">
        <v>0.53230593607305932</v>
      </c>
      <c r="AN51">
        <v>0.44315068493150683</v>
      </c>
      <c r="AO51">
        <v>0.4480593607305936</v>
      </c>
      <c r="AP51">
        <v>0.41495433789954339</v>
      </c>
      <c r="AQ51">
        <v>0.59178082191780823</v>
      </c>
      <c r="AR51">
        <v>0.36860730593607305</v>
      </c>
    </row>
    <row r="52" spans="7:44" x14ac:dyDescent="0.15">
      <c r="G52" s="565">
        <v>8</v>
      </c>
      <c r="H52" s="564">
        <v>0.58984018264840188</v>
      </c>
      <c r="I52" s="564">
        <v>0.62123287671232874</v>
      </c>
      <c r="J52" s="564">
        <v>0.63162100456621006</v>
      </c>
      <c r="K52" s="564">
        <v>0.71872146118721458</v>
      </c>
      <c r="L52" s="564">
        <v>0.54589041095890412</v>
      </c>
      <c r="M52" s="564">
        <v>0.53139269406392697</v>
      </c>
      <c r="N52" s="564">
        <v>0.58858447488584476</v>
      </c>
      <c r="O52" s="564">
        <v>0.5474885844748858</v>
      </c>
      <c r="P52" s="564">
        <v>0.5592465753424658</v>
      </c>
      <c r="Q52" s="564">
        <v>0.48413242009132418</v>
      </c>
      <c r="R52" s="564">
        <v>0.47066210045662099</v>
      </c>
      <c r="S52" s="564">
        <v>0.54589041095890412</v>
      </c>
      <c r="T52" s="564">
        <v>0.66038812785388123</v>
      </c>
      <c r="U52" s="564">
        <v>0.39920091324200913</v>
      </c>
      <c r="V52" s="564">
        <v>0.56666666666666665</v>
      </c>
      <c r="W52" s="564">
        <v>0.49166666666666664</v>
      </c>
      <c r="X52" s="564">
        <v>0.45878995433789954</v>
      </c>
      <c r="Z52" s="655" cm="1">
        <f t="array" ref="Z52">INDEX(H52:X52,1,$B$30)</f>
        <v>0.58984018264840188</v>
      </c>
      <c r="AH52">
        <v>0.58984018264840188</v>
      </c>
      <c r="AI52">
        <v>0.62123287671232874</v>
      </c>
      <c r="AJ52">
        <v>0.63162100456621006</v>
      </c>
      <c r="AK52">
        <v>0.71872146118721458</v>
      </c>
      <c r="AL52">
        <v>0.58858447488584476</v>
      </c>
      <c r="AM52">
        <v>0.56666666666666665</v>
      </c>
      <c r="AN52">
        <v>0.49166666666666664</v>
      </c>
      <c r="AO52">
        <v>0.48413242009132418</v>
      </c>
      <c r="AP52">
        <v>0.45878995433789954</v>
      </c>
      <c r="AQ52">
        <v>0.66038812785388123</v>
      </c>
      <c r="AR52">
        <v>0.39920091324200913</v>
      </c>
    </row>
    <row r="53" spans="7:44" x14ac:dyDescent="0.15">
      <c r="G53" s="565">
        <v>9</v>
      </c>
      <c r="H53" s="564">
        <v>0.61746575342465748</v>
      </c>
      <c r="I53" s="564">
        <v>0.65399543378995428</v>
      </c>
      <c r="J53" s="564">
        <v>0.6623287671232877</v>
      </c>
      <c r="K53" s="564">
        <v>0.74885844748858443</v>
      </c>
      <c r="L53" s="564">
        <v>0.58036529680365301</v>
      </c>
      <c r="M53" s="564">
        <v>0.58150684931506846</v>
      </c>
      <c r="N53" s="564">
        <v>0.6205479452054794</v>
      </c>
      <c r="O53" s="564">
        <v>0.58287671232876714</v>
      </c>
      <c r="P53" s="564">
        <v>0.59509132420091326</v>
      </c>
      <c r="Q53" s="564">
        <v>0.52465753424657535</v>
      </c>
      <c r="R53" s="564">
        <v>0.50924657534246576</v>
      </c>
      <c r="S53" s="564">
        <v>0.58036529680365301</v>
      </c>
      <c r="T53" s="564">
        <v>0.73002283105022836</v>
      </c>
      <c r="U53" s="564">
        <v>0.43333333333333335</v>
      </c>
      <c r="V53" s="564">
        <v>0.60136986301369866</v>
      </c>
      <c r="W53" s="564">
        <v>0.54166666666666663</v>
      </c>
      <c r="X53" s="564">
        <v>0.50376712328767126</v>
      </c>
      <c r="Z53" s="655" cm="1">
        <f t="array" ref="Z53">INDEX(H53:X53,1,$B$30)</f>
        <v>0.61746575342465748</v>
      </c>
      <c r="AH53">
        <v>0.61746575342465748</v>
      </c>
      <c r="AI53">
        <v>0.65399543378995428</v>
      </c>
      <c r="AJ53">
        <v>0.6623287671232877</v>
      </c>
      <c r="AK53">
        <v>0.74885844748858443</v>
      </c>
      <c r="AL53">
        <v>0.6205479452054794</v>
      </c>
      <c r="AM53">
        <v>0.60136986301369866</v>
      </c>
      <c r="AN53">
        <v>0.54166666666666663</v>
      </c>
      <c r="AO53">
        <v>0.52465753424657535</v>
      </c>
      <c r="AP53">
        <v>0.50376712328767126</v>
      </c>
      <c r="AQ53">
        <v>0.73002283105022836</v>
      </c>
      <c r="AR53">
        <v>0.43333333333333335</v>
      </c>
    </row>
    <row r="54" spans="7:44" x14ac:dyDescent="0.15">
      <c r="G54" s="565">
        <v>10</v>
      </c>
      <c r="H54" s="564">
        <v>0.64394977168949774</v>
      </c>
      <c r="I54" s="564">
        <v>0.68835616438356162</v>
      </c>
      <c r="J54" s="564">
        <v>0.69623287671232881</v>
      </c>
      <c r="K54" s="564">
        <v>0.78527397260273968</v>
      </c>
      <c r="L54" s="564">
        <v>0.62180365296803652</v>
      </c>
      <c r="M54" s="564">
        <v>0.62408675799086755</v>
      </c>
      <c r="N54" s="564">
        <v>0.65936073059360734</v>
      </c>
      <c r="O54" s="564">
        <v>0.6257990867579909</v>
      </c>
      <c r="P54" s="564">
        <v>0.63401826484018264</v>
      </c>
      <c r="Q54" s="564">
        <v>0.5639269406392694</v>
      </c>
      <c r="R54" s="564">
        <v>0.55251141552511418</v>
      </c>
      <c r="S54" s="564">
        <v>0.62180365296803652</v>
      </c>
      <c r="T54" s="564">
        <v>0.79885844748858448</v>
      </c>
      <c r="U54" s="564">
        <v>0.46849315068493153</v>
      </c>
      <c r="V54" s="564">
        <v>0.64577625570776254</v>
      </c>
      <c r="W54" s="564">
        <v>0.59041095890410955</v>
      </c>
      <c r="X54" s="564">
        <v>0.54908675799086759</v>
      </c>
      <c r="Z54" s="655" cm="1">
        <f t="array" ref="Z54">INDEX(H54:X54,1,$B$30)</f>
        <v>0.64394977168949774</v>
      </c>
      <c r="AH54">
        <v>0.64394977168949774</v>
      </c>
      <c r="AI54">
        <v>0.68835616438356162</v>
      </c>
      <c r="AJ54">
        <v>0.69623287671232881</v>
      </c>
      <c r="AK54">
        <v>0.78527397260273968</v>
      </c>
      <c r="AL54">
        <v>0.65936073059360734</v>
      </c>
      <c r="AM54">
        <v>0.64577625570776254</v>
      </c>
      <c r="AN54">
        <v>0.59041095890410955</v>
      </c>
      <c r="AO54">
        <v>0.5639269406392694</v>
      </c>
      <c r="AP54">
        <v>0.54908675799086759</v>
      </c>
      <c r="AQ54">
        <v>0.79885844748858448</v>
      </c>
      <c r="AR54">
        <v>0.46849315068493153</v>
      </c>
    </row>
    <row r="55" spans="7:44" x14ac:dyDescent="0.15">
      <c r="G55" s="565">
        <v>11</v>
      </c>
      <c r="H55" s="564">
        <v>0.67625570776255706</v>
      </c>
      <c r="I55" s="564">
        <v>0.72168949771689495</v>
      </c>
      <c r="J55" s="564">
        <v>0.73105022831050226</v>
      </c>
      <c r="K55" s="564">
        <v>0.82283105022831049</v>
      </c>
      <c r="L55" s="564">
        <v>0.64634703196347032</v>
      </c>
      <c r="M55" s="564">
        <v>0.64566210045662098</v>
      </c>
      <c r="N55" s="564">
        <v>0.68093607305936077</v>
      </c>
      <c r="O55" s="564">
        <v>0.64840182648401823</v>
      </c>
      <c r="P55" s="564">
        <v>0.65228310502283104</v>
      </c>
      <c r="Q55" s="564">
        <v>0.58424657534246571</v>
      </c>
      <c r="R55" s="564">
        <v>0.57043378995433791</v>
      </c>
      <c r="S55" s="564">
        <v>0.64634703196347032</v>
      </c>
      <c r="T55" s="564">
        <v>0.8348173515981735</v>
      </c>
      <c r="U55" s="564">
        <v>0.48664383561643837</v>
      </c>
      <c r="V55" s="564">
        <v>0.67168949771689501</v>
      </c>
      <c r="W55" s="564">
        <v>0.61289954337899544</v>
      </c>
      <c r="X55" s="564">
        <v>0.57066210045662102</v>
      </c>
      <c r="Z55" s="655" cm="1">
        <f t="array" ref="Z55">INDEX(H55:X55,1,$B$30)</f>
        <v>0.67625570776255706</v>
      </c>
      <c r="AH55">
        <v>0.67625570776255706</v>
      </c>
      <c r="AI55">
        <v>0.72168949771689495</v>
      </c>
      <c r="AJ55">
        <v>0.73105022831050226</v>
      </c>
      <c r="AK55">
        <v>0.82283105022831049</v>
      </c>
      <c r="AL55">
        <v>0.68093607305936077</v>
      </c>
      <c r="AM55">
        <v>0.67168949771689501</v>
      </c>
      <c r="AN55">
        <v>0.61289954337899544</v>
      </c>
      <c r="AO55">
        <v>0.58424657534246571</v>
      </c>
      <c r="AP55">
        <v>0.57066210045662102</v>
      </c>
      <c r="AQ55">
        <v>0.8348173515981735</v>
      </c>
      <c r="AR55">
        <v>0.48664383561643837</v>
      </c>
    </row>
    <row r="56" spans="7:44" x14ac:dyDescent="0.15">
      <c r="G56" s="565">
        <v>12</v>
      </c>
      <c r="H56" s="564">
        <v>0.71415525114155254</v>
      </c>
      <c r="I56" s="564">
        <v>0.75296803652968036</v>
      </c>
      <c r="J56" s="564">
        <v>0.76780821917808217</v>
      </c>
      <c r="K56" s="564">
        <v>0.85114155251141554</v>
      </c>
      <c r="L56" s="564">
        <v>0.69668949771689492</v>
      </c>
      <c r="M56" s="564">
        <v>0.69372146118721456</v>
      </c>
      <c r="N56" s="564">
        <v>0.71860730593607303</v>
      </c>
      <c r="O56" s="564">
        <v>0.69326484018264845</v>
      </c>
      <c r="P56" s="564">
        <v>0.68949771689497719</v>
      </c>
      <c r="Q56" s="564">
        <v>0.62785388127853881</v>
      </c>
      <c r="R56" s="564">
        <v>0.60696347031963471</v>
      </c>
      <c r="S56" s="564">
        <v>0.69668949771689492</v>
      </c>
      <c r="T56" s="564">
        <v>0.89908675799086757</v>
      </c>
      <c r="U56" s="564">
        <v>0.51894977168949774</v>
      </c>
      <c r="V56" s="564">
        <v>0.72568493150684932</v>
      </c>
      <c r="W56" s="564">
        <v>0.65890410958904111</v>
      </c>
      <c r="X56" s="564">
        <v>0.61963470319634706</v>
      </c>
      <c r="Z56" s="655" cm="1">
        <f t="array" ref="Z56">INDEX(H56:X56,1,$B$30)</f>
        <v>0.71415525114155254</v>
      </c>
      <c r="AH56">
        <v>0.71415525114155254</v>
      </c>
      <c r="AI56">
        <v>0.75296803652968036</v>
      </c>
      <c r="AJ56">
        <v>0.76780821917808217</v>
      </c>
      <c r="AK56">
        <v>0.85114155251141554</v>
      </c>
      <c r="AL56">
        <v>0.71860730593607303</v>
      </c>
      <c r="AM56">
        <v>0.72568493150684932</v>
      </c>
      <c r="AN56">
        <v>0.65890410958904111</v>
      </c>
      <c r="AO56">
        <v>0.62785388127853881</v>
      </c>
      <c r="AP56">
        <v>0.61963470319634706</v>
      </c>
      <c r="AQ56">
        <v>0.89908675799086757</v>
      </c>
      <c r="AR56">
        <v>0.51894977168949774</v>
      </c>
    </row>
    <row r="57" spans="7:44" x14ac:dyDescent="0.15">
      <c r="G57" s="565">
        <v>13</v>
      </c>
      <c r="H57" s="564">
        <v>0.75433789954337904</v>
      </c>
      <c r="I57" s="564">
        <v>0.78493150684931512</v>
      </c>
      <c r="J57" s="564">
        <v>0.80593607305936077</v>
      </c>
      <c r="K57" s="564">
        <v>0.87602739726027401</v>
      </c>
      <c r="L57" s="564">
        <v>0.74589041095890407</v>
      </c>
      <c r="M57" s="564">
        <v>0.74257990867579904</v>
      </c>
      <c r="N57" s="564">
        <v>0.76404109589041092</v>
      </c>
      <c r="O57" s="564">
        <v>0.73390410958904106</v>
      </c>
      <c r="P57" s="564">
        <v>0.72397260273972608</v>
      </c>
      <c r="Q57" s="564">
        <v>0.66997716894977166</v>
      </c>
      <c r="R57" s="564">
        <v>0.65228310502283104</v>
      </c>
      <c r="S57" s="564">
        <v>0.74589041095890407</v>
      </c>
      <c r="T57" s="564">
        <v>0.94417808219178079</v>
      </c>
      <c r="U57" s="564">
        <v>0.55468036529680365</v>
      </c>
      <c r="V57" s="564">
        <v>0.77579908675799092</v>
      </c>
      <c r="W57" s="564">
        <v>0.70742009132420092</v>
      </c>
      <c r="X57" s="564">
        <v>0.67043378995433789</v>
      </c>
      <c r="Z57" s="655" cm="1">
        <f t="array" ref="Z57">INDEX(H57:X57,1,$B$30)</f>
        <v>0.75433789954337904</v>
      </c>
      <c r="AH57">
        <v>0.75433789954337904</v>
      </c>
      <c r="AI57">
        <v>0.78493150684931512</v>
      </c>
      <c r="AJ57">
        <v>0.80593607305936077</v>
      </c>
      <c r="AK57">
        <v>0.87602739726027401</v>
      </c>
      <c r="AL57">
        <v>0.76404109589041092</v>
      </c>
      <c r="AM57">
        <v>0.77579908675799092</v>
      </c>
      <c r="AN57">
        <v>0.70742009132420092</v>
      </c>
      <c r="AO57">
        <v>0.66997716894977166</v>
      </c>
      <c r="AP57">
        <v>0.67043378995433789</v>
      </c>
      <c r="AQ57">
        <v>0.94417808219178079</v>
      </c>
      <c r="AR57">
        <v>0.55468036529680365</v>
      </c>
    </row>
    <row r="58" spans="7:44" x14ac:dyDescent="0.15">
      <c r="G58" s="565">
        <v>14</v>
      </c>
      <c r="H58" s="564">
        <v>0.7873287671232877</v>
      </c>
      <c r="I58" s="564">
        <v>0.81974885844748857</v>
      </c>
      <c r="J58" s="564">
        <v>0.84509132420091326</v>
      </c>
      <c r="K58" s="564">
        <v>0.89577625570776254</v>
      </c>
      <c r="L58" s="564">
        <v>0.79063926940639273</v>
      </c>
      <c r="M58" s="564">
        <v>0.7909817351598174</v>
      </c>
      <c r="N58" s="564">
        <v>0.80936073059360736</v>
      </c>
      <c r="O58" s="564">
        <v>0.77214611872146122</v>
      </c>
      <c r="P58" s="564">
        <v>0.75821917808219175</v>
      </c>
      <c r="Q58" s="564">
        <v>0.7179223744292238</v>
      </c>
      <c r="R58" s="564">
        <v>0.69086757990867576</v>
      </c>
      <c r="S58" s="564">
        <v>0.79063926940639273</v>
      </c>
      <c r="T58" s="564">
        <v>0.97648401826484021</v>
      </c>
      <c r="U58" s="564">
        <v>0.59063926940639266</v>
      </c>
      <c r="V58" s="564">
        <v>0.82248858447488582</v>
      </c>
      <c r="W58" s="564">
        <v>0.75582191780821917</v>
      </c>
      <c r="X58" s="564">
        <v>0.72328767123287674</v>
      </c>
      <c r="Z58" s="655" cm="1">
        <f t="array" ref="Z58">INDEX(H58:X58,1,$B$30)</f>
        <v>0.7873287671232877</v>
      </c>
      <c r="AH58">
        <v>0.7873287671232877</v>
      </c>
      <c r="AI58">
        <v>0.81974885844748857</v>
      </c>
      <c r="AJ58">
        <v>0.84509132420091326</v>
      </c>
      <c r="AK58">
        <v>0.89577625570776254</v>
      </c>
      <c r="AL58">
        <v>0.80936073059360736</v>
      </c>
      <c r="AM58">
        <v>0.82248858447488582</v>
      </c>
      <c r="AN58">
        <v>0.75582191780821917</v>
      </c>
      <c r="AO58">
        <v>0.7179223744292238</v>
      </c>
      <c r="AP58">
        <v>0.72328767123287674</v>
      </c>
      <c r="AQ58">
        <v>0.97648401826484021</v>
      </c>
      <c r="AR58">
        <v>0.59063926940639266</v>
      </c>
    </row>
    <row r="59" spans="7:44" x14ac:dyDescent="0.15">
      <c r="G59" s="565">
        <v>15</v>
      </c>
      <c r="H59" s="564">
        <v>0.82625570776255708</v>
      </c>
      <c r="I59" s="564">
        <v>0.85468036529680369</v>
      </c>
      <c r="J59" s="564">
        <v>0.87568493150684934</v>
      </c>
      <c r="K59" s="564">
        <v>0.91803652968036531</v>
      </c>
      <c r="L59" s="564">
        <v>0.83755707762557075</v>
      </c>
      <c r="M59" s="564">
        <v>0.8392694063926941</v>
      </c>
      <c r="N59" s="564">
        <v>0.84531963470319638</v>
      </c>
      <c r="O59" s="564">
        <v>0.81084474885844748</v>
      </c>
      <c r="P59" s="564">
        <v>0.79429223744292232</v>
      </c>
      <c r="Q59" s="564">
        <v>0.76210045662100456</v>
      </c>
      <c r="R59" s="564">
        <v>0.72910958904109591</v>
      </c>
      <c r="S59" s="564">
        <v>0.83755707762557075</v>
      </c>
      <c r="T59" s="564">
        <v>0.99235159817351604</v>
      </c>
      <c r="U59" s="564">
        <v>0.63036529680365294</v>
      </c>
      <c r="V59" s="564">
        <v>0.86130136986301364</v>
      </c>
      <c r="W59" s="564">
        <v>0.79965753424657537</v>
      </c>
      <c r="X59" s="564">
        <v>0.77203196347031966</v>
      </c>
      <c r="Z59" s="655" cm="1">
        <f t="array" ref="Z59">INDEX(H59:X59,1,$B$30)</f>
        <v>0.82625570776255708</v>
      </c>
      <c r="AH59">
        <v>0.82625570776255708</v>
      </c>
      <c r="AI59">
        <v>0.85468036529680369</v>
      </c>
      <c r="AJ59">
        <v>0.87568493150684934</v>
      </c>
      <c r="AK59">
        <v>0.91803652968036531</v>
      </c>
      <c r="AL59">
        <v>0.84531963470319638</v>
      </c>
      <c r="AM59">
        <v>0.86130136986301364</v>
      </c>
      <c r="AN59">
        <v>0.79965753424657537</v>
      </c>
      <c r="AO59">
        <v>0.76210045662100456</v>
      </c>
      <c r="AP59">
        <v>0.77203196347031966</v>
      </c>
      <c r="AQ59">
        <v>0.99235159817351604</v>
      </c>
      <c r="AR59">
        <v>0.63036529680365294</v>
      </c>
    </row>
    <row r="60" spans="7:44" x14ac:dyDescent="0.15">
      <c r="G60" s="565">
        <v>16</v>
      </c>
      <c r="H60" s="564">
        <v>0.86187214611872143</v>
      </c>
      <c r="I60" s="564">
        <v>0.88059360730593605</v>
      </c>
      <c r="J60" s="564">
        <v>0.89908675799086757</v>
      </c>
      <c r="K60" s="564">
        <v>0.93550228310502281</v>
      </c>
      <c r="L60" s="564">
        <v>0.86472602739726023</v>
      </c>
      <c r="M60" s="564">
        <v>0.86073059360730597</v>
      </c>
      <c r="N60" s="564">
        <v>0.86312785388127855</v>
      </c>
      <c r="O60" s="564">
        <v>0.83116438356164379</v>
      </c>
      <c r="P60" s="564">
        <v>0.81198630136986305</v>
      </c>
      <c r="Q60" s="564">
        <v>0.78047945205479452</v>
      </c>
      <c r="R60" s="564">
        <v>0.75102739726027401</v>
      </c>
      <c r="S60" s="564">
        <v>0.86472602739726023</v>
      </c>
      <c r="T60" s="564">
        <v>0.99509132420091329</v>
      </c>
      <c r="U60" s="564">
        <v>0.647716894977169</v>
      </c>
      <c r="V60" s="564">
        <v>0.88299086757990863</v>
      </c>
      <c r="W60" s="564">
        <v>0.8238584474885845</v>
      </c>
      <c r="X60" s="564">
        <v>0.79349315068493154</v>
      </c>
      <c r="Z60" s="655" cm="1">
        <f t="array" ref="Z60">INDEX(H60:X60,1,$B$30)</f>
        <v>0.86187214611872143</v>
      </c>
      <c r="AH60">
        <v>0.86187214611872143</v>
      </c>
      <c r="AI60">
        <v>0.88059360730593605</v>
      </c>
      <c r="AJ60">
        <v>0.89908675799086757</v>
      </c>
      <c r="AK60">
        <v>0.93550228310502281</v>
      </c>
      <c r="AL60">
        <v>0.86312785388127855</v>
      </c>
      <c r="AM60">
        <v>0.88299086757990863</v>
      </c>
      <c r="AN60">
        <v>0.8238584474885845</v>
      </c>
      <c r="AO60">
        <v>0.78047945205479452</v>
      </c>
      <c r="AP60">
        <v>0.79349315068493154</v>
      </c>
      <c r="AQ60">
        <v>0.99509132420091329</v>
      </c>
      <c r="AR60">
        <v>0.647716894977169</v>
      </c>
    </row>
    <row r="61" spans="7:44" x14ac:dyDescent="0.15">
      <c r="G61" s="565">
        <v>17</v>
      </c>
      <c r="H61" s="564">
        <v>0.88995433789954337</v>
      </c>
      <c r="I61" s="564">
        <v>0.90388127853881284</v>
      </c>
      <c r="J61" s="564">
        <v>0.92100456621004567</v>
      </c>
      <c r="K61" s="564">
        <v>0.95273972602739732</v>
      </c>
      <c r="L61" s="564">
        <v>0.90559360730593608</v>
      </c>
      <c r="M61" s="564">
        <v>0.89223744292237439</v>
      </c>
      <c r="N61" s="564">
        <v>0.88949771689497714</v>
      </c>
      <c r="O61" s="564">
        <v>0.86906392694063928</v>
      </c>
      <c r="P61" s="564">
        <v>0.8504566210045662</v>
      </c>
      <c r="Q61" s="564">
        <v>0.82351598173515983</v>
      </c>
      <c r="R61" s="564">
        <v>0.7901826484018265</v>
      </c>
      <c r="S61" s="564">
        <v>0.90559360730593608</v>
      </c>
      <c r="T61" s="564">
        <v>0.99840182648401832</v>
      </c>
      <c r="U61" s="564">
        <v>0.68196347031963467</v>
      </c>
      <c r="V61" s="564">
        <v>0.9178082191780822</v>
      </c>
      <c r="W61" s="564">
        <v>0.86335616438356166</v>
      </c>
      <c r="X61" s="564">
        <v>0.83253424657534247</v>
      </c>
      <c r="Z61" s="655" cm="1">
        <f t="array" ref="Z61">INDEX(H61:X61,1,$B$30)</f>
        <v>0.88995433789954337</v>
      </c>
      <c r="AH61">
        <v>0.88995433789954337</v>
      </c>
      <c r="AI61">
        <v>0.90388127853881284</v>
      </c>
      <c r="AJ61">
        <v>0.92100456621004567</v>
      </c>
      <c r="AK61">
        <v>0.95273972602739732</v>
      </c>
      <c r="AL61">
        <v>0.88949771689497714</v>
      </c>
      <c r="AM61">
        <v>0.9178082191780822</v>
      </c>
      <c r="AN61">
        <v>0.86335616438356166</v>
      </c>
      <c r="AO61">
        <v>0.82351598173515983</v>
      </c>
      <c r="AP61">
        <v>0.83253424657534247</v>
      </c>
      <c r="AQ61">
        <v>0.99840182648401832</v>
      </c>
      <c r="AR61">
        <v>0.68196347031963467</v>
      </c>
    </row>
    <row r="62" spans="7:44" x14ac:dyDescent="0.15">
      <c r="G62" s="565">
        <v>18</v>
      </c>
      <c r="H62" s="564">
        <v>0.91358447488584471</v>
      </c>
      <c r="I62" s="564">
        <v>0.92260273972602735</v>
      </c>
      <c r="J62" s="564">
        <v>0.9389269406392694</v>
      </c>
      <c r="K62" s="564">
        <v>0.9671232876712329</v>
      </c>
      <c r="L62" s="564">
        <v>0.93618721461187215</v>
      </c>
      <c r="M62" s="564">
        <v>0.92682648401826484</v>
      </c>
      <c r="N62" s="564">
        <v>0.91461187214611872</v>
      </c>
      <c r="O62" s="564">
        <v>0.90148401826484015</v>
      </c>
      <c r="P62" s="564">
        <v>0.88789954337899546</v>
      </c>
      <c r="Q62" s="564">
        <v>0.86461187214611868</v>
      </c>
      <c r="R62" s="564">
        <v>0.82773972602739732</v>
      </c>
      <c r="S62" s="564">
        <v>0.93618721461187215</v>
      </c>
      <c r="T62" s="564">
        <v>1</v>
      </c>
      <c r="U62" s="564">
        <v>0.71826484018264836</v>
      </c>
      <c r="V62" s="564">
        <v>0.94509132420091324</v>
      </c>
      <c r="W62" s="564">
        <v>0.8987442922374429</v>
      </c>
      <c r="X62" s="564">
        <v>0.86906392694063928</v>
      </c>
      <c r="Z62" s="655" cm="1">
        <f t="array" ref="Z62">INDEX(H62:X62,1,$B$30)</f>
        <v>0.91358447488584471</v>
      </c>
      <c r="AH62">
        <v>0.91358447488584471</v>
      </c>
      <c r="AI62">
        <v>0.92260273972602735</v>
      </c>
      <c r="AJ62">
        <v>0.9389269406392694</v>
      </c>
      <c r="AK62">
        <v>0.9671232876712329</v>
      </c>
      <c r="AL62">
        <v>0.91461187214611872</v>
      </c>
      <c r="AM62">
        <v>0.94509132420091324</v>
      </c>
      <c r="AN62">
        <v>0.8987442922374429</v>
      </c>
      <c r="AO62">
        <v>0.86461187214611868</v>
      </c>
      <c r="AP62">
        <v>0.86906392694063928</v>
      </c>
      <c r="AQ62">
        <v>1</v>
      </c>
      <c r="AR62">
        <v>0.71826484018264836</v>
      </c>
    </row>
    <row r="63" spans="7:44" x14ac:dyDescent="0.15">
      <c r="G63" s="565">
        <v>19</v>
      </c>
      <c r="H63" s="564">
        <v>0.93219178082191778</v>
      </c>
      <c r="I63" s="564">
        <v>0.93835616438356162</v>
      </c>
      <c r="J63" s="564">
        <v>0.95490867579908678</v>
      </c>
      <c r="K63" s="564">
        <v>0.97602739726027399</v>
      </c>
      <c r="L63" s="564">
        <v>0.96175799086757996</v>
      </c>
      <c r="M63" s="564">
        <v>0.9488584474885845</v>
      </c>
      <c r="N63" s="564">
        <v>0.93641552511415527</v>
      </c>
      <c r="O63" s="564">
        <v>0.92625570776255706</v>
      </c>
      <c r="P63" s="564">
        <v>0.91837899543378998</v>
      </c>
      <c r="Q63" s="564">
        <v>0.89452054794520552</v>
      </c>
      <c r="R63" s="564">
        <v>0.86472602739726023</v>
      </c>
      <c r="S63" s="564">
        <v>0.96175799086757996</v>
      </c>
      <c r="T63" s="564">
        <v>1</v>
      </c>
      <c r="U63" s="564">
        <v>0.75205479452054791</v>
      </c>
      <c r="V63" s="564">
        <v>0.96369863013698631</v>
      </c>
      <c r="W63" s="564">
        <v>0.92625570776255706</v>
      </c>
      <c r="X63" s="564">
        <v>0.9031963470319635</v>
      </c>
      <c r="Z63" s="655" cm="1">
        <f t="array" ref="Z63">INDEX(H63:X63,1,$B$30)</f>
        <v>0.93219178082191778</v>
      </c>
      <c r="AH63">
        <v>0.93219178082191778</v>
      </c>
      <c r="AI63">
        <v>0.93835616438356162</v>
      </c>
      <c r="AJ63">
        <v>0.95490867579908678</v>
      </c>
      <c r="AK63">
        <v>0.97602739726027399</v>
      </c>
      <c r="AL63">
        <v>0.93641552511415527</v>
      </c>
      <c r="AM63">
        <v>0.96369863013698631</v>
      </c>
      <c r="AN63">
        <v>0.92625570776255706</v>
      </c>
      <c r="AO63">
        <v>0.89452054794520552</v>
      </c>
      <c r="AP63">
        <v>0.9031963470319635</v>
      </c>
      <c r="AQ63">
        <v>1</v>
      </c>
      <c r="AR63">
        <v>0.75205479452054791</v>
      </c>
    </row>
    <row r="64" spans="7:44" x14ac:dyDescent="0.15">
      <c r="G64" s="565">
        <v>20</v>
      </c>
      <c r="H64" s="564">
        <v>0.94783105022831049</v>
      </c>
      <c r="I64" s="564">
        <v>0.95490867579908678</v>
      </c>
      <c r="J64" s="564">
        <v>0.96700913242009134</v>
      </c>
      <c r="K64" s="564">
        <v>0.98264840182648405</v>
      </c>
      <c r="L64" s="564">
        <v>0.97636986301369866</v>
      </c>
      <c r="M64" s="564">
        <v>0.966324200913242</v>
      </c>
      <c r="N64" s="564">
        <v>0.95399543378995433</v>
      </c>
      <c r="O64" s="564">
        <v>0.95079908675799085</v>
      </c>
      <c r="P64" s="564">
        <v>0.94200913242009132</v>
      </c>
      <c r="Q64" s="564">
        <v>0.92123287671232879</v>
      </c>
      <c r="R64" s="564">
        <v>0.8969178082191781</v>
      </c>
      <c r="S64" s="564">
        <v>0.97636986301369866</v>
      </c>
      <c r="T64" s="564">
        <v>1</v>
      </c>
      <c r="U64" s="564">
        <v>0.78436073059360734</v>
      </c>
      <c r="V64" s="564">
        <v>0.97659817351598177</v>
      </c>
      <c r="W64" s="564">
        <v>0.9480593607305936</v>
      </c>
      <c r="X64" s="564">
        <v>0.92842465753424652</v>
      </c>
      <c r="Z64" s="655" cm="1">
        <f t="array" ref="Z64">INDEX(H64:X64,1,$B$30)</f>
        <v>0.94783105022831049</v>
      </c>
      <c r="AH64">
        <v>0.94783105022831049</v>
      </c>
      <c r="AI64">
        <v>0.95490867579908678</v>
      </c>
      <c r="AJ64">
        <v>0.96700913242009134</v>
      </c>
      <c r="AK64">
        <v>0.98264840182648405</v>
      </c>
      <c r="AL64">
        <v>0.95399543378995433</v>
      </c>
      <c r="AM64">
        <v>0.97659817351598177</v>
      </c>
      <c r="AN64">
        <v>0.9480593607305936</v>
      </c>
      <c r="AO64">
        <v>0.92123287671232879</v>
      </c>
      <c r="AP64">
        <v>0.92842465753424652</v>
      </c>
      <c r="AQ64">
        <v>1</v>
      </c>
      <c r="AR64">
        <v>0.78436073059360734</v>
      </c>
    </row>
    <row r="65" spans="7:44" x14ac:dyDescent="0.15">
      <c r="G65" s="565">
        <v>21</v>
      </c>
      <c r="H65" s="564">
        <v>0.96324200913242009</v>
      </c>
      <c r="I65" s="564">
        <v>0.96757990867579913</v>
      </c>
      <c r="J65" s="564">
        <v>0.9780821917808219</v>
      </c>
      <c r="K65" s="564">
        <v>0.98789954337899544</v>
      </c>
      <c r="L65" s="564">
        <v>0.98344748858447484</v>
      </c>
      <c r="M65" s="564">
        <v>0.97328767123287674</v>
      </c>
      <c r="N65" s="564">
        <v>0.96107305936073062</v>
      </c>
      <c r="O65" s="564">
        <v>0.96198630136986296</v>
      </c>
      <c r="P65" s="564">
        <v>0.95125570776255708</v>
      </c>
      <c r="Q65" s="564">
        <v>0.93287671232876712</v>
      </c>
      <c r="R65" s="564">
        <v>0.91255707762557081</v>
      </c>
      <c r="S65" s="564">
        <v>0.98344748858447484</v>
      </c>
      <c r="T65" s="564">
        <v>1</v>
      </c>
      <c r="U65" s="564">
        <v>0.80136986301369861</v>
      </c>
      <c r="V65" s="564">
        <v>0.9817351598173516</v>
      </c>
      <c r="W65" s="564">
        <v>0.95913242009132416</v>
      </c>
      <c r="X65" s="564">
        <v>0.9397260273972603</v>
      </c>
      <c r="Z65" s="655" cm="1">
        <f t="array" ref="Z65">INDEX(H65:X65,1,$B$30)</f>
        <v>0.96324200913242009</v>
      </c>
      <c r="AH65">
        <v>0.96324200913242009</v>
      </c>
      <c r="AI65">
        <v>0.96757990867579913</v>
      </c>
      <c r="AJ65">
        <v>0.9780821917808219</v>
      </c>
      <c r="AK65">
        <v>0.98789954337899544</v>
      </c>
      <c r="AL65">
        <v>0.96107305936073062</v>
      </c>
      <c r="AM65">
        <v>0.9817351598173516</v>
      </c>
      <c r="AN65">
        <v>0.95913242009132416</v>
      </c>
      <c r="AO65">
        <v>0.93287671232876712</v>
      </c>
      <c r="AP65">
        <v>0.9397260273972603</v>
      </c>
      <c r="AQ65">
        <v>1</v>
      </c>
      <c r="AR65">
        <v>0.80136986301369861</v>
      </c>
    </row>
    <row r="66" spans="7:44" x14ac:dyDescent="0.15">
      <c r="G66" s="565">
        <v>22</v>
      </c>
      <c r="H66" s="564">
        <v>0.97283105022831051</v>
      </c>
      <c r="I66" s="564">
        <v>0.97751141552511411</v>
      </c>
      <c r="J66" s="564">
        <v>0.98652968036529676</v>
      </c>
      <c r="K66" s="564">
        <v>0.9916666666666667</v>
      </c>
      <c r="L66" s="564">
        <v>0.99155251141552514</v>
      </c>
      <c r="M66" s="564">
        <v>0.98436073059360729</v>
      </c>
      <c r="N66" s="564">
        <v>0.97305936073059363</v>
      </c>
      <c r="O66" s="564">
        <v>0.97408675799086752</v>
      </c>
      <c r="P66" s="564">
        <v>0.96643835616438356</v>
      </c>
      <c r="Q66" s="564">
        <v>0.95091324200913241</v>
      </c>
      <c r="R66" s="564">
        <v>0.93515981735159814</v>
      </c>
      <c r="S66" s="564">
        <v>0.99155251141552514</v>
      </c>
      <c r="T66" s="564">
        <v>1</v>
      </c>
      <c r="U66" s="564">
        <v>0.83105022831050224</v>
      </c>
      <c r="V66" s="564">
        <v>0.98847031963470322</v>
      </c>
      <c r="W66" s="564">
        <v>0.97454337899543375</v>
      </c>
      <c r="X66" s="564">
        <v>0.95684931506849313</v>
      </c>
      <c r="Z66" s="655" cm="1">
        <f t="array" ref="Z66">INDEX(H66:X66,1,$B$30)</f>
        <v>0.97283105022831051</v>
      </c>
      <c r="AH66">
        <v>0.97283105022831051</v>
      </c>
      <c r="AI66">
        <v>0.97751141552511411</v>
      </c>
      <c r="AJ66">
        <v>0.98652968036529676</v>
      </c>
      <c r="AK66">
        <v>0.9916666666666667</v>
      </c>
      <c r="AL66">
        <v>0.97305936073059363</v>
      </c>
      <c r="AM66">
        <v>0.98847031963470322</v>
      </c>
      <c r="AN66">
        <v>0.97454337899543375</v>
      </c>
      <c r="AO66">
        <v>0.95091324200913241</v>
      </c>
      <c r="AP66">
        <v>0.95684931506849313</v>
      </c>
      <c r="AQ66">
        <v>1</v>
      </c>
      <c r="AR66">
        <v>0.83105022831050224</v>
      </c>
    </row>
    <row r="67" spans="7:44" x14ac:dyDescent="0.15">
      <c r="G67" s="565">
        <v>23</v>
      </c>
      <c r="H67" s="564">
        <v>0.98082191780821915</v>
      </c>
      <c r="I67" s="564">
        <v>0.9853881278538813</v>
      </c>
      <c r="J67" s="564">
        <v>0.99303652968036527</v>
      </c>
      <c r="K67" s="564">
        <v>0.99497716894977173</v>
      </c>
      <c r="L67" s="564">
        <v>0.99691780821917808</v>
      </c>
      <c r="M67" s="564">
        <v>0.9926940639269406</v>
      </c>
      <c r="N67" s="564">
        <v>0.98264840182648405</v>
      </c>
      <c r="O67" s="564">
        <v>0.98413242009132418</v>
      </c>
      <c r="P67" s="564">
        <v>0.97785388127853878</v>
      </c>
      <c r="Q67" s="564">
        <v>0.9671232876712329</v>
      </c>
      <c r="R67" s="564">
        <v>0.95525114155251145</v>
      </c>
      <c r="S67" s="564">
        <v>0.99691780821917808</v>
      </c>
      <c r="T67" s="564">
        <v>1</v>
      </c>
      <c r="U67" s="564">
        <v>0.86107305936073064</v>
      </c>
      <c r="V67" s="564">
        <v>0.99372146118721461</v>
      </c>
      <c r="W67" s="564">
        <v>0.98561643835616441</v>
      </c>
      <c r="X67" s="564">
        <v>0.96986301369863015</v>
      </c>
      <c r="Z67" s="655" cm="1">
        <f t="array" ref="Z67">INDEX(H67:X67,1,$B$30)</f>
        <v>0.98082191780821915</v>
      </c>
      <c r="AH67">
        <v>0.98082191780821915</v>
      </c>
      <c r="AI67">
        <v>0.9853881278538813</v>
      </c>
      <c r="AJ67">
        <v>0.99303652968036527</v>
      </c>
      <c r="AK67">
        <v>0.99497716894977173</v>
      </c>
      <c r="AL67">
        <v>0.98264840182648405</v>
      </c>
      <c r="AM67">
        <v>0.99372146118721461</v>
      </c>
      <c r="AN67">
        <v>0.98561643835616441</v>
      </c>
      <c r="AO67">
        <v>0.9671232876712329</v>
      </c>
      <c r="AP67">
        <v>0.96986301369863015</v>
      </c>
      <c r="AQ67">
        <v>1</v>
      </c>
      <c r="AR67">
        <v>0.86107305936073064</v>
      </c>
    </row>
    <row r="68" spans="7:44" x14ac:dyDescent="0.15">
      <c r="G68" s="565">
        <v>24</v>
      </c>
      <c r="H68" s="564">
        <v>0.98550228310502286</v>
      </c>
      <c r="I68" s="564">
        <v>0.99098173515981736</v>
      </c>
      <c r="J68" s="564">
        <v>0.99760273972602742</v>
      </c>
      <c r="K68" s="564">
        <v>0.99748858447488586</v>
      </c>
      <c r="L68" s="564">
        <v>0.99977168949771689</v>
      </c>
      <c r="M68" s="564">
        <v>0.99760273972602742</v>
      </c>
      <c r="N68" s="564">
        <v>0.99041095890410957</v>
      </c>
      <c r="O68" s="564">
        <v>0.99132420091324203</v>
      </c>
      <c r="P68" s="564">
        <v>0.98732876712328765</v>
      </c>
      <c r="Q68" s="564">
        <v>0.97819634703196345</v>
      </c>
      <c r="R68" s="564">
        <v>0.97111872146118716</v>
      </c>
      <c r="S68" s="564">
        <v>0.99977168949771689</v>
      </c>
      <c r="T68" s="564">
        <v>1</v>
      </c>
      <c r="U68" s="564">
        <v>0.89109589041095894</v>
      </c>
      <c r="V68" s="564">
        <v>0.9963470319634703</v>
      </c>
      <c r="W68" s="564">
        <v>0.99257990867579904</v>
      </c>
      <c r="X68" s="564">
        <v>0.98036529680365292</v>
      </c>
      <c r="Z68" s="655" cm="1">
        <f t="array" ref="Z68">INDEX(H68:X68,1,$B$30)</f>
        <v>0.98550228310502286</v>
      </c>
      <c r="AH68">
        <v>0.98550228310502286</v>
      </c>
      <c r="AI68">
        <v>0.99098173515981736</v>
      </c>
      <c r="AJ68">
        <v>0.99760273972602742</v>
      </c>
      <c r="AK68">
        <v>0.99748858447488586</v>
      </c>
      <c r="AL68">
        <v>0.99041095890410957</v>
      </c>
      <c r="AM68">
        <v>0.9963470319634703</v>
      </c>
      <c r="AN68">
        <v>0.99257990867579904</v>
      </c>
      <c r="AO68">
        <v>0.97819634703196345</v>
      </c>
      <c r="AP68">
        <v>0.98036529680365292</v>
      </c>
      <c r="AQ68">
        <v>1</v>
      </c>
      <c r="AR68">
        <v>0.89109589041095894</v>
      </c>
    </row>
    <row r="69" spans="7:44" x14ac:dyDescent="0.15">
      <c r="G69" s="565">
        <v>25</v>
      </c>
      <c r="H69" s="564">
        <v>0.98949771689497712</v>
      </c>
      <c r="I69" s="564">
        <v>0.99520547945205484</v>
      </c>
      <c r="J69" s="564">
        <v>0.9992009132420091</v>
      </c>
      <c r="K69" s="564">
        <v>0.99851598173515976</v>
      </c>
      <c r="L69" s="564">
        <v>1</v>
      </c>
      <c r="M69" s="564">
        <v>0.99977168949771689</v>
      </c>
      <c r="N69" s="564">
        <v>0.99566210045662096</v>
      </c>
      <c r="O69" s="564">
        <v>0.99566210045662096</v>
      </c>
      <c r="P69" s="564">
        <v>0.99326484018264838</v>
      </c>
      <c r="Q69" s="564">
        <v>0.98732876712328765</v>
      </c>
      <c r="R69" s="564">
        <v>0.98344748858447484</v>
      </c>
      <c r="S69" s="564">
        <v>1</v>
      </c>
      <c r="T69" s="564">
        <v>1</v>
      </c>
      <c r="U69" s="564">
        <v>0.91792237442922375</v>
      </c>
      <c r="V69" s="564">
        <v>0.99840182648401832</v>
      </c>
      <c r="W69" s="564">
        <v>0.99589041095890407</v>
      </c>
      <c r="X69" s="564">
        <v>0.98710045662100454</v>
      </c>
      <c r="Z69" s="655" cm="1">
        <f t="array" ref="Z69">INDEX(H69:X69,1,$B$30)</f>
        <v>0.98949771689497712</v>
      </c>
      <c r="AH69">
        <v>0.98949771689497712</v>
      </c>
      <c r="AI69">
        <v>0.99520547945205484</v>
      </c>
      <c r="AJ69">
        <v>0.9992009132420091</v>
      </c>
      <c r="AK69">
        <v>0.99851598173515976</v>
      </c>
      <c r="AL69">
        <v>0.99566210045662096</v>
      </c>
      <c r="AM69">
        <v>0.99840182648401832</v>
      </c>
      <c r="AN69">
        <v>0.99589041095890407</v>
      </c>
      <c r="AO69">
        <v>0.98732876712328765</v>
      </c>
      <c r="AP69">
        <v>0.98710045662100454</v>
      </c>
      <c r="AQ69">
        <v>1</v>
      </c>
      <c r="AR69">
        <v>0.91792237442922375</v>
      </c>
    </row>
    <row r="70" spans="7:44" x14ac:dyDescent="0.15">
      <c r="G70" s="565">
        <v>26</v>
      </c>
      <c r="H70" s="564">
        <v>0.99372146118721461</v>
      </c>
      <c r="I70" s="564">
        <v>0.99691780821917808</v>
      </c>
      <c r="J70" s="564">
        <v>0.99965753424657533</v>
      </c>
      <c r="K70" s="564">
        <v>0.99954337899543377</v>
      </c>
      <c r="L70" s="564">
        <v>1</v>
      </c>
      <c r="M70" s="564">
        <v>1</v>
      </c>
      <c r="N70" s="564">
        <v>0.9981735159817352</v>
      </c>
      <c r="O70" s="564">
        <v>0.99760273972602742</v>
      </c>
      <c r="P70" s="564">
        <v>0.9953196347031964</v>
      </c>
      <c r="Q70" s="564">
        <v>0.99018264840182646</v>
      </c>
      <c r="R70" s="564">
        <v>0.98755707762557077</v>
      </c>
      <c r="S70" s="564">
        <v>1</v>
      </c>
      <c r="T70" s="564">
        <v>1</v>
      </c>
      <c r="U70" s="564">
        <v>0.92968036529680365</v>
      </c>
      <c r="V70" s="564">
        <v>0.99908675799086755</v>
      </c>
      <c r="W70" s="564">
        <v>0.99714611872146119</v>
      </c>
      <c r="X70" s="564">
        <v>0.99075342465753424</v>
      </c>
      <c r="Z70" s="655" cm="1">
        <f t="array" ref="Z70">INDEX(H70:X70,1,$B$30)</f>
        <v>0.99372146118721461</v>
      </c>
      <c r="AH70">
        <v>0.99372146118721461</v>
      </c>
      <c r="AI70">
        <v>0.99691780821917808</v>
      </c>
      <c r="AJ70">
        <v>0.99965753424657533</v>
      </c>
      <c r="AK70">
        <v>0.99954337899543377</v>
      </c>
      <c r="AL70">
        <v>0.9981735159817352</v>
      </c>
      <c r="AM70">
        <v>0.99908675799086755</v>
      </c>
      <c r="AN70">
        <v>0.99714611872146119</v>
      </c>
      <c r="AO70">
        <v>0.99018264840182646</v>
      </c>
      <c r="AP70">
        <v>0.99075342465753424</v>
      </c>
      <c r="AQ70">
        <v>1</v>
      </c>
      <c r="AR70">
        <v>0.92968036529680365</v>
      </c>
    </row>
    <row r="71" spans="7:44" x14ac:dyDescent="0.15">
      <c r="G71" s="565">
        <v>27</v>
      </c>
      <c r="H71" s="564">
        <v>0.99668949771689497</v>
      </c>
      <c r="I71" s="564">
        <v>0.99840182648401832</v>
      </c>
      <c r="J71" s="564">
        <v>1</v>
      </c>
      <c r="K71" s="564">
        <v>1</v>
      </c>
      <c r="L71" s="564">
        <v>1</v>
      </c>
      <c r="M71" s="564">
        <v>1</v>
      </c>
      <c r="N71" s="564">
        <v>0.9992009132420091</v>
      </c>
      <c r="O71" s="564">
        <v>0.99931506849315066</v>
      </c>
      <c r="P71" s="564">
        <v>0.99805936073059365</v>
      </c>
      <c r="Q71" s="564">
        <v>0.99543378995433784</v>
      </c>
      <c r="R71" s="564">
        <v>0.99337899543378994</v>
      </c>
      <c r="S71" s="564">
        <v>1</v>
      </c>
      <c r="T71" s="564">
        <v>1</v>
      </c>
      <c r="U71" s="564">
        <v>0.94897260273972606</v>
      </c>
      <c r="V71" s="564">
        <v>0.99965753424657533</v>
      </c>
      <c r="W71" s="564">
        <v>0.99885844748858443</v>
      </c>
      <c r="X71" s="564">
        <v>0.99429223744292239</v>
      </c>
      <c r="Z71" s="655" cm="1">
        <f t="array" ref="Z71">INDEX(H71:X71,1,$B$30)</f>
        <v>0.99668949771689497</v>
      </c>
      <c r="AH71">
        <v>0.99668949771689497</v>
      </c>
      <c r="AI71">
        <v>0.99840182648401832</v>
      </c>
      <c r="AJ71">
        <v>1</v>
      </c>
      <c r="AK71">
        <v>1</v>
      </c>
      <c r="AL71">
        <v>0.9992009132420091</v>
      </c>
      <c r="AM71">
        <v>0.99965753424657533</v>
      </c>
      <c r="AN71">
        <v>0.99885844748858443</v>
      </c>
      <c r="AO71">
        <v>0.99543378995433784</v>
      </c>
      <c r="AP71">
        <v>0.99429223744292239</v>
      </c>
      <c r="AQ71">
        <v>1</v>
      </c>
      <c r="AR71">
        <v>0.94897260273972606</v>
      </c>
    </row>
    <row r="72" spans="7:44" x14ac:dyDescent="0.15">
      <c r="G72" s="565">
        <v>28</v>
      </c>
      <c r="H72" s="564">
        <v>0.99874429223744288</v>
      </c>
      <c r="I72" s="564">
        <v>0.9992009132420091</v>
      </c>
      <c r="J72" s="564">
        <v>1</v>
      </c>
      <c r="K72" s="564">
        <v>1</v>
      </c>
      <c r="L72" s="564">
        <v>1</v>
      </c>
      <c r="M72" s="564">
        <v>1</v>
      </c>
      <c r="N72" s="564">
        <v>1</v>
      </c>
      <c r="O72" s="564">
        <v>0.99988584474885844</v>
      </c>
      <c r="P72" s="564">
        <v>0.99931506849315066</v>
      </c>
      <c r="Q72" s="564">
        <v>0.99760273972602742</v>
      </c>
      <c r="R72" s="564">
        <v>0.99726027397260275</v>
      </c>
      <c r="S72" s="564">
        <v>1</v>
      </c>
      <c r="T72" s="564">
        <v>1</v>
      </c>
      <c r="U72" s="564">
        <v>0.96461187214611877</v>
      </c>
      <c r="V72" s="564">
        <v>1</v>
      </c>
      <c r="W72" s="564">
        <v>0.99965753424657533</v>
      </c>
      <c r="X72" s="564">
        <v>0.99657534246575341</v>
      </c>
      <c r="Z72" s="655" cm="1">
        <f t="array" ref="Z72">INDEX(H72:X72,1,$B$30)</f>
        <v>0.99874429223744288</v>
      </c>
      <c r="AH72">
        <v>0.99874429223744288</v>
      </c>
      <c r="AI72">
        <v>0.9992009132420091</v>
      </c>
      <c r="AJ72">
        <v>1</v>
      </c>
      <c r="AK72">
        <v>1</v>
      </c>
      <c r="AL72">
        <v>1</v>
      </c>
      <c r="AM72">
        <v>1</v>
      </c>
      <c r="AN72">
        <v>0.99965753424657533</v>
      </c>
      <c r="AO72">
        <v>0.99760273972602742</v>
      </c>
      <c r="AP72">
        <v>0.99657534246575341</v>
      </c>
      <c r="AQ72">
        <v>1</v>
      </c>
      <c r="AR72">
        <v>0.96461187214611877</v>
      </c>
    </row>
    <row r="73" spans="7:44" x14ac:dyDescent="0.15">
      <c r="G73" s="565">
        <v>29</v>
      </c>
      <c r="H73" s="564">
        <v>0.99965753424657533</v>
      </c>
      <c r="I73" s="564">
        <v>0.99977168949771689</v>
      </c>
      <c r="J73" s="564">
        <v>1</v>
      </c>
      <c r="K73" s="564">
        <v>1</v>
      </c>
      <c r="L73" s="564">
        <v>1</v>
      </c>
      <c r="M73" s="564">
        <v>1</v>
      </c>
      <c r="N73" s="564">
        <v>1</v>
      </c>
      <c r="O73" s="564">
        <v>1</v>
      </c>
      <c r="P73" s="564">
        <v>1</v>
      </c>
      <c r="Q73" s="564">
        <v>0.9992009132420091</v>
      </c>
      <c r="R73" s="564">
        <v>0.99863013698630132</v>
      </c>
      <c r="S73" s="564">
        <v>1</v>
      </c>
      <c r="T73" s="564">
        <v>1</v>
      </c>
      <c r="U73" s="564">
        <v>0.97671232876712333</v>
      </c>
      <c r="V73" s="564">
        <v>1</v>
      </c>
      <c r="W73" s="564">
        <v>1</v>
      </c>
      <c r="X73" s="564">
        <v>0.99885844748858443</v>
      </c>
      <c r="Z73" s="655" cm="1">
        <f t="array" ref="Z73">INDEX(H73:X73,1,$B$30)</f>
        <v>0.99965753424657533</v>
      </c>
      <c r="AH73">
        <v>0.99965753424657533</v>
      </c>
      <c r="AI73">
        <v>0.99977168949771689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0.9992009132420091</v>
      </c>
      <c r="AP73">
        <v>0.99885844748858443</v>
      </c>
      <c r="AQ73">
        <v>1</v>
      </c>
      <c r="AR73">
        <v>0.97671232876712333</v>
      </c>
    </row>
    <row r="74" spans="7:44" x14ac:dyDescent="0.15">
      <c r="G74" s="565">
        <v>30</v>
      </c>
      <c r="H74" s="564">
        <v>1</v>
      </c>
      <c r="I74" s="564">
        <v>1</v>
      </c>
      <c r="J74" s="564">
        <v>1</v>
      </c>
      <c r="K74" s="564">
        <v>1</v>
      </c>
      <c r="L74" s="564">
        <v>1</v>
      </c>
      <c r="M74" s="564">
        <v>1</v>
      </c>
      <c r="N74" s="564">
        <v>1</v>
      </c>
      <c r="O74" s="564">
        <v>1</v>
      </c>
      <c r="P74" s="564">
        <v>1</v>
      </c>
      <c r="Q74" s="564">
        <v>1</v>
      </c>
      <c r="R74" s="564">
        <v>0.99977168949771689</v>
      </c>
      <c r="S74" s="564">
        <v>1</v>
      </c>
      <c r="T74" s="564">
        <v>1</v>
      </c>
      <c r="U74" s="564">
        <v>0.98527397260273974</v>
      </c>
      <c r="V74" s="564">
        <v>1</v>
      </c>
      <c r="W74" s="564">
        <v>1</v>
      </c>
      <c r="X74" s="564">
        <v>0.99988584474885844</v>
      </c>
      <c r="Z74" s="655" cm="1">
        <f t="array" ref="Z74">INDEX(H74:X74,1,$B$30)</f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0.99988584474885844</v>
      </c>
      <c r="AQ74">
        <v>1</v>
      </c>
      <c r="AR74">
        <v>0.98527397260273974</v>
      </c>
    </row>
    <row r="75" spans="7:44" x14ac:dyDescent="0.15">
      <c r="G75" s="565">
        <v>31</v>
      </c>
      <c r="H75" s="564">
        <v>1</v>
      </c>
      <c r="I75" s="564">
        <v>1</v>
      </c>
      <c r="J75" s="564">
        <v>1</v>
      </c>
      <c r="K75" s="564">
        <v>1</v>
      </c>
      <c r="L75" s="564">
        <v>1</v>
      </c>
      <c r="M75" s="564">
        <v>1</v>
      </c>
      <c r="N75" s="564">
        <v>1</v>
      </c>
      <c r="O75" s="564">
        <v>1</v>
      </c>
      <c r="P75" s="564">
        <v>1</v>
      </c>
      <c r="Q75" s="564">
        <v>1</v>
      </c>
      <c r="R75" s="564">
        <v>1</v>
      </c>
      <c r="S75" s="564">
        <v>1</v>
      </c>
      <c r="T75" s="564">
        <v>1</v>
      </c>
      <c r="U75" s="564">
        <v>0.98892694063926945</v>
      </c>
      <c r="V75" s="564">
        <v>1</v>
      </c>
      <c r="W75" s="564">
        <v>1</v>
      </c>
      <c r="X75" s="564">
        <v>1</v>
      </c>
      <c r="Z75" s="655" cm="1">
        <f t="array" ref="Z75">INDEX(H75:X75,1,$B$30)</f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  <c r="AN75">
        <v>1</v>
      </c>
      <c r="AO75">
        <v>1</v>
      </c>
      <c r="AP75">
        <v>1</v>
      </c>
      <c r="AQ75">
        <v>1</v>
      </c>
      <c r="AR75">
        <v>0.98892694063926945</v>
      </c>
    </row>
    <row r="76" spans="7:44" x14ac:dyDescent="0.15">
      <c r="G76" s="565">
        <v>32</v>
      </c>
      <c r="H76" s="564">
        <v>1</v>
      </c>
      <c r="I76" s="564">
        <v>1</v>
      </c>
      <c r="J76" s="564">
        <v>1</v>
      </c>
      <c r="K76" s="564">
        <v>1</v>
      </c>
      <c r="L76" s="564">
        <v>1</v>
      </c>
      <c r="M76" s="564">
        <v>1</v>
      </c>
      <c r="N76" s="564">
        <v>1</v>
      </c>
      <c r="O76" s="564">
        <v>1</v>
      </c>
      <c r="P76" s="564">
        <v>1</v>
      </c>
      <c r="Q76" s="564">
        <v>1</v>
      </c>
      <c r="R76" s="564">
        <v>1</v>
      </c>
      <c r="S76" s="564">
        <v>1</v>
      </c>
      <c r="T76" s="564">
        <v>1</v>
      </c>
      <c r="U76" s="564">
        <v>0.99417808219178083</v>
      </c>
      <c r="V76" s="564">
        <v>1</v>
      </c>
      <c r="W76" s="564">
        <v>1</v>
      </c>
      <c r="X76" s="564">
        <v>1</v>
      </c>
      <c r="Z76" s="655" cm="1">
        <f t="array" ref="Z76">INDEX(H76:X76,1,$B$30)</f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0.99417808219178083</v>
      </c>
    </row>
    <row r="77" spans="7:44" x14ac:dyDescent="0.15">
      <c r="G77" s="565">
        <v>33</v>
      </c>
      <c r="H77" s="564">
        <v>1</v>
      </c>
      <c r="I77" s="564">
        <v>1</v>
      </c>
      <c r="J77" s="564">
        <v>1</v>
      </c>
      <c r="K77" s="564">
        <v>1</v>
      </c>
      <c r="L77" s="564">
        <v>1</v>
      </c>
      <c r="M77" s="564">
        <v>1</v>
      </c>
      <c r="N77" s="564">
        <v>1</v>
      </c>
      <c r="O77" s="564">
        <v>1</v>
      </c>
      <c r="P77" s="564">
        <v>1</v>
      </c>
      <c r="Q77" s="564">
        <v>1</v>
      </c>
      <c r="R77" s="564">
        <v>1</v>
      </c>
      <c r="S77" s="564">
        <v>1</v>
      </c>
      <c r="T77" s="564">
        <v>1</v>
      </c>
      <c r="U77" s="564">
        <v>0.99714611872146119</v>
      </c>
      <c r="V77" s="564">
        <v>1</v>
      </c>
      <c r="W77" s="564">
        <v>1</v>
      </c>
      <c r="X77" s="564">
        <v>1</v>
      </c>
      <c r="Z77" s="655" cm="1">
        <f t="array" ref="Z77">INDEX(H77:X77,1,$B$30)</f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0.99714611872146119</v>
      </c>
    </row>
    <row r="78" spans="7:44" x14ac:dyDescent="0.15">
      <c r="G78" s="565">
        <v>34</v>
      </c>
      <c r="H78" s="564">
        <v>1</v>
      </c>
      <c r="I78" s="564">
        <v>1</v>
      </c>
      <c r="J78" s="564">
        <v>1</v>
      </c>
      <c r="K78" s="564">
        <v>1</v>
      </c>
      <c r="L78" s="564">
        <v>1</v>
      </c>
      <c r="M78" s="564">
        <v>1</v>
      </c>
      <c r="N78" s="564">
        <v>1</v>
      </c>
      <c r="O78" s="564">
        <v>1</v>
      </c>
      <c r="P78" s="564">
        <v>1</v>
      </c>
      <c r="Q78" s="564">
        <v>1</v>
      </c>
      <c r="R78" s="564">
        <v>1</v>
      </c>
      <c r="S78" s="564">
        <v>1</v>
      </c>
      <c r="T78" s="564">
        <v>1</v>
      </c>
      <c r="U78" s="564">
        <v>0.99908675799086755</v>
      </c>
      <c r="V78" s="564">
        <v>1</v>
      </c>
      <c r="W78" s="564">
        <v>1</v>
      </c>
      <c r="X78" s="564">
        <v>1</v>
      </c>
      <c r="Z78" s="655" cm="1">
        <f t="array" ref="Z78">INDEX(H78:X78,1,$B$30)</f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1</v>
      </c>
      <c r="AQ78">
        <v>1</v>
      </c>
      <c r="AR78">
        <v>0.99908675799086755</v>
      </c>
    </row>
    <row r="79" spans="7:44" x14ac:dyDescent="0.15">
      <c r="G79" s="565">
        <v>35</v>
      </c>
      <c r="H79" s="564">
        <v>1</v>
      </c>
      <c r="I79" s="564">
        <v>1</v>
      </c>
      <c r="J79" s="564">
        <v>1</v>
      </c>
      <c r="K79" s="564">
        <v>1</v>
      </c>
      <c r="L79" s="564">
        <v>1</v>
      </c>
      <c r="M79" s="564">
        <v>1</v>
      </c>
      <c r="N79" s="564">
        <v>1</v>
      </c>
      <c r="O79" s="564">
        <v>1</v>
      </c>
      <c r="P79" s="564">
        <v>1</v>
      </c>
      <c r="Q79" s="564">
        <v>1</v>
      </c>
      <c r="R79" s="564">
        <v>1</v>
      </c>
      <c r="S79" s="564">
        <v>1</v>
      </c>
      <c r="T79" s="564">
        <v>1</v>
      </c>
      <c r="U79" s="564">
        <v>0.99942922374429222</v>
      </c>
      <c r="V79" s="564">
        <v>1</v>
      </c>
      <c r="W79" s="564">
        <v>1</v>
      </c>
      <c r="X79" s="564">
        <v>1</v>
      </c>
      <c r="Z79" s="655" cm="1">
        <f t="array" ref="Z79">INDEX(H79:X79,1,$B$30)</f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0.99942922374429222</v>
      </c>
    </row>
    <row r="80" spans="7:44" x14ac:dyDescent="0.15">
      <c r="G80" s="565">
        <v>36</v>
      </c>
      <c r="H80" s="564">
        <v>1</v>
      </c>
      <c r="I80" s="564">
        <v>1</v>
      </c>
      <c r="J80" s="564">
        <v>1</v>
      </c>
      <c r="K80" s="564">
        <v>1</v>
      </c>
      <c r="L80" s="564">
        <v>1</v>
      </c>
      <c r="M80" s="564">
        <v>1</v>
      </c>
      <c r="N80" s="564">
        <v>1</v>
      </c>
      <c r="O80" s="564">
        <v>1</v>
      </c>
      <c r="P80" s="564">
        <v>1</v>
      </c>
      <c r="Q80" s="564">
        <v>1</v>
      </c>
      <c r="R80" s="564">
        <v>1</v>
      </c>
      <c r="S80" s="564">
        <v>1</v>
      </c>
      <c r="T80" s="564">
        <v>1</v>
      </c>
      <c r="U80" s="564">
        <v>0.99942922374429222</v>
      </c>
      <c r="V80" s="564">
        <v>1</v>
      </c>
      <c r="W80" s="564">
        <v>1</v>
      </c>
      <c r="X80" s="564">
        <v>1</v>
      </c>
      <c r="Z80" s="655" cm="1">
        <f t="array" ref="Z80">INDEX(H80:X80,1,$B$30)</f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1</v>
      </c>
      <c r="AQ80">
        <v>1</v>
      </c>
      <c r="AR80">
        <v>0.99942922374429222</v>
      </c>
    </row>
    <row r="81" spans="7:44" x14ac:dyDescent="0.15">
      <c r="G81" s="565">
        <v>37</v>
      </c>
      <c r="H81" s="564">
        <v>1</v>
      </c>
      <c r="I81" s="564">
        <v>1</v>
      </c>
      <c r="J81" s="564">
        <v>1</v>
      </c>
      <c r="K81" s="564">
        <v>1</v>
      </c>
      <c r="L81" s="564">
        <v>1</v>
      </c>
      <c r="M81" s="564">
        <v>1</v>
      </c>
      <c r="N81" s="564">
        <v>1</v>
      </c>
      <c r="O81" s="564">
        <v>1</v>
      </c>
      <c r="P81" s="564">
        <v>1</v>
      </c>
      <c r="Q81" s="564">
        <v>1</v>
      </c>
      <c r="R81" s="564">
        <v>1</v>
      </c>
      <c r="S81" s="564">
        <v>1</v>
      </c>
      <c r="T81" s="564">
        <v>1</v>
      </c>
      <c r="U81" s="564">
        <v>1</v>
      </c>
      <c r="V81" s="564">
        <v>1</v>
      </c>
      <c r="W81" s="564">
        <v>1</v>
      </c>
      <c r="X81" s="564">
        <v>1</v>
      </c>
      <c r="Z81" s="655" cm="1">
        <f t="array" ref="Z81">INDEX(H81:X81,1,$B$30)</f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1</v>
      </c>
      <c r="AR81">
        <v>1</v>
      </c>
    </row>
    <row r="82" spans="7:44" x14ac:dyDescent="0.15">
      <c r="G82" s="565">
        <v>38</v>
      </c>
      <c r="H82" s="564">
        <v>1</v>
      </c>
      <c r="I82" s="564">
        <v>1</v>
      </c>
      <c r="J82" s="564">
        <v>1</v>
      </c>
      <c r="K82" s="564">
        <v>1</v>
      </c>
      <c r="L82" s="564">
        <v>1</v>
      </c>
      <c r="M82" s="564">
        <v>1</v>
      </c>
      <c r="N82" s="564">
        <v>1</v>
      </c>
      <c r="O82" s="564">
        <v>1</v>
      </c>
      <c r="P82" s="564">
        <v>1</v>
      </c>
      <c r="Q82" s="564">
        <v>1</v>
      </c>
      <c r="R82" s="564">
        <v>1</v>
      </c>
      <c r="S82" s="564">
        <v>1</v>
      </c>
      <c r="T82" s="564">
        <v>1</v>
      </c>
      <c r="U82" s="564">
        <v>1</v>
      </c>
      <c r="V82" s="564">
        <v>1</v>
      </c>
      <c r="W82" s="564">
        <v>1</v>
      </c>
      <c r="X82" s="564">
        <v>1</v>
      </c>
      <c r="Z82" s="655" cm="1">
        <f t="array" ref="Z82">INDEX(H82:X82,1,$B$30)</f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1</v>
      </c>
    </row>
    <row r="83" spans="7:44" x14ac:dyDescent="0.15">
      <c r="G83" s="565">
        <v>39</v>
      </c>
      <c r="H83" s="564">
        <v>1</v>
      </c>
      <c r="I83" s="564">
        <v>1</v>
      </c>
      <c r="J83" s="564">
        <v>1</v>
      </c>
      <c r="K83" s="564">
        <v>1</v>
      </c>
      <c r="L83" s="564">
        <v>1</v>
      </c>
      <c r="M83" s="564">
        <v>1</v>
      </c>
      <c r="N83" s="564">
        <v>1</v>
      </c>
      <c r="O83" s="564">
        <v>1</v>
      </c>
      <c r="P83" s="564">
        <v>1</v>
      </c>
      <c r="Q83" s="564">
        <v>1</v>
      </c>
      <c r="R83" s="564">
        <v>1</v>
      </c>
      <c r="S83" s="564">
        <v>1</v>
      </c>
      <c r="T83" s="564">
        <v>1</v>
      </c>
      <c r="U83" s="564">
        <v>1</v>
      </c>
      <c r="V83" s="564">
        <v>1</v>
      </c>
      <c r="W83" s="564">
        <v>1</v>
      </c>
      <c r="X83" s="564">
        <v>1</v>
      </c>
      <c r="Z83" s="655" cm="1">
        <f t="array" ref="Z83">INDEX(H83:X83,1,$B$30)</f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</row>
    <row r="84" spans="7:44" x14ac:dyDescent="0.15">
      <c r="G84" s="566">
        <v>40</v>
      </c>
      <c r="H84" s="564">
        <v>1</v>
      </c>
      <c r="I84" s="564">
        <v>1</v>
      </c>
      <c r="J84" s="564">
        <v>1</v>
      </c>
      <c r="K84" s="564">
        <v>1</v>
      </c>
      <c r="L84" s="564">
        <v>1</v>
      </c>
      <c r="M84" s="564">
        <v>1</v>
      </c>
      <c r="N84" s="564">
        <v>1</v>
      </c>
      <c r="O84" s="564">
        <v>1</v>
      </c>
      <c r="P84" s="564">
        <v>1</v>
      </c>
      <c r="Q84" s="564">
        <v>1</v>
      </c>
      <c r="R84" s="564">
        <v>1</v>
      </c>
      <c r="S84" s="564">
        <v>1</v>
      </c>
      <c r="T84" s="564">
        <v>1</v>
      </c>
      <c r="U84" s="564">
        <v>1</v>
      </c>
      <c r="V84" s="564">
        <v>1</v>
      </c>
      <c r="W84" s="564">
        <v>1</v>
      </c>
      <c r="X84" s="564">
        <v>1</v>
      </c>
      <c r="Z84" s="655" cm="1">
        <f t="array" ref="Z84">INDEX(H84:X84,1,$B$30)</f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9617" r:id="rId3" name="Drop Down 1">
              <controlPr defaultSize="0" autoLine="0" autoPict="0">
                <anchor moveWithCells="1">
                  <from>
                    <xdr:col>1</xdr:col>
                    <xdr:colOff>12700</xdr:colOff>
                    <xdr:row>24</xdr:row>
                    <xdr:rowOff>0</xdr:rowOff>
                  </from>
                  <to>
                    <xdr:col>1</xdr:col>
                    <xdr:colOff>1041400</xdr:colOff>
                    <xdr:row>24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608C8-2BA2-48C5-ABC3-D492505B8AD4}">
  <dimension ref="B1:AX84"/>
  <sheetViews>
    <sheetView workbookViewId="0">
      <selection activeCell="D15" sqref="D15"/>
    </sheetView>
  </sheetViews>
  <sheetFormatPr baseColWidth="10" defaultColWidth="8.83203125" defaultRowHeight="13" x14ac:dyDescent="0.15"/>
  <cols>
    <col min="2" max="2" width="15.6640625" customWidth="1"/>
    <col min="3" max="5" width="11" customWidth="1"/>
  </cols>
  <sheetData>
    <row r="1" spans="2:50" x14ac:dyDescent="0.15">
      <c r="C1" s="344" t="s">
        <v>1175</v>
      </c>
      <c r="D1" s="344" t="s">
        <v>1180</v>
      </c>
      <c r="E1" s="344" t="s">
        <v>1181</v>
      </c>
    </row>
    <row r="2" spans="2:50" ht="14" x14ac:dyDescent="0.15">
      <c r="B2" s="344" t="b">
        <f>Tulokset!DG4</f>
        <v>0</v>
      </c>
      <c r="C2" s="344" t="s">
        <v>988</v>
      </c>
      <c r="D2" s="344">
        <v>0</v>
      </c>
      <c r="E2" s="344">
        <v>4</v>
      </c>
      <c r="H2" s="2" t="s">
        <v>1195</v>
      </c>
      <c r="Z2" s="2" t="s">
        <v>21</v>
      </c>
    </row>
    <row r="3" spans="2:50" x14ac:dyDescent="0.15">
      <c r="B3" s="344" t="b">
        <f>IF(B2,FALSE,TRUE)</f>
        <v>1</v>
      </c>
      <c r="C3" s="344" t="s">
        <v>1177</v>
      </c>
      <c r="D3" s="344">
        <v>4</v>
      </c>
      <c r="E3" s="344">
        <v>13</v>
      </c>
      <c r="H3" s="2" t="s">
        <v>1016</v>
      </c>
      <c r="I3" s="2" t="s">
        <v>270</v>
      </c>
      <c r="J3" s="2" t="s">
        <v>271</v>
      </c>
      <c r="K3" s="2" t="s">
        <v>272</v>
      </c>
      <c r="L3" s="2" t="str">
        <f>B11</f>
        <v>SWE - Sztokholm</v>
      </c>
      <c r="M3" s="2" t="str">
        <f>B12</f>
        <v>SWE - Goteborg</v>
      </c>
      <c r="N3" s="2" t="str">
        <f>B13</f>
        <v>EST - Tallin</v>
      </c>
      <c r="O3" s="2" t="str">
        <f>B14</f>
        <v>LAT - Ryga</v>
      </c>
      <c r="P3" s="2" t="str">
        <f>B15</f>
        <v>LTU - Wilno</v>
      </c>
      <c r="Q3" s="2" t="str">
        <f>B16</f>
        <v>POL - Warszawa</v>
      </c>
      <c r="R3" s="2" t="str">
        <f>B17</f>
        <v>POL - Kraków</v>
      </c>
      <c r="S3" s="2" t="str">
        <f>B18</f>
        <v>POL - Gdańsk</v>
      </c>
      <c r="T3" s="2" t="str">
        <f>B19</f>
        <v>ISL - Reykjavik</v>
      </c>
      <c r="U3" s="2" t="str">
        <f>B20</f>
        <v>ROU - Bukareszt</v>
      </c>
      <c r="V3" s="2" t="str">
        <f>B21</f>
        <v>NOR - Oslo</v>
      </c>
      <c r="W3" s="2" t="str">
        <f>B22</f>
        <v>DEN - Kopenhaga</v>
      </c>
      <c r="X3" s="2" t="str">
        <f>B23</f>
        <v>GER - Berlin</v>
      </c>
      <c r="Z3" t="str" cm="1">
        <f t="array" ref="Z3">INDEX(H3:X3,1,$B$30)</f>
        <v>SWE - Sztokholm</v>
      </c>
      <c r="AH3" t="s">
        <v>1016</v>
      </c>
      <c r="AI3" t="s">
        <v>270</v>
      </c>
      <c r="AJ3" t="s">
        <v>271</v>
      </c>
      <c r="AK3" t="s">
        <v>272</v>
      </c>
      <c r="AL3" t="s">
        <v>1361</v>
      </c>
      <c r="AM3" t="s">
        <v>1365</v>
      </c>
      <c r="AN3" t="s">
        <v>1362</v>
      </c>
      <c r="AO3" t="s">
        <v>1371</v>
      </c>
      <c r="AP3" t="s">
        <v>1374</v>
      </c>
      <c r="AQ3" t="s">
        <v>1375</v>
      </c>
      <c r="AR3" t="s">
        <v>1376</v>
      </c>
      <c r="AS3" t="s">
        <v>1382</v>
      </c>
      <c r="AT3" t="s">
        <v>1383</v>
      </c>
      <c r="AU3" t="s">
        <v>1385</v>
      </c>
      <c r="AV3" t="s">
        <v>1387</v>
      </c>
      <c r="AW3" t="s">
        <v>1391</v>
      </c>
      <c r="AX3" t="s">
        <v>1389</v>
      </c>
    </row>
    <row r="4" spans="2:50" x14ac:dyDescent="0.15">
      <c r="C4" s="628" t="s">
        <v>21</v>
      </c>
      <c r="D4" s="628">
        <f>IF($B$2,D2,D3)</f>
        <v>4</v>
      </c>
      <c r="E4" s="628">
        <f>IF($B$2,E2,E3)</f>
        <v>13</v>
      </c>
      <c r="G4" s="563">
        <v>-40</v>
      </c>
      <c r="H4" s="564">
        <v>0</v>
      </c>
      <c r="I4" s="564">
        <v>0</v>
      </c>
      <c r="J4" s="564">
        <v>0</v>
      </c>
      <c r="K4" s="564">
        <v>0</v>
      </c>
      <c r="L4" s="564">
        <v>0</v>
      </c>
      <c r="M4" s="564">
        <v>0</v>
      </c>
      <c r="N4" s="564">
        <v>0</v>
      </c>
      <c r="O4" s="564">
        <v>0</v>
      </c>
      <c r="P4" s="564">
        <v>0</v>
      </c>
      <c r="Q4" s="564">
        <v>0</v>
      </c>
      <c r="R4" s="564">
        <v>0</v>
      </c>
      <c r="S4" s="564">
        <v>0</v>
      </c>
      <c r="T4" s="564">
        <v>0</v>
      </c>
      <c r="U4" s="564">
        <v>0</v>
      </c>
      <c r="V4" s="564">
        <v>0</v>
      </c>
      <c r="W4" s="564">
        <v>0</v>
      </c>
      <c r="X4" s="564">
        <v>0</v>
      </c>
      <c r="Z4" s="655" cm="1">
        <f t="array" ref="Z4">INDEX(H4:X4,1,$B$30)</f>
        <v>0</v>
      </c>
      <c r="AH4">
        <v>0</v>
      </c>
      <c r="AI4">
        <v>0</v>
      </c>
      <c r="AJ4">
        <v>0</v>
      </c>
      <c r="AK4">
        <v>0</v>
      </c>
      <c r="AL4" t="s">
        <v>1019</v>
      </c>
      <c r="AM4" t="s">
        <v>1020</v>
      </c>
      <c r="AN4" t="s">
        <v>1392</v>
      </c>
      <c r="AO4" t="s">
        <v>1022</v>
      </c>
      <c r="AP4" t="s">
        <v>1023</v>
      </c>
      <c r="AQ4" t="s">
        <v>1393</v>
      </c>
      <c r="AR4" t="s">
        <v>1394</v>
      </c>
      <c r="AS4" t="s">
        <v>1377</v>
      </c>
      <c r="AT4" t="s">
        <v>1379</v>
      </c>
      <c r="AU4" t="s">
        <v>1380</v>
      </c>
      <c r="AV4" t="s">
        <v>1381</v>
      </c>
      <c r="AW4" t="s">
        <v>1395</v>
      </c>
      <c r="AX4" t="s">
        <v>1396</v>
      </c>
    </row>
    <row r="5" spans="2:50" x14ac:dyDescent="0.15">
      <c r="G5" s="565">
        <v>-39</v>
      </c>
      <c r="H5" s="564">
        <v>0</v>
      </c>
      <c r="I5" s="564">
        <v>0</v>
      </c>
      <c r="J5" s="564">
        <v>0</v>
      </c>
      <c r="K5" s="564">
        <v>0</v>
      </c>
      <c r="L5" s="564">
        <v>0</v>
      </c>
      <c r="M5" s="564">
        <v>0</v>
      </c>
      <c r="N5" s="564">
        <v>0</v>
      </c>
      <c r="O5" s="564">
        <v>0</v>
      </c>
      <c r="P5" s="564">
        <v>0</v>
      </c>
      <c r="Q5" s="564">
        <v>0</v>
      </c>
      <c r="R5" s="564">
        <v>0</v>
      </c>
      <c r="S5" s="564">
        <v>0</v>
      </c>
      <c r="T5" s="564">
        <v>0</v>
      </c>
      <c r="U5" s="564">
        <v>0</v>
      </c>
      <c r="V5" s="564">
        <v>0</v>
      </c>
      <c r="W5" s="564">
        <v>0</v>
      </c>
      <c r="X5" s="564">
        <v>0</v>
      </c>
      <c r="Z5" s="655" cm="1">
        <f t="array" ref="Z5">INDEX(H5:X5,1,$B$30)</f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2:50" x14ac:dyDescent="0.15">
      <c r="B6" s="2" t="s">
        <v>1179</v>
      </c>
      <c r="G6" s="565">
        <v>-38</v>
      </c>
      <c r="H6" s="564">
        <v>0</v>
      </c>
      <c r="I6" s="564">
        <v>0</v>
      </c>
      <c r="J6" s="564">
        <v>0</v>
      </c>
      <c r="K6" s="564">
        <v>3.4246575342465754E-4</v>
      </c>
      <c r="L6" s="564">
        <v>0</v>
      </c>
      <c r="M6" s="564">
        <v>0</v>
      </c>
      <c r="N6" s="564">
        <v>0</v>
      </c>
      <c r="O6" s="564">
        <v>0</v>
      </c>
      <c r="P6" s="564">
        <v>0</v>
      </c>
      <c r="Q6" s="564">
        <v>0</v>
      </c>
      <c r="R6" s="564">
        <v>0</v>
      </c>
      <c r="S6" s="564">
        <v>0</v>
      </c>
      <c r="T6" s="564">
        <v>0</v>
      </c>
      <c r="U6" s="564">
        <v>0</v>
      </c>
      <c r="V6" s="564">
        <v>0</v>
      </c>
      <c r="W6" s="564">
        <v>0</v>
      </c>
      <c r="X6" s="564">
        <v>0</v>
      </c>
      <c r="Z6" s="655" cm="1">
        <f t="array" ref="Z6">INDEX(H6:X6,1,$B$30)</f>
        <v>0</v>
      </c>
      <c r="AH6">
        <v>0</v>
      </c>
      <c r="AI6">
        <v>0</v>
      </c>
      <c r="AJ6">
        <v>0</v>
      </c>
      <c r="AK6">
        <v>3.4246575342465754E-4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2:50" x14ac:dyDescent="0.15">
      <c r="B7" t="str" cm="1">
        <f t="array" ref="B7">INDEX('Kirjasto (kaupungit)'!$D$4:$K$23,1,'Kirjasto (kaupungit)'!$B$4)</f>
        <v>I (Vantaa)</v>
      </c>
      <c r="D7" t="str" cm="1">
        <f t="array" aca="1" ref="D7:D19" ca="1">OFFSET($B$7,$D$4,0,$E$4,1)</f>
        <v>SWE - Sztokholm</v>
      </c>
      <c r="G7" s="565">
        <v>-37</v>
      </c>
      <c r="H7" s="564">
        <v>0</v>
      </c>
      <c r="I7" s="564">
        <v>0</v>
      </c>
      <c r="J7" s="564">
        <v>0</v>
      </c>
      <c r="K7" s="564">
        <v>5.7077625570776253E-4</v>
      </c>
      <c r="L7" s="564">
        <v>0</v>
      </c>
      <c r="M7" s="564">
        <v>0</v>
      </c>
      <c r="N7" s="564">
        <v>0</v>
      </c>
      <c r="O7" s="564">
        <v>0</v>
      </c>
      <c r="P7" s="564">
        <v>0</v>
      </c>
      <c r="Q7" s="564">
        <v>0</v>
      </c>
      <c r="R7" s="564">
        <v>0</v>
      </c>
      <c r="S7" s="564">
        <v>0</v>
      </c>
      <c r="T7" s="564">
        <v>0</v>
      </c>
      <c r="U7" s="564">
        <v>0</v>
      </c>
      <c r="V7" s="564">
        <v>0</v>
      </c>
      <c r="W7" s="564">
        <v>0</v>
      </c>
      <c r="X7" s="564">
        <v>0</v>
      </c>
      <c r="Z7" s="655" cm="1">
        <f t="array" ref="Z7">INDEX(H7:X7,1,$B$30)</f>
        <v>0</v>
      </c>
      <c r="AH7">
        <v>0</v>
      </c>
      <c r="AI7">
        <v>0</v>
      </c>
      <c r="AJ7">
        <v>0</v>
      </c>
      <c r="AK7">
        <v>5.7077625570776253E-4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2:50" x14ac:dyDescent="0.15">
      <c r="B8" t="str" cm="1">
        <f t="array" ref="B8">INDEX('Kirjasto (kaupungit)'!$D$4:$K$23,2,'Kirjasto (kaupungit)'!$B$4)</f>
        <v>II (Jokioinen)</v>
      </c>
      <c r="D8" t="str">
        <f ca="1"/>
        <v>SWE - Goteborg</v>
      </c>
      <c r="G8" s="565">
        <v>-36</v>
      </c>
      <c r="H8" s="564">
        <v>0</v>
      </c>
      <c r="I8" s="564">
        <v>0</v>
      </c>
      <c r="J8" s="564">
        <v>0</v>
      </c>
      <c r="K8" s="564">
        <v>1.1415525114155251E-3</v>
      </c>
      <c r="L8" s="564">
        <v>0</v>
      </c>
      <c r="M8" s="564">
        <v>0</v>
      </c>
      <c r="N8" s="564">
        <v>0</v>
      </c>
      <c r="O8" s="564">
        <v>0</v>
      </c>
      <c r="P8" s="564">
        <v>0</v>
      </c>
      <c r="Q8" s="564">
        <v>0</v>
      </c>
      <c r="R8" s="564">
        <v>0</v>
      </c>
      <c r="S8" s="564">
        <v>0</v>
      </c>
      <c r="T8" s="564">
        <v>0</v>
      </c>
      <c r="U8" s="564">
        <v>0</v>
      </c>
      <c r="V8" s="564">
        <v>0</v>
      </c>
      <c r="W8" s="564">
        <v>0</v>
      </c>
      <c r="X8" s="564">
        <v>0</v>
      </c>
      <c r="Z8" s="655" cm="1">
        <f t="array" ref="Z8">INDEX(H8:X8,1,$B$30)</f>
        <v>0</v>
      </c>
      <c r="AH8">
        <v>0</v>
      </c>
      <c r="AI8">
        <v>0</v>
      </c>
      <c r="AJ8">
        <v>0</v>
      </c>
      <c r="AK8">
        <v>1.1415525114155251E-3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2:50" x14ac:dyDescent="0.15">
      <c r="B9" t="str" cm="1">
        <f t="array" ref="B9">INDEX('Kirjasto (kaupungit)'!$D$4:$K$23,3,'Kirjasto (kaupungit)'!$B$4)</f>
        <v>III (Jyväskylä)</v>
      </c>
      <c r="D9" t="str">
        <f ca="1"/>
        <v>EST - Tallin</v>
      </c>
      <c r="G9" s="565">
        <v>-35</v>
      </c>
      <c r="H9" s="564">
        <v>0</v>
      </c>
      <c r="I9" s="564">
        <v>0</v>
      </c>
      <c r="J9" s="564">
        <v>0</v>
      </c>
      <c r="K9" s="564">
        <v>1.8264840182648401E-3</v>
      </c>
      <c r="L9" s="564">
        <v>0</v>
      </c>
      <c r="M9" s="564">
        <v>0</v>
      </c>
      <c r="N9" s="564">
        <v>0</v>
      </c>
      <c r="O9" s="564">
        <v>0</v>
      </c>
      <c r="P9" s="564">
        <v>0</v>
      </c>
      <c r="Q9" s="564">
        <v>0</v>
      </c>
      <c r="R9" s="564">
        <v>0</v>
      </c>
      <c r="S9" s="564">
        <v>0</v>
      </c>
      <c r="T9" s="564">
        <v>0</v>
      </c>
      <c r="U9" s="564">
        <v>0</v>
      </c>
      <c r="V9" s="564">
        <v>0</v>
      </c>
      <c r="W9" s="564">
        <v>0</v>
      </c>
      <c r="X9" s="564">
        <v>0</v>
      </c>
      <c r="Z9" s="655" cm="1">
        <f t="array" ref="Z9">INDEX(H9:X9,1,$B$30)</f>
        <v>0</v>
      </c>
      <c r="AH9">
        <v>0</v>
      </c>
      <c r="AI9">
        <v>0</v>
      </c>
      <c r="AJ9">
        <v>0</v>
      </c>
      <c r="AK9">
        <v>1.8264840182648401E-3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2:50" x14ac:dyDescent="0.15">
      <c r="B10" t="str" cm="1">
        <f t="array" ref="B10">INDEX('Kirjasto (kaupungit)'!$D$4:$K$23,4,'Kirjasto (kaupungit)'!$B$4)</f>
        <v>IV (Sodankylä)</v>
      </c>
      <c r="D10" t="str">
        <f ca="1"/>
        <v>LAT - Ryga</v>
      </c>
      <c r="G10" s="565">
        <v>-34</v>
      </c>
      <c r="H10" s="564">
        <v>0</v>
      </c>
      <c r="I10" s="564">
        <v>0</v>
      </c>
      <c r="J10" s="564">
        <v>0</v>
      </c>
      <c r="K10" s="564">
        <v>2.9680365296803654E-3</v>
      </c>
      <c r="L10" s="564">
        <v>0</v>
      </c>
      <c r="M10" s="564">
        <v>0</v>
      </c>
      <c r="N10" s="564">
        <v>0</v>
      </c>
      <c r="O10" s="564">
        <v>0</v>
      </c>
      <c r="P10" s="564">
        <v>0</v>
      </c>
      <c r="Q10" s="564">
        <v>0</v>
      </c>
      <c r="R10" s="564">
        <v>0</v>
      </c>
      <c r="S10" s="564">
        <v>0</v>
      </c>
      <c r="T10" s="564">
        <v>0</v>
      </c>
      <c r="U10" s="564">
        <v>0</v>
      </c>
      <c r="V10" s="564">
        <v>0</v>
      </c>
      <c r="W10" s="564">
        <v>0</v>
      </c>
      <c r="X10" s="564">
        <v>0</v>
      </c>
      <c r="Z10" s="655" cm="1">
        <f t="array" ref="Z10">INDEX(H10:X10,1,$B$30)</f>
        <v>0</v>
      </c>
      <c r="AH10">
        <v>0</v>
      </c>
      <c r="AI10">
        <v>0</v>
      </c>
      <c r="AJ10">
        <v>0</v>
      </c>
      <c r="AK10">
        <v>2.9680365296803654E-3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2:50" x14ac:dyDescent="0.15">
      <c r="B11" t="str" cm="1">
        <f t="array" ref="B11">INDEX('Kirjasto (kaupungit)'!$D$4:$K$23,5,'Kirjasto (kaupungit)'!$B$4)</f>
        <v>SWE - Sztokholm</v>
      </c>
      <c r="D11" t="str">
        <f ca="1"/>
        <v>LTU - Wilno</v>
      </c>
      <c r="G11" s="565">
        <v>-33</v>
      </c>
      <c r="H11" s="564">
        <v>0</v>
      </c>
      <c r="I11" s="564">
        <v>0</v>
      </c>
      <c r="J11" s="564">
        <v>0</v>
      </c>
      <c r="K11" s="564">
        <v>4.10958904109589E-3</v>
      </c>
      <c r="L11" s="564">
        <v>0</v>
      </c>
      <c r="M11" s="564">
        <v>0</v>
      </c>
      <c r="N11" s="564">
        <v>0</v>
      </c>
      <c r="O11" s="564">
        <v>0</v>
      </c>
      <c r="P11" s="564">
        <v>0</v>
      </c>
      <c r="Q11" s="564">
        <v>0</v>
      </c>
      <c r="R11" s="564">
        <v>0</v>
      </c>
      <c r="S11" s="564">
        <v>0</v>
      </c>
      <c r="T11" s="564">
        <v>0</v>
      </c>
      <c r="U11" s="564">
        <v>0</v>
      </c>
      <c r="V11" s="564">
        <v>0</v>
      </c>
      <c r="W11" s="564">
        <v>0</v>
      </c>
      <c r="X11" s="564">
        <v>0</v>
      </c>
      <c r="Z11" s="655" cm="1">
        <f t="array" ref="Z11">INDEX(H11:X11,1,$B$30)</f>
        <v>0</v>
      </c>
      <c r="AH11">
        <v>0</v>
      </c>
      <c r="AI11">
        <v>0</v>
      </c>
      <c r="AJ11">
        <v>0</v>
      </c>
      <c r="AK11">
        <v>4.10958904109589E-3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2:50" x14ac:dyDescent="0.15">
      <c r="B12" t="str" cm="1">
        <f t="array" ref="B12">INDEX('Kirjasto (kaupungit)'!$D$4:$K$23,6,'Kirjasto (kaupungit)'!$B$4)</f>
        <v>SWE - Goteborg</v>
      </c>
      <c r="D12" t="str">
        <f ca="1"/>
        <v>POL - Warszawa</v>
      </c>
      <c r="G12" s="565">
        <v>-32</v>
      </c>
      <c r="H12" s="564">
        <v>0</v>
      </c>
      <c r="I12" s="564">
        <v>0</v>
      </c>
      <c r="J12" s="564">
        <v>0</v>
      </c>
      <c r="K12" s="564">
        <v>4.7945205479452057E-3</v>
      </c>
      <c r="L12" s="564">
        <v>0</v>
      </c>
      <c r="M12" s="564">
        <v>0</v>
      </c>
      <c r="N12" s="564">
        <v>0</v>
      </c>
      <c r="O12" s="564">
        <v>0</v>
      </c>
      <c r="P12" s="564">
        <v>0</v>
      </c>
      <c r="Q12" s="564">
        <v>0</v>
      </c>
      <c r="R12" s="564">
        <v>0</v>
      </c>
      <c r="S12" s="564">
        <v>0</v>
      </c>
      <c r="T12" s="564">
        <v>0</v>
      </c>
      <c r="U12" s="564">
        <v>0</v>
      </c>
      <c r="V12" s="564">
        <v>0</v>
      </c>
      <c r="W12" s="564">
        <v>0</v>
      </c>
      <c r="X12" s="564">
        <v>0</v>
      </c>
      <c r="Z12" s="655" cm="1">
        <f t="array" ref="Z12">INDEX(H12:X12,1,$B$30)</f>
        <v>0</v>
      </c>
      <c r="AH12">
        <v>0</v>
      </c>
      <c r="AI12">
        <v>0</v>
      </c>
      <c r="AJ12">
        <v>0</v>
      </c>
      <c r="AK12">
        <v>4.7945205479452057E-3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2:50" x14ac:dyDescent="0.15">
      <c r="B13" t="str" cm="1">
        <f t="array" ref="B13">INDEX('Kirjasto (kaupungit)'!$D$4:$K$23,7,'Kirjasto (kaupungit)'!$B$4)</f>
        <v>EST - Tallin</v>
      </c>
      <c r="D13" t="str">
        <f ca="1"/>
        <v>POL - Kraków</v>
      </c>
      <c r="G13" s="565">
        <v>-31</v>
      </c>
      <c r="H13" s="564">
        <v>0</v>
      </c>
      <c r="I13" s="564">
        <v>0</v>
      </c>
      <c r="J13" s="564">
        <v>2.2831050228310502E-4</v>
      </c>
      <c r="K13" s="564">
        <v>6.0502283105022831E-3</v>
      </c>
      <c r="L13" s="564">
        <v>0</v>
      </c>
      <c r="M13" s="564">
        <v>0</v>
      </c>
      <c r="N13" s="564">
        <v>0</v>
      </c>
      <c r="O13" s="564">
        <v>0</v>
      </c>
      <c r="P13" s="564">
        <v>0</v>
      </c>
      <c r="Q13" s="564">
        <v>0</v>
      </c>
      <c r="R13" s="564">
        <v>0</v>
      </c>
      <c r="S13" s="564">
        <v>0</v>
      </c>
      <c r="T13" s="564">
        <v>0</v>
      </c>
      <c r="U13" s="564">
        <v>0</v>
      </c>
      <c r="V13" s="564">
        <v>0</v>
      </c>
      <c r="W13" s="564">
        <v>0</v>
      </c>
      <c r="X13" s="564">
        <v>0</v>
      </c>
      <c r="Z13" s="655" cm="1">
        <f t="array" ref="Z13">INDEX(H13:X13,1,$B$30)</f>
        <v>0</v>
      </c>
      <c r="AH13">
        <v>0</v>
      </c>
      <c r="AI13">
        <v>0</v>
      </c>
      <c r="AJ13">
        <v>2.2831050228310502E-4</v>
      </c>
      <c r="AK13">
        <v>6.0502283105022831E-3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2:50" x14ac:dyDescent="0.15">
      <c r="B14" t="str" cm="1">
        <f t="array" ref="B14">INDEX('Kirjasto (kaupungit)'!$D$4:$K$23,8,'Kirjasto (kaupungit)'!$B$4)</f>
        <v>LAT - Ryga</v>
      </c>
      <c r="D14" t="str">
        <f ca="1"/>
        <v>POL - Gdańsk</v>
      </c>
      <c r="G14" s="565">
        <v>-30</v>
      </c>
      <c r="H14" s="564">
        <v>0</v>
      </c>
      <c r="I14" s="564">
        <v>0</v>
      </c>
      <c r="J14" s="564">
        <v>3.4246575342465754E-4</v>
      </c>
      <c r="K14" s="564">
        <v>7.9908675799086754E-3</v>
      </c>
      <c r="L14" s="564">
        <v>0</v>
      </c>
      <c r="M14" s="564">
        <v>0</v>
      </c>
      <c r="N14" s="564">
        <v>0</v>
      </c>
      <c r="O14" s="564">
        <v>0</v>
      </c>
      <c r="P14" s="564">
        <v>0</v>
      </c>
      <c r="Q14" s="564">
        <v>0</v>
      </c>
      <c r="R14" s="564">
        <v>0</v>
      </c>
      <c r="S14" s="564">
        <v>0</v>
      </c>
      <c r="T14" s="564">
        <v>0</v>
      </c>
      <c r="U14" s="564">
        <v>0</v>
      </c>
      <c r="V14" s="564">
        <v>0</v>
      </c>
      <c r="W14" s="564">
        <v>0</v>
      </c>
      <c r="X14" s="564">
        <v>0</v>
      </c>
      <c r="Z14" s="655" cm="1">
        <f t="array" ref="Z14">INDEX(H14:X14,1,$B$30)</f>
        <v>0</v>
      </c>
      <c r="AH14">
        <v>0</v>
      </c>
      <c r="AI14">
        <v>0</v>
      </c>
      <c r="AJ14">
        <v>3.4246575342465754E-4</v>
      </c>
      <c r="AK14">
        <v>7.9908675799086754E-3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2:50" x14ac:dyDescent="0.15">
      <c r="B15" t="str" cm="1">
        <f t="array" ref="B15">INDEX('Kirjasto (kaupungit)'!$D$4:$K$23,9,'Kirjasto (kaupungit)'!$B$4)</f>
        <v>LTU - Wilno</v>
      </c>
      <c r="D15" t="str">
        <f ca="1"/>
        <v>ISL - Reykjavik</v>
      </c>
      <c r="G15" s="565">
        <v>-29</v>
      </c>
      <c r="H15" s="564">
        <v>0</v>
      </c>
      <c r="I15" s="564">
        <v>0</v>
      </c>
      <c r="J15" s="564">
        <v>4.5662100456621003E-4</v>
      </c>
      <c r="K15" s="564">
        <v>1.1187214611872146E-2</v>
      </c>
      <c r="L15" s="564">
        <v>0</v>
      </c>
      <c r="M15" s="564">
        <v>0</v>
      </c>
      <c r="N15" s="564">
        <v>0</v>
      </c>
      <c r="O15" s="564">
        <v>0</v>
      </c>
      <c r="P15" s="564">
        <v>0</v>
      </c>
      <c r="Q15" s="564">
        <v>0</v>
      </c>
      <c r="R15" s="564">
        <v>0</v>
      </c>
      <c r="S15" s="564">
        <v>0</v>
      </c>
      <c r="T15" s="564">
        <v>0</v>
      </c>
      <c r="U15" s="564">
        <v>0</v>
      </c>
      <c r="V15" s="564">
        <v>0</v>
      </c>
      <c r="W15" s="564">
        <v>0</v>
      </c>
      <c r="X15" s="564">
        <v>0</v>
      </c>
      <c r="Z15" s="655" cm="1">
        <f t="array" ref="Z15">INDEX(H15:X15,1,$B$30)</f>
        <v>0</v>
      </c>
      <c r="AH15">
        <v>0</v>
      </c>
      <c r="AI15">
        <v>0</v>
      </c>
      <c r="AJ15">
        <v>4.5662100456621003E-4</v>
      </c>
      <c r="AK15">
        <v>1.1187214611872146E-2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2:50" x14ac:dyDescent="0.15">
      <c r="B16" t="str" cm="1">
        <f t="array" ref="B16">INDEX('Kirjasto (kaupungit)'!$D$4:$K$23,10,'Kirjasto (kaupungit)'!$B$4)</f>
        <v>POL - Warszawa</v>
      </c>
      <c r="D16" t="str">
        <f ca="1"/>
        <v>ROU - Bukareszt</v>
      </c>
      <c r="G16" s="565">
        <v>-28</v>
      </c>
      <c r="H16" s="564">
        <v>0</v>
      </c>
      <c r="I16" s="564">
        <v>0</v>
      </c>
      <c r="J16" s="564">
        <v>9.1324200913242006E-4</v>
      </c>
      <c r="K16" s="564">
        <v>1.4726027397260274E-2</v>
      </c>
      <c r="L16" s="564">
        <v>0</v>
      </c>
      <c r="M16" s="564">
        <v>0</v>
      </c>
      <c r="N16" s="564">
        <v>0</v>
      </c>
      <c r="O16" s="564">
        <v>0</v>
      </c>
      <c r="P16" s="564">
        <v>0</v>
      </c>
      <c r="Q16" s="564">
        <v>0</v>
      </c>
      <c r="R16" s="564">
        <v>0</v>
      </c>
      <c r="S16" s="564">
        <v>0</v>
      </c>
      <c r="T16" s="564">
        <v>0</v>
      </c>
      <c r="U16" s="564">
        <v>0</v>
      </c>
      <c r="V16" s="564">
        <v>0</v>
      </c>
      <c r="W16" s="564">
        <v>0</v>
      </c>
      <c r="X16" s="564">
        <v>0</v>
      </c>
      <c r="Z16" s="655" cm="1">
        <f t="array" ref="Z16">INDEX(H16:X16,1,$B$30)</f>
        <v>0</v>
      </c>
      <c r="AH16">
        <v>0</v>
      </c>
      <c r="AI16">
        <v>0</v>
      </c>
      <c r="AJ16">
        <v>9.1324200913242006E-4</v>
      </c>
      <c r="AK16">
        <v>1.4726027397260274E-2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2:44" x14ac:dyDescent="0.15">
      <c r="B17" t="str" cm="1">
        <f t="array" ref="B17">INDEX('Kirjasto (kaupungit)'!$D$4:$K$23,11,'Kirjasto (kaupungit)'!$B$4)</f>
        <v>POL - Kraków</v>
      </c>
      <c r="D17" t="str">
        <f ca="1"/>
        <v>NOR - Oslo</v>
      </c>
      <c r="G17" s="565">
        <v>-27</v>
      </c>
      <c r="H17" s="564">
        <v>0</v>
      </c>
      <c r="I17" s="564">
        <v>0</v>
      </c>
      <c r="J17" s="564">
        <v>1.8264840182648401E-3</v>
      </c>
      <c r="K17" s="564">
        <v>1.906392694063927E-2</v>
      </c>
      <c r="L17" s="564">
        <v>0</v>
      </c>
      <c r="M17" s="564">
        <v>0</v>
      </c>
      <c r="N17" s="564">
        <v>0</v>
      </c>
      <c r="O17" s="564">
        <v>0</v>
      </c>
      <c r="P17" s="564">
        <v>0</v>
      </c>
      <c r="Q17" s="564">
        <v>0</v>
      </c>
      <c r="R17" s="564">
        <v>0</v>
      </c>
      <c r="S17" s="564">
        <v>0</v>
      </c>
      <c r="T17" s="564">
        <v>0</v>
      </c>
      <c r="U17" s="564">
        <v>0</v>
      </c>
      <c r="V17" s="564">
        <v>0</v>
      </c>
      <c r="W17" s="564">
        <v>0</v>
      </c>
      <c r="X17" s="564">
        <v>0</v>
      </c>
      <c r="Z17" s="655" cm="1">
        <f t="array" ref="Z17">INDEX(H17:X17,1,$B$30)</f>
        <v>0</v>
      </c>
      <c r="AH17">
        <v>0</v>
      </c>
      <c r="AI17">
        <v>0</v>
      </c>
      <c r="AJ17">
        <v>1.8264840182648401E-3</v>
      </c>
      <c r="AK17">
        <v>1.906392694063927E-2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2:44" x14ac:dyDescent="0.15">
      <c r="B18" t="str" cm="1">
        <f t="array" ref="B18">INDEX('Kirjasto (kaupungit)'!$D$4:$K$23,12,'Kirjasto (kaupungit)'!$B$4)</f>
        <v>POL - Gdańsk</v>
      </c>
      <c r="D18" t="str">
        <f ca="1"/>
        <v>DEN - Kopenhaga</v>
      </c>
      <c r="G18" s="565">
        <v>-26</v>
      </c>
      <c r="H18" s="564">
        <v>0</v>
      </c>
      <c r="I18" s="564">
        <v>3.4246575342465754E-4</v>
      </c>
      <c r="J18" s="564">
        <v>2.625570776255708E-3</v>
      </c>
      <c r="K18" s="564">
        <v>2.2488584474885845E-2</v>
      </c>
      <c r="L18" s="564">
        <v>0</v>
      </c>
      <c r="M18" s="564">
        <v>0</v>
      </c>
      <c r="N18" s="564">
        <v>0</v>
      </c>
      <c r="O18" s="564">
        <v>0</v>
      </c>
      <c r="P18" s="564">
        <v>0</v>
      </c>
      <c r="Q18" s="564">
        <v>0</v>
      </c>
      <c r="R18" s="564">
        <v>0</v>
      </c>
      <c r="S18" s="564">
        <v>0</v>
      </c>
      <c r="T18" s="564">
        <v>0</v>
      </c>
      <c r="U18" s="564">
        <v>0</v>
      </c>
      <c r="V18" s="564">
        <v>0</v>
      </c>
      <c r="W18" s="564">
        <v>0</v>
      </c>
      <c r="X18" s="564">
        <v>0</v>
      </c>
      <c r="Z18" s="655" cm="1">
        <f t="array" ref="Z18">INDEX(H18:X18,1,$B$30)</f>
        <v>0</v>
      </c>
      <c r="AH18">
        <v>0</v>
      </c>
      <c r="AI18">
        <v>3.4246575342465754E-4</v>
      </c>
      <c r="AJ18">
        <v>2.625570776255708E-3</v>
      </c>
      <c r="AK18">
        <v>2.2488584474885845E-2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2:44" x14ac:dyDescent="0.15">
      <c r="B19" t="str" cm="1">
        <f t="array" ref="B19">INDEX('Kirjasto (kaupungit)'!$D$4:$K$23,13,'Kirjasto (kaupungit)'!$B$4)</f>
        <v>ISL - Reykjavik</v>
      </c>
      <c r="D19" t="str">
        <f ca="1"/>
        <v>GER - Berlin</v>
      </c>
      <c r="G19" s="565">
        <v>-25</v>
      </c>
      <c r="H19" s="564">
        <v>0</v>
      </c>
      <c r="I19" s="564">
        <v>9.1324200913242006E-4</v>
      </c>
      <c r="J19" s="564">
        <v>3.8812785388127853E-3</v>
      </c>
      <c r="K19" s="564">
        <v>2.7397260273972601E-2</v>
      </c>
      <c r="L19" s="564">
        <v>0</v>
      </c>
      <c r="M19" s="564">
        <v>0</v>
      </c>
      <c r="N19" s="564">
        <v>0</v>
      </c>
      <c r="O19" s="564">
        <v>0</v>
      </c>
      <c r="P19" s="564">
        <v>0</v>
      </c>
      <c r="Q19" s="564">
        <v>0</v>
      </c>
      <c r="R19" s="564">
        <v>0</v>
      </c>
      <c r="S19" s="564">
        <v>0</v>
      </c>
      <c r="T19" s="564">
        <v>0</v>
      </c>
      <c r="U19" s="564">
        <v>0</v>
      </c>
      <c r="V19" s="564">
        <v>0</v>
      </c>
      <c r="W19" s="564">
        <v>0</v>
      </c>
      <c r="X19" s="564">
        <v>0</v>
      </c>
      <c r="Z19" s="655" cm="1">
        <f t="array" ref="Z19">INDEX(H19:X19,1,$B$30)</f>
        <v>0</v>
      </c>
      <c r="AH19">
        <v>0</v>
      </c>
      <c r="AI19">
        <v>9.1324200913242006E-4</v>
      </c>
      <c r="AJ19">
        <v>3.8812785388127853E-3</v>
      </c>
      <c r="AK19">
        <v>2.7397260273972601E-2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2:44" x14ac:dyDescent="0.15">
      <c r="B20" t="str" cm="1">
        <f t="array" ref="B20">INDEX('Kirjasto (kaupungit)'!$D$4:$K$23,14,'Kirjasto (kaupungit)'!$B$4)</f>
        <v>ROU - Bukareszt</v>
      </c>
      <c r="G20" s="565">
        <v>-24</v>
      </c>
      <c r="H20" s="564">
        <v>1.1415525114155251E-4</v>
      </c>
      <c r="I20" s="564">
        <v>1.3698630136986301E-3</v>
      </c>
      <c r="J20" s="564">
        <v>5.8219178082191785E-3</v>
      </c>
      <c r="K20" s="564">
        <v>3.093607305936073E-2</v>
      </c>
      <c r="L20" s="564">
        <v>0</v>
      </c>
      <c r="M20" s="564">
        <v>0</v>
      </c>
      <c r="N20" s="564">
        <v>0</v>
      </c>
      <c r="O20" s="564">
        <v>0</v>
      </c>
      <c r="P20" s="564">
        <v>1.1415525114155251E-4</v>
      </c>
      <c r="Q20" s="564">
        <v>0</v>
      </c>
      <c r="R20" s="564">
        <v>0</v>
      </c>
      <c r="S20" s="564">
        <v>0</v>
      </c>
      <c r="T20" s="564">
        <v>0</v>
      </c>
      <c r="U20" s="564">
        <v>0</v>
      </c>
      <c r="V20" s="564">
        <v>0</v>
      </c>
      <c r="W20" s="564">
        <v>0</v>
      </c>
      <c r="X20" s="564">
        <v>0</v>
      </c>
      <c r="Z20" s="655" cm="1">
        <f t="array" ref="Z20">INDEX(H20:X20,1,$B$30)</f>
        <v>0</v>
      </c>
      <c r="AH20">
        <v>1.1415525114155251E-4</v>
      </c>
      <c r="AI20">
        <v>1.3698630136986301E-3</v>
      </c>
      <c r="AJ20">
        <v>5.8219178082191785E-3</v>
      </c>
      <c r="AK20">
        <v>3.093607305936073E-2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2:44" x14ac:dyDescent="0.15">
      <c r="B21" t="str" cm="1">
        <f t="array" ref="B21">INDEX('Kirjasto (kaupungit)'!$D$4:$K$23,15,'Kirjasto (kaupungit)'!$B$4)</f>
        <v>NOR - Oslo</v>
      </c>
      <c r="G21" s="565">
        <v>-23</v>
      </c>
      <c r="H21" s="564">
        <v>3.4246575342465754E-4</v>
      </c>
      <c r="I21" s="564">
        <v>2.3972602739726029E-3</v>
      </c>
      <c r="J21" s="564">
        <v>7.3059360730593605E-3</v>
      </c>
      <c r="K21" s="564">
        <v>3.4018264840182645E-2</v>
      </c>
      <c r="L21" s="564">
        <v>0</v>
      </c>
      <c r="M21" s="564">
        <v>0</v>
      </c>
      <c r="N21" s="564">
        <v>0</v>
      </c>
      <c r="O21" s="564">
        <v>0</v>
      </c>
      <c r="P21" s="564">
        <v>1.1415525114155251E-3</v>
      </c>
      <c r="Q21" s="564">
        <v>0</v>
      </c>
      <c r="R21" s="564">
        <v>0</v>
      </c>
      <c r="S21" s="564">
        <v>0</v>
      </c>
      <c r="T21" s="564">
        <v>0</v>
      </c>
      <c r="U21" s="564">
        <v>0</v>
      </c>
      <c r="V21" s="564">
        <v>0</v>
      </c>
      <c r="W21" s="564">
        <v>0</v>
      </c>
      <c r="X21" s="564">
        <v>0</v>
      </c>
      <c r="Z21" s="655" cm="1">
        <f t="array" ref="Z21">INDEX(H21:X21,1,$B$30)</f>
        <v>0</v>
      </c>
      <c r="AH21">
        <v>3.4246575342465754E-4</v>
      </c>
      <c r="AI21">
        <v>2.3972602739726029E-3</v>
      </c>
      <c r="AJ21">
        <v>7.3059360730593605E-3</v>
      </c>
      <c r="AK21">
        <v>3.4018264840182645E-2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2:44" x14ac:dyDescent="0.15">
      <c r="B22" t="str" cm="1">
        <f t="array" ref="B22">INDEX('Kirjasto (kaupungit)'!$D$4:$K$23,16,'Kirjasto (kaupungit)'!$B$4)</f>
        <v>DEN - Kopenhaga</v>
      </c>
      <c r="G22" s="565">
        <v>-22</v>
      </c>
      <c r="H22" s="564">
        <v>5.7077625570776253E-4</v>
      </c>
      <c r="I22" s="564">
        <v>2.9680365296803654E-3</v>
      </c>
      <c r="J22" s="564">
        <v>8.3333333333333332E-3</v>
      </c>
      <c r="K22" s="564">
        <v>4.1095890410958902E-2</v>
      </c>
      <c r="L22" s="564">
        <v>0</v>
      </c>
      <c r="M22" s="564">
        <v>0</v>
      </c>
      <c r="N22" s="564">
        <v>0</v>
      </c>
      <c r="O22" s="564">
        <v>0</v>
      </c>
      <c r="P22" s="564">
        <v>2.2831050228310501E-3</v>
      </c>
      <c r="Q22" s="564">
        <v>0</v>
      </c>
      <c r="R22" s="564">
        <v>0</v>
      </c>
      <c r="S22" s="564">
        <v>0</v>
      </c>
      <c r="T22" s="564">
        <v>0</v>
      </c>
      <c r="U22" s="564">
        <v>0</v>
      </c>
      <c r="V22" s="564">
        <v>0</v>
      </c>
      <c r="W22" s="564">
        <v>0</v>
      </c>
      <c r="X22" s="564">
        <v>0</v>
      </c>
      <c r="Z22" s="655" cm="1">
        <f t="array" ref="Z22">INDEX(H22:X22,1,$B$30)</f>
        <v>0</v>
      </c>
      <c r="AH22">
        <v>5.7077625570776253E-4</v>
      </c>
      <c r="AI22">
        <v>2.9680365296803654E-3</v>
      </c>
      <c r="AJ22">
        <v>8.3333333333333332E-3</v>
      </c>
      <c r="AK22">
        <v>4.1095890410958902E-2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2:44" x14ac:dyDescent="0.15">
      <c r="B23" t="str" cm="1">
        <f t="array" ref="B23">INDEX('Kirjasto (kaupungit)'!$D$4:$K$23,17,'Kirjasto (kaupungit)'!$B$4)</f>
        <v>GER - Berlin</v>
      </c>
      <c r="G23" s="565">
        <v>-21</v>
      </c>
      <c r="H23" s="564">
        <v>1.1415525114155251E-3</v>
      </c>
      <c r="I23" s="564">
        <v>4.5662100456621002E-3</v>
      </c>
      <c r="J23" s="564">
        <v>1.0616438356164383E-2</v>
      </c>
      <c r="K23" s="564">
        <v>4.8059360730593609E-2</v>
      </c>
      <c r="L23" s="564">
        <v>0</v>
      </c>
      <c r="M23" s="564">
        <v>0</v>
      </c>
      <c r="N23" s="564">
        <v>0</v>
      </c>
      <c r="O23" s="564">
        <v>0</v>
      </c>
      <c r="P23" s="564">
        <v>3.3105022831050228E-3</v>
      </c>
      <c r="Q23" s="564">
        <v>0</v>
      </c>
      <c r="R23" s="564">
        <v>0</v>
      </c>
      <c r="S23" s="564">
        <v>0</v>
      </c>
      <c r="T23" s="564">
        <v>0</v>
      </c>
      <c r="U23" s="564">
        <v>0</v>
      </c>
      <c r="V23" s="564">
        <v>0</v>
      </c>
      <c r="W23" s="564">
        <v>0</v>
      </c>
      <c r="X23" s="564">
        <v>0</v>
      </c>
      <c r="Z23" s="655" cm="1">
        <f t="array" ref="Z23">INDEX(H23:X23,1,$B$30)</f>
        <v>0</v>
      </c>
      <c r="AH23">
        <v>1.1415525114155251E-3</v>
      </c>
      <c r="AI23">
        <v>4.5662100456621002E-3</v>
      </c>
      <c r="AJ23">
        <v>1.0616438356164383E-2</v>
      </c>
      <c r="AK23">
        <v>4.8059360730593609E-2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2:44" x14ac:dyDescent="0.15">
      <c r="G24" s="565">
        <v>-20</v>
      </c>
      <c r="H24" s="564">
        <v>2.8538812785388126E-3</v>
      </c>
      <c r="I24" s="564">
        <v>5.8219178082191785E-3</v>
      </c>
      <c r="J24" s="564">
        <v>1.2671232876712329E-2</v>
      </c>
      <c r="K24" s="564">
        <v>5.5251141552511415E-2</v>
      </c>
      <c r="L24" s="564">
        <v>0</v>
      </c>
      <c r="M24" s="564">
        <v>0</v>
      </c>
      <c r="N24" s="564">
        <v>0</v>
      </c>
      <c r="O24" s="564">
        <v>0</v>
      </c>
      <c r="P24" s="564">
        <v>5.5936073059360729E-3</v>
      </c>
      <c r="Q24" s="564">
        <v>0</v>
      </c>
      <c r="R24" s="564">
        <v>0</v>
      </c>
      <c r="S24" s="564">
        <v>0</v>
      </c>
      <c r="T24" s="564">
        <v>0</v>
      </c>
      <c r="U24" s="564">
        <v>0</v>
      </c>
      <c r="V24" s="564">
        <v>0</v>
      </c>
      <c r="W24" s="564">
        <v>0</v>
      </c>
      <c r="X24" s="564">
        <v>0</v>
      </c>
      <c r="Z24" s="655" cm="1">
        <f t="array" ref="Z24">INDEX(H24:X24,1,$B$30)</f>
        <v>0</v>
      </c>
      <c r="AH24">
        <v>2.8538812785388126E-3</v>
      </c>
      <c r="AI24">
        <v>5.8219178082191785E-3</v>
      </c>
      <c r="AJ24">
        <v>1.2671232876712329E-2</v>
      </c>
      <c r="AK24">
        <v>5.5251141552511415E-2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2:44" x14ac:dyDescent="0.15">
      <c r="G25" s="565">
        <v>-19</v>
      </c>
      <c r="H25" s="564">
        <v>5.3652968036529683E-3</v>
      </c>
      <c r="I25" s="564">
        <v>7.7625570776255707E-3</v>
      </c>
      <c r="J25" s="564">
        <v>1.6552511415525113E-2</v>
      </c>
      <c r="K25" s="564">
        <v>6.2557077625570778E-2</v>
      </c>
      <c r="L25" s="564">
        <v>0</v>
      </c>
      <c r="M25" s="564">
        <v>0</v>
      </c>
      <c r="N25" s="564">
        <v>0</v>
      </c>
      <c r="O25" s="564">
        <v>3.4246575342465754E-4</v>
      </c>
      <c r="P25" s="564">
        <v>6.392694063926941E-3</v>
      </c>
      <c r="Q25" s="564">
        <v>0</v>
      </c>
      <c r="R25" s="564">
        <v>0</v>
      </c>
      <c r="S25" s="564">
        <v>0</v>
      </c>
      <c r="T25" s="564">
        <v>0</v>
      </c>
      <c r="U25" s="564">
        <v>0</v>
      </c>
      <c r="V25" s="564">
        <v>0</v>
      </c>
      <c r="W25" s="564">
        <v>0</v>
      </c>
      <c r="X25" s="564">
        <v>0</v>
      </c>
      <c r="Z25" s="655" cm="1">
        <f t="array" ref="Z25">INDEX(H25:X25,1,$B$30)</f>
        <v>0</v>
      </c>
      <c r="AH25">
        <v>5.3652968036529683E-3</v>
      </c>
      <c r="AI25">
        <v>7.7625570776255707E-3</v>
      </c>
      <c r="AJ25">
        <v>1.6552511415525113E-2</v>
      </c>
      <c r="AK25">
        <v>6.2557077625570778E-2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2:44" x14ac:dyDescent="0.15">
      <c r="G26" s="565">
        <v>-18</v>
      </c>
      <c r="H26" s="564">
        <v>7.0776255707762558E-3</v>
      </c>
      <c r="I26" s="564">
        <v>1.0045662100456621E-2</v>
      </c>
      <c r="J26" s="564">
        <v>1.8949771689497717E-2</v>
      </c>
      <c r="K26" s="564">
        <v>6.803652968036529E-2</v>
      </c>
      <c r="L26" s="564">
        <v>0</v>
      </c>
      <c r="M26" s="564">
        <v>0</v>
      </c>
      <c r="N26" s="564">
        <v>0</v>
      </c>
      <c r="O26" s="564">
        <v>2.5114155251141552E-3</v>
      </c>
      <c r="P26" s="564">
        <v>7.0776255707762558E-3</v>
      </c>
      <c r="Q26" s="564">
        <v>3.4246575342465754E-4</v>
      </c>
      <c r="R26" s="564">
        <v>0</v>
      </c>
      <c r="S26" s="564">
        <v>0</v>
      </c>
      <c r="T26" s="564">
        <v>0</v>
      </c>
      <c r="U26" s="564">
        <v>0</v>
      </c>
      <c r="V26" s="564">
        <v>4.5662100456621003E-4</v>
      </c>
      <c r="W26" s="564">
        <v>0</v>
      </c>
      <c r="X26" s="564">
        <v>0</v>
      </c>
      <c r="Z26" s="655" cm="1">
        <f t="array" ref="Z26">INDEX(H26:X26,1,$B$30)</f>
        <v>0</v>
      </c>
      <c r="AH26">
        <v>7.0776255707762558E-3</v>
      </c>
      <c r="AI26">
        <v>1.0045662100456621E-2</v>
      </c>
      <c r="AJ26">
        <v>1.8949771689497717E-2</v>
      </c>
      <c r="AK26">
        <v>6.803652968036529E-2</v>
      </c>
      <c r="AL26">
        <v>0</v>
      </c>
      <c r="AM26">
        <v>4.5662100456621003E-4</v>
      </c>
      <c r="AN26">
        <v>0</v>
      </c>
      <c r="AO26">
        <v>3.4246575342465754E-4</v>
      </c>
      <c r="AP26">
        <v>0</v>
      </c>
      <c r="AQ26">
        <v>0</v>
      </c>
      <c r="AR26">
        <v>0</v>
      </c>
    </row>
    <row r="27" spans="2:44" x14ac:dyDescent="0.15">
      <c r="B27">
        <v>1</v>
      </c>
      <c r="C27" t="s">
        <v>1182</v>
      </c>
      <c r="G27" s="565">
        <v>-17</v>
      </c>
      <c r="H27" s="564">
        <v>9.2465753424657536E-3</v>
      </c>
      <c r="I27" s="564">
        <v>1.3127853881278538E-2</v>
      </c>
      <c r="J27" s="564">
        <v>2.3287671232876714E-2</v>
      </c>
      <c r="K27" s="564">
        <v>7.4543378995433784E-2</v>
      </c>
      <c r="L27" s="564">
        <v>0</v>
      </c>
      <c r="M27" s="564">
        <v>0</v>
      </c>
      <c r="N27" s="564">
        <v>2.2831050228310502E-4</v>
      </c>
      <c r="O27" s="564">
        <v>3.6529680365296802E-3</v>
      </c>
      <c r="P27" s="564">
        <v>7.9908675799086754E-3</v>
      </c>
      <c r="Q27" s="564">
        <v>1.0273972602739725E-3</v>
      </c>
      <c r="R27" s="564">
        <v>1.1415525114155251E-4</v>
      </c>
      <c r="S27" s="564">
        <v>0</v>
      </c>
      <c r="T27" s="564">
        <v>0</v>
      </c>
      <c r="U27" s="564">
        <v>0</v>
      </c>
      <c r="V27" s="564">
        <v>1.8264840182648401E-3</v>
      </c>
      <c r="W27" s="564">
        <v>0</v>
      </c>
      <c r="X27" s="564">
        <v>0</v>
      </c>
      <c r="Z27" s="655" cm="1">
        <f t="array" ref="Z27">INDEX(H27:X27,1,$B$30)</f>
        <v>0</v>
      </c>
      <c r="AH27">
        <v>9.2465753424657536E-3</v>
      </c>
      <c r="AI27">
        <v>1.3127853881278538E-2</v>
      </c>
      <c r="AJ27">
        <v>2.3287671232876714E-2</v>
      </c>
      <c r="AK27">
        <v>7.4543378995433784E-2</v>
      </c>
      <c r="AL27">
        <v>2.2831050228310502E-4</v>
      </c>
      <c r="AM27">
        <v>1.8264840182648401E-3</v>
      </c>
      <c r="AN27">
        <v>0</v>
      </c>
      <c r="AO27">
        <v>1.0273972602739725E-3</v>
      </c>
      <c r="AP27">
        <v>0</v>
      </c>
      <c r="AQ27">
        <v>0</v>
      </c>
      <c r="AR27">
        <v>0</v>
      </c>
    </row>
    <row r="28" spans="2:44" x14ac:dyDescent="0.15">
      <c r="B28" s="278">
        <f>IF(AND(B2,B27&gt;E2),E2,B27)</f>
        <v>1</v>
      </c>
      <c r="C28" t="s">
        <v>1183</v>
      </c>
      <c r="G28" s="565">
        <v>-16</v>
      </c>
      <c r="H28" s="564">
        <v>1.1872146118721462E-2</v>
      </c>
      <c r="I28" s="564">
        <v>1.8264840182648401E-2</v>
      </c>
      <c r="J28" s="564">
        <v>2.8538812785388126E-2</v>
      </c>
      <c r="K28" s="564">
        <v>8.1621004566210048E-2</v>
      </c>
      <c r="L28" s="564">
        <v>0</v>
      </c>
      <c r="M28" s="564">
        <v>2.2831050228310502E-4</v>
      </c>
      <c r="N28" s="564">
        <v>1.2557077625570776E-3</v>
      </c>
      <c r="O28" s="564">
        <v>9.8173515981735161E-3</v>
      </c>
      <c r="P28" s="564">
        <v>1.1301369863013699E-2</v>
      </c>
      <c r="Q28" s="564">
        <v>2.054794520547945E-3</v>
      </c>
      <c r="R28" s="564">
        <v>1.8264840182648401E-3</v>
      </c>
      <c r="S28" s="564">
        <v>0</v>
      </c>
      <c r="T28" s="564">
        <v>0</v>
      </c>
      <c r="U28" s="564">
        <v>0</v>
      </c>
      <c r="V28" s="564">
        <v>3.767123287671233E-3</v>
      </c>
      <c r="W28" s="564">
        <v>0</v>
      </c>
      <c r="X28" s="564">
        <v>0</v>
      </c>
      <c r="Z28" s="655" cm="1">
        <f t="array" ref="Z28">INDEX(H28:X28,1,$B$30)</f>
        <v>0</v>
      </c>
      <c r="AH28">
        <v>1.1872146118721462E-2</v>
      </c>
      <c r="AI28">
        <v>1.8264840182648401E-2</v>
      </c>
      <c r="AJ28">
        <v>2.8538812785388126E-2</v>
      </c>
      <c r="AK28">
        <v>8.1621004566210048E-2</v>
      </c>
      <c r="AL28">
        <v>1.2557077625570776E-3</v>
      </c>
      <c r="AM28">
        <v>3.767123287671233E-3</v>
      </c>
      <c r="AN28">
        <v>0</v>
      </c>
      <c r="AO28">
        <v>2.054794520547945E-3</v>
      </c>
      <c r="AP28">
        <v>0</v>
      </c>
      <c r="AQ28">
        <v>0</v>
      </c>
      <c r="AR28">
        <v>0</v>
      </c>
    </row>
    <row r="29" spans="2:44" x14ac:dyDescent="0.15">
      <c r="G29" s="565">
        <v>-15</v>
      </c>
      <c r="H29" s="564">
        <v>1.632420091324201E-2</v>
      </c>
      <c r="I29" s="564">
        <v>2.3287671232876714E-2</v>
      </c>
      <c r="J29" s="564">
        <v>3.5844748858447489E-2</v>
      </c>
      <c r="K29" s="564">
        <v>9.0981735159817348E-2</v>
      </c>
      <c r="L29" s="564">
        <v>0</v>
      </c>
      <c r="M29" s="564">
        <v>2.1689497716894978E-3</v>
      </c>
      <c r="N29" s="564">
        <v>4.7945205479452057E-3</v>
      </c>
      <c r="O29" s="564">
        <v>1.2442922374429224E-2</v>
      </c>
      <c r="P29" s="564">
        <v>1.3470319634703196E-2</v>
      </c>
      <c r="Q29" s="564">
        <v>3.767123287671233E-3</v>
      </c>
      <c r="R29" s="564">
        <v>3.4246575342465752E-3</v>
      </c>
      <c r="S29" s="564">
        <v>0</v>
      </c>
      <c r="T29" s="564">
        <v>0</v>
      </c>
      <c r="U29" s="564">
        <v>0</v>
      </c>
      <c r="V29" s="564">
        <v>6.392694063926941E-3</v>
      </c>
      <c r="W29" s="564">
        <v>0</v>
      </c>
      <c r="X29" s="564">
        <v>1.1415525114155251E-4</v>
      </c>
      <c r="Z29" s="655" cm="1">
        <f t="array" ref="Z29">INDEX(H29:X29,1,$B$30)</f>
        <v>0</v>
      </c>
      <c r="AH29">
        <v>1.632420091324201E-2</v>
      </c>
      <c r="AI29">
        <v>2.3287671232876714E-2</v>
      </c>
      <c r="AJ29">
        <v>3.5844748858447489E-2</v>
      </c>
      <c r="AK29">
        <v>9.0981735159817348E-2</v>
      </c>
      <c r="AL29">
        <v>4.7945205479452057E-3</v>
      </c>
      <c r="AM29">
        <v>6.392694063926941E-3</v>
      </c>
      <c r="AN29">
        <v>0</v>
      </c>
      <c r="AO29">
        <v>3.767123287671233E-3</v>
      </c>
      <c r="AP29">
        <v>1.1415525114155251E-4</v>
      </c>
      <c r="AQ29">
        <v>0</v>
      </c>
      <c r="AR29">
        <v>0</v>
      </c>
    </row>
    <row r="30" spans="2:44" x14ac:dyDescent="0.15">
      <c r="B30">
        <f>IF($B$2,B28,B28+D3)</f>
        <v>5</v>
      </c>
      <c r="C30" t="s">
        <v>1184</v>
      </c>
      <c r="G30" s="565">
        <v>-14</v>
      </c>
      <c r="H30" s="564">
        <v>2.1917808219178082E-2</v>
      </c>
      <c r="I30" s="564">
        <v>2.9794520547945205E-2</v>
      </c>
      <c r="J30" s="564">
        <v>4.3493150684931509E-2</v>
      </c>
      <c r="K30" s="564">
        <v>0.10422374429223745</v>
      </c>
      <c r="L30" s="564">
        <v>0</v>
      </c>
      <c r="M30" s="564">
        <v>2.5114155251141552E-3</v>
      </c>
      <c r="N30" s="564">
        <v>6.8493150684931503E-3</v>
      </c>
      <c r="O30" s="564">
        <v>1.3926940639269407E-2</v>
      </c>
      <c r="P30" s="564">
        <v>1.5639269406392695E-2</v>
      </c>
      <c r="Q30" s="564">
        <v>4.7945205479452057E-3</v>
      </c>
      <c r="R30" s="564">
        <v>4.4520547945205479E-3</v>
      </c>
      <c r="S30" s="564">
        <v>0</v>
      </c>
      <c r="T30" s="564">
        <v>0</v>
      </c>
      <c r="U30" s="564">
        <v>0</v>
      </c>
      <c r="V30" s="564">
        <v>7.4200913242009128E-3</v>
      </c>
      <c r="W30" s="564">
        <v>0</v>
      </c>
      <c r="X30" s="564">
        <v>6.8493150684931507E-4</v>
      </c>
      <c r="Z30" s="655" cm="1">
        <f t="array" ref="Z30">INDEX(H30:X30,1,$B$30)</f>
        <v>0</v>
      </c>
      <c r="AH30">
        <v>2.1917808219178082E-2</v>
      </c>
      <c r="AI30">
        <v>2.9794520547945205E-2</v>
      </c>
      <c r="AJ30">
        <v>4.3493150684931509E-2</v>
      </c>
      <c r="AK30">
        <v>0.10422374429223745</v>
      </c>
      <c r="AL30">
        <v>6.8493150684931503E-3</v>
      </c>
      <c r="AM30">
        <v>7.4200913242009128E-3</v>
      </c>
      <c r="AN30">
        <v>0</v>
      </c>
      <c r="AO30">
        <v>4.7945205479452057E-3</v>
      </c>
      <c r="AP30">
        <v>6.8493150684931507E-4</v>
      </c>
      <c r="AQ30">
        <v>0</v>
      </c>
      <c r="AR30">
        <v>0</v>
      </c>
    </row>
    <row r="31" spans="2:44" x14ac:dyDescent="0.15">
      <c r="B31" t="str" cm="1">
        <f t="array" ref="B31">INDEX(H3:X3,1,B30)</f>
        <v>SWE - Sztokholm</v>
      </c>
      <c r="C31" t="s">
        <v>1185</v>
      </c>
      <c r="G31" s="565">
        <v>-13</v>
      </c>
      <c r="H31" s="564">
        <v>2.8652968036529679E-2</v>
      </c>
      <c r="I31" s="564">
        <v>3.6529680365296802E-2</v>
      </c>
      <c r="J31" s="564">
        <v>5.1598173515981734E-2</v>
      </c>
      <c r="K31" s="564">
        <v>0.11746575342465754</v>
      </c>
      <c r="L31" s="564">
        <v>0</v>
      </c>
      <c r="M31" s="564">
        <v>3.5388127853881279E-3</v>
      </c>
      <c r="N31" s="564">
        <v>1.2557077625570776E-2</v>
      </c>
      <c r="O31" s="564">
        <v>1.6210045662100457E-2</v>
      </c>
      <c r="P31" s="564">
        <v>2.0205479452054795E-2</v>
      </c>
      <c r="Q31" s="564">
        <v>6.735159817351598E-3</v>
      </c>
      <c r="R31" s="564">
        <v>7.534246575342466E-3</v>
      </c>
      <c r="S31" s="564">
        <v>0</v>
      </c>
      <c r="T31" s="564">
        <v>0</v>
      </c>
      <c r="U31" s="564">
        <v>6.8493150684931507E-4</v>
      </c>
      <c r="V31" s="564">
        <v>1.1301369863013699E-2</v>
      </c>
      <c r="W31" s="564">
        <v>0</v>
      </c>
      <c r="X31" s="564">
        <v>1.5981735159817352E-3</v>
      </c>
      <c r="Z31" s="655" cm="1">
        <f t="array" ref="Z31">INDEX(H31:X31,1,$B$30)</f>
        <v>0</v>
      </c>
      <c r="AH31">
        <v>2.8652968036529679E-2</v>
      </c>
      <c r="AI31">
        <v>3.6529680365296802E-2</v>
      </c>
      <c r="AJ31">
        <v>5.1598173515981734E-2</v>
      </c>
      <c r="AK31">
        <v>0.11746575342465754</v>
      </c>
      <c r="AL31">
        <v>1.2557077625570776E-2</v>
      </c>
      <c r="AM31">
        <v>1.1301369863013699E-2</v>
      </c>
      <c r="AN31">
        <v>0</v>
      </c>
      <c r="AO31">
        <v>6.735159817351598E-3</v>
      </c>
      <c r="AP31">
        <v>1.5981735159817352E-3</v>
      </c>
      <c r="AQ31">
        <v>0</v>
      </c>
      <c r="AR31">
        <v>6.8493150684931507E-4</v>
      </c>
    </row>
    <row r="32" spans="2:44" x14ac:dyDescent="0.15">
      <c r="G32" s="565">
        <v>-12</v>
      </c>
      <c r="H32" s="564">
        <v>3.4589041095890408E-2</v>
      </c>
      <c r="I32" s="564">
        <v>4.1324200913242008E-2</v>
      </c>
      <c r="J32" s="564">
        <v>6.095890410958904E-2</v>
      </c>
      <c r="K32" s="564">
        <v>0.13344748858447489</v>
      </c>
      <c r="L32" s="564">
        <v>3.4246575342465754E-4</v>
      </c>
      <c r="M32" s="564">
        <v>7.3059360730593605E-3</v>
      </c>
      <c r="N32" s="564">
        <v>1.9748858447488585E-2</v>
      </c>
      <c r="O32" s="564">
        <v>1.9863013698630139E-2</v>
      </c>
      <c r="P32" s="564">
        <v>2.8995433789954339E-2</v>
      </c>
      <c r="Q32" s="564">
        <v>9.7031963470319629E-3</v>
      </c>
      <c r="R32" s="564">
        <v>1.0159817351598174E-2</v>
      </c>
      <c r="S32" s="564">
        <v>3.4246575342465754E-4</v>
      </c>
      <c r="T32" s="564">
        <v>0</v>
      </c>
      <c r="U32" s="564">
        <v>5.0228310502283104E-3</v>
      </c>
      <c r="V32" s="564">
        <v>1.4041095890410958E-2</v>
      </c>
      <c r="W32" s="564">
        <v>0</v>
      </c>
      <c r="X32" s="564">
        <v>3.767123287671233E-3</v>
      </c>
      <c r="Z32" s="655" cm="1">
        <f t="array" ref="Z32">INDEX(H32:X32,1,$B$30)</f>
        <v>3.4246575342465754E-4</v>
      </c>
      <c r="AH32">
        <v>3.4589041095890408E-2</v>
      </c>
      <c r="AI32">
        <v>4.1324200913242008E-2</v>
      </c>
      <c r="AJ32">
        <v>6.095890410958904E-2</v>
      </c>
      <c r="AK32">
        <v>0.13344748858447489</v>
      </c>
      <c r="AL32">
        <v>1.9748858447488585E-2</v>
      </c>
      <c r="AM32">
        <v>1.4041095890410958E-2</v>
      </c>
      <c r="AN32">
        <v>0</v>
      </c>
      <c r="AO32">
        <v>9.7031963470319629E-3</v>
      </c>
      <c r="AP32">
        <v>3.767123287671233E-3</v>
      </c>
      <c r="AQ32">
        <v>0</v>
      </c>
      <c r="AR32">
        <v>5.0228310502283104E-3</v>
      </c>
    </row>
    <row r="33" spans="7:44" x14ac:dyDescent="0.15">
      <c r="G33" s="565">
        <v>-11</v>
      </c>
      <c r="H33" s="564">
        <v>4.0639269406392696E-2</v>
      </c>
      <c r="I33" s="564">
        <v>4.8401826484018265E-2</v>
      </c>
      <c r="J33" s="564">
        <v>7.1575342465753422E-2</v>
      </c>
      <c r="K33" s="564">
        <v>0.15136986301369862</v>
      </c>
      <c r="L33" s="564">
        <v>1.3698630136986301E-3</v>
      </c>
      <c r="M33" s="564">
        <v>1.2671232876712329E-2</v>
      </c>
      <c r="N33" s="564">
        <v>2.9223744292237442E-2</v>
      </c>
      <c r="O33" s="564">
        <v>2.9109589041095889E-2</v>
      </c>
      <c r="P33" s="564">
        <v>3.6073059360730596E-2</v>
      </c>
      <c r="Q33" s="564">
        <v>1.3356164383561644E-2</v>
      </c>
      <c r="R33" s="564">
        <v>1.3812785388127854E-2</v>
      </c>
      <c r="S33" s="564">
        <v>1.3698630136986301E-3</v>
      </c>
      <c r="T33" s="564">
        <v>1.2557077625570776E-3</v>
      </c>
      <c r="U33" s="564">
        <v>1.0273972602739725E-2</v>
      </c>
      <c r="V33" s="564">
        <v>1.872146118721461E-2</v>
      </c>
      <c r="W33" s="564">
        <v>0</v>
      </c>
      <c r="X33" s="564">
        <v>5.4794520547945206E-3</v>
      </c>
      <c r="Z33" s="655" cm="1">
        <f t="array" ref="Z33">INDEX(H33:X33,1,$B$30)</f>
        <v>1.3698630136986301E-3</v>
      </c>
      <c r="AH33">
        <v>4.0639269406392696E-2</v>
      </c>
      <c r="AI33">
        <v>4.8401826484018265E-2</v>
      </c>
      <c r="AJ33">
        <v>7.1575342465753422E-2</v>
      </c>
      <c r="AK33">
        <v>0.15136986301369862</v>
      </c>
      <c r="AL33">
        <v>2.9223744292237442E-2</v>
      </c>
      <c r="AM33">
        <v>1.872146118721461E-2</v>
      </c>
      <c r="AN33">
        <v>0</v>
      </c>
      <c r="AO33">
        <v>1.3356164383561644E-2</v>
      </c>
      <c r="AP33">
        <v>5.4794520547945206E-3</v>
      </c>
      <c r="AQ33">
        <v>1.2557077625570776E-3</v>
      </c>
      <c r="AR33">
        <v>1.0273972602739725E-2</v>
      </c>
    </row>
    <row r="34" spans="7:44" x14ac:dyDescent="0.15">
      <c r="G34" s="565">
        <v>-10</v>
      </c>
      <c r="H34" s="564">
        <v>4.6575342465753428E-2</v>
      </c>
      <c r="I34" s="564">
        <v>5.6963470319634703E-2</v>
      </c>
      <c r="J34" s="564">
        <v>8.3105022831050229E-2</v>
      </c>
      <c r="K34" s="564">
        <v>0.16860730593607307</v>
      </c>
      <c r="L34" s="564">
        <v>4.9086757990867581E-3</v>
      </c>
      <c r="M34" s="564">
        <v>1.5753424657534248E-2</v>
      </c>
      <c r="N34" s="564">
        <v>4.029680365296804E-2</v>
      </c>
      <c r="O34" s="564">
        <v>3.6415525114155252E-2</v>
      </c>
      <c r="P34" s="564">
        <v>4.5890410958904108E-2</v>
      </c>
      <c r="Q34" s="564">
        <v>1.8036529680365298E-2</v>
      </c>
      <c r="R34" s="564">
        <v>1.6552511415525113E-2</v>
      </c>
      <c r="S34" s="564">
        <v>4.9086757990867581E-3</v>
      </c>
      <c r="T34" s="564">
        <v>3.6529680365296802E-3</v>
      </c>
      <c r="U34" s="564">
        <v>1.3584474885844749E-2</v>
      </c>
      <c r="V34" s="564">
        <v>2.1232876712328767E-2</v>
      </c>
      <c r="W34" s="564">
        <v>2.5114155251141552E-3</v>
      </c>
      <c r="X34" s="564">
        <v>8.1050228310502286E-3</v>
      </c>
      <c r="Z34" s="655" cm="1">
        <f t="array" ref="Z34">INDEX(H34:X34,1,$B$30)</f>
        <v>4.9086757990867581E-3</v>
      </c>
      <c r="AH34">
        <v>4.6575342465753428E-2</v>
      </c>
      <c r="AI34">
        <v>5.6963470319634703E-2</v>
      </c>
      <c r="AJ34">
        <v>8.3105022831050229E-2</v>
      </c>
      <c r="AK34">
        <v>0.16860730593607307</v>
      </c>
      <c r="AL34">
        <v>4.029680365296804E-2</v>
      </c>
      <c r="AM34">
        <v>2.1232876712328767E-2</v>
      </c>
      <c r="AN34">
        <v>2.5114155251141552E-3</v>
      </c>
      <c r="AO34">
        <v>1.8036529680365298E-2</v>
      </c>
      <c r="AP34">
        <v>8.1050228310502286E-3</v>
      </c>
      <c r="AQ34">
        <v>3.6529680365296802E-3</v>
      </c>
      <c r="AR34">
        <v>1.3584474885844749E-2</v>
      </c>
    </row>
    <row r="35" spans="7:44" x14ac:dyDescent="0.15">
      <c r="G35" s="565">
        <v>-9</v>
      </c>
      <c r="H35" s="564">
        <v>5.4680365296803653E-2</v>
      </c>
      <c r="I35" s="564">
        <v>6.7351598173515978E-2</v>
      </c>
      <c r="J35" s="564">
        <v>9.7945205479452055E-2</v>
      </c>
      <c r="K35" s="564">
        <v>0.18630136986301371</v>
      </c>
      <c r="L35" s="564">
        <v>6.735159817351598E-3</v>
      </c>
      <c r="M35" s="564">
        <v>1.7579908675799085E-2</v>
      </c>
      <c r="N35" s="564">
        <v>4.8744292237442921E-2</v>
      </c>
      <c r="O35" s="564">
        <v>3.9497716894977171E-2</v>
      </c>
      <c r="P35" s="564">
        <v>5.2054794520547946E-2</v>
      </c>
      <c r="Q35" s="564">
        <v>2.0547945205479451E-2</v>
      </c>
      <c r="R35" s="564">
        <v>1.872146118721461E-2</v>
      </c>
      <c r="S35" s="564">
        <v>6.735159817351598E-3</v>
      </c>
      <c r="T35" s="564">
        <v>4.7945205479452057E-3</v>
      </c>
      <c r="U35" s="564">
        <v>1.5068493150684932E-2</v>
      </c>
      <c r="V35" s="564">
        <v>2.3173515981735161E-2</v>
      </c>
      <c r="W35" s="564">
        <v>3.0821917808219177E-3</v>
      </c>
      <c r="X35" s="564">
        <v>9.2465753424657536E-3</v>
      </c>
      <c r="Z35" s="655" cm="1">
        <f t="array" ref="Z35">INDEX(H35:X35,1,$B$30)</f>
        <v>6.735159817351598E-3</v>
      </c>
      <c r="AH35">
        <v>5.4680365296803653E-2</v>
      </c>
      <c r="AI35">
        <v>6.7351598173515978E-2</v>
      </c>
      <c r="AJ35">
        <v>9.7945205479452055E-2</v>
      </c>
      <c r="AK35">
        <v>0.18630136986301371</v>
      </c>
      <c r="AL35">
        <v>4.8744292237442921E-2</v>
      </c>
      <c r="AM35">
        <v>2.3173515981735161E-2</v>
      </c>
      <c r="AN35">
        <v>3.0821917808219177E-3</v>
      </c>
      <c r="AO35">
        <v>2.0547945205479451E-2</v>
      </c>
      <c r="AP35">
        <v>9.2465753424657536E-3</v>
      </c>
      <c r="AQ35">
        <v>4.7945205479452057E-3</v>
      </c>
      <c r="AR35">
        <v>1.5068493150684932E-2</v>
      </c>
    </row>
    <row r="36" spans="7:44" x14ac:dyDescent="0.15">
      <c r="G36" s="565">
        <v>-8</v>
      </c>
      <c r="H36" s="564">
        <v>6.3356164383561647E-2</v>
      </c>
      <c r="I36" s="564">
        <v>7.6255707762557079E-2</v>
      </c>
      <c r="J36" s="564">
        <v>0.11666666666666667</v>
      </c>
      <c r="K36" s="564">
        <v>0.20091324200913241</v>
      </c>
      <c r="L36" s="564">
        <v>9.1324200913242004E-3</v>
      </c>
      <c r="M36" s="564">
        <v>2.363013698630137E-2</v>
      </c>
      <c r="N36" s="564">
        <v>6.2557077625570778E-2</v>
      </c>
      <c r="O36" s="564">
        <v>4.8401826484018265E-2</v>
      </c>
      <c r="P36" s="564">
        <v>6.7009132420091322E-2</v>
      </c>
      <c r="Q36" s="564">
        <v>2.5228310502283104E-2</v>
      </c>
      <c r="R36" s="564">
        <v>2.5684931506849314E-2</v>
      </c>
      <c r="S36" s="564">
        <v>9.1324200913242004E-3</v>
      </c>
      <c r="T36" s="564">
        <v>9.0182648401826489E-3</v>
      </c>
      <c r="U36" s="564">
        <v>2.0319634703196348E-2</v>
      </c>
      <c r="V36" s="564">
        <v>3.0365296803652967E-2</v>
      </c>
      <c r="W36" s="564">
        <v>5.0228310502283104E-3</v>
      </c>
      <c r="X36" s="564">
        <v>1.2785388127853882E-2</v>
      </c>
      <c r="Z36" s="655" cm="1">
        <f t="array" ref="Z36">INDEX(H36:X36,1,$B$30)</f>
        <v>9.1324200913242004E-3</v>
      </c>
      <c r="AH36">
        <v>6.3356164383561647E-2</v>
      </c>
      <c r="AI36">
        <v>7.6255707762557079E-2</v>
      </c>
      <c r="AJ36">
        <v>0.11666666666666667</v>
      </c>
      <c r="AK36">
        <v>0.20091324200913241</v>
      </c>
      <c r="AL36">
        <v>6.2557077625570778E-2</v>
      </c>
      <c r="AM36">
        <v>3.0365296803652967E-2</v>
      </c>
      <c r="AN36">
        <v>5.0228310502283104E-3</v>
      </c>
      <c r="AO36">
        <v>2.5228310502283104E-2</v>
      </c>
      <c r="AP36">
        <v>1.2785388127853882E-2</v>
      </c>
      <c r="AQ36">
        <v>9.0182648401826489E-3</v>
      </c>
      <c r="AR36">
        <v>2.0319634703196348E-2</v>
      </c>
    </row>
    <row r="37" spans="7:44" x14ac:dyDescent="0.15">
      <c r="G37" s="565">
        <v>-7</v>
      </c>
      <c r="H37" s="564">
        <v>7.4999999999999997E-2</v>
      </c>
      <c r="I37" s="564">
        <v>8.7785388127853886E-2</v>
      </c>
      <c r="J37" s="564">
        <v>0.13698630136986301</v>
      </c>
      <c r="K37" s="564">
        <v>0.22237442922374429</v>
      </c>
      <c r="L37" s="564">
        <v>1.1301369863013699E-2</v>
      </c>
      <c r="M37" s="564">
        <v>3.1849315068493152E-2</v>
      </c>
      <c r="N37" s="564">
        <v>8.4474885844748854E-2</v>
      </c>
      <c r="O37" s="564">
        <v>6.837899543378996E-2</v>
      </c>
      <c r="P37" s="564">
        <v>8.2762557077625573E-2</v>
      </c>
      <c r="Q37" s="564">
        <v>3.4018264840182645E-2</v>
      </c>
      <c r="R37" s="564">
        <v>3.8698630136986302E-2</v>
      </c>
      <c r="S37" s="564">
        <v>1.1301369863013699E-2</v>
      </c>
      <c r="T37" s="564">
        <v>1.3356164383561644E-2</v>
      </c>
      <c r="U37" s="564">
        <v>2.8310502283105023E-2</v>
      </c>
      <c r="V37" s="564">
        <v>3.9041095890410958E-2</v>
      </c>
      <c r="W37" s="564">
        <v>8.6757990867579911E-3</v>
      </c>
      <c r="X37" s="564">
        <v>1.6552511415525113E-2</v>
      </c>
      <c r="Z37" s="655" cm="1">
        <f t="array" ref="Z37">INDEX(H37:X37,1,$B$30)</f>
        <v>1.1301369863013699E-2</v>
      </c>
      <c r="AH37">
        <v>7.4999999999999997E-2</v>
      </c>
      <c r="AI37">
        <v>8.7785388127853886E-2</v>
      </c>
      <c r="AJ37">
        <v>0.13698630136986301</v>
      </c>
      <c r="AK37">
        <v>0.22237442922374429</v>
      </c>
      <c r="AL37">
        <v>8.4474885844748854E-2</v>
      </c>
      <c r="AM37">
        <v>3.9041095890410958E-2</v>
      </c>
      <c r="AN37">
        <v>8.6757990867579911E-3</v>
      </c>
      <c r="AO37">
        <v>3.4018264840182645E-2</v>
      </c>
      <c r="AP37">
        <v>1.6552511415525113E-2</v>
      </c>
      <c r="AQ37">
        <v>1.3356164383561644E-2</v>
      </c>
      <c r="AR37">
        <v>2.8310502283105023E-2</v>
      </c>
    </row>
    <row r="38" spans="7:44" x14ac:dyDescent="0.15">
      <c r="G38" s="565">
        <v>-6</v>
      </c>
      <c r="H38" s="564">
        <v>8.8470319634703198E-2</v>
      </c>
      <c r="I38" s="564">
        <v>0.1021689497716895</v>
      </c>
      <c r="J38" s="564">
        <v>0.16095890410958905</v>
      </c>
      <c r="K38" s="564">
        <v>0.24121004566210047</v>
      </c>
      <c r="L38" s="564">
        <v>2.3858447488584476E-2</v>
      </c>
      <c r="M38" s="564">
        <v>4.2808219178082189E-2</v>
      </c>
      <c r="N38" s="564">
        <v>0.10616438356164383</v>
      </c>
      <c r="O38" s="564">
        <v>8.7899543378995429E-2</v>
      </c>
      <c r="P38" s="564">
        <v>0.10582191780821917</v>
      </c>
      <c r="Q38" s="564">
        <v>4.9086757990867577E-2</v>
      </c>
      <c r="R38" s="564">
        <v>5.4337899543378997E-2</v>
      </c>
      <c r="S38" s="564">
        <v>2.3858447488584476E-2</v>
      </c>
      <c r="T38" s="564">
        <v>2.2716894977168951E-2</v>
      </c>
      <c r="U38" s="564">
        <v>3.9954337899543377E-2</v>
      </c>
      <c r="V38" s="564">
        <v>5.3538812785388128E-2</v>
      </c>
      <c r="W38" s="564">
        <v>1.4041095890410958E-2</v>
      </c>
      <c r="X38" s="564">
        <v>2.1803652968036529E-2</v>
      </c>
      <c r="Z38" s="655" cm="1">
        <f t="array" ref="Z38">INDEX(H38:X38,1,$B$30)</f>
        <v>2.3858447488584476E-2</v>
      </c>
      <c r="AH38">
        <v>8.8470319634703198E-2</v>
      </c>
      <c r="AI38">
        <v>0.1021689497716895</v>
      </c>
      <c r="AJ38">
        <v>0.16095890410958905</v>
      </c>
      <c r="AK38">
        <v>0.24121004566210047</v>
      </c>
      <c r="AL38">
        <v>0.10616438356164383</v>
      </c>
      <c r="AM38">
        <v>5.3538812785388128E-2</v>
      </c>
      <c r="AN38">
        <v>1.4041095890410958E-2</v>
      </c>
      <c r="AO38">
        <v>4.9086757990867577E-2</v>
      </c>
      <c r="AP38">
        <v>2.1803652968036529E-2</v>
      </c>
      <c r="AQ38">
        <v>2.2716894977168951E-2</v>
      </c>
      <c r="AR38">
        <v>3.9954337899543377E-2</v>
      </c>
    </row>
    <row r="39" spans="7:44" x14ac:dyDescent="0.15">
      <c r="G39" s="565">
        <v>-5</v>
      </c>
      <c r="H39" s="564">
        <v>0.10547945205479452</v>
      </c>
      <c r="I39" s="564">
        <v>0.12317351598173516</v>
      </c>
      <c r="J39" s="564">
        <v>0.18801369863013698</v>
      </c>
      <c r="K39" s="564">
        <v>0.27180365296803655</v>
      </c>
      <c r="L39" s="564">
        <v>4.2922374429223746E-2</v>
      </c>
      <c r="M39" s="564">
        <v>5.9018264840182647E-2</v>
      </c>
      <c r="N39" s="564">
        <v>0.13070776255707764</v>
      </c>
      <c r="O39" s="564">
        <v>0.11347031963470319</v>
      </c>
      <c r="P39" s="564">
        <v>0.13070776255707764</v>
      </c>
      <c r="Q39" s="564">
        <v>6.9977168949771684E-2</v>
      </c>
      <c r="R39" s="564">
        <v>7.0205479452054798E-2</v>
      </c>
      <c r="S39" s="564">
        <v>4.2922374429223746E-2</v>
      </c>
      <c r="T39" s="564">
        <v>4.1894977168949771E-2</v>
      </c>
      <c r="U39" s="564">
        <v>5.399543378995434E-2</v>
      </c>
      <c r="V39" s="564">
        <v>7.4543378995433784E-2</v>
      </c>
      <c r="W39" s="564">
        <v>2.0662100456621004E-2</v>
      </c>
      <c r="X39" s="564">
        <v>2.8767123287671233E-2</v>
      </c>
      <c r="Z39" s="655" cm="1">
        <f t="array" ref="Z39">INDEX(H39:X39,1,$B$30)</f>
        <v>4.2922374429223746E-2</v>
      </c>
      <c r="AH39">
        <v>0.10547945205479452</v>
      </c>
      <c r="AI39">
        <v>0.12317351598173516</v>
      </c>
      <c r="AJ39">
        <v>0.18801369863013698</v>
      </c>
      <c r="AK39">
        <v>0.27180365296803655</v>
      </c>
      <c r="AL39">
        <v>0.13070776255707764</v>
      </c>
      <c r="AM39">
        <v>7.4543378995433784E-2</v>
      </c>
      <c r="AN39">
        <v>2.0662100456621004E-2</v>
      </c>
      <c r="AO39">
        <v>6.9977168949771684E-2</v>
      </c>
      <c r="AP39">
        <v>2.8767123287671233E-2</v>
      </c>
      <c r="AQ39">
        <v>4.1894977168949771E-2</v>
      </c>
      <c r="AR39">
        <v>5.399543378995434E-2</v>
      </c>
    </row>
    <row r="40" spans="7:44" x14ac:dyDescent="0.15">
      <c r="G40" s="565">
        <v>-4</v>
      </c>
      <c r="H40" s="564">
        <v>0.12888127853881279</v>
      </c>
      <c r="I40" s="564">
        <v>0.14452054794520547</v>
      </c>
      <c r="J40" s="564">
        <v>0.2139269406392694</v>
      </c>
      <c r="K40" s="564">
        <v>0.3065068493150685</v>
      </c>
      <c r="L40" s="564">
        <v>5.6849315068493153E-2</v>
      </c>
      <c r="M40" s="564">
        <v>7.031963470319634E-2</v>
      </c>
      <c r="N40" s="564">
        <v>0.14771689497716894</v>
      </c>
      <c r="O40" s="564">
        <v>0.1291095890410959</v>
      </c>
      <c r="P40" s="564">
        <v>0.14874429223744293</v>
      </c>
      <c r="Q40" s="564">
        <v>8.3447488584474885E-2</v>
      </c>
      <c r="R40" s="564">
        <v>8.1735159817351605E-2</v>
      </c>
      <c r="S40" s="564">
        <v>5.6849315068493153E-2</v>
      </c>
      <c r="T40" s="564">
        <v>4.942922374429224E-2</v>
      </c>
      <c r="U40" s="564">
        <v>6.3698630136986303E-2</v>
      </c>
      <c r="V40" s="564">
        <v>8.6872146118721461E-2</v>
      </c>
      <c r="W40" s="564">
        <v>2.8767123287671233E-2</v>
      </c>
      <c r="X40" s="564">
        <v>3.515981735159817E-2</v>
      </c>
      <c r="Z40" s="655" cm="1">
        <f t="array" ref="Z40">INDEX(H40:X40,1,$B$30)</f>
        <v>5.6849315068493153E-2</v>
      </c>
      <c r="AH40">
        <v>0.12888127853881279</v>
      </c>
      <c r="AI40">
        <v>0.14452054794520547</v>
      </c>
      <c r="AJ40">
        <v>0.2139269406392694</v>
      </c>
      <c r="AK40">
        <v>0.3065068493150685</v>
      </c>
      <c r="AL40">
        <v>0.14771689497716894</v>
      </c>
      <c r="AM40">
        <v>8.6872146118721461E-2</v>
      </c>
      <c r="AN40">
        <v>2.8767123287671233E-2</v>
      </c>
      <c r="AO40">
        <v>8.3447488584474885E-2</v>
      </c>
      <c r="AP40">
        <v>3.515981735159817E-2</v>
      </c>
      <c r="AQ40">
        <v>4.942922374429224E-2</v>
      </c>
      <c r="AR40">
        <v>6.3698630136986303E-2</v>
      </c>
    </row>
    <row r="41" spans="7:44" x14ac:dyDescent="0.15">
      <c r="G41" s="565">
        <v>-3</v>
      </c>
      <c r="H41" s="564">
        <v>0.15570776255707763</v>
      </c>
      <c r="I41" s="564">
        <v>0.16849315068493151</v>
      </c>
      <c r="J41" s="564">
        <v>0.24406392694063928</v>
      </c>
      <c r="K41" s="564">
        <v>0.34178082191780823</v>
      </c>
      <c r="L41" s="564">
        <v>8.0936073059360736E-2</v>
      </c>
      <c r="M41" s="564">
        <v>0.10148401826484019</v>
      </c>
      <c r="N41" s="564">
        <v>0.17340182648401825</v>
      </c>
      <c r="O41" s="564">
        <v>0.16598173515981735</v>
      </c>
      <c r="P41" s="564">
        <v>0.19075342465753425</v>
      </c>
      <c r="Q41" s="564">
        <v>0.11529680365296803</v>
      </c>
      <c r="R41" s="564">
        <v>0.10251141552511416</v>
      </c>
      <c r="S41" s="564">
        <v>8.0936073059360736E-2</v>
      </c>
      <c r="T41" s="564">
        <v>7.8538812785388129E-2</v>
      </c>
      <c r="U41" s="564">
        <v>8.4931506849315067E-2</v>
      </c>
      <c r="V41" s="564">
        <v>0.11780821917808219</v>
      </c>
      <c r="W41" s="564">
        <v>4.4292237442922378E-2</v>
      </c>
      <c r="X41" s="564">
        <v>4.8858447488584478E-2</v>
      </c>
      <c r="Z41" s="655" cm="1">
        <f t="array" ref="Z41">INDEX(H41:X41,1,$B$30)</f>
        <v>8.0936073059360736E-2</v>
      </c>
      <c r="AH41">
        <v>0.15570776255707763</v>
      </c>
      <c r="AI41">
        <v>0.16849315068493151</v>
      </c>
      <c r="AJ41">
        <v>0.24406392694063928</v>
      </c>
      <c r="AK41">
        <v>0.34178082191780823</v>
      </c>
      <c r="AL41">
        <v>0.17340182648401825</v>
      </c>
      <c r="AM41">
        <v>0.11780821917808219</v>
      </c>
      <c r="AN41">
        <v>4.4292237442922378E-2</v>
      </c>
      <c r="AO41">
        <v>0.11529680365296803</v>
      </c>
      <c r="AP41">
        <v>4.8858447488584478E-2</v>
      </c>
      <c r="AQ41">
        <v>7.8538812785388129E-2</v>
      </c>
      <c r="AR41">
        <v>8.4931506849315067E-2</v>
      </c>
    </row>
    <row r="42" spans="7:44" x14ac:dyDescent="0.15">
      <c r="G42" s="565">
        <v>-2</v>
      </c>
      <c r="H42" s="564">
        <v>0.18424657534246575</v>
      </c>
      <c r="I42" s="564">
        <v>0.19337899543378995</v>
      </c>
      <c r="J42" s="564">
        <v>0.27728310502283104</v>
      </c>
      <c r="K42" s="564">
        <v>0.37648401826484018</v>
      </c>
      <c r="L42" s="564">
        <v>0.1110730593607306</v>
      </c>
      <c r="M42" s="564">
        <v>0.13515981735159818</v>
      </c>
      <c r="N42" s="564">
        <v>0.20468036529680364</v>
      </c>
      <c r="O42" s="564">
        <v>0.20228310502283106</v>
      </c>
      <c r="P42" s="564">
        <v>0.22910958904109588</v>
      </c>
      <c r="Q42" s="564">
        <v>0.15376712328767123</v>
      </c>
      <c r="R42" s="564">
        <v>0.13390410958904109</v>
      </c>
      <c r="S42" s="564">
        <v>0.1110730593607306</v>
      </c>
      <c r="T42" s="564">
        <v>0.11723744292237442</v>
      </c>
      <c r="U42" s="564">
        <v>0.11015981735159817</v>
      </c>
      <c r="V42" s="564">
        <v>0.16244292237442923</v>
      </c>
      <c r="W42" s="564">
        <v>7.1689497716894979E-2</v>
      </c>
      <c r="X42" s="564">
        <v>6.632420091324201E-2</v>
      </c>
      <c r="Z42" s="655" cm="1">
        <f t="array" ref="Z42">INDEX(H42:X42,1,$B$30)</f>
        <v>0.1110730593607306</v>
      </c>
      <c r="AH42">
        <v>0.18424657534246575</v>
      </c>
      <c r="AI42">
        <v>0.19337899543378995</v>
      </c>
      <c r="AJ42">
        <v>0.27728310502283104</v>
      </c>
      <c r="AK42">
        <v>0.37648401826484018</v>
      </c>
      <c r="AL42">
        <v>0.20468036529680364</v>
      </c>
      <c r="AM42">
        <v>0.16244292237442923</v>
      </c>
      <c r="AN42">
        <v>7.1689497716894979E-2</v>
      </c>
      <c r="AO42">
        <v>0.15376712328767123</v>
      </c>
      <c r="AP42">
        <v>6.632420091324201E-2</v>
      </c>
      <c r="AQ42">
        <v>0.11723744292237442</v>
      </c>
      <c r="AR42">
        <v>0.11015981735159817</v>
      </c>
    </row>
    <row r="43" spans="7:44" x14ac:dyDescent="0.15">
      <c r="G43" s="565">
        <v>-1</v>
      </c>
      <c r="H43" s="564">
        <v>0.20924657534246574</v>
      </c>
      <c r="I43" s="564">
        <v>0.22340182648401827</v>
      </c>
      <c r="J43" s="564">
        <v>0.31210045662100455</v>
      </c>
      <c r="K43" s="564">
        <v>0.41678082191780824</v>
      </c>
      <c r="L43" s="564">
        <v>0.15719178082191781</v>
      </c>
      <c r="M43" s="564">
        <v>0.16666666666666666</v>
      </c>
      <c r="N43" s="564">
        <v>0.23184931506849316</v>
      </c>
      <c r="O43" s="564">
        <v>0.24463470319634703</v>
      </c>
      <c r="P43" s="564">
        <v>0.27100456621004565</v>
      </c>
      <c r="Q43" s="564">
        <v>0.19121004566210045</v>
      </c>
      <c r="R43" s="564">
        <v>0.16929223744292238</v>
      </c>
      <c r="S43" s="564">
        <v>0.15719178082191781</v>
      </c>
      <c r="T43" s="564">
        <v>0.15570776255707763</v>
      </c>
      <c r="U43" s="564">
        <v>0.13470319634703196</v>
      </c>
      <c r="V43" s="564">
        <v>0.21118721461187215</v>
      </c>
      <c r="W43" s="564">
        <v>0.10148401826484019</v>
      </c>
      <c r="X43" s="564">
        <v>0.10091324200913242</v>
      </c>
      <c r="Z43" s="655" cm="1">
        <f t="array" ref="Z43">INDEX(H43:X43,1,$B$30)</f>
        <v>0.15719178082191781</v>
      </c>
      <c r="AH43">
        <v>0.20924657534246574</v>
      </c>
      <c r="AI43">
        <v>0.22340182648401827</v>
      </c>
      <c r="AJ43">
        <v>0.31210045662100455</v>
      </c>
      <c r="AK43">
        <v>0.41678082191780824</v>
      </c>
      <c r="AL43">
        <v>0.23184931506849316</v>
      </c>
      <c r="AM43">
        <v>0.21118721461187215</v>
      </c>
      <c r="AN43">
        <v>0.10148401826484019</v>
      </c>
      <c r="AO43">
        <v>0.19121004566210045</v>
      </c>
      <c r="AP43">
        <v>0.10091324200913242</v>
      </c>
      <c r="AQ43">
        <v>0.15570776255707763</v>
      </c>
      <c r="AR43">
        <v>0.13470319634703196</v>
      </c>
    </row>
    <row r="44" spans="7:44" x14ac:dyDescent="0.15">
      <c r="G44" s="565">
        <v>0</v>
      </c>
      <c r="H44" s="564">
        <v>0.24920091324200913</v>
      </c>
      <c r="I44" s="564">
        <v>0.27089041095890409</v>
      </c>
      <c r="J44" s="564">
        <v>0.36792237442922376</v>
      </c>
      <c r="K44" s="564">
        <v>0.46027397260273972</v>
      </c>
      <c r="L44" s="564">
        <v>0.21255707762557077</v>
      </c>
      <c r="M44" s="564">
        <v>0.20468036529680364</v>
      </c>
      <c r="N44" s="564">
        <v>0.27363013698630134</v>
      </c>
      <c r="O44" s="564">
        <v>0.28938356164383561</v>
      </c>
      <c r="P44" s="564">
        <v>0.30810502283105023</v>
      </c>
      <c r="Q44" s="564">
        <v>0.22979452054794522</v>
      </c>
      <c r="R44" s="564">
        <v>0.20833333333333334</v>
      </c>
      <c r="S44" s="564">
        <v>0.21255707762557077</v>
      </c>
      <c r="T44" s="564">
        <v>0.20273972602739726</v>
      </c>
      <c r="U44" s="564">
        <v>0.16381278538812785</v>
      </c>
      <c r="V44" s="564">
        <v>0.25753424657534246</v>
      </c>
      <c r="W44" s="564">
        <v>0.14212328767123289</v>
      </c>
      <c r="X44" s="564">
        <v>0.13904109589041097</v>
      </c>
      <c r="Z44" s="655" cm="1">
        <f t="array" ref="Z44">INDEX(H44:X44,1,$B$30)</f>
        <v>0.21255707762557077</v>
      </c>
      <c r="AH44">
        <v>0.24920091324200913</v>
      </c>
      <c r="AI44">
        <v>0.27089041095890409</v>
      </c>
      <c r="AJ44">
        <v>0.36792237442922376</v>
      </c>
      <c r="AK44">
        <v>0.46027397260273972</v>
      </c>
      <c r="AL44">
        <v>0.27363013698630134</v>
      </c>
      <c r="AM44">
        <v>0.25753424657534246</v>
      </c>
      <c r="AN44">
        <v>0.14212328767123289</v>
      </c>
      <c r="AO44">
        <v>0.22979452054794522</v>
      </c>
      <c r="AP44">
        <v>0.13904109589041097</v>
      </c>
      <c r="AQ44">
        <v>0.20273972602739726</v>
      </c>
      <c r="AR44">
        <v>0.16381278538812785</v>
      </c>
    </row>
    <row r="45" spans="7:44" x14ac:dyDescent="0.15">
      <c r="G45" s="565">
        <v>1</v>
      </c>
      <c r="H45" s="564">
        <v>0.30993150684931509</v>
      </c>
      <c r="I45" s="564">
        <v>0.3422374429223744</v>
      </c>
      <c r="J45" s="564">
        <v>0.41004566210045662</v>
      </c>
      <c r="K45" s="564">
        <v>0.51118721461187211</v>
      </c>
      <c r="L45" s="564">
        <v>0.24155251141552511</v>
      </c>
      <c r="M45" s="564">
        <v>0.22500000000000001</v>
      </c>
      <c r="N45" s="564">
        <v>0.30490867579908676</v>
      </c>
      <c r="O45" s="564">
        <v>0.31050228310502281</v>
      </c>
      <c r="P45" s="564">
        <v>0.32968036529680367</v>
      </c>
      <c r="Q45" s="564">
        <v>0.24520547945205479</v>
      </c>
      <c r="R45" s="564">
        <v>0.22888127853881279</v>
      </c>
      <c r="S45" s="564">
        <v>0.24155251141552511</v>
      </c>
      <c r="T45" s="564">
        <v>0.23378995433789954</v>
      </c>
      <c r="U45" s="564">
        <v>0.18013698630136987</v>
      </c>
      <c r="V45" s="564">
        <v>0.28150684931506847</v>
      </c>
      <c r="W45" s="564">
        <v>0.1636986301369863</v>
      </c>
      <c r="X45" s="564">
        <v>0.16232876712328767</v>
      </c>
      <c r="Z45" s="655" cm="1">
        <f t="array" ref="Z45">INDEX(H45:X45,1,$B$30)</f>
        <v>0.24155251141552511</v>
      </c>
      <c r="AH45">
        <v>0.30993150684931509</v>
      </c>
      <c r="AI45">
        <v>0.3422374429223744</v>
      </c>
      <c r="AJ45">
        <v>0.41004566210045662</v>
      </c>
      <c r="AK45">
        <v>0.51118721461187211</v>
      </c>
      <c r="AL45">
        <v>0.30490867579908676</v>
      </c>
      <c r="AM45">
        <v>0.28150684931506847</v>
      </c>
      <c r="AN45">
        <v>0.1636986301369863</v>
      </c>
      <c r="AO45">
        <v>0.24520547945205479</v>
      </c>
      <c r="AP45">
        <v>0.16232876712328767</v>
      </c>
      <c r="AQ45">
        <v>0.23378995433789954</v>
      </c>
      <c r="AR45">
        <v>0.18013698630136987</v>
      </c>
    </row>
    <row r="46" spans="7:44" x14ac:dyDescent="0.15">
      <c r="G46" s="565">
        <v>2</v>
      </c>
      <c r="H46" s="564">
        <v>0.36917808219178083</v>
      </c>
      <c r="I46" s="564">
        <v>0.40136986301369865</v>
      </c>
      <c r="J46" s="564">
        <v>0.45171232876712331</v>
      </c>
      <c r="K46" s="564">
        <v>0.54372146118721465</v>
      </c>
      <c r="L46" s="564">
        <v>0.30034246575342466</v>
      </c>
      <c r="M46" s="564">
        <v>0.27111872146118721</v>
      </c>
      <c r="N46" s="564">
        <v>0.36506849315068496</v>
      </c>
      <c r="O46" s="564">
        <v>0.35239726027397261</v>
      </c>
      <c r="P46" s="564">
        <v>0.36723744292237442</v>
      </c>
      <c r="Q46" s="564">
        <v>0.27716894977168949</v>
      </c>
      <c r="R46" s="564">
        <v>0.26529680365296804</v>
      </c>
      <c r="S46" s="564">
        <v>0.30034246575342466</v>
      </c>
      <c r="T46" s="564">
        <v>0.29497716894977166</v>
      </c>
      <c r="U46" s="564">
        <v>0.21107305936073059</v>
      </c>
      <c r="V46" s="564">
        <v>0.33550228310502284</v>
      </c>
      <c r="W46" s="564">
        <v>0.20742009132420092</v>
      </c>
      <c r="X46" s="564">
        <v>0.1980593607305936</v>
      </c>
      <c r="Z46" s="655" cm="1">
        <f t="array" ref="Z46">INDEX(H46:X46,1,$B$30)</f>
        <v>0.30034246575342466</v>
      </c>
      <c r="AH46">
        <v>0.36917808219178083</v>
      </c>
      <c r="AI46">
        <v>0.40136986301369865</v>
      </c>
      <c r="AJ46">
        <v>0.45171232876712331</v>
      </c>
      <c r="AK46">
        <v>0.54372146118721465</v>
      </c>
      <c r="AL46">
        <v>0.36506849315068496</v>
      </c>
      <c r="AM46">
        <v>0.33550228310502284</v>
      </c>
      <c r="AN46">
        <v>0.20742009132420092</v>
      </c>
      <c r="AO46">
        <v>0.27716894977168949</v>
      </c>
      <c r="AP46">
        <v>0.1980593607305936</v>
      </c>
      <c r="AQ46">
        <v>0.29497716894977166</v>
      </c>
      <c r="AR46">
        <v>0.21107305936073059</v>
      </c>
    </row>
    <row r="47" spans="7:44" x14ac:dyDescent="0.15">
      <c r="G47" s="565">
        <v>3</v>
      </c>
      <c r="H47" s="564">
        <v>0.41598173515981735</v>
      </c>
      <c r="I47" s="564">
        <v>0.44018264840182647</v>
      </c>
      <c r="J47" s="564">
        <v>0.48652968036529681</v>
      </c>
      <c r="K47" s="564">
        <v>0.57363013698630139</v>
      </c>
      <c r="L47" s="564">
        <v>0.3485159817351598</v>
      </c>
      <c r="M47" s="564">
        <v>0.32522831050228312</v>
      </c>
      <c r="N47" s="564">
        <v>0.40559360730593608</v>
      </c>
      <c r="O47" s="564">
        <v>0.39063926940639271</v>
      </c>
      <c r="P47" s="564">
        <v>0.40273972602739727</v>
      </c>
      <c r="Q47" s="564">
        <v>0.31324200913242012</v>
      </c>
      <c r="R47" s="564">
        <v>0.30445205479452053</v>
      </c>
      <c r="S47" s="564">
        <v>0.3485159817351598</v>
      </c>
      <c r="T47" s="564">
        <v>0.35856164383561645</v>
      </c>
      <c r="U47" s="564">
        <v>0.24611872146118721</v>
      </c>
      <c r="V47" s="564">
        <v>0.38824200913242007</v>
      </c>
      <c r="W47" s="564">
        <v>0.26221461187214612</v>
      </c>
      <c r="X47" s="564">
        <v>0.24200913242009131</v>
      </c>
      <c r="Z47" s="655" cm="1">
        <f t="array" ref="Z47">INDEX(H47:X47,1,$B$30)</f>
        <v>0.3485159817351598</v>
      </c>
      <c r="AH47">
        <v>0.41598173515981735</v>
      </c>
      <c r="AI47">
        <v>0.44018264840182647</v>
      </c>
      <c r="AJ47">
        <v>0.48652968036529681</v>
      </c>
      <c r="AK47">
        <v>0.57363013698630139</v>
      </c>
      <c r="AL47">
        <v>0.40559360730593608</v>
      </c>
      <c r="AM47">
        <v>0.38824200913242007</v>
      </c>
      <c r="AN47">
        <v>0.26221461187214612</v>
      </c>
      <c r="AO47">
        <v>0.31324200913242012</v>
      </c>
      <c r="AP47">
        <v>0.24200913242009131</v>
      </c>
      <c r="AQ47">
        <v>0.35856164383561645</v>
      </c>
      <c r="AR47">
        <v>0.24611872146118721</v>
      </c>
    </row>
    <row r="48" spans="7:44" x14ac:dyDescent="0.15">
      <c r="G48" s="565">
        <v>4</v>
      </c>
      <c r="H48" s="564">
        <v>0.45079908675799085</v>
      </c>
      <c r="I48" s="564">
        <v>0.4771689497716895</v>
      </c>
      <c r="J48" s="564">
        <v>0.51837899543378996</v>
      </c>
      <c r="K48" s="564">
        <v>0.61015981735159819</v>
      </c>
      <c r="L48" s="564">
        <v>0.40251141552511416</v>
      </c>
      <c r="M48" s="564">
        <v>0.36780821917808221</v>
      </c>
      <c r="N48" s="564">
        <v>0.4534246575342466</v>
      </c>
      <c r="O48" s="564">
        <v>0.42659817351598173</v>
      </c>
      <c r="P48" s="564">
        <v>0.4343607305936073</v>
      </c>
      <c r="Q48" s="564">
        <v>0.3476027397260274</v>
      </c>
      <c r="R48" s="564">
        <v>0.3393835616438356</v>
      </c>
      <c r="S48" s="564">
        <v>0.40251141552511416</v>
      </c>
      <c r="T48" s="564">
        <v>0.41586757990867579</v>
      </c>
      <c r="U48" s="564">
        <v>0.28127853881278536</v>
      </c>
      <c r="V48" s="564">
        <v>0.44189497716894977</v>
      </c>
      <c r="W48" s="564">
        <v>0.31358447488584473</v>
      </c>
      <c r="X48" s="564">
        <v>0.29486301369863016</v>
      </c>
      <c r="Z48" s="655" cm="1">
        <f t="array" ref="Z48">INDEX(H48:X48,1,$B$30)</f>
        <v>0.40251141552511416</v>
      </c>
      <c r="AH48">
        <v>0.45079908675799085</v>
      </c>
      <c r="AI48">
        <v>0.4771689497716895</v>
      </c>
      <c r="AJ48">
        <v>0.51837899543378996</v>
      </c>
      <c r="AK48">
        <v>0.61015981735159819</v>
      </c>
      <c r="AL48">
        <v>0.4534246575342466</v>
      </c>
      <c r="AM48">
        <v>0.44189497716894977</v>
      </c>
      <c r="AN48">
        <v>0.31358447488584473</v>
      </c>
      <c r="AO48">
        <v>0.3476027397260274</v>
      </c>
      <c r="AP48">
        <v>0.29486301369863016</v>
      </c>
      <c r="AQ48">
        <v>0.41586757990867579</v>
      </c>
      <c r="AR48">
        <v>0.28127853881278536</v>
      </c>
    </row>
    <row r="49" spans="7:44" x14ac:dyDescent="0.15">
      <c r="G49" s="565">
        <v>5</v>
      </c>
      <c r="H49" s="564">
        <v>0.48413242009132418</v>
      </c>
      <c r="I49" s="564">
        <v>0.50776255707762552</v>
      </c>
      <c r="J49" s="564">
        <v>0.54885844748858448</v>
      </c>
      <c r="K49" s="564">
        <v>0.63641552511415522</v>
      </c>
      <c r="L49" s="564">
        <v>0.44121004566210048</v>
      </c>
      <c r="M49" s="564">
        <v>0.41746575342465753</v>
      </c>
      <c r="N49" s="564">
        <v>0.49874429223744293</v>
      </c>
      <c r="O49" s="564">
        <v>0.46575342465753422</v>
      </c>
      <c r="P49" s="564">
        <v>0.46700913242009134</v>
      </c>
      <c r="Q49" s="564">
        <v>0.38367579908675797</v>
      </c>
      <c r="R49" s="564">
        <v>0.37614155251141551</v>
      </c>
      <c r="S49" s="564">
        <v>0.44121004566210048</v>
      </c>
      <c r="T49" s="564">
        <v>0.48139269406392693</v>
      </c>
      <c r="U49" s="564">
        <v>0.32260273972602738</v>
      </c>
      <c r="V49" s="564">
        <v>0.48162100456621004</v>
      </c>
      <c r="W49" s="564">
        <v>0.36598173515981736</v>
      </c>
      <c r="X49" s="564">
        <v>0.34166666666666667</v>
      </c>
      <c r="Z49" s="655" cm="1">
        <f t="array" ref="Z49">INDEX(H49:X49,1,$B$30)</f>
        <v>0.44121004566210048</v>
      </c>
      <c r="AH49">
        <v>0.48413242009132418</v>
      </c>
      <c r="AI49">
        <v>0.50776255707762552</v>
      </c>
      <c r="AJ49">
        <v>0.54885844748858448</v>
      </c>
      <c r="AK49">
        <v>0.63641552511415522</v>
      </c>
      <c r="AL49">
        <v>0.49874429223744293</v>
      </c>
      <c r="AM49">
        <v>0.48162100456621004</v>
      </c>
      <c r="AN49">
        <v>0.36598173515981736</v>
      </c>
      <c r="AO49">
        <v>0.38367579908675797</v>
      </c>
      <c r="AP49">
        <v>0.34166666666666667</v>
      </c>
      <c r="AQ49">
        <v>0.48139269406392693</v>
      </c>
      <c r="AR49">
        <v>0.32260273972602738</v>
      </c>
    </row>
    <row r="50" spans="7:44" x14ac:dyDescent="0.15">
      <c r="G50" s="565">
        <v>6</v>
      </c>
      <c r="H50" s="564">
        <v>0.51586757990867582</v>
      </c>
      <c r="I50" s="564">
        <v>0.54166666666666663</v>
      </c>
      <c r="J50" s="564">
        <v>0.58139269406392691</v>
      </c>
      <c r="K50" s="564">
        <v>0.66415525114155249</v>
      </c>
      <c r="L50" s="564">
        <v>0.46187214611872146</v>
      </c>
      <c r="M50" s="564">
        <v>0.43938356164383563</v>
      </c>
      <c r="N50" s="564">
        <v>0.51609589041095894</v>
      </c>
      <c r="O50" s="564">
        <v>0.47979452054794519</v>
      </c>
      <c r="P50" s="564">
        <v>0.48881278538812784</v>
      </c>
      <c r="Q50" s="564">
        <v>0.40742009132420093</v>
      </c>
      <c r="R50" s="564">
        <v>0.39474885844748858</v>
      </c>
      <c r="S50" s="564">
        <v>0.46187214611872146</v>
      </c>
      <c r="T50" s="564">
        <v>0.51940639269406397</v>
      </c>
      <c r="U50" s="564">
        <v>0.34121004566210045</v>
      </c>
      <c r="V50" s="564">
        <v>0.49771689497716892</v>
      </c>
      <c r="W50" s="564">
        <v>0.39086757990867582</v>
      </c>
      <c r="X50" s="564">
        <v>0.36552511415525113</v>
      </c>
      <c r="Z50" s="655" cm="1">
        <f t="array" ref="Z50">INDEX(H50:X50,1,$B$30)</f>
        <v>0.46187214611872146</v>
      </c>
      <c r="AH50">
        <v>0.51586757990867582</v>
      </c>
      <c r="AI50">
        <v>0.54166666666666663</v>
      </c>
      <c r="AJ50">
        <v>0.58139269406392691</v>
      </c>
      <c r="AK50">
        <v>0.66415525114155249</v>
      </c>
      <c r="AL50">
        <v>0.51609589041095894</v>
      </c>
      <c r="AM50">
        <v>0.49771689497716892</v>
      </c>
      <c r="AN50">
        <v>0.39086757990867582</v>
      </c>
      <c r="AO50">
        <v>0.40742009132420093</v>
      </c>
      <c r="AP50">
        <v>0.36552511415525113</v>
      </c>
      <c r="AQ50">
        <v>0.51940639269406397</v>
      </c>
      <c r="AR50">
        <v>0.34121004566210045</v>
      </c>
    </row>
    <row r="51" spans="7:44" x14ac:dyDescent="0.15">
      <c r="G51" s="565">
        <v>7</v>
      </c>
      <c r="H51" s="564">
        <v>0.55331050228310508</v>
      </c>
      <c r="I51" s="564">
        <v>0.58744292237442919</v>
      </c>
      <c r="J51" s="564">
        <v>0.60719178082191783</v>
      </c>
      <c r="K51" s="564">
        <v>0.6905251141552512</v>
      </c>
      <c r="L51" s="564">
        <v>0.5044520547945206</v>
      </c>
      <c r="M51" s="564">
        <v>0.48276255707762555</v>
      </c>
      <c r="N51" s="564">
        <v>0.5501141552511416</v>
      </c>
      <c r="O51" s="564">
        <v>0.51598173515981738</v>
      </c>
      <c r="P51" s="564">
        <v>0.52465753424657535</v>
      </c>
      <c r="Q51" s="564">
        <v>0.4480593607305936</v>
      </c>
      <c r="R51" s="564">
        <v>0.43378995433789952</v>
      </c>
      <c r="S51" s="564">
        <v>0.5044520547945206</v>
      </c>
      <c r="T51" s="564">
        <v>0.59178082191780823</v>
      </c>
      <c r="U51" s="564">
        <v>0.36860730593607305</v>
      </c>
      <c r="V51" s="564">
        <v>0.53230593607305932</v>
      </c>
      <c r="W51" s="564">
        <v>0.44315068493150683</v>
      </c>
      <c r="X51" s="564">
        <v>0.41495433789954339</v>
      </c>
      <c r="Z51" s="655" cm="1">
        <f t="array" ref="Z51">INDEX(H51:X51,1,$B$30)</f>
        <v>0.5044520547945206</v>
      </c>
      <c r="AH51">
        <v>0.55331050228310508</v>
      </c>
      <c r="AI51">
        <v>0.58744292237442919</v>
      </c>
      <c r="AJ51">
        <v>0.60719178082191783</v>
      </c>
      <c r="AK51">
        <v>0.6905251141552512</v>
      </c>
      <c r="AL51">
        <v>0.5501141552511416</v>
      </c>
      <c r="AM51">
        <v>0.53230593607305932</v>
      </c>
      <c r="AN51">
        <v>0.44315068493150683</v>
      </c>
      <c r="AO51">
        <v>0.4480593607305936</v>
      </c>
      <c r="AP51">
        <v>0.41495433789954339</v>
      </c>
      <c r="AQ51">
        <v>0.59178082191780823</v>
      </c>
      <c r="AR51">
        <v>0.36860730593607305</v>
      </c>
    </row>
    <row r="52" spans="7:44" x14ac:dyDescent="0.15">
      <c r="G52" s="565">
        <v>8</v>
      </c>
      <c r="H52" s="564">
        <v>0.58984018264840188</v>
      </c>
      <c r="I52" s="564">
        <v>0.62123287671232874</v>
      </c>
      <c r="J52" s="564">
        <v>0.63162100456621006</v>
      </c>
      <c r="K52" s="564">
        <v>0.71872146118721458</v>
      </c>
      <c r="L52" s="564">
        <v>0.54589041095890412</v>
      </c>
      <c r="M52" s="564">
        <v>0.53139269406392697</v>
      </c>
      <c r="N52" s="564">
        <v>0.58858447488584476</v>
      </c>
      <c r="O52" s="564">
        <v>0.5474885844748858</v>
      </c>
      <c r="P52" s="564">
        <v>0.5592465753424658</v>
      </c>
      <c r="Q52" s="564">
        <v>0.48413242009132418</v>
      </c>
      <c r="R52" s="564">
        <v>0.47066210045662099</v>
      </c>
      <c r="S52" s="564">
        <v>0.54589041095890412</v>
      </c>
      <c r="T52" s="564">
        <v>0.66038812785388123</v>
      </c>
      <c r="U52" s="564">
        <v>0.39920091324200913</v>
      </c>
      <c r="V52" s="564">
        <v>0.56666666666666665</v>
      </c>
      <c r="W52" s="564">
        <v>0.49166666666666664</v>
      </c>
      <c r="X52" s="564">
        <v>0.45878995433789954</v>
      </c>
      <c r="Z52" s="655" cm="1">
        <f t="array" ref="Z52">INDEX(H52:X52,1,$B$30)</f>
        <v>0.54589041095890412</v>
      </c>
      <c r="AH52">
        <v>0.58984018264840188</v>
      </c>
      <c r="AI52">
        <v>0.62123287671232874</v>
      </c>
      <c r="AJ52">
        <v>0.63162100456621006</v>
      </c>
      <c r="AK52">
        <v>0.71872146118721458</v>
      </c>
      <c r="AL52">
        <v>0.58858447488584476</v>
      </c>
      <c r="AM52">
        <v>0.56666666666666665</v>
      </c>
      <c r="AN52">
        <v>0.49166666666666664</v>
      </c>
      <c r="AO52">
        <v>0.48413242009132418</v>
      </c>
      <c r="AP52">
        <v>0.45878995433789954</v>
      </c>
      <c r="AQ52">
        <v>0.66038812785388123</v>
      </c>
      <c r="AR52">
        <v>0.39920091324200913</v>
      </c>
    </row>
    <row r="53" spans="7:44" x14ac:dyDescent="0.15">
      <c r="G53" s="565">
        <v>9</v>
      </c>
      <c r="H53" s="564">
        <v>0.61746575342465748</v>
      </c>
      <c r="I53" s="564">
        <v>0.65399543378995428</v>
      </c>
      <c r="J53" s="564">
        <v>0.6623287671232877</v>
      </c>
      <c r="K53" s="564">
        <v>0.74885844748858443</v>
      </c>
      <c r="L53" s="564">
        <v>0.58036529680365301</v>
      </c>
      <c r="M53" s="564">
        <v>0.58150684931506846</v>
      </c>
      <c r="N53" s="564">
        <v>0.6205479452054794</v>
      </c>
      <c r="O53" s="564">
        <v>0.58287671232876714</v>
      </c>
      <c r="P53" s="564">
        <v>0.59509132420091326</v>
      </c>
      <c r="Q53" s="564">
        <v>0.52465753424657535</v>
      </c>
      <c r="R53" s="564">
        <v>0.50924657534246576</v>
      </c>
      <c r="S53" s="564">
        <v>0.58036529680365301</v>
      </c>
      <c r="T53" s="564">
        <v>0.73002283105022836</v>
      </c>
      <c r="U53" s="564">
        <v>0.43333333333333335</v>
      </c>
      <c r="V53" s="564">
        <v>0.60136986301369866</v>
      </c>
      <c r="W53" s="564">
        <v>0.54166666666666663</v>
      </c>
      <c r="X53" s="564">
        <v>0.50376712328767126</v>
      </c>
      <c r="Z53" s="655" cm="1">
        <f t="array" ref="Z53">INDEX(H53:X53,1,$B$30)</f>
        <v>0.58036529680365301</v>
      </c>
      <c r="AH53">
        <v>0.61746575342465748</v>
      </c>
      <c r="AI53">
        <v>0.65399543378995428</v>
      </c>
      <c r="AJ53">
        <v>0.6623287671232877</v>
      </c>
      <c r="AK53">
        <v>0.74885844748858443</v>
      </c>
      <c r="AL53">
        <v>0.6205479452054794</v>
      </c>
      <c r="AM53">
        <v>0.60136986301369866</v>
      </c>
      <c r="AN53">
        <v>0.54166666666666663</v>
      </c>
      <c r="AO53">
        <v>0.52465753424657535</v>
      </c>
      <c r="AP53">
        <v>0.50376712328767126</v>
      </c>
      <c r="AQ53">
        <v>0.73002283105022836</v>
      </c>
      <c r="AR53">
        <v>0.43333333333333335</v>
      </c>
    </row>
    <row r="54" spans="7:44" x14ac:dyDescent="0.15">
      <c r="G54" s="565">
        <v>10</v>
      </c>
      <c r="H54" s="564">
        <v>0.64394977168949774</v>
      </c>
      <c r="I54" s="564">
        <v>0.68835616438356162</v>
      </c>
      <c r="J54" s="564">
        <v>0.69623287671232881</v>
      </c>
      <c r="K54" s="564">
        <v>0.78527397260273968</v>
      </c>
      <c r="L54" s="564">
        <v>0.62180365296803652</v>
      </c>
      <c r="M54" s="564">
        <v>0.62408675799086755</v>
      </c>
      <c r="N54" s="564">
        <v>0.65936073059360734</v>
      </c>
      <c r="O54" s="564">
        <v>0.6257990867579909</v>
      </c>
      <c r="P54" s="564">
        <v>0.63401826484018264</v>
      </c>
      <c r="Q54" s="564">
        <v>0.5639269406392694</v>
      </c>
      <c r="R54" s="564">
        <v>0.55251141552511418</v>
      </c>
      <c r="S54" s="564">
        <v>0.62180365296803652</v>
      </c>
      <c r="T54" s="564">
        <v>0.79885844748858448</v>
      </c>
      <c r="U54" s="564">
        <v>0.46849315068493153</v>
      </c>
      <c r="V54" s="564">
        <v>0.64577625570776254</v>
      </c>
      <c r="W54" s="564">
        <v>0.59041095890410955</v>
      </c>
      <c r="X54" s="564">
        <v>0.54908675799086759</v>
      </c>
      <c r="Z54" s="655" cm="1">
        <f t="array" ref="Z54">INDEX(H54:X54,1,$B$30)</f>
        <v>0.62180365296803652</v>
      </c>
      <c r="AH54">
        <v>0.64394977168949774</v>
      </c>
      <c r="AI54">
        <v>0.68835616438356162</v>
      </c>
      <c r="AJ54">
        <v>0.69623287671232881</v>
      </c>
      <c r="AK54">
        <v>0.78527397260273968</v>
      </c>
      <c r="AL54">
        <v>0.65936073059360734</v>
      </c>
      <c r="AM54">
        <v>0.64577625570776254</v>
      </c>
      <c r="AN54">
        <v>0.59041095890410955</v>
      </c>
      <c r="AO54">
        <v>0.5639269406392694</v>
      </c>
      <c r="AP54">
        <v>0.54908675799086759</v>
      </c>
      <c r="AQ54">
        <v>0.79885844748858448</v>
      </c>
      <c r="AR54">
        <v>0.46849315068493153</v>
      </c>
    </row>
    <row r="55" spans="7:44" x14ac:dyDescent="0.15">
      <c r="G55" s="565">
        <v>11</v>
      </c>
      <c r="H55" s="564">
        <v>0.67625570776255706</v>
      </c>
      <c r="I55" s="564">
        <v>0.72168949771689495</v>
      </c>
      <c r="J55" s="564">
        <v>0.73105022831050226</v>
      </c>
      <c r="K55" s="564">
        <v>0.82283105022831049</v>
      </c>
      <c r="L55" s="564">
        <v>0.64634703196347032</v>
      </c>
      <c r="M55" s="564">
        <v>0.64566210045662098</v>
      </c>
      <c r="N55" s="564">
        <v>0.68093607305936077</v>
      </c>
      <c r="O55" s="564">
        <v>0.64840182648401823</v>
      </c>
      <c r="P55" s="564">
        <v>0.65228310502283104</v>
      </c>
      <c r="Q55" s="564">
        <v>0.58424657534246571</v>
      </c>
      <c r="R55" s="564">
        <v>0.57043378995433791</v>
      </c>
      <c r="S55" s="564">
        <v>0.64634703196347032</v>
      </c>
      <c r="T55" s="564">
        <v>0.8348173515981735</v>
      </c>
      <c r="U55" s="564">
        <v>0.48664383561643837</v>
      </c>
      <c r="V55" s="564">
        <v>0.67168949771689501</v>
      </c>
      <c r="W55" s="564">
        <v>0.61289954337899544</v>
      </c>
      <c r="X55" s="564">
        <v>0.57066210045662102</v>
      </c>
      <c r="Z55" s="655" cm="1">
        <f t="array" ref="Z55">INDEX(H55:X55,1,$B$30)</f>
        <v>0.64634703196347032</v>
      </c>
      <c r="AH55">
        <v>0.67625570776255706</v>
      </c>
      <c r="AI55">
        <v>0.72168949771689495</v>
      </c>
      <c r="AJ55">
        <v>0.73105022831050226</v>
      </c>
      <c r="AK55">
        <v>0.82283105022831049</v>
      </c>
      <c r="AL55">
        <v>0.68093607305936077</v>
      </c>
      <c r="AM55">
        <v>0.67168949771689501</v>
      </c>
      <c r="AN55">
        <v>0.61289954337899544</v>
      </c>
      <c r="AO55">
        <v>0.58424657534246571</v>
      </c>
      <c r="AP55">
        <v>0.57066210045662102</v>
      </c>
      <c r="AQ55">
        <v>0.8348173515981735</v>
      </c>
      <c r="AR55">
        <v>0.48664383561643837</v>
      </c>
    </row>
    <row r="56" spans="7:44" x14ac:dyDescent="0.15">
      <c r="G56" s="565">
        <v>12</v>
      </c>
      <c r="H56" s="564">
        <v>0.71415525114155254</v>
      </c>
      <c r="I56" s="564">
        <v>0.75296803652968036</v>
      </c>
      <c r="J56" s="564">
        <v>0.76780821917808217</v>
      </c>
      <c r="K56" s="564">
        <v>0.85114155251141554</v>
      </c>
      <c r="L56" s="564">
        <v>0.69668949771689492</v>
      </c>
      <c r="M56" s="564">
        <v>0.69372146118721456</v>
      </c>
      <c r="N56" s="564">
        <v>0.71860730593607303</v>
      </c>
      <c r="O56" s="564">
        <v>0.69326484018264845</v>
      </c>
      <c r="P56" s="564">
        <v>0.68949771689497719</v>
      </c>
      <c r="Q56" s="564">
        <v>0.62785388127853881</v>
      </c>
      <c r="R56" s="564">
        <v>0.60696347031963471</v>
      </c>
      <c r="S56" s="564">
        <v>0.69668949771689492</v>
      </c>
      <c r="T56" s="564">
        <v>0.89908675799086757</v>
      </c>
      <c r="U56" s="564">
        <v>0.51894977168949774</v>
      </c>
      <c r="V56" s="564">
        <v>0.72568493150684932</v>
      </c>
      <c r="W56" s="564">
        <v>0.65890410958904111</v>
      </c>
      <c r="X56" s="564">
        <v>0.61963470319634706</v>
      </c>
      <c r="Z56" s="655" cm="1">
        <f t="array" ref="Z56">INDEX(H56:X56,1,$B$30)</f>
        <v>0.69668949771689492</v>
      </c>
      <c r="AH56">
        <v>0.71415525114155254</v>
      </c>
      <c r="AI56">
        <v>0.75296803652968036</v>
      </c>
      <c r="AJ56">
        <v>0.76780821917808217</v>
      </c>
      <c r="AK56">
        <v>0.85114155251141554</v>
      </c>
      <c r="AL56">
        <v>0.71860730593607303</v>
      </c>
      <c r="AM56">
        <v>0.72568493150684932</v>
      </c>
      <c r="AN56">
        <v>0.65890410958904111</v>
      </c>
      <c r="AO56">
        <v>0.62785388127853881</v>
      </c>
      <c r="AP56">
        <v>0.61963470319634706</v>
      </c>
      <c r="AQ56">
        <v>0.89908675799086757</v>
      </c>
      <c r="AR56">
        <v>0.51894977168949774</v>
      </c>
    </row>
    <row r="57" spans="7:44" x14ac:dyDescent="0.15">
      <c r="G57" s="565">
        <v>13</v>
      </c>
      <c r="H57" s="564">
        <v>0.75433789954337904</v>
      </c>
      <c r="I57" s="564">
        <v>0.78493150684931512</v>
      </c>
      <c r="J57" s="564">
        <v>0.80593607305936077</v>
      </c>
      <c r="K57" s="564">
        <v>0.87602739726027401</v>
      </c>
      <c r="L57" s="564">
        <v>0.74589041095890407</v>
      </c>
      <c r="M57" s="564">
        <v>0.74257990867579904</v>
      </c>
      <c r="N57" s="564">
        <v>0.76404109589041092</v>
      </c>
      <c r="O57" s="564">
        <v>0.73390410958904106</v>
      </c>
      <c r="P57" s="564">
        <v>0.72397260273972608</v>
      </c>
      <c r="Q57" s="564">
        <v>0.66997716894977166</v>
      </c>
      <c r="R57" s="564">
        <v>0.65228310502283104</v>
      </c>
      <c r="S57" s="564">
        <v>0.74589041095890407</v>
      </c>
      <c r="T57" s="564">
        <v>0.94417808219178079</v>
      </c>
      <c r="U57" s="564">
        <v>0.55468036529680365</v>
      </c>
      <c r="V57" s="564">
        <v>0.77579908675799092</v>
      </c>
      <c r="W57" s="564">
        <v>0.70742009132420092</v>
      </c>
      <c r="X57" s="564">
        <v>0.67043378995433789</v>
      </c>
      <c r="Z57" s="655" cm="1">
        <f t="array" ref="Z57">INDEX(H57:X57,1,$B$30)</f>
        <v>0.74589041095890407</v>
      </c>
      <c r="AH57">
        <v>0.75433789954337904</v>
      </c>
      <c r="AI57">
        <v>0.78493150684931512</v>
      </c>
      <c r="AJ57">
        <v>0.80593607305936077</v>
      </c>
      <c r="AK57">
        <v>0.87602739726027401</v>
      </c>
      <c r="AL57">
        <v>0.76404109589041092</v>
      </c>
      <c r="AM57">
        <v>0.77579908675799092</v>
      </c>
      <c r="AN57">
        <v>0.70742009132420092</v>
      </c>
      <c r="AO57">
        <v>0.66997716894977166</v>
      </c>
      <c r="AP57">
        <v>0.67043378995433789</v>
      </c>
      <c r="AQ57">
        <v>0.94417808219178079</v>
      </c>
      <c r="AR57">
        <v>0.55468036529680365</v>
      </c>
    </row>
    <row r="58" spans="7:44" x14ac:dyDescent="0.15">
      <c r="G58" s="565">
        <v>14</v>
      </c>
      <c r="H58" s="564">
        <v>0.7873287671232877</v>
      </c>
      <c r="I58" s="564">
        <v>0.81974885844748857</v>
      </c>
      <c r="J58" s="564">
        <v>0.84509132420091326</v>
      </c>
      <c r="K58" s="564">
        <v>0.89577625570776254</v>
      </c>
      <c r="L58" s="564">
        <v>0.79063926940639273</v>
      </c>
      <c r="M58" s="564">
        <v>0.7909817351598174</v>
      </c>
      <c r="N58" s="564">
        <v>0.80936073059360736</v>
      </c>
      <c r="O58" s="564">
        <v>0.77214611872146122</v>
      </c>
      <c r="P58" s="564">
        <v>0.75821917808219175</v>
      </c>
      <c r="Q58" s="564">
        <v>0.7179223744292238</v>
      </c>
      <c r="R58" s="564">
        <v>0.69086757990867576</v>
      </c>
      <c r="S58" s="564">
        <v>0.79063926940639273</v>
      </c>
      <c r="T58" s="564">
        <v>0.97648401826484021</v>
      </c>
      <c r="U58" s="564">
        <v>0.59063926940639266</v>
      </c>
      <c r="V58" s="564">
        <v>0.82248858447488582</v>
      </c>
      <c r="W58" s="564">
        <v>0.75582191780821917</v>
      </c>
      <c r="X58" s="564">
        <v>0.72328767123287674</v>
      </c>
      <c r="Z58" s="655" cm="1">
        <f t="array" ref="Z58">INDEX(H58:X58,1,$B$30)</f>
        <v>0.79063926940639273</v>
      </c>
      <c r="AH58">
        <v>0.7873287671232877</v>
      </c>
      <c r="AI58">
        <v>0.81974885844748857</v>
      </c>
      <c r="AJ58">
        <v>0.84509132420091326</v>
      </c>
      <c r="AK58">
        <v>0.89577625570776254</v>
      </c>
      <c r="AL58">
        <v>0.80936073059360736</v>
      </c>
      <c r="AM58">
        <v>0.82248858447488582</v>
      </c>
      <c r="AN58">
        <v>0.75582191780821917</v>
      </c>
      <c r="AO58">
        <v>0.7179223744292238</v>
      </c>
      <c r="AP58">
        <v>0.72328767123287674</v>
      </c>
      <c r="AQ58">
        <v>0.97648401826484021</v>
      </c>
      <c r="AR58">
        <v>0.59063926940639266</v>
      </c>
    </row>
    <row r="59" spans="7:44" x14ac:dyDescent="0.15">
      <c r="G59" s="565">
        <v>15</v>
      </c>
      <c r="H59" s="564">
        <v>0.82625570776255708</v>
      </c>
      <c r="I59" s="564">
        <v>0.85468036529680369</v>
      </c>
      <c r="J59" s="564">
        <v>0.87568493150684934</v>
      </c>
      <c r="K59" s="564">
        <v>0.91803652968036531</v>
      </c>
      <c r="L59" s="564">
        <v>0.83755707762557075</v>
      </c>
      <c r="M59" s="564">
        <v>0.8392694063926941</v>
      </c>
      <c r="N59" s="564">
        <v>0.84531963470319638</v>
      </c>
      <c r="O59" s="564">
        <v>0.81084474885844748</v>
      </c>
      <c r="P59" s="564">
        <v>0.79429223744292232</v>
      </c>
      <c r="Q59" s="564">
        <v>0.76210045662100456</v>
      </c>
      <c r="R59" s="564">
        <v>0.72910958904109591</v>
      </c>
      <c r="S59" s="564">
        <v>0.83755707762557075</v>
      </c>
      <c r="T59" s="564">
        <v>0.99235159817351604</v>
      </c>
      <c r="U59" s="564">
        <v>0.63036529680365294</v>
      </c>
      <c r="V59" s="564">
        <v>0.86130136986301364</v>
      </c>
      <c r="W59" s="564">
        <v>0.79965753424657537</v>
      </c>
      <c r="X59" s="564">
        <v>0.77203196347031966</v>
      </c>
      <c r="Z59" s="655" cm="1">
        <f t="array" ref="Z59">INDEX(H59:X59,1,$B$30)</f>
        <v>0.83755707762557075</v>
      </c>
      <c r="AH59">
        <v>0.82625570776255708</v>
      </c>
      <c r="AI59">
        <v>0.85468036529680369</v>
      </c>
      <c r="AJ59">
        <v>0.87568493150684934</v>
      </c>
      <c r="AK59">
        <v>0.91803652968036531</v>
      </c>
      <c r="AL59">
        <v>0.84531963470319638</v>
      </c>
      <c r="AM59">
        <v>0.86130136986301364</v>
      </c>
      <c r="AN59">
        <v>0.79965753424657537</v>
      </c>
      <c r="AO59">
        <v>0.76210045662100456</v>
      </c>
      <c r="AP59">
        <v>0.77203196347031966</v>
      </c>
      <c r="AQ59">
        <v>0.99235159817351604</v>
      </c>
      <c r="AR59">
        <v>0.63036529680365294</v>
      </c>
    </row>
    <row r="60" spans="7:44" x14ac:dyDescent="0.15">
      <c r="G60" s="565">
        <v>16</v>
      </c>
      <c r="H60" s="564">
        <v>0.86187214611872143</v>
      </c>
      <c r="I60" s="564">
        <v>0.88059360730593605</v>
      </c>
      <c r="J60" s="564">
        <v>0.89908675799086757</v>
      </c>
      <c r="K60" s="564">
        <v>0.93550228310502281</v>
      </c>
      <c r="L60" s="564">
        <v>0.86472602739726023</v>
      </c>
      <c r="M60" s="564">
        <v>0.86073059360730597</v>
      </c>
      <c r="N60" s="564">
        <v>0.86312785388127855</v>
      </c>
      <c r="O60" s="564">
        <v>0.83116438356164379</v>
      </c>
      <c r="P60" s="564">
        <v>0.81198630136986305</v>
      </c>
      <c r="Q60" s="564">
        <v>0.78047945205479452</v>
      </c>
      <c r="R60" s="564">
        <v>0.75102739726027401</v>
      </c>
      <c r="S60" s="564">
        <v>0.86472602739726023</v>
      </c>
      <c r="T60" s="564">
        <v>0.99509132420091329</v>
      </c>
      <c r="U60" s="564">
        <v>0.647716894977169</v>
      </c>
      <c r="V60" s="564">
        <v>0.88299086757990863</v>
      </c>
      <c r="W60" s="564">
        <v>0.8238584474885845</v>
      </c>
      <c r="X60" s="564">
        <v>0.79349315068493154</v>
      </c>
      <c r="Z60" s="655" cm="1">
        <f t="array" ref="Z60">INDEX(H60:X60,1,$B$30)</f>
        <v>0.86472602739726023</v>
      </c>
      <c r="AH60">
        <v>0.86187214611872143</v>
      </c>
      <c r="AI60">
        <v>0.88059360730593605</v>
      </c>
      <c r="AJ60">
        <v>0.89908675799086757</v>
      </c>
      <c r="AK60">
        <v>0.93550228310502281</v>
      </c>
      <c r="AL60">
        <v>0.86312785388127855</v>
      </c>
      <c r="AM60">
        <v>0.88299086757990863</v>
      </c>
      <c r="AN60">
        <v>0.8238584474885845</v>
      </c>
      <c r="AO60">
        <v>0.78047945205479452</v>
      </c>
      <c r="AP60">
        <v>0.79349315068493154</v>
      </c>
      <c r="AQ60">
        <v>0.99509132420091329</v>
      </c>
      <c r="AR60">
        <v>0.647716894977169</v>
      </c>
    </row>
    <row r="61" spans="7:44" x14ac:dyDescent="0.15">
      <c r="G61" s="565">
        <v>17</v>
      </c>
      <c r="H61" s="564">
        <v>0.88995433789954337</v>
      </c>
      <c r="I61" s="564">
        <v>0.90388127853881284</v>
      </c>
      <c r="J61" s="564">
        <v>0.92100456621004567</v>
      </c>
      <c r="K61" s="564">
        <v>0.95273972602739732</v>
      </c>
      <c r="L61" s="564">
        <v>0.90559360730593608</v>
      </c>
      <c r="M61" s="564">
        <v>0.89223744292237439</v>
      </c>
      <c r="N61" s="564">
        <v>0.88949771689497714</v>
      </c>
      <c r="O61" s="564">
        <v>0.86906392694063928</v>
      </c>
      <c r="P61" s="564">
        <v>0.8504566210045662</v>
      </c>
      <c r="Q61" s="564">
        <v>0.82351598173515983</v>
      </c>
      <c r="R61" s="564">
        <v>0.7901826484018265</v>
      </c>
      <c r="S61" s="564">
        <v>0.90559360730593608</v>
      </c>
      <c r="T61" s="564">
        <v>0.99840182648401832</v>
      </c>
      <c r="U61" s="564">
        <v>0.68196347031963467</v>
      </c>
      <c r="V61" s="564">
        <v>0.9178082191780822</v>
      </c>
      <c r="W61" s="564">
        <v>0.86335616438356166</v>
      </c>
      <c r="X61" s="564">
        <v>0.83253424657534247</v>
      </c>
      <c r="Z61" s="655" cm="1">
        <f t="array" ref="Z61">INDEX(H61:X61,1,$B$30)</f>
        <v>0.90559360730593608</v>
      </c>
      <c r="AH61">
        <v>0.88995433789954337</v>
      </c>
      <c r="AI61">
        <v>0.90388127853881284</v>
      </c>
      <c r="AJ61">
        <v>0.92100456621004567</v>
      </c>
      <c r="AK61">
        <v>0.95273972602739732</v>
      </c>
      <c r="AL61">
        <v>0.88949771689497714</v>
      </c>
      <c r="AM61">
        <v>0.9178082191780822</v>
      </c>
      <c r="AN61">
        <v>0.86335616438356166</v>
      </c>
      <c r="AO61">
        <v>0.82351598173515983</v>
      </c>
      <c r="AP61">
        <v>0.83253424657534247</v>
      </c>
      <c r="AQ61">
        <v>0.99840182648401832</v>
      </c>
      <c r="AR61">
        <v>0.68196347031963467</v>
      </c>
    </row>
    <row r="62" spans="7:44" x14ac:dyDescent="0.15">
      <c r="G62" s="565">
        <v>18</v>
      </c>
      <c r="H62" s="564">
        <v>0.91358447488584471</v>
      </c>
      <c r="I62" s="564">
        <v>0.92260273972602735</v>
      </c>
      <c r="J62" s="564">
        <v>0.9389269406392694</v>
      </c>
      <c r="K62" s="564">
        <v>0.9671232876712329</v>
      </c>
      <c r="L62" s="564">
        <v>0.93618721461187215</v>
      </c>
      <c r="M62" s="564">
        <v>0.92682648401826484</v>
      </c>
      <c r="N62" s="564">
        <v>0.91461187214611872</v>
      </c>
      <c r="O62" s="564">
        <v>0.90148401826484015</v>
      </c>
      <c r="P62" s="564">
        <v>0.88789954337899546</v>
      </c>
      <c r="Q62" s="564">
        <v>0.86461187214611868</v>
      </c>
      <c r="R62" s="564">
        <v>0.82773972602739732</v>
      </c>
      <c r="S62" s="564">
        <v>0.93618721461187215</v>
      </c>
      <c r="T62" s="564">
        <v>1</v>
      </c>
      <c r="U62" s="564">
        <v>0.71826484018264836</v>
      </c>
      <c r="V62" s="564">
        <v>0.94509132420091324</v>
      </c>
      <c r="W62" s="564">
        <v>0.8987442922374429</v>
      </c>
      <c r="X62" s="564">
        <v>0.86906392694063928</v>
      </c>
      <c r="Z62" s="655" cm="1">
        <f t="array" ref="Z62">INDEX(H62:X62,1,$B$30)</f>
        <v>0.93618721461187215</v>
      </c>
      <c r="AH62">
        <v>0.91358447488584471</v>
      </c>
      <c r="AI62">
        <v>0.92260273972602735</v>
      </c>
      <c r="AJ62">
        <v>0.9389269406392694</v>
      </c>
      <c r="AK62">
        <v>0.9671232876712329</v>
      </c>
      <c r="AL62">
        <v>0.91461187214611872</v>
      </c>
      <c r="AM62">
        <v>0.94509132420091324</v>
      </c>
      <c r="AN62">
        <v>0.8987442922374429</v>
      </c>
      <c r="AO62">
        <v>0.86461187214611868</v>
      </c>
      <c r="AP62">
        <v>0.86906392694063928</v>
      </c>
      <c r="AQ62">
        <v>1</v>
      </c>
      <c r="AR62">
        <v>0.71826484018264836</v>
      </c>
    </row>
    <row r="63" spans="7:44" x14ac:dyDescent="0.15">
      <c r="G63" s="565">
        <v>19</v>
      </c>
      <c r="H63" s="564">
        <v>0.93219178082191778</v>
      </c>
      <c r="I63" s="564">
        <v>0.93835616438356162</v>
      </c>
      <c r="J63" s="564">
        <v>0.95490867579908678</v>
      </c>
      <c r="K63" s="564">
        <v>0.97602739726027399</v>
      </c>
      <c r="L63" s="564">
        <v>0.96175799086757996</v>
      </c>
      <c r="M63" s="564">
        <v>0.9488584474885845</v>
      </c>
      <c r="N63" s="564">
        <v>0.93641552511415527</v>
      </c>
      <c r="O63" s="564">
        <v>0.92625570776255706</v>
      </c>
      <c r="P63" s="564">
        <v>0.91837899543378998</v>
      </c>
      <c r="Q63" s="564">
        <v>0.89452054794520552</v>
      </c>
      <c r="R63" s="564">
        <v>0.86472602739726023</v>
      </c>
      <c r="S63" s="564">
        <v>0.96175799086757996</v>
      </c>
      <c r="T63" s="564">
        <v>1</v>
      </c>
      <c r="U63" s="564">
        <v>0.75205479452054791</v>
      </c>
      <c r="V63" s="564">
        <v>0.96369863013698631</v>
      </c>
      <c r="W63" s="564">
        <v>0.92625570776255706</v>
      </c>
      <c r="X63" s="564">
        <v>0.9031963470319635</v>
      </c>
      <c r="Z63" s="655" cm="1">
        <f t="array" ref="Z63">INDEX(H63:X63,1,$B$30)</f>
        <v>0.96175799086757996</v>
      </c>
      <c r="AH63">
        <v>0.93219178082191778</v>
      </c>
      <c r="AI63">
        <v>0.93835616438356162</v>
      </c>
      <c r="AJ63">
        <v>0.95490867579908678</v>
      </c>
      <c r="AK63">
        <v>0.97602739726027399</v>
      </c>
      <c r="AL63">
        <v>0.93641552511415527</v>
      </c>
      <c r="AM63">
        <v>0.96369863013698631</v>
      </c>
      <c r="AN63">
        <v>0.92625570776255706</v>
      </c>
      <c r="AO63">
        <v>0.89452054794520552</v>
      </c>
      <c r="AP63">
        <v>0.9031963470319635</v>
      </c>
      <c r="AQ63">
        <v>1</v>
      </c>
      <c r="AR63">
        <v>0.75205479452054791</v>
      </c>
    </row>
    <row r="64" spans="7:44" x14ac:dyDescent="0.15">
      <c r="G64" s="565">
        <v>20</v>
      </c>
      <c r="H64" s="564">
        <v>0.94783105022831049</v>
      </c>
      <c r="I64" s="564">
        <v>0.95490867579908678</v>
      </c>
      <c r="J64" s="564">
        <v>0.96700913242009134</v>
      </c>
      <c r="K64" s="564">
        <v>0.98264840182648405</v>
      </c>
      <c r="L64" s="564">
        <v>0.97636986301369866</v>
      </c>
      <c r="M64" s="564">
        <v>0.966324200913242</v>
      </c>
      <c r="N64" s="564">
        <v>0.95399543378995433</v>
      </c>
      <c r="O64" s="564">
        <v>0.95079908675799085</v>
      </c>
      <c r="P64" s="564">
        <v>0.94200913242009132</v>
      </c>
      <c r="Q64" s="564">
        <v>0.92123287671232879</v>
      </c>
      <c r="R64" s="564">
        <v>0.8969178082191781</v>
      </c>
      <c r="S64" s="564">
        <v>0.97636986301369866</v>
      </c>
      <c r="T64" s="564">
        <v>1</v>
      </c>
      <c r="U64" s="564">
        <v>0.78436073059360734</v>
      </c>
      <c r="V64" s="564">
        <v>0.97659817351598177</v>
      </c>
      <c r="W64" s="564">
        <v>0.9480593607305936</v>
      </c>
      <c r="X64" s="564">
        <v>0.92842465753424652</v>
      </c>
      <c r="Z64" s="655" cm="1">
        <f t="array" ref="Z64">INDEX(H64:X64,1,$B$30)</f>
        <v>0.97636986301369866</v>
      </c>
      <c r="AH64">
        <v>0.94783105022831049</v>
      </c>
      <c r="AI64">
        <v>0.95490867579908678</v>
      </c>
      <c r="AJ64">
        <v>0.96700913242009134</v>
      </c>
      <c r="AK64">
        <v>0.98264840182648405</v>
      </c>
      <c r="AL64">
        <v>0.95399543378995433</v>
      </c>
      <c r="AM64">
        <v>0.97659817351598177</v>
      </c>
      <c r="AN64">
        <v>0.9480593607305936</v>
      </c>
      <c r="AO64">
        <v>0.92123287671232879</v>
      </c>
      <c r="AP64">
        <v>0.92842465753424652</v>
      </c>
      <c r="AQ64">
        <v>1</v>
      </c>
      <c r="AR64">
        <v>0.78436073059360734</v>
      </c>
    </row>
    <row r="65" spans="7:44" x14ac:dyDescent="0.15">
      <c r="G65" s="565">
        <v>21</v>
      </c>
      <c r="H65" s="564">
        <v>0.96324200913242009</v>
      </c>
      <c r="I65" s="564">
        <v>0.96757990867579913</v>
      </c>
      <c r="J65" s="564">
        <v>0.9780821917808219</v>
      </c>
      <c r="K65" s="564">
        <v>0.98789954337899544</v>
      </c>
      <c r="L65" s="564">
        <v>0.98344748858447484</v>
      </c>
      <c r="M65" s="564">
        <v>0.97328767123287674</v>
      </c>
      <c r="N65" s="564">
        <v>0.96107305936073062</v>
      </c>
      <c r="O65" s="564">
        <v>0.96198630136986296</v>
      </c>
      <c r="P65" s="564">
        <v>0.95125570776255708</v>
      </c>
      <c r="Q65" s="564">
        <v>0.93287671232876712</v>
      </c>
      <c r="R65" s="564">
        <v>0.91255707762557081</v>
      </c>
      <c r="S65" s="564">
        <v>0.98344748858447484</v>
      </c>
      <c r="T65" s="564">
        <v>1</v>
      </c>
      <c r="U65" s="564">
        <v>0.80136986301369861</v>
      </c>
      <c r="V65" s="564">
        <v>0.9817351598173516</v>
      </c>
      <c r="W65" s="564">
        <v>0.95913242009132416</v>
      </c>
      <c r="X65" s="564">
        <v>0.9397260273972603</v>
      </c>
      <c r="Z65" s="655" cm="1">
        <f t="array" ref="Z65">INDEX(H65:X65,1,$B$30)</f>
        <v>0.98344748858447484</v>
      </c>
      <c r="AH65">
        <v>0.96324200913242009</v>
      </c>
      <c r="AI65">
        <v>0.96757990867579913</v>
      </c>
      <c r="AJ65">
        <v>0.9780821917808219</v>
      </c>
      <c r="AK65">
        <v>0.98789954337899544</v>
      </c>
      <c r="AL65">
        <v>0.96107305936073062</v>
      </c>
      <c r="AM65">
        <v>0.9817351598173516</v>
      </c>
      <c r="AN65">
        <v>0.95913242009132416</v>
      </c>
      <c r="AO65">
        <v>0.93287671232876712</v>
      </c>
      <c r="AP65">
        <v>0.9397260273972603</v>
      </c>
      <c r="AQ65">
        <v>1</v>
      </c>
      <c r="AR65">
        <v>0.80136986301369861</v>
      </c>
    </row>
    <row r="66" spans="7:44" x14ac:dyDescent="0.15">
      <c r="G66" s="565">
        <v>22</v>
      </c>
      <c r="H66" s="564">
        <v>0.97283105022831051</v>
      </c>
      <c r="I66" s="564">
        <v>0.97751141552511411</v>
      </c>
      <c r="J66" s="564">
        <v>0.98652968036529676</v>
      </c>
      <c r="K66" s="564">
        <v>0.9916666666666667</v>
      </c>
      <c r="L66" s="564">
        <v>0.99155251141552514</v>
      </c>
      <c r="M66" s="564">
        <v>0.98436073059360729</v>
      </c>
      <c r="N66" s="564">
        <v>0.97305936073059363</v>
      </c>
      <c r="O66" s="564">
        <v>0.97408675799086752</v>
      </c>
      <c r="P66" s="564">
        <v>0.96643835616438356</v>
      </c>
      <c r="Q66" s="564">
        <v>0.95091324200913241</v>
      </c>
      <c r="R66" s="564">
        <v>0.93515981735159814</v>
      </c>
      <c r="S66" s="564">
        <v>0.99155251141552514</v>
      </c>
      <c r="T66" s="564">
        <v>1</v>
      </c>
      <c r="U66" s="564">
        <v>0.83105022831050224</v>
      </c>
      <c r="V66" s="564">
        <v>0.98847031963470322</v>
      </c>
      <c r="W66" s="564">
        <v>0.97454337899543375</v>
      </c>
      <c r="X66" s="564">
        <v>0.95684931506849313</v>
      </c>
      <c r="Z66" s="655" cm="1">
        <f t="array" ref="Z66">INDEX(H66:X66,1,$B$30)</f>
        <v>0.99155251141552514</v>
      </c>
      <c r="AH66">
        <v>0.97283105022831051</v>
      </c>
      <c r="AI66">
        <v>0.97751141552511411</v>
      </c>
      <c r="AJ66">
        <v>0.98652968036529676</v>
      </c>
      <c r="AK66">
        <v>0.9916666666666667</v>
      </c>
      <c r="AL66">
        <v>0.97305936073059363</v>
      </c>
      <c r="AM66">
        <v>0.98847031963470322</v>
      </c>
      <c r="AN66">
        <v>0.97454337899543375</v>
      </c>
      <c r="AO66">
        <v>0.95091324200913241</v>
      </c>
      <c r="AP66">
        <v>0.95684931506849313</v>
      </c>
      <c r="AQ66">
        <v>1</v>
      </c>
      <c r="AR66">
        <v>0.83105022831050224</v>
      </c>
    </row>
    <row r="67" spans="7:44" x14ac:dyDescent="0.15">
      <c r="G67" s="565">
        <v>23</v>
      </c>
      <c r="H67" s="564">
        <v>0.98082191780821915</v>
      </c>
      <c r="I67" s="564">
        <v>0.9853881278538813</v>
      </c>
      <c r="J67" s="564">
        <v>0.99303652968036527</v>
      </c>
      <c r="K67" s="564">
        <v>0.99497716894977173</v>
      </c>
      <c r="L67" s="564">
        <v>0.99691780821917808</v>
      </c>
      <c r="M67" s="564">
        <v>0.9926940639269406</v>
      </c>
      <c r="N67" s="564">
        <v>0.98264840182648405</v>
      </c>
      <c r="O67" s="564">
        <v>0.98413242009132418</v>
      </c>
      <c r="P67" s="564">
        <v>0.97785388127853878</v>
      </c>
      <c r="Q67" s="564">
        <v>0.9671232876712329</v>
      </c>
      <c r="R67" s="564">
        <v>0.95525114155251145</v>
      </c>
      <c r="S67" s="564">
        <v>0.99691780821917808</v>
      </c>
      <c r="T67" s="564">
        <v>1</v>
      </c>
      <c r="U67" s="564">
        <v>0.86107305936073064</v>
      </c>
      <c r="V67" s="564">
        <v>0.99372146118721461</v>
      </c>
      <c r="W67" s="564">
        <v>0.98561643835616441</v>
      </c>
      <c r="X67" s="564">
        <v>0.96986301369863015</v>
      </c>
      <c r="Z67" s="655" cm="1">
        <f t="array" ref="Z67">INDEX(H67:X67,1,$B$30)</f>
        <v>0.99691780821917808</v>
      </c>
      <c r="AH67">
        <v>0.98082191780821915</v>
      </c>
      <c r="AI67">
        <v>0.9853881278538813</v>
      </c>
      <c r="AJ67">
        <v>0.99303652968036527</v>
      </c>
      <c r="AK67">
        <v>0.99497716894977173</v>
      </c>
      <c r="AL67">
        <v>0.98264840182648405</v>
      </c>
      <c r="AM67">
        <v>0.99372146118721461</v>
      </c>
      <c r="AN67">
        <v>0.98561643835616441</v>
      </c>
      <c r="AO67">
        <v>0.9671232876712329</v>
      </c>
      <c r="AP67">
        <v>0.96986301369863015</v>
      </c>
      <c r="AQ67">
        <v>1</v>
      </c>
      <c r="AR67">
        <v>0.86107305936073064</v>
      </c>
    </row>
    <row r="68" spans="7:44" x14ac:dyDescent="0.15">
      <c r="G68" s="565">
        <v>24</v>
      </c>
      <c r="H68" s="564">
        <v>0.98550228310502286</v>
      </c>
      <c r="I68" s="564">
        <v>0.99098173515981736</v>
      </c>
      <c r="J68" s="564">
        <v>0.99760273972602742</v>
      </c>
      <c r="K68" s="564">
        <v>0.99748858447488586</v>
      </c>
      <c r="L68" s="564">
        <v>0.99977168949771689</v>
      </c>
      <c r="M68" s="564">
        <v>0.99760273972602742</v>
      </c>
      <c r="N68" s="564">
        <v>0.99041095890410957</v>
      </c>
      <c r="O68" s="564">
        <v>0.99132420091324203</v>
      </c>
      <c r="P68" s="564">
        <v>0.98732876712328765</v>
      </c>
      <c r="Q68" s="564">
        <v>0.97819634703196345</v>
      </c>
      <c r="R68" s="564">
        <v>0.97111872146118716</v>
      </c>
      <c r="S68" s="564">
        <v>0.99977168949771689</v>
      </c>
      <c r="T68" s="564">
        <v>1</v>
      </c>
      <c r="U68" s="564">
        <v>0.89109589041095894</v>
      </c>
      <c r="V68" s="564">
        <v>0.9963470319634703</v>
      </c>
      <c r="W68" s="564">
        <v>0.99257990867579904</v>
      </c>
      <c r="X68" s="564">
        <v>0.98036529680365292</v>
      </c>
      <c r="Z68" s="655" cm="1">
        <f t="array" ref="Z68">INDEX(H68:X68,1,$B$30)</f>
        <v>0.99977168949771689</v>
      </c>
      <c r="AH68">
        <v>0.98550228310502286</v>
      </c>
      <c r="AI68">
        <v>0.99098173515981736</v>
      </c>
      <c r="AJ68">
        <v>0.99760273972602742</v>
      </c>
      <c r="AK68">
        <v>0.99748858447488586</v>
      </c>
      <c r="AL68">
        <v>0.99041095890410957</v>
      </c>
      <c r="AM68">
        <v>0.9963470319634703</v>
      </c>
      <c r="AN68">
        <v>0.99257990867579904</v>
      </c>
      <c r="AO68">
        <v>0.97819634703196345</v>
      </c>
      <c r="AP68">
        <v>0.98036529680365292</v>
      </c>
      <c r="AQ68">
        <v>1</v>
      </c>
      <c r="AR68">
        <v>0.89109589041095894</v>
      </c>
    </row>
    <row r="69" spans="7:44" x14ac:dyDescent="0.15">
      <c r="G69" s="565">
        <v>25</v>
      </c>
      <c r="H69" s="564">
        <v>0.98949771689497712</v>
      </c>
      <c r="I69" s="564">
        <v>0.99520547945205484</v>
      </c>
      <c r="J69" s="564">
        <v>0.9992009132420091</v>
      </c>
      <c r="K69" s="564">
        <v>0.99851598173515976</v>
      </c>
      <c r="L69" s="564">
        <v>1</v>
      </c>
      <c r="M69" s="564">
        <v>0.99977168949771689</v>
      </c>
      <c r="N69" s="564">
        <v>0.99566210045662096</v>
      </c>
      <c r="O69" s="564">
        <v>0.99566210045662096</v>
      </c>
      <c r="P69" s="564">
        <v>0.99326484018264838</v>
      </c>
      <c r="Q69" s="564">
        <v>0.98732876712328765</v>
      </c>
      <c r="R69" s="564">
        <v>0.98344748858447484</v>
      </c>
      <c r="S69" s="564">
        <v>1</v>
      </c>
      <c r="T69" s="564">
        <v>1</v>
      </c>
      <c r="U69" s="564">
        <v>0.91792237442922375</v>
      </c>
      <c r="V69" s="564">
        <v>0.99840182648401832</v>
      </c>
      <c r="W69" s="564">
        <v>0.99589041095890407</v>
      </c>
      <c r="X69" s="564">
        <v>0.98710045662100454</v>
      </c>
      <c r="Z69" s="655" cm="1">
        <f t="array" ref="Z69">INDEX(H69:X69,1,$B$30)</f>
        <v>1</v>
      </c>
      <c r="AH69">
        <v>0.98949771689497712</v>
      </c>
      <c r="AI69">
        <v>0.99520547945205484</v>
      </c>
      <c r="AJ69">
        <v>0.9992009132420091</v>
      </c>
      <c r="AK69">
        <v>0.99851598173515976</v>
      </c>
      <c r="AL69">
        <v>0.99566210045662096</v>
      </c>
      <c r="AM69">
        <v>0.99840182648401832</v>
      </c>
      <c r="AN69">
        <v>0.99589041095890407</v>
      </c>
      <c r="AO69">
        <v>0.98732876712328765</v>
      </c>
      <c r="AP69">
        <v>0.98710045662100454</v>
      </c>
      <c r="AQ69">
        <v>1</v>
      </c>
      <c r="AR69">
        <v>0.91792237442922375</v>
      </c>
    </row>
    <row r="70" spans="7:44" x14ac:dyDescent="0.15">
      <c r="G70" s="565">
        <v>26</v>
      </c>
      <c r="H70" s="564">
        <v>0.99372146118721461</v>
      </c>
      <c r="I70" s="564">
        <v>0.99691780821917808</v>
      </c>
      <c r="J70" s="564">
        <v>0.99965753424657533</v>
      </c>
      <c r="K70" s="564">
        <v>0.99954337899543377</v>
      </c>
      <c r="L70" s="564">
        <v>1</v>
      </c>
      <c r="M70" s="564">
        <v>1</v>
      </c>
      <c r="N70" s="564">
        <v>0.9981735159817352</v>
      </c>
      <c r="O70" s="564">
        <v>0.99760273972602742</v>
      </c>
      <c r="P70" s="564">
        <v>0.9953196347031964</v>
      </c>
      <c r="Q70" s="564">
        <v>0.99018264840182646</v>
      </c>
      <c r="R70" s="564">
        <v>0.98755707762557077</v>
      </c>
      <c r="S70" s="564">
        <v>1</v>
      </c>
      <c r="T70" s="564">
        <v>1</v>
      </c>
      <c r="U70" s="564">
        <v>0.92968036529680365</v>
      </c>
      <c r="V70" s="564">
        <v>0.99908675799086755</v>
      </c>
      <c r="W70" s="564">
        <v>0.99714611872146119</v>
      </c>
      <c r="X70" s="564">
        <v>0.99075342465753424</v>
      </c>
      <c r="Z70" s="655" cm="1">
        <f t="array" ref="Z70">INDEX(H70:X70,1,$B$30)</f>
        <v>1</v>
      </c>
      <c r="AH70">
        <v>0.99372146118721461</v>
      </c>
      <c r="AI70">
        <v>0.99691780821917808</v>
      </c>
      <c r="AJ70">
        <v>0.99965753424657533</v>
      </c>
      <c r="AK70">
        <v>0.99954337899543377</v>
      </c>
      <c r="AL70">
        <v>0.9981735159817352</v>
      </c>
      <c r="AM70">
        <v>0.99908675799086755</v>
      </c>
      <c r="AN70">
        <v>0.99714611872146119</v>
      </c>
      <c r="AO70">
        <v>0.99018264840182646</v>
      </c>
      <c r="AP70">
        <v>0.99075342465753424</v>
      </c>
      <c r="AQ70">
        <v>1</v>
      </c>
      <c r="AR70">
        <v>0.92968036529680365</v>
      </c>
    </row>
    <row r="71" spans="7:44" x14ac:dyDescent="0.15">
      <c r="G71" s="565">
        <v>27</v>
      </c>
      <c r="H71" s="564">
        <v>0.99668949771689497</v>
      </c>
      <c r="I71" s="564">
        <v>0.99840182648401832</v>
      </c>
      <c r="J71" s="564">
        <v>1</v>
      </c>
      <c r="K71" s="564">
        <v>1</v>
      </c>
      <c r="L71" s="564">
        <v>1</v>
      </c>
      <c r="M71" s="564">
        <v>1</v>
      </c>
      <c r="N71" s="564">
        <v>0.9992009132420091</v>
      </c>
      <c r="O71" s="564">
        <v>0.99931506849315066</v>
      </c>
      <c r="P71" s="564">
        <v>0.99805936073059365</v>
      </c>
      <c r="Q71" s="564">
        <v>0.99543378995433784</v>
      </c>
      <c r="R71" s="564">
        <v>0.99337899543378994</v>
      </c>
      <c r="S71" s="564">
        <v>1</v>
      </c>
      <c r="T71" s="564">
        <v>1</v>
      </c>
      <c r="U71" s="564">
        <v>0.94897260273972606</v>
      </c>
      <c r="V71" s="564">
        <v>0.99965753424657533</v>
      </c>
      <c r="W71" s="564">
        <v>0.99885844748858443</v>
      </c>
      <c r="X71" s="564">
        <v>0.99429223744292239</v>
      </c>
      <c r="Z71" s="655" cm="1">
        <f t="array" ref="Z71">INDEX(H71:X71,1,$B$30)</f>
        <v>1</v>
      </c>
      <c r="AH71">
        <v>0.99668949771689497</v>
      </c>
      <c r="AI71">
        <v>0.99840182648401832</v>
      </c>
      <c r="AJ71">
        <v>1</v>
      </c>
      <c r="AK71">
        <v>1</v>
      </c>
      <c r="AL71">
        <v>0.9992009132420091</v>
      </c>
      <c r="AM71">
        <v>0.99965753424657533</v>
      </c>
      <c r="AN71">
        <v>0.99885844748858443</v>
      </c>
      <c r="AO71">
        <v>0.99543378995433784</v>
      </c>
      <c r="AP71">
        <v>0.99429223744292239</v>
      </c>
      <c r="AQ71">
        <v>1</v>
      </c>
      <c r="AR71">
        <v>0.94897260273972606</v>
      </c>
    </row>
    <row r="72" spans="7:44" x14ac:dyDescent="0.15">
      <c r="G72" s="565">
        <v>28</v>
      </c>
      <c r="H72" s="564">
        <v>0.99874429223744288</v>
      </c>
      <c r="I72" s="564">
        <v>0.9992009132420091</v>
      </c>
      <c r="J72" s="564">
        <v>1</v>
      </c>
      <c r="K72" s="564">
        <v>1</v>
      </c>
      <c r="L72" s="564">
        <v>1</v>
      </c>
      <c r="M72" s="564">
        <v>1</v>
      </c>
      <c r="N72" s="564">
        <v>1</v>
      </c>
      <c r="O72" s="564">
        <v>0.99988584474885844</v>
      </c>
      <c r="P72" s="564">
        <v>0.99931506849315066</v>
      </c>
      <c r="Q72" s="564">
        <v>0.99760273972602742</v>
      </c>
      <c r="R72" s="564">
        <v>0.99726027397260275</v>
      </c>
      <c r="S72" s="564">
        <v>1</v>
      </c>
      <c r="T72" s="564">
        <v>1</v>
      </c>
      <c r="U72" s="564">
        <v>0.96461187214611877</v>
      </c>
      <c r="V72" s="564">
        <v>1</v>
      </c>
      <c r="W72" s="564">
        <v>0.99965753424657533</v>
      </c>
      <c r="X72" s="564">
        <v>0.99657534246575341</v>
      </c>
      <c r="Z72" s="655" cm="1">
        <f t="array" ref="Z72">INDEX(H72:X72,1,$B$30)</f>
        <v>1</v>
      </c>
      <c r="AH72">
        <v>0.99874429223744288</v>
      </c>
      <c r="AI72">
        <v>0.9992009132420091</v>
      </c>
      <c r="AJ72">
        <v>1</v>
      </c>
      <c r="AK72">
        <v>1</v>
      </c>
      <c r="AL72">
        <v>1</v>
      </c>
      <c r="AM72">
        <v>1</v>
      </c>
      <c r="AN72">
        <v>0.99965753424657533</v>
      </c>
      <c r="AO72">
        <v>0.99760273972602742</v>
      </c>
      <c r="AP72">
        <v>0.99657534246575341</v>
      </c>
      <c r="AQ72">
        <v>1</v>
      </c>
      <c r="AR72">
        <v>0.96461187214611877</v>
      </c>
    </row>
    <row r="73" spans="7:44" x14ac:dyDescent="0.15">
      <c r="G73" s="565">
        <v>29</v>
      </c>
      <c r="H73" s="564">
        <v>0.99965753424657533</v>
      </c>
      <c r="I73" s="564">
        <v>0.99977168949771689</v>
      </c>
      <c r="J73" s="564">
        <v>1</v>
      </c>
      <c r="K73" s="564">
        <v>1</v>
      </c>
      <c r="L73" s="564">
        <v>1</v>
      </c>
      <c r="M73" s="564">
        <v>1</v>
      </c>
      <c r="N73" s="564">
        <v>1</v>
      </c>
      <c r="O73" s="564">
        <v>1</v>
      </c>
      <c r="P73" s="564">
        <v>1</v>
      </c>
      <c r="Q73" s="564">
        <v>0.9992009132420091</v>
      </c>
      <c r="R73" s="564">
        <v>0.99863013698630132</v>
      </c>
      <c r="S73" s="564">
        <v>1</v>
      </c>
      <c r="T73" s="564">
        <v>1</v>
      </c>
      <c r="U73" s="564">
        <v>0.97671232876712333</v>
      </c>
      <c r="V73" s="564">
        <v>1</v>
      </c>
      <c r="W73" s="564">
        <v>1</v>
      </c>
      <c r="X73" s="564">
        <v>0.99885844748858443</v>
      </c>
      <c r="Z73" s="655" cm="1">
        <f t="array" ref="Z73">INDEX(H73:X73,1,$B$30)</f>
        <v>1</v>
      </c>
      <c r="AH73">
        <v>0.99965753424657533</v>
      </c>
      <c r="AI73">
        <v>0.99977168949771689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0.9992009132420091</v>
      </c>
      <c r="AP73">
        <v>0.99885844748858443</v>
      </c>
      <c r="AQ73">
        <v>1</v>
      </c>
      <c r="AR73">
        <v>0.97671232876712333</v>
      </c>
    </row>
    <row r="74" spans="7:44" x14ac:dyDescent="0.15">
      <c r="G74" s="565">
        <v>30</v>
      </c>
      <c r="H74" s="564">
        <v>1</v>
      </c>
      <c r="I74" s="564">
        <v>1</v>
      </c>
      <c r="J74" s="564">
        <v>1</v>
      </c>
      <c r="K74" s="564">
        <v>1</v>
      </c>
      <c r="L74" s="564">
        <v>1</v>
      </c>
      <c r="M74" s="564">
        <v>1</v>
      </c>
      <c r="N74" s="564">
        <v>1</v>
      </c>
      <c r="O74" s="564">
        <v>1</v>
      </c>
      <c r="P74" s="564">
        <v>1</v>
      </c>
      <c r="Q74" s="564">
        <v>1</v>
      </c>
      <c r="R74" s="564">
        <v>0.99977168949771689</v>
      </c>
      <c r="S74" s="564">
        <v>1</v>
      </c>
      <c r="T74" s="564">
        <v>1</v>
      </c>
      <c r="U74" s="564">
        <v>0.98527397260273974</v>
      </c>
      <c r="V74" s="564">
        <v>1</v>
      </c>
      <c r="W74" s="564">
        <v>1</v>
      </c>
      <c r="X74" s="564">
        <v>0.99988584474885844</v>
      </c>
      <c r="Z74" s="655" cm="1">
        <f t="array" ref="Z74">INDEX(H74:X74,1,$B$30)</f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0.99988584474885844</v>
      </c>
      <c r="AQ74">
        <v>1</v>
      </c>
      <c r="AR74">
        <v>0.98527397260273974</v>
      </c>
    </row>
    <row r="75" spans="7:44" x14ac:dyDescent="0.15">
      <c r="G75" s="565">
        <v>31</v>
      </c>
      <c r="H75" s="564">
        <v>1</v>
      </c>
      <c r="I75" s="564">
        <v>1</v>
      </c>
      <c r="J75" s="564">
        <v>1</v>
      </c>
      <c r="K75" s="564">
        <v>1</v>
      </c>
      <c r="L75" s="564">
        <v>1</v>
      </c>
      <c r="M75" s="564">
        <v>1</v>
      </c>
      <c r="N75" s="564">
        <v>1</v>
      </c>
      <c r="O75" s="564">
        <v>1</v>
      </c>
      <c r="P75" s="564">
        <v>1</v>
      </c>
      <c r="Q75" s="564">
        <v>1</v>
      </c>
      <c r="R75" s="564">
        <v>1</v>
      </c>
      <c r="S75" s="564">
        <v>1</v>
      </c>
      <c r="T75" s="564">
        <v>1</v>
      </c>
      <c r="U75" s="564">
        <v>0.98892694063926945</v>
      </c>
      <c r="V75" s="564">
        <v>1</v>
      </c>
      <c r="W75" s="564">
        <v>1</v>
      </c>
      <c r="X75" s="564">
        <v>1</v>
      </c>
      <c r="Z75" s="655" cm="1">
        <f t="array" ref="Z75">INDEX(H75:X75,1,$B$30)</f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  <c r="AN75">
        <v>1</v>
      </c>
      <c r="AO75">
        <v>1</v>
      </c>
      <c r="AP75">
        <v>1</v>
      </c>
      <c r="AQ75">
        <v>1</v>
      </c>
      <c r="AR75">
        <v>0.98892694063926945</v>
      </c>
    </row>
    <row r="76" spans="7:44" x14ac:dyDescent="0.15">
      <c r="G76" s="565">
        <v>32</v>
      </c>
      <c r="H76" s="564">
        <v>1</v>
      </c>
      <c r="I76" s="564">
        <v>1</v>
      </c>
      <c r="J76" s="564">
        <v>1</v>
      </c>
      <c r="K76" s="564">
        <v>1</v>
      </c>
      <c r="L76" s="564">
        <v>1</v>
      </c>
      <c r="M76" s="564">
        <v>1</v>
      </c>
      <c r="N76" s="564">
        <v>1</v>
      </c>
      <c r="O76" s="564">
        <v>1</v>
      </c>
      <c r="P76" s="564">
        <v>1</v>
      </c>
      <c r="Q76" s="564">
        <v>1</v>
      </c>
      <c r="R76" s="564">
        <v>1</v>
      </c>
      <c r="S76" s="564">
        <v>1</v>
      </c>
      <c r="T76" s="564">
        <v>1</v>
      </c>
      <c r="U76" s="564">
        <v>0.99417808219178083</v>
      </c>
      <c r="V76" s="564">
        <v>1</v>
      </c>
      <c r="W76" s="564">
        <v>1</v>
      </c>
      <c r="X76" s="564">
        <v>1</v>
      </c>
      <c r="Z76" s="655" cm="1">
        <f t="array" ref="Z76">INDEX(H76:X76,1,$B$30)</f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0.99417808219178083</v>
      </c>
    </row>
    <row r="77" spans="7:44" x14ac:dyDescent="0.15">
      <c r="G77" s="565">
        <v>33</v>
      </c>
      <c r="H77" s="564">
        <v>1</v>
      </c>
      <c r="I77" s="564">
        <v>1</v>
      </c>
      <c r="J77" s="564">
        <v>1</v>
      </c>
      <c r="K77" s="564">
        <v>1</v>
      </c>
      <c r="L77" s="564">
        <v>1</v>
      </c>
      <c r="M77" s="564">
        <v>1</v>
      </c>
      <c r="N77" s="564">
        <v>1</v>
      </c>
      <c r="O77" s="564">
        <v>1</v>
      </c>
      <c r="P77" s="564">
        <v>1</v>
      </c>
      <c r="Q77" s="564">
        <v>1</v>
      </c>
      <c r="R77" s="564">
        <v>1</v>
      </c>
      <c r="S77" s="564">
        <v>1</v>
      </c>
      <c r="T77" s="564">
        <v>1</v>
      </c>
      <c r="U77" s="564">
        <v>0.99714611872146119</v>
      </c>
      <c r="V77" s="564">
        <v>1</v>
      </c>
      <c r="W77" s="564">
        <v>1</v>
      </c>
      <c r="X77" s="564">
        <v>1</v>
      </c>
      <c r="Z77" s="655" cm="1">
        <f t="array" ref="Z77">INDEX(H77:X77,1,$B$30)</f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0.99714611872146119</v>
      </c>
    </row>
    <row r="78" spans="7:44" x14ac:dyDescent="0.15">
      <c r="G78" s="565">
        <v>34</v>
      </c>
      <c r="H78" s="564">
        <v>1</v>
      </c>
      <c r="I78" s="564">
        <v>1</v>
      </c>
      <c r="J78" s="564">
        <v>1</v>
      </c>
      <c r="K78" s="564">
        <v>1</v>
      </c>
      <c r="L78" s="564">
        <v>1</v>
      </c>
      <c r="M78" s="564">
        <v>1</v>
      </c>
      <c r="N78" s="564">
        <v>1</v>
      </c>
      <c r="O78" s="564">
        <v>1</v>
      </c>
      <c r="P78" s="564">
        <v>1</v>
      </c>
      <c r="Q78" s="564">
        <v>1</v>
      </c>
      <c r="R78" s="564">
        <v>1</v>
      </c>
      <c r="S78" s="564">
        <v>1</v>
      </c>
      <c r="T78" s="564">
        <v>1</v>
      </c>
      <c r="U78" s="564">
        <v>0.99908675799086755</v>
      </c>
      <c r="V78" s="564">
        <v>1</v>
      </c>
      <c r="W78" s="564">
        <v>1</v>
      </c>
      <c r="X78" s="564">
        <v>1</v>
      </c>
      <c r="Z78" s="655" cm="1">
        <f t="array" ref="Z78">INDEX(H78:X78,1,$B$30)</f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1</v>
      </c>
      <c r="AQ78">
        <v>1</v>
      </c>
      <c r="AR78">
        <v>0.99908675799086755</v>
      </c>
    </row>
    <row r="79" spans="7:44" x14ac:dyDescent="0.15">
      <c r="G79" s="565">
        <v>35</v>
      </c>
      <c r="H79" s="564">
        <v>1</v>
      </c>
      <c r="I79" s="564">
        <v>1</v>
      </c>
      <c r="J79" s="564">
        <v>1</v>
      </c>
      <c r="K79" s="564">
        <v>1</v>
      </c>
      <c r="L79" s="564">
        <v>1</v>
      </c>
      <c r="M79" s="564">
        <v>1</v>
      </c>
      <c r="N79" s="564">
        <v>1</v>
      </c>
      <c r="O79" s="564">
        <v>1</v>
      </c>
      <c r="P79" s="564">
        <v>1</v>
      </c>
      <c r="Q79" s="564">
        <v>1</v>
      </c>
      <c r="R79" s="564">
        <v>1</v>
      </c>
      <c r="S79" s="564">
        <v>1</v>
      </c>
      <c r="T79" s="564">
        <v>1</v>
      </c>
      <c r="U79" s="564">
        <v>0.99942922374429222</v>
      </c>
      <c r="V79" s="564">
        <v>1</v>
      </c>
      <c r="W79" s="564">
        <v>1</v>
      </c>
      <c r="X79" s="564">
        <v>1</v>
      </c>
      <c r="Z79" s="655" cm="1">
        <f t="array" ref="Z79">INDEX(H79:X79,1,$B$30)</f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0.99942922374429222</v>
      </c>
    </row>
    <row r="80" spans="7:44" x14ac:dyDescent="0.15">
      <c r="G80" s="565">
        <v>36</v>
      </c>
      <c r="H80" s="564">
        <v>1</v>
      </c>
      <c r="I80" s="564">
        <v>1</v>
      </c>
      <c r="J80" s="564">
        <v>1</v>
      </c>
      <c r="K80" s="564">
        <v>1</v>
      </c>
      <c r="L80" s="564">
        <v>1</v>
      </c>
      <c r="M80" s="564">
        <v>1</v>
      </c>
      <c r="N80" s="564">
        <v>1</v>
      </c>
      <c r="O80" s="564">
        <v>1</v>
      </c>
      <c r="P80" s="564">
        <v>1</v>
      </c>
      <c r="Q80" s="564">
        <v>1</v>
      </c>
      <c r="R80" s="564">
        <v>1</v>
      </c>
      <c r="S80" s="564">
        <v>1</v>
      </c>
      <c r="T80" s="564">
        <v>1</v>
      </c>
      <c r="U80" s="564">
        <v>0.99942922374429222</v>
      </c>
      <c r="V80" s="564">
        <v>1</v>
      </c>
      <c r="W80" s="564">
        <v>1</v>
      </c>
      <c r="X80" s="564">
        <v>1</v>
      </c>
      <c r="Z80" s="655" cm="1">
        <f t="array" ref="Z80">INDEX(H80:X80,1,$B$30)</f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1</v>
      </c>
      <c r="AQ80">
        <v>1</v>
      </c>
      <c r="AR80">
        <v>0.99942922374429222</v>
      </c>
    </row>
    <row r="81" spans="7:44" x14ac:dyDescent="0.15">
      <c r="G81" s="565">
        <v>37</v>
      </c>
      <c r="H81" s="564">
        <v>1</v>
      </c>
      <c r="I81" s="564">
        <v>1</v>
      </c>
      <c r="J81" s="564">
        <v>1</v>
      </c>
      <c r="K81" s="564">
        <v>1</v>
      </c>
      <c r="L81" s="564">
        <v>1</v>
      </c>
      <c r="M81" s="564">
        <v>1</v>
      </c>
      <c r="N81" s="564">
        <v>1</v>
      </c>
      <c r="O81" s="564">
        <v>1</v>
      </c>
      <c r="P81" s="564">
        <v>1</v>
      </c>
      <c r="Q81" s="564">
        <v>1</v>
      </c>
      <c r="R81" s="564">
        <v>1</v>
      </c>
      <c r="S81" s="564">
        <v>1</v>
      </c>
      <c r="T81" s="564">
        <v>1</v>
      </c>
      <c r="U81" s="564">
        <v>1</v>
      </c>
      <c r="V81" s="564">
        <v>1</v>
      </c>
      <c r="W81" s="564">
        <v>1</v>
      </c>
      <c r="X81" s="564">
        <v>1</v>
      </c>
      <c r="Z81" s="655" cm="1">
        <f t="array" ref="Z81">INDEX(H81:X81,1,$B$30)</f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1</v>
      </c>
      <c r="AR81">
        <v>1</v>
      </c>
    </row>
    <row r="82" spans="7:44" x14ac:dyDescent="0.15">
      <c r="G82" s="565">
        <v>38</v>
      </c>
      <c r="H82" s="564">
        <v>1</v>
      </c>
      <c r="I82" s="564">
        <v>1</v>
      </c>
      <c r="J82" s="564">
        <v>1</v>
      </c>
      <c r="K82" s="564">
        <v>1</v>
      </c>
      <c r="L82" s="564">
        <v>1</v>
      </c>
      <c r="M82" s="564">
        <v>1</v>
      </c>
      <c r="N82" s="564">
        <v>1</v>
      </c>
      <c r="O82" s="564">
        <v>1</v>
      </c>
      <c r="P82" s="564">
        <v>1</v>
      </c>
      <c r="Q82" s="564">
        <v>1</v>
      </c>
      <c r="R82" s="564">
        <v>1</v>
      </c>
      <c r="S82" s="564">
        <v>1</v>
      </c>
      <c r="T82" s="564">
        <v>1</v>
      </c>
      <c r="U82" s="564">
        <v>1</v>
      </c>
      <c r="V82" s="564">
        <v>1</v>
      </c>
      <c r="W82" s="564">
        <v>1</v>
      </c>
      <c r="X82" s="564">
        <v>1</v>
      </c>
      <c r="Z82" s="655" cm="1">
        <f t="array" ref="Z82">INDEX(H82:X82,1,$B$30)</f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1</v>
      </c>
    </row>
    <row r="83" spans="7:44" x14ac:dyDescent="0.15">
      <c r="G83" s="565">
        <v>39</v>
      </c>
      <c r="H83" s="564">
        <v>1</v>
      </c>
      <c r="I83" s="564">
        <v>1</v>
      </c>
      <c r="J83" s="564">
        <v>1</v>
      </c>
      <c r="K83" s="564">
        <v>1</v>
      </c>
      <c r="L83" s="564">
        <v>1</v>
      </c>
      <c r="M83" s="564">
        <v>1</v>
      </c>
      <c r="N83" s="564">
        <v>1</v>
      </c>
      <c r="O83" s="564">
        <v>1</v>
      </c>
      <c r="P83" s="564">
        <v>1</v>
      </c>
      <c r="Q83" s="564">
        <v>1</v>
      </c>
      <c r="R83" s="564">
        <v>1</v>
      </c>
      <c r="S83" s="564">
        <v>1</v>
      </c>
      <c r="T83" s="564">
        <v>1</v>
      </c>
      <c r="U83" s="564">
        <v>1</v>
      </c>
      <c r="V83" s="564">
        <v>1</v>
      </c>
      <c r="W83" s="564">
        <v>1</v>
      </c>
      <c r="X83" s="564">
        <v>1</v>
      </c>
      <c r="Z83" s="655" cm="1">
        <f t="array" ref="Z83">INDEX(H83:X83,1,$B$30)</f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</row>
    <row r="84" spans="7:44" x14ac:dyDescent="0.15">
      <c r="G84" s="566">
        <v>40</v>
      </c>
      <c r="H84" s="564">
        <v>1</v>
      </c>
      <c r="I84" s="564">
        <v>1</v>
      </c>
      <c r="J84" s="564">
        <v>1</v>
      </c>
      <c r="K84" s="564">
        <v>1</v>
      </c>
      <c r="L84" s="564">
        <v>1</v>
      </c>
      <c r="M84" s="564">
        <v>1</v>
      </c>
      <c r="N84" s="564">
        <v>1</v>
      </c>
      <c r="O84" s="564">
        <v>1</v>
      </c>
      <c r="P84" s="564">
        <v>1</v>
      </c>
      <c r="Q84" s="564">
        <v>1</v>
      </c>
      <c r="R84" s="564">
        <v>1</v>
      </c>
      <c r="S84" s="564">
        <v>1</v>
      </c>
      <c r="T84" s="564">
        <v>1</v>
      </c>
      <c r="U84" s="564">
        <v>1</v>
      </c>
      <c r="V84" s="564">
        <v>1</v>
      </c>
      <c r="W84" s="564">
        <v>1</v>
      </c>
      <c r="X84" s="564">
        <v>1</v>
      </c>
      <c r="Z84" s="655" cm="1">
        <f t="array" ref="Z84">INDEX(H84:X84,1,$B$30)</f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3" name="Drop Down 1">
              <controlPr defaultSize="0" autoLine="0" autoPict="0">
                <anchor moveWithCells="1">
                  <from>
                    <xdr:col>1</xdr:col>
                    <xdr:colOff>12700</xdr:colOff>
                    <xdr:row>24</xdr:row>
                    <xdr:rowOff>0</xdr:rowOff>
                  </from>
                  <to>
                    <xdr:col>1</xdr:col>
                    <xdr:colOff>1041400</xdr:colOff>
                    <xdr:row>24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AC0DC-381D-4228-A261-77E1560C760A}">
  <sheetPr codeName="Taul27"/>
  <dimension ref="E1:AQ171"/>
  <sheetViews>
    <sheetView topLeftCell="A11" zoomScale="85" zoomScaleNormal="85" workbookViewId="0">
      <selection activeCell="BL19" sqref="BL19"/>
    </sheetView>
  </sheetViews>
  <sheetFormatPr baseColWidth="10" defaultColWidth="8.83203125" defaultRowHeight="13" x14ac:dyDescent="0.15"/>
  <cols>
    <col min="5" max="5" width="18.1640625" customWidth="1"/>
    <col min="6" max="6" width="11.83203125" bestFit="1" customWidth="1"/>
    <col min="7" max="7" width="14.33203125" customWidth="1"/>
    <col min="8" max="8" width="13.83203125" customWidth="1"/>
    <col min="9" max="9" width="14.5" bestFit="1" customWidth="1"/>
    <col min="12" max="12" width="13.6640625" bestFit="1" customWidth="1"/>
    <col min="14" max="14" width="11.6640625" customWidth="1"/>
    <col min="24" max="25" width="15.5" customWidth="1"/>
    <col min="26" max="26" width="27.83203125" customWidth="1"/>
    <col min="27" max="27" width="15.5" customWidth="1"/>
    <col min="29" max="32" width="16.83203125" customWidth="1"/>
    <col min="34" max="34" width="12.1640625" bestFit="1" customWidth="1"/>
    <col min="35" max="36" width="9.33203125" bestFit="1" customWidth="1"/>
  </cols>
  <sheetData>
    <row r="1" spans="5:43" ht="14" thickBot="1" x14ac:dyDescent="0.2"/>
    <row r="2" spans="5:43" ht="15" thickBot="1" x14ac:dyDescent="0.2">
      <c r="M2" s="286" t="s">
        <v>1265</v>
      </c>
      <c r="Q2" s="694" t="s">
        <v>1255</v>
      </c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1"/>
    </row>
    <row r="3" spans="5:43" ht="15" x14ac:dyDescent="0.2">
      <c r="E3" s="228" t="s">
        <v>273</v>
      </c>
      <c r="F3" s="229">
        <f>Tulokset!C6</f>
        <v>1</v>
      </c>
      <c r="G3" s="230"/>
      <c r="H3" s="228" t="s">
        <v>274</v>
      </c>
      <c r="I3" s="230" t="s">
        <v>275</v>
      </c>
      <c r="J3" s="230" t="s">
        <v>276</v>
      </c>
      <c r="K3" s="230" t="s">
        <v>277</v>
      </c>
      <c r="L3" s="230" t="s">
        <v>278</v>
      </c>
      <c r="M3" s="1506" t="s">
        <v>279</v>
      </c>
      <c r="N3" s="95" t="s">
        <v>1256</v>
      </c>
      <c r="O3" s="95" t="s">
        <v>1259</v>
      </c>
      <c r="Q3" s="695" t="s">
        <v>1209</v>
      </c>
      <c r="R3" s="672"/>
      <c r="S3" s="672"/>
      <c r="T3" s="672"/>
      <c r="U3" s="673"/>
      <c r="V3" s="12"/>
      <c r="X3" s="696"/>
      <c r="Y3" s="697" t="s">
        <v>1210</v>
      </c>
      <c r="Z3" s="696"/>
      <c r="AA3" s="696"/>
      <c r="AC3" s="697" t="s">
        <v>1211</v>
      </c>
      <c r="AD3" s="696"/>
      <c r="AE3" s="696"/>
      <c r="AF3" s="696"/>
      <c r="AG3" s="696"/>
      <c r="AH3" s="696"/>
      <c r="AI3" s="696"/>
      <c r="AJ3" s="696"/>
      <c r="AK3" s="696"/>
      <c r="AL3" s="696"/>
      <c r="AM3" s="696"/>
      <c r="AN3" s="696"/>
      <c r="AO3" s="696"/>
      <c r="AP3" s="696"/>
      <c r="AQ3" s="698"/>
    </row>
    <row r="4" spans="5:43" ht="21" x14ac:dyDescent="0.25">
      <c r="E4" s="232" t="s">
        <v>280</v>
      </c>
      <c r="F4" s="233">
        <f>INDEX(L4:L10,$F$3)</f>
        <v>-6.5</v>
      </c>
      <c r="H4" s="234">
        <v>1</v>
      </c>
      <c r="I4" t="s">
        <v>281</v>
      </c>
      <c r="J4" s="4">
        <v>18</v>
      </c>
      <c r="K4" s="4">
        <v>100</v>
      </c>
      <c r="L4" s="235">
        <v>-6.5</v>
      </c>
      <c r="M4" s="967">
        <v>0.79500000000000004</v>
      </c>
      <c r="N4" s="732">
        <f>IF($F$3=H4,$G$38,"-")</f>
        <v>0.79799999999999993</v>
      </c>
      <c r="O4" s="732">
        <f>IF($F$3=H4,$G$39,"-")</f>
        <v>0.8175</v>
      </c>
      <c r="Q4" s="699"/>
      <c r="R4" s="286"/>
      <c r="S4" s="286"/>
      <c r="T4" s="286"/>
      <c r="U4" s="660"/>
      <c r="V4" s="12"/>
      <c r="X4" s="696"/>
      <c r="Y4" s="700"/>
      <c r="Z4" s="696"/>
      <c r="AA4" s="696"/>
      <c r="AC4" s="700" t="s">
        <v>1212</v>
      </c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8"/>
    </row>
    <row r="5" spans="5:43" x14ac:dyDescent="0.15">
      <c r="E5" s="232" t="s">
        <v>276</v>
      </c>
      <c r="F5" s="233">
        <f>INDEX(J4:J10,$F$3)</f>
        <v>18</v>
      </c>
      <c r="H5" s="234">
        <v>2</v>
      </c>
      <c r="I5" t="s">
        <v>282</v>
      </c>
      <c r="J5" s="4">
        <v>18</v>
      </c>
      <c r="K5" s="4">
        <v>100</v>
      </c>
      <c r="L5" s="235">
        <v>-6.5</v>
      </c>
      <c r="M5" s="967">
        <v>0.82499999999999996</v>
      </c>
      <c r="N5" s="733" t="str">
        <f t="shared" ref="N5:N10" si="0">IF($F$3=H5,$G$38,"-")</f>
        <v>-</v>
      </c>
      <c r="O5" s="733" t="str">
        <f t="shared" ref="O5:O10" si="1">IF($F$3=H5,$G$39,"-")</f>
        <v>-</v>
      </c>
      <c r="Q5" s="699"/>
      <c r="R5" s="286"/>
      <c r="S5" s="286"/>
      <c r="T5" s="286"/>
      <c r="U5" s="660"/>
      <c r="V5" s="12"/>
      <c r="X5" s="701"/>
      <c r="Y5" s="701"/>
      <c r="Z5" s="701"/>
      <c r="AA5" s="701"/>
      <c r="AC5" s="701"/>
      <c r="AD5" s="701"/>
      <c r="AE5" s="701"/>
      <c r="AF5" s="701"/>
      <c r="AG5" s="701"/>
      <c r="AH5" s="701"/>
      <c r="AI5" s="701"/>
      <c r="AJ5" s="701"/>
      <c r="AK5" s="701"/>
      <c r="AL5" s="701"/>
      <c r="AM5" s="701"/>
      <c r="AN5" s="701"/>
      <c r="AO5" s="701"/>
      <c r="AP5" s="701"/>
      <c r="AQ5" s="702"/>
    </row>
    <row r="6" spans="5:43" ht="15" x14ac:dyDescent="0.2">
      <c r="E6" s="232" t="s">
        <v>277</v>
      </c>
      <c r="F6" s="233">
        <f>INDEX(K4:K10,$F$3)</f>
        <v>100</v>
      </c>
      <c r="H6" s="234">
        <v>3</v>
      </c>
      <c r="I6" t="s">
        <v>283</v>
      </c>
      <c r="J6" s="4">
        <v>30</v>
      </c>
      <c r="K6" s="4">
        <v>170</v>
      </c>
      <c r="L6" s="235">
        <v>-6.5</v>
      </c>
      <c r="M6" s="967">
        <v>0.79500000000000004</v>
      </c>
      <c r="N6" s="732" t="str">
        <f t="shared" si="0"/>
        <v>-</v>
      </c>
      <c r="O6" s="732" t="str">
        <f t="shared" si="1"/>
        <v>-</v>
      </c>
      <c r="Q6" s="699"/>
      <c r="R6" s="703" t="s">
        <v>1213</v>
      </c>
      <c r="S6" s="286"/>
      <c r="T6" s="286"/>
      <c r="U6" s="660"/>
      <c r="V6" s="12"/>
      <c r="X6" s="701"/>
      <c r="Y6" s="704"/>
      <c r="Z6" s="701"/>
      <c r="AA6" s="701"/>
      <c r="AC6" s="701"/>
      <c r="AD6" s="701"/>
      <c r="AE6" s="701"/>
      <c r="AF6" s="701"/>
      <c r="AG6" s="701"/>
      <c r="AH6" s="701"/>
      <c r="AI6" s="701"/>
      <c r="AJ6" s="701"/>
      <c r="AK6" s="701"/>
      <c r="AL6" s="701"/>
      <c r="AM6" s="701"/>
      <c r="AN6" s="701"/>
      <c r="AO6" s="701"/>
      <c r="AP6" s="701"/>
      <c r="AQ6" s="702"/>
    </row>
    <row r="7" spans="5:43" ht="14" thickBot="1" x14ac:dyDescent="0.2">
      <c r="E7" s="236" t="s">
        <v>284</v>
      </c>
      <c r="F7" s="237">
        <f>INDEX(M4:M10,$F$3)</f>
        <v>0.79500000000000004</v>
      </c>
      <c r="G7" s="238"/>
      <c r="H7" s="369">
        <v>4</v>
      </c>
      <c r="I7" s="238" t="s">
        <v>562</v>
      </c>
      <c r="J7" s="395">
        <v>30</v>
      </c>
      <c r="K7" s="395">
        <v>260</v>
      </c>
      <c r="L7" s="427">
        <v>-6.5</v>
      </c>
      <c r="M7" s="1507">
        <f>AH122</f>
        <v>0.79500000000000004</v>
      </c>
      <c r="N7" s="732" t="str">
        <f t="shared" si="0"/>
        <v>-</v>
      </c>
      <c r="O7" s="732" t="str">
        <f t="shared" si="1"/>
        <v>-</v>
      </c>
      <c r="Q7" s="699"/>
      <c r="R7" s="286"/>
      <c r="S7" s="286"/>
      <c r="T7" s="286"/>
      <c r="U7" s="660"/>
      <c r="V7" s="12"/>
      <c r="X7" s="701"/>
      <c r="Y7" s="701"/>
      <c r="Z7" s="701"/>
      <c r="AA7" s="701"/>
      <c r="AC7" s="701"/>
      <c r="AD7" s="701"/>
      <c r="AE7" s="701"/>
      <c r="AF7" s="701"/>
      <c r="AG7" s="701"/>
      <c r="AH7" s="701"/>
      <c r="AI7" s="701"/>
      <c r="AJ7" s="701"/>
      <c r="AK7" s="701"/>
      <c r="AL7" s="701"/>
      <c r="AM7" s="701"/>
      <c r="AN7" s="701"/>
      <c r="AO7" s="701"/>
      <c r="AP7" s="701"/>
      <c r="AQ7" s="702"/>
    </row>
    <row r="8" spans="5:43" ht="16" thickBot="1" x14ac:dyDescent="0.25">
      <c r="H8" s="369">
        <v>5</v>
      </c>
      <c r="I8" s="238" t="s">
        <v>563</v>
      </c>
      <c r="J8" s="428">
        <v>30</v>
      </c>
      <c r="K8" s="428">
        <v>360</v>
      </c>
      <c r="L8" s="429">
        <f>L7</f>
        <v>-6.5</v>
      </c>
      <c r="M8" s="1508">
        <f>M7</f>
        <v>0.79500000000000004</v>
      </c>
      <c r="N8" s="732" t="str">
        <f t="shared" si="0"/>
        <v>-</v>
      </c>
      <c r="O8" s="733" t="str">
        <f t="shared" si="1"/>
        <v>-</v>
      </c>
      <c r="Q8" s="699"/>
      <c r="R8" s="286"/>
      <c r="S8" s="286"/>
      <c r="T8" s="286"/>
      <c r="U8" s="660"/>
      <c r="V8" s="12"/>
      <c r="X8" s="701"/>
      <c r="Y8" s="701"/>
      <c r="Z8" s="701"/>
      <c r="AA8" s="701"/>
      <c r="AC8" s="701"/>
      <c r="AD8" s="701"/>
      <c r="AE8" s="705"/>
      <c r="AF8" s="706"/>
      <c r="AG8" s="701"/>
      <c r="AH8" s="701"/>
      <c r="AI8" s="701"/>
      <c r="AJ8" s="701"/>
      <c r="AK8" s="701"/>
      <c r="AL8" s="701"/>
      <c r="AM8" s="701"/>
      <c r="AN8" s="701"/>
      <c r="AO8" s="701"/>
      <c r="AP8" s="701"/>
      <c r="AQ8" s="702"/>
    </row>
    <row r="9" spans="5:43" ht="15" x14ac:dyDescent="0.2">
      <c r="F9" s="233"/>
      <c r="G9" s="233"/>
      <c r="H9" s="234">
        <v>6</v>
      </c>
      <c r="I9" s="233" t="s">
        <v>588</v>
      </c>
      <c r="J9" s="4">
        <v>20</v>
      </c>
      <c r="K9" s="4">
        <v>130</v>
      </c>
      <c r="L9" s="235">
        <v>-6.5</v>
      </c>
      <c r="M9" s="967">
        <v>0.77500000000000002</v>
      </c>
      <c r="N9" s="1397" t="str">
        <f t="shared" si="0"/>
        <v>-</v>
      </c>
      <c r="O9" s="1397" t="str">
        <f t="shared" si="1"/>
        <v>-</v>
      </c>
      <c r="Q9" s="699"/>
      <c r="R9" s="286" t="s">
        <v>1214</v>
      </c>
      <c r="S9" s="286"/>
      <c r="T9" s="286"/>
      <c r="U9" s="660"/>
      <c r="V9" s="12"/>
      <c r="X9" s="1791" t="s">
        <v>115</v>
      </c>
      <c r="Y9" s="1791"/>
      <c r="Z9" s="1791"/>
      <c r="AA9" s="1792"/>
      <c r="AB9" s="707"/>
      <c r="AC9" s="708"/>
      <c r="AD9" s="708"/>
      <c r="AE9" s="705"/>
      <c r="AF9" s="709"/>
      <c r="AG9" s="708"/>
      <c r="AH9" s="701"/>
      <c r="AI9" s="701"/>
      <c r="AJ9" s="701"/>
      <c r="AK9" s="701"/>
      <c r="AL9" s="701"/>
      <c r="AM9" s="701"/>
      <c r="AN9" s="701"/>
      <c r="AO9" s="701"/>
      <c r="AP9" s="701"/>
      <c r="AQ9" s="702"/>
    </row>
    <row r="10" spans="5:43" ht="18.75" customHeight="1" x14ac:dyDescent="0.2">
      <c r="F10" s="233"/>
      <c r="G10" s="233"/>
      <c r="H10" s="1398">
        <v>7</v>
      </c>
      <c r="I10" s="1399" t="s">
        <v>2671</v>
      </c>
      <c r="J10" s="276">
        <v>10</v>
      </c>
      <c r="K10" s="276">
        <v>130</v>
      </c>
      <c r="L10" s="1400">
        <v>-6.5</v>
      </c>
      <c r="M10" s="1401"/>
      <c r="N10" s="1402" t="str">
        <f t="shared" si="0"/>
        <v>-</v>
      </c>
      <c r="O10" s="1402" t="str">
        <f t="shared" si="1"/>
        <v>-</v>
      </c>
      <c r="Q10" s="699"/>
      <c r="R10" s="286" t="s">
        <v>1215</v>
      </c>
      <c r="S10" s="286"/>
      <c r="T10" s="286"/>
      <c r="U10" s="660"/>
      <c r="V10" s="12"/>
      <c r="X10" s="674" t="s">
        <v>1216</v>
      </c>
      <c r="Y10" s="675" t="s">
        <v>1217</v>
      </c>
      <c r="Z10" s="676" t="s">
        <v>1218</v>
      </c>
      <c r="AA10" s="677"/>
      <c r="AB10" s="710"/>
      <c r="AC10" s="677" t="s">
        <v>1219</v>
      </c>
      <c r="AD10" s="677" t="s">
        <v>1220</v>
      </c>
      <c r="AE10" s="677" t="s">
        <v>1221</v>
      </c>
      <c r="AF10" s="677" t="s">
        <v>1222</v>
      </c>
      <c r="AG10" s="711"/>
      <c r="AH10" s="701"/>
      <c r="AI10" s="701"/>
      <c r="AJ10" s="701"/>
      <c r="AK10" s="701"/>
      <c r="AL10" s="701"/>
      <c r="AM10" s="701"/>
      <c r="AN10" s="701"/>
      <c r="AO10" s="701"/>
      <c r="AP10" s="701"/>
      <c r="AQ10" s="702"/>
    </row>
    <row r="11" spans="5:43" ht="15" x14ac:dyDescent="0.2">
      <c r="F11" s="233"/>
      <c r="G11" s="233"/>
      <c r="H11" s="233"/>
      <c r="I11" s="233"/>
      <c r="J11" s="4"/>
      <c r="K11" s="4"/>
      <c r="L11" s="235"/>
      <c r="M11" s="243"/>
      <c r="Q11" s="699"/>
      <c r="R11" s="286" t="s">
        <v>1223</v>
      </c>
      <c r="S11" s="286"/>
      <c r="T11" s="286"/>
      <c r="U11" s="660"/>
      <c r="V11" s="12"/>
      <c r="X11" s="678"/>
      <c r="Y11" s="679">
        <v>25</v>
      </c>
      <c r="Z11" s="679"/>
      <c r="AA11" s="680"/>
      <c r="AB11" s="712"/>
      <c r="AC11" s="681">
        <v>18</v>
      </c>
      <c r="AD11" s="682">
        <v>79.5</v>
      </c>
      <c r="AE11" s="680">
        <v>79.8</v>
      </c>
      <c r="AF11" s="680">
        <v>81.75</v>
      </c>
      <c r="AG11" s="713"/>
      <c r="AH11" s="701"/>
      <c r="AI11" s="701"/>
      <c r="AJ11" s="701"/>
      <c r="AK11" s="701"/>
      <c r="AL11" s="701"/>
      <c r="AM11" s="701"/>
      <c r="AN11" s="701"/>
      <c r="AO11" s="701"/>
      <c r="AP11" s="701"/>
      <c r="AQ11" s="702"/>
    </row>
    <row r="12" spans="5:43" ht="15" x14ac:dyDescent="0.2">
      <c r="E12" s="23" t="s">
        <v>1250</v>
      </c>
      <c r="F12" s="1509"/>
      <c r="G12" s="1509"/>
      <c r="H12" s="1509"/>
      <c r="I12" s="1509"/>
      <c r="J12" s="208"/>
      <c r="K12" s="208"/>
      <c r="L12" s="1510"/>
      <c r="M12" s="1511"/>
      <c r="N12" s="22"/>
      <c r="O12" s="21"/>
      <c r="Q12" s="699"/>
      <c r="R12" s="286" t="s">
        <v>1224</v>
      </c>
      <c r="S12" s="286"/>
      <c r="T12" s="286"/>
      <c r="U12" s="660"/>
      <c r="V12" s="12"/>
      <c r="X12" s="678">
        <v>3.4</v>
      </c>
      <c r="Y12" s="679">
        <v>34</v>
      </c>
      <c r="Z12" s="679">
        <v>80.099999999999994</v>
      </c>
      <c r="AA12" s="680"/>
      <c r="AB12" s="712"/>
      <c r="AC12" s="681">
        <v>28</v>
      </c>
      <c r="AD12" s="682">
        <v>79.5</v>
      </c>
      <c r="AE12" s="680">
        <v>79.7</v>
      </c>
      <c r="AF12" s="680">
        <v>81.5</v>
      </c>
      <c r="AG12" s="713"/>
      <c r="AH12" s="701"/>
      <c r="AI12" s="701"/>
      <c r="AJ12" s="701"/>
      <c r="AK12" s="701"/>
      <c r="AL12" s="701"/>
      <c r="AM12" s="701"/>
      <c r="AN12" s="701"/>
      <c r="AO12" s="701"/>
      <c r="AP12" s="701"/>
      <c r="AQ12" s="702"/>
    </row>
    <row r="13" spans="5:43" ht="15" x14ac:dyDescent="0.2">
      <c r="E13" s="12" t="s">
        <v>1251</v>
      </c>
      <c r="F13" s="233"/>
      <c r="G13" s="233"/>
      <c r="H13" s="233"/>
      <c r="I13" s="233"/>
      <c r="J13" s="4"/>
      <c r="K13" s="4"/>
      <c r="L13" s="235"/>
      <c r="M13" s="243"/>
      <c r="O13" s="24"/>
      <c r="Q13" s="699"/>
      <c r="R13" s="286"/>
      <c r="S13" s="286"/>
      <c r="T13" s="286"/>
      <c r="U13" s="660"/>
      <c r="V13" s="12"/>
      <c r="X13" s="678">
        <v>3.8</v>
      </c>
      <c r="Y13" s="679">
        <v>43</v>
      </c>
      <c r="Z13" s="679">
        <v>80.7</v>
      </c>
      <c r="AA13" s="680"/>
      <c r="AB13" s="712"/>
      <c r="AC13" s="681">
        <v>36</v>
      </c>
      <c r="AD13" s="682">
        <v>79.5</v>
      </c>
      <c r="AE13" s="680">
        <v>79.599999999999994</v>
      </c>
      <c r="AF13" s="680">
        <v>81</v>
      </c>
      <c r="AG13" s="713"/>
      <c r="AH13" s="701"/>
      <c r="AI13" s="701"/>
      <c r="AJ13" s="701"/>
      <c r="AK13" s="701"/>
      <c r="AL13" s="701"/>
      <c r="AM13" s="701"/>
      <c r="AN13" s="701"/>
      <c r="AO13" s="701"/>
      <c r="AP13" s="701"/>
      <c r="AQ13" s="702"/>
    </row>
    <row r="14" spans="5:43" ht="15" x14ac:dyDescent="0.2">
      <c r="E14" s="12" t="s">
        <v>1252</v>
      </c>
      <c r="F14" s="233"/>
      <c r="G14" s="233"/>
      <c r="H14" s="233"/>
      <c r="I14" s="233"/>
      <c r="J14" s="4"/>
      <c r="K14" s="4"/>
      <c r="L14" s="235"/>
      <c r="M14" s="243"/>
      <c r="O14" s="24"/>
      <c r="Q14" s="699"/>
      <c r="R14" s="286" t="s">
        <v>1225</v>
      </c>
      <c r="S14" s="286"/>
      <c r="T14" s="286"/>
      <c r="U14" s="660"/>
      <c r="V14" s="12"/>
      <c r="X14" s="678">
        <v>5.9</v>
      </c>
      <c r="Y14" s="679">
        <v>74</v>
      </c>
      <c r="Z14" s="679">
        <v>81.5</v>
      </c>
      <c r="AA14" s="680"/>
      <c r="AB14" s="712"/>
      <c r="AC14" s="681">
        <v>61.5</v>
      </c>
      <c r="AD14" s="682">
        <v>79.5</v>
      </c>
      <c r="AE14" s="680">
        <v>79.5</v>
      </c>
      <c r="AF14" s="680">
        <v>80.3</v>
      </c>
      <c r="AG14" s="713"/>
      <c r="AH14" s="701"/>
      <c r="AI14" s="701"/>
      <c r="AJ14" s="701"/>
      <c r="AK14" s="701"/>
      <c r="AL14" s="701"/>
      <c r="AM14" s="701"/>
      <c r="AN14" s="701"/>
      <c r="AO14" s="701"/>
      <c r="AP14" s="701"/>
      <c r="AQ14" s="702"/>
    </row>
    <row r="15" spans="5:43" ht="15" x14ac:dyDescent="0.2">
      <c r="E15" s="1514" t="s">
        <v>1254</v>
      </c>
      <c r="F15" s="1010"/>
      <c r="G15" s="1010"/>
      <c r="H15" s="1010"/>
      <c r="I15" s="1010"/>
      <c r="J15" s="50"/>
      <c r="K15" s="50"/>
      <c r="L15" s="1512"/>
      <c r="M15" s="1513"/>
      <c r="N15" s="25"/>
      <c r="O15" s="26"/>
      <c r="Q15" s="699"/>
      <c r="R15" s="286"/>
      <c r="S15" s="286" t="s">
        <v>1226</v>
      </c>
      <c r="T15" s="286" t="s">
        <v>1227</v>
      </c>
      <c r="U15" s="660"/>
      <c r="V15" s="12"/>
      <c r="X15" s="678">
        <v>9.1999999999999993</v>
      </c>
      <c r="Y15" s="679">
        <v>108</v>
      </c>
      <c r="Z15" s="679">
        <v>83.1</v>
      </c>
      <c r="AA15" s="680"/>
      <c r="AB15" s="712"/>
      <c r="AC15" s="681">
        <v>90</v>
      </c>
      <c r="AD15" s="682">
        <v>79.5</v>
      </c>
      <c r="AE15" s="680">
        <v>78.5</v>
      </c>
      <c r="AF15" s="680">
        <v>79.5</v>
      </c>
      <c r="AG15" s="713"/>
      <c r="AH15" s="701"/>
      <c r="AI15" s="701"/>
      <c r="AJ15" s="701"/>
      <c r="AK15" s="701"/>
      <c r="AL15" s="701"/>
      <c r="AM15" s="701"/>
      <c r="AN15" s="701"/>
      <c r="AO15" s="701"/>
      <c r="AP15" s="701"/>
      <c r="AQ15" s="702"/>
    </row>
    <row r="16" spans="5:43" ht="15" x14ac:dyDescent="0.2">
      <c r="E16" s="74" t="s">
        <v>2709</v>
      </c>
      <c r="F16" s="1399"/>
      <c r="G16" s="1399"/>
      <c r="H16" s="1399"/>
      <c r="I16" s="1399"/>
      <c r="J16" s="276"/>
      <c r="K16" s="276"/>
      <c r="L16" s="1400"/>
      <c r="M16" s="1401"/>
      <c r="N16" s="128"/>
      <c r="O16" s="75"/>
      <c r="Q16" s="699"/>
      <c r="R16" s="286"/>
      <c r="S16" s="286">
        <v>50</v>
      </c>
      <c r="T16" s="286">
        <v>79.5</v>
      </c>
      <c r="U16" s="660"/>
      <c r="V16" s="12"/>
      <c r="X16" s="678"/>
      <c r="Y16" s="679">
        <v>130</v>
      </c>
      <c r="Z16" s="679"/>
      <c r="AA16" s="680"/>
      <c r="AB16" s="712"/>
      <c r="AC16" s="681">
        <v>130</v>
      </c>
      <c r="AD16" s="682">
        <v>79.5</v>
      </c>
      <c r="AE16" s="680">
        <v>78</v>
      </c>
      <c r="AF16" s="680">
        <v>78.2</v>
      </c>
      <c r="AG16" s="713"/>
      <c r="AH16" s="701"/>
      <c r="AI16" s="701"/>
      <c r="AJ16" s="701"/>
      <c r="AK16" s="701"/>
      <c r="AL16" s="701"/>
      <c r="AM16" s="701"/>
      <c r="AN16" s="701"/>
      <c r="AO16" s="701"/>
      <c r="AP16" s="701"/>
      <c r="AQ16" s="702"/>
    </row>
    <row r="17" spans="5:43" x14ac:dyDescent="0.15">
      <c r="F17" s="233"/>
      <c r="G17" s="233"/>
      <c r="H17" s="233"/>
      <c r="I17" s="233"/>
      <c r="J17" s="4"/>
      <c r="K17" s="4"/>
      <c r="L17" s="235"/>
      <c r="M17" s="243"/>
      <c r="Q17" s="699"/>
      <c r="R17" s="286"/>
      <c r="S17" s="286">
        <v>100</v>
      </c>
      <c r="T17" s="286">
        <v>79.5</v>
      </c>
      <c r="U17" s="660"/>
      <c r="V17" s="12"/>
      <c r="X17" s="701"/>
      <c r="Y17" s="701"/>
      <c r="Z17" s="701"/>
      <c r="AA17" s="701"/>
      <c r="AC17" s="729">
        <f>AC16</f>
        <v>130</v>
      </c>
      <c r="AD17" s="729">
        <f t="shared" ref="AD17:AF17" si="2">AD16</f>
        <v>79.5</v>
      </c>
      <c r="AE17" s="729">
        <f t="shared" si="2"/>
        <v>78</v>
      </c>
      <c r="AF17" s="729">
        <f t="shared" si="2"/>
        <v>78.2</v>
      </c>
      <c r="AG17" s="701"/>
      <c r="AH17" s="701"/>
      <c r="AI17" s="701"/>
      <c r="AJ17" s="701"/>
      <c r="AK17" s="701"/>
      <c r="AL17" s="701"/>
      <c r="AM17" s="701"/>
      <c r="AN17" s="701"/>
      <c r="AO17" s="701"/>
      <c r="AP17" s="701"/>
      <c r="AQ17" s="702"/>
    </row>
    <row r="18" spans="5:43" x14ac:dyDescent="0.15">
      <c r="F18" s="233"/>
      <c r="G18" s="233"/>
      <c r="H18" s="233"/>
      <c r="I18" s="233"/>
      <c r="J18" s="4"/>
      <c r="K18" s="4"/>
      <c r="L18" s="235"/>
      <c r="M18" s="243"/>
      <c r="Q18" s="699"/>
      <c r="R18" s="286"/>
      <c r="S18" s="286">
        <v>150</v>
      </c>
      <c r="T18" s="286">
        <v>79.5</v>
      </c>
      <c r="U18" s="660"/>
      <c r="V18" s="12"/>
      <c r="AQ18" s="364"/>
    </row>
    <row r="19" spans="5:43" x14ac:dyDescent="0.15">
      <c r="F19" s="233"/>
      <c r="G19" s="233"/>
      <c r="H19" s="233"/>
      <c r="I19" s="233"/>
      <c r="J19" s="4"/>
      <c r="K19" s="4"/>
      <c r="L19" s="235"/>
      <c r="M19" s="243"/>
      <c r="Q19" s="699"/>
      <c r="R19" s="286"/>
      <c r="S19" s="286">
        <v>200</v>
      </c>
      <c r="T19" s="286">
        <v>79.3</v>
      </c>
      <c r="U19" s="660"/>
      <c r="V19" s="12"/>
      <c r="X19" s="701"/>
      <c r="Y19" s="701"/>
      <c r="Z19" s="701"/>
      <c r="AA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1"/>
      <c r="AN19" s="701"/>
      <c r="AO19" s="701"/>
      <c r="AP19" s="701"/>
      <c r="AQ19" s="702"/>
    </row>
    <row r="20" spans="5:43" x14ac:dyDescent="0.15">
      <c r="E20" s="2" t="s">
        <v>1260</v>
      </c>
      <c r="F20" s="233">
        <f>F3</f>
        <v>1</v>
      </c>
      <c r="G20" s="241" t="str" cm="1">
        <f t="array" ref="G20">INDEX(I4:I10,F20)</f>
        <v>Airfi model 60</v>
      </c>
      <c r="H20" s="233"/>
      <c r="I20" s="233"/>
      <c r="J20" s="4"/>
      <c r="K20" s="4"/>
      <c r="L20" s="235"/>
      <c r="M20" s="243"/>
      <c r="Q20" s="699"/>
      <c r="R20" s="286"/>
      <c r="S20" s="286">
        <v>250</v>
      </c>
      <c r="T20" s="286">
        <v>78.2</v>
      </c>
      <c r="U20" s="660"/>
      <c r="V20" s="12"/>
      <c r="X20" s="701"/>
      <c r="Y20" s="701"/>
      <c r="Z20" s="701"/>
      <c r="AA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1"/>
      <c r="AN20" s="701"/>
      <c r="AO20" s="701"/>
      <c r="AP20" s="701"/>
      <c r="AQ20" s="702"/>
    </row>
    <row r="21" spans="5:43" x14ac:dyDescent="0.15">
      <c r="G21" s="233"/>
      <c r="H21" s="233"/>
      <c r="I21" s="233"/>
      <c r="J21" s="4"/>
      <c r="K21" s="4"/>
      <c r="L21" s="235"/>
      <c r="M21" s="243"/>
      <c r="Q21" s="699"/>
      <c r="R21" s="286"/>
      <c r="S21" s="286">
        <v>300</v>
      </c>
      <c r="T21" s="286">
        <v>77.5</v>
      </c>
      <c r="U21" s="660"/>
      <c r="V21" s="12"/>
      <c r="X21" s="701"/>
      <c r="Y21" s="701"/>
      <c r="Z21" s="701"/>
      <c r="AA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  <c r="AO21" s="701"/>
      <c r="AP21" s="701"/>
      <c r="AQ21" s="702"/>
    </row>
    <row r="22" spans="5:43" ht="15" x14ac:dyDescent="0.2">
      <c r="F22" s="233"/>
      <c r="G22" s="233"/>
      <c r="H22" s="233"/>
      <c r="I22" s="233"/>
      <c r="J22" s="4"/>
      <c r="K22" s="4"/>
      <c r="L22" s="235"/>
      <c r="M22" s="243"/>
      <c r="Q22" s="699"/>
      <c r="R22" s="286"/>
      <c r="S22" s="286">
        <v>350</v>
      </c>
      <c r="T22" s="286">
        <v>77.3</v>
      </c>
      <c r="U22" s="660"/>
      <c r="V22" s="12"/>
      <c r="X22" s="1791" t="s">
        <v>116</v>
      </c>
      <c r="Y22" s="1791"/>
      <c r="Z22" s="1791"/>
      <c r="AA22" s="1792"/>
      <c r="AB22" s="707"/>
      <c r="AC22" s="701"/>
      <c r="AD22" s="701"/>
      <c r="AE22" s="701"/>
      <c r="AF22" s="701"/>
      <c r="AG22" s="708"/>
      <c r="AH22" s="701"/>
      <c r="AI22" s="701"/>
      <c r="AJ22" s="701"/>
      <c r="AK22" s="701"/>
      <c r="AL22" s="701"/>
      <c r="AM22" s="701"/>
      <c r="AN22" s="701"/>
      <c r="AO22" s="701"/>
      <c r="AP22" s="701"/>
      <c r="AQ22" s="702"/>
    </row>
    <row r="23" spans="5:43" ht="48" x14ac:dyDescent="0.2">
      <c r="E23" s="558" t="s">
        <v>1258</v>
      </c>
      <c r="F23" s="558" t="s">
        <v>1261</v>
      </c>
      <c r="G23" s="558" t="s">
        <v>1257</v>
      </c>
      <c r="H23" s="628" t="s">
        <v>1259</v>
      </c>
      <c r="I23" s="233"/>
      <c r="J23" s="4"/>
      <c r="K23" s="4"/>
      <c r="L23" s="235"/>
      <c r="M23" s="243"/>
      <c r="Q23" s="699"/>
      <c r="R23" s="286"/>
      <c r="S23" s="286"/>
      <c r="T23" s="286"/>
      <c r="U23" s="660"/>
      <c r="V23" s="12"/>
      <c r="X23" s="674" t="s">
        <v>1216</v>
      </c>
      <c r="Y23" s="675" t="s">
        <v>1217</v>
      </c>
      <c r="Z23" s="676" t="s">
        <v>1228</v>
      </c>
      <c r="AA23" s="677"/>
      <c r="AB23" s="710"/>
      <c r="AC23" s="677" t="s">
        <v>1219</v>
      </c>
      <c r="AD23" s="677" t="s">
        <v>1229</v>
      </c>
      <c r="AE23" s="677" t="s">
        <v>1230</v>
      </c>
      <c r="AF23" s="677" t="s">
        <v>1231</v>
      </c>
      <c r="AG23" s="711"/>
      <c r="AH23" s="701"/>
      <c r="AI23" s="701"/>
      <c r="AJ23" s="701"/>
      <c r="AK23" s="701"/>
      <c r="AL23" s="701"/>
      <c r="AM23" s="701"/>
      <c r="AN23" s="701"/>
      <c r="AO23" s="701"/>
      <c r="AP23" s="701"/>
      <c r="AQ23" s="702"/>
    </row>
    <row r="24" spans="5:43" ht="15" x14ac:dyDescent="0.2">
      <c r="E24" s="344">
        <f>IF($F$20=1,AC11,IF($F$20=2,AC24,IF($F$20=3,AC48,IF(OR($F$20=4,$F$20=5),AC60,IF($F$20=7,AC71,AC36)))))</f>
        <v>18</v>
      </c>
      <c r="F24" s="344">
        <f t="shared" ref="F24:H30" si="3">IF($F$20=1,AD11,IF($F$20=2,AD24,IF($F$20=3,AD48,IF(OR($F$20=4,$F$20=5),AD60,IF($F$20=7,AD71,AD36)))))</f>
        <v>79.5</v>
      </c>
      <c r="G24" s="609">
        <f t="shared" si="3"/>
        <v>79.8</v>
      </c>
      <c r="H24" s="609">
        <f t="shared" si="3"/>
        <v>81.75</v>
      </c>
      <c r="I24" s="233"/>
      <c r="J24" s="4"/>
      <c r="K24" s="4"/>
      <c r="L24" s="235"/>
      <c r="M24" s="243"/>
      <c r="Q24" s="699"/>
      <c r="R24" s="286"/>
      <c r="S24" s="286"/>
      <c r="T24" s="286"/>
      <c r="U24" s="660"/>
      <c r="V24" s="12"/>
      <c r="X24" s="678"/>
      <c r="Y24" s="679">
        <v>25</v>
      </c>
      <c r="Z24" s="679"/>
      <c r="AA24" s="680"/>
      <c r="AB24" s="712"/>
      <c r="AC24" s="681">
        <v>18</v>
      </c>
      <c r="AD24" s="682">
        <v>82.5</v>
      </c>
      <c r="AE24" s="680">
        <v>82.5</v>
      </c>
      <c r="AF24" s="680">
        <v>84</v>
      </c>
      <c r="AG24" s="713"/>
      <c r="AH24" s="701"/>
      <c r="AI24" s="701"/>
      <c r="AJ24" s="701"/>
      <c r="AK24" s="701"/>
      <c r="AL24" s="701"/>
      <c r="AM24" s="701"/>
      <c r="AN24" s="701"/>
      <c r="AO24" s="701"/>
      <c r="AP24" s="701"/>
      <c r="AQ24" s="702"/>
    </row>
    <row r="25" spans="5:43" ht="15" x14ac:dyDescent="0.2">
      <c r="E25" s="344">
        <f t="shared" ref="E25:E30" si="4">IF($F$20=1,AC12,IF($F$20=2,AC25,IF($F$20=3,AC49,IF(OR($F$20=4,$F$20=5),AC61,IF($F$20=7,AC72,AC37)))))</f>
        <v>28</v>
      </c>
      <c r="F25" s="344">
        <f t="shared" si="3"/>
        <v>79.5</v>
      </c>
      <c r="G25" s="609">
        <f t="shared" si="3"/>
        <v>79.7</v>
      </c>
      <c r="H25" s="609">
        <f t="shared" si="3"/>
        <v>81.5</v>
      </c>
      <c r="I25" s="233"/>
      <c r="J25" s="4"/>
      <c r="K25" s="4"/>
      <c r="L25" s="235"/>
      <c r="M25" s="243"/>
      <c r="Q25" s="699"/>
      <c r="R25" s="286"/>
      <c r="S25" s="286"/>
      <c r="T25" s="286"/>
      <c r="U25" s="660"/>
      <c r="V25" s="12"/>
      <c r="X25" s="678">
        <v>3.6</v>
      </c>
      <c r="Y25" s="679">
        <v>34</v>
      </c>
      <c r="Z25" s="679">
        <v>82.7</v>
      </c>
      <c r="AA25" s="680"/>
      <c r="AB25" s="712"/>
      <c r="AC25" s="681">
        <v>29</v>
      </c>
      <c r="AD25" s="682">
        <v>82.5</v>
      </c>
      <c r="AE25" s="680">
        <v>82.5</v>
      </c>
      <c r="AF25" s="680">
        <v>83.7</v>
      </c>
      <c r="AG25" s="713"/>
      <c r="AH25" s="701"/>
      <c r="AI25" s="701"/>
      <c r="AJ25" s="701"/>
      <c r="AK25" s="701"/>
      <c r="AL25" s="701"/>
      <c r="AM25" s="701"/>
      <c r="AN25" s="701"/>
      <c r="AO25" s="701"/>
      <c r="AP25" s="701"/>
      <c r="AQ25" s="702"/>
    </row>
    <row r="26" spans="5:43" ht="15" x14ac:dyDescent="0.2">
      <c r="E26" s="344">
        <f t="shared" si="4"/>
        <v>36</v>
      </c>
      <c r="F26" s="344">
        <f t="shared" si="3"/>
        <v>79.5</v>
      </c>
      <c r="G26" s="609">
        <f t="shared" si="3"/>
        <v>79.599999999999994</v>
      </c>
      <c r="H26" s="609">
        <f t="shared" si="3"/>
        <v>81</v>
      </c>
      <c r="I26" s="233"/>
      <c r="J26" s="4"/>
      <c r="K26" s="4"/>
      <c r="L26" s="235"/>
      <c r="M26" s="243"/>
      <c r="Q26" s="699"/>
      <c r="R26" s="286"/>
      <c r="S26" s="286"/>
      <c r="T26" s="286"/>
      <c r="U26" s="660"/>
      <c r="V26" s="12"/>
      <c r="X26" s="678">
        <v>4.2</v>
      </c>
      <c r="Y26" s="679">
        <v>43</v>
      </c>
      <c r="Z26" s="679">
        <v>82.3</v>
      </c>
      <c r="AA26" s="680"/>
      <c r="AB26" s="712"/>
      <c r="AC26" s="681">
        <v>36</v>
      </c>
      <c r="AD26" s="682">
        <v>82.5</v>
      </c>
      <c r="AE26" s="680">
        <v>82.5</v>
      </c>
      <c r="AF26" s="680">
        <v>83.5</v>
      </c>
      <c r="AG26" s="713"/>
      <c r="AH26" s="701"/>
      <c r="AI26" s="701"/>
      <c r="AJ26" s="701"/>
      <c r="AK26" s="701"/>
      <c r="AL26" s="701"/>
      <c r="AM26" s="701"/>
      <c r="AN26" s="701"/>
      <c r="AO26" s="701"/>
      <c r="AP26" s="701"/>
      <c r="AQ26" s="702"/>
    </row>
    <row r="27" spans="5:43" ht="15" x14ac:dyDescent="0.2">
      <c r="E27" s="344">
        <f t="shared" si="4"/>
        <v>61.5</v>
      </c>
      <c r="F27" s="344">
        <f t="shared" si="3"/>
        <v>79.5</v>
      </c>
      <c r="G27" s="609">
        <f t="shared" si="3"/>
        <v>79.5</v>
      </c>
      <c r="H27" s="609">
        <f t="shared" si="3"/>
        <v>80.3</v>
      </c>
      <c r="I27" s="233"/>
      <c r="J27" s="4"/>
      <c r="K27" s="4"/>
      <c r="L27" s="235"/>
      <c r="M27" s="243"/>
      <c r="Q27" s="699"/>
      <c r="R27" s="286"/>
      <c r="S27" s="286"/>
      <c r="T27" s="286"/>
      <c r="U27" s="660"/>
      <c r="V27" s="12"/>
      <c r="X27" s="678">
        <v>6.1</v>
      </c>
      <c r="Y27" s="679">
        <v>71</v>
      </c>
      <c r="Z27" s="679">
        <v>83.2</v>
      </c>
      <c r="AA27" s="680"/>
      <c r="AB27" s="712"/>
      <c r="AC27" s="681">
        <v>60</v>
      </c>
      <c r="AD27" s="682">
        <v>82.5</v>
      </c>
      <c r="AE27" s="680">
        <v>82.4</v>
      </c>
      <c r="AF27" s="680">
        <v>83.2</v>
      </c>
      <c r="AG27" s="713"/>
      <c r="AH27" s="701"/>
      <c r="AI27" s="701"/>
      <c r="AJ27" s="701"/>
      <c r="AK27" s="701"/>
      <c r="AL27" s="701"/>
      <c r="AM27" s="701"/>
      <c r="AN27" s="701"/>
      <c r="AO27" s="701"/>
      <c r="AP27" s="701"/>
      <c r="AQ27" s="702"/>
    </row>
    <row r="28" spans="5:43" ht="15" x14ac:dyDescent="0.2">
      <c r="E28" s="344">
        <f t="shared" si="4"/>
        <v>90</v>
      </c>
      <c r="F28" s="344">
        <f t="shared" si="3"/>
        <v>79.5</v>
      </c>
      <c r="G28" s="609">
        <f t="shared" si="3"/>
        <v>78.5</v>
      </c>
      <c r="H28" s="609">
        <f t="shared" si="3"/>
        <v>79.5</v>
      </c>
      <c r="I28" s="233"/>
      <c r="J28" s="4"/>
      <c r="K28" s="4"/>
      <c r="L28" s="235"/>
      <c r="M28" s="243"/>
      <c r="Q28" s="714"/>
      <c r="R28" s="683"/>
      <c r="S28" s="683"/>
      <c r="T28" s="683"/>
      <c r="U28" s="684"/>
      <c r="V28" s="12"/>
      <c r="X28" s="678">
        <v>9.6999999999999993</v>
      </c>
      <c r="Y28" s="679">
        <v>107</v>
      </c>
      <c r="Z28" s="679">
        <v>84.8</v>
      </c>
      <c r="AA28" s="680"/>
      <c r="AB28" s="712"/>
      <c r="AC28" s="681">
        <v>90</v>
      </c>
      <c r="AD28" s="682">
        <v>82.5</v>
      </c>
      <c r="AE28" s="680">
        <v>81.5</v>
      </c>
      <c r="AF28" s="680">
        <v>82</v>
      </c>
      <c r="AG28" s="713"/>
      <c r="AH28" s="701"/>
      <c r="AI28" s="701"/>
      <c r="AJ28" s="701"/>
      <c r="AK28" s="701"/>
      <c r="AL28" s="701"/>
      <c r="AM28" s="701"/>
      <c r="AN28" s="701"/>
      <c r="AO28" s="701"/>
      <c r="AP28" s="701"/>
      <c r="AQ28" s="702"/>
    </row>
    <row r="29" spans="5:43" ht="15" x14ac:dyDescent="0.2">
      <c r="E29" s="344">
        <f t="shared" si="4"/>
        <v>130</v>
      </c>
      <c r="F29" s="344">
        <f t="shared" si="3"/>
        <v>79.5</v>
      </c>
      <c r="G29" s="609">
        <f t="shared" si="3"/>
        <v>78</v>
      </c>
      <c r="H29" s="609">
        <f t="shared" si="3"/>
        <v>78.2</v>
      </c>
      <c r="I29" s="233"/>
      <c r="J29" s="4"/>
      <c r="K29" s="4"/>
      <c r="L29" s="235"/>
      <c r="M29" s="243"/>
      <c r="Q29" s="232"/>
      <c r="X29" s="679"/>
      <c r="Y29" s="679">
        <v>130</v>
      </c>
      <c r="Z29" s="679"/>
      <c r="AA29" s="680"/>
      <c r="AB29" s="712"/>
      <c r="AC29" s="681">
        <v>130</v>
      </c>
      <c r="AD29" s="682">
        <v>82.5</v>
      </c>
      <c r="AE29" s="680">
        <v>80</v>
      </c>
      <c r="AF29" s="680">
        <v>80.2</v>
      </c>
      <c r="AG29" s="713"/>
      <c r="AH29" s="701"/>
      <c r="AI29" s="701"/>
      <c r="AJ29" s="701"/>
      <c r="AK29" s="701"/>
      <c r="AL29" s="701"/>
      <c r="AM29" s="701"/>
      <c r="AN29" s="701"/>
      <c r="AO29" s="701"/>
      <c r="AP29" s="701"/>
      <c r="AQ29" s="702"/>
    </row>
    <row r="30" spans="5:43" x14ac:dyDescent="0.15">
      <c r="E30" s="344">
        <f t="shared" si="4"/>
        <v>130</v>
      </c>
      <c r="F30" s="344">
        <f t="shared" si="3"/>
        <v>79.5</v>
      </c>
      <c r="G30" s="609">
        <f t="shared" si="3"/>
        <v>78</v>
      </c>
      <c r="H30" s="609">
        <f t="shared" si="3"/>
        <v>78.2</v>
      </c>
      <c r="I30" s="233"/>
      <c r="J30" s="4"/>
      <c r="K30" s="4"/>
      <c r="L30" s="235"/>
      <c r="M30" s="243"/>
      <c r="Q30" s="232"/>
      <c r="X30" s="701"/>
      <c r="Y30" s="701"/>
      <c r="Z30" s="701"/>
      <c r="AA30" s="701"/>
      <c r="AC30" s="729">
        <f>AC29</f>
        <v>130</v>
      </c>
      <c r="AD30" s="729">
        <f t="shared" ref="AD30:AF30" si="5">AD29</f>
        <v>82.5</v>
      </c>
      <c r="AE30" s="729">
        <f t="shared" si="5"/>
        <v>80</v>
      </c>
      <c r="AF30" s="729">
        <f t="shared" si="5"/>
        <v>80.2</v>
      </c>
      <c r="AG30" s="701"/>
      <c r="AH30" s="701"/>
      <c r="AI30" s="701"/>
      <c r="AJ30" s="701"/>
      <c r="AK30" s="701"/>
      <c r="AL30" s="701"/>
      <c r="AM30" s="701"/>
      <c r="AN30" s="701"/>
      <c r="AO30" s="701"/>
      <c r="AP30" s="701"/>
      <c r="AQ30" s="702"/>
    </row>
    <row r="31" spans="5:43" x14ac:dyDescent="0.15">
      <c r="F31" s="233"/>
      <c r="G31" s="233"/>
      <c r="H31" s="233"/>
      <c r="I31" s="233"/>
      <c r="J31" s="4"/>
      <c r="K31" s="4"/>
      <c r="L31" s="235"/>
      <c r="M31" s="243"/>
      <c r="Q31" s="232"/>
      <c r="AQ31" s="364"/>
    </row>
    <row r="32" spans="5:43" x14ac:dyDescent="0.15">
      <c r="F32" s="4" t="s">
        <v>289</v>
      </c>
      <c r="G32" s="628" t="s">
        <v>1256</v>
      </c>
      <c r="H32" s="628" t="s">
        <v>1259</v>
      </c>
      <c r="I32" s="233"/>
      <c r="J32" s="4"/>
      <c r="K32" s="4"/>
      <c r="L32" s="235"/>
      <c r="M32" s="243"/>
      <c r="Q32" s="232"/>
      <c r="X32" s="701"/>
      <c r="Y32" s="701"/>
      <c r="Z32" s="701"/>
      <c r="AA32" s="701"/>
      <c r="AC32" s="701"/>
      <c r="AD32" s="701"/>
      <c r="AE32" s="701"/>
      <c r="AF32" s="701"/>
      <c r="AG32" s="701"/>
      <c r="AH32" s="701"/>
      <c r="AI32" s="701"/>
      <c r="AJ32" s="701"/>
      <c r="AK32" s="701"/>
      <c r="AL32" s="701"/>
      <c r="AM32" s="701"/>
      <c r="AN32" s="701"/>
      <c r="AO32" s="701"/>
      <c r="AP32" s="701"/>
      <c r="AQ32" s="702"/>
    </row>
    <row r="33" spans="5:43" x14ac:dyDescent="0.15">
      <c r="E33" s="95" t="s">
        <v>450</v>
      </c>
      <c r="F33" s="344">
        <f>E24</f>
        <v>18</v>
      </c>
      <c r="G33" s="628">
        <f>G24</f>
        <v>79.8</v>
      </c>
      <c r="H33" s="628">
        <f>H24</f>
        <v>81.75</v>
      </c>
      <c r="I33" s="233"/>
      <c r="J33" s="4"/>
      <c r="K33" s="4"/>
      <c r="L33" s="235"/>
      <c r="M33" s="243"/>
      <c r="Q33" s="232"/>
      <c r="X33" s="701"/>
      <c r="Y33" s="701"/>
      <c r="Z33" s="701"/>
      <c r="AA33" s="701"/>
      <c r="AC33" s="701"/>
      <c r="AD33" s="701"/>
      <c r="AE33" s="701"/>
      <c r="AF33" s="701"/>
      <c r="AG33" s="701"/>
      <c r="AH33" s="701"/>
      <c r="AI33" s="701"/>
      <c r="AJ33" s="701"/>
      <c r="AK33" s="701"/>
      <c r="AL33" s="701"/>
      <c r="AM33" s="701"/>
      <c r="AN33" s="701"/>
      <c r="AO33" s="701"/>
      <c r="AP33" s="701"/>
      <c r="AQ33" s="702"/>
    </row>
    <row r="34" spans="5:43" ht="15" x14ac:dyDescent="0.2">
      <c r="E34" s="95" t="s">
        <v>22</v>
      </c>
      <c r="F34" s="344">
        <f>MAX(E24:E30)</f>
        <v>130</v>
      </c>
      <c r="G34" s="617">
        <f>G30</f>
        <v>78</v>
      </c>
      <c r="H34" s="617">
        <f>H30</f>
        <v>78.2</v>
      </c>
      <c r="I34" s="233"/>
      <c r="J34" s="4"/>
      <c r="K34" s="4"/>
      <c r="L34" s="235"/>
      <c r="M34" s="243"/>
      <c r="Q34" s="232"/>
      <c r="X34" s="1791" t="s">
        <v>585</v>
      </c>
      <c r="Y34" s="1791"/>
      <c r="Z34" s="1791"/>
      <c r="AA34" s="1792"/>
      <c r="AB34" s="707"/>
      <c r="AC34" s="708"/>
      <c r="AD34" s="708"/>
      <c r="AE34" s="708"/>
      <c r="AF34" s="708"/>
      <c r="AG34" s="708"/>
      <c r="AH34" s="701"/>
      <c r="AI34" s="701"/>
      <c r="AJ34" s="701"/>
      <c r="AK34" s="701"/>
      <c r="AL34" s="701"/>
      <c r="AM34" s="701"/>
      <c r="AN34" s="701"/>
      <c r="AO34" s="701"/>
      <c r="AP34" s="701"/>
      <c r="AQ34" s="702"/>
    </row>
    <row r="35" spans="5:43" ht="48" x14ac:dyDescent="0.2">
      <c r="F35" s="233"/>
      <c r="G35" s="233"/>
      <c r="H35" s="233"/>
      <c r="I35" s="233"/>
      <c r="J35" s="4"/>
      <c r="K35" s="4"/>
      <c r="L35" s="235"/>
      <c r="M35" s="243"/>
      <c r="Q35" s="232"/>
      <c r="X35" s="674" t="s">
        <v>1216</v>
      </c>
      <c r="Y35" s="675" t="s">
        <v>1217</v>
      </c>
      <c r="Z35" s="676" t="s">
        <v>1232</v>
      </c>
      <c r="AA35" s="677"/>
      <c r="AB35" s="710"/>
      <c r="AC35" s="677" t="s">
        <v>1219</v>
      </c>
      <c r="AD35" s="677" t="s">
        <v>1233</v>
      </c>
      <c r="AE35" s="677" t="s">
        <v>1234</v>
      </c>
      <c r="AF35" s="677" t="s">
        <v>1235</v>
      </c>
      <c r="AG35" s="711"/>
      <c r="AH35" s="701"/>
      <c r="AI35" s="701"/>
      <c r="AJ35" s="701"/>
      <c r="AK35" s="701"/>
      <c r="AL35" s="701"/>
      <c r="AM35" s="701"/>
      <c r="AN35" s="701"/>
      <c r="AO35" s="701"/>
      <c r="AP35" s="701"/>
      <c r="AQ35" s="702"/>
    </row>
    <row r="36" spans="5:43" ht="15" x14ac:dyDescent="0.2">
      <c r="E36" t="s">
        <v>1262</v>
      </c>
      <c r="F36" s="80">
        <f>F53</f>
        <v>9.7222222222222214</v>
      </c>
      <c r="H36" s="233"/>
      <c r="I36" s="233"/>
      <c r="J36" s="4"/>
      <c r="K36" s="4"/>
      <c r="L36" s="235"/>
      <c r="M36" s="243"/>
      <c r="Q36" s="232"/>
      <c r="X36" s="678"/>
      <c r="Y36" s="679">
        <v>25</v>
      </c>
      <c r="Z36" s="679"/>
      <c r="AA36" s="680"/>
      <c r="AB36" s="712"/>
      <c r="AC36" s="681">
        <v>18</v>
      </c>
      <c r="AD36" s="682">
        <v>77.5</v>
      </c>
      <c r="AE36" s="680">
        <v>77.5</v>
      </c>
      <c r="AF36" s="680">
        <v>79.5</v>
      </c>
      <c r="AG36" s="713"/>
      <c r="AH36" s="701"/>
      <c r="AI36" s="701"/>
      <c r="AJ36" s="701"/>
      <c r="AK36" s="701"/>
      <c r="AL36" s="701"/>
      <c r="AM36" s="701"/>
      <c r="AN36" s="701"/>
      <c r="AO36" s="701"/>
      <c r="AP36" s="701"/>
      <c r="AQ36" s="702"/>
    </row>
    <row r="37" spans="5:43" ht="15" x14ac:dyDescent="0.2">
      <c r="E37" s="2" t="s">
        <v>1263</v>
      </c>
      <c r="F37" s="730">
        <f>IF(F36&lt;E24,E24,IF(F36&gt;F34,F34,F36))</f>
        <v>18</v>
      </c>
      <c r="I37" s="233"/>
      <c r="J37" s="4"/>
      <c r="K37" s="4"/>
      <c r="L37" s="235"/>
      <c r="M37" s="243"/>
      <c r="Q37" s="232"/>
      <c r="X37" s="685"/>
      <c r="Y37" s="679">
        <v>34</v>
      </c>
      <c r="Z37" s="679">
        <v>77.5</v>
      </c>
      <c r="AA37" s="680"/>
      <c r="AB37" s="712"/>
      <c r="AC37" s="681">
        <v>29</v>
      </c>
      <c r="AD37" s="682">
        <v>77.5</v>
      </c>
      <c r="AE37" s="680">
        <v>77.5</v>
      </c>
      <c r="AF37" s="680">
        <v>79</v>
      </c>
      <c r="AG37" s="713"/>
      <c r="AH37" s="701"/>
      <c r="AI37" s="701"/>
      <c r="AJ37" s="701"/>
      <c r="AK37" s="701"/>
      <c r="AL37" s="701"/>
      <c r="AM37" s="701"/>
      <c r="AN37" s="701"/>
      <c r="AO37" s="701"/>
      <c r="AP37" s="701"/>
      <c r="AQ37" s="702"/>
    </row>
    <row r="38" spans="5:43" ht="15" x14ac:dyDescent="0.2">
      <c r="E38" s="2" t="s">
        <v>1256</v>
      </c>
      <c r="F38" s="731">
        <f>IF(F36&lt;F33,G33,IF(F36&gt;F34,G34,_xlfn.FORECAST.LINEAR(F36,F43:F44,E43:E44)))</f>
        <v>79.8</v>
      </c>
      <c r="G38" s="732">
        <f>F38/100</f>
        <v>0.79799999999999993</v>
      </c>
      <c r="I38" s="233"/>
      <c r="J38" s="4"/>
      <c r="K38" s="4"/>
      <c r="L38" s="235"/>
      <c r="M38" s="243"/>
      <c r="Q38" s="232"/>
      <c r="X38" s="685"/>
      <c r="Y38" s="679">
        <v>43</v>
      </c>
      <c r="Z38" s="679">
        <v>77.5</v>
      </c>
      <c r="AA38" s="680"/>
      <c r="AB38" s="712"/>
      <c r="AC38" s="681">
        <v>36</v>
      </c>
      <c r="AD38" s="682">
        <v>77.5</v>
      </c>
      <c r="AE38" s="680">
        <v>77.5</v>
      </c>
      <c r="AF38" s="680">
        <v>78.5</v>
      </c>
      <c r="AG38" s="713"/>
      <c r="AH38" s="701"/>
      <c r="AI38" s="701"/>
      <c r="AJ38" s="701"/>
      <c r="AK38" s="701"/>
      <c r="AL38" s="701"/>
      <c r="AM38" s="701"/>
      <c r="AN38" s="701"/>
      <c r="AO38" s="701"/>
      <c r="AP38" s="701"/>
      <c r="AQ38" s="702"/>
    </row>
    <row r="39" spans="5:43" ht="15" x14ac:dyDescent="0.2">
      <c r="E39" s="2" t="s">
        <v>1259</v>
      </c>
      <c r="F39" s="731">
        <f>IF(F36&lt;F33,H33,IF(F36&gt;F34,H34,_xlfn.FORECAST.LINEAR(F36,G43:G44,E43:E44)))</f>
        <v>81.75</v>
      </c>
      <c r="G39" s="732">
        <f>F39/100</f>
        <v>0.8175</v>
      </c>
      <c r="H39" s="233"/>
      <c r="I39" s="233"/>
      <c r="J39" s="4"/>
      <c r="K39" s="4"/>
      <c r="L39" s="235"/>
      <c r="M39" s="243"/>
      <c r="Q39" s="232"/>
      <c r="X39" s="685"/>
      <c r="Y39" s="679">
        <v>71</v>
      </c>
      <c r="Z39" s="679">
        <v>77.5</v>
      </c>
      <c r="AA39" s="680"/>
      <c r="AB39" s="712"/>
      <c r="AC39" s="681">
        <v>60</v>
      </c>
      <c r="AD39" s="682">
        <v>77.5</v>
      </c>
      <c r="AE39" s="680">
        <v>77</v>
      </c>
      <c r="AF39" s="680">
        <v>77.5</v>
      </c>
      <c r="AG39" s="713"/>
      <c r="AH39" s="701"/>
      <c r="AI39" s="701"/>
      <c r="AJ39" s="701"/>
      <c r="AK39" s="701"/>
      <c r="AL39" s="701"/>
      <c r="AM39" s="701"/>
      <c r="AN39" s="701"/>
      <c r="AO39" s="701"/>
      <c r="AP39" s="701"/>
      <c r="AQ39" s="702"/>
    </row>
    <row r="40" spans="5:43" ht="15" x14ac:dyDescent="0.2">
      <c r="H40" s="233"/>
      <c r="I40" s="233"/>
      <c r="J40" s="4"/>
      <c r="K40" s="4"/>
      <c r="L40" s="235"/>
      <c r="M40" s="243"/>
      <c r="Q40" s="232"/>
      <c r="X40" s="686"/>
      <c r="Y40" s="679">
        <v>107</v>
      </c>
      <c r="Z40" s="679">
        <v>77.5</v>
      </c>
      <c r="AA40" s="680"/>
      <c r="AB40" s="712"/>
      <c r="AC40" s="681">
        <v>90</v>
      </c>
      <c r="AD40" s="682">
        <v>77.5</v>
      </c>
      <c r="AE40" s="680">
        <v>75.5</v>
      </c>
      <c r="AF40" s="680">
        <v>76</v>
      </c>
      <c r="AG40" s="713"/>
      <c r="AH40" s="701"/>
      <c r="AI40" s="701"/>
      <c r="AJ40" s="701"/>
      <c r="AK40" s="701"/>
      <c r="AL40" s="701"/>
      <c r="AM40" s="701"/>
      <c r="AN40" s="701"/>
      <c r="AO40" s="701"/>
      <c r="AP40" s="701"/>
      <c r="AQ40" s="702"/>
    </row>
    <row r="41" spans="5:43" ht="15" x14ac:dyDescent="0.2">
      <c r="H41" s="233"/>
      <c r="I41" s="233"/>
      <c r="J41" s="4"/>
      <c r="K41" s="4"/>
      <c r="L41" s="235"/>
      <c r="M41" s="243"/>
      <c r="Q41" s="232"/>
      <c r="X41" s="679"/>
      <c r="Y41" s="679">
        <v>140</v>
      </c>
      <c r="Z41" s="679"/>
      <c r="AA41" s="680"/>
      <c r="AB41" s="712"/>
      <c r="AC41" s="681">
        <v>140</v>
      </c>
      <c r="AD41" s="682">
        <v>77.5</v>
      </c>
      <c r="AE41" s="680">
        <v>73.5</v>
      </c>
      <c r="AF41" s="680">
        <v>74</v>
      </c>
      <c r="AG41" s="713"/>
      <c r="AH41" s="701"/>
      <c r="AI41" s="701"/>
      <c r="AJ41" s="701"/>
      <c r="AK41" s="701"/>
      <c r="AL41" s="701"/>
      <c r="AM41" s="701"/>
      <c r="AN41" s="701"/>
      <c r="AO41" s="701"/>
      <c r="AP41" s="701"/>
      <c r="AQ41" s="702"/>
    </row>
    <row r="42" spans="5:43" ht="15" x14ac:dyDescent="0.2">
      <c r="E42" s="2" t="s">
        <v>1264</v>
      </c>
      <c r="F42" s="344" t="s">
        <v>1256</v>
      </c>
      <c r="G42" s="344" t="s">
        <v>1259</v>
      </c>
      <c r="H42" s="233"/>
      <c r="I42" s="233"/>
      <c r="J42" s="4"/>
      <c r="K42" s="4"/>
      <c r="L42" s="235"/>
      <c r="M42" s="243"/>
      <c r="Q42" s="232"/>
      <c r="X42" s="701"/>
      <c r="Y42" s="701"/>
      <c r="Z42" s="715"/>
      <c r="AA42" s="701"/>
      <c r="AC42" s="729">
        <f>AC41</f>
        <v>140</v>
      </c>
      <c r="AD42" s="729">
        <f t="shared" ref="AD42" si="6">AD41</f>
        <v>77.5</v>
      </c>
      <c r="AE42" s="729">
        <f t="shared" ref="AE42" si="7">AE41</f>
        <v>73.5</v>
      </c>
      <c r="AF42" s="729">
        <f t="shared" ref="AF42" si="8">AF41</f>
        <v>74</v>
      </c>
      <c r="AG42" s="701"/>
      <c r="AH42" s="701"/>
      <c r="AI42" s="701"/>
      <c r="AJ42" s="701"/>
      <c r="AK42" s="701"/>
      <c r="AL42" s="701"/>
      <c r="AM42" s="701"/>
      <c r="AN42" s="701"/>
      <c r="AO42" s="701"/>
      <c r="AP42" s="701"/>
      <c r="AQ42" s="702"/>
    </row>
    <row r="43" spans="5:43" x14ac:dyDescent="0.15">
      <c r="E43" s="74">
        <f>INDEX(E24:E30,MATCH($F$37,$E$24:$E$30,1))</f>
        <v>18</v>
      </c>
      <c r="F43" s="344">
        <f>INDEX(G24:G30,MATCH($F$37,$E$24:$E$30))</f>
        <v>79.8</v>
      </c>
      <c r="G43" s="344">
        <f>INDEX(H24:H30,MATCH($F$37,$E$24:$E$30))</f>
        <v>81.75</v>
      </c>
      <c r="H43" s="233"/>
      <c r="I43" s="233"/>
      <c r="J43" s="4"/>
      <c r="K43" s="4"/>
      <c r="L43" s="235"/>
      <c r="M43" s="243"/>
      <c r="Q43" s="232"/>
      <c r="AQ43" s="364"/>
    </row>
    <row r="44" spans="5:43" x14ac:dyDescent="0.15">
      <c r="E44" s="74" cm="1">
        <f t="array" ref="E44">INDEX(E24:E30,MATCH($F$37,$E$24:$E$30,1)+1)</f>
        <v>28</v>
      </c>
      <c r="F44" s="344" cm="1">
        <f t="array" ref="F44">INDEX(G24:G30,MATCH($F$37,$E$24:$E$30)+1)</f>
        <v>79.7</v>
      </c>
      <c r="G44" s="344" cm="1">
        <f t="array" ref="G44">INDEX(H24:H30,MATCH($F$37,$E$24:$E$30)+1)</f>
        <v>81.5</v>
      </c>
      <c r="H44" s="233"/>
      <c r="I44" s="233"/>
      <c r="J44" s="4"/>
      <c r="K44" s="4"/>
      <c r="L44" s="235"/>
      <c r="M44" s="243"/>
      <c r="Q44" s="232"/>
      <c r="X44" s="701"/>
      <c r="Y44" s="701"/>
      <c r="Z44" s="701"/>
      <c r="AA44" s="701"/>
      <c r="AC44" s="701"/>
      <c r="AD44" s="701"/>
      <c r="AE44" s="701"/>
      <c r="AF44" s="701"/>
      <c r="AG44" s="701"/>
      <c r="AH44" s="701"/>
      <c r="AI44" s="701"/>
      <c r="AJ44" s="701"/>
      <c r="AK44" s="701"/>
      <c r="AL44" s="701"/>
      <c r="AM44" s="701"/>
      <c r="AN44" s="701"/>
      <c r="AO44" s="701"/>
      <c r="AP44" s="701"/>
      <c r="AQ44" s="702"/>
    </row>
    <row r="45" spans="5:43" x14ac:dyDescent="0.15">
      <c r="F45" s="233"/>
      <c r="G45" s="233"/>
      <c r="H45" s="233"/>
      <c r="I45" s="233"/>
      <c r="J45" s="4"/>
      <c r="K45" s="4"/>
      <c r="L45" s="235"/>
      <c r="M45" s="243"/>
      <c r="Q45" s="232"/>
      <c r="X45" s="701"/>
      <c r="Y45" s="701"/>
      <c r="Z45" s="701"/>
      <c r="AA45" s="701"/>
      <c r="AC45" s="701"/>
      <c r="AD45" s="701"/>
      <c r="AE45" s="701"/>
      <c r="AF45" s="701"/>
      <c r="AG45" s="701"/>
      <c r="AH45" s="701"/>
      <c r="AI45" s="701"/>
      <c r="AJ45" s="701"/>
      <c r="AK45" s="701"/>
      <c r="AL45" s="701"/>
      <c r="AM45" s="701"/>
      <c r="AN45" s="701"/>
      <c r="AO45" s="701"/>
      <c r="AP45" s="701"/>
      <c r="AQ45" s="702"/>
    </row>
    <row r="46" spans="5:43" ht="15" x14ac:dyDescent="0.2">
      <c r="F46" s="233"/>
      <c r="G46" s="233"/>
      <c r="H46" s="233"/>
      <c r="I46" s="233"/>
      <c r="J46" s="4"/>
      <c r="K46" s="4"/>
      <c r="L46" s="235"/>
      <c r="M46" s="243"/>
      <c r="Q46" s="232"/>
      <c r="X46" s="1791" t="s">
        <v>129</v>
      </c>
      <c r="Y46" s="1791"/>
      <c r="Z46" s="1791"/>
      <c r="AA46" s="1792"/>
      <c r="AB46" s="707"/>
      <c r="AC46" s="708"/>
      <c r="AD46" s="708"/>
      <c r="AE46" s="708"/>
      <c r="AF46" s="708"/>
      <c r="AG46" s="708"/>
      <c r="AH46" s="701"/>
      <c r="AI46" s="701"/>
      <c r="AJ46" s="701"/>
      <c r="AK46" s="701"/>
      <c r="AL46" s="701"/>
      <c r="AM46" s="701"/>
      <c r="AN46" s="701"/>
      <c r="AO46" s="701"/>
      <c r="AP46" s="701"/>
      <c r="AQ46" s="702"/>
    </row>
    <row r="47" spans="5:43" ht="48" x14ac:dyDescent="0.2">
      <c r="F47" s="233"/>
      <c r="G47" s="233"/>
      <c r="H47" s="233"/>
      <c r="I47" s="233"/>
      <c r="J47" s="4"/>
      <c r="K47" s="4"/>
      <c r="L47" s="235"/>
      <c r="M47" s="243"/>
      <c r="Q47" s="232"/>
      <c r="X47" s="674" t="s">
        <v>1216</v>
      </c>
      <c r="Y47" s="675" t="s">
        <v>1217</v>
      </c>
      <c r="Z47" s="676" t="s">
        <v>1236</v>
      </c>
      <c r="AA47" s="677"/>
      <c r="AB47" s="710"/>
      <c r="AC47" s="677" t="s">
        <v>1219</v>
      </c>
      <c r="AD47" s="677" t="s">
        <v>1237</v>
      </c>
      <c r="AE47" s="677" t="s">
        <v>1238</v>
      </c>
      <c r="AF47" s="677" t="s">
        <v>1239</v>
      </c>
      <c r="AG47" s="711"/>
      <c r="AH47" s="701"/>
      <c r="AI47" s="701"/>
      <c r="AJ47" s="701"/>
      <c r="AK47" s="701"/>
      <c r="AL47" s="701"/>
      <c r="AM47" s="701"/>
      <c r="AN47" s="701"/>
      <c r="AO47" s="701"/>
      <c r="AP47" s="701"/>
      <c r="AQ47" s="702"/>
    </row>
    <row r="48" spans="5:43" ht="15" x14ac:dyDescent="0.2">
      <c r="E48" t="s">
        <v>1175</v>
      </c>
      <c r="F48" s="233"/>
      <c r="G48" s="233"/>
      <c r="H48" s="233"/>
      <c r="I48" s="233"/>
      <c r="J48" s="4"/>
      <c r="K48" s="4"/>
      <c r="L48" s="235"/>
      <c r="M48" s="243"/>
      <c r="Q48" s="232"/>
      <c r="X48" s="678"/>
      <c r="Y48" s="679">
        <v>25</v>
      </c>
      <c r="Z48" s="679"/>
      <c r="AA48" s="680"/>
      <c r="AB48" s="712"/>
      <c r="AC48" s="681">
        <v>18</v>
      </c>
      <c r="AD48" s="682">
        <v>79.5</v>
      </c>
      <c r="AE48" s="680">
        <v>79.5</v>
      </c>
      <c r="AF48" s="680">
        <v>82</v>
      </c>
      <c r="AG48" s="713"/>
      <c r="AH48" s="701"/>
      <c r="AI48" s="701"/>
      <c r="AJ48" s="701"/>
      <c r="AK48" s="701"/>
      <c r="AL48" s="701"/>
      <c r="AM48" s="701"/>
      <c r="AN48" s="701"/>
      <c r="AO48" s="701"/>
      <c r="AP48" s="701"/>
      <c r="AQ48" s="702"/>
    </row>
    <row r="49" spans="5:43" ht="15" x14ac:dyDescent="0.2">
      <c r="E49" t="s">
        <v>988</v>
      </c>
      <c r="F49" s="233" t="b">
        <f>Kirjasto!V5</f>
        <v>0</v>
      </c>
      <c r="G49" s="233"/>
      <c r="H49" s="233"/>
      <c r="I49" s="233"/>
      <c r="J49" s="4"/>
      <c r="K49" s="4"/>
      <c r="L49" s="235"/>
      <c r="M49" s="243"/>
      <c r="Q49" s="232"/>
      <c r="X49" s="685" t="s">
        <v>1240</v>
      </c>
      <c r="Y49" s="679">
        <v>68</v>
      </c>
      <c r="Z49" s="679">
        <v>79.3</v>
      </c>
      <c r="AA49" s="680"/>
      <c r="AB49" s="712"/>
      <c r="AC49" s="681">
        <v>29</v>
      </c>
      <c r="AD49" s="682">
        <v>79.5</v>
      </c>
      <c r="AE49" s="680">
        <v>79.5</v>
      </c>
      <c r="AF49" s="680">
        <v>81.75</v>
      </c>
      <c r="AG49" s="713"/>
      <c r="AH49" s="701"/>
      <c r="AI49" s="701"/>
      <c r="AJ49" s="701"/>
      <c r="AK49" s="701"/>
      <c r="AL49" s="701"/>
      <c r="AM49" s="701"/>
      <c r="AN49" s="701"/>
      <c r="AO49" s="701"/>
      <c r="AP49" s="701"/>
      <c r="AQ49" s="702"/>
    </row>
    <row r="50" spans="5:43" ht="15" x14ac:dyDescent="0.2">
      <c r="E50" t="s">
        <v>1177</v>
      </c>
      <c r="F50" s="233" t="b">
        <f>Kirjasto!V6</f>
        <v>1</v>
      </c>
      <c r="G50" s="233"/>
      <c r="H50" s="233"/>
      <c r="I50" s="233"/>
      <c r="J50" s="4"/>
      <c r="K50" s="4"/>
      <c r="L50" s="235"/>
      <c r="M50" s="243"/>
      <c r="Q50" s="232"/>
      <c r="X50" s="685" t="s">
        <v>1241</v>
      </c>
      <c r="Y50" s="679">
        <v>91</v>
      </c>
      <c r="Z50" s="679">
        <v>79.5</v>
      </c>
      <c r="AA50" s="680"/>
      <c r="AB50" s="712"/>
      <c r="AC50" s="681">
        <v>36</v>
      </c>
      <c r="AD50" s="682">
        <v>79.5</v>
      </c>
      <c r="AE50" s="680">
        <v>79.5</v>
      </c>
      <c r="AF50" s="680">
        <v>81.5</v>
      </c>
      <c r="AG50" s="713"/>
      <c r="AH50" s="701"/>
      <c r="AI50" s="701"/>
      <c r="AJ50" s="701"/>
      <c r="AK50" s="701"/>
      <c r="AL50" s="701"/>
      <c r="AM50" s="701"/>
      <c r="AN50" s="701"/>
      <c r="AO50" s="701"/>
      <c r="AP50" s="701"/>
      <c r="AQ50" s="702"/>
    </row>
    <row r="51" spans="5:43" ht="15" x14ac:dyDescent="0.2">
      <c r="F51" s="233"/>
      <c r="G51" s="233"/>
      <c r="H51" s="233"/>
      <c r="I51" s="233"/>
      <c r="J51" s="4"/>
      <c r="K51" s="4"/>
      <c r="L51" s="235"/>
      <c r="M51" s="243"/>
      <c r="Q51" s="232"/>
      <c r="X51" s="685" t="s">
        <v>1242</v>
      </c>
      <c r="Y51" s="679">
        <v>127</v>
      </c>
      <c r="Z51" s="687">
        <v>76.599999999999994</v>
      </c>
      <c r="AA51" s="680"/>
      <c r="AB51" s="712"/>
      <c r="AC51" s="681">
        <v>80</v>
      </c>
      <c r="AD51" s="682">
        <v>79.5</v>
      </c>
      <c r="AE51" s="680">
        <v>79.5</v>
      </c>
      <c r="AF51" s="680">
        <v>80.5</v>
      </c>
      <c r="AG51" s="713"/>
      <c r="AH51" s="701"/>
      <c r="AI51" s="701"/>
      <c r="AJ51" s="701"/>
      <c r="AK51" s="701"/>
      <c r="AL51" s="701"/>
      <c r="AM51" s="701"/>
      <c r="AN51" s="701"/>
      <c r="AO51" s="701"/>
      <c r="AP51" s="701"/>
      <c r="AQ51" s="702"/>
    </row>
    <row r="52" spans="5:43" ht="15" x14ac:dyDescent="0.2">
      <c r="E52" t="s">
        <v>1956</v>
      </c>
      <c r="F52" s="80">
        <f>'R-series ALU'!E37</f>
        <v>35</v>
      </c>
      <c r="G52" t="str">
        <f>'R-series ALU'!F37</f>
        <v>m³/h</v>
      </c>
      <c r="H52" s="233"/>
      <c r="I52" s="233"/>
      <c r="J52" s="4"/>
      <c r="K52" s="4"/>
      <c r="L52" s="235"/>
      <c r="M52" s="243"/>
      <c r="Q52" s="232"/>
      <c r="X52" s="686" t="s">
        <v>1243</v>
      </c>
      <c r="Y52" s="679">
        <v>167</v>
      </c>
      <c r="Z52" s="679">
        <v>79.900000000000006</v>
      </c>
      <c r="AA52" s="680"/>
      <c r="AB52" s="712"/>
      <c r="AC52" s="681">
        <v>120</v>
      </c>
      <c r="AD52" s="682">
        <v>79.5</v>
      </c>
      <c r="AE52" s="680">
        <v>79.5</v>
      </c>
      <c r="AF52" s="680">
        <v>80</v>
      </c>
      <c r="AG52" s="713"/>
      <c r="AH52" s="701"/>
      <c r="AI52" s="701"/>
      <c r="AJ52" s="701"/>
      <c r="AK52" s="701"/>
      <c r="AL52" s="701"/>
      <c r="AM52" s="701"/>
      <c r="AN52" s="701"/>
      <c r="AO52" s="701"/>
      <c r="AP52" s="701"/>
      <c r="AQ52" s="702"/>
    </row>
    <row r="53" spans="5:43" ht="15" x14ac:dyDescent="0.2">
      <c r="E53" t="s">
        <v>1957</v>
      </c>
      <c r="F53" s="4">
        <f>IF(F49,'R-series ALU'!E37,'R-series ALU'!E38)</f>
        <v>9.7222222222222214</v>
      </c>
      <c r="G53" s="233" t="s">
        <v>13</v>
      </c>
      <c r="H53" s="233"/>
      <c r="I53" s="233"/>
      <c r="J53" s="4"/>
      <c r="K53" s="4"/>
      <c r="L53" s="235"/>
      <c r="M53" s="243"/>
      <c r="Q53" s="232"/>
      <c r="X53" s="679"/>
      <c r="Y53" s="679">
        <v>200</v>
      </c>
      <c r="Z53" s="679"/>
      <c r="AA53" s="680"/>
      <c r="AB53" s="712"/>
      <c r="AC53" s="681">
        <v>180</v>
      </c>
      <c r="AD53" s="682">
        <v>79.5</v>
      </c>
      <c r="AE53" s="680">
        <v>79</v>
      </c>
      <c r="AF53" s="680">
        <v>79.5</v>
      </c>
      <c r="AG53" s="713"/>
      <c r="AH53" s="701"/>
      <c r="AI53" s="701"/>
      <c r="AJ53" s="701"/>
      <c r="AK53" s="701"/>
      <c r="AL53" s="701"/>
      <c r="AM53" s="701"/>
      <c r="AN53" s="701"/>
      <c r="AO53" s="701"/>
      <c r="AP53" s="701"/>
      <c r="AQ53" s="702"/>
    </row>
    <row r="54" spans="5:43" ht="15" x14ac:dyDescent="0.2">
      <c r="F54" s="233"/>
      <c r="G54" s="233"/>
      <c r="H54" s="233"/>
      <c r="I54" s="233"/>
      <c r="J54" s="4"/>
      <c r="K54" s="4"/>
      <c r="L54" s="235"/>
      <c r="M54" s="243"/>
      <c r="Q54" s="232"/>
      <c r="X54" s="701"/>
      <c r="Y54" s="701"/>
      <c r="Z54" s="715" t="s">
        <v>1244</v>
      </c>
      <c r="AA54" s="701"/>
      <c r="AC54" s="729">
        <f>AC53</f>
        <v>180</v>
      </c>
      <c r="AD54" s="729">
        <f t="shared" ref="AD54" si="9">AD53</f>
        <v>79.5</v>
      </c>
      <c r="AE54" s="729">
        <f t="shared" ref="AE54" si="10">AE53</f>
        <v>79</v>
      </c>
      <c r="AF54" s="729">
        <f t="shared" ref="AF54" si="11">AF53</f>
        <v>79.5</v>
      </c>
      <c r="AG54" s="701"/>
      <c r="AH54" s="701"/>
      <c r="AI54" s="701"/>
      <c r="AJ54" s="701"/>
      <c r="AK54" s="701"/>
      <c r="AL54" s="701"/>
      <c r="AM54" s="701"/>
      <c r="AN54" s="701"/>
      <c r="AO54" s="701"/>
      <c r="AP54" s="701"/>
      <c r="AQ54" s="702"/>
    </row>
    <row r="55" spans="5:43" x14ac:dyDescent="0.15">
      <c r="F55" s="233"/>
      <c r="G55" s="233"/>
      <c r="H55" s="233"/>
      <c r="I55" s="233"/>
      <c r="J55" s="4"/>
      <c r="K55" s="4"/>
      <c r="L55" s="235"/>
      <c r="M55" s="243"/>
      <c r="Q55" s="232"/>
      <c r="AQ55" s="364"/>
    </row>
    <row r="56" spans="5:43" x14ac:dyDescent="0.15">
      <c r="F56" s="233"/>
      <c r="G56" s="233"/>
      <c r="H56" s="233"/>
      <c r="I56" s="233"/>
      <c r="J56" s="4"/>
      <c r="K56" s="4"/>
      <c r="L56" s="235"/>
      <c r="M56" s="243"/>
      <c r="Q56" s="232"/>
      <c r="X56" s="701"/>
      <c r="Y56" s="701"/>
      <c r="Z56" s="701"/>
      <c r="AA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  <c r="AN56" s="701"/>
      <c r="AO56" s="701"/>
      <c r="AP56" s="701"/>
      <c r="AQ56" s="702"/>
    </row>
    <row r="57" spans="5:43" ht="15" x14ac:dyDescent="0.2">
      <c r="F57" s="233"/>
      <c r="G57" s="233"/>
      <c r="H57" s="233"/>
      <c r="I57" s="233"/>
      <c r="J57" s="4"/>
      <c r="K57" s="4"/>
      <c r="L57" s="235"/>
      <c r="M57" s="243"/>
      <c r="Q57" s="232"/>
      <c r="X57" s="716"/>
      <c r="Y57" s="701"/>
      <c r="Z57" s="717"/>
      <c r="AA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  <c r="AN57" s="701"/>
      <c r="AO57" s="701"/>
      <c r="AP57" s="701"/>
      <c r="AQ57" s="702"/>
    </row>
    <row r="58" spans="5:43" ht="15" x14ac:dyDescent="0.2">
      <c r="F58" s="233"/>
      <c r="G58" s="233"/>
      <c r="H58" s="233"/>
      <c r="I58" s="233"/>
      <c r="J58" s="4"/>
      <c r="K58" s="4"/>
      <c r="L58" s="235"/>
      <c r="M58" s="243"/>
      <c r="Q58" s="232"/>
      <c r="X58" s="1791" t="s">
        <v>1245</v>
      </c>
      <c r="Y58" s="1791"/>
      <c r="Z58" s="1791"/>
      <c r="AA58" s="1792"/>
      <c r="AB58" s="707"/>
      <c r="AC58" s="701"/>
      <c r="AD58" s="701"/>
      <c r="AE58" s="701"/>
      <c r="AF58" s="701"/>
      <c r="AG58" s="708"/>
      <c r="AH58" s="701"/>
      <c r="AI58" s="701"/>
      <c r="AJ58" s="701"/>
      <c r="AK58" s="701"/>
      <c r="AL58" s="701"/>
      <c r="AM58" s="701"/>
      <c r="AN58" s="701"/>
      <c r="AO58" s="701"/>
      <c r="AP58" s="701"/>
      <c r="AQ58" s="702"/>
    </row>
    <row r="59" spans="5:43" ht="48" x14ac:dyDescent="0.2">
      <c r="F59" s="233"/>
      <c r="G59" s="233"/>
      <c r="H59" s="233"/>
      <c r="I59" s="233"/>
      <c r="J59" s="4"/>
      <c r="K59" s="4"/>
      <c r="L59" s="235"/>
      <c r="M59" s="243"/>
      <c r="Q59" s="232"/>
      <c r="X59" s="676"/>
      <c r="Y59" s="675" t="s">
        <v>1219</v>
      </c>
      <c r="Z59" s="676"/>
      <c r="AA59" s="688"/>
      <c r="AB59" s="718"/>
      <c r="AC59" s="677" t="s">
        <v>1219</v>
      </c>
      <c r="AD59" s="677" t="s">
        <v>1246</v>
      </c>
      <c r="AE59" s="677" t="s">
        <v>1247</v>
      </c>
      <c r="AF59" s="677" t="s">
        <v>1248</v>
      </c>
      <c r="AG59" s="705"/>
      <c r="AH59" s="701"/>
      <c r="AI59" s="701"/>
      <c r="AJ59" s="701"/>
      <c r="AK59" s="701"/>
      <c r="AL59" s="701"/>
      <c r="AM59" s="701"/>
      <c r="AN59" s="701"/>
      <c r="AO59" s="701"/>
      <c r="AP59" s="701"/>
      <c r="AQ59" s="702"/>
    </row>
    <row r="60" spans="5:43" ht="15" x14ac:dyDescent="0.2">
      <c r="F60" s="233"/>
      <c r="G60" s="233"/>
      <c r="H60" s="233"/>
      <c r="I60" s="233"/>
      <c r="J60" s="4"/>
      <c r="K60" s="4"/>
      <c r="L60" s="235"/>
      <c r="M60" s="243"/>
      <c r="Q60" s="232"/>
      <c r="X60" s="679"/>
      <c r="Y60" s="689">
        <v>50</v>
      </c>
      <c r="Z60" s="690">
        <v>79.5</v>
      </c>
      <c r="AA60" s="690"/>
      <c r="AB60" s="32"/>
      <c r="AC60" s="691">
        <v>50</v>
      </c>
      <c r="AD60" s="682">
        <v>79.5</v>
      </c>
      <c r="AE60" s="680">
        <v>79.5</v>
      </c>
      <c r="AF60" s="680">
        <v>81</v>
      </c>
      <c r="AG60" s="719"/>
      <c r="AH60" s="701"/>
      <c r="AI60" s="701"/>
      <c r="AJ60" s="701"/>
      <c r="AK60" s="701"/>
      <c r="AL60" s="701"/>
      <c r="AM60" s="701"/>
      <c r="AN60" s="701"/>
      <c r="AO60" s="701"/>
      <c r="AP60" s="701"/>
      <c r="AQ60" s="702"/>
    </row>
    <row r="61" spans="5:43" ht="15" x14ac:dyDescent="0.2">
      <c r="F61" s="233"/>
      <c r="G61" s="233"/>
      <c r="H61" s="233"/>
      <c r="I61" s="233"/>
      <c r="J61" s="4"/>
      <c r="K61" s="4"/>
      <c r="L61" s="235"/>
      <c r="M61" s="243"/>
      <c r="Q61" s="232"/>
      <c r="X61" s="692"/>
      <c r="Y61" s="689">
        <v>100</v>
      </c>
      <c r="Z61" s="690">
        <v>79.5</v>
      </c>
      <c r="AA61" s="690"/>
      <c r="AB61" s="32"/>
      <c r="AC61" s="691">
        <v>100</v>
      </c>
      <c r="AD61" s="682">
        <v>79.5</v>
      </c>
      <c r="AE61" s="680">
        <v>79.5</v>
      </c>
      <c r="AF61" s="680">
        <v>80.5</v>
      </c>
      <c r="AG61" s="719"/>
      <c r="AH61" s="701"/>
      <c r="AI61" s="701"/>
      <c r="AJ61" s="701"/>
      <c r="AK61" s="701"/>
      <c r="AL61" s="701"/>
      <c r="AM61" s="701"/>
      <c r="AN61" s="701"/>
      <c r="AO61" s="701"/>
      <c r="AP61" s="701"/>
      <c r="AQ61" s="702"/>
    </row>
    <row r="62" spans="5:43" ht="15" x14ac:dyDescent="0.2">
      <c r="F62" s="233"/>
      <c r="G62" s="233"/>
      <c r="H62" s="233"/>
      <c r="I62" s="233"/>
      <c r="J62" s="4"/>
      <c r="K62" s="4"/>
      <c r="L62" s="235"/>
      <c r="M62" s="243"/>
      <c r="Q62" s="232"/>
      <c r="X62" s="692"/>
      <c r="Y62" s="689">
        <v>150</v>
      </c>
      <c r="Z62" s="690">
        <v>79.5</v>
      </c>
      <c r="AA62" s="690"/>
      <c r="AB62" s="32"/>
      <c r="AC62" s="691">
        <v>150</v>
      </c>
      <c r="AD62" s="682">
        <v>79.5</v>
      </c>
      <c r="AE62" s="680">
        <v>79.5</v>
      </c>
      <c r="AF62" s="680">
        <v>80</v>
      </c>
      <c r="AG62" s="719"/>
      <c r="AH62" s="701"/>
      <c r="AI62" s="701"/>
      <c r="AJ62" s="701"/>
      <c r="AK62" s="701"/>
      <c r="AL62" s="701"/>
      <c r="AM62" s="701"/>
      <c r="AN62" s="701"/>
      <c r="AO62" s="701"/>
      <c r="AP62" s="701"/>
      <c r="AQ62" s="702"/>
    </row>
    <row r="63" spans="5:43" ht="15" x14ac:dyDescent="0.2">
      <c r="F63" s="233"/>
      <c r="G63" s="233"/>
      <c r="H63" s="233"/>
      <c r="I63" s="233"/>
      <c r="J63" s="4"/>
      <c r="K63" s="4"/>
      <c r="L63" s="235"/>
      <c r="M63" s="243"/>
      <c r="Q63" s="232"/>
      <c r="X63" s="692"/>
      <c r="Y63" s="689">
        <v>200</v>
      </c>
      <c r="Z63" s="690">
        <v>79.3</v>
      </c>
      <c r="AA63" s="690"/>
      <c r="AB63" s="32"/>
      <c r="AC63" s="691">
        <v>200</v>
      </c>
      <c r="AD63" s="682">
        <v>79.3</v>
      </c>
      <c r="AE63" s="680">
        <v>79</v>
      </c>
      <c r="AF63" s="680">
        <v>79.5</v>
      </c>
      <c r="AG63" s="719"/>
      <c r="AH63" s="701"/>
      <c r="AI63" s="701"/>
      <c r="AJ63" s="701"/>
      <c r="AK63" s="701"/>
      <c r="AL63" s="701"/>
      <c r="AM63" s="701"/>
      <c r="AN63" s="701"/>
      <c r="AO63" s="701"/>
      <c r="AP63" s="701"/>
      <c r="AQ63" s="702"/>
    </row>
    <row r="64" spans="5:43" ht="15" x14ac:dyDescent="0.2">
      <c r="F64" s="233"/>
      <c r="G64" s="233"/>
      <c r="H64" s="233"/>
      <c r="I64" s="233"/>
      <c r="J64" s="4"/>
      <c r="K64" s="4"/>
      <c r="L64" s="235"/>
      <c r="M64" s="243"/>
      <c r="Q64" s="232"/>
      <c r="X64" s="693"/>
      <c r="Y64" s="689">
        <v>250</v>
      </c>
      <c r="Z64" s="690">
        <v>78.2</v>
      </c>
      <c r="AA64" s="690"/>
      <c r="AB64" s="32"/>
      <c r="AC64" s="691">
        <v>250</v>
      </c>
      <c r="AD64" s="682">
        <v>78.2</v>
      </c>
      <c r="AE64" s="680">
        <v>78.2</v>
      </c>
      <c r="AF64" s="680">
        <v>78.7</v>
      </c>
      <c r="AG64" s="719"/>
      <c r="AH64" s="701"/>
      <c r="AI64" s="701"/>
      <c r="AJ64" s="701"/>
      <c r="AK64" s="701"/>
      <c r="AL64" s="701"/>
      <c r="AM64" s="701"/>
      <c r="AN64" s="701"/>
      <c r="AO64" s="701"/>
      <c r="AP64" s="701"/>
      <c r="AQ64" s="702"/>
    </row>
    <row r="65" spans="6:43" ht="15" x14ac:dyDescent="0.2">
      <c r="F65" s="233"/>
      <c r="G65" s="233"/>
      <c r="H65" s="233"/>
      <c r="I65" s="233"/>
      <c r="J65" s="4"/>
      <c r="K65" s="4"/>
      <c r="L65" s="235"/>
      <c r="M65" s="243"/>
      <c r="Q65" s="232"/>
      <c r="X65" s="679"/>
      <c r="Y65" s="689">
        <v>300</v>
      </c>
      <c r="Z65" s="690">
        <v>77.5</v>
      </c>
      <c r="AA65" s="690"/>
      <c r="AB65" s="32"/>
      <c r="AC65" s="691">
        <v>300</v>
      </c>
      <c r="AD65" s="682">
        <v>77.5</v>
      </c>
      <c r="AE65" s="680">
        <v>77.5</v>
      </c>
      <c r="AF65" s="680">
        <v>78</v>
      </c>
      <c r="AG65" s="719"/>
      <c r="AH65" s="701"/>
      <c r="AI65" s="701"/>
      <c r="AJ65" s="701"/>
      <c r="AK65" s="701"/>
      <c r="AL65" s="701"/>
      <c r="AM65" s="701"/>
      <c r="AN65" s="701"/>
      <c r="AO65" s="701"/>
      <c r="AP65" s="701"/>
      <c r="AQ65" s="702"/>
    </row>
    <row r="66" spans="6:43" ht="16" thickBot="1" x14ac:dyDescent="0.25">
      <c r="F66" s="233"/>
      <c r="G66" s="233"/>
      <c r="H66" s="233"/>
      <c r="I66" s="233"/>
      <c r="J66" s="4"/>
      <c r="K66" s="4"/>
      <c r="L66" s="235"/>
      <c r="M66" s="243"/>
      <c r="Q66" s="236"/>
      <c r="R66" s="238"/>
      <c r="S66" s="238"/>
      <c r="T66" s="238"/>
      <c r="U66" s="238"/>
      <c r="V66" s="238"/>
      <c r="W66" s="238"/>
      <c r="X66" s="720"/>
      <c r="Y66" s="720">
        <v>350</v>
      </c>
      <c r="Z66" s="721">
        <v>77.3</v>
      </c>
      <c r="AA66" s="721"/>
      <c r="AB66" s="722"/>
      <c r="AC66" s="723">
        <v>350</v>
      </c>
      <c r="AD66" s="724">
        <v>77.3</v>
      </c>
      <c r="AE66" s="725">
        <v>76.8</v>
      </c>
      <c r="AF66" s="725">
        <v>77</v>
      </c>
      <c r="AG66" s="726"/>
      <c r="AH66" s="727"/>
      <c r="AI66" s="727"/>
      <c r="AJ66" s="727"/>
      <c r="AK66" s="727"/>
      <c r="AL66" s="727"/>
      <c r="AM66" s="727"/>
      <c r="AN66" s="727"/>
      <c r="AO66" s="727"/>
      <c r="AP66" s="727"/>
      <c r="AQ66" s="728"/>
    </row>
    <row r="67" spans="6:43" ht="14" thickBot="1" x14ac:dyDescent="0.2">
      <c r="F67" s="233"/>
      <c r="G67" s="233"/>
      <c r="H67" s="233"/>
      <c r="I67" s="233"/>
      <c r="J67" s="4"/>
      <c r="K67" s="4"/>
      <c r="L67" s="235"/>
      <c r="M67" s="243"/>
    </row>
    <row r="68" spans="6:43" x14ac:dyDescent="0.15">
      <c r="F68" s="233"/>
      <c r="G68" s="233"/>
      <c r="H68" s="233"/>
      <c r="I68" s="233"/>
      <c r="J68" s="4"/>
      <c r="K68" s="4"/>
      <c r="L68" s="235"/>
      <c r="M68" s="243"/>
      <c r="X68" s="303" t="s">
        <v>2707</v>
      </c>
      <c r="Y68" s="230"/>
      <c r="Z68" s="230"/>
      <c r="AA68" s="230"/>
      <c r="AB68" s="230"/>
      <c r="AC68" s="230"/>
      <c r="AD68" s="230"/>
      <c r="AE68" s="230"/>
      <c r="AF68" s="231"/>
      <c r="AH68" t="s">
        <v>2708</v>
      </c>
    </row>
    <row r="69" spans="6:43" ht="15" x14ac:dyDescent="0.2">
      <c r="F69" s="233"/>
      <c r="G69" s="233"/>
      <c r="H69" s="233"/>
      <c r="I69" s="233"/>
      <c r="J69" s="4"/>
      <c r="K69" s="4"/>
      <c r="L69" s="235"/>
      <c r="M69" s="243"/>
      <c r="X69" s="1857" t="s">
        <v>2670</v>
      </c>
      <c r="Y69" s="1858"/>
      <c r="Z69" s="1858"/>
      <c r="AA69" s="1859"/>
      <c r="AB69" s="1413"/>
      <c r="AC69" s="286"/>
      <c r="AD69" s="286"/>
      <c r="AE69" s="286"/>
      <c r="AF69" s="1414"/>
    </row>
    <row r="70" spans="6:43" ht="48" x14ac:dyDescent="0.2">
      <c r="F70" s="233"/>
      <c r="G70" s="233"/>
      <c r="H70" s="233"/>
      <c r="I70" s="233"/>
      <c r="J70" s="4"/>
      <c r="K70" s="4"/>
      <c r="L70" s="235"/>
      <c r="M70" s="243"/>
      <c r="X70" s="1415"/>
      <c r="Y70" s="675" t="s">
        <v>1219</v>
      </c>
      <c r="Z70" s="1403"/>
      <c r="AA70" s="1404"/>
      <c r="AB70" s="1416"/>
      <c r="AC70" s="1408" t="s">
        <v>1219</v>
      </c>
      <c r="AD70" s="1408" t="s">
        <v>1246</v>
      </c>
      <c r="AE70" s="1408" t="s">
        <v>1247</v>
      </c>
      <c r="AF70" s="1417" t="s">
        <v>1248</v>
      </c>
    </row>
    <row r="71" spans="6:43" ht="15" x14ac:dyDescent="0.2">
      <c r="F71" s="233"/>
      <c r="G71" s="233"/>
      <c r="H71" s="233"/>
      <c r="I71" s="233"/>
      <c r="J71" s="4"/>
      <c r="K71" s="4"/>
      <c r="L71" s="235"/>
      <c r="M71" s="243"/>
      <c r="X71" s="1418"/>
      <c r="Y71" s="675"/>
      <c r="Z71" s="1405"/>
      <c r="AA71" s="1405"/>
      <c r="AB71" s="1419"/>
      <c r="AC71" s="1409">
        <v>15</v>
      </c>
      <c r="AD71" s="1410"/>
      <c r="AE71" s="1503">
        <v>80.5</v>
      </c>
      <c r="AF71" s="1504">
        <v>81.8</v>
      </c>
    </row>
    <row r="72" spans="6:43" ht="15" x14ac:dyDescent="0.2">
      <c r="F72" s="233"/>
      <c r="G72" s="233"/>
      <c r="H72" s="233"/>
      <c r="I72" s="233"/>
      <c r="J72" s="4"/>
      <c r="K72" s="4"/>
      <c r="L72" s="235"/>
      <c r="M72" s="243"/>
      <c r="X72" s="1418"/>
      <c r="Y72" s="675"/>
      <c r="Z72" s="1405"/>
      <c r="AA72" s="1405"/>
      <c r="AB72" s="1419"/>
      <c r="AC72" s="1409">
        <v>28</v>
      </c>
      <c r="AD72" s="1410"/>
      <c r="AE72" s="1503">
        <v>80.3</v>
      </c>
      <c r="AF72" s="1504">
        <v>81.599999999999994</v>
      </c>
    </row>
    <row r="73" spans="6:43" ht="15" x14ac:dyDescent="0.2">
      <c r="F73" s="233"/>
      <c r="G73" s="233"/>
      <c r="H73" s="233"/>
      <c r="I73" s="233"/>
      <c r="J73" s="4"/>
      <c r="K73" s="4"/>
      <c r="L73" s="235"/>
      <c r="M73" s="243"/>
      <c r="X73" s="1420"/>
      <c r="Y73" s="675"/>
      <c r="Z73" s="1405"/>
      <c r="AA73" s="1405"/>
      <c r="AB73" s="1419"/>
      <c r="AC73" s="1409">
        <v>36</v>
      </c>
      <c r="AD73" s="1410"/>
      <c r="AE73" s="1503">
        <v>80</v>
      </c>
      <c r="AF73" s="1504">
        <v>81.2</v>
      </c>
    </row>
    <row r="74" spans="6:43" ht="15" x14ac:dyDescent="0.2">
      <c r="F74" s="233"/>
      <c r="G74" s="233"/>
      <c r="H74" s="233"/>
      <c r="I74" s="233"/>
      <c r="J74" s="4"/>
      <c r="K74" s="4"/>
      <c r="L74" s="235"/>
      <c r="M74" s="243"/>
      <c r="X74" s="1420"/>
      <c r="Y74" s="675"/>
      <c r="Z74" s="1405"/>
      <c r="AA74" s="1405"/>
      <c r="AB74" s="1419"/>
      <c r="AC74" s="1409">
        <v>61.5</v>
      </c>
      <c r="AD74" s="1410"/>
      <c r="AE74" s="1503">
        <v>79.7</v>
      </c>
      <c r="AF74" s="1504">
        <v>80.25</v>
      </c>
    </row>
    <row r="75" spans="6:43" ht="15" x14ac:dyDescent="0.2">
      <c r="F75" s="233"/>
      <c r="G75" s="233"/>
      <c r="H75" s="233"/>
      <c r="I75" s="233"/>
      <c r="J75" s="4"/>
      <c r="K75" s="4"/>
      <c r="L75" s="235"/>
      <c r="M75" s="243"/>
      <c r="X75" s="1420"/>
      <c r="Y75" s="675"/>
      <c r="Z75" s="1405"/>
      <c r="AA75" s="1405"/>
      <c r="AB75" s="1419"/>
      <c r="AC75" s="1409">
        <v>90</v>
      </c>
      <c r="AD75" s="1410"/>
      <c r="AE75" s="1503">
        <v>79</v>
      </c>
      <c r="AF75" s="1504">
        <v>79.3</v>
      </c>
    </row>
    <row r="76" spans="6:43" ht="15" x14ac:dyDescent="0.2">
      <c r="F76" s="233"/>
      <c r="G76" s="233"/>
      <c r="H76" s="233"/>
      <c r="I76" s="233"/>
      <c r="J76" s="4"/>
      <c r="K76" s="4"/>
      <c r="L76" s="235"/>
      <c r="M76" s="243"/>
      <c r="X76" s="1421"/>
      <c r="Y76" s="675"/>
      <c r="Z76" s="1405"/>
      <c r="AA76" s="1405"/>
      <c r="AB76" s="1419"/>
      <c r="AC76" s="1409">
        <v>130</v>
      </c>
      <c r="AD76" s="1410"/>
      <c r="AE76" s="1503">
        <v>78</v>
      </c>
      <c r="AF76" s="1504">
        <v>78</v>
      </c>
    </row>
    <row r="77" spans="6:43" ht="16" thickBot="1" x14ac:dyDescent="0.25">
      <c r="F77" s="233"/>
      <c r="G77" s="233"/>
      <c r="H77" s="233"/>
      <c r="I77" s="233"/>
      <c r="J77" s="4"/>
      <c r="K77" s="4"/>
      <c r="L77" s="235"/>
      <c r="M77" s="243"/>
      <c r="X77" s="1422"/>
      <c r="Y77" s="1412"/>
      <c r="Z77" s="1406"/>
      <c r="AA77" s="1406"/>
      <c r="AB77" s="1407"/>
      <c r="AC77" s="1411">
        <f>AC76</f>
        <v>130</v>
      </c>
      <c r="AD77" s="1411"/>
      <c r="AE77" s="1505">
        <f t="shared" ref="AE77:AF77" si="12">AE76</f>
        <v>78</v>
      </c>
      <c r="AF77" s="1505">
        <f t="shared" si="12"/>
        <v>78</v>
      </c>
    </row>
    <row r="78" spans="6:43" x14ac:dyDescent="0.15">
      <c r="F78" s="233"/>
      <c r="G78" s="233"/>
      <c r="H78" s="233"/>
      <c r="I78" s="233"/>
      <c r="J78" s="4"/>
      <c r="K78" s="4"/>
      <c r="L78" s="235"/>
      <c r="M78" s="243"/>
    </row>
    <row r="79" spans="6:43" x14ac:dyDescent="0.15">
      <c r="F79" s="233"/>
      <c r="G79" s="233"/>
      <c r="H79" s="233"/>
      <c r="I79" s="233"/>
      <c r="J79" s="4"/>
      <c r="K79" s="4"/>
      <c r="L79" s="235"/>
      <c r="M79" s="243"/>
    </row>
    <row r="80" spans="6:43" x14ac:dyDescent="0.15">
      <c r="F80" s="233"/>
      <c r="G80" s="233"/>
      <c r="H80" s="233"/>
      <c r="I80" s="233"/>
      <c r="J80" s="4"/>
      <c r="K80" s="4"/>
      <c r="L80" s="235"/>
      <c r="M80" s="243"/>
    </row>
    <row r="81" spans="5:36" x14ac:dyDescent="0.15">
      <c r="F81" s="233"/>
      <c r="G81" s="233"/>
      <c r="H81" s="233"/>
      <c r="I81" s="233"/>
      <c r="J81" s="4"/>
      <c r="K81" s="4"/>
      <c r="L81" s="235"/>
      <c r="M81" s="243"/>
    </row>
    <row r="82" spans="5:36" x14ac:dyDescent="0.15">
      <c r="F82" s="233"/>
      <c r="G82" s="233"/>
      <c r="H82" s="233"/>
      <c r="I82" s="233"/>
      <c r="J82" s="4"/>
      <c r="K82" s="4"/>
      <c r="L82" s="235"/>
      <c r="M82" s="243"/>
    </row>
    <row r="83" spans="5:36" x14ac:dyDescent="0.15">
      <c r="F83" s="233"/>
      <c r="G83" s="233"/>
      <c r="H83" s="233"/>
      <c r="I83" s="233"/>
      <c r="J83" s="4"/>
      <c r="K83" s="4"/>
      <c r="L83" s="235"/>
      <c r="M83" s="243"/>
    </row>
    <row r="84" spans="5:36" x14ac:dyDescent="0.15">
      <c r="F84" s="233"/>
      <c r="G84" s="233"/>
      <c r="H84" s="233"/>
      <c r="I84" s="233"/>
      <c r="J84" s="4"/>
      <c r="K84" s="4"/>
      <c r="L84" s="235"/>
      <c r="M84" s="243"/>
    </row>
    <row r="85" spans="5:36" x14ac:dyDescent="0.15">
      <c r="F85" s="233"/>
      <c r="G85" s="233"/>
      <c r="H85" s="233"/>
      <c r="I85" s="233"/>
      <c r="J85" s="4"/>
      <c r="K85" s="4"/>
      <c r="L85" s="235"/>
      <c r="M85" s="243"/>
    </row>
    <row r="86" spans="5:36" x14ac:dyDescent="0.15">
      <c r="F86" s="233"/>
      <c r="G86" s="233"/>
      <c r="H86" s="233"/>
      <c r="I86" s="233"/>
      <c r="J86" s="4"/>
      <c r="K86" s="4"/>
      <c r="L86" s="235"/>
      <c r="M86" s="243"/>
    </row>
    <row r="87" spans="5:36" x14ac:dyDescent="0.15">
      <c r="F87" s="233"/>
      <c r="G87" s="233"/>
      <c r="H87" s="233"/>
      <c r="I87" s="233"/>
      <c r="J87" s="4"/>
      <c r="K87" s="4"/>
      <c r="L87" s="235"/>
      <c r="M87" s="243"/>
    </row>
    <row r="88" spans="5:36" x14ac:dyDescent="0.15">
      <c r="F88" s="233"/>
      <c r="G88" s="233"/>
      <c r="H88" s="233"/>
      <c r="I88" s="233"/>
      <c r="J88" s="4"/>
      <c r="K88" s="4"/>
      <c r="L88" s="235"/>
      <c r="M88" s="243"/>
    </row>
    <row r="89" spans="5:36" x14ac:dyDescent="0.15">
      <c r="F89" s="233"/>
      <c r="G89" s="233"/>
      <c r="H89" s="233"/>
      <c r="I89" s="233"/>
      <c r="J89" s="4"/>
      <c r="K89" s="4"/>
      <c r="L89" s="235"/>
      <c r="M89" s="243"/>
    </row>
    <row r="90" spans="5:36" x14ac:dyDescent="0.15">
      <c r="F90" s="233"/>
      <c r="G90" s="233"/>
      <c r="H90" s="233"/>
      <c r="I90" s="233"/>
      <c r="J90" s="4"/>
      <c r="K90" s="4"/>
      <c r="L90" s="235"/>
      <c r="M90" s="243"/>
    </row>
    <row r="91" spans="5:36" x14ac:dyDescent="0.15">
      <c r="F91" s="233"/>
      <c r="G91" s="233"/>
      <c r="H91" s="233"/>
      <c r="I91" s="233"/>
      <c r="J91" s="4"/>
      <c r="K91" s="4"/>
      <c r="L91" s="235"/>
      <c r="M91" s="243"/>
    </row>
    <row r="92" spans="5:36" ht="14" thickBot="1" x14ac:dyDescent="0.2">
      <c r="F92" s="233"/>
      <c r="G92" s="233"/>
      <c r="H92" s="233"/>
      <c r="I92" s="233"/>
      <c r="J92" s="4"/>
      <c r="K92" s="4"/>
      <c r="L92" s="235"/>
      <c r="M92" s="243"/>
      <c r="V92" s="238"/>
      <c r="W92" s="238"/>
      <c r="X92" s="238"/>
      <c r="Y92" s="238"/>
      <c r="Z92" s="238"/>
      <c r="AA92" s="238"/>
      <c r="AB92" s="238"/>
      <c r="AC92" s="238"/>
      <c r="AD92" s="238"/>
      <c r="AE92" s="238"/>
      <c r="AF92" s="238"/>
      <c r="AG92" s="238"/>
      <c r="AH92" s="238"/>
      <c r="AI92" s="238"/>
      <c r="AJ92" s="238"/>
    </row>
    <row r="93" spans="5:36" s="238" customFormat="1" ht="14" thickBot="1" x14ac:dyDescent="0.2">
      <c r="F93" s="429"/>
      <c r="G93" s="429"/>
      <c r="H93" s="429"/>
      <c r="I93" s="429"/>
      <c r="J93" s="428"/>
      <c r="K93" s="428"/>
      <c r="L93" s="370"/>
      <c r="M93" s="671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</row>
    <row r="94" spans="5:36" x14ac:dyDescent="0.15">
      <c r="F94" s="233"/>
      <c r="G94" s="233"/>
      <c r="H94" s="233"/>
      <c r="I94" s="233"/>
      <c r="J94" s="4"/>
      <c r="K94" s="4"/>
      <c r="L94" s="235"/>
      <c r="M94" s="243"/>
    </row>
    <row r="95" spans="5:36" x14ac:dyDescent="0.15">
      <c r="E95" s="2" t="s">
        <v>1249</v>
      </c>
      <c r="F95" s="233"/>
      <c r="G95" s="233"/>
      <c r="H95" s="233"/>
      <c r="I95" s="233"/>
      <c r="J95" s="4"/>
      <c r="K95" s="4"/>
      <c r="L95" s="235"/>
      <c r="M95" s="243"/>
      <c r="V95" t="s">
        <v>482</v>
      </c>
    </row>
    <row r="96" spans="5:36" ht="14" thickBot="1" x14ac:dyDescent="0.2">
      <c r="E96" s="240"/>
      <c r="F96" s="233"/>
      <c r="G96" s="233"/>
      <c r="H96" s="233"/>
      <c r="I96" s="233"/>
      <c r="J96" s="4"/>
      <c r="K96" s="4"/>
      <c r="L96" s="235"/>
      <c r="M96" s="243"/>
    </row>
    <row r="97" spans="5:37" ht="14" thickBot="1" x14ac:dyDescent="0.2">
      <c r="E97" s="240" t="s">
        <v>281</v>
      </c>
      <c r="F97" s="233"/>
      <c r="G97" s="233"/>
      <c r="H97" s="233"/>
      <c r="I97" s="233"/>
      <c r="V97" s="324" t="s">
        <v>464</v>
      </c>
      <c r="W97" s="325"/>
      <c r="X97" s="325"/>
      <c r="Y97" s="325"/>
      <c r="Z97" s="325"/>
      <c r="AA97" s="325"/>
      <c r="AB97" s="325"/>
      <c r="AC97" s="325"/>
    </row>
    <row r="98" spans="5:37" x14ac:dyDescent="0.15">
      <c r="E98" s="241" t="s">
        <v>285</v>
      </c>
      <c r="F98" s="233"/>
      <c r="G98" s="233"/>
      <c r="H98" s="233"/>
      <c r="I98" s="233"/>
      <c r="V98" s="326" t="s">
        <v>465</v>
      </c>
      <c r="W98" s="327"/>
      <c r="X98" s="327"/>
      <c r="Y98" s="327"/>
      <c r="Z98" s="328" t="s">
        <v>466</v>
      </c>
      <c r="AA98" s="329"/>
      <c r="AB98" s="330" t="s">
        <v>467</v>
      </c>
      <c r="AC98" s="331"/>
    </row>
    <row r="99" spans="5:37" ht="32" x14ac:dyDescent="0.2">
      <c r="E99" s="233"/>
      <c r="F99" s="233"/>
      <c r="G99" s="233"/>
      <c r="H99" s="233"/>
      <c r="I99" s="233"/>
      <c r="V99" s="232"/>
      <c r="W99" s="1805" t="s">
        <v>468</v>
      </c>
      <c r="X99" s="1806"/>
      <c r="Y99" s="1806"/>
      <c r="Z99" s="332" t="s">
        <v>469</v>
      </c>
      <c r="AA99" s="333"/>
      <c r="AB99" s="334" t="s">
        <v>469</v>
      </c>
      <c r="AC99" s="334"/>
    </row>
    <row r="100" spans="5:37" ht="96" x14ac:dyDescent="0.2">
      <c r="E100" s="233"/>
      <c r="F100" s="233"/>
      <c r="G100" s="233"/>
      <c r="H100" s="233"/>
      <c r="I100" s="233"/>
      <c r="V100" s="335" t="s">
        <v>471</v>
      </c>
      <c r="W100" s="336" t="s">
        <v>472</v>
      </c>
      <c r="X100" s="337" t="s">
        <v>473</v>
      </c>
      <c r="Y100" s="338" t="s">
        <v>474</v>
      </c>
      <c r="Z100" s="339" t="s">
        <v>475</v>
      </c>
      <c r="AA100" s="340" t="s">
        <v>476</v>
      </c>
      <c r="AB100" s="341" t="s">
        <v>477</v>
      </c>
      <c r="AC100" s="341" t="s">
        <v>478</v>
      </c>
    </row>
    <row r="101" spans="5:37" ht="14" x14ac:dyDescent="0.2">
      <c r="E101" s="233" t="s">
        <v>286</v>
      </c>
      <c r="F101" s="233">
        <v>7</v>
      </c>
      <c r="G101" s="233" t="s">
        <v>287</v>
      </c>
      <c r="H101" s="233"/>
      <c r="I101" s="233"/>
      <c r="U101" t="s">
        <v>470</v>
      </c>
      <c r="V101" s="342">
        <v>0.05</v>
      </c>
      <c r="W101" s="343">
        <v>83.5</v>
      </c>
      <c r="X101" s="344">
        <v>84</v>
      </c>
      <c r="Y101" s="345">
        <v>19</v>
      </c>
      <c r="Z101" s="346">
        <v>79.5</v>
      </c>
      <c r="AA101" s="347">
        <v>76.099999999999994</v>
      </c>
      <c r="AB101" s="348">
        <v>79.5</v>
      </c>
      <c r="AC101" s="348">
        <v>76.099999999999994</v>
      </c>
    </row>
    <row r="102" spans="5:37" ht="14" x14ac:dyDescent="0.2">
      <c r="E102" s="233" t="s">
        <v>288</v>
      </c>
      <c r="F102" s="233">
        <v>20</v>
      </c>
      <c r="G102" s="233" t="s">
        <v>287</v>
      </c>
      <c r="H102" s="233"/>
      <c r="I102" s="233"/>
      <c r="U102">
        <f>V101*1000</f>
        <v>50</v>
      </c>
      <c r="V102" s="342">
        <v>7.4999999999999997E-2</v>
      </c>
      <c r="W102" s="343">
        <v>81.5</v>
      </c>
      <c r="X102" s="344">
        <v>82</v>
      </c>
      <c r="Y102" s="345">
        <v>33</v>
      </c>
      <c r="Z102" s="346">
        <f>Z101</f>
        <v>79.5</v>
      </c>
      <c r="AA102" s="347">
        <v>76.099999999999994</v>
      </c>
      <c r="AB102" s="348">
        <v>79.5</v>
      </c>
      <c r="AC102" s="348">
        <v>76.099999999999994</v>
      </c>
    </row>
    <row r="103" spans="5:37" ht="14" x14ac:dyDescent="0.2">
      <c r="E103" s="233"/>
      <c r="F103" s="233"/>
      <c r="G103" s="233"/>
      <c r="H103" s="233"/>
      <c r="I103" s="233"/>
      <c r="U103">
        <f t="shared" ref="U103:U109" si="13">V102*1000</f>
        <v>75</v>
      </c>
      <c r="V103" s="342">
        <v>0.1</v>
      </c>
      <c r="W103" s="343">
        <v>80.2</v>
      </c>
      <c r="X103" s="344">
        <v>80.7</v>
      </c>
      <c r="Y103" s="345">
        <v>48</v>
      </c>
      <c r="Z103" s="346">
        <f t="shared" ref="Z103:Z104" si="14">Z102</f>
        <v>79.5</v>
      </c>
      <c r="AA103" s="347">
        <v>76.099999999999994</v>
      </c>
      <c r="AB103" s="348">
        <v>79.5</v>
      </c>
      <c r="AC103" s="348">
        <v>76.099999999999994</v>
      </c>
    </row>
    <row r="104" spans="5:37" ht="14" x14ac:dyDescent="0.2">
      <c r="E104" s="233" t="s">
        <v>289</v>
      </c>
      <c r="F104" s="233" t="s">
        <v>279</v>
      </c>
      <c r="G104" s="233"/>
      <c r="H104" s="233"/>
      <c r="I104" s="233"/>
      <c r="U104">
        <f t="shared" si="13"/>
        <v>100</v>
      </c>
      <c r="V104" s="342">
        <v>0.15</v>
      </c>
      <c r="W104" s="343">
        <v>78.5</v>
      </c>
      <c r="X104" s="344">
        <v>78.900000000000006</v>
      </c>
      <c r="Y104" s="345">
        <v>85</v>
      </c>
      <c r="Z104" s="346">
        <f t="shared" si="14"/>
        <v>79.5</v>
      </c>
      <c r="AA104" s="347">
        <v>76.099999999999994</v>
      </c>
      <c r="AB104" s="348">
        <v>79.5</v>
      </c>
      <c r="AC104" s="348">
        <v>76.099999999999994</v>
      </c>
    </row>
    <row r="105" spans="5:37" ht="15" x14ac:dyDescent="0.2">
      <c r="E105" s="233">
        <v>100</v>
      </c>
      <c r="F105" s="242">
        <v>0.78100000000000003</v>
      </c>
      <c r="G105" s="242"/>
      <c r="H105" s="243"/>
      <c r="I105" s="233"/>
      <c r="U105">
        <f t="shared" si="13"/>
        <v>150</v>
      </c>
      <c r="V105" s="342">
        <v>0.2</v>
      </c>
      <c r="W105" s="343">
        <v>77.2</v>
      </c>
      <c r="X105" s="344">
        <v>77.599999999999994</v>
      </c>
      <c r="Y105" s="345">
        <v>126</v>
      </c>
      <c r="Z105" s="346" t="s">
        <v>479</v>
      </c>
      <c r="AA105" s="347" t="s">
        <v>479</v>
      </c>
      <c r="AB105" s="349">
        <v>77.2</v>
      </c>
      <c r="AC105" s="350">
        <v>74.5</v>
      </c>
    </row>
    <row r="106" spans="5:37" ht="15" x14ac:dyDescent="0.2">
      <c r="E106" s="233">
        <v>90</v>
      </c>
      <c r="F106" s="242">
        <v>0.78400000000000003</v>
      </c>
      <c r="G106" s="242"/>
      <c r="H106" s="243"/>
      <c r="I106" s="233"/>
      <c r="U106">
        <f t="shared" si="13"/>
        <v>200</v>
      </c>
      <c r="V106" s="351">
        <v>0.25</v>
      </c>
      <c r="W106" s="352">
        <v>76.2</v>
      </c>
      <c r="X106" s="41">
        <v>76.7</v>
      </c>
      <c r="Y106" s="16">
        <v>168</v>
      </c>
      <c r="Z106" s="346" t="s">
        <v>479</v>
      </c>
      <c r="AA106" s="347" t="s">
        <v>479</v>
      </c>
      <c r="AB106" s="349">
        <v>76.2</v>
      </c>
      <c r="AC106" s="349">
        <v>74.099999999999994</v>
      </c>
    </row>
    <row r="107" spans="5:37" ht="15" x14ac:dyDescent="0.2">
      <c r="E107" s="233">
        <v>80</v>
      </c>
      <c r="F107" s="242">
        <v>0.78700000000000003</v>
      </c>
      <c r="G107" s="242"/>
      <c r="H107" s="243"/>
      <c r="I107" s="233"/>
      <c r="U107">
        <f t="shared" si="13"/>
        <v>250</v>
      </c>
      <c r="V107" s="351">
        <v>0.3</v>
      </c>
      <c r="W107" s="352">
        <v>75.599999999999994</v>
      </c>
      <c r="X107" s="41">
        <v>76.099999999999994</v>
      </c>
      <c r="Y107" s="16">
        <v>231</v>
      </c>
      <c r="Z107" s="346" t="s">
        <v>479</v>
      </c>
      <c r="AA107" s="347" t="s">
        <v>479</v>
      </c>
      <c r="AB107" s="349">
        <v>75.599999999999994</v>
      </c>
      <c r="AC107" s="349">
        <v>73.599999999999994</v>
      </c>
    </row>
    <row r="108" spans="5:37" ht="16" thickBot="1" x14ac:dyDescent="0.25">
      <c r="E108" s="233">
        <v>70</v>
      </c>
      <c r="F108" s="242">
        <v>0.79100000000000004</v>
      </c>
      <c r="G108" s="242"/>
      <c r="H108" s="243"/>
      <c r="I108" s="233"/>
      <c r="U108">
        <f t="shared" si="13"/>
        <v>300</v>
      </c>
      <c r="V108" s="353">
        <v>0.35</v>
      </c>
      <c r="W108" s="354">
        <v>75.3</v>
      </c>
      <c r="X108" s="355">
        <v>75.8</v>
      </c>
      <c r="Y108" s="356">
        <v>306</v>
      </c>
      <c r="Z108" s="357" t="s">
        <v>479</v>
      </c>
      <c r="AA108" s="358" t="s">
        <v>479</v>
      </c>
      <c r="AB108" s="359">
        <v>75.3</v>
      </c>
      <c r="AC108" s="359">
        <v>73.599999999999994</v>
      </c>
    </row>
    <row r="109" spans="5:37" x14ac:dyDescent="0.15">
      <c r="E109" s="233">
        <v>60</v>
      </c>
      <c r="F109" s="242">
        <v>0.79500000000000004</v>
      </c>
      <c r="G109" s="242"/>
      <c r="H109" s="243"/>
      <c r="I109" s="233"/>
      <c r="U109">
        <f t="shared" si="13"/>
        <v>350</v>
      </c>
    </row>
    <row r="110" spans="5:37" ht="14" thickBot="1" x14ac:dyDescent="0.2">
      <c r="E110" s="233">
        <v>50</v>
      </c>
      <c r="F110" s="242">
        <v>0.80200000000000005</v>
      </c>
      <c r="G110" s="242"/>
      <c r="H110" s="243"/>
      <c r="I110" s="233"/>
      <c r="AG110" s="2" t="s">
        <v>1253</v>
      </c>
    </row>
    <row r="111" spans="5:37" ht="14" thickBot="1" x14ac:dyDescent="0.2">
      <c r="E111" s="233">
        <v>40</v>
      </c>
      <c r="F111" s="242">
        <v>0.81299999999999994</v>
      </c>
      <c r="G111" s="242"/>
      <c r="H111" s="243"/>
      <c r="I111" s="233"/>
      <c r="AG111" s="228"/>
      <c r="AH111" s="230"/>
      <c r="AI111" s="230"/>
      <c r="AJ111" s="230"/>
    </row>
    <row r="112" spans="5:37" x14ac:dyDescent="0.15">
      <c r="E112" s="233">
        <v>30</v>
      </c>
      <c r="F112" s="242">
        <v>0.83399999999999996</v>
      </c>
      <c r="G112" s="242"/>
      <c r="H112" s="243"/>
      <c r="I112" s="233"/>
      <c r="AG112" s="232"/>
      <c r="AK112" s="231"/>
    </row>
    <row r="113" spans="5:37" x14ac:dyDescent="0.15">
      <c r="E113" s="233">
        <v>22</v>
      </c>
      <c r="F113" s="242">
        <v>0.86399999999999999</v>
      </c>
      <c r="G113" s="242"/>
      <c r="H113" s="243"/>
      <c r="I113" s="233"/>
      <c r="AC113" s="317" t="s">
        <v>22</v>
      </c>
      <c r="AD113" s="317">
        <v>83.5</v>
      </c>
      <c r="AE113" s="317"/>
      <c r="AG113" s="232"/>
      <c r="AH113" t="s">
        <v>22</v>
      </c>
      <c r="AI113">
        <v>79.5</v>
      </c>
      <c r="AK113" s="364"/>
    </row>
    <row r="114" spans="5:37" x14ac:dyDescent="0.15">
      <c r="E114" s="233">
        <f t="array" ref="E114:I114">LINEST(F105:F113,E105:E113^{1,2,3,4})</f>
        <v>6.6313600685290738E-9</v>
      </c>
      <c r="F114" s="233">
        <v>-2.0169962249255277E-6</v>
      </c>
      <c r="G114" s="233">
        <v>2.2914024862545594E-4</v>
      </c>
      <c r="H114" s="233">
        <v>-1.1911786201169254E-2</v>
      </c>
      <c r="I114" s="233">
        <v>1.0348159813641171</v>
      </c>
      <c r="AC114" s="317" t="s">
        <v>450</v>
      </c>
      <c r="AD114" s="317">
        <v>75.3</v>
      </c>
      <c r="AE114" s="317"/>
      <c r="AG114" s="232"/>
      <c r="AH114" t="s">
        <v>450</v>
      </c>
      <c r="AI114" s="245">
        <f>AF136</f>
        <v>0.7726223404255318</v>
      </c>
      <c r="AK114" s="364"/>
    </row>
    <row r="115" spans="5:37" x14ac:dyDescent="0.15">
      <c r="AC115" s="317"/>
      <c r="AD115" s="317"/>
      <c r="AE115" s="317"/>
      <c r="AG115" s="232"/>
      <c r="AK115" s="364"/>
    </row>
    <row r="116" spans="5:37" x14ac:dyDescent="0.15">
      <c r="E116" s="233" t="s">
        <v>290</v>
      </c>
      <c r="F116" s="235"/>
      <c r="G116" s="233"/>
      <c r="H116" s="233"/>
      <c r="I116" s="233"/>
      <c r="AC116" s="420">
        <f t="array" ref="AC116:AD116">LINEST(LN(W101:W108),LN(U102:U109))</f>
        <v>-5.4190826919211794E-2</v>
      </c>
      <c r="AD116" s="317">
        <v>4.6349616569349115</v>
      </c>
      <c r="AE116" s="420">
        <f>EXP(AD116)</f>
        <v>103.02396766479804</v>
      </c>
      <c r="AG116" s="232"/>
      <c r="AH116" s="2">
        <f t="array" ref="AH116:AJ116">LINEST(AG133:AG136,V133:V136^{1,2})</f>
        <v>7.6809505717179074E-5</v>
      </c>
      <c r="AI116" s="2">
        <v>-5.5721980890464394E-2</v>
      </c>
      <c r="AJ116" s="2">
        <v>87.350769060283667</v>
      </c>
      <c r="AK116" s="364"/>
    </row>
    <row r="117" spans="5:37" x14ac:dyDescent="0.15">
      <c r="E117" t="s">
        <v>291</v>
      </c>
      <c r="F117" s="235"/>
      <c r="G117" s="233"/>
      <c r="H117" s="233"/>
      <c r="I117" s="233"/>
      <c r="AG117" s="232"/>
      <c r="AK117" s="364"/>
    </row>
    <row r="118" spans="5:37" ht="14" thickBot="1" x14ac:dyDescent="0.2">
      <c r="E118" t="s">
        <v>292</v>
      </c>
      <c r="F118" s="235"/>
      <c r="G118" s="233"/>
      <c r="H118" s="233"/>
      <c r="I118" s="233"/>
      <c r="AC118" t="s">
        <v>480</v>
      </c>
      <c r="AG118" s="232"/>
      <c r="AH118" t="s">
        <v>480</v>
      </c>
      <c r="AK118" s="364"/>
    </row>
    <row r="119" spans="5:37" ht="14" thickBot="1" x14ac:dyDescent="0.2">
      <c r="E119" s="233" t="s">
        <v>293</v>
      </c>
      <c r="F119" s="244"/>
      <c r="AC119">
        <f>'R-series ALU'!E33</f>
        <v>9.7222222222222214</v>
      </c>
      <c r="AD119" t="s">
        <v>470</v>
      </c>
      <c r="AG119" s="232"/>
      <c r="AH119">
        <f>AC119</f>
        <v>9.7222222222222214</v>
      </c>
      <c r="AI119" t="s">
        <v>470</v>
      </c>
      <c r="AK119" s="364"/>
    </row>
    <row r="120" spans="5:37" x14ac:dyDescent="0.15">
      <c r="F120" s="245"/>
      <c r="AG120" s="232"/>
      <c r="AK120" s="364"/>
    </row>
    <row r="121" spans="5:37" ht="14" thickBot="1" x14ac:dyDescent="0.2">
      <c r="F121" s="245"/>
      <c r="AC121" s="317">
        <f>AE116*AC119^AC116</f>
        <v>91.077361324572109</v>
      </c>
      <c r="AD121" s="317" t="s">
        <v>481</v>
      </c>
      <c r="AG121" s="232"/>
      <c r="AH121" s="3">
        <f>AH116*AH119^2+AI116*AH119+AJ116</f>
        <v>86.816287737159058</v>
      </c>
      <c r="AI121" t="s">
        <v>481</v>
      </c>
      <c r="AK121" s="364"/>
    </row>
    <row r="122" spans="5:37" ht="14" thickBot="1" x14ac:dyDescent="0.2">
      <c r="E122" s="240" t="s">
        <v>282</v>
      </c>
      <c r="F122" s="233"/>
      <c r="G122" s="233"/>
      <c r="AC122" s="421">
        <f>IF(AC121&gt;AD113,AD113,IF(AC121&lt;AD114,AD114,AC121))/100</f>
        <v>0.83499999999999996</v>
      </c>
      <c r="AD122" s="317"/>
      <c r="AG122" s="232"/>
      <c r="AH122" s="423">
        <f>IF(AH121&gt;AI113,AI113,IF(AH121&lt;AI114,AI114,AH121))/100</f>
        <v>0.79500000000000004</v>
      </c>
      <c r="AK122" s="364"/>
    </row>
    <row r="123" spans="5:37" ht="14" thickBot="1" x14ac:dyDescent="0.2">
      <c r="E123" s="233"/>
      <c r="F123" s="233"/>
      <c r="G123" s="233"/>
      <c r="AG123" s="236"/>
      <c r="AH123" s="238"/>
      <c r="AI123" s="238"/>
      <c r="AJ123" s="238"/>
      <c r="AK123" s="364"/>
    </row>
    <row r="124" spans="5:37" ht="13.5" customHeight="1" thickBot="1" x14ac:dyDescent="0.2">
      <c r="E124" s="241" t="s">
        <v>294</v>
      </c>
      <c r="F124" s="233"/>
      <c r="G124" s="233"/>
      <c r="AK124" s="239"/>
    </row>
    <row r="125" spans="5:37" x14ac:dyDescent="0.15">
      <c r="E125" s="233"/>
      <c r="F125" s="233"/>
      <c r="G125" s="233"/>
    </row>
    <row r="126" spans="5:37" x14ac:dyDescent="0.15">
      <c r="E126" s="233"/>
      <c r="F126" s="233"/>
      <c r="G126" s="233"/>
    </row>
    <row r="127" spans="5:37" ht="14" thickBot="1" x14ac:dyDescent="0.2">
      <c r="E127" s="233" t="s">
        <v>286</v>
      </c>
      <c r="F127" s="233">
        <v>7</v>
      </c>
      <c r="G127" s="233" t="s">
        <v>287</v>
      </c>
      <c r="V127" s="2" t="s">
        <v>549</v>
      </c>
    </row>
    <row r="128" spans="5:37" x14ac:dyDescent="0.15">
      <c r="E128" s="233" t="s">
        <v>288</v>
      </c>
      <c r="F128" s="233">
        <v>20</v>
      </c>
      <c r="G128" s="233" t="s">
        <v>287</v>
      </c>
      <c r="V128" s="1794" t="s">
        <v>539</v>
      </c>
      <c r="W128" s="1795"/>
      <c r="X128" s="1796"/>
      <c r="Y128" s="1797" t="s">
        <v>540</v>
      </c>
      <c r="Z128" s="1798"/>
      <c r="AA128" s="1798"/>
      <c r="AB128" s="1798"/>
      <c r="AC128" s="1799"/>
      <c r="AD128" s="1800" t="s">
        <v>541</v>
      </c>
      <c r="AE128" s="1795"/>
      <c r="AF128" s="1801"/>
    </row>
    <row r="129" spans="5:33" ht="71" thickBot="1" x14ac:dyDescent="0.2">
      <c r="E129" s="233"/>
      <c r="F129" s="233"/>
      <c r="G129" s="233"/>
      <c r="V129" s="422" t="s">
        <v>485</v>
      </c>
      <c r="W129" s="396" t="s">
        <v>542</v>
      </c>
      <c r="X129" s="397" t="s">
        <v>543</v>
      </c>
      <c r="Y129" s="398" t="s">
        <v>544</v>
      </c>
      <c r="Z129" s="399" t="s">
        <v>311</v>
      </c>
      <c r="AA129" s="399" t="s">
        <v>312</v>
      </c>
      <c r="AB129" s="399" t="s">
        <v>280</v>
      </c>
      <c r="AC129" s="400" t="s">
        <v>545</v>
      </c>
      <c r="AD129" s="399" t="s">
        <v>546</v>
      </c>
      <c r="AE129" s="399" t="s">
        <v>547</v>
      </c>
      <c r="AF129" s="410" t="s">
        <v>548</v>
      </c>
    </row>
    <row r="130" spans="5:33" x14ac:dyDescent="0.15">
      <c r="E130" s="233" t="s">
        <v>289</v>
      </c>
      <c r="F130" s="233" t="s">
        <v>279</v>
      </c>
      <c r="G130" s="233"/>
      <c r="V130" s="411">
        <v>50</v>
      </c>
      <c r="W130" s="412">
        <v>89.875566893424036</v>
      </c>
      <c r="X130" s="401">
        <v>0.3</v>
      </c>
      <c r="Y130" s="402">
        <v>-26</v>
      </c>
      <c r="Z130" s="413">
        <v>11.365000000000002</v>
      </c>
      <c r="AA130" s="413">
        <v>21</v>
      </c>
      <c r="AB130" s="413">
        <v>-16.365000000000002</v>
      </c>
      <c r="AC130" s="403">
        <v>0.24965435248173343</v>
      </c>
      <c r="AD130" s="404">
        <v>0.83499999999999996</v>
      </c>
      <c r="AE130" s="405">
        <v>0.79500000000000004</v>
      </c>
      <c r="AF130" s="406">
        <v>0.79500000000000004</v>
      </c>
      <c r="AG130">
        <f>AF130*100</f>
        <v>79.5</v>
      </c>
    </row>
    <row r="131" spans="5:33" x14ac:dyDescent="0.15">
      <c r="E131" s="233">
        <v>120</v>
      </c>
      <c r="F131" s="242">
        <v>0.79100000000000004</v>
      </c>
      <c r="G131" s="242"/>
      <c r="V131" s="411">
        <v>100</v>
      </c>
      <c r="W131" s="412">
        <v>159.50226757369614</v>
      </c>
      <c r="X131" s="401">
        <v>0.35</v>
      </c>
      <c r="Y131" s="402">
        <v>-26</v>
      </c>
      <c r="Z131" s="413">
        <v>11.365000000000002</v>
      </c>
      <c r="AA131" s="413">
        <v>21</v>
      </c>
      <c r="AB131" s="413">
        <v>-16.365000000000002</v>
      </c>
      <c r="AC131" s="403">
        <v>0.3797673037468956</v>
      </c>
      <c r="AD131" s="404">
        <v>0.81499999999999995</v>
      </c>
      <c r="AE131" s="405">
        <v>0.79500000000000004</v>
      </c>
      <c r="AF131" s="407">
        <v>0.79500000000000004</v>
      </c>
      <c r="AG131">
        <f>AF131*100</f>
        <v>79.5</v>
      </c>
    </row>
    <row r="132" spans="5:33" x14ac:dyDescent="0.15">
      <c r="E132" s="233">
        <v>100</v>
      </c>
      <c r="F132" s="242">
        <v>0.79700000000000004</v>
      </c>
      <c r="G132" s="242"/>
      <c r="V132" s="411">
        <v>150</v>
      </c>
      <c r="W132" s="412">
        <v>246.38010204081638</v>
      </c>
      <c r="X132" s="401">
        <v>0.4</v>
      </c>
      <c r="Y132" s="402">
        <v>-26</v>
      </c>
      <c r="Z132" s="413">
        <v>11.365000000000002</v>
      </c>
      <c r="AA132" s="413">
        <v>21</v>
      </c>
      <c r="AB132" s="413">
        <v>-16.365000000000002</v>
      </c>
      <c r="AC132" s="403">
        <v>0.51329187925170083</v>
      </c>
      <c r="AD132" s="404">
        <v>0.80200000000000005</v>
      </c>
      <c r="AE132" s="405">
        <v>0.79500000000000004</v>
      </c>
      <c r="AF132" s="407">
        <v>0.79500000000000004</v>
      </c>
      <c r="AG132">
        <f t="shared" ref="AG132:AG136" si="15">AF132*100</f>
        <v>79.5</v>
      </c>
    </row>
    <row r="133" spans="5:33" x14ac:dyDescent="0.15">
      <c r="E133" s="233">
        <v>90</v>
      </c>
      <c r="F133" s="242">
        <v>0.80100000000000005</v>
      </c>
      <c r="G133" s="242"/>
      <c r="V133" s="411">
        <v>200</v>
      </c>
      <c r="W133" s="412">
        <v>349.12018140589578</v>
      </c>
      <c r="X133" s="401">
        <v>0.4</v>
      </c>
      <c r="Y133" s="402">
        <v>-26</v>
      </c>
      <c r="Z133" s="413">
        <v>10.895000000000003</v>
      </c>
      <c r="AA133" s="413">
        <v>21</v>
      </c>
      <c r="AB133" s="413">
        <v>-16.365000000000002</v>
      </c>
      <c r="AC133" s="403">
        <v>0.72733371126228286</v>
      </c>
      <c r="AD133" s="404">
        <v>0.78500000000000003</v>
      </c>
      <c r="AE133" s="405">
        <v>0.78500000000000003</v>
      </c>
      <c r="AF133" s="407">
        <v>0.79273759267300314</v>
      </c>
      <c r="AG133">
        <f t="shared" si="15"/>
        <v>79.273759267300321</v>
      </c>
    </row>
    <row r="134" spans="5:33" x14ac:dyDescent="0.15">
      <c r="E134" s="233">
        <v>70</v>
      </c>
      <c r="F134" s="242">
        <v>0.81299999999999994</v>
      </c>
      <c r="G134" s="242"/>
      <c r="V134" s="411">
        <v>250</v>
      </c>
      <c r="W134" s="412">
        <v>467.37528344671205</v>
      </c>
      <c r="X134" s="401">
        <v>0.4</v>
      </c>
      <c r="Y134" s="402">
        <v>-26</v>
      </c>
      <c r="Z134" s="413">
        <v>10.283999999999999</v>
      </c>
      <c r="AA134" s="413">
        <v>21</v>
      </c>
      <c r="AB134" s="413">
        <v>-16.365000000000002</v>
      </c>
      <c r="AC134" s="403">
        <v>0.9736985071806501</v>
      </c>
      <c r="AD134" s="404">
        <v>0.77200000000000002</v>
      </c>
      <c r="AE134" s="405">
        <v>0.77200000000000002</v>
      </c>
      <c r="AF134" s="407">
        <v>0.78235849475724106</v>
      </c>
      <c r="AG134">
        <f t="shared" si="15"/>
        <v>78.235849475724109</v>
      </c>
    </row>
    <row r="135" spans="5:33" x14ac:dyDescent="0.15">
      <c r="E135" s="233">
        <v>60</v>
      </c>
      <c r="F135" s="242">
        <v>0.82099999999999995</v>
      </c>
      <c r="G135" s="242"/>
      <c r="V135" s="411">
        <v>300</v>
      </c>
      <c r="W135" s="412">
        <v>601.0204081632653</v>
      </c>
      <c r="X135" s="401">
        <v>0.4</v>
      </c>
      <c r="Y135" s="402">
        <v>-26</v>
      </c>
      <c r="Z135" s="413">
        <v>9.8140000000000001</v>
      </c>
      <c r="AA135" s="413">
        <v>21</v>
      </c>
      <c r="AB135" s="413">
        <v>-16.365000000000002</v>
      </c>
      <c r="AC135" s="403">
        <v>1.252125850340136</v>
      </c>
      <c r="AD135" s="404">
        <v>0.76200000000000001</v>
      </c>
      <c r="AE135" s="405">
        <v>0.76200000000000001</v>
      </c>
      <c r="AF135" s="407">
        <v>0.77532048776957596</v>
      </c>
      <c r="AG135">
        <f t="shared" si="15"/>
        <v>77.532048776957595</v>
      </c>
    </row>
    <row r="136" spans="5:33" ht="14" thickBot="1" x14ac:dyDescent="0.2">
      <c r="E136" s="233">
        <v>50</v>
      </c>
      <c r="F136" s="242">
        <v>0.83099999999999996</v>
      </c>
      <c r="G136" s="242"/>
      <c r="V136" s="409">
        <v>350</v>
      </c>
      <c r="W136" s="396">
        <v>750</v>
      </c>
      <c r="X136" s="414">
        <v>0.4</v>
      </c>
      <c r="Y136" s="415">
        <v>-26</v>
      </c>
      <c r="Z136" s="416">
        <v>9.5319999999999965</v>
      </c>
      <c r="AA136" s="416">
        <v>21</v>
      </c>
      <c r="AB136" s="416">
        <v>-16.365000000000002</v>
      </c>
      <c r="AC136" s="417">
        <v>1.5625</v>
      </c>
      <c r="AD136" s="418">
        <v>0.75599999999999989</v>
      </c>
      <c r="AE136" s="419">
        <v>0.75599999999999989</v>
      </c>
      <c r="AF136" s="408">
        <v>0.7726223404255318</v>
      </c>
      <c r="AG136">
        <f t="shared" si="15"/>
        <v>77.262234042553175</v>
      </c>
    </row>
    <row r="137" spans="5:33" x14ac:dyDescent="0.15">
      <c r="E137" s="233">
        <v>40</v>
      </c>
      <c r="F137" s="242">
        <v>0.84299999999999997</v>
      </c>
      <c r="G137" s="242"/>
    </row>
    <row r="138" spans="5:33" x14ac:dyDescent="0.15">
      <c r="E138" s="233">
        <v>30</v>
      </c>
      <c r="F138" s="242">
        <v>0.85899999999999999</v>
      </c>
      <c r="G138" s="242"/>
    </row>
    <row r="139" spans="5:33" x14ac:dyDescent="0.15">
      <c r="E139" s="233">
        <v>25</v>
      </c>
      <c r="F139" s="242">
        <v>0.87</v>
      </c>
      <c r="G139" s="242"/>
    </row>
    <row r="140" spans="5:33" x14ac:dyDescent="0.15">
      <c r="E140" s="233">
        <f t="array" ref="E140:I140">LINEST(F131:F139,E131:E139^{1,2,3,4})</f>
        <v>1.0826812711618555E-9</v>
      </c>
      <c r="F140" s="233">
        <v>-3.8381799248930507E-7</v>
      </c>
      <c r="G140" s="233">
        <v>5.5261269010114076E-5</v>
      </c>
      <c r="H140" s="233">
        <v>-4.2806112909305688E-3</v>
      </c>
      <c r="I140" s="233">
        <v>0.94769368460499781</v>
      </c>
    </row>
    <row r="142" spans="5:33" x14ac:dyDescent="0.15">
      <c r="E142" s="233" t="s">
        <v>290</v>
      </c>
      <c r="F142" s="235">
        <f>F116</f>
        <v>0</v>
      </c>
      <c r="G142" s="233"/>
    </row>
    <row r="143" spans="5:33" x14ac:dyDescent="0.15">
      <c r="E143" t="s">
        <v>291</v>
      </c>
      <c r="F143" s="235">
        <f>F117</f>
        <v>0</v>
      </c>
      <c r="G143" s="233"/>
    </row>
    <row r="144" spans="5:33" ht="14" thickBot="1" x14ac:dyDescent="0.2">
      <c r="E144" t="s">
        <v>292</v>
      </c>
      <c r="F144" s="235">
        <f>F118</f>
        <v>0</v>
      </c>
      <c r="G144" s="233"/>
    </row>
    <row r="145" spans="5:7" ht="14" thickBot="1" x14ac:dyDescent="0.2">
      <c r="E145" s="233" t="s">
        <v>293</v>
      </c>
      <c r="F145" s="244">
        <f>MIN($E$140*F144^4+$F$140*F144^3+$G$140*F144^2+$H$140*F144+$I$140,0.85)</f>
        <v>0.85</v>
      </c>
    </row>
    <row r="148" spans="5:7" x14ac:dyDescent="0.15">
      <c r="E148" s="240" t="s">
        <v>283</v>
      </c>
      <c r="F148" s="233"/>
      <c r="G148" s="233"/>
    </row>
    <row r="149" spans="5:7" x14ac:dyDescent="0.15">
      <c r="E149" s="233"/>
      <c r="F149" s="233"/>
      <c r="G149" s="233"/>
    </row>
    <row r="150" spans="5:7" x14ac:dyDescent="0.15">
      <c r="E150" s="241" t="s">
        <v>285</v>
      </c>
      <c r="F150" s="233"/>
      <c r="G150" s="233"/>
    </row>
    <row r="151" spans="5:7" x14ac:dyDescent="0.15">
      <c r="E151" s="233"/>
      <c r="F151" s="233"/>
      <c r="G151" s="233"/>
    </row>
    <row r="152" spans="5:7" x14ac:dyDescent="0.15">
      <c r="E152" s="233"/>
      <c r="F152" s="233"/>
      <c r="G152" s="233"/>
    </row>
    <row r="153" spans="5:7" x14ac:dyDescent="0.15">
      <c r="E153" s="233" t="s">
        <v>286</v>
      </c>
      <c r="F153" s="233">
        <v>7</v>
      </c>
      <c r="G153" s="233" t="s">
        <v>287</v>
      </c>
    </row>
    <row r="154" spans="5:7" x14ac:dyDescent="0.15">
      <c r="E154" s="233" t="s">
        <v>288</v>
      </c>
      <c r="F154" s="233">
        <v>20</v>
      </c>
      <c r="G154" s="233" t="s">
        <v>287</v>
      </c>
    </row>
    <row r="155" spans="5:7" x14ac:dyDescent="0.15">
      <c r="E155" s="233"/>
      <c r="F155" s="233"/>
      <c r="G155" s="233"/>
    </row>
    <row r="156" spans="5:7" x14ac:dyDescent="0.15">
      <c r="E156" s="233" t="s">
        <v>289</v>
      </c>
      <c r="F156" s="233" t="s">
        <v>279</v>
      </c>
      <c r="G156" s="233"/>
    </row>
    <row r="157" spans="5:7" x14ac:dyDescent="0.15">
      <c r="E157" s="233">
        <v>100</v>
      </c>
      <c r="F157" s="242"/>
      <c r="G157" s="242"/>
    </row>
    <row r="158" spans="5:7" x14ac:dyDescent="0.15">
      <c r="E158" s="233">
        <v>90</v>
      </c>
      <c r="F158" s="242"/>
      <c r="G158" s="242"/>
    </row>
    <row r="159" spans="5:7" x14ac:dyDescent="0.15">
      <c r="E159" s="233">
        <v>80</v>
      </c>
      <c r="F159" s="242"/>
      <c r="G159" s="242"/>
    </row>
    <row r="160" spans="5:7" x14ac:dyDescent="0.15">
      <c r="E160" s="233">
        <v>70</v>
      </c>
      <c r="F160" s="242"/>
      <c r="G160" s="242"/>
    </row>
    <row r="161" spans="5:9" x14ac:dyDescent="0.15">
      <c r="E161" s="233">
        <v>60</v>
      </c>
      <c r="F161" s="242"/>
      <c r="G161" s="242"/>
    </row>
    <row r="162" spans="5:9" x14ac:dyDescent="0.15">
      <c r="E162" s="233">
        <v>50</v>
      </c>
      <c r="F162" s="242"/>
      <c r="G162" s="242"/>
    </row>
    <row r="163" spans="5:9" x14ac:dyDescent="0.15">
      <c r="E163" s="233">
        <v>40</v>
      </c>
      <c r="F163" s="242"/>
      <c r="G163" s="242"/>
    </row>
    <row r="164" spans="5:9" x14ac:dyDescent="0.15">
      <c r="E164" s="233">
        <v>30</v>
      </c>
      <c r="F164" s="242"/>
      <c r="G164" s="242"/>
    </row>
    <row r="165" spans="5:9" x14ac:dyDescent="0.15">
      <c r="E165" s="233">
        <v>22</v>
      </c>
      <c r="F165" s="242"/>
      <c r="G165" s="242"/>
    </row>
    <row r="166" spans="5:9" x14ac:dyDescent="0.15">
      <c r="E166" s="233" t="e">
        <f t="array" ref="E166:I166">LINEST(F157:F165,E157:E165^{1,2,3,4})</f>
        <v>#VALUE!</v>
      </c>
      <c r="F166" s="233" t="e">
        <v>#VALUE!</v>
      </c>
      <c r="G166" s="233" t="e">
        <v>#VALUE!</v>
      </c>
      <c r="H166" s="233" t="e">
        <v>#VALUE!</v>
      </c>
      <c r="I166" s="233" t="e">
        <v>#VALUE!</v>
      </c>
    </row>
    <row r="168" spans="5:9" x14ac:dyDescent="0.15">
      <c r="E168" s="233" t="s">
        <v>290</v>
      </c>
      <c r="F168" s="235">
        <f>F142</f>
        <v>0</v>
      </c>
      <c r="G168" s="233"/>
    </row>
    <row r="169" spans="5:9" x14ac:dyDescent="0.15">
      <c r="E169" t="s">
        <v>291</v>
      </c>
      <c r="F169" s="235">
        <f>F143</f>
        <v>0</v>
      </c>
      <c r="G169" s="233"/>
    </row>
    <row r="170" spans="5:9" ht="14" thickBot="1" x14ac:dyDescent="0.2">
      <c r="E170" t="s">
        <v>292</v>
      </c>
      <c r="F170" s="235">
        <f>F144</f>
        <v>0</v>
      </c>
      <c r="G170" s="233"/>
    </row>
    <row r="171" spans="5:9" ht="14" thickBot="1" x14ac:dyDescent="0.2">
      <c r="E171" s="233" t="s">
        <v>293</v>
      </c>
      <c r="F171" s="244" t="e">
        <f>MIN($E$166*F170^4+$F$166*F170^3+$G$166*F170^2+$H$166*F170+$I$166,0.82)</f>
        <v>#VALUE!</v>
      </c>
    </row>
  </sheetData>
  <mergeCells count="10">
    <mergeCell ref="W99:Y99"/>
    <mergeCell ref="V128:X128"/>
    <mergeCell ref="Y128:AC128"/>
    <mergeCell ref="AD128:AF128"/>
    <mergeCell ref="X9:AA9"/>
    <mergeCell ref="X22:AA22"/>
    <mergeCell ref="X34:AA34"/>
    <mergeCell ref="X46:AA46"/>
    <mergeCell ref="X58:AA58"/>
    <mergeCell ref="X69:AA69"/>
  </mergeCells>
  <phoneticPr fontId="96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E86E1-5E4B-4ABA-9C06-EC03555E6170}">
  <dimension ref="A1:S125"/>
  <sheetViews>
    <sheetView topLeftCell="D1" zoomScaleNormal="100" workbookViewId="0">
      <selection activeCell="B126" sqref="B126"/>
    </sheetView>
  </sheetViews>
  <sheetFormatPr baseColWidth="10" defaultColWidth="8.83203125" defaultRowHeight="13" x14ac:dyDescent="0.15"/>
  <cols>
    <col min="1" max="8" width="30.83203125" customWidth="1"/>
    <col min="9" max="9" width="53.33203125" customWidth="1"/>
    <col min="10" max="19" width="30.83203125" customWidth="1"/>
  </cols>
  <sheetData>
    <row r="1" spans="1:19" s="870" customFormat="1" ht="15" x14ac:dyDescent="0.2">
      <c r="A1" s="871" t="s">
        <v>1959</v>
      </c>
      <c r="B1" s="871" t="s">
        <v>1960</v>
      </c>
      <c r="C1" s="871" t="s">
        <v>2593</v>
      </c>
      <c r="D1" s="871" t="s">
        <v>2049</v>
      </c>
      <c r="E1" s="871" t="s">
        <v>2050</v>
      </c>
      <c r="F1" s="871" t="s">
        <v>2051</v>
      </c>
      <c r="G1" s="886" t="s">
        <v>2052</v>
      </c>
      <c r="H1" s="892" t="s">
        <v>2053</v>
      </c>
      <c r="I1" s="1088" t="s">
        <v>2054</v>
      </c>
      <c r="J1" s="892" t="s">
        <v>2055</v>
      </c>
      <c r="K1" s="889" t="s">
        <v>2056</v>
      </c>
      <c r="L1" s="871" t="s">
        <v>2057</v>
      </c>
      <c r="M1" s="871" t="s">
        <v>2058</v>
      </c>
      <c r="N1" s="871" t="s">
        <v>2059</v>
      </c>
      <c r="O1" s="871" t="s">
        <v>2060</v>
      </c>
      <c r="P1" s="871" t="s">
        <v>1993</v>
      </c>
      <c r="Q1" s="871" t="s">
        <v>1995</v>
      </c>
      <c r="R1" s="871" t="s">
        <v>1996</v>
      </c>
      <c r="S1" s="871" t="s">
        <v>2001</v>
      </c>
    </row>
    <row r="2" spans="1:19" ht="71" x14ac:dyDescent="0.2">
      <c r="A2" s="872" t="str">
        <f t="shared" ref="A2:G2" si="0">A29</f>
        <v>2 = C = Commercial AHU, LTO-Vastavirtasiirrin</v>
      </c>
      <c r="B2" s="873" t="str">
        <f t="shared" si="0"/>
        <v>005, 500dm³/s…1800m³/h   (Kone: Airfi Model C5 Electric, 230VAC 50Hz 16A, max ottoteho 2 kW  /  Airfi Model C5 Water, 230VAC 50Hz 16A, max ottoteho 2 kW )</v>
      </c>
      <c r="C2" s="872" t="str">
        <f t="shared" si="0"/>
        <v>1 = R = oikea (jäteilma oikeassa reunassa huoltosuunnasta katsoen), Vakiotoimitus, jos ei muuta pyydetty</v>
      </c>
      <c r="D2" s="872" t="str">
        <f t="shared" si="0"/>
        <v>1 = Airfi automatiikka, valmiina mm. ModBus RTU/TCP . Monipuoliset kytkentä mahdollisuudet jne… Vakiotoimitus jos ei muuta pyydetty.</v>
      </c>
      <c r="E2" s="872" t="str">
        <f t="shared" si="0"/>
        <v>5 = ISO ePM10 50% (M5 taso)</v>
      </c>
      <c r="F2" s="872" t="str">
        <f t="shared" si="0"/>
        <v>5 = ISO ePM10 50%,  (Vakiotoimitus C-koneissa, jos ei valittu muuta) (aiempi luokitus M5-taso)</v>
      </c>
      <c r="G2" s="887" t="str">
        <f t="shared" si="0"/>
        <v>11 = Electric, Jälkilämmityspaketti 1: Sulakekoko 400VAC 3x16A, max ottoteho 7,2 kW - Oma jälkilämmityksen syöttö (malleihin C5)</v>
      </c>
      <c r="H2" s="1017" t="str">
        <f>IF(OR($G$12=1,$G$12=2),H40,IF($G$12=3,H51,H62))</f>
        <v>1 = Electric, Vakiona valitun teholuokan mukaiset varusteet (Huom! Electric malleissa jälkilämmityksen oma sähkönsyöttö)</v>
      </c>
      <c r="I2" s="893" t="str">
        <f t="shared" ref="I2:P2" si="1">I29</f>
        <v xml:space="preserve">0 = ei sisäistä jäähdytystä. Vakiotoimitus jos ei muuta pyydetty. </v>
      </c>
      <c r="J2" s="1017" t="str">
        <f t="shared" si="1"/>
        <v>0 = Ei jäähdytyksen toimilaitteita tai venttiileitä. Vakiotoimitus jos ei muuta pyydetty.</v>
      </c>
      <c r="K2" s="890" t="str">
        <f t="shared" si="1"/>
        <v>0 = Ei suodatinvahteja.  Vakiotoimitus jos ei muuta pyydetty.</v>
      </c>
      <c r="L2" s="872" t="str">
        <f t="shared" si="1"/>
        <v>0 = Ei vakiopainesäätöä. Vakiotoimitus jos ei muuta pyydetty.</v>
      </c>
      <c r="M2" s="874" t="str">
        <f t="shared" si="1"/>
        <v xml:space="preserve">0 = Ei ilmamäärämittausta. Vakiotoimitus jos ei muuta pyydetty. </v>
      </c>
      <c r="N2" s="872" t="str">
        <f t="shared" si="1"/>
        <v>0 = Ei  sulkupeltejä eikä toimilaitteita jäte- ja ulkoilmalle. Vakiotoimitus jos ei muuta pyydetty.</v>
      </c>
      <c r="O2" s="1015" t="str">
        <f t="shared" si="1"/>
        <v xml:space="preserve">0 = Ei sensoreita. Vakiotoimitus jos ei muuta pyydetty. </v>
      </c>
      <c r="P2" s="872" t="str">
        <f t="shared" si="1"/>
        <v>0 = Ei energiamittareita. Vakiotoimitus jos ei muuta pyydetty.</v>
      </c>
      <c r="Q2" s="1015" t="str">
        <f>IF($D$12=1,Q40,Q51)</f>
        <v>8 = Mille Wire (vakiona toimituksessa C-sarjan koneissa 1 kpl)</v>
      </c>
      <c r="R2" s="1015" t="str">
        <f>R29</f>
        <v>00 = Oletus (ei valittu),  Vakiotoimitus jos ei muuta pyydetty)</v>
      </c>
      <c r="S2" s="872" t="str">
        <f>S29</f>
        <v>1 = Erikseen selvitetty toiminto, dokumentaatio vaaditaan liitteeksi.</v>
      </c>
    </row>
    <row r="3" spans="1:19" ht="113" x14ac:dyDescent="0.2">
      <c r="A3" s="872"/>
      <c r="B3" s="873" t="str">
        <f t="shared" ref="B3:B4" si="2">B30</f>
        <v>0xx, xxxdm³/s…xxxxm³/h (Future version)</v>
      </c>
      <c r="C3" s="872" t="str">
        <f>C30</f>
        <v>2 = L  = vasen (jäteilma vasemmassa reunassa huoltosuunnasta katsoen)</v>
      </c>
      <c r="D3" s="872" t="str">
        <f>D30</f>
        <v>2 = Rivilitinversio, toimilaitteet johdotettu riviliittimelle. Sisältää mm. 5 kpl lämpötila-anturi NTC, ja vesimallissa lisäksi 1 kpl jäätymissuoja-anturi NTC. Sekä koodiavaimen valintojen mukaisesti lähettimet. Toimitus ei sisällä ohjaussäätimiä.</v>
      </c>
      <c r="E3" s="872" t="str">
        <f t="shared" ref="E3:G4" si="3">E30</f>
        <v>6 = ISO ePM1 65%,  (Vakiotoimitus C-koneissa, jos ei valittu muuta) (aiempi luokitus F7 taso)</v>
      </c>
      <c r="F3" s="872" t="str">
        <f t="shared" si="3"/>
        <v>6 = ISO ePM1 65% (F7-taso)</v>
      </c>
      <c r="G3" s="887" t="str">
        <f t="shared" si="3"/>
        <v>12 = Electric, Jälkilämmityspaketti 2: Sulakekoko 400VAC 3x25A, max ottoteho 14,4 kW - Oma jälkilämmityksen syöttö (malleihin C5, Cxx),  Vakiotoimitus konekoossa C5 Electric jos ei muuta pyydetty</v>
      </c>
      <c r="H3" s="1017" t="str">
        <f t="shared" ref="H3:H4" si="4">IF(OR($G$12=1,$G$12=2),H41,IF($G$12=3,H52,H63))</f>
        <v>1 = Electric, Vakiona valitun teholuokan mukaiset varusteet (Huom! Electric malleissa jälkilämmityksen oma sähkönsyöttö)</v>
      </c>
      <c r="I3" s="893" t="str">
        <f t="shared" ref="I3:I5" si="5">I30</f>
        <v>1 = Jäähdytys neste, patteriteho 1 ,esim. 7/12 - 10/15 (mitoita ohjelmassa). Vakiotoimitus C-sarjassa jos valittu jäähdytyspatteri ja ei muuta pyydetty</v>
      </c>
      <c r="J3" s="1017" t="str">
        <f>IF($I$12=2,J52,IF($I$12=3,J63,J41))</f>
        <v>0 = Ei jäähdytyksen toimilaitteita tai venttiileitä. Vakiotoimitus jos ei muuta pyydetty.</v>
      </c>
      <c r="K3" s="890" t="str">
        <f t="shared" ref="K3:K5" si="6">K30</f>
        <v xml:space="preserve">1 = Suodatinvahti tulo </v>
      </c>
      <c r="L3" s="872" t="str">
        <f>L30</f>
        <v>1 = Vakiopainesäätö tulo ja poisto (vakiopainesäädön mittauspisteet letkutetaan työmaalla)</v>
      </c>
      <c r="M3" s="874" t="str">
        <f>M30</f>
        <v>1 = Toim. alk. Q2/2025 - Ilmavirtamittaus tulo- ja poistoilmavirralle</v>
      </c>
      <c r="N3" s="872" t="str">
        <f t="shared" ref="N3:N9" si="7">N30</f>
        <v>1 = Sulkupellit sekä jousipalautteiset toimilaitteet (1kpl ulkoilma + 1 kpl jäteilma), valmiiksi tehtaalla sähköisesti kytketty . CAT4 luokka.</v>
      </c>
      <c r="O3" s="1015" t="str">
        <f>IF($D$12=1,O41,O52)</f>
        <v>1 = RH - lähetin</v>
      </c>
      <c r="P3" s="872" t="str">
        <f t="shared" ref="P3:P4" si="8">P30</f>
        <v>1 = Energiamittari käyttösähkö (puhallinenergia ja automaatio)</v>
      </c>
      <c r="Q3" s="1015"/>
      <c r="R3" s="1015" t="str">
        <f>IF($D$12=1,R41,R52)</f>
        <v>01 =Uno White</v>
      </c>
      <c r="S3" s="872" t="str">
        <f t="shared" ref="S3:S4" si="9">S30</f>
        <v>2 = Lisäaikapainike  (asennus ja johdotus SU)</v>
      </c>
    </row>
    <row r="4" spans="1:19" ht="70" x14ac:dyDescent="0.15">
      <c r="A4" s="872"/>
      <c r="B4" s="873" t="str">
        <f t="shared" si="2"/>
        <v>0xx, xxxdm³/s…xxxxm³/h (Future version)</v>
      </c>
      <c r="C4" s="872"/>
      <c r="D4" s="872"/>
      <c r="E4" s="872" t="str">
        <f t="shared" si="3"/>
        <v>7 = ISO ePM1 85% (F8/F9 taso)</v>
      </c>
      <c r="F4" s="872" t="str">
        <f t="shared" si="3"/>
        <v>7 = ISO ePM1 85% (F8/F9 taso)</v>
      </c>
      <c r="G4" s="887" t="str">
        <f t="shared" si="3"/>
        <v>61 = Water-  soveltuu esim. 50/30 vedelle (mitoita ohjelmassa), Vakiotoimitus mallissa C5 Water jos ei muuta pyydetty</v>
      </c>
      <c r="H4" s="1017" t="str">
        <f t="shared" si="4"/>
        <v>1 = Electric, Vakiona valitun teholuokan mukaiset varusteet (Huom! Electric malleissa jälkilämmityksen oma sähkönsyöttö)</v>
      </c>
      <c r="I4" s="893" t="str">
        <f t="shared" si="5"/>
        <v>2 = Jäähdytys neste , patteriteho 2. esim. 10/18 -kaukokylmä/maajärjestelmä  (mitoita ohjelmassa)</v>
      </c>
      <c r="J4" s="1017" t="str">
        <f>IF($I$12=2,J53,IF($I$12=3,J64,J42))</f>
        <v>0 = Ei jäähdytyksen toimilaitteita tai venttiileitä. Vakiotoimitus jos ei muuta pyydetty.</v>
      </c>
      <c r="K4" s="890" t="str">
        <f t="shared" si="6"/>
        <v>2 = Suodatinvahti poisto</v>
      </c>
      <c r="L4" s="872"/>
      <c r="M4" s="872"/>
      <c r="N4" s="872" t="str">
        <f t="shared" si="7"/>
        <v>2 = Sulkupellit sekä jousipalautteiset toimilaitteet (1kpl Ulkoilma + 1 kpl jäteilma), valmiiksi tehtaalla sähköisesti kytketty . Eristetyt säleet , CAT 4 luokka.</v>
      </c>
      <c r="O4" s="1015" t="str">
        <f t="shared" ref="O4:O6" si="10">IF($D$12=1,O42,O53)</f>
        <v>2 = CO2 - lähetin</v>
      </c>
      <c r="P4" s="872" t="str">
        <f t="shared" si="8"/>
        <v>2 = Energiamittari käyttösähkö  (puhallinenergia ja automaatio) ja lisäksi sähkökoneessa erillinen jälkilämmityksen energian kulutusmittaus.</v>
      </c>
      <c r="Q4" s="1015"/>
      <c r="R4" s="1015" t="str">
        <f t="shared" ref="R4:R6" si="11">IF($D$12=1,R42,R53)</f>
        <v>03 =Sento White</v>
      </c>
      <c r="S4" s="872" t="str">
        <f t="shared" si="9"/>
        <v>9 = Toimitus listauksen mukaisesti</v>
      </c>
    </row>
    <row r="5" spans="1:19" ht="42" x14ac:dyDescent="0.15">
      <c r="A5" s="872"/>
      <c r="B5" s="872"/>
      <c r="C5" s="877"/>
      <c r="D5" s="872"/>
      <c r="E5" s="872"/>
      <c r="F5" s="872"/>
      <c r="G5" s="887" t="str">
        <f t="shared" ref="G5" si="12">G32</f>
        <v>62 = Water- matalille lämpötiloille, esim. 35/25 - 35/30 (mitoita ohjelmassa)</v>
      </c>
      <c r="H5" s="1017">
        <f>IF(OR($G$12=1,$G$12=2),H43,IF($G$12=3,H54,H65))</f>
        <v>0</v>
      </c>
      <c r="I5" s="893" t="str">
        <f t="shared" si="5"/>
        <v>7 = Jäähdytys suorahöyrystyspatteri DX-1,   (mitoita ohjelmassa), toimitus sisältää patterin, ei toimilaitteita</v>
      </c>
      <c r="J5" s="1017"/>
      <c r="K5" s="890" t="str">
        <f t="shared" si="6"/>
        <v>3 = Suodatinvahti tulo ja poisto</v>
      </c>
      <c r="L5" s="872"/>
      <c r="M5" s="872"/>
      <c r="N5" s="872" t="str">
        <f t="shared" si="7"/>
        <v>3 = Sulkupelti sekä jousipalautteinen toimilaite Ulkoilma (1kpl) , valmiiksi tehtaalla sähköisesti kytketty . Eristetyt säleet , CAT 4 luokka.</v>
      </c>
      <c r="O5" s="1015" t="str">
        <f t="shared" si="10"/>
        <v>3 = RH + CO2 - lähetin</v>
      </c>
      <c r="P5" s="872"/>
      <c r="Q5" s="1015"/>
      <c r="R5" s="1015" t="str">
        <f t="shared" si="11"/>
        <v>04 = Sento Black</v>
      </c>
      <c r="S5" s="872"/>
    </row>
    <row r="6" spans="1:19" ht="56" x14ac:dyDescent="0.15">
      <c r="A6" s="872"/>
      <c r="B6" s="872"/>
      <c r="C6" s="872"/>
      <c r="D6" s="872"/>
      <c r="E6" s="872"/>
      <c r="F6" s="872"/>
      <c r="G6" s="887"/>
      <c r="H6" s="1017">
        <f>IF(OR($G$12=1,$G$12=2),H44,IF($G$12=3,H55,H66))</f>
        <v>0</v>
      </c>
      <c r="I6" s="893"/>
      <c r="J6" s="1017"/>
      <c r="K6" s="890"/>
      <c r="L6" s="872"/>
      <c r="M6" s="872"/>
      <c r="N6" s="872" t="str">
        <f t="shared" si="7"/>
        <v>4 = Sulkupelti sekä jousipalautteinen toimilaite Jäteilma (1kpl), valmiiksi tehtaalla sähköisesti kytketty . Eristetyt säleet , CAT 4 luokka.</v>
      </c>
      <c r="O6" s="1015" t="str">
        <f t="shared" si="10"/>
        <v>5 = Toim. alk. 3/2025 , Airfi Multisensor (vain Airfi automatiikassa) ,  säätimeltä valitaan mitä suuretta käytetään.</v>
      </c>
      <c r="P6" s="872"/>
      <c r="Q6" s="1015"/>
      <c r="R6" s="1015" t="str">
        <f t="shared" si="11"/>
        <v xml:space="preserve">07 =Mille Wifi </v>
      </c>
      <c r="S6" s="872"/>
    </row>
    <row r="7" spans="1:19" ht="41.25" customHeight="1" x14ac:dyDescent="0.15">
      <c r="A7" s="872"/>
      <c r="B7" s="872"/>
      <c r="C7" s="872"/>
      <c r="D7" s="872"/>
      <c r="E7" s="872"/>
      <c r="F7" s="872"/>
      <c r="G7" s="887"/>
      <c r="H7" s="1017">
        <f>IF(OR($G$12=1,$G$12=2),H45,IF($G$12=3,H56,H67))</f>
        <v>0</v>
      </c>
      <c r="I7" s="893"/>
      <c r="J7" s="1017"/>
      <c r="K7" s="890"/>
      <c r="L7" s="872"/>
      <c r="M7" s="872"/>
      <c r="N7" s="872" t="str">
        <f t="shared" si="7"/>
        <v>5 = Sulkupellit (1kpl Ulkoilma + 1 kpl jäteilma), EI TOIMILAITTEITA.  CAT 4 luokka.</v>
      </c>
      <c r="O7" s="1015"/>
      <c r="P7" s="872"/>
      <c r="Q7" s="1015"/>
      <c r="R7" s="1015"/>
      <c r="S7" s="872"/>
    </row>
    <row r="8" spans="1:19" ht="41.25" customHeight="1" x14ac:dyDescent="0.15">
      <c r="A8" s="872"/>
      <c r="B8" s="872"/>
      <c r="C8" s="872"/>
      <c r="D8" s="872"/>
      <c r="E8" s="872"/>
      <c r="F8" s="872"/>
      <c r="G8" s="887"/>
      <c r="H8" s="1017"/>
      <c r="I8" s="893"/>
      <c r="J8" s="1017"/>
      <c r="K8" s="890"/>
      <c r="L8" s="872"/>
      <c r="M8" s="872"/>
      <c r="N8" s="872" t="str">
        <f t="shared" si="7"/>
        <v>6 = Sulkupelti Ulkoilma (1kpl), EI TOIMILAITETTA.  CAT 4 luokka.</v>
      </c>
      <c r="O8" s="1015"/>
      <c r="P8" s="872"/>
      <c r="Q8" s="1015"/>
      <c r="R8" s="1015"/>
      <c r="S8" s="872"/>
    </row>
    <row r="9" spans="1:19" ht="41.25" customHeight="1" thickBot="1" x14ac:dyDescent="0.2">
      <c r="A9" s="875"/>
      <c r="B9" s="875"/>
      <c r="C9" s="875"/>
      <c r="D9" s="875"/>
      <c r="E9" s="875"/>
      <c r="F9" s="875"/>
      <c r="G9" s="888"/>
      <c r="H9" s="1018"/>
      <c r="I9" s="894"/>
      <c r="J9" s="1019"/>
      <c r="K9" s="891"/>
      <c r="L9" s="875"/>
      <c r="M9" s="875"/>
      <c r="N9" s="872" t="str">
        <f t="shared" si="7"/>
        <v>7 = Sulkupelti Jäteilma (1kpl), EI TOIMILAITETTA. CAT 4 luokka.</v>
      </c>
      <c r="O9" s="1016"/>
      <c r="P9" s="875"/>
      <c r="Q9" s="1016"/>
      <c r="R9" s="1016"/>
      <c r="S9" s="875"/>
    </row>
    <row r="10" spans="1:19" x14ac:dyDescent="0.15">
      <c r="H10" s="897"/>
      <c r="J10" s="897"/>
    </row>
    <row r="11" spans="1:19" x14ac:dyDescent="0.15">
      <c r="A11" s="2" t="s">
        <v>21</v>
      </c>
      <c r="H11" s="898"/>
      <c r="J11" s="898"/>
    </row>
    <row r="12" spans="1:19" s="143" customFormat="1" ht="21.75" customHeight="1" x14ac:dyDescent="0.15">
      <c r="A12" s="880">
        <f>'C koodit'!B79</f>
        <v>1</v>
      </c>
      <c r="B12" s="880">
        <f>'C koodit'!B81</f>
        <v>1</v>
      </c>
      <c r="C12" s="880">
        <f>'C koodit'!$B$83</f>
        <v>1</v>
      </c>
      <c r="D12" s="880">
        <f>'C koodit'!$B$85</f>
        <v>1</v>
      </c>
      <c r="E12" s="880">
        <f>'C koodit'!$B$87</f>
        <v>2</v>
      </c>
      <c r="F12" s="880">
        <f>'C koodit'!$B$89</f>
        <v>1</v>
      </c>
      <c r="G12" s="895">
        <f>'C koodit'!$B$91</f>
        <v>2</v>
      </c>
      <c r="H12" s="899">
        <f>'C koodit'!$B$93</f>
        <v>1</v>
      </c>
      <c r="I12" s="901">
        <f>'C koodit'!$B$95</f>
        <v>1</v>
      </c>
      <c r="J12" s="899">
        <f>'C koodit'!$B$97</f>
        <v>1</v>
      </c>
      <c r="K12" s="896">
        <f>'C koodit'!$B$99</f>
        <v>1</v>
      </c>
      <c r="L12" s="880">
        <f>'C koodit'!$B$101</f>
        <v>1</v>
      </c>
      <c r="M12" s="880">
        <f>'C koodit'!$B$103</f>
        <v>1</v>
      </c>
      <c r="N12" s="880">
        <f>'C koodit'!$B$105</f>
        <v>1</v>
      </c>
      <c r="O12" s="880">
        <f>'C koodit'!$B$107</f>
        <v>1</v>
      </c>
      <c r="P12" s="880">
        <f>'C koodit'!$B$109</f>
        <v>1</v>
      </c>
      <c r="Q12" s="880">
        <f>'C koodit'!$B$111</f>
        <v>1</v>
      </c>
      <c r="R12" s="880">
        <f>'C koodit'!$B$113</f>
        <v>1</v>
      </c>
      <c r="S12" s="880">
        <f>'C koodit'!$B$115</f>
        <v>3</v>
      </c>
    </row>
    <row r="13" spans="1:19" ht="14" thickBot="1" x14ac:dyDescent="0.2">
      <c r="E13" t="str">
        <f>IF(E12=1,"ISO ePM10 50%",IF(E12=3,"ISO ePM1 85%","ISO ePM1 65%"))</f>
        <v>ISO ePM1 65%</v>
      </c>
      <c r="F13" t="str">
        <f>IF(F12=2,"ISO ePM1 65%",IF(F12=3,"ISO ePM1 85%","ISO ePM10 50%"))</f>
        <v>ISO ePM10 50%</v>
      </c>
      <c r="H13" s="900"/>
      <c r="J13" s="900"/>
    </row>
    <row r="14" spans="1:19" ht="14" x14ac:dyDescent="0.15">
      <c r="A14" s="83" t="s">
        <v>2068</v>
      </c>
      <c r="H14" s="1020" t="s">
        <v>2076</v>
      </c>
      <c r="J14" s="1020" t="s">
        <v>2076</v>
      </c>
      <c r="O14" s="1020" t="s">
        <v>2076</v>
      </c>
      <c r="Q14" s="1020" t="s">
        <v>2076</v>
      </c>
      <c r="R14" s="1020" t="s">
        <v>2076</v>
      </c>
    </row>
    <row r="15" spans="1:19" x14ac:dyDescent="0.15">
      <c r="A15" s="878">
        <v>2</v>
      </c>
      <c r="B15" s="879" t="s">
        <v>2064</v>
      </c>
      <c r="C15" s="878">
        <v>1</v>
      </c>
      <c r="D15" s="878">
        <v>1</v>
      </c>
      <c r="E15" s="878">
        <v>5</v>
      </c>
      <c r="F15" s="878">
        <v>5</v>
      </c>
      <c r="G15" s="881">
        <v>11</v>
      </c>
      <c r="H15" s="883">
        <f>IF(OR($G$12=1,$G$12=2),1,3)</f>
        <v>1</v>
      </c>
      <c r="I15" s="885">
        <v>0</v>
      </c>
      <c r="J15" s="883">
        <v>0</v>
      </c>
      <c r="K15" s="882">
        <v>0</v>
      </c>
      <c r="L15" s="878">
        <v>0</v>
      </c>
      <c r="M15" s="878">
        <v>0</v>
      </c>
      <c r="N15" s="878">
        <v>0</v>
      </c>
      <c r="O15" s="878">
        <v>0</v>
      </c>
      <c r="P15" s="878">
        <v>0</v>
      </c>
      <c r="Q15" s="878">
        <f>IF($D$12=1,8,0)</f>
        <v>8</v>
      </c>
      <c r="R15" s="879" t="s">
        <v>2067</v>
      </c>
      <c r="S15" s="878">
        <v>1</v>
      </c>
    </row>
    <row r="16" spans="1:19" x14ac:dyDescent="0.15">
      <c r="A16" s="878"/>
      <c r="B16" s="878" t="s">
        <v>2065</v>
      </c>
      <c r="C16" s="878">
        <v>2</v>
      </c>
      <c r="D16" s="878">
        <v>2</v>
      </c>
      <c r="E16" s="878">
        <v>6</v>
      </c>
      <c r="F16" s="878">
        <v>6</v>
      </c>
      <c r="G16" s="881">
        <v>12</v>
      </c>
      <c r="H16" s="883">
        <f>IF(OR($G$12=1,$G$12=2),1,IF($G$12=3,5,6))</f>
        <v>1</v>
      </c>
      <c r="I16" s="885">
        <v>1</v>
      </c>
      <c r="J16" s="883">
        <f>IF($I$12=2,1,IF($I$12=3,2,0))</f>
        <v>0</v>
      </c>
      <c r="K16" s="882">
        <v>1</v>
      </c>
      <c r="L16" s="878">
        <v>1</v>
      </c>
      <c r="M16" s="878">
        <v>1</v>
      </c>
      <c r="N16" s="878">
        <v>1</v>
      </c>
      <c r="O16" s="878">
        <f>IF($D$12=1,1,0)</f>
        <v>1</v>
      </c>
      <c r="P16" s="878">
        <v>1</v>
      </c>
      <c r="Q16" s="878"/>
      <c r="R16" s="879" t="str">
        <f>IF($D$12=2,R15,"01")</f>
        <v>01</v>
      </c>
      <c r="S16" s="878">
        <v>2</v>
      </c>
    </row>
    <row r="17" spans="1:19" x14ac:dyDescent="0.15">
      <c r="A17" s="878"/>
      <c r="B17" s="878" t="s">
        <v>2065</v>
      </c>
      <c r="C17" s="878"/>
      <c r="D17" s="878"/>
      <c r="E17" s="878">
        <v>7</v>
      </c>
      <c r="F17" s="878">
        <v>7</v>
      </c>
      <c r="G17" s="881">
        <v>61</v>
      </c>
      <c r="H17" s="883">
        <f>IF(OR($G$12=1,$G$12=2),1,IF($G$12=3,7,8))</f>
        <v>1</v>
      </c>
      <c r="I17" s="885">
        <v>2</v>
      </c>
      <c r="J17" s="883">
        <f>IF($I$12=2,6,IF($I$12=3,7,0))</f>
        <v>0</v>
      </c>
      <c r="K17" s="882">
        <v>2</v>
      </c>
      <c r="L17" s="878"/>
      <c r="M17" s="878"/>
      <c r="N17" s="878">
        <v>2</v>
      </c>
      <c r="O17" s="878">
        <f>IF($D$12=1,2,0)</f>
        <v>2</v>
      </c>
      <c r="P17" s="878">
        <v>2</v>
      </c>
      <c r="Q17" s="878"/>
      <c r="R17" s="879" t="str">
        <f>IF($D$12=2,R16,"03")</f>
        <v>03</v>
      </c>
      <c r="S17" s="878">
        <v>9</v>
      </c>
    </row>
    <row r="18" spans="1:19" x14ac:dyDescent="0.15">
      <c r="A18" s="878"/>
      <c r="B18" s="878"/>
      <c r="C18" s="878"/>
      <c r="D18" s="878"/>
      <c r="E18" s="878"/>
      <c r="F18" s="878"/>
      <c r="G18" s="881">
        <v>62</v>
      </c>
      <c r="H18" s="883"/>
      <c r="I18" s="885">
        <v>7</v>
      </c>
      <c r="J18" s="883"/>
      <c r="K18" s="882">
        <v>3</v>
      </c>
      <c r="L18" s="878"/>
      <c r="M18" s="878"/>
      <c r="N18" s="878">
        <v>3</v>
      </c>
      <c r="O18" s="878">
        <f>IF($D$12=1,3,0)</f>
        <v>3</v>
      </c>
      <c r="P18" s="878"/>
      <c r="Q18" s="878"/>
      <c r="R18" s="879" t="str">
        <f>IF($D$12=2,R17,"04")</f>
        <v>04</v>
      </c>
      <c r="S18" s="878"/>
    </row>
    <row r="19" spans="1:19" x14ac:dyDescent="0.15">
      <c r="A19" s="878"/>
      <c r="B19" s="878"/>
      <c r="C19" s="878"/>
      <c r="D19" s="878"/>
      <c r="E19" s="878"/>
      <c r="F19" s="878"/>
      <c r="G19" s="881"/>
      <c r="H19" s="883"/>
      <c r="I19" s="885"/>
      <c r="J19" s="883"/>
      <c r="K19" s="882"/>
      <c r="L19" s="878"/>
      <c r="M19" s="878"/>
      <c r="N19" s="878">
        <v>4</v>
      </c>
      <c r="O19" s="878">
        <f>IF($D$12=1,5,0)</f>
        <v>5</v>
      </c>
      <c r="P19" s="878"/>
      <c r="Q19" s="878"/>
      <c r="R19" s="879" t="str">
        <f>IF($D$12=2,R18,"07")</f>
        <v>07</v>
      </c>
      <c r="S19" s="878"/>
    </row>
    <row r="20" spans="1:19" x14ac:dyDescent="0.15">
      <c r="A20" s="878"/>
      <c r="B20" s="878"/>
      <c r="C20" s="878"/>
      <c r="D20" s="878"/>
      <c r="E20" s="878"/>
      <c r="F20" s="878"/>
      <c r="G20" s="881"/>
      <c r="H20" s="883"/>
      <c r="I20" s="885"/>
      <c r="J20" s="883"/>
      <c r="K20" s="882"/>
      <c r="L20" s="878"/>
      <c r="M20" s="878"/>
      <c r="N20" s="878">
        <v>5</v>
      </c>
      <c r="O20" s="878"/>
      <c r="P20" s="878"/>
      <c r="Q20" s="878"/>
      <c r="R20" s="878"/>
      <c r="S20" s="878"/>
    </row>
    <row r="21" spans="1:19" x14ac:dyDescent="0.15">
      <c r="A21" s="878"/>
      <c r="B21" s="878"/>
      <c r="C21" s="878"/>
      <c r="D21" s="878"/>
      <c r="E21" s="878"/>
      <c r="F21" s="878"/>
      <c r="G21" s="881"/>
      <c r="H21" s="883"/>
      <c r="I21" s="885"/>
      <c r="J21" s="883"/>
      <c r="K21" s="882"/>
      <c r="L21" s="878"/>
      <c r="M21" s="878"/>
      <c r="N21" s="878">
        <v>6</v>
      </c>
      <c r="O21" s="878"/>
      <c r="P21" s="878"/>
      <c r="Q21" s="878"/>
      <c r="R21" s="878"/>
      <c r="S21" s="878"/>
    </row>
    <row r="22" spans="1:19" ht="14" thickBot="1" x14ac:dyDescent="0.2">
      <c r="A22" s="878"/>
      <c r="B22" s="878"/>
      <c r="C22" s="878"/>
      <c r="D22" s="878"/>
      <c r="E22" s="878"/>
      <c r="F22" s="878"/>
      <c r="G22" s="881"/>
      <c r="H22" s="884"/>
      <c r="I22" s="885"/>
      <c r="J22" s="884"/>
      <c r="K22" s="882"/>
      <c r="L22" s="878"/>
      <c r="M22" s="878"/>
      <c r="N22" s="878">
        <v>7</v>
      </c>
      <c r="O22" s="878"/>
      <c r="P22" s="878"/>
      <c r="Q22" s="878"/>
      <c r="R22" s="878"/>
      <c r="S22" s="878"/>
    </row>
    <row r="23" spans="1:19" x14ac:dyDescent="0.15">
      <c r="O23" t="s">
        <v>2225</v>
      </c>
      <c r="R23" t="s">
        <v>2225</v>
      </c>
    </row>
    <row r="24" spans="1:19" x14ac:dyDescent="0.15">
      <c r="B24" t="s">
        <v>2644</v>
      </c>
      <c r="G24" t="s">
        <v>2644</v>
      </c>
      <c r="O24" t="s">
        <v>2226</v>
      </c>
      <c r="R24" t="s">
        <v>2226</v>
      </c>
    </row>
    <row r="25" spans="1:19" x14ac:dyDescent="0.15">
      <c r="B25">
        <f>IF($B$12=1,5,"0xx")</f>
        <v>5</v>
      </c>
      <c r="G25" s="2" t="str">
        <f>IF($G$12&lt;3,"Electric","Water")</f>
        <v>Electric</v>
      </c>
    </row>
    <row r="28" spans="1:19" ht="14" x14ac:dyDescent="0.15">
      <c r="A28" s="83" t="s">
        <v>2484</v>
      </c>
    </row>
    <row r="29" spans="1:19" ht="89.25" customHeight="1" x14ac:dyDescent="0.15">
      <c r="A29" s="1359" t="str">
        <f>KirjastoC_koodit!W4</f>
        <v>2 = C = Commercial AHU, LTO-Vastavirtasiirrin</v>
      </c>
      <c r="B29" s="1359" t="str">
        <f>KirjastoC_koodit!X4</f>
        <v>005, 500dm³/s…1800m³/h   (Kone: Airfi Model C5 Electric, 230VAC 50Hz 16A, max ottoteho 2 kW  /  Airfi Model C5 Water, 230VAC 50Hz 16A, max ottoteho 2 kW )</v>
      </c>
      <c r="C29" s="1359" t="str">
        <f>KirjastoC_koodit!Y4</f>
        <v>1 = R = oikea (jäteilma oikeassa reunassa huoltosuunnasta katsoen), Vakiotoimitus, jos ei muuta pyydetty</v>
      </c>
      <c r="D29" s="1359" t="str">
        <f>KirjastoC_koodit!Z4</f>
        <v>1 = Airfi automatiikka, valmiina mm. ModBus RTU/TCP . Monipuoliset kytkentä mahdollisuudet jne… Vakiotoimitus jos ei muuta pyydetty.</v>
      </c>
      <c r="E29" s="1359" t="str">
        <f>KirjastoC_koodit!AA4</f>
        <v>5 = ISO ePM10 50% (M5 taso)</v>
      </c>
      <c r="F29" s="1359" t="str">
        <f>KirjastoC_koodit!AB4</f>
        <v>5 = ISO ePM10 50%,  (Vakiotoimitus C-koneissa, jos ei valittu muuta) (aiempi luokitus M5-taso)</v>
      </c>
      <c r="G29" s="1359" t="str">
        <f>KirjastoC_koodit!AC4</f>
        <v>11 = Electric, Jälkilämmityspaketti 1: Sulakekoko 400VAC 3x16A, max ottoteho 7,2 kW - Oma jälkilämmityksen syöttö (malleihin C5)</v>
      </c>
      <c r="H29" s="1359" t="str">
        <f>KirjastoC_koodit!AD4</f>
        <v>1 = Electric, Vakiona valitun teholuokan mukaiset varusteet (Huom! Electric malleissa jälkilämmityksen oma sähkönsyöttö)</v>
      </c>
      <c r="I29" s="1359" t="str">
        <f>KirjastoC_koodit!AE4</f>
        <v xml:space="preserve">0 = ei sisäistä jäähdytystä. Vakiotoimitus jos ei muuta pyydetty. </v>
      </c>
      <c r="J29" s="1359" t="str">
        <f>KirjastoC_koodit!AF4</f>
        <v>0 = Ei jäähdytyksen toimilaitteita tai venttiileitä. Vakiotoimitus jos ei muuta pyydetty.</v>
      </c>
      <c r="K29" s="1359" t="str">
        <f>KirjastoC_koodit!AG4</f>
        <v>0 = Ei suodatinvahteja.  Vakiotoimitus jos ei muuta pyydetty.</v>
      </c>
      <c r="L29" s="1359" t="str">
        <f>KirjastoC_koodit!AH4</f>
        <v>0 = Ei vakiopainesäätöä. Vakiotoimitus jos ei muuta pyydetty.</v>
      </c>
      <c r="M29" s="1359" t="str">
        <f>KirjastoC_koodit!AI4</f>
        <v xml:space="preserve">0 = Ei ilmamäärämittausta. Vakiotoimitus jos ei muuta pyydetty. </v>
      </c>
      <c r="N29" s="1359" t="str">
        <f>KirjastoC_koodit!AJ4</f>
        <v>0 = Ei  sulkupeltejä eikä toimilaitteita jäte- ja ulkoilmalle. Vakiotoimitus jos ei muuta pyydetty.</v>
      </c>
      <c r="O29" s="1359" t="str">
        <f>KirjastoC_koodit!AK4</f>
        <v xml:space="preserve">0 = Ei sensoreita. Vakiotoimitus jos ei muuta pyydetty. </v>
      </c>
      <c r="P29" s="1359" t="str">
        <f>KirjastoC_koodit!AL4</f>
        <v>0 = Ei energiamittareita. Vakiotoimitus jos ei muuta pyydetty.</v>
      </c>
      <c r="Q29" s="1359" t="str">
        <f>KirjastoC_koodit!AM4</f>
        <v>0 = Ei ohjainta,  Vakiotoimitus riviliitinkoneessa, ei voi valita muuta</v>
      </c>
      <c r="R29" s="1359" t="str">
        <f>KirjastoC_koodit!AN4</f>
        <v>00 = Oletus (ei valittu),  Vakiotoimitus jos ei muuta pyydetty)</v>
      </c>
      <c r="S29" s="1359" t="str">
        <f>KirjastoC_koodit!AO4</f>
        <v>1 = Erikseen selvitetty toiminto, dokumentaatio vaaditaan liitteeksi.</v>
      </c>
    </row>
    <row r="30" spans="1:19" ht="89.25" customHeight="1" x14ac:dyDescent="0.15">
      <c r="A30" s="1359" t="str">
        <f>KirjastoC_koodit!W5</f>
        <v/>
      </c>
      <c r="B30" s="1359" t="str">
        <f>KirjastoC_koodit!X5</f>
        <v>0xx, xxxdm³/s…xxxxm³/h (Future version)</v>
      </c>
      <c r="C30" s="1359" t="str">
        <f>KirjastoC_koodit!Y5</f>
        <v>2 = L  = vasen (jäteilma vasemmassa reunassa huoltosuunnasta katsoen)</v>
      </c>
      <c r="D30" s="1359" t="str">
        <f>KirjastoC_koodit!Z5</f>
        <v>2 = Rivilitinversio, toimilaitteet johdotettu riviliittimelle. Sisältää mm. 5 kpl lämpötila-anturi NTC, ja vesimallissa lisäksi 1 kpl jäätymissuoja-anturi NTC. Sekä koodiavaimen valintojen mukaisesti lähettimet. Toimitus ei sisällä ohjaussäätimiä.</v>
      </c>
      <c r="E30" s="1359" t="str">
        <f>KirjastoC_koodit!AA5</f>
        <v>6 = ISO ePM1 65%,  (Vakiotoimitus C-koneissa, jos ei valittu muuta) (aiempi luokitus F7 taso)</v>
      </c>
      <c r="F30" s="1359" t="str">
        <f>KirjastoC_koodit!AB5</f>
        <v>6 = ISO ePM1 65% (F7-taso)</v>
      </c>
      <c r="G30" s="1359" t="str">
        <f>KirjastoC_koodit!AC5</f>
        <v>12 = Electric, Jälkilämmityspaketti 2: Sulakekoko 400VAC 3x25A, max ottoteho 14,4 kW - Oma jälkilämmityksen syöttö (malleihin C5, Cxx),  Vakiotoimitus konekoossa C5 Electric jos ei muuta pyydetty</v>
      </c>
      <c r="H30" s="1359" t="str">
        <f>KirjastoC_koodit!AD5</f>
        <v>3 = Water ,  Toimituksessa ei mukana vesipatterin toimilaitteita tai venttiileitä -  Vakiotoimitus C-sarjan Water -koneissa jos ei muuta pyydetty.</v>
      </c>
      <c r="I30" s="1359" t="str">
        <f>KirjastoC_koodit!AE5</f>
        <v>1 = Jäähdytys neste, patteriteho 1 ,esim. 7/12 - 10/15 (mitoita ohjelmassa). Vakiotoimitus C-sarjassa jos valittu jäähdytyspatteri ja ei muuta pyydetty</v>
      </c>
      <c r="J30" s="1359" t="str">
        <f>KirjastoC_koodit!AF5</f>
        <v xml:space="preserve">1 = Toim. alk. Q3/2025, Jäähdytyksen 3- tieventtiili ja toimilaite - patterin 7/12 - 10/15 mukaan (toimitus irrallaan, kytkentä ja asennus PU). Sähköisesti Plug&amp;Play valmis. </v>
      </c>
      <c r="K30" s="1359" t="str">
        <f>KirjastoC_koodit!AG5</f>
        <v xml:space="preserve">1 = Suodatinvahti tulo </v>
      </c>
      <c r="L30" s="1359" t="str">
        <f>KirjastoC_koodit!AH5</f>
        <v>1 = Vakiopainesäätö tulo ja poisto (vakiopainesäädön mittauspisteet letkutetaan työmaalla)</v>
      </c>
      <c r="M30" s="1359" t="str">
        <f>KirjastoC_koodit!AI5</f>
        <v>1 = Toim. alk. Q2/2025 - Ilmavirtamittaus tulo- ja poistoilmavirralle</v>
      </c>
      <c r="N30" s="1359" t="str">
        <f>KirjastoC_koodit!AJ5</f>
        <v>1 = Sulkupellit sekä jousipalautteiset toimilaitteet (1kpl ulkoilma + 1 kpl jäteilma), valmiiksi tehtaalla sähköisesti kytketty . CAT4 luokka.</v>
      </c>
      <c r="O30" s="1359" t="str">
        <f>KirjastoC_koodit!AK5</f>
        <v>1 = RH - lähetin</v>
      </c>
      <c r="P30" s="1359" t="str">
        <f>KirjastoC_koodit!AL5</f>
        <v>1 = Energiamittari käyttösähkö (puhallinenergia ja automaatio)</v>
      </c>
      <c r="Q30" s="1359" t="str">
        <f>KirjastoC_koodit!AM5</f>
        <v>8 = Mille Wire (vakiona toimituksessa C-sarjan koneissa 1 kpl)</v>
      </c>
      <c r="R30" s="1359" t="str">
        <f>KirjastoC_koodit!AN5</f>
        <v>01 =Uno White</v>
      </c>
      <c r="S30" s="1359" t="str">
        <f>KirjastoC_koodit!AO5</f>
        <v>2 = Lisäaikapainike  (asennus ja johdotus SU)</v>
      </c>
    </row>
    <row r="31" spans="1:19" ht="89.25" customHeight="1" x14ac:dyDescent="0.15">
      <c r="A31" s="1359" t="str">
        <f>KirjastoC_koodit!W6</f>
        <v/>
      </c>
      <c r="B31" s="1359" t="str">
        <f>KirjastoC_koodit!X6</f>
        <v>0xx, xxxdm³/s…xxxxm³/h (Future version)</v>
      </c>
      <c r="C31" s="1359" t="str">
        <f>KirjastoC_koodit!Y6</f>
        <v/>
      </c>
      <c r="D31" s="1359" t="str">
        <f>KirjastoC_koodit!Z6</f>
        <v/>
      </c>
      <c r="E31" s="1359" t="str">
        <f>KirjastoC_koodit!AA6</f>
        <v>7 = ISO ePM1 85% (F8/F9 taso)</v>
      </c>
      <c r="F31" s="1359" t="str">
        <f>KirjastoC_koodit!AB6</f>
        <v>7 = ISO ePM1 85% (F8/F9 taso)</v>
      </c>
      <c r="G31" s="1359" t="str">
        <f>KirjastoC_koodit!AC6</f>
        <v>61 = Water-  soveltuu esim. 50/30 vedelle (mitoita ohjelmassa), Vakiotoimitus mallissa C5 Water jos ei muuta pyydetty</v>
      </c>
      <c r="H31" s="1359" t="str">
        <f>KirjastoC_koodit!AD6</f>
        <v xml:space="preserve">5 = Toim.alk.Q2/2025, Water , Jälkilämmityksen 2-tieventtiili ja toimilaite - patterin 50/30 mukaan (toimitus irrallaan, kytkentä ja asennus PU). Sähköisesti Plug&amp;Play valmis. </v>
      </c>
      <c r="I31" s="1359" t="str">
        <f>KirjastoC_koodit!AE6</f>
        <v>2 = Jäähdytys neste , patteriteho 2. esim. 10/18 -kaukokylmä/maajärjestelmä  (mitoita ohjelmassa)</v>
      </c>
      <c r="J31" s="1359" t="str">
        <f>KirjastoC_koodit!AF6</f>
        <v xml:space="preserve">2 = Toim. alk. Q3/2025, Jäähdytyksen 3- tieventtiili ja toimilaite - patterin 10/18 mukaan (toimitus irrallaan, kytkentä ja asennus PU). Sähköisesti Plug&amp;Play valmis. </v>
      </c>
      <c r="K31" s="1359" t="str">
        <f>KirjastoC_koodit!AG6</f>
        <v>2 = Suodatinvahti poisto</v>
      </c>
      <c r="L31" s="1359" t="str">
        <f>KirjastoC_koodit!AH6</f>
        <v/>
      </c>
      <c r="M31" s="1359" t="str">
        <f>KirjastoC_koodit!AI6</f>
        <v/>
      </c>
      <c r="N31" s="1359" t="str">
        <f>KirjastoC_koodit!AJ6</f>
        <v>2 = Sulkupellit sekä jousipalautteiset toimilaitteet (1kpl Ulkoilma + 1 kpl jäteilma), valmiiksi tehtaalla sähköisesti kytketty . Eristetyt säleet , CAT 4 luokka.</v>
      </c>
      <c r="O31" s="1359" t="str">
        <f>KirjastoC_koodit!AK6</f>
        <v>2 = CO2 - lähetin</v>
      </c>
      <c r="P31" s="1359" t="str">
        <f>KirjastoC_koodit!AL6</f>
        <v>2 = Energiamittari käyttösähkö  (puhallinenergia ja automaatio) ja lisäksi sähkökoneessa erillinen jälkilämmityksen energian kulutusmittaus.</v>
      </c>
      <c r="Q31" s="1359" t="str">
        <f>KirjastoC_koodit!AM6</f>
        <v/>
      </c>
      <c r="R31" s="1359" t="str">
        <f>KirjastoC_koodit!AN6</f>
        <v>03 =Sento White</v>
      </c>
      <c r="S31" s="1359" t="str">
        <f>KirjastoC_koodit!AO6</f>
        <v>9 = Toimitus listauksen mukaisesti</v>
      </c>
    </row>
    <row r="32" spans="1:19" ht="89.25" customHeight="1" x14ac:dyDescent="0.15">
      <c r="A32" s="1359" t="str">
        <f>KirjastoC_koodit!W7</f>
        <v/>
      </c>
      <c r="B32" s="1359" t="str">
        <f>KirjastoC_koodit!X7</f>
        <v/>
      </c>
      <c r="C32" s="1359" t="str">
        <f>KirjastoC_koodit!Y7</f>
        <v/>
      </c>
      <c r="D32" s="1359" t="str">
        <f>KirjastoC_koodit!Z7</f>
        <v/>
      </c>
      <c r="E32" s="1359" t="str">
        <f>KirjastoC_koodit!AA7</f>
        <v/>
      </c>
      <c r="F32" s="1359" t="str">
        <f>KirjastoC_koodit!AB7</f>
        <v/>
      </c>
      <c r="G32" s="1359" t="str">
        <f>KirjastoC_koodit!AC7</f>
        <v>62 = Water- matalille lämpötiloille, esim. 35/25 - 35/30 (mitoita ohjelmassa)</v>
      </c>
      <c r="H32" s="1359" t="str">
        <f>KirjastoC_koodit!AD7</f>
        <v xml:space="preserve">6 = Toim. alk. Q2/2025, Water , Jälkilämmityksen 2-tieventtiili ja toimilaite - patterin 35/25 - 35/30 mukaan (toimitus irrallaan, kytkentä ja asennus PU). Sähköisesti Plug&amp;Play valmis. </v>
      </c>
      <c r="I32" s="1359" t="str">
        <f>KirjastoC_koodit!AE7</f>
        <v>7 = Jäähdytys suorahöyrystyspatteri DX-1,   (mitoita ohjelmassa), toimitus sisältää patterin, ei toimilaitteita</v>
      </c>
      <c r="J32" s="1359" t="str">
        <f>KirjastoC_koodit!AF7</f>
        <v xml:space="preserve">6 = Toim. alk. Q3/2025, Jäähdytyksen pumppuryhmä 7/12 - 10/15 kasattuna ja eristettynä (toimitus erillispakettina, kytkentä ja asennus PU). Sähköisesti Plug&amp;Play valmis. </v>
      </c>
      <c r="K32" s="1359" t="str">
        <f>KirjastoC_koodit!AG7</f>
        <v>3 = Suodatinvahti tulo ja poisto</v>
      </c>
      <c r="L32" s="1359" t="str">
        <f>KirjastoC_koodit!AH7</f>
        <v/>
      </c>
      <c r="M32" s="1359" t="str">
        <f>KirjastoC_koodit!AI7</f>
        <v/>
      </c>
      <c r="N32" s="1359" t="str">
        <f>KirjastoC_koodit!AJ7</f>
        <v>3 = Sulkupelti sekä jousipalautteinen toimilaite Ulkoilma (1kpl) , valmiiksi tehtaalla sähköisesti kytketty . Eristetyt säleet , CAT 4 luokka.</v>
      </c>
      <c r="O32" s="1359" t="str">
        <f>KirjastoC_koodit!AK7</f>
        <v>3 = RH + CO2 - lähetin</v>
      </c>
      <c r="P32" s="1359" t="str">
        <f>KirjastoC_koodit!AL7</f>
        <v/>
      </c>
      <c r="Q32" s="1359" t="str">
        <f>KirjastoC_koodit!AM7</f>
        <v/>
      </c>
      <c r="R32" s="1359" t="str">
        <f>KirjastoC_koodit!AN7</f>
        <v>04 = Sento Black</v>
      </c>
      <c r="S32" s="1359" t="str">
        <f>KirjastoC_koodit!AO7</f>
        <v/>
      </c>
    </row>
    <row r="33" spans="1:19" ht="89.25" customHeight="1" x14ac:dyDescent="0.15">
      <c r="A33" s="1359" t="str">
        <f>KirjastoC_koodit!W8</f>
        <v/>
      </c>
      <c r="B33" s="1359" t="str">
        <f>KirjastoC_koodit!X8</f>
        <v/>
      </c>
      <c r="C33" s="1359" t="str">
        <f>KirjastoC_koodit!Y8</f>
        <v/>
      </c>
      <c r="D33" s="1359" t="str">
        <f>KirjastoC_koodit!Z8</f>
        <v/>
      </c>
      <c r="E33" s="1359" t="str">
        <f>KirjastoC_koodit!AA8</f>
        <v/>
      </c>
      <c r="F33" s="1359" t="str">
        <f>KirjastoC_koodit!AB8</f>
        <v/>
      </c>
      <c r="G33" s="1359" t="str">
        <f>KirjastoC_koodit!AC8</f>
        <v/>
      </c>
      <c r="H33" s="1359" t="str">
        <f>KirjastoC_koodit!AD8</f>
        <v>7 = Toim. alk. Q3/2025, Water ,  Jälkilämmityksen pumppuryhmä 50/30 kasattuna ja eristettynä (toimitus erillispakettina, kytkentä ja asennus PU). Sähköisesti Plug&amp;Play valmis</v>
      </c>
      <c r="I33" s="1359" t="str">
        <f>KirjastoC_koodit!AE8</f>
        <v/>
      </c>
      <c r="J33" s="1359" t="str">
        <f>KirjastoC_koodit!AF8</f>
        <v xml:space="preserve">7 = Toim. alk. Q3/2025, Jäähdytyksen pumppuryhmä 10/18 kasattuna ja eristettynä (toimitus erillispakettina, kytkentä ja asennus PU). Sähköisesti Plug&amp;Play valmis. </v>
      </c>
      <c r="K33" s="1359" t="str">
        <f>KirjastoC_koodit!AG8</f>
        <v/>
      </c>
      <c r="L33" s="1359" t="str">
        <f>KirjastoC_koodit!AH8</f>
        <v/>
      </c>
      <c r="M33" s="1359" t="str">
        <f>KirjastoC_koodit!AI8</f>
        <v/>
      </c>
      <c r="N33" s="1359" t="str">
        <f>KirjastoC_koodit!AJ8</f>
        <v>4 = Sulkupelti sekä jousipalautteinen toimilaite Jäteilma (1kpl), valmiiksi tehtaalla sähköisesti kytketty . Eristetyt säleet , CAT 4 luokka.</v>
      </c>
      <c r="O33" s="1359" t="str">
        <f>KirjastoC_koodit!AK8</f>
        <v>5 = Toim. alk. 3/2025 , Airfi Multisensor (vain Airfi automatiikassa) ,  säätimeltä valitaan mitä suuretta käytetään.</v>
      </c>
      <c r="P33" s="1359" t="str">
        <f>KirjastoC_koodit!AL8</f>
        <v/>
      </c>
      <c r="Q33" s="1359" t="str">
        <f>KirjastoC_koodit!AM8</f>
        <v/>
      </c>
      <c r="R33" s="1359" t="str">
        <f>KirjastoC_koodit!AN8</f>
        <v xml:space="preserve">07 =Mille Wifi </v>
      </c>
      <c r="S33" s="1359" t="str">
        <f>KirjastoC_koodit!AO8</f>
        <v/>
      </c>
    </row>
    <row r="34" spans="1:19" ht="89.25" customHeight="1" x14ac:dyDescent="0.15">
      <c r="A34" s="1359" t="str">
        <f>KirjastoC_koodit!W9</f>
        <v/>
      </c>
      <c r="B34" s="1359" t="str">
        <f>KirjastoC_koodit!X9</f>
        <v/>
      </c>
      <c r="C34" s="1359" t="str">
        <f>KirjastoC_koodit!Y9</f>
        <v/>
      </c>
      <c r="D34" s="1359" t="str">
        <f>KirjastoC_koodit!Z9</f>
        <v/>
      </c>
      <c r="E34" s="1359" t="str">
        <f>KirjastoC_koodit!AA9</f>
        <v/>
      </c>
      <c r="F34" s="1359" t="str">
        <f>KirjastoC_koodit!AB9</f>
        <v/>
      </c>
      <c r="G34" s="1359" t="str">
        <f>KirjastoC_koodit!AC9</f>
        <v/>
      </c>
      <c r="H34" s="1359" t="str">
        <f>KirjastoC_koodit!AD9</f>
        <v>8 = Toim. alk. Q3/2025, Water ,  Jälkilämmityksen pumppuryhmä 35/25 - 35/30 kasattuna ja eristettynä (toimitus erillispakettina, kytkentä ja asennus PU). Sähköisesti Plug&amp;Play valmis</v>
      </c>
      <c r="I34" s="1359" t="str">
        <f>KirjastoC_koodit!AE9</f>
        <v/>
      </c>
      <c r="J34" s="1359" t="str">
        <f>KirjastoC_koodit!AF9</f>
        <v/>
      </c>
      <c r="K34" s="1359" t="str">
        <f>KirjastoC_koodit!AG9</f>
        <v/>
      </c>
      <c r="L34" s="1359" t="str">
        <f>KirjastoC_koodit!AH9</f>
        <v/>
      </c>
      <c r="M34" s="1359" t="str">
        <f>KirjastoC_koodit!AI9</f>
        <v/>
      </c>
      <c r="N34" s="1359" t="str">
        <f>KirjastoC_koodit!AJ9</f>
        <v>5 = Sulkupellit (1kpl Ulkoilma + 1 kpl jäteilma), EI TOIMILAITTEITA.  CAT 4 luokka.</v>
      </c>
      <c r="O34" s="1359" t="str">
        <f>KirjastoC_koodit!AK9</f>
        <v/>
      </c>
      <c r="P34" s="1359" t="str">
        <f>KirjastoC_koodit!AL9</f>
        <v/>
      </c>
      <c r="Q34" s="1359" t="str">
        <f>KirjastoC_koodit!AM9</f>
        <v/>
      </c>
      <c r="R34" s="1359" t="str">
        <f>KirjastoC_koodit!AN9</f>
        <v/>
      </c>
      <c r="S34" s="1359" t="str">
        <f>KirjastoC_koodit!AO9</f>
        <v/>
      </c>
    </row>
    <row r="35" spans="1:19" ht="89.25" customHeight="1" x14ac:dyDescent="0.15">
      <c r="A35" s="1359" t="str">
        <f>KirjastoC_koodit!W10</f>
        <v/>
      </c>
      <c r="B35" s="1359" t="str">
        <f>KirjastoC_koodit!X10</f>
        <v/>
      </c>
      <c r="C35" s="1359" t="str">
        <f>KirjastoC_koodit!Y10</f>
        <v/>
      </c>
      <c r="D35" s="1359" t="str">
        <f>KirjastoC_koodit!Z10</f>
        <v/>
      </c>
      <c r="E35" s="1359" t="str">
        <f>KirjastoC_koodit!AA10</f>
        <v/>
      </c>
      <c r="F35" s="1359" t="str">
        <f>KirjastoC_koodit!AB10</f>
        <v/>
      </c>
      <c r="G35" s="1359" t="str">
        <f>KirjastoC_koodit!AC10</f>
        <v/>
      </c>
      <c r="H35" s="1359" t="str">
        <f>KirjastoC_koodit!AD10</f>
        <v/>
      </c>
      <c r="I35" s="1359" t="str">
        <f>KirjastoC_koodit!AE10</f>
        <v/>
      </c>
      <c r="J35" s="1359" t="str">
        <f>KirjastoC_koodit!AF10</f>
        <v/>
      </c>
      <c r="K35" s="1359" t="str">
        <f>KirjastoC_koodit!AG10</f>
        <v/>
      </c>
      <c r="L35" s="1359" t="str">
        <f>KirjastoC_koodit!AH10</f>
        <v/>
      </c>
      <c r="M35" s="1359" t="str">
        <f>KirjastoC_koodit!AI10</f>
        <v/>
      </c>
      <c r="N35" s="1359" t="str">
        <f>KirjastoC_koodit!AJ10</f>
        <v>6 = Sulkupelti Ulkoilma (1kpl), EI TOIMILAITETTA.  CAT 4 luokka.</v>
      </c>
      <c r="O35" s="1359" t="str">
        <f>KirjastoC_koodit!AK10</f>
        <v/>
      </c>
      <c r="P35" s="1359" t="str">
        <f>KirjastoC_koodit!AL10</f>
        <v/>
      </c>
      <c r="Q35" s="1359" t="str">
        <f>KirjastoC_koodit!AM10</f>
        <v/>
      </c>
      <c r="R35" s="1359" t="str">
        <f>KirjastoC_koodit!AN10</f>
        <v/>
      </c>
      <c r="S35" s="1359" t="str">
        <f>KirjastoC_koodit!AO10</f>
        <v/>
      </c>
    </row>
    <row r="36" spans="1:19" ht="89.25" customHeight="1" x14ac:dyDescent="0.15">
      <c r="A36" s="1359" t="str">
        <f>KirjastoC_koodit!W11</f>
        <v/>
      </c>
      <c r="B36" s="1359" t="str">
        <f>KirjastoC_koodit!X11</f>
        <v/>
      </c>
      <c r="C36" s="1359" t="str">
        <f>KirjastoC_koodit!Y11</f>
        <v/>
      </c>
      <c r="D36" s="1359" t="str">
        <f>KirjastoC_koodit!Z11</f>
        <v/>
      </c>
      <c r="E36" s="1359" t="str">
        <f>KirjastoC_koodit!AA11</f>
        <v/>
      </c>
      <c r="F36" s="1359" t="str">
        <f>KirjastoC_koodit!AB11</f>
        <v/>
      </c>
      <c r="G36" s="1359" t="str">
        <f>KirjastoC_koodit!AC11</f>
        <v/>
      </c>
      <c r="H36" s="1359" t="str">
        <f>KirjastoC_koodit!AD11</f>
        <v/>
      </c>
      <c r="I36" s="1359" t="str">
        <f>KirjastoC_koodit!AE11</f>
        <v/>
      </c>
      <c r="J36" s="1359" t="str">
        <f>KirjastoC_koodit!AF11</f>
        <v/>
      </c>
      <c r="K36" s="1359" t="str">
        <f>KirjastoC_koodit!AG11</f>
        <v/>
      </c>
      <c r="L36" s="1359" t="str">
        <f>KirjastoC_koodit!AH11</f>
        <v/>
      </c>
      <c r="M36" s="1359" t="str">
        <f>KirjastoC_koodit!AI11</f>
        <v/>
      </c>
      <c r="N36" s="1359" t="str">
        <f>KirjastoC_koodit!AJ11</f>
        <v>7 = Sulkupelti Jäteilma (1kpl), EI TOIMILAITETTA. CAT 4 luokka.</v>
      </c>
      <c r="O36" s="1359" t="str">
        <f>KirjastoC_koodit!AK11</f>
        <v/>
      </c>
      <c r="P36" s="1359" t="str">
        <f>KirjastoC_koodit!AL11</f>
        <v/>
      </c>
      <c r="Q36" s="1359" t="str">
        <f>KirjastoC_koodit!AM11</f>
        <v/>
      </c>
      <c r="R36" s="1359" t="str">
        <f>KirjastoC_koodit!AN11</f>
        <v/>
      </c>
      <c r="S36" s="1359" t="str">
        <f>KirjastoC_koodit!AO11</f>
        <v/>
      </c>
    </row>
    <row r="39" spans="1:19" ht="14" x14ac:dyDescent="0.15">
      <c r="A39" s="83" t="s">
        <v>2070</v>
      </c>
      <c r="H39" s="2" t="s">
        <v>2072</v>
      </c>
      <c r="J39" s="2" t="s">
        <v>2078</v>
      </c>
      <c r="O39" s="2" t="s">
        <v>2150</v>
      </c>
      <c r="Q39" s="2" t="s">
        <v>2150</v>
      </c>
      <c r="R39" s="2" t="s">
        <v>2150</v>
      </c>
    </row>
    <row r="40" spans="1:19" ht="78" customHeight="1" x14ac:dyDescent="0.2">
      <c r="A40" s="872"/>
      <c r="B40" s="873"/>
      <c r="C40" s="872"/>
      <c r="D40" s="872"/>
      <c r="E40" s="872"/>
      <c r="F40" s="872"/>
      <c r="G40" s="872"/>
      <c r="H40" s="872" t="str">
        <f>$H$29</f>
        <v>1 = Electric, Vakiona valitun teholuokan mukaiset varusteet (Huom! Electric malleissa jälkilämmityksen oma sähkönsyöttö)</v>
      </c>
      <c r="I40" s="872"/>
      <c r="J40" s="872" t="str">
        <f>$J$29</f>
        <v>0 = Ei jäähdytyksen toimilaitteita tai venttiileitä. Vakiotoimitus jos ei muuta pyydetty.</v>
      </c>
      <c r="K40" s="872"/>
      <c r="L40" s="872"/>
      <c r="M40" s="874"/>
      <c r="N40" s="872"/>
      <c r="O40" s="872" t="str">
        <f>O29</f>
        <v xml:space="preserve">0 = Ei sensoreita. Vakiotoimitus jos ei muuta pyydetty. </v>
      </c>
      <c r="P40" s="872"/>
      <c r="Q40" s="872" t="str">
        <f>Q30</f>
        <v>8 = Mille Wire (vakiona toimituksessa C-sarjan koneissa 1 kpl)</v>
      </c>
      <c r="R40" s="872" t="str">
        <f>R29</f>
        <v>00 = Oletus (ei valittu),  Vakiotoimitus jos ei muuta pyydetty)</v>
      </c>
      <c r="S40" s="872"/>
    </row>
    <row r="41" spans="1:19" ht="78" customHeight="1" x14ac:dyDescent="0.2">
      <c r="A41" s="872"/>
      <c r="B41" s="873"/>
      <c r="C41" s="872"/>
      <c r="D41" s="872"/>
      <c r="E41" s="872"/>
      <c r="F41" s="875"/>
      <c r="G41" s="872"/>
      <c r="H41" s="872" t="str">
        <f t="shared" ref="H41:H42" si="13">$H$29</f>
        <v>1 = Electric, Vakiona valitun teholuokan mukaiset varusteet (Huom! Electric malleissa jälkilämmityksen oma sähkönsyöttö)</v>
      </c>
      <c r="I41" s="872"/>
      <c r="J41" s="872" t="str">
        <f t="shared" ref="J41:J42" si="14">$J$29</f>
        <v>0 = Ei jäähdytyksen toimilaitteita tai venttiileitä. Vakiotoimitus jos ei muuta pyydetty.</v>
      </c>
      <c r="K41" s="872"/>
      <c r="L41" s="872"/>
      <c r="M41" s="876"/>
      <c r="N41" s="872"/>
      <c r="O41" s="872" t="str">
        <f>O30</f>
        <v>1 = RH - lähetin</v>
      </c>
      <c r="P41" s="872"/>
      <c r="Q41" s="872"/>
      <c r="R41" s="872" t="str">
        <f>R30</f>
        <v>01 =Uno White</v>
      </c>
      <c r="S41" s="872"/>
    </row>
    <row r="42" spans="1:19" ht="78" customHeight="1" x14ac:dyDescent="0.15">
      <c r="A42" s="872"/>
      <c r="B42" s="873"/>
      <c r="C42" s="872"/>
      <c r="D42" s="872"/>
      <c r="E42" s="872"/>
      <c r="F42" s="875"/>
      <c r="G42" s="872"/>
      <c r="H42" s="872" t="str">
        <f t="shared" si="13"/>
        <v>1 = Electric, Vakiona valitun teholuokan mukaiset varusteet (Huom! Electric malleissa jälkilämmityksen oma sähkönsyöttö)</v>
      </c>
      <c r="I42" s="872"/>
      <c r="J42" s="872" t="str">
        <f t="shared" si="14"/>
        <v>0 = Ei jäähdytyksen toimilaitteita tai venttiileitä. Vakiotoimitus jos ei muuta pyydetty.</v>
      </c>
      <c r="K42" s="872"/>
      <c r="L42" s="872"/>
      <c r="M42" s="872"/>
      <c r="N42" s="872"/>
      <c r="O42" s="872" t="str">
        <f>O31</f>
        <v>2 = CO2 - lähetin</v>
      </c>
      <c r="P42" s="872"/>
      <c r="Q42" s="872"/>
      <c r="R42" s="872" t="str">
        <f>R31</f>
        <v>03 =Sento White</v>
      </c>
      <c r="S42" s="872"/>
    </row>
    <row r="43" spans="1:19" ht="39" customHeight="1" x14ac:dyDescent="0.15">
      <c r="A43" s="872"/>
      <c r="B43" s="872"/>
      <c r="C43" s="877"/>
      <c r="D43" s="872"/>
      <c r="E43" s="872"/>
      <c r="F43" s="872"/>
      <c r="G43" s="872"/>
      <c r="H43" s="872"/>
      <c r="I43" s="872"/>
      <c r="J43" s="872"/>
      <c r="K43" s="872"/>
      <c r="L43" s="872"/>
      <c r="M43" s="872"/>
      <c r="N43" s="872"/>
      <c r="O43" s="872" t="str">
        <f>O32</f>
        <v>3 = RH + CO2 - lähetin</v>
      </c>
      <c r="P43" s="872"/>
      <c r="Q43" s="872"/>
      <c r="R43" s="872" t="str">
        <f>R32</f>
        <v>04 = Sento Black</v>
      </c>
      <c r="S43" s="872"/>
    </row>
    <row r="44" spans="1:19" ht="39" customHeight="1" x14ac:dyDescent="0.15">
      <c r="A44" s="872"/>
      <c r="B44" s="872"/>
      <c r="C44" s="872"/>
      <c r="D44" s="872"/>
      <c r="E44" s="872"/>
      <c r="F44" s="872"/>
      <c r="G44" s="872"/>
      <c r="H44" s="872"/>
      <c r="I44" s="872"/>
      <c r="J44" s="872"/>
      <c r="K44" s="872"/>
      <c r="L44" s="872"/>
      <c r="M44" s="872"/>
      <c r="N44" s="872"/>
      <c r="O44" s="872" t="str">
        <f>O33</f>
        <v>5 = Toim. alk. 3/2025 , Airfi Multisensor (vain Airfi automatiikassa) ,  säätimeltä valitaan mitä suuretta käytetään.</v>
      </c>
      <c r="P44" s="872"/>
      <c r="Q44" s="872"/>
      <c r="R44" s="872" t="str">
        <f>R33</f>
        <v xml:space="preserve">07 =Mille Wifi </v>
      </c>
      <c r="S44" s="872"/>
    </row>
    <row r="45" spans="1:19" ht="39" customHeight="1" x14ac:dyDescent="0.15">
      <c r="A45" s="872"/>
      <c r="B45" s="872"/>
      <c r="C45" s="872"/>
      <c r="D45" s="872"/>
      <c r="E45" s="872"/>
      <c r="F45" s="872"/>
      <c r="G45" s="872"/>
      <c r="H45" s="872"/>
      <c r="I45" s="872"/>
      <c r="J45" s="872"/>
      <c r="K45" s="872"/>
      <c r="L45" s="872"/>
      <c r="M45" s="872"/>
      <c r="N45" s="872"/>
      <c r="O45" s="872"/>
      <c r="P45" s="872"/>
      <c r="Q45" s="872"/>
      <c r="R45" s="872"/>
      <c r="S45" s="872"/>
    </row>
    <row r="46" spans="1:19" ht="39" customHeight="1" x14ac:dyDescent="0.15">
      <c r="A46" s="872"/>
      <c r="B46" s="872"/>
      <c r="C46" s="872"/>
      <c r="D46" s="872"/>
      <c r="E46" s="872"/>
      <c r="F46" s="872"/>
      <c r="G46" s="872"/>
      <c r="H46" s="872"/>
      <c r="I46" s="872"/>
      <c r="J46" s="872"/>
      <c r="K46" s="872"/>
      <c r="L46" s="872"/>
      <c r="M46" s="872"/>
      <c r="N46" s="872"/>
      <c r="O46" s="872"/>
      <c r="P46" s="872"/>
      <c r="Q46" s="872"/>
      <c r="R46" s="872"/>
      <c r="S46" s="872"/>
    </row>
    <row r="47" spans="1:19" ht="39" customHeight="1" x14ac:dyDescent="0.15">
      <c r="A47" s="875"/>
      <c r="B47" s="875"/>
      <c r="C47" s="875"/>
      <c r="D47" s="875"/>
      <c r="E47" s="875"/>
      <c r="F47" s="875"/>
      <c r="G47" s="875"/>
      <c r="H47" s="875"/>
      <c r="I47" s="875"/>
      <c r="J47" s="875"/>
      <c r="K47" s="875"/>
      <c r="L47" s="875"/>
      <c r="M47" s="875"/>
      <c r="N47" s="872"/>
      <c r="O47" s="875"/>
      <c r="P47" s="875"/>
      <c r="Q47" s="875"/>
      <c r="R47" s="875"/>
      <c r="S47" s="875"/>
    </row>
    <row r="50" spans="1:19" ht="14" x14ac:dyDescent="0.15">
      <c r="A50" s="83" t="s">
        <v>2071</v>
      </c>
      <c r="H50" s="2" t="s">
        <v>2073</v>
      </c>
      <c r="J50" s="2" t="s">
        <v>2077</v>
      </c>
      <c r="O50" s="2" t="s">
        <v>2151</v>
      </c>
      <c r="Q50" s="2" t="s">
        <v>2151</v>
      </c>
      <c r="R50" s="2" t="s">
        <v>2150</v>
      </c>
    </row>
    <row r="51" spans="1:19" ht="51" customHeight="1" x14ac:dyDescent="0.2">
      <c r="A51" s="872"/>
      <c r="B51" s="873"/>
      <c r="C51" s="872"/>
      <c r="D51" s="872"/>
      <c r="E51" s="872"/>
      <c r="F51" s="872"/>
      <c r="G51" s="872"/>
      <c r="H51" s="872" t="str">
        <f>H30</f>
        <v>3 = Water ,  Toimituksessa ei mukana vesipatterin toimilaitteita tai venttiileitä -  Vakiotoimitus C-sarjan Water -koneissa jos ei muuta pyydetty.</v>
      </c>
      <c r="I51" s="872"/>
      <c r="J51" s="872" t="str">
        <f>$J$29</f>
        <v>0 = Ei jäähdytyksen toimilaitteita tai venttiileitä. Vakiotoimitus jos ei muuta pyydetty.</v>
      </c>
      <c r="K51" s="872"/>
      <c r="L51" s="872"/>
      <c r="M51" s="874"/>
      <c r="N51" s="872"/>
      <c r="O51" s="872" t="str">
        <f>$O$29</f>
        <v xml:space="preserve">0 = Ei sensoreita. Vakiotoimitus jos ei muuta pyydetty. </v>
      </c>
      <c r="P51" s="872"/>
      <c r="Q51" s="872" t="str">
        <f>Q29</f>
        <v>0 = Ei ohjainta,  Vakiotoimitus riviliitinkoneessa, ei voi valita muuta</v>
      </c>
      <c r="R51" s="872" t="str">
        <f>$R$29</f>
        <v>00 = Oletus (ei valittu),  Vakiotoimitus jos ei muuta pyydetty)</v>
      </c>
      <c r="S51" s="872"/>
    </row>
    <row r="52" spans="1:19" ht="51" customHeight="1" x14ac:dyDescent="0.2">
      <c r="A52" s="872"/>
      <c r="B52" s="873"/>
      <c r="C52" s="872"/>
      <c r="D52" s="872"/>
      <c r="E52" s="872"/>
      <c r="F52" s="875"/>
      <c r="G52" s="872"/>
      <c r="H52" s="872" t="str">
        <f>H31</f>
        <v xml:space="preserve">5 = Toim.alk.Q2/2025, Water , Jälkilämmityksen 2-tieventtiili ja toimilaite - patterin 50/30 mukaan (toimitus irrallaan, kytkentä ja asennus PU). Sähköisesti Plug&amp;Play valmis. </v>
      </c>
      <c r="I52" s="872"/>
      <c r="J52" s="872" t="str">
        <f>$J$30</f>
        <v xml:space="preserve">1 = Toim. alk. Q3/2025, Jäähdytyksen 3- tieventtiili ja toimilaite - patterin 7/12 - 10/15 mukaan (toimitus irrallaan, kytkentä ja asennus PU). Sähköisesti Plug&amp;Play valmis. </v>
      </c>
      <c r="K52" s="872"/>
      <c r="L52" s="872"/>
      <c r="M52" s="876"/>
      <c r="N52" s="872"/>
      <c r="O52" s="872" t="str">
        <f t="shared" ref="O52:O55" si="15">$O$29</f>
        <v xml:space="preserve">0 = Ei sensoreita. Vakiotoimitus jos ei muuta pyydetty. </v>
      </c>
      <c r="P52" s="872"/>
      <c r="Q52" s="872"/>
      <c r="R52" s="872" t="str">
        <f t="shared" ref="R52:R55" si="16">$R$29</f>
        <v>00 = Oletus (ei valittu),  Vakiotoimitus jos ei muuta pyydetty)</v>
      </c>
      <c r="S52" s="872"/>
    </row>
    <row r="53" spans="1:19" ht="51" customHeight="1" x14ac:dyDescent="0.15">
      <c r="A53" s="872"/>
      <c r="B53" s="873"/>
      <c r="C53" s="872"/>
      <c r="D53" s="872"/>
      <c r="E53" s="872"/>
      <c r="F53" s="875"/>
      <c r="G53" s="872"/>
      <c r="H53" s="872" t="str">
        <f>H33</f>
        <v>7 = Toim. alk. Q3/2025, Water ,  Jälkilämmityksen pumppuryhmä 50/30 kasattuna ja eristettynä (toimitus erillispakettina, kytkentä ja asennus PU). Sähköisesti Plug&amp;Play valmis</v>
      </c>
      <c r="I53" s="872"/>
      <c r="J53" s="872" t="str">
        <f>$J$32</f>
        <v xml:space="preserve">6 = Toim. alk. Q3/2025, Jäähdytyksen pumppuryhmä 7/12 - 10/15 kasattuna ja eristettynä (toimitus erillispakettina, kytkentä ja asennus PU). Sähköisesti Plug&amp;Play valmis. </v>
      </c>
      <c r="K53" s="872"/>
      <c r="L53" s="872"/>
      <c r="M53" s="872"/>
      <c r="N53" s="872"/>
      <c r="O53" s="872" t="str">
        <f t="shared" si="15"/>
        <v xml:space="preserve">0 = Ei sensoreita. Vakiotoimitus jos ei muuta pyydetty. </v>
      </c>
      <c r="P53" s="872"/>
      <c r="Q53" s="872"/>
      <c r="R53" s="872" t="str">
        <f t="shared" si="16"/>
        <v>00 = Oletus (ei valittu),  Vakiotoimitus jos ei muuta pyydetty)</v>
      </c>
      <c r="S53" s="872"/>
    </row>
    <row r="54" spans="1:19" ht="39" customHeight="1" x14ac:dyDescent="0.15">
      <c r="A54" s="872"/>
      <c r="B54" s="872"/>
      <c r="C54" s="877"/>
      <c r="D54" s="872"/>
      <c r="E54" s="872"/>
      <c r="F54" s="872"/>
      <c r="G54" s="872"/>
      <c r="H54" s="877" t="s">
        <v>362</v>
      </c>
      <c r="I54" s="872"/>
      <c r="J54" s="872"/>
      <c r="K54" s="872"/>
      <c r="L54" s="872"/>
      <c r="M54" s="872"/>
      <c r="N54" s="872"/>
      <c r="O54" s="872" t="str">
        <f t="shared" si="15"/>
        <v xml:space="preserve">0 = Ei sensoreita. Vakiotoimitus jos ei muuta pyydetty. </v>
      </c>
      <c r="P54" s="872"/>
      <c r="Q54" s="872"/>
      <c r="R54" s="872" t="str">
        <f t="shared" si="16"/>
        <v>00 = Oletus (ei valittu),  Vakiotoimitus jos ei muuta pyydetty)</v>
      </c>
      <c r="S54" s="872"/>
    </row>
    <row r="55" spans="1:19" ht="39" customHeight="1" x14ac:dyDescent="0.15">
      <c r="A55" s="872"/>
      <c r="B55" s="872"/>
      <c r="C55" s="872"/>
      <c r="D55" s="872"/>
      <c r="E55" s="872"/>
      <c r="F55" s="872"/>
      <c r="G55" s="872"/>
      <c r="H55" s="877" t="s">
        <v>362</v>
      </c>
      <c r="I55" s="872"/>
      <c r="J55" s="872"/>
      <c r="K55" s="872"/>
      <c r="L55" s="872"/>
      <c r="M55" s="872"/>
      <c r="N55" s="872"/>
      <c r="O55" s="872" t="str">
        <f t="shared" si="15"/>
        <v xml:space="preserve">0 = Ei sensoreita. Vakiotoimitus jos ei muuta pyydetty. </v>
      </c>
      <c r="P55" s="872"/>
      <c r="Q55" s="872"/>
      <c r="R55" s="872" t="str">
        <f t="shared" si="16"/>
        <v>00 = Oletus (ei valittu),  Vakiotoimitus jos ei muuta pyydetty)</v>
      </c>
      <c r="S55" s="872"/>
    </row>
    <row r="56" spans="1:19" ht="39" customHeight="1" x14ac:dyDescent="0.15">
      <c r="A56" s="872"/>
      <c r="B56" s="872"/>
      <c r="C56" s="872"/>
      <c r="D56" s="872"/>
      <c r="E56" s="872"/>
      <c r="F56" s="872"/>
      <c r="G56" s="872"/>
      <c r="H56" s="877" t="s">
        <v>362</v>
      </c>
      <c r="I56" s="872"/>
      <c r="J56" s="872"/>
      <c r="K56" s="872"/>
      <c r="L56" s="872"/>
      <c r="M56" s="872"/>
      <c r="N56" s="872"/>
      <c r="O56" s="872"/>
      <c r="P56" s="872"/>
      <c r="Q56" s="872"/>
      <c r="R56" s="872"/>
      <c r="S56" s="872"/>
    </row>
    <row r="57" spans="1:19" ht="39" customHeight="1" x14ac:dyDescent="0.15">
      <c r="A57" s="872"/>
      <c r="B57" s="872"/>
      <c r="C57" s="872"/>
      <c r="D57" s="872"/>
      <c r="E57" s="872"/>
      <c r="F57" s="872"/>
      <c r="G57" s="872"/>
      <c r="H57" s="872"/>
      <c r="I57" s="872"/>
      <c r="J57" s="872"/>
      <c r="K57" s="872"/>
      <c r="L57" s="872"/>
      <c r="M57" s="872"/>
      <c r="N57" s="872"/>
      <c r="O57" s="872"/>
      <c r="P57" s="872"/>
      <c r="Q57" s="872"/>
      <c r="R57" s="872"/>
      <c r="S57" s="872"/>
    </row>
    <row r="58" spans="1:19" ht="39" customHeight="1" x14ac:dyDescent="0.15">
      <c r="A58" s="875"/>
      <c r="B58" s="875"/>
      <c r="C58" s="875"/>
      <c r="D58" s="875"/>
      <c r="E58" s="875"/>
      <c r="F58" s="875"/>
      <c r="G58" s="875"/>
      <c r="H58" s="875"/>
      <c r="I58" s="875"/>
      <c r="J58" s="875"/>
      <c r="K58" s="875"/>
      <c r="L58" s="875"/>
      <c r="M58" s="875"/>
      <c r="N58" s="872"/>
      <c r="O58" s="875"/>
      <c r="P58" s="875"/>
      <c r="Q58" s="875"/>
      <c r="R58" s="875"/>
      <c r="S58" s="875"/>
    </row>
    <row r="61" spans="1:19" ht="14" x14ac:dyDescent="0.15">
      <c r="A61" s="83" t="s">
        <v>2074</v>
      </c>
      <c r="H61" s="2" t="s">
        <v>2075</v>
      </c>
      <c r="J61" s="2" t="s">
        <v>2077</v>
      </c>
    </row>
    <row r="62" spans="1:19" ht="39" customHeight="1" x14ac:dyDescent="0.2">
      <c r="A62" s="872"/>
      <c r="B62" s="873"/>
      <c r="C62" s="872"/>
      <c r="D62" s="872"/>
      <c r="E62" s="872"/>
      <c r="F62" s="872"/>
      <c r="G62" s="872"/>
      <c r="H62" s="872" t="str">
        <f>H30</f>
        <v>3 = Water ,  Toimituksessa ei mukana vesipatterin toimilaitteita tai venttiileitä -  Vakiotoimitus C-sarjan Water -koneissa jos ei muuta pyydetty.</v>
      </c>
      <c r="I62" s="872"/>
      <c r="J62" s="872" t="str">
        <f>$J$29</f>
        <v>0 = Ei jäähdytyksen toimilaitteita tai venttiileitä. Vakiotoimitus jos ei muuta pyydetty.</v>
      </c>
      <c r="K62" s="872"/>
      <c r="L62" s="872"/>
      <c r="M62" s="874"/>
      <c r="N62" s="872"/>
      <c r="O62" s="872"/>
      <c r="P62" s="872"/>
      <c r="Q62" s="872"/>
      <c r="R62" s="872"/>
      <c r="S62" s="872"/>
    </row>
    <row r="63" spans="1:19" ht="39" customHeight="1" x14ac:dyDescent="0.2">
      <c r="A63" s="872"/>
      <c r="B63" s="873"/>
      <c r="C63" s="872"/>
      <c r="D63" s="872"/>
      <c r="E63" s="872"/>
      <c r="F63" s="875"/>
      <c r="G63" s="872"/>
      <c r="H63" s="872" t="str">
        <f>H32</f>
        <v xml:space="preserve">6 = Toim. alk. Q2/2025, Water , Jälkilämmityksen 2-tieventtiili ja toimilaite - patterin 35/25 - 35/30 mukaan (toimitus irrallaan, kytkentä ja asennus PU). Sähköisesti Plug&amp;Play valmis. </v>
      </c>
      <c r="I63" s="872"/>
      <c r="J63" s="872" t="str">
        <f>$J$31</f>
        <v xml:space="preserve">2 = Toim. alk. Q3/2025, Jäähdytyksen 3- tieventtiili ja toimilaite - patterin 10/18 mukaan (toimitus irrallaan, kytkentä ja asennus PU). Sähköisesti Plug&amp;Play valmis. </v>
      </c>
      <c r="K63" s="872"/>
      <c r="L63" s="872"/>
      <c r="M63" s="876"/>
      <c r="N63" s="872"/>
      <c r="O63" s="872"/>
      <c r="P63" s="872"/>
      <c r="Q63" s="872"/>
      <c r="R63" s="872"/>
      <c r="S63" s="872"/>
    </row>
    <row r="64" spans="1:19" ht="39" customHeight="1" x14ac:dyDescent="0.15">
      <c r="A64" s="872"/>
      <c r="B64" s="873"/>
      <c r="C64" s="872"/>
      <c r="D64" s="872"/>
      <c r="E64" s="872"/>
      <c r="F64" s="875"/>
      <c r="G64" s="872"/>
      <c r="H64" s="872" t="str">
        <f>H34</f>
        <v>8 = Toim. alk. Q3/2025, Water ,  Jälkilämmityksen pumppuryhmä 35/25 - 35/30 kasattuna ja eristettynä (toimitus erillispakettina, kytkentä ja asennus PU). Sähköisesti Plug&amp;Play valmis</v>
      </c>
      <c r="I64" s="872"/>
      <c r="J64" s="872" t="str">
        <f>$J$33</f>
        <v xml:space="preserve">7 = Toim. alk. Q3/2025, Jäähdytyksen pumppuryhmä 10/18 kasattuna ja eristettynä (toimitus erillispakettina, kytkentä ja asennus PU). Sähköisesti Plug&amp;Play valmis. </v>
      </c>
      <c r="K64" s="872"/>
      <c r="L64" s="872"/>
      <c r="M64" s="872"/>
      <c r="N64" s="872"/>
      <c r="O64" s="872"/>
      <c r="P64" s="872"/>
      <c r="Q64" s="872"/>
      <c r="R64" s="872"/>
      <c r="S64" s="872"/>
    </row>
    <row r="65" spans="1:19" ht="39" customHeight="1" x14ac:dyDescent="0.15">
      <c r="A65" s="872"/>
      <c r="B65" s="872"/>
      <c r="C65" s="877"/>
      <c r="D65" s="872"/>
      <c r="E65" s="872"/>
      <c r="F65" s="872"/>
      <c r="G65" s="872"/>
      <c r="H65" s="877" t="s">
        <v>362</v>
      </c>
      <c r="I65" s="872"/>
      <c r="J65" s="872"/>
      <c r="K65" s="872"/>
      <c r="L65" s="872"/>
      <c r="M65" s="872"/>
      <c r="N65" s="872"/>
      <c r="O65" s="872"/>
      <c r="P65" s="872"/>
      <c r="Q65" s="872"/>
      <c r="R65" s="877"/>
      <c r="S65" s="872"/>
    </row>
    <row r="66" spans="1:19" ht="39" customHeight="1" x14ac:dyDescent="0.15">
      <c r="A66" s="872"/>
      <c r="B66" s="872"/>
      <c r="C66" s="872"/>
      <c r="D66" s="872"/>
      <c r="E66" s="872"/>
      <c r="F66" s="872"/>
      <c r="G66" s="872"/>
      <c r="H66" s="877" t="s">
        <v>362</v>
      </c>
      <c r="I66" s="872"/>
      <c r="J66" s="872"/>
      <c r="K66" s="872"/>
      <c r="L66" s="872"/>
      <c r="M66" s="872"/>
      <c r="N66" s="872"/>
      <c r="O66" s="872"/>
      <c r="P66" s="872"/>
      <c r="Q66" s="872"/>
      <c r="R66" s="872"/>
      <c r="S66" s="872"/>
    </row>
    <row r="67" spans="1:19" ht="39" customHeight="1" x14ac:dyDescent="0.15">
      <c r="A67" s="872"/>
      <c r="B67" s="872"/>
      <c r="C67" s="872"/>
      <c r="D67" s="872"/>
      <c r="E67" s="872"/>
      <c r="F67" s="872"/>
      <c r="G67" s="872"/>
      <c r="H67" s="877" t="s">
        <v>362</v>
      </c>
      <c r="I67" s="872"/>
      <c r="J67" s="872"/>
      <c r="K67" s="872"/>
      <c r="L67" s="872"/>
      <c r="M67" s="872"/>
      <c r="N67" s="872"/>
      <c r="O67" s="872"/>
      <c r="P67" s="872"/>
      <c r="Q67" s="872"/>
      <c r="R67" s="872"/>
      <c r="S67" s="872"/>
    </row>
    <row r="68" spans="1:19" ht="39" customHeight="1" x14ac:dyDescent="0.15">
      <c r="A68" s="872"/>
      <c r="B68" s="872"/>
      <c r="C68" s="872"/>
      <c r="D68" s="872"/>
      <c r="E68" s="872"/>
      <c r="F68" s="872"/>
      <c r="G68" s="872"/>
      <c r="H68" s="872"/>
      <c r="I68" s="872"/>
      <c r="J68" s="872"/>
      <c r="K68" s="872"/>
      <c r="L68" s="872"/>
      <c r="M68" s="872"/>
      <c r="N68" s="872"/>
      <c r="O68" s="872"/>
      <c r="P68" s="872"/>
      <c r="Q68" s="872"/>
      <c r="R68" s="872"/>
      <c r="S68" s="872"/>
    </row>
    <row r="69" spans="1:19" ht="39" customHeight="1" x14ac:dyDescent="0.15">
      <c r="A69" s="875"/>
      <c r="B69" s="875"/>
      <c r="C69" s="875"/>
      <c r="D69" s="875"/>
      <c r="E69" s="875"/>
      <c r="F69" s="875"/>
      <c r="G69" s="875"/>
      <c r="H69" s="875"/>
      <c r="I69" s="875"/>
      <c r="J69" s="875"/>
      <c r="K69" s="875"/>
      <c r="L69" s="875"/>
      <c r="M69" s="875"/>
      <c r="N69" s="872"/>
      <c r="O69" s="875"/>
      <c r="P69" s="875"/>
      <c r="Q69" s="875"/>
      <c r="R69" s="875"/>
      <c r="S69" s="875"/>
    </row>
    <row r="75" spans="1:19" x14ac:dyDescent="0.15">
      <c r="B75" s="2" t="str">
        <f>CONCATENATE("Airfi Model ",'C koodit'!D79,"-",'C koodit'!D81,"-",'C koodit'!D83,"-",'C koodit'!D85,"-",'C koodit'!D87,"-",'C koodit'!D89,"-",'C koodit'!D91,"-",'C koodit'!D93,"-",'C koodit'!D95,"-",'C koodit'!D97,"-",'C koodit'!D99,"-",'C koodit'!D101,"-",'C koodit'!D103,"-",'C koodit'!D105,"-",'C koodit'!D107,"-",'C koodit'!D109,"-",'C koodit'!D111,"-",'C koodit'!D113,"-",'C koodit'!D115)</f>
        <v>Airfi Model 2-005-1-1-6-5-12-1-0-0-0-0-0-0-0-0-8-00-9</v>
      </c>
    </row>
    <row r="76" spans="1:19" x14ac:dyDescent="0.15">
      <c r="B76" s="2" t="str">
        <f>CONCATENATE('C koodit'!D79,'C koodit'!D81,'C koodit'!D83,'C koodit'!D85,'C koodit'!D87,'C koodit'!D89,'C koodit'!D91,'C koodit'!D93,'C koodit'!D95,'C koodit'!D97,'C koodit'!D99,'C koodit'!D101,'C koodit'!D103,'C koodit'!D105,'C koodit'!D107,'C koodit'!D109,'C koodit'!D111,'C koodit'!D113,'C koodit'!D115)</f>
        <v>20051165121000000008009</v>
      </c>
    </row>
    <row r="77" spans="1:19" ht="14" thickBot="1" x14ac:dyDescent="0.2">
      <c r="B77" s="2" t="s">
        <v>2127</v>
      </c>
    </row>
    <row r="78" spans="1:19" ht="14" x14ac:dyDescent="0.15">
      <c r="B78" s="1012" t="s">
        <v>4</v>
      </c>
      <c r="C78" s="230"/>
      <c r="D78" s="231"/>
    </row>
    <row r="79" spans="1:19" x14ac:dyDescent="0.15">
      <c r="B79" s="1009">
        <v>1</v>
      </c>
      <c r="C79" s="1010" t="str" cm="1">
        <f t="array" ref="C79">INDEX(Valikko_A,B79)</f>
        <v>2 = C = Commercial AHU, LTO-Vastavirtasiirrin</v>
      </c>
      <c r="D79" s="1011">
        <f>INDEX(Koodi_A,MATCH(C79,Valikko_A,0))</f>
        <v>2</v>
      </c>
    </row>
    <row r="80" spans="1:19" ht="14" x14ac:dyDescent="0.15">
      <c r="B80" s="1013" t="s">
        <v>5</v>
      </c>
      <c r="C80" s="233"/>
      <c r="D80" s="1006"/>
    </row>
    <row r="81" spans="2:4" x14ac:dyDescent="0.15">
      <c r="B81" s="1009">
        <v>1</v>
      </c>
      <c r="C81" s="1010" t="str" cm="1">
        <f t="array" ref="C81">INDEX(Valikko_B,B81)</f>
        <v>005, 500dm³/s…1800m³/h   (Kone: Airfi Model C5 Electric, 230VAC 50Hz 16A, max ottoteho 2 kW  /  Airfi Model C5 Water, 230VAC 50Hz 16A, max ottoteho 2 kW )</v>
      </c>
      <c r="D81" s="1011" t="str">
        <f>INDEX(Koodi_B,MATCH(C81,Valikko_B,0))</f>
        <v>005</v>
      </c>
    </row>
    <row r="82" spans="2:4" ht="14" x14ac:dyDescent="0.15">
      <c r="B82" s="1013" t="s">
        <v>6</v>
      </c>
      <c r="C82" s="233"/>
      <c r="D82" s="1006"/>
    </row>
    <row r="83" spans="2:4" x14ac:dyDescent="0.15">
      <c r="B83" s="1009">
        <v>1</v>
      </c>
      <c r="C83" s="1010" t="str" cm="1">
        <f t="array" ref="C83">INDEX(Valikko_C,B83)</f>
        <v>1 = R = oikea (jäteilma oikeassa reunassa huoltosuunnasta katsoen), Vakiotoimitus, jos ei muuta pyydetty</v>
      </c>
      <c r="D83" s="1011">
        <f>INDEX(Koodi_C,MATCH(C83,Valikko_C,0))</f>
        <v>1</v>
      </c>
    </row>
    <row r="84" spans="2:4" ht="14" x14ac:dyDescent="0.15">
      <c r="B84" s="1013" t="s">
        <v>178</v>
      </c>
      <c r="C84" s="233"/>
      <c r="D84" s="1006"/>
    </row>
    <row r="85" spans="2:4" x14ac:dyDescent="0.15">
      <c r="B85" s="1009">
        <v>1</v>
      </c>
      <c r="C85" s="1010" t="str" cm="1">
        <f t="array" ref="C85">INDEX(Valikko_D,B85)</f>
        <v>1 = Airfi automatiikka, valmiina mm. ModBus RTU/TCP . Monipuoliset kytkentä mahdollisuudet jne… Vakiotoimitus jos ei muuta pyydetty.</v>
      </c>
      <c r="D85" s="1011">
        <f>INDEX(Koodi_D,MATCH(C85,Valikko_D,0))</f>
        <v>1</v>
      </c>
    </row>
    <row r="86" spans="2:4" ht="14" x14ac:dyDescent="0.15">
      <c r="B86" s="1013" t="s">
        <v>179</v>
      </c>
      <c r="C86" s="233"/>
      <c r="D86" s="1006"/>
    </row>
    <row r="87" spans="2:4" x14ac:dyDescent="0.15">
      <c r="B87" s="1009">
        <v>2</v>
      </c>
      <c r="C87" s="1010" t="str" cm="1">
        <f t="array" ref="C87">INDEX(Valikko_E,B87)</f>
        <v>6 = ISO ePM1 65%,  (Vakiotoimitus C-koneissa, jos ei valittu muuta) (aiempi luokitus F7 taso)</v>
      </c>
      <c r="D87" s="1011">
        <f>INDEX(Koodi_E,MATCH(C87,Valikko_E,0))</f>
        <v>6</v>
      </c>
    </row>
    <row r="88" spans="2:4" ht="14" x14ac:dyDescent="0.15">
      <c r="B88" s="1013" t="s">
        <v>180</v>
      </c>
      <c r="C88" s="233"/>
      <c r="D88" s="1006"/>
    </row>
    <row r="89" spans="2:4" x14ac:dyDescent="0.15">
      <c r="B89" s="1009">
        <v>1</v>
      </c>
      <c r="C89" s="1010" t="str" cm="1">
        <f t="array" ref="C89">INDEX(Valikko_F,B89)</f>
        <v>5 = ISO ePM10 50%,  (Vakiotoimitus C-koneissa, jos ei valittu muuta) (aiempi luokitus M5-taso)</v>
      </c>
      <c r="D89" s="1011">
        <f>INDEX(Koodi_F,MATCH(C89,Valikko_F,0))</f>
        <v>5</v>
      </c>
    </row>
    <row r="90" spans="2:4" ht="14" x14ac:dyDescent="0.15">
      <c r="B90" s="1013" t="s">
        <v>181</v>
      </c>
      <c r="C90" s="233"/>
      <c r="D90" s="1006"/>
    </row>
    <row r="91" spans="2:4" x14ac:dyDescent="0.15">
      <c r="B91" s="1009">
        <v>2</v>
      </c>
      <c r="C91" s="1010" t="str" cm="1">
        <f t="array" ref="C91">INDEX(Valikko_G,B91)</f>
        <v>12 = Electric, Jälkilämmityspaketti 2: Sulakekoko 400VAC 3x25A, max ottoteho 14,4 kW - Oma jälkilämmityksen syöttö (malleihin C5, Cxx),  Vakiotoimitus konekoossa C5 Electric jos ei muuta pyydetty</v>
      </c>
      <c r="D91" s="1011">
        <f>INDEX(Koodi_G,MATCH(C91,Valikko_G,0))</f>
        <v>12</v>
      </c>
    </row>
    <row r="92" spans="2:4" ht="14" x14ac:dyDescent="0.15">
      <c r="B92" s="1013" t="s">
        <v>2128</v>
      </c>
      <c r="C92" s="233"/>
      <c r="D92" s="1006"/>
    </row>
    <row r="93" spans="2:4" x14ac:dyDescent="0.15">
      <c r="B93" s="1009">
        <v>1</v>
      </c>
      <c r="C93" s="1010" t="str" cm="1">
        <f t="array" ref="C93">INDEX(Valikko_H,B93)</f>
        <v>1 = Electric, Vakiona valitun teholuokan mukaiset varusteet (Huom! Electric malleissa jälkilämmityksen oma sähkönsyöttö)</v>
      </c>
      <c r="D93" s="1011">
        <f>INDEX(Koodi_H,MATCH(C93,Valikko_H,0))</f>
        <v>1</v>
      </c>
    </row>
    <row r="94" spans="2:4" ht="14" x14ac:dyDescent="0.15">
      <c r="B94" s="1013" t="s">
        <v>2129</v>
      </c>
      <c r="C94" s="233"/>
      <c r="D94" s="1006"/>
    </row>
    <row r="95" spans="2:4" x14ac:dyDescent="0.15">
      <c r="B95" s="1009">
        <v>1</v>
      </c>
      <c r="C95" s="1010" t="str" cm="1">
        <f t="array" ref="C95">INDEX(Valikko_I,B95)</f>
        <v xml:space="preserve">0 = ei sisäistä jäähdytystä. Vakiotoimitus jos ei muuta pyydetty. </v>
      </c>
      <c r="D95" s="1011">
        <f>INDEX(Koodi_I,MATCH(C95,Valikko_I,0))</f>
        <v>0</v>
      </c>
    </row>
    <row r="96" spans="2:4" ht="14" x14ac:dyDescent="0.15">
      <c r="B96" s="1013" t="s">
        <v>2130</v>
      </c>
      <c r="C96" s="233"/>
      <c r="D96" s="1006"/>
    </row>
    <row r="97" spans="2:12" x14ac:dyDescent="0.15">
      <c r="B97" s="1009">
        <v>1</v>
      </c>
      <c r="C97" s="1010" t="str" cm="1">
        <f t="array" ref="C97">INDEX(Valikko_J,B97)</f>
        <v>0 = Ei jäähdytyksen toimilaitteita tai venttiileitä. Vakiotoimitus jos ei muuta pyydetty.</v>
      </c>
      <c r="D97" s="1011">
        <f>INDEX(Koodi_J,MATCH(C97,Valikko_J,0))</f>
        <v>0</v>
      </c>
    </row>
    <row r="98" spans="2:12" ht="14" x14ac:dyDescent="0.15">
      <c r="B98" s="1013" t="s">
        <v>496</v>
      </c>
      <c r="C98" s="233"/>
      <c r="D98" s="1006"/>
    </row>
    <row r="99" spans="2:12" x14ac:dyDescent="0.15">
      <c r="B99" s="1009">
        <v>1</v>
      </c>
      <c r="C99" s="1010" t="str" cm="1">
        <f t="array" ref="C99">INDEX(Valikko_K,B99)</f>
        <v>0 = Ei suodatinvahteja.  Vakiotoimitus jos ei muuta pyydetty.</v>
      </c>
      <c r="D99" s="1011">
        <f>INDEX(Koodi_K,MATCH(C99,Valikko_K,0))</f>
        <v>0</v>
      </c>
    </row>
    <row r="100" spans="2:12" ht="14" x14ac:dyDescent="0.15">
      <c r="B100" s="1013" t="s">
        <v>2069</v>
      </c>
      <c r="C100" s="233"/>
      <c r="D100" s="1006"/>
    </row>
    <row r="101" spans="2:12" x14ac:dyDescent="0.15">
      <c r="B101" s="1009">
        <v>1</v>
      </c>
      <c r="C101" s="1010" t="str" cm="1">
        <f t="array" ref="C101">INDEX(Valikko_L,B101)</f>
        <v>0 = Ei vakiopainesäätöä. Vakiotoimitus jos ei muuta pyydetty.</v>
      </c>
      <c r="D101" s="1011">
        <f>INDEX(Koodi_L,MATCH(C101,Valikko_L,0))</f>
        <v>0</v>
      </c>
    </row>
    <row r="102" spans="2:12" ht="14" x14ac:dyDescent="0.15">
      <c r="B102" s="1013" t="s">
        <v>2131</v>
      </c>
      <c r="C102" s="233"/>
      <c r="D102" s="1006"/>
    </row>
    <row r="103" spans="2:12" x14ac:dyDescent="0.15">
      <c r="B103" s="1009">
        <v>1</v>
      </c>
      <c r="C103" s="1010" t="str" cm="1">
        <f t="array" ref="C103">INDEX(Valikko_M,B103)</f>
        <v xml:space="preserve">0 = Ei ilmamäärämittausta. Vakiotoimitus jos ei muuta pyydetty. </v>
      </c>
      <c r="D103" s="1011">
        <f>INDEX(Koodi_M,MATCH(C103,Valikko_M,0))</f>
        <v>0</v>
      </c>
    </row>
    <row r="104" spans="2:12" ht="14" x14ac:dyDescent="0.15">
      <c r="B104" s="1013" t="s">
        <v>2132</v>
      </c>
      <c r="C104" s="233"/>
      <c r="D104" s="1006"/>
      <c r="L104" s="2" t="s">
        <v>2227</v>
      </c>
    </row>
    <row r="105" spans="2:12" x14ac:dyDescent="0.15">
      <c r="B105" s="1009">
        <v>1</v>
      </c>
      <c r="C105" s="1010" t="str" cm="1">
        <f t="array" ref="C105">INDEX(Valikko_N,B105)</f>
        <v>0 = Ei  sulkupeltejä eikä toimilaitteita jäte- ja ulkoilmalle. Vakiotoimitus jos ei muuta pyydetty.</v>
      </c>
      <c r="D105" s="1011">
        <f>INDEX(Koodi_N,MATCH(C105,Valikko_N,0))</f>
        <v>0</v>
      </c>
    </row>
    <row r="106" spans="2:12" ht="14" x14ac:dyDescent="0.15">
      <c r="B106" s="1013" t="s">
        <v>2133</v>
      </c>
      <c r="C106" s="233"/>
      <c r="D106" s="1006"/>
    </row>
    <row r="107" spans="2:12" x14ac:dyDescent="0.15">
      <c r="B107" s="1009">
        <v>1</v>
      </c>
      <c r="C107" s="1010" t="str" cm="1">
        <f t="array" ref="C107">INDEX(Valikko_O,B107)</f>
        <v xml:space="preserve">0 = Ei sensoreita. Vakiotoimitus jos ei muuta pyydetty. </v>
      </c>
      <c r="D107" s="1011">
        <f>INDEX(Koodi_O,MATCH(C107,Valikko_O,0))</f>
        <v>0</v>
      </c>
    </row>
    <row r="108" spans="2:12" ht="14" x14ac:dyDescent="0.15">
      <c r="B108" s="1013" t="s">
        <v>47</v>
      </c>
      <c r="C108" s="233"/>
      <c r="D108" s="1006"/>
    </row>
    <row r="109" spans="2:12" x14ac:dyDescent="0.15">
      <c r="B109" s="1009">
        <v>1</v>
      </c>
      <c r="C109" s="1010" t="str" cm="1">
        <f t="array" ref="C109">INDEX(Valikko_P,B109)</f>
        <v>0 = Ei energiamittareita. Vakiotoimitus jos ei muuta pyydetty.</v>
      </c>
      <c r="D109" s="1011">
        <f>INDEX(Koodi_P,MATCH(C109,Valikko_P,0))</f>
        <v>0</v>
      </c>
    </row>
    <row r="110" spans="2:12" ht="14" x14ac:dyDescent="0.15">
      <c r="B110" s="1013" t="s">
        <v>2134</v>
      </c>
      <c r="C110" s="233"/>
      <c r="D110" s="1006"/>
    </row>
    <row r="111" spans="2:12" x14ac:dyDescent="0.15">
      <c r="B111" s="1009">
        <v>1</v>
      </c>
      <c r="C111" s="1010" t="str" cm="1">
        <f t="array" ref="C111">INDEX(Valikko_Q,B111)</f>
        <v>8 = Mille Wire (vakiona toimituksessa C-sarjan koneissa 1 kpl)</v>
      </c>
      <c r="D111" s="1011">
        <f>INDEX(Koodi_Q,MATCH(C111,Valikko_Q,0))</f>
        <v>8</v>
      </c>
    </row>
    <row r="112" spans="2:12" ht="14" x14ac:dyDescent="0.15">
      <c r="B112" s="1013" t="s">
        <v>2066</v>
      </c>
      <c r="C112" s="233"/>
      <c r="D112" s="1006"/>
    </row>
    <row r="113" spans="2:4" x14ac:dyDescent="0.15">
      <c r="B113" s="1009">
        <v>1</v>
      </c>
      <c r="C113" s="1010" t="str" cm="1">
        <f t="array" ref="C113">INDEX(Valikko_R,B113)</f>
        <v>00 = Oletus (ei valittu),  Vakiotoimitus jos ei muuta pyydetty)</v>
      </c>
      <c r="D113" s="1011" t="str">
        <f>INDEX(Koodi_R,MATCH(C113,Valikko_R,0))</f>
        <v>00</v>
      </c>
    </row>
    <row r="114" spans="2:4" ht="14" x14ac:dyDescent="0.15">
      <c r="B114" s="1013" t="s">
        <v>2135</v>
      </c>
      <c r="C114" s="233"/>
      <c r="D114" s="1006"/>
    </row>
    <row r="115" spans="2:4" ht="14" thickBot="1" x14ac:dyDescent="0.2">
      <c r="B115" s="1008">
        <v>3</v>
      </c>
      <c r="C115" s="429" t="str" cm="1">
        <f t="array" ref="C115">INDEX(Valikko_S,B115)</f>
        <v>9 = Toimitus listauksen mukaisesti</v>
      </c>
      <c r="D115" s="1007">
        <f>INDEX(Koodi_S,MATCH(C115,Valikko_S,0))</f>
        <v>9</v>
      </c>
    </row>
    <row r="118" spans="2:4" x14ac:dyDescent="0.15">
      <c r="B118" t="s">
        <v>2196</v>
      </c>
    </row>
    <row r="119" spans="2:4" x14ac:dyDescent="0.15">
      <c r="B119" t="s">
        <v>2197</v>
      </c>
      <c r="C119" t="str">
        <f>E13</f>
        <v>ISO ePM1 65%</v>
      </c>
    </row>
    <row r="120" spans="2:4" x14ac:dyDescent="0.15">
      <c r="B120" t="s">
        <v>2198</v>
      </c>
      <c r="C120" t="str">
        <f>F13</f>
        <v>ISO ePM10 50%</v>
      </c>
    </row>
    <row r="122" spans="2:4" ht="42" x14ac:dyDescent="0.15">
      <c r="B122" s="561" t="str">
        <f>CONCATENATE(B118,CHAR(10),B119,C119,CHAR(10),B120,C120)</f>
        <v>Valitut suodattimet: 
Tulo: ISO ePM1 65%
Poisto: ISO ePM10 50%</v>
      </c>
    </row>
    <row r="125" spans="2:4" x14ac:dyDescent="0.15">
      <c r="B125" s="2" t="s">
        <v>2645</v>
      </c>
      <c r="C125" s="2" t="str">
        <f>CONCATENATE("Airfi Model C",B25," ",G25)</f>
        <v>Airfi Model C5 Electric</v>
      </c>
    </row>
  </sheetData>
  <dataValidations disablePrompts="1" count="1">
    <dataValidation type="custom" allowBlank="1" showInputMessage="1" showErrorMessage="1" sqref="B85" xr:uid="{22301702-1BA5-4531-932D-14698ABBABEF}">
      <formula1>IF(N76,2,4)</formula1>
    </dataValidation>
  </dataValidations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C60F-62B8-4F21-86CA-EB6814640D90}">
  <dimension ref="A1:L43"/>
  <sheetViews>
    <sheetView workbookViewId="0">
      <selection activeCell="B2" sqref="B2"/>
    </sheetView>
  </sheetViews>
  <sheetFormatPr baseColWidth="10" defaultColWidth="8.83203125" defaultRowHeight="13" x14ac:dyDescent="0.15"/>
  <cols>
    <col min="2" max="2" width="44.6640625" customWidth="1"/>
    <col min="8" max="8" width="10" customWidth="1"/>
  </cols>
  <sheetData>
    <row r="1" spans="1:12" x14ac:dyDescent="0.15">
      <c r="A1" s="39" t="s">
        <v>362</v>
      </c>
    </row>
    <row r="4" spans="1:12" x14ac:dyDescent="0.15">
      <c r="B4" s="2" t="s">
        <v>363</v>
      </c>
    </row>
    <row r="6" spans="1:12" ht="15" x14ac:dyDescent="0.15">
      <c r="B6" t="s">
        <v>289</v>
      </c>
      <c r="C6" s="4">
        <f>'R-series ALU'!G33</f>
        <v>9.7222222222222214</v>
      </c>
      <c r="D6" s="4" t="s">
        <v>72</v>
      </c>
      <c r="E6" s="4"/>
      <c r="F6" s="4"/>
      <c r="G6" s="4"/>
      <c r="H6" s="4"/>
      <c r="I6" s="4"/>
      <c r="J6" s="4"/>
      <c r="K6" s="4"/>
    </row>
    <row r="7" spans="1:12" x14ac:dyDescent="0.15">
      <c r="B7" t="s">
        <v>364</v>
      </c>
      <c r="C7" s="4">
        <f>'R-series ALU'!G39</f>
        <v>100</v>
      </c>
      <c r="D7" s="4" t="s">
        <v>14</v>
      </c>
      <c r="E7" s="4"/>
      <c r="F7" s="4"/>
      <c r="G7" s="4"/>
      <c r="H7" s="4"/>
      <c r="I7" s="4"/>
      <c r="J7" s="4"/>
      <c r="K7" s="4"/>
    </row>
    <row r="8" spans="1:12" ht="17" x14ac:dyDescent="0.25">
      <c r="B8" t="s">
        <v>2714</v>
      </c>
      <c r="C8" s="32" t="str">
        <f>'R-series ALU'!G42</f>
        <v>-</v>
      </c>
      <c r="D8" s="4" t="s">
        <v>25</v>
      </c>
      <c r="E8" s="4"/>
      <c r="F8" s="4"/>
      <c r="G8" s="4"/>
      <c r="H8" s="4"/>
      <c r="I8" s="4"/>
      <c r="J8" s="4"/>
      <c r="K8" s="4"/>
    </row>
    <row r="9" spans="1:12" x14ac:dyDescent="0.15">
      <c r="C9" s="4"/>
      <c r="D9" s="4"/>
      <c r="E9" s="4"/>
      <c r="F9" s="4"/>
      <c r="G9" s="4"/>
      <c r="H9" s="4"/>
      <c r="I9" s="4"/>
      <c r="J9" s="4"/>
      <c r="K9" s="4"/>
    </row>
    <row r="10" spans="1:12" x14ac:dyDescent="0.15">
      <c r="B10" s="2"/>
      <c r="C10" s="4"/>
      <c r="D10" s="4"/>
      <c r="E10" s="4"/>
      <c r="F10" s="4"/>
      <c r="G10" s="4"/>
      <c r="H10" s="4"/>
      <c r="I10" s="4"/>
      <c r="J10" s="4"/>
      <c r="K10" s="4"/>
    </row>
    <row r="11" spans="1:12" x14ac:dyDescent="0.15">
      <c r="B11" s="2" t="s">
        <v>2715</v>
      </c>
      <c r="C11" s="275">
        <v>63</v>
      </c>
      <c r="D11" s="275">
        <v>125</v>
      </c>
      <c r="E11" s="275">
        <v>250</v>
      </c>
      <c r="F11" s="275">
        <v>500</v>
      </c>
      <c r="G11" s="275">
        <v>1000</v>
      </c>
      <c r="H11" s="275">
        <v>2000</v>
      </c>
      <c r="I11" s="275">
        <v>4000</v>
      </c>
      <c r="J11" s="275">
        <v>8000</v>
      </c>
      <c r="K11" s="4" t="s">
        <v>391</v>
      </c>
      <c r="L11" s="4" t="s">
        <v>27</v>
      </c>
    </row>
    <row r="12" spans="1:12" x14ac:dyDescent="0.15">
      <c r="B12" t="s">
        <v>8</v>
      </c>
      <c r="C12" s="5" t="str">
        <f>Tulokset!AJ38</f>
        <v>-</v>
      </c>
      <c r="D12" s="5" t="str">
        <f>Tulokset!AK38</f>
        <v>-</v>
      </c>
      <c r="E12" s="5" t="str">
        <f>Tulokset!AL38</f>
        <v>-</v>
      </c>
      <c r="F12" s="5" t="str">
        <f>Tulokset!AM38</f>
        <v>-</v>
      </c>
      <c r="G12" s="5" t="str">
        <f>Tulokset!AN38</f>
        <v>-</v>
      </c>
      <c r="H12" s="5" t="str">
        <f>Tulokset!AO38</f>
        <v>-</v>
      </c>
      <c r="I12" s="5" t="str">
        <f>Tulokset!AP38</f>
        <v>-</v>
      </c>
      <c r="J12" s="5" t="str">
        <f>Tulokset!AQ38</f>
        <v>-</v>
      </c>
      <c r="K12" s="80" t="e" cm="1">
        <f t="array" ref="K12">10*LOG10(SUM(10^((C12:J12)/10)))</f>
        <v>#VALUE!</v>
      </c>
      <c r="L12" s="80" t="e">
        <f t="array" ref="L12">10*LOG10(SUM(10^((C12:J12+$C$21:$J$21)/10)))</f>
        <v>#VALUE!</v>
      </c>
    </row>
    <row r="13" spans="1:12" x14ac:dyDescent="0.15">
      <c r="B13" t="s">
        <v>57</v>
      </c>
      <c r="C13" s="80" t="str">
        <f>Tulokset!AT38</f>
        <v>-</v>
      </c>
      <c r="D13" s="80" t="str">
        <f>Tulokset!AU38</f>
        <v>-</v>
      </c>
      <c r="E13" s="80" t="str">
        <f>Tulokset!AV38</f>
        <v>-</v>
      </c>
      <c r="F13" s="80" t="str">
        <f>Tulokset!AW38</f>
        <v>-</v>
      </c>
      <c r="G13" s="80" t="str">
        <f>Tulokset!AX38</f>
        <v>-</v>
      </c>
      <c r="H13" s="80" t="str">
        <f>Tulokset!AY38</f>
        <v>-</v>
      </c>
      <c r="I13" s="80" t="str">
        <f>Tulokset!AZ38</f>
        <v>-</v>
      </c>
      <c r="J13" s="80" t="str">
        <f>Tulokset!BA38</f>
        <v>-</v>
      </c>
      <c r="L13" s="80" t="e">
        <f t="array" ref="L13">10*LOG10(SUM(10^((C13:J13+$C$21:$J$21)/10)))</f>
        <v>#VALUE!</v>
      </c>
    </row>
    <row r="14" spans="1:12" x14ac:dyDescent="0.15">
      <c r="B14" s="2"/>
      <c r="C14" s="104"/>
      <c r="D14" s="104"/>
      <c r="E14" s="4"/>
      <c r="F14" s="4"/>
      <c r="G14" s="4"/>
      <c r="H14" s="4"/>
      <c r="I14" s="4"/>
      <c r="J14" s="4"/>
      <c r="L14" s="4"/>
    </row>
    <row r="15" spans="1:12" x14ac:dyDescent="0.15">
      <c r="C15" s="615">
        <v>0.55000000000000004</v>
      </c>
      <c r="D15" s="615">
        <v>0.6</v>
      </c>
      <c r="E15" s="1519">
        <v>0.7</v>
      </c>
      <c r="F15" s="615">
        <v>0.7</v>
      </c>
      <c r="G15" s="615">
        <v>0.7</v>
      </c>
      <c r="H15" s="615">
        <v>0.65</v>
      </c>
      <c r="I15" s="615">
        <v>0.6</v>
      </c>
      <c r="J15" s="615">
        <v>0.55000000000000004</v>
      </c>
      <c r="K15" s="4" t="s">
        <v>391</v>
      </c>
      <c r="L15" s="4" t="s">
        <v>27</v>
      </c>
    </row>
    <row r="16" spans="1:12" x14ac:dyDescent="0.15">
      <c r="B16" s="2" t="s">
        <v>92</v>
      </c>
      <c r="C16" s="108" t="e">
        <f>(C15*C13)+((1-C15)*C12)</f>
        <v>#VALUE!</v>
      </c>
      <c r="D16" s="108" t="e">
        <f t="shared" ref="D16:J16" si="0">(D15*D13)+((1-D15)*D12)</f>
        <v>#VALUE!</v>
      </c>
      <c r="E16" s="108" t="e">
        <f t="shared" si="0"/>
        <v>#VALUE!</v>
      </c>
      <c r="F16" s="108" t="e">
        <f t="shared" si="0"/>
        <v>#VALUE!</v>
      </c>
      <c r="G16" s="108" t="e">
        <f t="shared" si="0"/>
        <v>#VALUE!</v>
      </c>
      <c r="H16" s="108" t="e">
        <f t="shared" si="0"/>
        <v>#VALUE!</v>
      </c>
      <c r="I16" s="108" t="e">
        <f t="shared" si="0"/>
        <v>#VALUE!</v>
      </c>
      <c r="J16" s="108" t="e">
        <f t="shared" si="0"/>
        <v>#VALUE!</v>
      </c>
      <c r="K16" s="80" t="e" cm="1">
        <f t="array" ref="K16">10*LOG10(SUM(10^((C16:J16)/10)))</f>
        <v>#VALUE!</v>
      </c>
      <c r="L16" s="108" t="e">
        <f t="array" ref="L16">10*LOG10(SUM(10^((C16:J16+$C$21:$J$21)/10)))</f>
        <v>#VALUE!</v>
      </c>
    </row>
    <row r="17" spans="2:12" x14ac:dyDescent="0.15">
      <c r="B17" s="2"/>
      <c r="C17" s="104"/>
      <c r="D17" s="6"/>
      <c r="E17" s="104"/>
      <c r="F17" s="4"/>
    </row>
    <row r="18" spans="2:12" x14ac:dyDescent="0.15">
      <c r="K18" s="110"/>
      <c r="L18" s="80"/>
    </row>
    <row r="19" spans="2:12" x14ac:dyDescent="0.15">
      <c r="C19" s="4"/>
      <c r="D19" s="4"/>
    </row>
    <row r="21" spans="2:12" x14ac:dyDescent="0.15">
      <c r="B21" t="s">
        <v>185</v>
      </c>
      <c r="C21" s="4">
        <v>-26.2</v>
      </c>
      <c r="D21" s="4">
        <v>-16.100000000000001</v>
      </c>
      <c r="E21" s="4">
        <v>-8.6</v>
      </c>
      <c r="F21" s="4">
        <v>-3.2</v>
      </c>
      <c r="G21" s="4">
        <v>0</v>
      </c>
      <c r="H21" s="4">
        <v>1.2</v>
      </c>
      <c r="I21" s="4">
        <v>1</v>
      </c>
      <c r="J21" s="4">
        <v>-1.1000000000000001</v>
      </c>
    </row>
    <row r="22" spans="2:12" x14ac:dyDescent="0.15">
      <c r="C22" s="4"/>
      <c r="D22" s="4"/>
    </row>
    <row r="24" spans="2:12" x14ac:dyDescent="0.15">
      <c r="C24" s="4"/>
      <c r="D24" s="4"/>
    </row>
    <row r="25" spans="2:12" x14ac:dyDescent="0.15">
      <c r="C25" s="4"/>
      <c r="D25" s="4"/>
      <c r="E25" s="39"/>
      <c r="F25" s="274"/>
    </row>
    <row r="27" spans="2:12" x14ac:dyDescent="0.15">
      <c r="B27" s="2"/>
      <c r="C27" s="104"/>
      <c r="D27" s="6"/>
      <c r="E27" s="104"/>
    </row>
    <row r="39" spans="2:12" x14ac:dyDescent="0.15">
      <c r="B39" s="2"/>
      <c r="C39" s="275"/>
      <c r="D39" s="275"/>
      <c r="E39" s="275"/>
      <c r="F39" s="275"/>
      <c r="G39" s="275"/>
      <c r="H39" s="275"/>
      <c r="I39" s="275"/>
      <c r="J39" s="275"/>
    </row>
    <row r="40" spans="2:12" x14ac:dyDescent="0.15">
      <c r="C40" s="4"/>
      <c r="D40" s="4"/>
      <c r="E40" s="4"/>
      <c r="F40" s="4"/>
      <c r="G40" s="4"/>
      <c r="H40" s="4"/>
      <c r="I40" s="4"/>
      <c r="J40" s="4"/>
    </row>
    <row r="41" spans="2:12" x14ac:dyDescent="0.15">
      <c r="C41" s="108"/>
      <c r="D41" s="108"/>
      <c r="E41" s="108"/>
      <c r="F41" s="108"/>
      <c r="G41" s="108"/>
      <c r="H41" s="108"/>
      <c r="I41" s="108"/>
      <c r="J41" s="108"/>
      <c r="K41" s="5"/>
      <c r="L41" s="5"/>
    </row>
    <row r="43" spans="2:12" x14ac:dyDescent="0.15">
      <c r="K43" s="4"/>
    </row>
  </sheetData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CAB8F-B811-4243-84C1-FFD6BC453E1F}">
  <dimension ref="A3:AK57"/>
  <sheetViews>
    <sheetView topLeftCell="P1" zoomScaleNormal="100" workbookViewId="0">
      <selection activeCell="B2" sqref="B2"/>
    </sheetView>
  </sheetViews>
  <sheetFormatPr baseColWidth="10" defaultColWidth="8.83203125" defaultRowHeight="13" x14ac:dyDescent="0.15"/>
  <cols>
    <col min="1" max="1" width="15.1640625" customWidth="1"/>
    <col min="2" max="2" width="22.6640625" customWidth="1"/>
    <col min="3" max="3" width="12.5" customWidth="1"/>
    <col min="5" max="5" width="8.83203125" customWidth="1"/>
    <col min="6" max="6" width="8.1640625" style="182" customWidth="1"/>
    <col min="7" max="7" width="16.5" style="182" customWidth="1"/>
    <col min="8" max="8" width="10.6640625" style="182" bestFit="1" customWidth="1"/>
    <col min="9" max="9" width="10.6640625" style="182" customWidth="1"/>
    <col min="10" max="11" width="8.1640625" style="182" customWidth="1"/>
    <col min="12" max="12" width="12.33203125" style="182" customWidth="1"/>
    <col min="13" max="13" width="8.1640625" style="182" customWidth="1"/>
    <col min="14" max="14" width="11.5" style="182" customWidth="1"/>
    <col min="15" max="15" width="15.6640625" style="182" customWidth="1"/>
    <col min="19" max="19" width="13.5" customWidth="1"/>
    <col min="20" max="20" width="12" customWidth="1"/>
  </cols>
  <sheetData>
    <row r="3" spans="1:37" x14ac:dyDescent="0.15">
      <c r="B3" s="2" t="s">
        <v>240</v>
      </c>
      <c r="F3" s="179">
        <f ca="1">C19</f>
        <v>-26</v>
      </c>
      <c r="G3" s="183"/>
      <c r="H3" s="179">
        <f>$C$12</f>
        <v>21</v>
      </c>
      <c r="I3" s="184">
        <f ca="1">MAX(J3:K3)</f>
        <v>-6.5</v>
      </c>
      <c r="J3" s="185">
        <f ca="1">IF(M3-$C$8*$C$10*(M3-F3)&lt;$C$11,$C$11,M3-$C$8*$C$10*(M3-F3))</f>
        <v>-6.5</v>
      </c>
      <c r="K3" s="185">
        <f ca="1">M3-P3*Q3*(M3-F3)</f>
        <v>-6.5</v>
      </c>
      <c r="L3" s="185">
        <f ca="1">M3-T3*(M3-F3)</f>
        <v>21</v>
      </c>
      <c r="M3" s="185">
        <f>$C$5</f>
        <v>21</v>
      </c>
      <c r="N3" s="185">
        <f ca="1">MIN(F3+R3/P3*(M3-F3),H3)</f>
        <v>1.5</v>
      </c>
      <c r="O3" s="186"/>
      <c r="P3" s="187">
        <f>$C$8</f>
        <v>1</v>
      </c>
      <c r="Q3" s="188">
        <f ca="1">MIN(R3/P3,(H3-F3)/(M3-F3))</f>
        <v>0.58510638297872342</v>
      </c>
      <c r="R3" s="189">
        <f ca="1">(M3-J3)/(M3-F3)</f>
        <v>0.58510638297872342</v>
      </c>
    </row>
    <row r="4" spans="1:37" ht="14" x14ac:dyDescent="0.15">
      <c r="B4" s="2" t="s">
        <v>241</v>
      </c>
      <c r="T4" s="190" t="s">
        <v>121</v>
      </c>
      <c r="U4" s="191">
        <f>SUM(U6:U50)</f>
        <v>4410.75</v>
      </c>
      <c r="V4" s="191">
        <f>SUM(V6:V50)</f>
        <v>3519.778499999999</v>
      </c>
      <c r="W4" s="191">
        <f>SUM(W6:W50)</f>
        <v>3519.778499999999</v>
      </c>
    </row>
    <row r="5" spans="1:37" ht="17" x14ac:dyDescent="0.15">
      <c r="B5" s="10" t="s">
        <v>228</v>
      </c>
      <c r="C5" s="248">
        <f>'R-series ALU'!T26</f>
        <v>21</v>
      </c>
      <c r="D5" s="21" t="s">
        <v>230</v>
      </c>
      <c r="F5" s="192" t="s">
        <v>242</v>
      </c>
      <c r="G5" s="151" t="s">
        <v>208</v>
      </c>
      <c r="H5" s="192" t="s">
        <v>243</v>
      </c>
      <c r="I5" s="150" t="s">
        <v>244</v>
      </c>
      <c r="J5" s="150" t="s">
        <v>232</v>
      </c>
      <c r="K5" s="150" t="s">
        <v>245</v>
      </c>
      <c r="L5" s="150" t="s">
        <v>246</v>
      </c>
      <c r="M5" s="150" t="s">
        <v>247</v>
      </c>
      <c r="N5" s="150" t="s">
        <v>248</v>
      </c>
      <c r="O5" s="152" t="s">
        <v>249</v>
      </c>
      <c r="P5" s="150" t="s">
        <v>219</v>
      </c>
      <c r="Q5" s="192" t="s">
        <v>250</v>
      </c>
      <c r="R5" s="150" t="s">
        <v>251</v>
      </c>
      <c r="S5" s="192" t="s">
        <v>252</v>
      </c>
      <c r="T5" s="152" t="s">
        <v>253</v>
      </c>
      <c r="U5" s="150" t="s">
        <v>211</v>
      </c>
      <c r="V5" s="150" t="s">
        <v>212</v>
      </c>
      <c r="W5" s="152" t="s">
        <v>213</v>
      </c>
    </row>
    <row r="6" spans="1:37" x14ac:dyDescent="0.15">
      <c r="B6" s="12" t="s">
        <v>254</v>
      </c>
      <c r="C6" s="249">
        <f>'R-series ALU'!T10</f>
        <v>9.7222222222222214</v>
      </c>
      <c r="D6" s="24" t="s">
        <v>13</v>
      </c>
      <c r="F6" s="194">
        <v>-32</v>
      </c>
      <c r="G6" s="559">
        <f>Säädata!Z12</f>
        <v>0</v>
      </c>
      <c r="H6" s="194">
        <f t="shared" ref="H6:H17" si="0">$C$12</f>
        <v>21</v>
      </c>
      <c r="I6" s="195">
        <f t="shared" ref="I6:I17" si="1">MAX(J6:K6)</f>
        <v>-6.5</v>
      </c>
      <c r="J6" s="196">
        <f t="shared" ref="J6:J50" si="2">IF(M6-$C$8*$C$10*(M6-F6)&lt;$C$11,$C$11,M6-$C$8*$C$10*(M6-F6))</f>
        <v>-6.5</v>
      </c>
      <c r="K6" s="196">
        <f t="shared" ref="K6:K17" si="3">M6-P6*Q6*(M6-F6)</f>
        <v>-6.5</v>
      </c>
      <c r="L6" s="196">
        <f t="shared" ref="L6:L17" si="4">M6-T6*(M6-F6)</f>
        <v>-21.293999999999997</v>
      </c>
      <c r="M6" s="182">
        <f t="shared" ref="M6:M50" si="5">$C$5</f>
        <v>21</v>
      </c>
      <c r="N6" s="196">
        <f>MIN(F6+R6/P6*(M6-F6),H6)</f>
        <v>-4.5</v>
      </c>
      <c r="O6" s="197">
        <f t="shared" ref="O6:O28" si="6">F6+S6/P6*(M6-F6)</f>
        <v>10.293999999999997</v>
      </c>
      <c r="P6" s="32">
        <f t="shared" ref="P6:P50" si="7">$C$8</f>
        <v>1</v>
      </c>
      <c r="Q6" s="198">
        <f t="shared" ref="Q6:Q20" si="8">MIN(R6/P6,(H6-F6)/(M6-F6))</f>
        <v>0.51886792452830188</v>
      </c>
      <c r="R6" s="199">
        <f t="shared" ref="R6:R20" si="9">(M6-J6)/(M6-F6)</f>
        <v>0.51886792452830188</v>
      </c>
      <c r="S6" s="198">
        <f t="shared" ref="S6:S50" si="10">$C$10</f>
        <v>0.79799999999999993</v>
      </c>
      <c r="T6" s="200">
        <f>S6*$C$8</f>
        <v>0.79799999999999993</v>
      </c>
      <c r="U6" s="201">
        <f>G6*(M6-F6)*365</f>
        <v>0</v>
      </c>
      <c r="V6" s="201">
        <f>G6*(N6-F6)*365</f>
        <v>0</v>
      </c>
      <c r="W6" s="202">
        <f>G6*(M6-J6)*365</f>
        <v>0</v>
      </c>
      <c r="Y6" s="5" t="e">
        <f t="shared" ref="Y6:Y49" si="11">$C$7/1000*1.2*1006*(M6-F6)*8760*(G6-G5)/1000</f>
        <v>#VALUE!</v>
      </c>
      <c r="Z6" s="5" t="e">
        <f t="shared" ref="Z6:Z49" si="12">1.2*1006*$C$7/1000*(M6-I6)/1000*(G6-G5)*8760</f>
        <v>#VALUE!</v>
      </c>
      <c r="AB6" t="s">
        <v>236</v>
      </c>
      <c r="AG6" s="110">
        <f>Y51</f>
        <v>1242.4200599999995</v>
      </c>
      <c r="AH6" t="s">
        <v>237</v>
      </c>
    </row>
    <row r="7" spans="1:37" x14ac:dyDescent="0.15">
      <c r="B7" s="12" t="s">
        <v>255</v>
      </c>
      <c r="C7" s="249">
        <f>'R-series ALU'!T11</f>
        <v>9.7222222222222214</v>
      </c>
      <c r="D7" s="24" t="s">
        <v>13</v>
      </c>
      <c r="F7" s="194">
        <v>-31</v>
      </c>
      <c r="G7" s="559">
        <f>Säädata!Z13</f>
        <v>0</v>
      </c>
      <c r="H7" s="194">
        <f t="shared" si="0"/>
        <v>21</v>
      </c>
      <c r="I7" s="195">
        <f t="shared" si="1"/>
        <v>-6.5</v>
      </c>
      <c r="J7" s="196">
        <f t="shared" si="2"/>
        <v>-6.5</v>
      </c>
      <c r="K7" s="196">
        <f t="shared" si="3"/>
        <v>-6.5</v>
      </c>
      <c r="L7" s="196">
        <f t="shared" si="4"/>
        <v>-20.495999999999995</v>
      </c>
      <c r="M7" s="182">
        <f t="shared" si="5"/>
        <v>21</v>
      </c>
      <c r="N7" s="196">
        <f t="shared" ref="N7:N50" si="13">MIN(F7+R7/P7*(M7-F7),H7)</f>
        <v>-3.5</v>
      </c>
      <c r="O7" s="197">
        <f t="shared" si="6"/>
        <v>10.495999999999995</v>
      </c>
      <c r="P7" s="32">
        <f t="shared" si="7"/>
        <v>1</v>
      </c>
      <c r="Q7" s="198">
        <f t="shared" si="8"/>
        <v>0.52884615384615385</v>
      </c>
      <c r="R7" s="199">
        <f t="shared" si="9"/>
        <v>0.52884615384615385</v>
      </c>
      <c r="S7" s="198">
        <f t="shared" si="10"/>
        <v>0.79799999999999993</v>
      </c>
      <c r="T7" s="200">
        <f t="shared" ref="T7:T50" si="14">S7*$C$8</f>
        <v>0.79799999999999993</v>
      </c>
      <c r="U7" s="108">
        <f>(G7-G6)*(M7-F7)*365</f>
        <v>0</v>
      </c>
      <c r="V7" s="108">
        <f>(G7-G6)*(N7-F7)*365</f>
        <v>0</v>
      </c>
      <c r="W7" s="203">
        <f>(G7-G6)*(M7-I7)*365</f>
        <v>0</v>
      </c>
      <c r="Y7" s="5">
        <f>$C$7/1000*1.2*1006*(M7-F7)*8760*(G7-G6)/1000</f>
        <v>0</v>
      </c>
      <c r="Z7" s="5">
        <f t="shared" si="12"/>
        <v>0</v>
      </c>
      <c r="AB7" t="s">
        <v>238</v>
      </c>
      <c r="AG7" s="110">
        <f>Z51</f>
        <v>991.45120787999986</v>
      </c>
      <c r="AH7" t="s">
        <v>237</v>
      </c>
      <c r="AJ7" t="s">
        <v>1270</v>
      </c>
    </row>
    <row r="8" spans="1:37" ht="17" x14ac:dyDescent="0.25">
      <c r="B8" s="12" t="s">
        <v>256</v>
      </c>
      <c r="C8" s="204">
        <f>'R-series ALU'!T13</f>
        <v>1</v>
      </c>
      <c r="D8" s="24"/>
      <c r="F8" s="194">
        <v>-30</v>
      </c>
      <c r="G8" s="559">
        <f>Säädata!Z14</f>
        <v>0</v>
      </c>
      <c r="H8" s="194">
        <f t="shared" si="0"/>
        <v>21</v>
      </c>
      <c r="I8" s="195">
        <f t="shared" si="1"/>
        <v>-6.5</v>
      </c>
      <c r="J8" s="196">
        <f t="shared" si="2"/>
        <v>-6.5</v>
      </c>
      <c r="K8" s="196">
        <f t="shared" si="3"/>
        <v>-6.5</v>
      </c>
      <c r="L8" s="196">
        <f t="shared" si="4"/>
        <v>-19.697999999999993</v>
      </c>
      <c r="M8" s="182">
        <f t="shared" si="5"/>
        <v>21</v>
      </c>
      <c r="N8" s="196">
        <f t="shared" si="13"/>
        <v>-2.5</v>
      </c>
      <c r="O8" s="197">
        <f t="shared" si="6"/>
        <v>10.697999999999993</v>
      </c>
      <c r="P8" s="32">
        <f t="shared" si="7"/>
        <v>1</v>
      </c>
      <c r="Q8" s="198">
        <f t="shared" si="8"/>
        <v>0.53921568627450978</v>
      </c>
      <c r="R8" s="199">
        <f t="shared" si="9"/>
        <v>0.53921568627450978</v>
      </c>
      <c r="S8" s="198">
        <f t="shared" si="10"/>
        <v>0.79799999999999993</v>
      </c>
      <c r="T8" s="200">
        <f t="shared" si="14"/>
        <v>0.79799999999999993</v>
      </c>
      <c r="U8" s="108">
        <f t="shared" ref="U8:U20" si="15">(G8-G7)*(M8-F8)*365</f>
        <v>0</v>
      </c>
      <c r="V8" s="108">
        <f t="shared" ref="V8:V50" si="16">(G8-G7)*(N8-F8)*365</f>
        <v>0</v>
      </c>
      <c r="W8" s="203">
        <f t="shared" ref="W8:W50" si="17">(G8-G7)*(M8-I8)*365</f>
        <v>0</v>
      </c>
      <c r="Y8" s="5">
        <f t="shared" si="11"/>
        <v>0</v>
      </c>
      <c r="Z8" s="5">
        <f t="shared" si="12"/>
        <v>0</v>
      </c>
      <c r="AB8" t="s">
        <v>1269</v>
      </c>
      <c r="AG8" s="110" t="str">
        <f>IF(ISNUMBER(AJ8),AJ8*8760/1000,"-")</f>
        <v>-</v>
      </c>
      <c r="AH8" t="s">
        <v>237</v>
      </c>
      <c r="AJ8" t="str">
        <f>'R-series ALU'!D45</f>
        <v>-</v>
      </c>
      <c r="AK8" t="s">
        <v>49</v>
      </c>
    </row>
    <row r="9" spans="1:37" x14ac:dyDescent="0.15">
      <c r="B9" s="12" t="s">
        <v>257</v>
      </c>
      <c r="C9" s="250">
        <f>'R-series ALU'!T22</f>
        <v>0.79799999999999993</v>
      </c>
      <c r="D9" s="24"/>
      <c r="F9" s="194">
        <v>-29</v>
      </c>
      <c r="G9" s="559">
        <f>Säädata!Z15</f>
        <v>0</v>
      </c>
      <c r="H9" s="194">
        <f t="shared" si="0"/>
        <v>21</v>
      </c>
      <c r="I9" s="195">
        <f t="shared" si="1"/>
        <v>-6.5</v>
      </c>
      <c r="J9" s="196">
        <f t="shared" si="2"/>
        <v>-6.5</v>
      </c>
      <c r="K9" s="196">
        <f t="shared" si="3"/>
        <v>-6.5000000000000036</v>
      </c>
      <c r="L9" s="196">
        <f t="shared" si="4"/>
        <v>-18.899999999999999</v>
      </c>
      <c r="M9" s="182">
        <f t="shared" si="5"/>
        <v>21</v>
      </c>
      <c r="N9" s="196">
        <f t="shared" si="13"/>
        <v>-1.4999999999999964</v>
      </c>
      <c r="O9" s="197">
        <f t="shared" si="6"/>
        <v>10.899999999999999</v>
      </c>
      <c r="P9" s="32">
        <f t="shared" si="7"/>
        <v>1</v>
      </c>
      <c r="Q9" s="198">
        <f t="shared" si="8"/>
        <v>0.55000000000000004</v>
      </c>
      <c r="R9" s="199">
        <f t="shared" si="9"/>
        <v>0.55000000000000004</v>
      </c>
      <c r="S9" s="198">
        <f t="shared" si="10"/>
        <v>0.79799999999999993</v>
      </c>
      <c r="T9" s="200">
        <f t="shared" si="14"/>
        <v>0.79799999999999993</v>
      </c>
      <c r="U9" s="108">
        <f t="shared" si="15"/>
        <v>0</v>
      </c>
      <c r="V9" s="108">
        <f t="shared" si="16"/>
        <v>0</v>
      </c>
      <c r="W9" s="203">
        <f t="shared" si="17"/>
        <v>0</v>
      </c>
      <c r="Y9" s="5">
        <f t="shared" si="11"/>
        <v>0</v>
      </c>
      <c r="Z9" s="5">
        <f t="shared" si="12"/>
        <v>0</v>
      </c>
    </row>
    <row r="10" spans="1:37" x14ac:dyDescent="0.15">
      <c r="B10" s="12" t="s">
        <v>258</v>
      </c>
      <c r="C10" s="205">
        <f>'R-series ALU'!T23</f>
        <v>0.79799999999999993</v>
      </c>
      <c r="D10" s="24"/>
      <c r="F10" s="194">
        <v>-28</v>
      </c>
      <c r="G10" s="559">
        <f>Säädata!Z16</f>
        <v>0</v>
      </c>
      <c r="H10" s="194">
        <f t="shared" si="0"/>
        <v>21</v>
      </c>
      <c r="I10" s="195">
        <f t="shared" si="1"/>
        <v>-6.4999999999999964</v>
      </c>
      <c r="J10" s="196">
        <f t="shared" si="2"/>
        <v>-6.5</v>
      </c>
      <c r="K10" s="196">
        <f t="shared" si="3"/>
        <v>-6.4999999999999964</v>
      </c>
      <c r="L10" s="196">
        <f t="shared" si="4"/>
        <v>-18.101999999999997</v>
      </c>
      <c r="M10" s="182">
        <f t="shared" si="5"/>
        <v>21</v>
      </c>
      <c r="N10" s="196">
        <f t="shared" si="13"/>
        <v>-0.50000000000000355</v>
      </c>
      <c r="O10" s="197">
        <f t="shared" si="6"/>
        <v>11.101999999999997</v>
      </c>
      <c r="P10" s="32">
        <f t="shared" si="7"/>
        <v>1</v>
      </c>
      <c r="Q10" s="198">
        <f t="shared" si="8"/>
        <v>0.56122448979591832</v>
      </c>
      <c r="R10" s="199">
        <f t="shared" si="9"/>
        <v>0.56122448979591832</v>
      </c>
      <c r="S10" s="198">
        <f t="shared" si="10"/>
        <v>0.79799999999999993</v>
      </c>
      <c r="T10" s="200">
        <f t="shared" si="14"/>
        <v>0.79799999999999993</v>
      </c>
      <c r="U10" s="108">
        <f t="shared" si="15"/>
        <v>0</v>
      </c>
      <c r="V10" s="108">
        <f t="shared" si="16"/>
        <v>0</v>
      </c>
      <c r="W10" s="203">
        <f t="shared" si="17"/>
        <v>0</v>
      </c>
      <c r="Y10" s="5">
        <f t="shared" si="11"/>
        <v>0</v>
      </c>
      <c r="Z10" s="5">
        <f t="shared" si="12"/>
        <v>0</v>
      </c>
    </row>
    <row r="11" spans="1:37" x14ac:dyDescent="0.15">
      <c r="B11" s="12" t="s">
        <v>259</v>
      </c>
      <c r="C11" s="193">
        <f>'R-series ALU'!T27</f>
        <v>-6.5</v>
      </c>
      <c r="D11" s="24" t="s">
        <v>230</v>
      </c>
      <c r="F11" s="194">
        <v>-27</v>
      </c>
      <c r="G11" s="559">
        <f>Säädata!Z17</f>
        <v>0</v>
      </c>
      <c r="H11" s="194">
        <f t="shared" si="0"/>
        <v>21</v>
      </c>
      <c r="I11" s="195">
        <f t="shared" si="1"/>
        <v>-6.5</v>
      </c>
      <c r="J11" s="196">
        <f t="shared" si="2"/>
        <v>-6.5</v>
      </c>
      <c r="K11" s="196">
        <f t="shared" si="3"/>
        <v>-6.5</v>
      </c>
      <c r="L11" s="196">
        <f t="shared" si="4"/>
        <v>-17.303999999999995</v>
      </c>
      <c r="M11" s="182">
        <f t="shared" si="5"/>
        <v>21</v>
      </c>
      <c r="N11" s="196">
        <f t="shared" si="13"/>
        <v>0.5</v>
      </c>
      <c r="O11" s="197">
        <f t="shared" si="6"/>
        <v>11.303999999999995</v>
      </c>
      <c r="P11" s="32">
        <f t="shared" si="7"/>
        <v>1</v>
      </c>
      <c r="Q11" s="198">
        <f t="shared" si="8"/>
        <v>0.57291666666666663</v>
      </c>
      <c r="R11" s="199">
        <f t="shared" si="9"/>
        <v>0.57291666666666663</v>
      </c>
      <c r="S11" s="198">
        <f t="shared" si="10"/>
        <v>0.79799999999999993</v>
      </c>
      <c r="T11" s="200">
        <f t="shared" si="14"/>
        <v>0.79799999999999993</v>
      </c>
      <c r="U11" s="108">
        <f t="shared" si="15"/>
        <v>0</v>
      </c>
      <c r="V11" s="108">
        <f t="shared" si="16"/>
        <v>0</v>
      </c>
      <c r="W11" s="203">
        <f t="shared" si="17"/>
        <v>0</v>
      </c>
      <c r="Y11" s="5">
        <f t="shared" si="11"/>
        <v>0</v>
      </c>
      <c r="Z11" s="5">
        <f t="shared" si="12"/>
        <v>0</v>
      </c>
      <c r="AB11" t="s">
        <v>1277</v>
      </c>
      <c r="AG11">
        <f>'R-series ALU'!T37</f>
        <v>0</v>
      </c>
    </row>
    <row r="12" spans="1:37" x14ac:dyDescent="0.15">
      <c r="B12" s="12" t="s">
        <v>260</v>
      </c>
      <c r="C12" s="193">
        <f>C42</f>
        <v>21</v>
      </c>
      <c r="D12" s="24" t="s">
        <v>230</v>
      </c>
      <c r="F12" s="194">
        <v>-26</v>
      </c>
      <c r="G12" s="559">
        <f>Säädata!Z18</f>
        <v>0</v>
      </c>
      <c r="H12" s="194">
        <f t="shared" si="0"/>
        <v>21</v>
      </c>
      <c r="I12" s="195">
        <f t="shared" si="1"/>
        <v>-6.5</v>
      </c>
      <c r="J12" s="196">
        <f t="shared" si="2"/>
        <v>-6.5</v>
      </c>
      <c r="K12" s="196">
        <f t="shared" si="3"/>
        <v>-6.5</v>
      </c>
      <c r="L12" s="196">
        <f t="shared" si="4"/>
        <v>-16.506</v>
      </c>
      <c r="M12" s="182">
        <f t="shared" si="5"/>
        <v>21</v>
      </c>
      <c r="N12" s="196">
        <f t="shared" si="13"/>
        <v>1.5</v>
      </c>
      <c r="O12" s="197">
        <f t="shared" si="6"/>
        <v>11.506</v>
      </c>
      <c r="P12" s="32">
        <f t="shared" si="7"/>
        <v>1</v>
      </c>
      <c r="Q12" s="198">
        <f t="shared" si="8"/>
        <v>0.58510638297872342</v>
      </c>
      <c r="R12" s="199">
        <f t="shared" si="9"/>
        <v>0.58510638297872342</v>
      </c>
      <c r="S12" s="198">
        <f t="shared" si="10"/>
        <v>0.79799999999999993</v>
      </c>
      <c r="T12" s="200">
        <f t="shared" si="14"/>
        <v>0.79799999999999993</v>
      </c>
      <c r="U12" s="108">
        <f t="shared" si="15"/>
        <v>0</v>
      </c>
      <c r="V12" s="108">
        <f t="shared" si="16"/>
        <v>0</v>
      </c>
      <c r="W12" s="203">
        <f t="shared" si="17"/>
        <v>0</v>
      </c>
      <c r="Y12" s="5">
        <f t="shared" si="11"/>
        <v>0</v>
      </c>
      <c r="Z12" s="5">
        <f t="shared" si="12"/>
        <v>0</v>
      </c>
      <c r="AB12" t="s">
        <v>1286</v>
      </c>
      <c r="AG12" s="3">
        <f>N54</f>
        <v>16.758000000000003</v>
      </c>
    </row>
    <row r="13" spans="1:37" x14ac:dyDescent="0.15">
      <c r="A13" s="2" t="s">
        <v>1191</v>
      </c>
      <c r="B13" s="658" t="s">
        <v>986</v>
      </c>
      <c r="C13" s="659">
        <f>E13</f>
        <v>1</v>
      </c>
      <c r="D13" s="660"/>
      <c r="E13" s="661">
        <v>1</v>
      </c>
      <c r="F13" s="194">
        <v>-25</v>
      </c>
      <c r="G13" s="559">
        <f>Säädata!Z19</f>
        <v>0</v>
      </c>
      <c r="H13" s="194">
        <f t="shared" si="0"/>
        <v>21</v>
      </c>
      <c r="I13" s="195">
        <f t="shared" si="1"/>
        <v>-6.5</v>
      </c>
      <c r="J13" s="196">
        <f t="shared" si="2"/>
        <v>-6.5</v>
      </c>
      <c r="K13" s="196">
        <f t="shared" si="3"/>
        <v>-6.5</v>
      </c>
      <c r="L13" s="196">
        <f t="shared" si="4"/>
        <v>-15.707999999999998</v>
      </c>
      <c r="M13" s="182">
        <f t="shared" si="5"/>
        <v>21</v>
      </c>
      <c r="N13" s="196">
        <f t="shared" si="13"/>
        <v>2.5</v>
      </c>
      <c r="O13" s="197">
        <f t="shared" si="6"/>
        <v>11.707999999999998</v>
      </c>
      <c r="P13" s="32">
        <f t="shared" si="7"/>
        <v>1</v>
      </c>
      <c r="Q13" s="198">
        <f t="shared" si="8"/>
        <v>0.59782608695652173</v>
      </c>
      <c r="R13" s="199">
        <f t="shared" si="9"/>
        <v>0.59782608695652173</v>
      </c>
      <c r="S13" s="198">
        <f t="shared" si="10"/>
        <v>0.79799999999999993</v>
      </c>
      <c r="T13" s="200">
        <f t="shared" si="14"/>
        <v>0.79799999999999993</v>
      </c>
      <c r="U13" s="108">
        <f t="shared" si="15"/>
        <v>0</v>
      </c>
      <c r="V13" s="108">
        <f t="shared" si="16"/>
        <v>0</v>
      </c>
      <c r="W13" s="203">
        <f t="shared" si="17"/>
        <v>0</v>
      </c>
      <c r="Y13" s="5">
        <f t="shared" si="11"/>
        <v>0</v>
      </c>
      <c r="Z13" s="5">
        <f t="shared" si="12"/>
        <v>0</v>
      </c>
    </row>
    <row r="14" spans="1:37" x14ac:dyDescent="0.15">
      <c r="A14" s="2" t="s">
        <v>1190</v>
      </c>
      <c r="B14" s="658" t="s">
        <v>261</v>
      </c>
      <c r="C14" s="659">
        <f ca="1">IF(E14&lt;=COUNTA(Kuntalistaus),E14,COUNTA(Kuntalistaus))</f>
        <v>1</v>
      </c>
      <c r="D14" s="660"/>
      <c r="E14" s="662">
        <v>1</v>
      </c>
      <c r="F14" s="194">
        <v>-24</v>
      </c>
      <c r="G14" s="559">
        <f>Säädata!Z20</f>
        <v>0</v>
      </c>
      <c r="H14" s="194">
        <f t="shared" si="0"/>
        <v>21</v>
      </c>
      <c r="I14" s="195">
        <f t="shared" si="1"/>
        <v>-6.5</v>
      </c>
      <c r="J14" s="196">
        <f t="shared" si="2"/>
        <v>-6.5</v>
      </c>
      <c r="K14" s="196">
        <f t="shared" si="3"/>
        <v>-6.5000000000000036</v>
      </c>
      <c r="L14" s="196">
        <f t="shared" si="4"/>
        <v>-14.909999999999997</v>
      </c>
      <c r="M14" s="182">
        <f t="shared" si="5"/>
        <v>21</v>
      </c>
      <c r="N14" s="196">
        <f t="shared" si="13"/>
        <v>3.5000000000000036</v>
      </c>
      <c r="O14" s="197">
        <f t="shared" si="6"/>
        <v>11.909999999999997</v>
      </c>
      <c r="P14" s="32">
        <f t="shared" si="7"/>
        <v>1</v>
      </c>
      <c r="Q14" s="198">
        <f t="shared" si="8"/>
        <v>0.61111111111111116</v>
      </c>
      <c r="R14" s="199">
        <f t="shared" si="9"/>
        <v>0.61111111111111116</v>
      </c>
      <c r="S14" s="198">
        <f t="shared" si="10"/>
        <v>0.79799999999999993</v>
      </c>
      <c r="T14" s="200">
        <f t="shared" si="14"/>
        <v>0.79799999999999993</v>
      </c>
      <c r="U14" s="108">
        <f t="shared" si="15"/>
        <v>0</v>
      </c>
      <c r="V14" s="108">
        <f t="shared" si="16"/>
        <v>0</v>
      </c>
      <c r="W14" s="203">
        <f t="shared" si="17"/>
        <v>0</v>
      </c>
      <c r="Y14" s="5">
        <f t="shared" si="11"/>
        <v>0</v>
      </c>
      <c r="Z14" s="5">
        <f t="shared" si="12"/>
        <v>0</v>
      </c>
      <c r="AB14" t="s">
        <v>1272</v>
      </c>
      <c r="AG14" s="110">
        <f>1.2*C6*(AG11-AG12)</f>
        <v>-195.51000000000002</v>
      </c>
      <c r="AH14" t="s">
        <v>49</v>
      </c>
    </row>
    <row r="15" spans="1:37" x14ac:dyDescent="0.15">
      <c r="B15" s="12" t="s">
        <v>262</v>
      </c>
      <c r="C15" s="206">
        <f>'R-series ALU'!T16</f>
        <v>0</v>
      </c>
      <c r="D15" s="24" t="s">
        <v>13</v>
      </c>
      <c r="F15" s="194">
        <v>-23</v>
      </c>
      <c r="G15" s="559">
        <f>Säädata!Z21</f>
        <v>0</v>
      </c>
      <c r="H15" s="194">
        <f t="shared" si="0"/>
        <v>21</v>
      </c>
      <c r="I15" s="195">
        <f t="shared" si="1"/>
        <v>-6.5</v>
      </c>
      <c r="J15" s="196">
        <f t="shared" si="2"/>
        <v>-6.5</v>
      </c>
      <c r="K15" s="196">
        <f t="shared" si="3"/>
        <v>-6.5</v>
      </c>
      <c r="L15" s="196">
        <f t="shared" si="4"/>
        <v>-14.111999999999995</v>
      </c>
      <c r="M15" s="182">
        <f t="shared" si="5"/>
        <v>21</v>
      </c>
      <c r="N15" s="196">
        <f t="shared" si="13"/>
        <v>4.5</v>
      </c>
      <c r="O15" s="197">
        <f t="shared" si="6"/>
        <v>12.111999999999995</v>
      </c>
      <c r="P15" s="32">
        <f t="shared" si="7"/>
        <v>1</v>
      </c>
      <c r="Q15" s="198">
        <f t="shared" si="8"/>
        <v>0.625</v>
      </c>
      <c r="R15" s="199">
        <f t="shared" si="9"/>
        <v>0.625</v>
      </c>
      <c r="S15" s="198">
        <f t="shared" si="10"/>
        <v>0.79799999999999993</v>
      </c>
      <c r="T15" s="200">
        <f t="shared" si="14"/>
        <v>0.79799999999999993</v>
      </c>
      <c r="U15" s="108">
        <f t="shared" si="15"/>
        <v>0</v>
      </c>
      <c r="V15" s="108">
        <f t="shared" si="16"/>
        <v>0</v>
      </c>
      <c r="W15" s="203">
        <f t="shared" si="17"/>
        <v>0</v>
      </c>
      <c r="Y15" s="5">
        <f t="shared" si="11"/>
        <v>0</v>
      </c>
      <c r="Z15" s="5">
        <f t="shared" si="12"/>
        <v>0</v>
      </c>
      <c r="AF15" t="s">
        <v>1276</v>
      </c>
      <c r="AG15" s="110" t="str">
        <f>IF(AG14&lt;=0,"-",AG14)</f>
        <v>-</v>
      </c>
      <c r="AH15" t="s">
        <v>49</v>
      </c>
    </row>
    <row r="16" spans="1:37" x14ac:dyDescent="0.15">
      <c r="B16" s="12" t="s">
        <v>263</v>
      </c>
      <c r="C16" s="206">
        <f>'R-series ALU'!T17</f>
        <v>0</v>
      </c>
      <c r="D16" s="24" t="s">
        <v>264</v>
      </c>
      <c r="F16" s="194">
        <v>-22</v>
      </c>
      <c r="G16" s="559">
        <f>Säädata!Z22</f>
        <v>0</v>
      </c>
      <c r="H16" s="194">
        <f t="shared" si="0"/>
        <v>21</v>
      </c>
      <c r="I16" s="195">
        <f t="shared" si="1"/>
        <v>-6.5</v>
      </c>
      <c r="J16" s="196">
        <f t="shared" si="2"/>
        <v>-6.5</v>
      </c>
      <c r="K16" s="196">
        <f t="shared" si="3"/>
        <v>-6.5</v>
      </c>
      <c r="L16" s="196">
        <f t="shared" si="4"/>
        <v>-13.314</v>
      </c>
      <c r="M16" s="182">
        <f t="shared" si="5"/>
        <v>21</v>
      </c>
      <c r="N16" s="196">
        <f t="shared" si="13"/>
        <v>5.5</v>
      </c>
      <c r="O16" s="197">
        <f t="shared" si="6"/>
        <v>12.314</v>
      </c>
      <c r="P16" s="32">
        <f t="shared" si="7"/>
        <v>1</v>
      </c>
      <c r="Q16" s="198">
        <f t="shared" si="8"/>
        <v>0.63953488372093026</v>
      </c>
      <c r="R16" s="199">
        <f t="shared" si="9"/>
        <v>0.63953488372093026</v>
      </c>
      <c r="S16" s="198">
        <f t="shared" si="10"/>
        <v>0.79799999999999993</v>
      </c>
      <c r="T16" s="200">
        <f t="shared" si="14"/>
        <v>0.79799999999999993</v>
      </c>
      <c r="U16" s="108">
        <f t="shared" si="15"/>
        <v>0</v>
      </c>
      <c r="V16" s="108">
        <f t="shared" si="16"/>
        <v>0</v>
      </c>
      <c r="W16" s="203">
        <f t="shared" si="17"/>
        <v>0</v>
      </c>
      <c r="Y16" s="5">
        <f t="shared" si="11"/>
        <v>0</v>
      </c>
      <c r="Z16" s="5">
        <f t="shared" si="12"/>
        <v>0</v>
      </c>
    </row>
    <row r="17" spans="1:26" x14ac:dyDescent="0.15">
      <c r="B17" s="12" t="s">
        <v>265</v>
      </c>
      <c r="C17" s="4">
        <f>(24*C7+C16*C15)/24</f>
        <v>9.7222222222222214</v>
      </c>
      <c r="D17" s="24" t="s">
        <v>13</v>
      </c>
      <c r="F17" s="194">
        <v>-21</v>
      </c>
      <c r="G17" s="559">
        <f>Säädata!Z23</f>
        <v>0</v>
      </c>
      <c r="H17" s="194">
        <f t="shared" si="0"/>
        <v>21</v>
      </c>
      <c r="I17" s="195">
        <f t="shared" si="1"/>
        <v>-6.5</v>
      </c>
      <c r="J17" s="196">
        <f t="shared" si="2"/>
        <v>-6.5</v>
      </c>
      <c r="K17" s="196">
        <f t="shared" si="3"/>
        <v>-6.5</v>
      </c>
      <c r="L17" s="196">
        <f t="shared" si="4"/>
        <v>-12.515999999999998</v>
      </c>
      <c r="M17" s="182">
        <f t="shared" si="5"/>
        <v>21</v>
      </c>
      <c r="N17" s="196">
        <f t="shared" si="13"/>
        <v>6.5</v>
      </c>
      <c r="O17" s="197">
        <f t="shared" si="6"/>
        <v>12.515999999999998</v>
      </c>
      <c r="P17" s="32">
        <f t="shared" si="7"/>
        <v>1</v>
      </c>
      <c r="Q17" s="198">
        <f t="shared" si="8"/>
        <v>0.65476190476190477</v>
      </c>
      <c r="R17" s="199">
        <f t="shared" si="9"/>
        <v>0.65476190476190477</v>
      </c>
      <c r="S17" s="198">
        <f t="shared" si="10"/>
        <v>0.79799999999999993</v>
      </c>
      <c r="T17" s="200">
        <f t="shared" si="14"/>
        <v>0.79799999999999993</v>
      </c>
      <c r="U17" s="108">
        <f t="shared" si="15"/>
        <v>0</v>
      </c>
      <c r="V17" s="108">
        <f t="shared" si="16"/>
        <v>0</v>
      </c>
      <c r="W17" s="203">
        <f t="shared" si="17"/>
        <v>0</v>
      </c>
      <c r="Y17" s="5">
        <f t="shared" si="11"/>
        <v>0</v>
      </c>
      <c r="Z17" s="5">
        <f t="shared" si="12"/>
        <v>0</v>
      </c>
    </row>
    <row r="18" spans="1:26" ht="17" x14ac:dyDescent="0.25">
      <c r="B18" s="14" t="s">
        <v>266</v>
      </c>
      <c r="C18" s="207">
        <f>'R-series ALU'!T19</f>
        <v>1</v>
      </c>
      <c r="D18" s="26"/>
      <c r="F18" s="194">
        <v>-20</v>
      </c>
      <c r="G18" s="559">
        <f>Säädata!Z24</f>
        <v>0</v>
      </c>
      <c r="H18" s="194">
        <f>$C$12</f>
        <v>21</v>
      </c>
      <c r="I18" s="195">
        <f>MAX(J18:K18)</f>
        <v>-6.5</v>
      </c>
      <c r="J18" s="196">
        <f t="shared" si="2"/>
        <v>-6.5</v>
      </c>
      <c r="K18" s="196">
        <f>M18-P18*Q18*(M18-F18)</f>
        <v>-6.5</v>
      </c>
      <c r="L18" s="196">
        <f>M18-T18*(M18-F18)</f>
        <v>-11.717999999999996</v>
      </c>
      <c r="M18" s="182">
        <f t="shared" si="5"/>
        <v>21</v>
      </c>
      <c r="N18" s="196">
        <f t="shared" si="13"/>
        <v>7.5</v>
      </c>
      <c r="O18" s="197">
        <f t="shared" si="6"/>
        <v>12.717999999999996</v>
      </c>
      <c r="P18" s="32">
        <f t="shared" si="7"/>
        <v>1</v>
      </c>
      <c r="Q18" s="198">
        <f t="shared" si="8"/>
        <v>0.67073170731707321</v>
      </c>
      <c r="R18" s="199">
        <f t="shared" si="9"/>
        <v>0.67073170731707321</v>
      </c>
      <c r="S18" s="198">
        <f t="shared" si="10"/>
        <v>0.79799999999999993</v>
      </c>
      <c r="T18" s="200">
        <f>S18*$C$8</f>
        <v>0.79799999999999993</v>
      </c>
      <c r="U18" s="108">
        <f t="shared" si="15"/>
        <v>0</v>
      </c>
      <c r="V18" s="108">
        <f>(G18-G17)*(N18-F18)*365</f>
        <v>0</v>
      </c>
      <c r="W18" s="203">
        <f>(G18-G17)*(M18-I18)*365</f>
        <v>0</v>
      </c>
      <c r="Y18" s="5">
        <f>$C$7/1000*1.2*1006*(M18-F18)*8760*(G18-G17)/1000</f>
        <v>0</v>
      </c>
      <c r="Z18" s="5">
        <f t="shared" si="12"/>
        <v>0</v>
      </c>
    </row>
    <row r="19" spans="1:26" x14ac:dyDescent="0.15">
      <c r="A19" s="560" t="s">
        <v>987</v>
      </c>
      <c r="B19" s="10" t="s">
        <v>267</v>
      </c>
      <c r="C19" s="208">
        <f ca="1">IF(C14=1,-26,IF(C14=2,-29,IF(C14=3,-32,-38)))</f>
        <v>-26</v>
      </c>
      <c r="D19" s="21" t="s">
        <v>230</v>
      </c>
      <c r="F19" s="194">
        <v>-19</v>
      </c>
      <c r="G19" s="559">
        <f>Säädata!Z25</f>
        <v>0</v>
      </c>
      <c r="H19" s="194">
        <f t="shared" ref="H19:H50" si="18">$H$17</f>
        <v>21</v>
      </c>
      <c r="I19" s="195">
        <f>MAX(J19:K19)</f>
        <v>-6.5</v>
      </c>
      <c r="J19" s="196">
        <f t="shared" si="2"/>
        <v>-6.5</v>
      </c>
      <c r="K19" s="196">
        <f t="shared" ref="K19:K50" si="19">M19-P19*Q19*(M19-F19)</f>
        <v>-6.5</v>
      </c>
      <c r="L19" s="196">
        <f t="shared" ref="L19:L50" si="20">M19-T19*(M19-F19)</f>
        <v>-10.919999999999998</v>
      </c>
      <c r="M19" s="182">
        <f t="shared" si="5"/>
        <v>21</v>
      </c>
      <c r="N19" s="196">
        <f t="shared" si="13"/>
        <v>8.5</v>
      </c>
      <c r="O19" s="197">
        <f t="shared" si="6"/>
        <v>12.919999999999998</v>
      </c>
      <c r="P19" s="32">
        <f t="shared" si="7"/>
        <v>1</v>
      </c>
      <c r="Q19" s="198">
        <f t="shared" si="8"/>
        <v>0.6875</v>
      </c>
      <c r="R19" s="199">
        <f t="shared" si="9"/>
        <v>0.6875</v>
      </c>
      <c r="S19" s="198">
        <f t="shared" si="10"/>
        <v>0.79799999999999993</v>
      </c>
      <c r="T19" s="200">
        <f t="shared" si="14"/>
        <v>0.79799999999999993</v>
      </c>
      <c r="U19" s="108">
        <f t="shared" si="15"/>
        <v>0</v>
      </c>
      <c r="V19" s="108">
        <f t="shared" si="16"/>
        <v>0</v>
      </c>
      <c r="W19" s="203">
        <f t="shared" si="17"/>
        <v>0</v>
      </c>
      <c r="Y19" s="5">
        <f t="shared" si="11"/>
        <v>0</v>
      </c>
      <c r="Z19" s="5">
        <f t="shared" si="12"/>
        <v>0</v>
      </c>
    </row>
    <row r="20" spans="1:26" x14ac:dyDescent="0.15">
      <c r="B20" s="14" t="s">
        <v>268</v>
      </c>
      <c r="C20" s="209">
        <f ca="1">N3</f>
        <v>1.5</v>
      </c>
      <c r="D20" s="26" t="s">
        <v>230</v>
      </c>
      <c r="F20" s="194">
        <v>-18</v>
      </c>
      <c r="G20" s="559">
        <f>Säädata!Z26</f>
        <v>0</v>
      </c>
      <c r="H20" s="194">
        <f t="shared" si="18"/>
        <v>21</v>
      </c>
      <c r="I20" s="195">
        <f t="shared" ref="I20:I50" si="21">MAX(J20:K20)</f>
        <v>-6.5</v>
      </c>
      <c r="J20" s="196">
        <f t="shared" si="2"/>
        <v>-6.5</v>
      </c>
      <c r="K20" s="196">
        <f t="shared" si="19"/>
        <v>-6.5000000000000036</v>
      </c>
      <c r="L20" s="196">
        <f t="shared" si="20"/>
        <v>-10.121999999999996</v>
      </c>
      <c r="M20" s="182">
        <f t="shared" si="5"/>
        <v>21</v>
      </c>
      <c r="N20" s="196">
        <f t="shared" si="13"/>
        <v>9.5000000000000036</v>
      </c>
      <c r="O20" s="197">
        <f t="shared" si="6"/>
        <v>13.121999999999996</v>
      </c>
      <c r="P20" s="32">
        <f t="shared" si="7"/>
        <v>1</v>
      </c>
      <c r="Q20" s="198">
        <f t="shared" si="8"/>
        <v>0.70512820512820518</v>
      </c>
      <c r="R20" s="199">
        <f t="shared" si="9"/>
        <v>0.70512820512820518</v>
      </c>
      <c r="S20" s="198">
        <f t="shared" si="10"/>
        <v>0.79799999999999993</v>
      </c>
      <c r="T20" s="200">
        <f t="shared" si="14"/>
        <v>0.79799999999999993</v>
      </c>
      <c r="U20" s="108">
        <f t="shared" si="15"/>
        <v>0</v>
      </c>
      <c r="V20" s="108">
        <f t="shared" si="16"/>
        <v>0</v>
      </c>
      <c r="W20" s="203">
        <f t="shared" si="17"/>
        <v>0</v>
      </c>
      <c r="Y20" s="5">
        <f t="shared" si="11"/>
        <v>0</v>
      </c>
      <c r="Z20" s="5">
        <f t="shared" si="12"/>
        <v>0</v>
      </c>
    </row>
    <row r="21" spans="1:26" x14ac:dyDescent="0.15">
      <c r="F21" s="194">
        <v>-17</v>
      </c>
      <c r="G21" s="559">
        <f>Säädata!Z27</f>
        <v>0</v>
      </c>
      <c r="H21" s="194">
        <f t="shared" si="18"/>
        <v>21</v>
      </c>
      <c r="I21" s="195">
        <f t="shared" si="21"/>
        <v>-6.5</v>
      </c>
      <c r="J21" s="196">
        <f t="shared" si="2"/>
        <v>-6.5</v>
      </c>
      <c r="K21" s="196">
        <f t="shared" si="19"/>
        <v>-6.5</v>
      </c>
      <c r="L21" s="196">
        <f t="shared" si="20"/>
        <v>-9.3239999999999981</v>
      </c>
      <c r="M21" s="182">
        <f t="shared" si="5"/>
        <v>21</v>
      </c>
      <c r="N21" s="196">
        <f t="shared" si="13"/>
        <v>10.5</v>
      </c>
      <c r="O21" s="197">
        <f t="shared" si="6"/>
        <v>13.323999999999998</v>
      </c>
      <c r="P21" s="32">
        <f t="shared" si="7"/>
        <v>1</v>
      </c>
      <c r="Q21" s="198">
        <f>MIN(R21/P21,(H21-F21)/(M21-F21))</f>
        <v>0.72368421052631582</v>
      </c>
      <c r="R21" s="199">
        <f>(M21-J21)/(M21-F21)</f>
        <v>0.72368421052631582</v>
      </c>
      <c r="S21" s="198">
        <f t="shared" si="10"/>
        <v>0.79799999999999993</v>
      </c>
      <c r="T21" s="200">
        <f t="shared" si="14"/>
        <v>0.79799999999999993</v>
      </c>
      <c r="U21" s="108">
        <f>(G21-G20)*(M21-F21)*365</f>
        <v>0</v>
      </c>
      <c r="V21" s="108">
        <f t="shared" si="16"/>
        <v>0</v>
      </c>
      <c r="W21" s="203">
        <f t="shared" si="17"/>
        <v>0</v>
      </c>
      <c r="Y21" s="5">
        <f t="shared" si="11"/>
        <v>0</v>
      </c>
      <c r="Z21" s="5">
        <f t="shared" si="12"/>
        <v>0</v>
      </c>
    </row>
    <row r="22" spans="1:26" x14ac:dyDescent="0.15">
      <c r="F22" s="194">
        <v>-16</v>
      </c>
      <c r="G22" s="559">
        <f>Säädata!Z28</f>
        <v>0</v>
      </c>
      <c r="H22" s="194">
        <f t="shared" si="18"/>
        <v>21</v>
      </c>
      <c r="I22" s="195">
        <f t="shared" si="21"/>
        <v>-6.5</v>
      </c>
      <c r="J22" s="196">
        <f t="shared" si="2"/>
        <v>-6.5</v>
      </c>
      <c r="K22" s="196">
        <f t="shared" si="19"/>
        <v>-6.5</v>
      </c>
      <c r="L22" s="196">
        <f t="shared" si="20"/>
        <v>-8.5259999999999962</v>
      </c>
      <c r="M22" s="182">
        <f t="shared" si="5"/>
        <v>21</v>
      </c>
      <c r="N22" s="196">
        <f t="shared" si="13"/>
        <v>11.5</v>
      </c>
      <c r="O22" s="197">
        <f t="shared" si="6"/>
        <v>13.525999999999996</v>
      </c>
      <c r="P22" s="4">
        <f t="shared" si="7"/>
        <v>1</v>
      </c>
      <c r="Q22" s="198">
        <f t="shared" ref="Q22:Q50" si="22">MIN(R22/P22,(H22-F22)/(M22-F22))</f>
        <v>0.7432432432432432</v>
      </c>
      <c r="R22" s="199">
        <f t="shared" ref="R22:R49" si="23">(M22-J22)/(M22-F22)</f>
        <v>0.7432432432432432</v>
      </c>
      <c r="S22" s="198">
        <f t="shared" si="10"/>
        <v>0.79799999999999993</v>
      </c>
      <c r="T22" s="200">
        <f t="shared" si="14"/>
        <v>0.79799999999999993</v>
      </c>
      <c r="U22" s="108">
        <f t="shared" ref="U22:U50" si="24">(G22-G21)*(M22-F22)*365</f>
        <v>0</v>
      </c>
      <c r="V22" s="108">
        <f>(G22-G21)*(N22-F22)*365</f>
        <v>0</v>
      </c>
      <c r="W22" s="203">
        <f>(G22-G21)*(M22-I22)*365</f>
        <v>0</v>
      </c>
      <c r="Y22" s="5">
        <f t="shared" si="11"/>
        <v>0</v>
      </c>
      <c r="Z22" s="5">
        <f t="shared" si="12"/>
        <v>0</v>
      </c>
    </row>
    <row r="23" spans="1:26" ht="14" thickBot="1" x14ac:dyDescent="0.2">
      <c r="F23" s="194">
        <v>-15</v>
      </c>
      <c r="G23" s="559">
        <f>Säädata!Z29</f>
        <v>0</v>
      </c>
      <c r="H23" s="194">
        <f t="shared" si="18"/>
        <v>21</v>
      </c>
      <c r="I23" s="195">
        <f t="shared" si="21"/>
        <v>-6.5</v>
      </c>
      <c r="J23" s="196">
        <f t="shared" si="2"/>
        <v>-6.5</v>
      </c>
      <c r="K23" s="196">
        <f t="shared" si="19"/>
        <v>-6.5</v>
      </c>
      <c r="L23" s="196">
        <f t="shared" si="20"/>
        <v>-7.727999999999998</v>
      </c>
      <c r="M23" s="182">
        <f t="shared" si="5"/>
        <v>21</v>
      </c>
      <c r="N23" s="196">
        <f t="shared" si="13"/>
        <v>12.5</v>
      </c>
      <c r="O23" s="197">
        <f t="shared" si="6"/>
        <v>13.727999999999998</v>
      </c>
      <c r="P23" s="4">
        <f t="shared" si="7"/>
        <v>1</v>
      </c>
      <c r="Q23" s="198">
        <f t="shared" si="22"/>
        <v>0.76388888888888884</v>
      </c>
      <c r="R23" s="199">
        <f t="shared" si="23"/>
        <v>0.76388888888888884</v>
      </c>
      <c r="S23" s="198">
        <f t="shared" si="10"/>
        <v>0.79799999999999993</v>
      </c>
      <c r="T23" s="200">
        <f t="shared" si="14"/>
        <v>0.79799999999999993</v>
      </c>
      <c r="U23" s="108">
        <f t="shared" si="24"/>
        <v>0</v>
      </c>
      <c r="V23" s="108">
        <f t="shared" si="16"/>
        <v>0</v>
      </c>
      <c r="W23" s="203">
        <f t="shared" si="17"/>
        <v>0</v>
      </c>
      <c r="Y23" s="5">
        <f t="shared" si="11"/>
        <v>0</v>
      </c>
      <c r="Z23" s="5">
        <f t="shared" si="12"/>
        <v>0</v>
      </c>
    </row>
    <row r="24" spans="1:26" ht="14" thickBot="1" x14ac:dyDescent="0.2">
      <c r="B24" s="210" t="s">
        <v>269</v>
      </c>
      <c r="C24" s="211"/>
      <c r="D24" s="212">
        <f>MIN(V4*C18/U4,1)</f>
        <v>0.79799999999999982</v>
      </c>
      <c r="F24" s="194">
        <v>-14</v>
      </c>
      <c r="G24" s="559">
        <f>Säädata!Z30</f>
        <v>0</v>
      </c>
      <c r="H24" s="194">
        <f t="shared" si="18"/>
        <v>21</v>
      </c>
      <c r="I24" s="195">
        <f t="shared" si="21"/>
        <v>-6.5</v>
      </c>
      <c r="J24" s="196">
        <f t="shared" si="2"/>
        <v>-6.5</v>
      </c>
      <c r="K24" s="196">
        <f t="shared" si="19"/>
        <v>-6.5</v>
      </c>
      <c r="L24" s="196">
        <f t="shared" si="20"/>
        <v>-6.9299999999999962</v>
      </c>
      <c r="M24" s="182">
        <f t="shared" si="5"/>
        <v>21</v>
      </c>
      <c r="N24" s="196">
        <f t="shared" si="13"/>
        <v>13.5</v>
      </c>
      <c r="O24" s="197">
        <f t="shared" si="6"/>
        <v>13.929999999999996</v>
      </c>
      <c r="P24" s="4">
        <f t="shared" si="7"/>
        <v>1</v>
      </c>
      <c r="Q24" s="198">
        <f t="shared" si="22"/>
        <v>0.7857142857142857</v>
      </c>
      <c r="R24" s="199">
        <f t="shared" si="23"/>
        <v>0.7857142857142857</v>
      </c>
      <c r="S24" s="198">
        <f t="shared" si="10"/>
        <v>0.79799999999999993</v>
      </c>
      <c r="T24" s="200">
        <f t="shared" si="14"/>
        <v>0.79799999999999993</v>
      </c>
      <c r="U24" s="108">
        <f>(G24-G23)*(M24-F24)*365</f>
        <v>0</v>
      </c>
      <c r="V24" s="108">
        <f t="shared" si="16"/>
        <v>0</v>
      </c>
      <c r="W24" s="203">
        <f t="shared" si="17"/>
        <v>0</v>
      </c>
      <c r="Y24" s="5">
        <f t="shared" si="11"/>
        <v>0</v>
      </c>
      <c r="Z24" s="5">
        <f t="shared" si="12"/>
        <v>0</v>
      </c>
    </row>
    <row r="25" spans="1:26" x14ac:dyDescent="0.15">
      <c r="F25" s="194">
        <v>-13</v>
      </c>
      <c r="G25" s="559">
        <f>Säädata!Z31</f>
        <v>0</v>
      </c>
      <c r="H25" s="194">
        <f t="shared" si="18"/>
        <v>21</v>
      </c>
      <c r="I25" s="195">
        <f t="shared" si="21"/>
        <v>-6.1319999999999979</v>
      </c>
      <c r="J25" s="196">
        <f t="shared" si="2"/>
        <v>-6.1319999999999979</v>
      </c>
      <c r="K25" s="196">
        <f t="shared" si="19"/>
        <v>-6.1319999999999979</v>
      </c>
      <c r="L25" s="196">
        <f t="shared" si="20"/>
        <v>-6.1319999999999979</v>
      </c>
      <c r="M25" s="182">
        <f t="shared" si="5"/>
        <v>21</v>
      </c>
      <c r="N25" s="196">
        <f t="shared" si="13"/>
        <v>14.131999999999998</v>
      </c>
      <c r="O25" s="197">
        <f t="shared" si="6"/>
        <v>14.131999999999998</v>
      </c>
      <c r="P25" s="4">
        <f t="shared" si="7"/>
        <v>1</v>
      </c>
      <c r="Q25" s="198">
        <f t="shared" si="22"/>
        <v>0.79799999999999993</v>
      </c>
      <c r="R25" s="199">
        <f t="shared" si="23"/>
        <v>0.79799999999999993</v>
      </c>
      <c r="S25" s="198">
        <f t="shared" si="10"/>
        <v>0.79799999999999993</v>
      </c>
      <c r="T25" s="200">
        <f t="shared" si="14"/>
        <v>0.79799999999999993</v>
      </c>
      <c r="U25" s="108">
        <f t="shared" si="24"/>
        <v>0</v>
      </c>
      <c r="V25" s="108">
        <f t="shared" si="16"/>
        <v>0</v>
      </c>
      <c r="W25" s="203">
        <f t="shared" si="17"/>
        <v>0</v>
      </c>
      <c r="Y25" s="5">
        <f t="shared" si="11"/>
        <v>0</v>
      </c>
      <c r="Z25" s="5">
        <f t="shared" si="12"/>
        <v>0</v>
      </c>
    </row>
    <row r="26" spans="1:26" x14ac:dyDescent="0.15">
      <c r="F26" s="194">
        <v>-12</v>
      </c>
      <c r="G26" s="559">
        <f>Säädata!Z32</f>
        <v>3.4246575342465754E-4</v>
      </c>
      <c r="H26" s="194">
        <f t="shared" si="18"/>
        <v>21</v>
      </c>
      <c r="I26" s="195">
        <f t="shared" si="21"/>
        <v>-5.3339999999999961</v>
      </c>
      <c r="J26" s="196">
        <f t="shared" si="2"/>
        <v>-5.3339999999999961</v>
      </c>
      <c r="K26" s="196">
        <f t="shared" si="19"/>
        <v>-5.3339999999999961</v>
      </c>
      <c r="L26" s="196">
        <f t="shared" si="20"/>
        <v>-5.3339999999999961</v>
      </c>
      <c r="M26" s="182">
        <f t="shared" si="5"/>
        <v>21</v>
      </c>
      <c r="N26" s="196">
        <f t="shared" si="13"/>
        <v>14.333999999999996</v>
      </c>
      <c r="O26" s="197">
        <f t="shared" si="6"/>
        <v>14.333999999999996</v>
      </c>
      <c r="P26" s="4">
        <f t="shared" si="7"/>
        <v>1</v>
      </c>
      <c r="Q26" s="198">
        <f t="shared" si="22"/>
        <v>0.79799999999999993</v>
      </c>
      <c r="R26" s="199">
        <f t="shared" si="23"/>
        <v>0.79799999999999993</v>
      </c>
      <c r="S26" s="198">
        <f t="shared" si="10"/>
        <v>0.79799999999999993</v>
      </c>
      <c r="T26" s="200">
        <f t="shared" si="14"/>
        <v>0.79799999999999993</v>
      </c>
      <c r="U26" s="108">
        <f t="shared" si="24"/>
        <v>4.125</v>
      </c>
      <c r="V26" s="108">
        <f t="shared" si="16"/>
        <v>3.2917499999999995</v>
      </c>
      <c r="W26" s="203">
        <f t="shared" si="17"/>
        <v>3.2917499999999995</v>
      </c>
      <c r="Y26" s="5">
        <f t="shared" si="11"/>
        <v>1.1619299999999999</v>
      </c>
      <c r="Z26" s="5">
        <f t="shared" si="12"/>
        <v>0.92722013999999986</v>
      </c>
    </row>
    <row r="27" spans="1:26" x14ac:dyDescent="0.15">
      <c r="F27" s="194">
        <v>-11</v>
      </c>
      <c r="G27" s="559">
        <f>Säädata!Z33</f>
        <v>1.3698630136986301E-3</v>
      </c>
      <c r="H27" s="194">
        <f t="shared" si="18"/>
        <v>21</v>
      </c>
      <c r="I27" s="195">
        <f t="shared" si="21"/>
        <v>-4.5359999999999978</v>
      </c>
      <c r="J27" s="196">
        <f t="shared" si="2"/>
        <v>-4.5359999999999978</v>
      </c>
      <c r="K27" s="196">
        <f t="shared" si="19"/>
        <v>-4.5359999999999978</v>
      </c>
      <c r="L27" s="196">
        <f t="shared" si="20"/>
        <v>-4.5359999999999978</v>
      </c>
      <c r="M27" s="182">
        <f t="shared" si="5"/>
        <v>21</v>
      </c>
      <c r="N27" s="196">
        <f t="shared" si="13"/>
        <v>14.535999999999998</v>
      </c>
      <c r="O27" s="197">
        <f t="shared" si="6"/>
        <v>14.535999999999998</v>
      </c>
      <c r="P27" s="4">
        <f t="shared" si="7"/>
        <v>1</v>
      </c>
      <c r="Q27" s="198">
        <f t="shared" si="22"/>
        <v>0.79799999999999993</v>
      </c>
      <c r="R27" s="199">
        <f t="shared" si="23"/>
        <v>0.79799999999999993</v>
      </c>
      <c r="S27" s="198">
        <f t="shared" si="10"/>
        <v>0.79799999999999993</v>
      </c>
      <c r="T27" s="200">
        <f t="shared" si="14"/>
        <v>0.79799999999999993</v>
      </c>
      <c r="U27" s="108">
        <f t="shared" si="24"/>
        <v>12.000000000000002</v>
      </c>
      <c r="V27" s="108">
        <f t="shared" si="16"/>
        <v>9.5760000000000005</v>
      </c>
      <c r="W27" s="203">
        <f t="shared" si="17"/>
        <v>9.5760000000000005</v>
      </c>
      <c r="Y27" s="5">
        <f t="shared" si="11"/>
        <v>3.3801600000000001</v>
      </c>
      <c r="Z27" s="5">
        <f t="shared" si="12"/>
        <v>2.6973676800000002</v>
      </c>
    </row>
    <row r="28" spans="1:26" x14ac:dyDescent="0.15">
      <c r="F28" s="194">
        <v>-10</v>
      </c>
      <c r="G28" s="559">
        <f>Säädata!Z34</f>
        <v>4.9086757990867581E-3</v>
      </c>
      <c r="H28" s="194">
        <f t="shared" si="18"/>
        <v>21</v>
      </c>
      <c r="I28" s="195">
        <f t="shared" si="21"/>
        <v>-3.7379999999999995</v>
      </c>
      <c r="J28" s="196">
        <f t="shared" si="2"/>
        <v>-3.7379999999999995</v>
      </c>
      <c r="K28" s="196">
        <f t="shared" si="19"/>
        <v>-3.7379999999999995</v>
      </c>
      <c r="L28" s="196">
        <f t="shared" si="20"/>
        <v>-3.7379999999999995</v>
      </c>
      <c r="M28" s="182">
        <f t="shared" si="5"/>
        <v>21</v>
      </c>
      <c r="N28" s="196">
        <f t="shared" si="13"/>
        <v>14.738</v>
      </c>
      <c r="O28" s="197">
        <f t="shared" si="6"/>
        <v>14.738</v>
      </c>
      <c r="P28" s="4">
        <f t="shared" si="7"/>
        <v>1</v>
      </c>
      <c r="Q28" s="198">
        <f t="shared" si="22"/>
        <v>0.79799999999999993</v>
      </c>
      <c r="R28" s="199">
        <f t="shared" si="23"/>
        <v>0.79799999999999993</v>
      </c>
      <c r="S28" s="198">
        <f t="shared" si="10"/>
        <v>0.79799999999999993</v>
      </c>
      <c r="T28" s="200">
        <f t="shared" si="14"/>
        <v>0.79799999999999993</v>
      </c>
      <c r="U28" s="108">
        <f t="shared" si="24"/>
        <v>40.041666666666664</v>
      </c>
      <c r="V28" s="108">
        <f t="shared" si="16"/>
        <v>31.953249999999997</v>
      </c>
      <c r="W28" s="203">
        <f t="shared" si="17"/>
        <v>31.953249999999997</v>
      </c>
      <c r="Y28" s="5">
        <f t="shared" si="11"/>
        <v>11.278936666666665</v>
      </c>
      <c r="Z28" s="5">
        <f t="shared" si="12"/>
        <v>9.0005914600000008</v>
      </c>
    </row>
    <row r="29" spans="1:26" x14ac:dyDescent="0.15">
      <c r="F29" s="194">
        <v>-9</v>
      </c>
      <c r="G29" s="559">
        <f>Säädata!Z35</f>
        <v>6.735159817351598E-3</v>
      </c>
      <c r="H29" s="194">
        <f t="shared" si="18"/>
        <v>21</v>
      </c>
      <c r="I29" s="195">
        <f t="shared" si="21"/>
        <v>-2.9399999999999977</v>
      </c>
      <c r="J29" s="196">
        <f t="shared" si="2"/>
        <v>-2.9399999999999977</v>
      </c>
      <c r="K29" s="196">
        <f t="shared" si="19"/>
        <v>-2.9399999999999977</v>
      </c>
      <c r="L29" s="196">
        <f t="shared" si="20"/>
        <v>-2.9399999999999977</v>
      </c>
      <c r="M29" s="182">
        <f t="shared" si="5"/>
        <v>21</v>
      </c>
      <c r="N29" s="196">
        <f>MIN(F29+R29/P29*(M29-F29),H29)</f>
        <v>14.939999999999998</v>
      </c>
      <c r="O29" s="197">
        <f>F29+S29/P29*(M29-F29)</f>
        <v>14.939999999999998</v>
      </c>
      <c r="P29" s="4">
        <f t="shared" si="7"/>
        <v>1</v>
      </c>
      <c r="Q29" s="198">
        <f t="shared" si="22"/>
        <v>0.79799999999999993</v>
      </c>
      <c r="R29" s="199">
        <f t="shared" si="23"/>
        <v>0.79799999999999993</v>
      </c>
      <c r="S29" s="198">
        <f t="shared" si="10"/>
        <v>0.79799999999999993</v>
      </c>
      <c r="T29" s="200">
        <f t="shared" si="14"/>
        <v>0.79799999999999993</v>
      </c>
      <c r="U29" s="108">
        <f t="shared" si="24"/>
        <v>19.999999999999996</v>
      </c>
      <c r="V29" s="108">
        <f t="shared" si="16"/>
        <v>15.959999999999996</v>
      </c>
      <c r="W29" s="203">
        <f t="shared" si="17"/>
        <v>15.959999999999996</v>
      </c>
      <c r="Y29" s="5">
        <f t="shared" si="11"/>
        <v>5.6335999999999977</v>
      </c>
      <c r="Z29" s="5">
        <f t="shared" si="12"/>
        <v>4.4956127999999991</v>
      </c>
    </row>
    <row r="30" spans="1:26" x14ac:dyDescent="0.15">
      <c r="F30" s="194">
        <v>-8</v>
      </c>
      <c r="G30" s="559">
        <f>Säädata!Z36</f>
        <v>9.1324200913242004E-3</v>
      </c>
      <c r="H30" s="194">
        <f t="shared" si="18"/>
        <v>21</v>
      </c>
      <c r="I30" s="195">
        <f t="shared" si="21"/>
        <v>-2.1419999999999995</v>
      </c>
      <c r="J30" s="196">
        <f t="shared" si="2"/>
        <v>-2.1419999999999995</v>
      </c>
      <c r="K30" s="196">
        <f t="shared" si="19"/>
        <v>-2.1419999999999995</v>
      </c>
      <c r="L30" s="196">
        <f t="shared" si="20"/>
        <v>-2.1419999999999995</v>
      </c>
      <c r="M30" s="182">
        <f t="shared" si="5"/>
        <v>21</v>
      </c>
      <c r="N30" s="196">
        <f t="shared" si="13"/>
        <v>15.141999999999999</v>
      </c>
      <c r="O30" s="197">
        <f t="shared" ref="O30:O50" si="25">F30+S30/P30*(M30-F30)</f>
        <v>15.141999999999999</v>
      </c>
      <c r="P30" s="4">
        <f t="shared" si="7"/>
        <v>1</v>
      </c>
      <c r="Q30" s="198">
        <f t="shared" si="22"/>
        <v>0.79799999999999993</v>
      </c>
      <c r="R30" s="199">
        <f t="shared" si="23"/>
        <v>0.79799999999999993</v>
      </c>
      <c r="S30" s="198">
        <f t="shared" si="10"/>
        <v>0.79799999999999993</v>
      </c>
      <c r="T30" s="200">
        <f t="shared" si="14"/>
        <v>0.79799999999999993</v>
      </c>
      <c r="U30" s="108">
        <f t="shared" si="24"/>
        <v>25.374999999999996</v>
      </c>
      <c r="V30" s="108">
        <f t="shared" si="16"/>
        <v>20.249249999999996</v>
      </c>
      <c r="W30" s="203">
        <f t="shared" si="17"/>
        <v>20.249249999999996</v>
      </c>
      <c r="Y30" s="5">
        <f t="shared" si="11"/>
        <v>7.1476299999999986</v>
      </c>
      <c r="Z30" s="5">
        <f t="shared" si="12"/>
        <v>5.7038087399999995</v>
      </c>
    </row>
    <row r="31" spans="1:26" x14ac:dyDescent="0.15">
      <c r="B31" s="23" t="s">
        <v>1291</v>
      </c>
      <c r="C31" s="22"/>
      <c r="D31" s="21"/>
      <c r="F31" s="194">
        <v>-7</v>
      </c>
      <c r="G31" s="559">
        <f>Säädata!Z37</f>
        <v>1.1301369863013699E-2</v>
      </c>
      <c r="H31" s="194">
        <f t="shared" si="18"/>
        <v>21</v>
      </c>
      <c r="I31" s="195">
        <f t="shared" si="21"/>
        <v>-1.3439999999999976</v>
      </c>
      <c r="J31" s="196">
        <f t="shared" si="2"/>
        <v>-1.3439999999999976</v>
      </c>
      <c r="K31" s="196">
        <f t="shared" si="19"/>
        <v>-1.3439999999999976</v>
      </c>
      <c r="L31" s="196">
        <f t="shared" si="20"/>
        <v>-1.3439999999999976</v>
      </c>
      <c r="M31" s="182">
        <f t="shared" si="5"/>
        <v>21</v>
      </c>
      <c r="N31" s="196">
        <f t="shared" si="13"/>
        <v>15.343999999999998</v>
      </c>
      <c r="O31" s="197">
        <f t="shared" si="25"/>
        <v>15.343999999999998</v>
      </c>
      <c r="P31" s="4">
        <f t="shared" si="7"/>
        <v>1</v>
      </c>
      <c r="Q31" s="198">
        <f>MIN(R31/P31,(H31-F31)/(M31-F31))</f>
        <v>0.79799999999999993</v>
      </c>
      <c r="R31" s="199">
        <f t="shared" si="23"/>
        <v>0.79799999999999993</v>
      </c>
      <c r="S31" s="198">
        <f t="shared" si="10"/>
        <v>0.79799999999999993</v>
      </c>
      <c r="T31" s="200">
        <f t="shared" si="14"/>
        <v>0.79799999999999993</v>
      </c>
      <c r="U31" s="108">
        <f t="shared" si="24"/>
        <v>22.166666666666675</v>
      </c>
      <c r="V31" s="108">
        <f t="shared" si="16"/>
        <v>17.689000000000007</v>
      </c>
      <c r="W31" s="203">
        <f t="shared" si="17"/>
        <v>17.689000000000007</v>
      </c>
      <c r="Y31" s="5">
        <f t="shared" si="11"/>
        <v>6.2439066666666685</v>
      </c>
      <c r="Z31" s="5">
        <f t="shared" si="12"/>
        <v>4.9826375200000008</v>
      </c>
    </row>
    <row r="32" spans="1:26" x14ac:dyDescent="0.15">
      <c r="B32" s="12" t="str" cm="1">
        <f t="array" ref="B32">INDEX(Kirjasto!D4:K200,148,Kirjasto!B4)</f>
        <v>Brak ograniczenia</v>
      </c>
      <c r="D32" s="24"/>
      <c r="F32" s="194">
        <v>-6</v>
      </c>
      <c r="G32" s="559">
        <f>Säädata!Z38</f>
        <v>2.3858447488584476E-2</v>
      </c>
      <c r="H32" s="194">
        <f t="shared" si="18"/>
        <v>21</v>
      </c>
      <c r="I32" s="195">
        <f t="shared" si="21"/>
        <v>-0.54599999999999937</v>
      </c>
      <c r="J32" s="196">
        <f t="shared" si="2"/>
        <v>-0.54599999999999937</v>
      </c>
      <c r="K32" s="196">
        <f t="shared" si="19"/>
        <v>-0.54599999999999937</v>
      </c>
      <c r="L32" s="196">
        <f t="shared" si="20"/>
        <v>-0.54599999999999937</v>
      </c>
      <c r="M32" s="182">
        <f t="shared" si="5"/>
        <v>21</v>
      </c>
      <c r="N32" s="196">
        <f t="shared" si="13"/>
        <v>15.545999999999999</v>
      </c>
      <c r="O32" s="197">
        <f t="shared" si="25"/>
        <v>15.545999999999999</v>
      </c>
      <c r="P32" s="4">
        <f t="shared" si="7"/>
        <v>1</v>
      </c>
      <c r="Q32" s="198">
        <f t="shared" si="22"/>
        <v>0.79799999999999993</v>
      </c>
      <c r="R32" s="199">
        <f t="shared" si="23"/>
        <v>0.79799999999999993</v>
      </c>
      <c r="S32" s="198">
        <f t="shared" si="10"/>
        <v>0.79799999999999993</v>
      </c>
      <c r="T32" s="200">
        <f t="shared" si="14"/>
        <v>0.79799999999999993</v>
      </c>
      <c r="U32" s="108">
        <f t="shared" si="24"/>
        <v>123.75000000000001</v>
      </c>
      <c r="V32" s="108">
        <f t="shared" si="16"/>
        <v>98.752500000000012</v>
      </c>
      <c r="W32" s="203">
        <f t="shared" si="17"/>
        <v>98.752500000000012</v>
      </c>
      <c r="Y32" s="5">
        <f t="shared" si="11"/>
        <v>34.857899999999994</v>
      </c>
      <c r="Z32" s="5">
        <f t="shared" si="12"/>
        <v>27.816604200000004</v>
      </c>
    </row>
    <row r="33" spans="2:26" x14ac:dyDescent="0.15">
      <c r="B33" s="12" t="str" cm="1">
        <f t="array" ref="B33">INDEX(Kirjasto!D4:K200,147,Kirjasto!B4)</f>
        <v>Ograniczone</v>
      </c>
      <c r="D33" s="24"/>
      <c r="F33" s="194">
        <v>-5</v>
      </c>
      <c r="G33" s="559">
        <f>Säädata!Z39</f>
        <v>4.2922374429223746E-2</v>
      </c>
      <c r="H33" s="194">
        <f t="shared" si="18"/>
        <v>21</v>
      </c>
      <c r="I33" s="195">
        <f t="shared" si="21"/>
        <v>0.25200000000000244</v>
      </c>
      <c r="J33" s="196">
        <f t="shared" si="2"/>
        <v>0.25200000000000244</v>
      </c>
      <c r="K33" s="196">
        <f t="shared" si="19"/>
        <v>0.25200000000000244</v>
      </c>
      <c r="L33" s="196">
        <f t="shared" si="20"/>
        <v>0.25200000000000244</v>
      </c>
      <c r="M33" s="182">
        <f t="shared" si="5"/>
        <v>21</v>
      </c>
      <c r="N33" s="196">
        <f t="shared" si="13"/>
        <v>15.747999999999998</v>
      </c>
      <c r="O33" s="197">
        <f t="shared" si="25"/>
        <v>15.747999999999998</v>
      </c>
      <c r="P33" s="4">
        <f t="shared" si="7"/>
        <v>1</v>
      </c>
      <c r="Q33" s="198">
        <f t="shared" si="22"/>
        <v>0.79799999999999993</v>
      </c>
      <c r="R33" s="199">
        <f t="shared" si="23"/>
        <v>0.79799999999999993</v>
      </c>
      <c r="S33" s="198">
        <f t="shared" si="10"/>
        <v>0.79799999999999993</v>
      </c>
      <c r="T33" s="200">
        <f t="shared" si="14"/>
        <v>0.79799999999999993</v>
      </c>
      <c r="U33" s="108">
        <f t="shared" si="24"/>
        <v>180.91666666666666</v>
      </c>
      <c r="V33" s="108">
        <f t="shared" si="16"/>
        <v>144.3715</v>
      </c>
      <c r="W33" s="203">
        <f t="shared" si="17"/>
        <v>144.3715</v>
      </c>
      <c r="Y33" s="5">
        <f t="shared" si="11"/>
        <v>50.960606666666656</v>
      </c>
      <c r="Z33" s="5">
        <f t="shared" si="12"/>
        <v>40.666564119999997</v>
      </c>
    </row>
    <row r="34" spans="2:26" x14ac:dyDescent="0.15">
      <c r="B34" s="12" t="s">
        <v>21</v>
      </c>
      <c r="C34" s="95">
        <v>1</v>
      </c>
      <c r="D34" s="24"/>
      <c r="F34" s="194">
        <v>-4</v>
      </c>
      <c r="G34" s="559">
        <f>Säädata!Z40</f>
        <v>5.6849315068493153E-2</v>
      </c>
      <c r="H34" s="194">
        <f t="shared" si="18"/>
        <v>21</v>
      </c>
      <c r="I34" s="195">
        <f t="shared" si="21"/>
        <v>1.0500000000000007</v>
      </c>
      <c r="J34" s="196">
        <f t="shared" si="2"/>
        <v>1.0500000000000007</v>
      </c>
      <c r="K34" s="196">
        <f t="shared" si="19"/>
        <v>1.0500000000000007</v>
      </c>
      <c r="L34" s="196">
        <f t="shared" si="20"/>
        <v>1.0500000000000007</v>
      </c>
      <c r="M34" s="182">
        <f t="shared" si="5"/>
        <v>21</v>
      </c>
      <c r="N34" s="196">
        <f t="shared" si="13"/>
        <v>15.95</v>
      </c>
      <c r="O34" s="197">
        <f t="shared" si="25"/>
        <v>15.95</v>
      </c>
      <c r="P34" s="4">
        <f t="shared" si="7"/>
        <v>1</v>
      </c>
      <c r="Q34" s="198">
        <f t="shared" si="22"/>
        <v>0.79799999999999993</v>
      </c>
      <c r="R34" s="199">
        <f t="shared" si="23"/>
        <v>0.79799999999999993</v>
      </c>
      <c r="S34" s="198">
        <f t="shared" si="10"/>
        <v>0.79799999999999993</v>
      </c>
      <c r="T34" s="200">
        <f t="shared" si="14"/>
        <v>0.79799999999999993</v>
      </c>
      <c r="U34" s="108">
        <f t="shared" si="24"/>
        <v>127.08333333333334</v>
      </c>
      <c r="V34" s="108">
        <f t="shared" si="16"/>
        <v>101.41249999999999</v>
      </c>
      <c r="W34" s="203">
        <f t="shared" si="17"/>
        <v>101.41249999999999</v>
      </c>
      <c r="Y34" s="5">
        <f t="shared" si="11"/>
        <v>35.796833333333332</v>
      </c>
      <c r="Z34" s="5">
        <f t="shared" si="12"/>
        <v>28.565872999999996</v>
      </c>
    </row>
    <row r="35" spans="2:26" x14ac:dyDescent="0.15">
      <c r="B35" s="12"/>
      <c r="C35" s="628" t="str" cm="1">
        <f t="array" ref="C35">INDEX(B32:B33,C34)</f>
        <v>Brak ograniczenia</v>
      </c>
      <c r="D35" s="24"/>
      <c r="F35" s="194">
        <v>-3</v>
      </c>
      <c r="G35" s="559">
        <f>Säädata!Z41</f>
        <v>8.0936073059360736E-2</v>
      </c>
      <c r="H35" s="194">
        <f t="shared" si="18"/>
        <v>21</v>
      </c>
      <c r="I35" s="195">
        <f t="shared" si="21"/>
        <v>1.8480000000000025</v>
      </c>
      <c r="J35" s="196">
        <f t="shared" si="2"/>
        <v>1.8480000000000025</v>
      </c>
      <c r="K35" s="196">
        <f t="shared" si="19"/>
        <v>1.8480000000000025</v>
      </c>
      <c r="L35" s="196">
        <f t="shared" si="20"/>
        <v>1.8480000000000025</v>
      </c>
      <c r="M35" s="182">
        <f t="shared" si="5"/>
        <v>21</v>
      </c>
      <c r="N35" s="196">
        <f t="shared" si="13"/>
        <v>16.151999999999997</v>
      </c>
      <c r="O35" s="197">
        <f t="shared" si="25"/>
        <v>16.151999999999997</v>
      </c>
      <c r="P35" s="4">
        <f t="shared" si="7"/>
        <v>1</v>
      </c>
      <c r="Q35" s="198">
        <f>MIN(R35/P35,(H35-F35)/(M35-F35))</f>
        <v>0.79799999999999993</v>
      </c>
      <c r="R35" s="199">
        <f t="shared" si="23"/>
        <v>0.79799999999999993</v>
      </c>
      <c r="S35" s="198">
        <f t="shared" si="10"/>
        <v>0.79799999999999993</v>
      </c>
      <c r="T35" s="200">
        <f t="shared" si="14"/>
        <v>0.79799999999999993</v>
      </c>
      <c r="U35" s="108">
        <f t="shared" si="24"/>
        <v>211.00000000000003</v>
      </c>
      <c r="V35" s="108">
        <f t="shared" si="16"/>
        <v>168.37799999999999</v>
      </c>
      <c r="W35" s="203">
        <f t="shared" si="17"/>
        <v>168.37799999999999</v>
      </c>
      <c r="Y35" s="5">
        <f t="shared" si="11"/>
        <v>59.434479999999986</v>
      </c>
      <c r="Z35" s="5">
        <f t="shared" si="12"/>
        <v>47.42871504</v>
      </c>
    </row>
    <row r="36" spans="2:26" x14ac:dyDescent="0.15">
      <c r="B36" s="12"/>
      <c r="D36" s="24"/>
      <c r="F36" s="194">
        <v>-2</v>
      </c>
      <c r="G36" s="559">
        <f>Säädata!Z42</f>
        <v>0.1110730593607306</v>
      </c>
      <c r="H36" s="194">
        <f t="shared" si="18"/>
        <v>21</v>
      </c>
      <c r="I36" s="195">
        <f t="shared" si="21"/>
        <v>2.6460000000000008</v>
      </c>
      <c r="J36" s="196">
        <f t="shared" si="2"/>
        <v>2.6460000000000008</v>
      </c>
      <c r="K36" s="196">
        <f t="shared" si="19"/>
        <v>2.6460000000000008</v>
      </c>
      <c r="L36" s="196">
        <f t="shared" si="20"/>
        <v>2.6460000000000008</v>
      </c>
      <c r="M36" s="182">
        <f t="shared" si="5"/>
        <v>21</v>
      </c>
      <c r="N36" s="196">
        <f t="shared" si="13"/>
        <v>16.353999999999999</v>
      </c>
      <c r="O36" s="197">
        <f t="shared" si="25"/>
        <v>16.353999999999999</v>
      </c>
      <c r="P36" s="4">
        <f t="shared" si="7"/>
        <v>1</v>
      </c>
      <c r="Q36" s="198">
        <f t="shared" si="22"/>
        <v>0.79799999999999993</v>
      </c>
      <c r="R36" s="199">
        <f t="shared" si="23"/>
        <v>0.79799999999999993</v>
      </c>
      <c r="S36" s="198">
        <f t="shared" si="10"/>
        <v>0.79799999999999993</v>
      </c>
      <c r="T36" s="200">
        <f t="shared" si="14"/>
        <v>0.79799999999999993</v>
      </c>
      <c r="U36" s="108">
        <f t="shared" si="24"/>
        <v>253.00000000000003</v>
      </c>
      <c r="V36" s="108">
        <f t="shared" si="16"/>
        <v>201.89400000000001</v>
      </c>
      <c r="W36" s="203">
        <f t="shared" si="17"/>
        <v>201.89400000000001</v>
      </c>
      <c r="Y36" s="5">
        <f t="shared" si="11"/>
        <v>71.265039999999999</v>
      </c>
      <c r="Z36" s="5">
        <f t="shared" si="12"/>
        <v>56.86950191999999</v>
      </c>
    </row>
    <row r="37" spans="2:26" x14ac:dyDescent="0.15">
      <c r="B37" s="12" t="s">
        <v>1284</v>
      </c>
      <c r="C37" t="b">
        <f>IF(C34=2,TRUE,FALSE)</f>
        <v>0</v>
      </c>
      <c r="D37" s="24"/>
      <c r="F37" s="194">
        <v>-1</v>
      </c>
      <c r="G37" s="559">
        <f>Säädata!Z43</f>
        <v>0.15719178082191781</v>
      </c>
      <c r="H37" s="194">
        <f t="shared" si="18"/>
        <v>21</v>
      </c>
      <c r="I37" s="195">
        <f t="shared" si="21"/>
        <v>3.4440000000000026</v>
      </c>
      <c r="J37" s="196">
        <f t="shared" si="2"/>
        <v>3.4440000000000026</v>
      </c>
      <c r="K37" s="196">
        <f t="shared" si="19"/>
        <v>3.4440000000000026</v>
      </c>
      <c r="L37" s="196">
        <f t="shared" si="20"/>
        <v>3.4440000000000026</v>
      </c>
      <c r="M37" s="182">
        <f t="shared" si="5"/>
        <v>21</v>
      </c>
      <c r="N37" s="196">
        <f t="shared" si="13"/>
        <v>16.555999999999997</v>
      </c>
      <c r="O37" s="197">
        <f t="shared" si="25"/>
        <v>16.555999999999997</v>
      </c>
      <c r="P37" s="4">
        <f t="shared" si="7"/>
        <v>1</v>
      </c>
      <c r="Q37" s="198">
        <f t="shared" si="22"/>
        <v>0.79799999999999993</v>
      </c>
      <c r="R37" s="199">
        <f t="shared" si="23"/>
        <v>0.79799999999999993</v>
      </c>
      <c r="S37" s="198">
        <f t="shared" si="10"/>
        <v>0.79799999999999993</v>
      </c>
      <c r="T37" s="200">
        <f t="shared" si="14"/>
        <v>0.79799999999999993</v>
      </c>
      <c r="U37" s="108">
        <f t="shared" si="24"/>
        <v>370.33333333333337</v>
      </c>
      <c r="V37" s="108">
        <f t="shared" si="16"/>
        <v>295.52599999999995</v>
      </c>
      <c r="W37" s="203">
        <f t="shared" si="17"/>
        <v>295.52599999999995</v>
      </c>
      <c r="Y37" s="5">
        <f t="shared" si="11"/>
        <v>104.31549333333331</v>
      </c>
      <c r="Z37" s="5">
        <f t="shared" si="12"/>
        <v>83.243763679999972</v>
      </c>
    </row>
    <row r="38" spans="2:26" x14ac:dyDescent="0.15">
      <c r="B38" s="12" t="s">
        <v>1292</v>
      </c>
      <c r="C38" t="b">
        <f>IF(C37,FALSE,TRUE)</f>
        <v>1</v>
      </c>
      <c r="D38" s="24"/>
      <c r="F38" s="194">
        <v>0</v>
      </c>
      <c r="G38" s="559">
        <f>Säädata!Z44</f>
        <v>0.21255707762557077</v>
      </c>
      <c r="H38" s="194">
        <f t="shared" si="18"/>
        <v>21</v>
      </c>
      <c r="I38" s="195">
        <f t="shared" si="21"/>
        <v>4.2420000000000009</v>
      </c>
      <c r="J38" s="196">
        <f t="shared" si="2"/>
        <v>4.2420000000000009</v>
      </c>
      <c r="K38" s="196">
        <f t="shared" si="19"/>
        <v>4.2420000000000009</v>
      </c>
      <c r="L38" s="196">
        <f t="shared" si="20"/>
        <v>4.2420000000000009</v>
      </c>
      <c r="M38" s="182">
        <f t="shared" si="5"/>
        <v>21</v>
      </c>
      <c r="N38" s="196">
        <f t="shared" si="13"/>
        <v>16.757999999999999</v>
      </c>
      <c r="O38" s="197">
        <f t="shared" si="25"/>
        <v>16.757999999999999</v>
      </c>
      <c r="P38" s="4">
        <f t="shared" si="7"/>
        <v>1</v>
      </c>
      <c r="Q38" s="198">
        <f t="shared" si="22"/>
        <v>0.79799999999999993</v>
      </c>
      <c r="R38" s="199">
        <f t="shared" si="23"/>
        <v>0.79799999999999993</v>
      </c>
      <c r="S38" s="198">
        <f t="shared" si="10"/>
        <v>0.79799999999999993</v>
      </c>
      <c r="T38" s="200">
        <f t="shared" si="14"/>
        <v>0.79799999999999993</v>
      </c>
      <c r="U38" s="108">
        <f t="shared" si="24"/>
        <v>424.37499999999994</v>
      </c>
      <c r="V38" s="108">
        <f t="shared" si="16"/>
        <v>338.65124999999989</v>
      </c>
      <c r="W38" s="203">
        <f t="shared" si="17"/>
        <v>338.65124999999989</v>
      </c>
      <c r="Y38" s="5">
        <f t="shared" si="11"/>
        <v>119.53794999999997</v>
      </c>
      <c r="Z38" s="5">
        <f t="shared" si="12"/>
        <v>95.391284099999979</v>
      </c>
    </row>
    <row r="39" spans="2:26" x14ac:dyDescent="0.15">
      <c r="B39" s="12"/>
      <c r="D39" s="24"/>
      <c r="F39" s="194">
        <v>1</v>
      </c>
      <c r="G39" s="559">
        <f>Säädata!Z45</f>
        <v>0.24155251141552511</v>
      </c>
      <c r="H39" s="194">
        <f t="shared" si="18"/>
        <v>21</v>
      </c>
      <c r="I39" s="195">
        <f t="shared" si="21"/>
        <v>5.0400000000000009</v>
      </c>
      <c r="J39" s="196">
        <f t="shared" si="2"/>
        <v>5.0400000000000009</v>
      </c>
      <c r="K39" s="196">
        <f t="shared" si="19"/>
        <v>5.0400000000000009</v>
      </c>
      <c r="L39" s="196">
        <f t="shared" si="20"/>
        <v>5.0400000000000009</v>
      </c>
      <c r="M39" s="182">
        <f t="shared" si="5"/>
        <v>21</v>
      </c>
      <c r="N39" s="196">
        <f t="shared" si="13"/>
        <v>16.96</v>
      </c>
      <c r="O39" s="197">
        <f t="shared" si="25"/>
        <v>16.96</v>
      </c>
      <c r="P39" s="4">
        <f t="shared" si="7"/>
        <v>1</v>
      </c>
      <c r="Q39" s="198">
        <f t="shared" si="22"/>
        <v>0.79799999999999993</v>
      </c>
      <c r="R39" s="199">
        <f t="shared" si="23"/>
        <v>0.79799999999999993</v>
      </c>
      <c r="S39" s="198">
        <f t="shared" si="10"/>
        <v>0.79799999999999993</v>
      </c>
      <c r="T39" s="200">
        <f t="shared" si="14"/>
        <v>0.79799999999999993</v>
      </c>
      <c r="U39" s="108">
        <f t="shared" si="24"/>
        <v>211.66666666666669</v>
      </c>
      <c r="V39" s="108">
        <f t="shared" si="16"/>
        <v>168.91000000000003</v>
      </c>
      <c r="W39" s="203">
        <f t="shared" si="17"/>
        <v>168.91</v>
      </c>
      <c r="Y39" s="5">
        <f t="shared" si="11"/>
        <v>59.622266666666654</v>
      </c>
      <c r="Z39" s="5">
        <f t="shared" si="12"/>
        <v>47.578568799999999</v>
      </c>
    </row>
    <row r="40" spans="2:26" x14ac:dyDescent="0.15">
      <c r="B40" s="12" t="s">
        <v>228</v>
      </c>
      <c r="C40" s="5">
        <f>'R-series ALU'!T26</f>
        <v>21</v>
      </c>
      <c r="D40" s="24"/>
      <c r="F40" s="194">
        <v>2</v>
      </c>
      <c r="G40" s="559">
        <f>Säädata!Z46</f>
        <v>0.30034246575342466</v>
      </c>
      <c r="H40" s="194">
        <f t="shared" si="18"/>
        <v>21</v>
      </c>
      <c r="I40" s="195">
        <f t="shared" si="21"/>
        <v>5.838000000000001</v>
      </c>
      <c r="J40" s="196">
        <f t="shared" si="2"/>
        <v>5.838000000000001</v>
      </c>
      <c r="K40" s="196">
        <f t="shared" si="19"/>
        <v>5.838000000000001</v>
      </c>
      <c r="L40" s="196">
        <f t="shared" si="20"/>
        <v>5.838000000000001</v>
      </c>
      <c r="M40" s="182">
        <f t="shared" si="5"/>
        <v>21</v>
      </c>
      <c r="N40" s="196">
        <f t="shared" si="13"/>
        <v>17.161999999999999</v>
      </c>
      <c r="O40" s="197">
        <f t="shared" si="25"/>
        <v>17.161999999999999</v>
      </c>
      <c r="P40" s="4">
        <f t="shared" si="7"/>
        <v>1</v>
      </c>
      <c r="Q40" s="198">
        <f>MIN(R40/P40,(H40-F40)/(M40-F40))</f>
        <v>0.79799999999999993</v>
      </c>
      <c r="R40" s="199">
        <f t="shared" si="23"/>
        <v>0.79799999999999993</v>
      </c>
      <c r="S40" s="198">
        <f t="shared" si="10"/>
        <v>0.79799999999999993</v>
      </c>
      <c r="T40" s="200">
        <f t="shared" si="14"/>
        <v>0.79799999999999993</v>
      </c>
      <c r="U40" s="108">
        <f t="shared" si="24"/>
        <v>407.70833333333337</v>
      </c>
      <c r="V40" s="108">
        <f t="shared" si="16"/>
        <v>325.35124999999999</v>
      </c>
      <c r="W40" s="203">
        <f t="shared" si="17"/>
        <v>325.35124999999999</v>
      </c>
      <c r="Y40" s="5">
        <f t="shared" si="11"/>
        <v>114.84328333333332</v>
      </c>
      <c r="Z40" s="5">
        <f t="shared" si="12"/>
        <v>91.644940099999999</v>
      </c>
    </row>
    <row r="41" spans="2:26" x14ac:dyDescent="0.15">
      <c r="B41" s="12" t="s">
        <v>1290</v>
      </c>
      <c r="C41" s="5">
        <f>'R-series ALU'!T29</f>
        <v>20</v>
      </c>
      <c r="D41" s="24"/>
      <c r="F41" s="194">
        <v>3</v>
      </c>
      <c r="G41" s="559">
        <f>Säädata!Z47</f>
        <v>0.3485159817351598</v>
      </c>
      <c r="H41" s="194">
        <f t="shared" si="18"/>
        <v>21</v>
      </c>
      <c r="I41" s="195">
        <f t="shared" si="21"/>
        <v>6.636000000000001</v>
      </c>
      <c r="J41" s="196">
        <f t="shared" si="2"/>
        <v>6.636000000000001</v>
      </c>
      <c r="K41" s="196">
        <f t="shared" si="19"/>
        <v>6.636000000000001</v>
      </c>
      <c r="L41" s="196">
        <f t="shared" si="20"/>
        <v>6.636000000000001</v>
      </c>
      <c r="M41" s="182">
        <f t="shared" si="5"/>
        <v>21</v>
      </c>
      <c r="N41" s="196">
        <f t="shared" si="13"/>
        <v>17.363999999999997</v>
      </c>
      <c r="O41" s="197">
        <f t="shared" si="25"/>
        <v>17.363999999999997</v>
      </c>
      <c r="P41" s="4">
        <f t="shared" si="7"/>
        <v>1</v>
      </c>
      <c r="Q41" s="198">
        <f t="shared" si="22"/>
        <v>0.79799999999999993</v>
      </c>
      <c r="R41" s="199">
        <f t="shared" si="23"/>
        <v>0.79799999999999993</v>
      </c>
      <c r="S41" s="198">
        <f t="shared" si="10"/>
        <v>0.79799999999999993</v>
      </c>
      <c r="T41" s="200">
        <f t="shared" si="14"/>
        <v>0.79799999999999993</v>
      </c>
      <c r="U41" s="108">
        <f t="shared" si="24"/>
        <v>316.49999999999983</v>
      </c>
      <c r="V41" s="108">
        <f t="shared" si="16"/>
        <v>252.56699999999984</v>
      </c>
      <c r="W41" s="203">
        <f t="shared" si="17"/>
        <v>252.56699999999987</v>
      </c>
      <c r="Y41" s="5">
        <f t="shared" si="11"/>
        <v>89.151719999999941</v>
      </c>
      <c r="Z41" s="5">
        <f t="shared" si="12"/>
        <v>71.143072559999965</v>
      </c>
    </row>
    <row r="42" spans="2:26" x14ac:dyDescent="0.15">
      <c r="B42" s="14" t="s">
        <v>1289</v>
      </c>
      <c r="C42" s="617">
        <f>IF(C37,C41,C40)</f>
        <v>21</v>
      </c>
      <c r="D42" s="26"/>
      <c r="F42" s="194">
        <v>4</v>
      </c>
      <c r="G42" s="559">
        <f>Säädata!Z48</f>
        <v>0.40251141552511416</v>
      </c>
      <c r="H42" s="194">
        <f t="shared" si="18"/>
        <v>21</v>
      </c>
      <c r="I42" s="195">
        <f t="shared" si="21"/>
        <v>7.4340000000000011</v>
      </c>
      <c r="J42" s="196">
        <f t="shared" si="2"/>
        <v>7.4340000000000011</v>
      </c>
      <c r="K42" s="196">
        <f t="shared" si="19"/>
        <v>7.4340000000000011</v>
      </c>
      <c r="L42" s="196">
        <f t="shared" si="20"/>
        <v>7.4340000000000011</v>
      </c>
      <c r="M42" s="182">
        <f t="shared" si="5"/>
        <v>21</v>
      </c>
      <c r="N42" s="196">
        <f t="shared" si="13"/>
        <v>17.565999999999999</v>
      </c>
      <c r="O42" s="197">
        <f t="shared" si="25"/>
        <v>17.565999999999999</v>
      </c>
      <c r="P42" s="4">
        <f t="shared" si="7"/>
        <v>1</v>
      </c>
      <c r="Q42" s="198">
        <f t="shared" si="22"/>
        <v>0.79799999999999993</v>
      </c>
      <c r="R42" s="199">
        <f t="shared" si="23"/>
        <v>0.79799999999999993</v>
      </c>
      <c r="S42" s="198">
        <f t="shared" si="10"/>
        <v>0.79799999999999993</v>
      </c>
      <c r="T42" s="200">
        <f t="shared" si="14"/>
        <v>0.79799999999999993</v>
      </c>
      <c r="U42" s="108">
        <f t="shared" si="24"/>
        <v>335.04166666666686</v>
      </c>
      <c r="V42" s="108">
        <f t="shared" si="16"/>
        <v>267.36325000000011</v>
      </c>
      <c r="W42" s="203">
        <f t="shared" si="17"/>
        <v>267.36325000000011</v>
      </c>
      <c r="Y42" s="5">
        <f t="shared" si="11"/>
        <v>94.3745366666667</v>
      </c>
      <c r="Z42" s="5">
        <f t="shared" si="12"/>
        <v>75.310880260000033</v>
      </c>
    </row>
    <row r="43" spans="2:26" x14ac:dyDescent="0.15">
      <c r="B43" s="12"/>
      <c r="D43" s="24"/>
      <c r="F43" s="194">
        <v>5</v>
      </c>
      <c r="G43" s="559">
        <f>Säädata!Z49</f>
        <v>0.44121004566210048</v>
      </c>
      <c r="H43" s="194">
        <f t="shared" si="18"/>
        <v>21</v>
      </c>
      <c r="I43" s="195">
        <f t="shared" si="21"/>
        <v>8.2320000000000011</v>
      </c>
      <c r="J43" s="196">
        <f t="shared" si="2"/>
        <v>8.2320000000000011</v>
      </c>
      <c r="K43" s="196">
        <f t="shared" si="19"/>
        <v>8.2320000000000011</v>
      </c>
      <c r="L43" s="196">
        <f t="shared" si="20"/>
        <v>8.2320000000000011</v>
      </c>
      <c r="M43" s="182">
        <f t="shared" si="5"/>
        <v>21</v>
      </c>
      <c r="N43" s="196">
        <f t="shared" si="13"/>
        <v>17.768000000000001</v>
      </c>
      <c r="O43" s="197">
        <f t="shared" si="25"/>
        <v>17.768000000000001</v>
      </c>
      <c r="P43" s="4">
        <f t="shared" si="7"/>
        <v>1</v>
      </c>
      <c r="Q43" s="198">
        <f t="shared" si="22"/>
        <v>0.79799999999999993</v>
      </c>
      <c r="R43" s="199">
        <f t="shared" si="23"/>
        <v>0.79799999999999993</v>
      </c>
      <c r="S43" s="198">
        <f t="shared" si="10"/>
        <v>0.79799999999999993</v>
      </c>
      <c r="T43" s="200">
        <f t="shared" si="14"/>
        <v>0.79799999999999993</v>
      </c>
      <c r="U43" s="108">
        <f t="shared" si="24"/>
        <v>226.00000000000011</v>
      </c>
      <c r="V43" s="108">
        <f t="shared" si="16"/>
        <v>180.3480000000001</v>
      </c>
      <c r="W43" s="203">
        <f t="shared" si="17"/>
        <v>180.3480000000001</v>
      </c>
      <c r="Y43" s="5">
        <f t="shared" si="11"/>
        <v>63.659680000000023</v>
      </c>
      <c r="Z43" s="5">
        <f t="shared" si="12"/>
        <v>50.800424640000031</v>
      </c>
    </row>
    <row r="44" spans="2:26" x14ac:dyDescent="0.15">
      <c r="B44" s="12" t="s">
        <v>1293</v>
      </c>
      <c r="D44" s="24"/>
      <c r="F44" s="194">
        <v>6</v>
      </c>
      <c r="G44" s="559">
        <f>Säädata!Z50</f>
        <v>0.46187214611872146</v>
      </c>
      <c r="H44" s="194">
        <f t="shared" si="18"/>
        <v>21</v>
      </c>
      <c r="I44" s="195">
        <f t="shared" si="21"/>
        <v>9.0300000000000011</v>
      </c>
      <c r="J44" s="196">
        <f t="shared" si="2"/>
        <v>9.0300000000000011</v>
      </c>
      <c r="K44" s="196">
        <f t="shared" si="19"/>
        <v>9.0300000000000011</v>
      </c>
      <c r="L44" s="196">
        <f t="shared" si="20"/>
        <v>9.0300000000000011</v>
      </c>
      <c r="M44" s="182">
        <f t="shared" si="5"/>
        <v>21</v>
      </c>
      <c r="N44" s="196">
        <f t="shared" si="13"/>
        <v>17.97</v>
      </c>
      <c r="O44" s="197">
        <f t="shared" si="25"/>
        <v>17.97</v>
      </c>
      <c r="P44" s="4">
        <f t="shared" si="7"/>
        <v>1</v>
      </c>
      <c r="Q44" s="198">
        <f t="shared" si="22"/>
        <v>0.79799999999999993</v>
      </c>
      <c r="R44" s="199">
        <f t="shared" si="23"/>
        <v>0.79799999999999993</v>
      </c>
      <c r="S44" s="198">
        <f t="shared" si="10"/>
        <v>0.79799999999999993</v>
      </c>
      <c r="T44" s="200">
        <f t="shared" si="14"/>
        <v>0.79799999999999993</v>
      </c>
      <c r="U44" s="108">
        <f t="shared" si="24"/>
        <v>113.12499999999986</v>
      </c>
      <c r="V44" s="108">
        <f t="shared" si="16"/>
        <v>90.273749999999879</v>
      </c>
      <c r="W44" s="203">
        <f t="shared" si="17"/>
        <v>90.273749999999879</v>
      </c>
      <c r="Y44" s="5">
        <f t="shared" si="11"/>
        <v>31.86504999999995</v>
      </c>
      <c r="Z44" s="5">
        <f t="shared" si="12"/>
        <v>25.428309899999967</v>
      </c>
    </row>
    <row r="45" spans="2:26" x14ac:dyDescent="0.15">
      <c r="B45" s="12" t="b">
        <f>IF(AND(Kirjasto!B4=1,C34=1),TRUE,FALSE)</f>
        <v>0</v>
      </c>
      <c r="D45" s="24"/>
      <c r="F45" s="194">
        <v>7</v>
      </c>
      <c r="G45" s="559">
        <f>Säädata!Z51</f>
        <v>0.5044520547945206</v>
      </c>
      <c r="H45" s="194">
        <f t="shared" si="18"/>
        <v>21</v>
      </c>
      <c r="I45" s="195">
        <f t="shared" si="21"/>
        <v>9.8280000000000012</v>
      </c>
      <c r="J45" s="196">
        <f t="shared" si="2"/>
        <v>9.8280000000000012</v>
      </c>
      <c r="K45" s="196">
        <f t="shared" si="19"/>
        <v>9.8280000000000012</v>
      </c>
      <c r="L45" s="196">
        <f t="shared" si="20"/>
        <v>9.8280000000000012</v>
      </c>
      <c r="M45" s="182">
        <f t="shared" si="5"/>
        <v>21</v>
      </c>
      <c r="N45" s="196">
        <f t="shared" si="13"/>
        <v>18.171999999999997</v>
      </c>
      <c r="O45" s="197">
        <f t="shared" si="25"/>
        <v>18.171999999999997</v>
      </c>
      <c r="P45" s="4">
        <f t="shared" si="7"/>
        <v>1</v>
      </c>
      <c r="Q45" s="198">
        <f t="shared" si="22"/>
        <v>0.79799999999999993</v>
      </c>
      <c r="R45" s="199">
        <f t="shared" si="23"/>
        <v>0.79799999999999993</v>
      </c>
      <c r="S45" s="198">
        <f t="shared" si="10"/>
        <v>0.79799999999999993</v>
      </c>
      <c r="T45" s="200">
        <f t="shared" si="14"/>
        <v>0.79799999999999993</v>
      </c>
      <c r="U45" s="108">
        <f t="shared" si="24"/>
        <v>217.5833333333336</v>
      </c>
      <c r="V45" s="108">
        <f t="shared" si="16"/>
        <v>173.63150000000016</v>
      </c>
      <c r="W45" s="203">
        <f t="shared" si="17"/>
        <v>173.63150000000019</v>
      </c>
      <c r="Y45" s="5">
        <f t="shared" si="11"/>
        <v>61.288873333333399</v>
      </c>
      <c r="Z45" s="5">
        <f t="shared" si="12"/>
        <v>48.908520920000043</v>
      </c>
    </row>
    <row r="46" spans="2:26" x14ac:dyDescent="0.15">
      <c r="B46" s="1818" t="s">
        <v>1294</v>
      </c>
      <c r="C46" s="1819"/>
      <c r="D46" s="1820"/>
      <c r="F46" s="194">
        <v>8</v>
      </c>
      <c r="G46" s="559">
        <f>Säädata!Z52</f>
        <v>0.54589041095890412</v>
      </c>
      <c r="H46" s="194">
        <f t="shared" si="18"/>
        <v>21</v>
      </c>
      <c r="I46" s="195">
        <f t="shared" si="21"/>
        <v>10.626000000000001</v>
      </c>
      <c r="J46" s="196">
        <f t="shared" si="2"/>
        <v>10.626000000000001</v>
      </c>
      <c r="K46" s="196">
        <f t="shared" si="19"/>
        <v>10.626000000000001</v>
      </c>
      <c r="L46" s="196">
        <f t="shared" si="20"/>
        <v>10.626000000000001</v>
      </c>
      <c r="M46" s="182">
        <f t="shared" si="5"/>
        <v>21</v>
      </c>
      <c r="N46" s="196">
        <f t="shared" si="13"/>
        <v>18.373999999999999</v>
      </c>
      <c r="O46" s="197">
        <f t="shared" si="25"/>
        <v>18.373999999999999</v>
      </c>
      <c r="P46" s="4">
        <f t="shared" si="7"/>
        <v>1</v>
      </c>
      <c r="Q46" s="198">
        <f t="shared" si="22"/>
        <v>0.79799999999999993</v>
      </c>
      <c r="R46" s="199">
        <f t="shared" si="23"/>
        <v>0.79799999999999993</v>
      </c>
      <c r="S46" s="198">
        <f t="shared" si="10"/>
        <v>0.79799999999999993</v>
      </c>
      <c r="T46" s="200">
        <f t="shared" si="14"/>
        <v>0.79799999999999993</v>
      </c>
      <c r="U46" s="108">
        <f t="shared" si="24"/>
        <v>196.62499999999977</v>
      </c>
      <c r="V46" s="108">
        <f t="shared" si="16"/>
        <v>156.90674999999982</v>
      </c>
      <c r="W46" s="203">
        <f t="shared" si="17"/>
        <v>156.90674999999982</v>
      </c>
      <c r="Y46" s="5">
        <f t="shared" si="11"/>
        <v>55.385329999999939</v>
      </c>
      <c r="Z46" s="5">
        <f t="shared" si="12"/>
        <v>44.197493339999951</v>
      </c>
    </row>
    <row r="47" spans="2:26" x14ac:dyDescent="0.15">
      <c r="B47" s="1821"/>
      <c r="C47" s="1719"/>
      <c r="D47" s="1822"/>
      <c r="F47" s="194">
        <v>9</v>
      </c>
      <c r="G47" s="559">
        <f>Säädata!Z53</f>
        <v>0.58036529680365301</v>
      </c>
      <c r="H47" s="194">
        <f t="shared" si="18"/>
        <v>21</v>
      </c>
      <c r="I47" s="195">
        <f t="shared" si="21"/>
        <v>11.424000000000001</v>
      </c>
      <c r="J47" s="196">
        <f t="shared" si="2"/>
        <v>11.424000000000001</v>
      </c>
      <c r="K47" s="196">
        <f t="shared" si="19"/>
        <v>11.424000000000001</v>
      </c>
      <c r="L47" s="196">
        <f t="shared" si="20"/>
        <v>11.424000000000001</v>
      </c>
      <c r="M47" s="182">
        <f t="shared" si="5"/>
        <v>21</v>
      </c>
      <c r="N47" s="196">
        <f t="shared" si="13"/>
        <v>18.576000000000001</v>
      </c>
      <c r="O47" s="197">
        <f t="shared" si="25"/>
        <v>18.576000000000001</v>
      </c>
      <c r="P47" s="4">
        <f t="shared" si="7"/>
        <v>1</v>
      </c>
      <c r="Q47" s="198">
        <f t="shared" si="22"/>
        <v>0.79799999999999993</v>
      </c>
      <c r="R47" s="199">
        <f t="shared" si="23"/>
        <v>0.79799999999999993</v>
      </c>
      <c r="S47" s="198">
        <f t="shared" si="10"/>
        <v>0.79799999999999993</v>
      </c>
      <c r="T47" s="200">
        <f t="shared" si="14"/>
        <v>0.79799999999999993</v>
      </c>
      <c r="U47" s="108">
        <f t="shared" si="24"/>
        <v>151.00000000000014</v>
      </c>
      <c r="V47" s="108">
        <f t="shared" si="16"/>
        <v>120.49800000000013</v>
      </c>
      <c r="W47" s="203">
        <f t="shared" si="17"/>
        <v>120.4980000000001</v>
      </c>
      <c r="Y47" s="5">
        <f t="shared" si="11"/>
        <v>42.533680000000032</v>
      </c>
      <c r="Z47" s="5">
        <f t="shared" si="12"/>
        <v>33.941876640000025</v>
      </c>
    </row>
    <row r="48" spans="2:26" x14ac:dyDescent="0.15">
      <c r="B48" s="1821"/>
      <c r="C48" s="1719"/>
      <c r="D48" s="1822"/>
      <c r="F48" s="194">
        <v>10</v>
      </c>
      <c r="G48" s="559">
        <f>Säädata!Z54</f>
        <v>0.62180365296803652</v>
      </c>
      <c r="H48" s="194">
        <f t="shared" si="18"/>
        <v>21</v>
      </c>
      <c r="I48" s="195">
        <f t="shared" si="21"/>
        <v>12.222000000000001</v>
      </c>
      <c r="J48" s="196">
        <f t="shared" si="2"/>
        <v>12.222000000000001</v>
      </c>
      <c r="K48" s="196">
        <f t="shared" si="19"/>
        <v>12.222000000000001</v>
      </c>
      <c r="L48" s="196">
        <f t="shared" si="20"/>
        <v>12.222000000000001</v>
      </c>
      <c r="M48" s="182">
        <f t="shared" si="5"/>
        <v>21</v>
      </c>
      <c r="N48" s="196">
        <f t="shared" si="13"/>
        <v>18.777999999999999</v>
      </c>
      <c r="O48" s="197">
        <f t="shared" si="25"/>
        <v>18.777999999999999</v>
      </c>
      <c r="P48" s="4">
        <f t="shared" si="7"/>
        <v>1</v>
      </c>
      <c r="Q48" s="198">
        <f t="shared" si="22"/>
        <v>0.79799999999999993</v>
      </c>
      <c r="R48" s="199">
        <f t="shared" si="23"/>
        <v>0.79799999999999993</v>
      </c>
      <c r="S48" s="198">
        <f t="shared" si="10"/>
        <v>0.79799999999999993</v>
      </c>
      <c r="T48" s="200">
        <f t="shared" si="14"/>
        <v>0.79799999999999993</v>
      </c>
      <c r="U48" s="108">
        <f t="shared" si="24"/>
        <v>166.37499999999983</v>
      </c>
      <c r="V48" s="108">
        <f t="shared" si="16"/>
        <v>132.76724999999985</v>
      </c>
      <c r="W48" s="203">
        <f t="shared" si="17"/>
        <v>132.76724999999985</v>
      </c>
      <c r="Y48" s="5">
        <f t="shared" si="11"/>
        <v>46.864509999999939</v>
      </c>
      <c r="Z48" s="5">
        <f t="shared" si="12"/>
        <v>37.397878979999945</v>
      </c>
    </row>
    <row r="49" spans="2:26" x14ac:dyDescent="0.15">
      <c r="B49" s="1821"/>
      <c r="C49" s="1719"/>
      <c r="D49" s="1822"/>
      <c r="F49" s="194">
        <v>11</v>
      </c>
      <c r="G49" s="559">
        <f>Säädata!Z55</f>
        <v>0.64634703196347032</v>
      </c>
      <c r="H49" s="194">
        <f t="shared" si="18"/>
        <v>21</v>
      </c>
      <c r="I49" s="195">
        <f t="shared" si="21"/>
        <v>13.02</v>
      </c>
      <c r="J49" s="196">
        <f t="shared" si="2"/>
        <v>13.02</v>
      </c>
      <c r="K49" s="196">
        <f t="shared" si="19"/>
        <v>13.02</v>
      </c>
      <c r="L49" s="196">
        <f t="shared" si="20"/>
        <v>13.02</v>
      </c>
      <c r="M49" s="182">
        <f t="shared" si="5"/>
        <v>21</v>
      </c>
      <c r="N49" s="196">
        <f t="shared" si="13"/>
        <v>18.98</v>
      </c>
      <c r="O49" s="197">
        <f t="shared" si="25"/>
        <v>18.98</v>
      </c>
      <c r="P49" s="4">
        <f t="shared" si="7"/>
        <v>1</v>
      </c>
      <c r="Q49" s="198">
        <f t="shared" si="22"/>
        <v>0.79800000000000004</v>
      </c>
      <c r="R49" s="199">
        <f t="shared" si="23"/>
        <v>0.79800000000000004</v>
      </c>
      <c r="S49" s="198">
        <f t="shared" si="10"/>
        <v>0.79799999999999993</v>
      </c>
      <c r="T49" s="200">
        <f t="shared" si="14"/>
        <v>0.79799999999999993</v>
      </c>
      <c r="U49" s="108">
        <f t="shared" si="24"/>
        <v>89.583333333333357</v>
      </c>
      <c r="V49" s="108">
        <f t="shared" si="16"/>
        <v>71.487500000000026</v>
      </c>
      <c r="W49" s="203">
        <f t="shared" si="17"/>
        <v>71.487500000000026</v>
      </c>
      <c r="Y49" s="5">
        <f t="shared" si="11"/>
        <v>25.233833333333333</v>
      </c>
      <c r="Z49" s="5">
        <f t="shared" si="12"/>
        <v>20.136599000000004</v>
      </c>
    </row>
    <row r="50" spans="2:26" x14ac:dyDescent="0.15">
      <c r="B50" s="1821"/>
      <c r="C50" s="1719"/>
      <c r="D50" s="1822"/>
      <c r="F50" s="214">
        <v>12</v>
      </c>
      <c r="G50" s="559">
        <f>Säädata!Z56</f>
        <v>0.69668949771689492</v>
      </c>
      <c r="H50" s="214">
        <f t="shared" si="18"/>
        <v>21</v>
      </c>
      <c r="I50" s="215">
        <f t="shared" si="21"/>
        <v>13.818000000000001</v>
      </c>
      <c r="J50" s="216">
        <f t="shared" si="2"/>
        <v>13.818000000000001</v>
      </c>
      <c r="K50" s="216">
        <f t="shared" si="19"/>
        <v>13.818000000000001</v>
      </c>
      <c r="L50" s="216">
        <f t="shared" si="20"/>
        <v>13.818000000000001</v>
      </c>
      <c r="M50" s="217">
        <f t="shared" si="5"/>
        <v>21</v>
      </c>
      <c r="N50" s="216">
        <f t="shared" si="13"/>
        <v>19.181999999999999</v>
      </c>
      <c r="O50" s="218">
        <f t="shared" si="25"/>
        <v>19.181999999999999</v>
      </c>
      <c r="P50" s="50">
        <f t="shared" si="7"/>
        <v>1</v>
      </c>
      <c r="Q50" s="219">
        <f t="shared" si="22"/>
        <v>0.79799999999999982</v>
      </c>
      <c r="R50" s="220">
        <f>(M50-J50)/(M50-F50)</f>
        <v>0.79799999999999982</v>
      </c>
      <c r="S50" s="219">
        <f t="shared" si="10"/>
        <v>0.79799999999999993</v>
      </c>
      <c r="T50" s="221">
        <f t="shared" si="14"/>
        <v>0.79799999999999993</v>
      </c>
      <c r="U50" s="222">
        <f t="shared" si="24"/>
        <v>165.37499999999983</v>
      </c>
      <c r="V50" s="222">
        <f t="shared" si="16"/>
        <v>131.96924999999982</v>
      </c>
      <c r="W50" s="223">
        <f t="shared" si="17"/>
        <v>131.96924999999982</v>
      </c>
      <c r="Y50" s="5">
        <f>$C$7/1000*1.2*1006*(M50-F50)*8760*(G50-G49)/1000</f>
        <v>46.582829999999944</v>
      </c>
      <c r="Z50" s="5">
        <f>1.2*1006*$C$7/1000*(M50-I50)/1000*(G50-G49)*8760</f>
        <v>37.173098339999953</v>
      </c>
    </row>
    <row r="51" spans="2:26" x14ac:dyDescent="0.15">
      <c r="B51" s="1823"/>
      <c r="C51" s="1824"/>
      <c r="D51" s="1825"/>
      <c r="Q51" s="224"/>
      <c r="R51" s="224"/>
      <c r="S51" s="224"/>
      <c r="Y51" s="646">
        <f>SUM(Y17:Y50)</f>
        <v>1242.4200599999995</v>
      </c>
      <c r="Z51" s="646">
        <f>SUM(Z17:Z50)</f>
        <v>991.45120787999986</v>
      </c>
    </row>
    <row r="52" spans="2:26" x14ac:dyDescent="0.15">
      <c r="B52" t="str">
        <f>IF(B45,B46,"")</f>
        <v/>
      </c>
      <c r="F52" s="601" t="s">
        <v>1288</v>
      </c>
      <c r="Y52" s="104" t="s">
        <v>237</v>
      </c>
      <c r="Z52" s="104" t="s">
        <v>237</v>
      </c>
    </row>
    <row r="54" spans="2:26" x14ac:dyDescent="0.15">
      <c r="F54" s="196">
        <f>'R-series ALU'!T38</f>
        <v>0</v>
      </c>
      <c r="K54" s="225"/>
      <c r="M54" s="226"/>
      <c r="N54" s="195">
        <f>IF(F54&lt;12,_xlfn.FORECAST.LINEAR(F54,L56:L57,K56:K57),N50)</f>
        <v>16.758000000000003</v>
      </c>
      <c r="Y54" s="227"/>
      <c r="Z54" s="227">
        <f>Z51/Y51</f>
        <v>0.79800000000000026</v>
      </c>
    </row>
    <row r="56" spans="2:26" x14ac:dyDescent="0.15">
      <c r="J56" s="182">
        <f>MATCH(F54,F6:F50,1)</f>
        <v>33</v>
      </c>
      <c r="K56" s="196" cm="1">
        <f t="array" ref="K56">INDEX(F6:F50,J56)</f>
        <v>0</v>
      </c>
      <c r="L56" s="195" cm="1">
        <f t="array" ref="L56">INDEX(N6:N50,J56)</f>
        <v>16.757999999999999</v>
      </c>
    </row>
    <row r="57" spans="2:26" x14ac:dyDescent="0.15">
      <c r="J57" s="746">
        <f>MATCH(F54,F6:F50,1)+1</f>
        <v>34</v>
      </c>
      <c r="K57" s="196" cm="1">
        <f t="array" ref="K57">INDEX(F6:F50,J57)</f>
        <v>1</v>
      </c>
      <c r="L57" s="195" cm="1">
        <f t="array" ref="L57">INDEX(N6:N50,J57)</f>
        <v>16.96</v>
      </c>
    </row>
  </sheetData>
  <mergeCells count="1">
    <mergeCell ref="B46:D5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Drop Down 3">
              <controlPr defaultSize="0" autoLine="0" autoPict="0">
                <anchor moveWithCells="1">
                  <from>
                    <xdr:col>2</xdr:col>
                    <xdr:colOff>660400</xdr:colOff>
                    <xdr:row>13</xdr:row>
                    <xdr:rowOff>0</xdr:rowOff>
                  </from>
                  <to>
                    <xdr:col>3</xdr:col>
                    <xdr:colOff>444500</xdr:colOff>
                    <xdr:row>14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E4F5C-9D69-474C-BA68-60F6B60940A5}">
  <dimension ref="B1:K28"/>
  <sheetViews>
    <sheetView showGridLines="0" zoomScaleNormal="100" workbookViewId="0">
      <selection activeCell="K13" sqref="K13"/>
    </sheetView>
  </sheetViews>
  <sheetFormatPr baseColWidth="10" defaultColWidth="9.1640625" defaultRowHeight="15" x14ac:dyDescent="0.2"/>
  <cols>
    <col min="1" max="3" width="9.1640625" style="568"/>
    <col min="4" max="4" width="59.5" style="569" customWidth="1"/>
    <col min="5" max="11" width="59.5" style="568" customWidth="1"/>
    <col min="12" max="16384" width="9.1640625" style="568"/>
  </cols>
  <sheetData>
    <row r="1" spans="2:11" x14ac:dyDescent="0.2">
      <c r="B1" s="567" t="str" cm="1">
        <f t="array" aca="1" ref="B1" ca="1">MID(CELL("filename",$A$1),FIND("]",CELL("filename",$A$1))+1,255)</f>
        <v>Kirjasto (maat)</v>
      </c>
    </row>
    <row r="3" spans="2:11" ht="18" thickBot="1" x14ac:dyDescent="0.25">
      <c r="B3" s="567" t="s">
        <v>705</v>
      </c>
      <c r="D3" s="570" t="s">
        <v>706</v>
      </c>
      <c r="E3" s="571" t="s">
        <v>708</v>
      </c>
      <c r="F3" s="572" t="s">
        <v>709</v>
      </c>
      <c r="G3" s="573" t="s">
        <v>710</v>
      </c>
      <c r="H3" s="759" t="s">
        <v>1397</v>
      </c>
      <c r="I3" s="761" t="s">
        <v>1398</v>
      </c>
      <c r="J3" s="763" t="s">
        <v>1399</v>
      </c>
      <c r="K3" s="765" t="s">
        <v>1400</v>
      </c>
    </row>
    <row r="4" spans="2:11" ht="16" x14ac:dyDescent="0.2">
      <c r="B4" s="502">
        <f>Kirjasto!$B$4</f>
        <v>5</v>
      </c>
      <c r="C4" s="567">
        <v>1</v>
      </c>
      <c r="D4" s="574" t="s">
        <v>988</v>
      </c>
      <c r="E4" s="575" t="s">
        <v>989</v>
      </c>
      <c r="F4" s="576" t="s">
        <v>989</v>
      </c>
      <c r="G4" s="577" t="s">
        <v>990</v>
      </c>
      <c r="H4" s="767"/>
      <c r="I4" s="770"/>
      <c r="J4" s="773"/>
      <c r="K4" s="776"/>
    </row>
    <row r="5" spans="2:11" ht="16" x14ac:dyDescent="0.2">
      <c r="C5" s="567">
        <v>2</v>
      </c>
      <c r="D5" s="578" t="s">
        <v>991</v>
      </c>
      <c r="E5" s="579" t="s">
        <v>992</v>
      </c>
      <c r="F5" s="580" t="s">
        <v>993</v>
      </c>
      <c r="G5" s="581" t="s">
        <v>993</v>
      </c>
      <c r="H5" s="768"/>
      <c r="I5" s="771"/>
      <c r="J5" s="774"/>
      <c r="K5" s="777"/>
    </row>
    <row r="6" spans="2:11" ht="16" x14ac:dyDescent="0.2">
      <c r="C6" s="567">
        <v>3</v>
      </c>
      <c r="D6" s="578" t="s">
        <v>994</v>
      </c>
      <c r="E6" s="579" t="s">
        <v>995</v>
      </c>
      <c r="F6" s="580" t="s">
        <v>996</v>
      </c>
      <c r="G6" s="581" t="s">
        <v>997</v>
      </c>
      <c r="H6" s="768"/>
      <c r="I6" s="771"/>
      <c r="J6" s="774"/>
      <c r="K6" s="777"/>
    </row>
    <row r="7" spans="2:11" ht="16" x14ac:dyDescent="0.2">
      <c r="C7" s="567">
        <v>4</v>
      </c>
      <c r="D7" s="578" t="s">
        <v>998</v>
      </c>
      <c r="E7" s="579" t="s">
        <v>999</v>
      </c>
      <c r="F7" s="580" t="s">
        <v>1000</v>
      </c>
      <c r="G7" s="581" t="s">
        <v>1001</v>
      </c>
      <c r="H7" s="768"/>
      <c r="I7" s="771"/>
      <c r="J7" s="774"/>
      <c r="K7" s="777"/>
    </row>
    <row r="8" spans="2:11" ht="16" x14ac:dyDescent="0.2">
      <c r="C8" s="567">
        <v>5</v>
      </c>
      <c r="D8" s="578" t="s">
        <v>1002</v>
      </c>
      <c r="E8" s="579" t="s">
        <v>1003</v>
      </c>
      <c r="F8" s="580" t="s">
        <v>1004</v>
      </c>
      <c r="G8" s="581" t="s">
        <v>1004</v>
      </c>
      <c r="H8" s="769"/>
      <c r="I8" s="772"/>
      <c r="J8" s="775"/>
      <c r="K8" s="778"/>
    </row>
    <row r="9" spans="2:11" ht="16" x14ac:dyDescent="0.2">
      <c r="C9" s="567">
        <v>6</v>
      </c>
      <c r="D9" s="578" t="s">
        <v>1005</v>
      </c>
      <c r="E9" s="579" t="s">
        <v>1006</v>
      </c>
      <c r="F9" s="580" t="s">
        <v>1007</v>
      </c>
      <c r="G9" s="581" t="s">
        <v>1008</v>
      </c>
      <c r="H9" s="769"/>
      <c r="I9" s="772"/>
      <c r="J9" s="775"/>
      <c r="K9" s="778"/>
    </row>
    <row r="10" spans="2:11" ht="16" x14ac:dyDescent="0.2">
      <c r="C10" s="567">
        <v>7</v>
      </c>
      <c r="D10" s="578" t="s">
        <v>1009</v>
      </c>
      <c r="E10" s="579" t="s">
        <v>1010</v>
      </c>
      <c r="F10" s="580" t="s">
        <v>1011</v>
      </c>
      <c r="G10" s="581" t="s">
        <v>1011</v>
      </c>
      <c r="H10" s="769"/>
      <c r="I10" s="772"/>
      <c r="J10" s="775"/>
      <c r="K10" s="778"/>
    </row>
    <row r="11" spans="2:11" ht="16" x14ac:dyDescent="0.2">
      <c r="C11" s="567">
        <v>8</v>
      </c>
      <c r="D11" s="668" t="s">
        <v>1204</v>
      </c>
      <c r="E11" s="669" t="s">
        <v>1204</v>
      </c>
      <c r="F11" s="580" t="s">
        <v>1205</v>
      </c>
      <c r="G11" s="670" t="s">
        <v>1205</v>
      </c>
      <c r="H11" s="769"/>
      <c r="I11" s="772"/>
      <c r="J11" s="775"/>
      <c r="K11" s="778"/>
    </row>
    <row r="12" spans="2:11" ht="16" x14ac:dyDescent="0.2">
      <c r="C12" s="567">
        <v>9</v>
      </c>
      <c r="D12" s="758" t="s">
        <v>1366</v>
      </c>
      <c r="E12" s="756" t="s">
        <v>1366</v>
      </c>
      <c r="F12" s="580" t="s">
        <v>1367</v>
      </c>
      <c r="G12" s="757" t="s">
        <v>1367</v>
      </c>
      <c r="H12" s="769"/>
      <c r="I12" s="772"/>
      <c r="J12" s="775"/>
      <c r="K12" s="778"/>
    </row>
    <row r="13" spans="2:11" ht="16" x14ac:dyDescent="0.2">
      <c r="C13" s="567">
        <v>10</v>
      </c>
      <c r="D13" s="758" t="s">
        <v>1368</v>
      </c>
      <c r="E13" s="756" t="s">
        <v>1369</v>
      </c>
      <c r="F13" s="580" t="s">
        <v>1370</v>
      </c>
      <c r="G13" s="757" t="s">
        <v>1370</v>
      </c>
      <c r="H13" s="769"/>
      <c r="I13" s="772"/>
      <c r="J13" s="775"/>
      <c r="K13" s="778"/>
    </row>
    <row r="14" spans="2:11" ht="16" x14ac:dyDescent="0.2">
      <c r="C14" s="567">
        <v>11</v>
      </c>
      <c r="D14" s="758" t="s">
        <v>1012</v>
      </c>
      <c r="E14" s="756" t="s">
        <v>1013</v>
      </c>
      <c r="F14" s="580" t="s">
        <v>1014</v>
      </c>
      <c r="G14" s="757" t="s">
        <v>1015</v>
      </c>
      <c r="H14" s="769"/>
      <c r="I14" s="772"/>
      <c r="J14" s="775"/>
      <c r="K14" s="778"/>
    </row>
    <row r="15" spans="2:11" x14ac:dyDescent="0.2">
      <c r="C15" s="567">
        <v>12</v>
      </c>
      <c r="D15" s="578"/>
      <c r="E15" s="579"/>
      <c r="F15" s="580"/>
      <c r="G15" s="581"/>
      <c r="H15" s="769"/>
      <c r="I15" s="772"/>
      <c r="J15" s="775"/>
      <c r="K15" s="778"/>
    </row>
    <row r="16" spans="2:11" x14ac:dyDescent="0.2">
      <c r="C16" s="567">
        <v>13</v>
      </c>
      <c r="D16" s="578"/>
      <c r="E16" s="579"/>
      <c r="F16" s="580"/>
      <c r="G16" s="581"/>
      <c r="H16" s="769"/>
      <c r="I16" s="772"/>
      <c r="J16" s="775"/>
      <c r="K16" s="778"/>
    </row>
    <row r="17" spans="3:11" x14ac:dyDescent="0.2">
      <c r="C17" s="567">
        <v>14</v>
      </c>
      <c r="D17" s="578"/>
      <c r="E17" s="579"/>
      <c r="F17" s="580"/>
      <c r="G17" s="581"/>
      <c r="H17" s="769"/>
      <c r="I17" s="772"/>
      <c r="J17" s="775"/>
      <c r="K17" s="778"/>
    </row>
    <row r="18" spans="3:11" x14ac:dyDescent="0.2">
      <c r="C18" s="567">
        <v>15</v>
      </c>
      <c r="D18" s="578"/>
      <c r="E18" s="579"/>
      <c r="F18" s="580"/>
      <c r="G18" s="581"/>
      <c r="H18" s="769"/>
      <c r="I18" s="772"/>
      <c r="J18" s="775"/>
      <c r="K18" s="778"/>
    </row>
    <row r="19" spans="3:11" x14ac:dyDescent="0.2">
      <c r="C19" s="567">
        <v>16</v>
      </c>
      <c r="D19" s="578"/>
      <c r="E19" s="579"/>
      <c r="F19" s="580"/>
      <c r="G19" s="581"/>
      <c r="H19" s="769"/>
      <c r="I19" s="772"/>
      <c r="J19" s="775"/>
      <c r="K19" s="778"/>
    </row>
    <row r="20" spans="3:11" x14ac:dyDescent="0.2">
      <c r="C20" s="567">
        <v>17</v>
      </c>
      <c r="D20" s="578"/>
      <c r="E20" s="579"/>
      <c r="F20" s="580"/>
      <c r="G20" s="581"/>
      <c r="H20" s="768"/>
      <c r="I20" s="771"/>
      <c r="J20" s="774"/>
      <c r="K20" s="777"/>
    </row>
    <row r="21" spans="3:11" x14ac:dyDescent="0.2">
      <c r="C21" s="567">
        <v>18</v>
      </c>
      <c r="D21" s="578"/>
      <c r="E21" s="579"/>
      <c r="F21" s="580"/>
      <c r="G21" s="581"/>
      <c r="H21" s="768"/>
      <c r="I21" s="771"/>
      <c r="J21" s="774"/>
      <c r="K21" s="777"/>
    </row>
    <row r="22" spans="3:11" x14ac:dyDescent="0.2">
      <c r="C22" s="567">
        <v>19</v>
      </c>
      <c r="D22" s="578"/>
      <c r="E22" s="579"/>
      <c r="F22" s="580"/>
      <c r="G22" s="581"/>
      <c r="H22" s="768"/>
      <c r="I22" s="771"/>
      <c r="J22" s="774"/>
      <c r="K22" s="777"/>
    </row>
    <row r="23" spans="3:11" x14ac:dyDescent="0.2">
      <c r="C23" s="567">
        <v>20</v>
      </c>
      <c r="D23" s="578"/>
      <c r="E23" s="579"/>
      <c r="F23" s="580"/>
      <c r="G23" s="581"/>
      <c r="H23" s="768"/>
      <c r="I23" s="771"/>
      <c r="J23" s="774"/>
      <c r="K23" s="777"/>
    </row>
    <row r="24" spans="3:11" x14ac:dyDescent="0.2">
      <c r="C24" s="567">
        <v>21</v>
      </c>
      <c r="D24" s="578"/>
      <c r="E24" s="579"/>
      <c r="F24" s="580"/>
      <c r="G24" s="581"/>
      <c r="H24" s="768"/>
      <c r="I24" s="771"/>
      <c r="J24" s="774"/>
      <c r="K24" s="777"/>
    </row>
    <row r="25" spans="3:11" x14ac:dyDescent="0.2">
      <c r="C25" s="567">
        <v>22</v>
      </c>
      <c r="D25" s="578"/>
      <c r="E25" s="579"/>
      <c r="F25" s="580"/>
      <c r="G25" s="581"/>
      <c r="H25" s="768"/>
      <c r="I25" s="771"/>
      <c r="J25" s="774"/>
      <c r="K25" s="777"/>
    </row>
    <row r="26" spans="3:11" x14ac:dyDescent="0.2">
      <c r="C26" s="567">
        <v>23</v>
      </c>
      <c r="D26" s="578"/>
      <c r="E26" s="579"/>
      <c r="F26" s="580"/>
      <c r="G26" s="581"/>
      <c r="H26" s="768"/>
      <c r="I26" s="771"/>
      <c r="J26" s="774"/>
      <c r="K26" s="777"/>
    </row>
    <row r="27" spans="3:11" x14ac:dyDescent="0.2">
      <c r="C27" s="567">
        <v>24</v>
      </c>
      <c r="D27" s="578"/>
      <c r="E27" s="579"/>
      <c r="F27" s="580"/>
      <c r="G27" s="581"/>
      <c r="H27" s="768"/>
      <c r="I27" s="771"/>
      <c r="J27" s="774"/>
      <c r="K27" s="777"/>
    </row>
    <row r="28" spans="3:11" ht="16" x14ac:dyDescent="0.2">
      <c r="C28" s="567">
        <v>25</v>
      </c>
      <c r="D28" s="578" t="s">
        <v>1012</v>
      </c>
      <c r="E28" s="579" t="s">
        <v>1013</v>
      </c>
      <c r="F28" s="580" t="s">
        <v>1014</v>
      </c>
      <c r="G28" s="581" t="s">
        <v>1015</v>
      </c>
      <c r="H28" s="768"/>
      <c r="I28" s="771"/>
      <c r="J28" s="774"/>
      <c r="K28" s="777"/>
    </row>
  </sheetData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F5A54-1495-47CD-850D-6F53EF45BDDD}">
  <dimension ref="B1:K861"/>
  <sheetViews>
    <sheetView showGridLines="0" zoomScaleNormal="100" workbookViewId="0">
      <selection activeCell="B126" sqref="B126"/>
    </sheetView>
  </sheetViews>
  <sheetFormatPr baseColWidth="10" defaultColWidth="9.1640625" defaultRowHeight="15" x14ac:dyDescent="0.2"/>
  <cols>
    <col min="1" max="3" width="9.1640625" style="568"/>
    <col min="4" max="4" width="59.5" style="569" customWidth="1"/>
    <col min="5" max="11" width="59.5" style="568" customWidth="1"/>
    <col min="12" max="16384" width="9.1640625" style="568"/>
  </cols>
  <sheetData>
    <row r="1" spans="2:11" x14ac:dyDescent="0.2">
      <c r="B1" s="567" t="str" cm="1">
        <f t="array" aca="1" ref="B1" ca="1">MID(CELL("filename",$A$1),FIND("]",CELL("filename",$A$1))+1,255)</f>
        <v>Kirjasto (kaupungit)</v>
      </c>
    </row>
    <row r="3" spans="2:11" ht="18" thickBot="1" x14ac:dyDescent="0.25">
      <c r="B3" s="567" t="s">
        <v>705</v>
      </c>
      <c r="D3" s="570" t="s">
        <v>706</v>
      </c>
      <c r="E3" s="571" t="s">
        <v>708</v>
      </c>
      <c r="F3" s="572" t="s">
        <v>709</v>
      </c>
      <c r="G3" s="573" t="s">
        <v>710</v>
      </c>
      <c r="H3" s="759" t="s">
        <v>1397</v>
      </c>
      <c r="I3" s="761" t="s">
        <v>1398</v>
      </c>
      <c r="J3" s="763" t="s">
        <v>1399</v>
      </c>
      <c r="K3" s="765" t="s">
        <v>1400</v>
      </c>
    </row>
    <row r="4" spans="2:11" ht="16" x14ac:dyDescent="0.2">
      <c r="B4" s="502">
        <f>Kirjasto!$B$4</f>
        <v>5</v>
      </c>
      <c r="C4" s="567">
        <v>1</v>
      </c>
      <c r="D4" s="574" t="s">
        <v>1016</v>
      </c>
      <c r="E4" s="575" t="s">
        <v>1016</v>
      </c>
      <c r="F4" s="576" t="s">
        <v>1017</v>
      </c>
      <c r="G4" s="577" t="s">
        <v>1016</v>
      </c>
      <c r="H4" s="767" t="s">
        <v>1016</v>
      </c>
      <c r="I4" s="770" t="s">
        <v>1016</v>
      </c>
      <c r="J4" s="773" t="s">
        <v>1016</v>
      </c>
      <c r="K4" s="776" t="s">
        <v>1016</v>
      </c>
    </row>
    <row r="5" spans="2:11" ht="16" x14ac:dyDescent="0.2">
      <c r="C5" s="567">
        <v>2</v>
      </c>
      <c r="D5" s="578" t="s">
        <v>270</v>
      </c>
      <c r="E5" s="579" t="s">
        <v>270</v>
      </c>
      <c r="F5" s="580" t="s">
        <v>1018</v>
      </c>
      <c r="G5" s="581" t="s">
        <v>270</v>
      </c>
      <c r="H5" s="768" t="s">
        <v>270</v>
      </c>
      <c r="I5" s="771" t="s">
        <v>270</v>
      </c>
      <c r="J5" s="774" t="s">
        <v>270</v>
      </c>
      <c r="K5" s="777" t="s">
        <v>270</v>
      </c>
    </row>
    <row r="6" spans="2:11" ht="16" x14ac:dyDescent="0.2">
      <c r="C6" s="567">
        <v>3</v>
      </c>
      <c r="D6" s="578" t="s">
        <v>271</v>
      </c>
      <c r="E6" s="579" t="s">
        <v>271</v>
      </c>
      <c r="F6" s="580" t="s">
        <v>271</v>
      </c>
      <c r="G6" s="581" t="s">
        <v>271</v>
      </c>
      <c r="H6" s="768" t="s">
        <v>271</v>
      </c>
      <c r="I6" s="771" t="s">
        <v>271</v>
      </c>
      <c r="J6" s="774" t="s">
        <v>271</v>
      </c>
      <c r="K6" s="777" t="s">
        <v>271</v>
      </c>
    </row>
    <row r="7" spans="2:11" ht="16" x14ac:dyDescent="0.2">
      <c r="C7" s="567">
        <v>4</v>
      </c>
      <c r="D7" s="578" t="s">
        <v>272</v>
      </c>
      <c r="E7" s="579" t="s">
        <v>272</v>
      </c>
      <c r="F7" s="580" t="s">
        <v>272</v>
      </c>
      <c r="G7" s="581" t="s">
        <v>272</v>
      </c>
      <c r="H7" s="768" t="s">
        <v>272</v>
      </c>
      <c r="I7" s="771" t="s">
        <v>272</v>
      </c>
      <c r="J7" s="774" t="s">
        <v>272</v>
      </c>
      <c r="K7" s="777" t="s">
        <v>272</v>
      </c>
    </row>
    <row r="8" spans="2:11" ht="16" x14ac:dyDescent="0.2">
      <c r="C8" s="567">
        <v>5</v>
      </c>
      <c r="D8" s="578" t="s">
        <v>1025</v>
      </c>
      <c r="E8" s="756" t="s">
        <v>1391</v>
      </c>
      <c r="F8" s="580" t="s">
        <v>1391</v>
      </c>
      <c r="G8" s="757" t="s">
        <v>1391</v>
      </c>
      <c r="H8" s="769" t="s">
        <v>1404</v>
      </c>
      <c r="I8" s="772" t="s">
        <v>1391</v>
      </c>
      <c r="J8" s="775" t="s">
        <v>1406</v>
      </c>
      <c r="K8" s="778" t="s">
        <v>1408</v>
      </c>
    </row>
    <row r="9" spans="2:11" ht="16" x14ac:dyDescent="0.2">
      <c r="C9" s="567">
        <v>6</v>
      </c>
      <c r="D9" s="578" t="s">
        <v>1028</v>
      </c>
      <c r="E9" s="756" t="s">
        <v>1389</v>
      </c>
      <c r="F9" s="580" t="s">
        <v>1390</v>
      </c>
      <c r="G9" s="757" t="s">
        <v>1390</v>
      </c>
      <c r="H9" s="769" t="s">
        <v>1405</v>
      </c>
      <c r="I9" s="772" t="s">
        <v>1390</v>
      </c>
      <c r="J9" s="775" t="s">
        <v>1407</v>
      </c>
      <c r="K9" s="778" t="s">
        <v>1409</v>
      </c>
    </row>
    <row r="10" spans="2:11" ht="16" x14ac:dyDescent="0.2">
      <c r="C10" s="567">
        <v>7</v>
      </c>
      <c r="D10" s="578" t="s">
        <v>1019</v>
      </c>
      <c r="E10" s="756" t="s">
        <v>1361</v>
      </c>
      <c r="F10" s="580" t="s">
        <v>1361</v>
      </c>
      <c r="G10" s="757" t="s">
        <v>1361</v>
      </c>
      <c r="H10" s="769" t="s">
        <v>1401</v>
      </c>
      <c r="I10" s="772" t="s">
        <v>1361</v>
      </c>
      <c r="J10" s="775" t="s">
        <v>1402</v>
      </c>
      <c r="K10" s="778" t="s">
        <v>1403</v>
      </c>
    </row>
    <row r="11" spans="2:11" ht="16" x14ac:dyDescent="0.2">
      <c r="C11" s="567">
        <v>8</v>
      </c>
      <c r="D11" s="578" t="s">
        <v>1377</v>
      </c>
      <c r="E11" s="756" t="s">
        <v>1382</v>
      </c>
      <c r="F11" s="580" t="s">
        <v>1382</v>
      </c>
      <c r="G11" s="757" t="s">
        <v>1382</v>
      </c>
      <c r="H11" s="769" t="s">
        <v>1410</v>
      </c>
      <c r="I11" s="772" t="s">
        <v>1411</v>
      </c>
      <c r="J11" s="775" t="s">
        <v>1412</v>
      </c>
      <c r="K11" s="778" t="s">
        <v>1410</v>
      </c>
    </row>
    <row r="12" spans="2:11" ht="16" x14ac:dyDescent="0.2">
      <c r="C12" s="567">
        <v>9</v>
      </c>
      <c r="D12" s="578" t="s">
        <v>1379</v>
      </c>
      <c r="E12" s="756" t="s">
        <v>1383</v>
      </c>
      <c r="F12" s="580" t="s">
        <v>1383</v>
      </c>
      <c r="G12" s="757" t="s">
        <v>1384</v>
      </c>
      <c r="H12" s="769" t="s">
        <v>1413</v>
      </c>
      <c r="I12" s="772" t="s">
        <v>1383</v>
      </c>
      <c r="J12" s="775" t="s">
        <v>1414</v>
      </c>
      <c r="K12" s="778" t="s">
        <v>1383</v>
      </c>
    </row>
    <row r="13" spans="2:11" ht="16" x14ac:dyDescent="0.2">
      <c r="C13" s="567">
        <v>10</v>
      </c>
      <c r="D13" s="578" t="s">
        <v>1022</v>
      </c>
      <c r="E13" s="756" t="s">
        <v>1371</v>
      </c>
      <c r="F13" s="580" t="s">
        <v>1372</v>
      </c>
      <c r="G13" s="757" t="s">
        <v>1373</v>
      </c>
      <c r="H13" s="769" t="s">
        <v>1372</v>
      </c>
      <c r="I13" s="772" t="s">
        <v>1415</v>
      </c>
      <c r="J13" s="775" t="s">
        <v>1416</v>
      </c>
      <c r="K13" s="778" t="s">
        <v>1417</v>
      </c>
    </row>
    <row r="14" spans="2:11" ht="16" x14ac:dyDescent="0.2">
      <c r="C14" s="567">
        <v>11</v>
      </c>
      <c r="D14" s="668" t="s">
        <v>1381</v>
      </c>
      <c r="E14" s="756" t="s">
        <v>1387</v>
      </c>
      <c r="F14" s="580" t="s">
        <v>1387</v>
      </c>
      <c r="G14" s="757" t="s">
        <v>1388</v>
      </c>
      <c r="H14" s="769" t="s">
        <v>1418</v>
      </c>
      <c r="I14" s="772" t="s">
        <v>1418</v>
      </c>
      <c r="J14" s="775" t="s">
        <v>1419</v>
      </c>
      <c r="K14" s="778" t="s">
        <v>1420</v>
      </c>
    </row>
    <row r="15" spans="2:11" ht="16" x14ac:dyDescent="0.2">
      <c r="C15" s="567">
        <v>12</v>
      </c>
      <c r="D15" s="758" t="s">
        <v>1380</v>
      </c>
      <c r="E15" s="756" t="s">
        <v>1385</v>
      </c>
      <c r="F15" s="580" t="s">
        <v>1385</v>
      </c>
      <c r="G15" s="757" t="s">
        <v>1386</v>
      </c>
      <c r="H15" s="769" t="s">
        <v>1421</v>
      </c>
      <c r="I15" s="772" t="s">
        <v>1421</v>
      </c>
      <c r="J15" s="775" t="s">
        <v>1422</v>
      </c>
      <c r="K15" s="778" t="s">
        <v>1423</v>
      </c>
    </row>
    <row r="16" spans="2:11" ht="16" x14ac:dyDescent="0.2">
      <c r="C16" s="567">
        <v>13</v>
      </c>
      <c r="D16" s="758" t="s">
        <v>1024</v>
      </c>
      <c r="E16" s="756" t="s">
        <v>1375</v>
      </c>
      <c r="F16" s="580" t="s">
        <v>1375</v>
      </c>
      <c r="G16" s="757" t="s">
        <v>1375</v>
      </c>
      <c r="H16" s="769" t="s">
        <v>1424</v>
      </c>
      <c r="I16" s="772" t="s">
        <v>1375</v>
      </c>
      <c r="J16" s="775" t="s">
        <v>1425</v>
      </c>
      <c r="K16" s="778" t="s">
        <v>1426</v>
      </c>
    </row>
    <row r="17" spans="3:11" ht="16" x14ac:dyDescent="0.2">
      <c r="C17" s="567">
        <v>14</v>
      </c>
      <c r="D17" s="758" t="s">
        <v>1206</v>
      </c>
      <c r="E17" s="756" t="s">
        <v>1428</v>
      </c>
      <c r="F17" s="580" t="s">
        <v>1427</v>
      </c>
      <c r="G17" s="757" t="s">
        <v>1427</v>
      </c>
      <c r="H17" s="769" t="s">
        <v>1429</v>
      </c>
      <c r="I17" s="772" t="s">
        <v>1427</v>
      </c>
      <c r="J17" s="775" t="s">
        <v>1430</v>
      </c>
      <c r="K17" s="778" t="s">
        <v>1431</v>
      </c>
    </row>
    <row r="18" spans="3:11" ht="16" x14ac:dyDescent="0.2">
      <c r="C18" s="567">
        <v>15</v>
      </c>
      <c r="D18" s="758" t="s">
        <v>1020</v>
      </c>
      <c r="E18" s="756" t="s">
        <v>1365</v>
      </c>
      <c r="F18" s="580" t="s">
        <v>1365</v>
      </c>
      <c r="G18" s="757" t="s">
        <v>1365</v>
      </c>
      <c r="H18" s="769" t="s">
        <v>1365</v>
      </c>
      <c r="I18" s="772" t="s">
        <v>1365</v>
      </c>
      <c r="J18" s="775" t="s">
        <v>1365</v>
      </c>
      <c r="K18" s="778" t="s">
        <v>1432</v>
      </c>
    </row>
    <row r="19" spans="3:11" ht="16" x14ac:dyDescent="0.2">
      <c r="C19" s="567">
        <v>16</v>
      </c>
      <c r="D19" s="758" t="s">
        <v>1021</v>
      </c>
      <c r="E19" s="756" t="s">
        <v>1362</v>
      </c>
      <c r="F19" s="580" t="s">
        <v>1363</v>
      </c>
      <c r="G19" s="757" t="s">
        <v>1364</v>
      </c>
      <c r="H19" s="769" t="s">
        <v>1433</v>
      </c>
      <c r="I19" s="772" t="s">
        <v>1434</v>
      </c>
      <c r="J19" s="775" t="s">
        <v>1435</v>
      </c>
      <c r="K19" s="778" t="s">
        <v>1433</v>
      </c>
    </row>
    <row r="20" spans="3:11" ht="16" x14ac:dyDescent="0.2">
      <c r="C20" s="567">
        <v>17</v>
      </c>
      <c r="D20" s="578" t="s">
        <v>1023</v>
      </c>
      <c r="E20" s="579" t="s">
        <v>1374</v>
      </c>
      <c r="F20" s="580" t="s">
        <v>1374</v>
      </c>
      <c r="G20" s="581" t="s">
        <v>1374</v>
      </c>
      <c r="H20" s="768" t="s">
        <v>1374</v>
      </c>
      <c r="I20" s="772" t="s">
        <v>1436</v>
      </c>
      <c r="J20" s="775" t="s">
        <v>1438</v>
      </c>
      <c r="K20" s="778" t="s">
        <v>1437</v>
      </c>
    </row>
    <row r="21" spans="3:11" x14ac:dyDescent="0.2">
      <c r="C21" s="567">
        <v>18</v>
      </c>
      <c r="D21" s="578"/>
      <c r="E21" s="579"/>
      <c r="F21" s="580"/>
      <c r="G21" s="581"/>
      <c r="H21" s="768"/>
      <c r="I21" s="771"/>
      <c r="J21" s="774"/>
      <c r="K21" s="777"/>
    </row>
    <row r="22" spans="3:11" x14ac:dyDescent="0.2">
      <c r="C22" s="567">
        <v>19</v>
      </c>
      <c r="D22" s="578"/>
      <c r="E22" s="579"/>
      <c r="F22" s="580"/>
      <c r="G22" s="581"/>
      <c r="H22" s="768"/>
      <c r="I22" s="771"/>
      <c r="J22" s="774"/>
      <c r="K22" s="777"/>
    </row>
    <row r="23" spans="3:11" x14ac:dyDescent="0.2">
      <c r="C23" s="567">
        <v>20</v>
      </c>
      <c r="D23" s="578"/>
      <c r="E23" s="579"/>
      <c r="F23" s="580"/>
      <c r="G23" s="581"/>
      <c r="H23" s="768"/>
      <c r="I23" s="771"/>
      <c r="J23" s="774"/>
      <c r="K23" s="777"/>
    </row>
    <row r="24" spans="3:11" x14ac:dyDescent="0.2">
      <c r="C24" s="567">
        <v>21</v>
      </c>
      <c r="D24" s="578"/>
      <c r="E24" s="579"/>
      <c r="F24" s="580"/>
      <c r="G24" s="581"/>
      <c r="H24" s="768"/>
      <c r="I24" s="771"/>
      <c r="J24" s="774"/>
      <c r="K24" s="777"/>
    </row>
    <row r="25" spans="3:11" x14ac:dyDescent="0.2">
      <c r="C25" s="567">
        <v>22</v>
      </c>
      <c r="D25" s="578"/>
      <c r="E25" s="579"/>
      <c r="F25" s="580"/>
      <c r="G25" s="581"/>
      <c r="H25" s="768"/>
      <c r="I25" s="771"/>
      <c r="J25" s="774"/>
      <c r="K25" s="777"/>
    </row>
    <row r="26" spans="3:11" x14ac:dyDescent="0.2">
      <c r="C26" s="567">
        <v>23</v>
      </c>
      <c r="D26" s="578"/>
      <c r="E26" s="579"/>
      <c r="F26" s="580"/>
      <c r="G26" s="581"/>
      <c r="H26" s="768"/>
      <c r="I26" s="771"/>
      <c r="J26" s="774"/>
      <c r="K26" s="777"/>
    </row>
    <row r="27" spans="3:11" x14ac:dyDescent="0.2">
      <c r="C27" s="567">
        <v>24</v>
      </c>
      <c r="D27" s="578"/>
      <c r="E27" s="579"/>
      <c r="F27" s="580"/>
      <c r="G27" s="581"/>
      <c r="H27" s="768"/>
      <c r="I27" s="771"/>
      <c r="J27" s="774"/>
      <c r="K27" s="777"/>
    </row>
    <row r="28" spans="3:11" x14ac:dyDescent="0.2">
      <c r="C28" s="567">
        <v>25</v>
      </c>
      <c r="D28" s="578"/>
      <c r="E28" s="579"/>
      <c r="F28" s="580"/>
      <c r="G28" s="581"/>
      <c r="H28" s="768"/>
      <c r="I28" s="771"/>
      <c r="J28" s="774"/>
      <c r="K28" s="777"/>
    </row>
    <row r="29" spans="3:11" x14ac:dyDescent="0.2">
      <c r="C29" s="567">
        <v>26</v>
      </c>
      <c r="D29" s="578"/>
      <c r="E29" s="579"/>
      <c r="F29" s="580"/>
      <c r="G29" s="581"/>
      <c r="H29" s="768"/>
      <c r="I29" s="771"/>
      <c r="J29" s="774"/>
      <c r="K29" s="777"/>
    </row>
    <row r="30" spans="3:11" x14ac:dyDescent="0.2">
      <c r="C30" s="567">
        <v>27</v>
      </c>
      <c r="D30" s="578"/>
      <c r="E30" s="579"/>
      <c r="F30" s="580"/>
      <c r="G30" s="581"/>
      <c r="H30" s="768"/>
      <c r="I30" s="771"/>
      <c r="J30" s="774"/>
      <c r="K30" s="777"/>
    </row>
    <row r="31" spans="3:11" x14ac:dyDescent="0.2">
      <c r="C31" s="567">
        <v>28</v>
      </c>
      <c r="D31" s="578"/>
      <c r="E31" s="579"/>
      <c r="F31" s="580"/>
      <c r="G31" s="581"/>
      <c r="H31" s="768"/>
      <c r="I31" s="771"/>
      <c r="J31" s="774"/>
      <c r="K31" s="777"/>
    </row>
    <row r="32" spans="3:11" x14ac:dyDescent="0.2">
      <c r="C32" s="567">
        <v>29</v>
      </c>
      <c r="D32" s="578"/>
      <c r="E32" s="579"/>
      <c r="F32" s="580"/>
      <c r="G32" s="581"/>
      <c r="H32" s="768"/>
      <c r="I32" s="771"/>
      <c r="J32" s="774"/>
      <c r="K32" s="777"/>
    </row>
    <row r="33" spans="3:11" x14ac:dyDescent="0.2">
      <c r="C33" s="567">
        <v>30</v>
      </c>
      <c r="D33" s="578"/>
      <c r="E33" s="579"/>
      <c r="F33" s="580"/>
      <c r="G33" s="581"/>
      <c r="H33" s="768"/>
      <c r="I33" s="771"/>
      <c r="J33" s="774"/>
      <c r="K33" s="777"/>
    </row>
    <row r="34" spans="3:11" x14ac:dyDescent="0.2">
      <c r="C34" s="567">
        <v>31</v>
      </c>
      <c r="D34" s="578"/>
      <c r="E34" s="579"/>
      <c r="F34" s="580"/>
      <c r="G34" s="581"/>
      <c r="H34" s="768"/>
      <c r="I34" s="771"/>
      <c r="J34" s="774"/>
      <c r="K34" s="777"/>
    </row>
    <row r="35" spans="3:11" x14ac:dyDescent="0.2">
      <c r="C35" s="567">
        <v>32</v>
      </c>
      <c r="D35" s="578"/>
      <c r="E35" s="579"/>
      <c r="F35" s="580"/>
      <c r="G35" s="581"/>
      <c r="H35" s="768"/>
      <c r="I35" s="771"/>
      <c r="J35" s="774"/>
      <c r="K35" s="777"/>
    </row>
    <row r="36" spans="3:11" x14ac:dyDescent="0.2">
      <c r="C36" s="567">
        <v>33</v>
      </c>
      <c r="D36" s="578"/>
      <c r="E36" s="579"/>
      <c r="F36" s="580"/>
      <c r="G36" s="581"/>
      <c r="H36" s="768"/>
      <c r="I36" s="771"/>
      <c r="J36" s="774"/>
      <c r="K36" s="777"/>
    </row>
    <row r="37" spans="3:11" x14ac:dyDescent="0.2">
      <c r="C37" s="567">
        <v>34</v>
      </c>
      <c r="D37" s="578"/>
      <c r="E37" s="579"/>
      <c r="F37" s="580"/>
      <c r="G37" s="581"/>
      <c r="H37" s="768"/>
      <c r="I37" s="771"/>
      <c r="J37" s="774"/>
      <c r="K37" s="777"/>
    </row>
    <row r="38" spans="3:11" x14ac:dyDescent="0.2">
      <c r="C38" s="567">
        <v>35</v>
      </c>
      <c r="D38" s="578"/>
      <c r="E38" s="579"/>
      <c r="F38" s="580"/>
      <c r="G38" s="581"/>
      <c r="H38" s="768"/>
      <c r="I38" s="771"/>
      <c r="J38" s="774"/>
      <c r="K38" s="777"/>
    </row>
    <row r="39" spans="3:11" x14ac:dyDescent="0.2">
      <c r="C39" s="567">
        <v>36</v>
      </c>
      <c r="D39" s="578"/>
      <c r="E39" s="579"/>
      <c r="F39" s="580"/>
      <c r="G39" s="581"/>
      <c r="H39" s="768"/>
      <c r="I39" s="771"/>
      <c r="J39" s="774"/>
      <c r="K39" s="777"/>
    </row>
    <row r="40" spans="3:11" x14ac:dyDescent="0.2">
      <c r="C40" s="567">
        <v>37</v>
      </c>
      <c r="D40" s="578"/>
      <c r="E40" s="579"/>
      <c r="F40" s="580"/>
      <c r="G40" s="581"/>
      <c r="H40" s="768"/>
      <c r="I40" s="771"/>
      <c r="J40" s="774"/>
      <c r="K40" s="777"/>
    </row>
    <row r="41" spans="3:11" x14ac:dyDescent="0.2">
      <c r="C41" s="567">
        <v>38</v>
      </c>
      <c r="D41" s="578"/>
      <c r="E41" s="579"/>
      <c r="F41" s="580"/>
      <c r="G41" s="581"/>
      <c r="H41" s="768"/>
      <c r="I41" s="771"/>
      <c r="J41" s="774"/>
      <c r="K41" s="777"/>
    </row>
    <row r="42" spans="3:11" x14ac:dyDescent="0.2">
      <c r="C42" s="567">
        <v>39</v>
      </c>
      <c r="D42" s="578"/>
      <c r="E42" s="579"/>
      <c r="F42" s="580"/>
      <c r="G42" s="581"/>
      <c r="H42" s="768"/>
      <c r="I42" s="771"/>
      <c r="J42" s="774"/>
      <c r="K42" s="777"/>
    </row>
    <row r="43" spans="3:11" x14ac:dyDescent="0.2">
      <c r="C43" s="567">
        <v>40</v>
      </c>
      <c r="D43" s="578"/>
      <c r="E43" s="579"/>
      <c r="F43" s="580"/>
      <c r="G43" s="581"/>
      <c r="H43" s="768"/>
      <c r="I43" s="771"/>
      <c r="J43" s="774"/>
      <c r="K43" s="777"/>
    </row>
    <row r="44" spans="3:11" x14ac:dyDescent="0.2">
      <c r="C44" s="567">
        <v>41</v>
      </c>
      <c r="D44" s="578"/>
      <c r="E44" s="579"/>
      <c r="F44" s="580"/>
      <c r="G44" s="581"/>
      <c r="H44" s="768"/>
      <c r="I44" s="771"/>
      <c r="J44" s="774"/>
      <c r="K44" s="777"/>
    </row>
    <row r="45" spans="3:11" x14ac:dyDescent="0.2">
      <c r="C45" s="567">
        <v>42</v>
      </c>
      <c r="D45" s="578"/>
      <c r="E45" s="579"/>
      <c r="F45" s="580"/>
      <c r="G45" s="581"/>
      <c r="H45" s="768"/>
      <c r="I45" s="771"/>
      <c r="J45" s="774"/>
      <c r="K45" s="777"/>
    </row>
    <row r="46" spans="3:11" x14ac:dyDescent="0.2">
      <c r="C46" s="567">
        <v>43</v>
      </c>
      <c r="D46" s="578"/>
      <c r="E46" s="579"/>
      <c r="F46" s="580"/>
      <c r="G46" s="581"/>
      <c r="H46" s="768"/>
      <c r="I46" s="771"/>
      <c r="J46" s="774"/>
      <c r="K46" s="777"/>
    </row>
    <row r="47" spans="3:11" x14ac:dyDescent="0.2">
      <c r="C47" s="567">
        <v>44</v>
      </c>
      <c r="D47" s="578"/>
      <c r="E47" s="579"/>
      <c r="F47" s="580"/>
      <c r="G47" s="581"/>
      <c r="H47" s="768"/>
      <c r="I47" s="771"/>
      <c r="J47" s="774"/>
      <c r="K47" s="777"/>
    </row>
    <row r="48" spans="3:11" x14ac:dyDescent="0.2">
      <c r="C48" s="567">
        <v>45</v>
      </c>
      <c r="D48" s="578"/>
      <c r="E48" s="579"/>
      <c r="F48" s="580"/>
      <c r="G48" s="581"/>
      <c r="H48" s="768"/>
      <c r="I48" s="771"/>
      <c r="J48" s="774"/>
      <c r="K48" s="777"/>
    </row>
    <row r="49" spans="3:11" x14ac:dyDescent="0.2">
      <c r="C49" s="567">
        <v>46</v>
      </c>
      <c r="D49" s="578"/>
      <c r="E49" s="579"/>
      <c r="F49" s="580"/>
      <c r="G49" s="581"/>
      <c r="H49" s="768"/>
      <c r="I49" s="771"/>
      <c r="J49" s="774"/>
      <c r="K49" s="777"/>
    </row>
    <row r="50" spans="3:11" x14ac:dyDescent="0.2">
      <c r="C50" s="567">
        <v>47</v>
      </c>
      <c r="D50" s="578"/>
      <c r="E50" s="579"/>
      <c r="F50" s="580"/>
      <c r="G50" s="581"/>
      <c r="H50" s="768"/>
      <c r="I50" s="771"/>
      <c r="J50" s="774"/>
      <c r="K50" s="777"/>
    </row>
    <row r="51" spans="3:11" x14ac:dyDescent="0.2">
      <c r="C51" s="567">
        <v>48</v>
      </c>
      <c r="D51" s="578"/>
      <c r="E51" s="579"/>
      <c r="F51" s="580"/>
      <c r="G51" s="581"/>
      <c r="H51" s="768"/>
      <c r="I51" s="771"/>
      <c r="J51" s="774"/>
      <c r="K51" s="777"/>
    </row>
    <row r="52" spans="3:11" x14ac:dyDescent="0.2">
      <c r="C52" s="567">
        <v>49</v>
      </c>
      <c r="D52" s="578"/>
      <c r="E52" s="579"/>
      <c r="F52" s="580"/>
      <c r="G52" s="581"/>
      <c r="H52" s="768"/>
      <c r="I52" s="771"/>
      <c r="J52" s="774"/>
      <c r="K52" s="777"/>
    </row>
    <row r="53" spans="3:11" x14ac:dyDescent="0.2">
      <c r="C53" s="567">
        <v>50</v>
      </c>
      <c r="D53" s="578"/>
      <c r="E53" s="579"/>
      <c r="F53" s="580"/>
      <c r="G53" s="581"/>
      <c r="H53" s="768"/>
      <c r="I53" s="771"/>
      <c r="J53" s="774"/>
      <c r="K53" s="777"/>
    </row>
    <row r="54" spans="3:11" x14ac:dyDescent="0.2">
      <c r="C54" s="567">
        <v>51</v>
      </c>
      <c r="D54" s="578"/>
      <c r="E54" s="579"/>
      <c r="F54" s="580"/>
      <c r="G54" s="581"/>
      <c r="H54" s="768"/>
      <c r="I54" s="771"/>
      <c r="J54" s="774"/>
      <c r="K54" s="777"/>
    </row>
    <row r="55" spans="3:11" x14ac:dyDescent="0.2">
      <c r="C55" s="567">
        <v>52</v>
      </c>
      <c r="D55" s="578"/>
      <c r="E55" s="579"/>
      <c r="F55" s="580"/>
      <c r="G55" s="581"/>
      <c r="H55" s="768"/>
      <c r="I55" s="771"/>
      <c r="J55" s="774"/>
      <c r="K55" s="777"/>
    </row>
    <row r="56" spans="3:11" x14ac:dyDescent="0.2">
      <c r="C56" s="567">
        <v>53</v>
      </c>
      <c r="D56" s="578"/>
      <c r="E56" s="579"/>
      <c r="F56" s="580"/>
      <c r="G56" s="581"/>
      <c r="H56" s="768"/>
      <c r="I56" s="771"/>
      <c r="J56" s="774"/>
      <c r="K56" s="777"/>
    </row>
    <row r="57" spans="3:11" x14ac:dyDescent="0.2">
      <c r="C57" s="567">
        <v>54</v>
      </c>
      <c r="D57" s="578"/>
      <c r="E57" s="579"/>
      <c r="F57" s="580"/>
      <c r="G57" s="581"/>
      <c r="H57" s="768"/>
      <c r="I57" s="771"/>
      <c r="J57" s="774"/>
      <c r="K57" s="777"/>
    </row>
    <row r="58" spans="3:11" x14ac:dyDescent="0.2">
      <c r="C58" s="567">
        <v>55</v>
      </c>
      <c r="D58" s="578"/>
      <c r="E58" s="579"/>
      <c r="F58" s="580"/>
      <c r="G58" s="581"/>
      <c r="H58" s="768"/>
      <c r="I58" s="771"/>
      <c r="J58" s="774"/>
      <c r="K58" s="777"/>
    </row>
    <row r="59" spans="3:11" x14ac:dyDescent="0.2">
      <c r="C59" s="567">
        <v>56</v>
      </c>
      <c r="D59" s="578"/>
      <c r="E59" s="579"/>
      <c r="F59" s="580"/>
      <c r="G59" s="581"/>
      <c r="H59" s="768"/>
      <c r="I59" s="771"/>
      <c r="J59" s="774"/>
      <c r="K59" s="777"/>
    </row>
    <row r="60" spans="3:11" x14ac:dyDescent="0.2">
      <c r="C60" s="567">
        <v>57</v>
      </c>
      <c r="D60" s="578"/>
      <c r="E60" s="579"/>
      <c r="F60" s="580"/>
      <c r="G60" s="581"/>
      <c r="H60" s="768"/>
      <c r="I60" s="771"/>
      <c r="J60" s="774"/>
      <c r="K60" s="777"/>
    </row>
    <row r="61" spans="3:11" x14ac:dyDescent="0.2">
      <c r="C61" s="567">
        <v>58</v>
      </c>
      <c r="D61" s="578"/>
      <c r="E61" s="579"/>
      <c r="F61" s="580"/>
      <c r="G61" s="581"/>
      <c r="H61" s="768"/>
      <c r="I61" s="771"/>
      <c r="J61" s="774"/>
      <c r="K61" s="777"/>
    </row>
    <row r="62" spans="3:11" x14ac:dyDescent="0.2">
      <c r="C62" s="567">
        <v>59</v>
      </c>
      <c r="D62" s="578"/>
      <c r="E62" s="579"/>
      <c r="F62" s="580"/>
      <c r="G62" s="581"/>
      <c r="H62" s="768"/>
      <c r="I62" s="771"/>
      <c r="J62" s="774"/>
      <c r="K62" s="777"/>
    </row>
    <row r="63" spans="3:11" x14ac:dyDescent="0.2">
      <c r="C63" s="567">
        <v>60</v>
      </c>
      <c r="D63" s="578"/>
      <c r="E63" s="579"/>
      <c r="F63" s="580"/>
      <c r="G63" s="581"/>
      <c r="H63" s="768"/>
      <c r="I63" s="771"/>
      <c r="J63" s="774"/>
      <c r="K63" s="777"/>
    </row>
    <row r="64" spans="3:11" x14ac:dyDescent="0.2">
      <c r="C64" s="567">
        <v>61</v>
      </c>
      <c r="D64" s="578"/>
      <c r="E64" s="579"/>
      <c r="F64" s="580"/>
      <c r="G64" s="581"/>
      <c r="H64" s="768"/>
      <c r="I64" s="771"/>
      <c r="J64" s="774"/>
      <c r="K64" s="777"/>
    </row>
    <row r="65" spans="3:11" x14ac:dyDescent="0.2">
      <c r="C65" s="567">
        <v>62</v>
      </c>
      <c r="D65" s="578"/>
      <c r="E65" s="579"/>
      <c r="F65" s="580"/>
      <c r="G65" s="581"/>
      <c r="H65" s="768"/>
      <c r="I65" s="771"/>
      <c r="J65" s="774"/>
      <c r="K65" s="777"/>
    </row>
    <row r="66" spans="3:11" x14ac:dyDescent="0.2">
      <c r="C66" s="567">
        <v>63</v>
      </c>
      <c r="D66" s="578"/>
      <c r="E66" s="579"/>
      <c r="F66" s="580"/>
      <c r="G66" s="581"/>
      <c r="H66" s="768"/>
      <c r="I66" s="771"/>
      <c r="J66" s="774"/>
      <c r="K66" s="777"/>
    </row>
    <row r="67" spans="3:11" x14ac:dyDescent="0.2">
      <c r="C67" s="567">
        <v>64</v>
      </c>
      <c r="D67" s="578"/>
      <c r="E67" s="579"/>
      <c r="F67" s="580"/>
      <c r="G67" s="581"/>
      <c r="H67" s="768"/>
      <c r="I67" s="771"/>
      <c r="J67" s="774"/>
      <c r="K67" s="777"/>
    </row>
    <row r="68" spans="3:11" x14ac:dyDescent="0.2">
      <c r="C68" s="567">
        <v>65</v>
      </c>
      <c r="D68" s="578"/>
      <c r="E68" s="579"/>
      <c r="F68" s="580"/>
      <c r="G68" s="581"/>
      <c r="H68" s="768"/>
      <c r="I68" s="771"/>
      <c r="J68" s="774"/>
      <c r="K68" s="777"/>
    </row>
    <row r="69" spans="3:11" x14ac:dyDescent="0.2">
      <c r="C69" s="567">
        <v>66</v>
      </c>
      <c r="D69" s="578"/>
      <c r="E69" s="579"/>
      <c r="F69" s="580"/>
      <c r="G69" s="581"/>
      <c r="H69" s="768"/>
      <c r="I69" s="771"/>
      <c r="J69" s="774"/>
      <c r="K69" s="777"/>
    </row>
    <row r="70" spans="3:11" x14ac:dyDescent="0.2">
      <c r="C70" s="567">
        <v>67</v>
      </c>
      <c r="D70" s="578"/>
      <c r="E70" s="579"/>
      <c r="F70" s="580"/>
      <c r="G70" s="581"/>
      <c r="H70" s="768"/>
      <c r="I70" s="771"/>
      <c r="J70" s="774"/>
      <c r="K70" s="777"/>
    </row>
    <row r="71" spans="3:11" x14ac:dyDescent="0.2">
      <c r="C71" s="567">
        <v>68</v>
      </c>
      <c r="D71" s="578"/>
      <c r="E71" s="579"/>
      <c r="F71" s="580"/>
      <c r="G71" s="581"/>
      <c r="H71" s="768"/>
      <c r="I71" s="771"/>
      <c r="J71" s="774"/>
      <c r="K71" s="777"/>
    </row>
    <row r="72" spans="3:11" x14ac:dyDescent="0.2">
      <c r="C72" s="567">
        <v>69</v>
      </c>
      <c r="D72" s="578"/>
      <c r="E72" s="579"/>
      <c r="F72" s="580"/>
      <c r="G72" s="581"/>
      <c r="H72" s="768"/>
      <c r="I72" s="771"/>
      <c r="J72" s="774"/>
      <c r="K72" s="777"/>
    </row>
    <row r="73" spans="3:11" x14ac:dyDescent="0.2">
      <c r="C73" s="567">
        <v>70</v>
      </c>
      <c r="D73" s="578"/>
      <c r="E73" s="579"/>
      <c r="F73" s="580"/>
      <c r="G73" s="581"/>
      <c r="H73" s="768"/>
      <c r="I73" s="771"/>
      <c r="J73" s="774"/>
      <c r="K73" s="777"/>
    </row>
    <row r="74" spans="3:11" x14ac:dyDescent="0.2">
      <c r="C74" s="567">
        <v>71</v>
      </c>
      <c r="D74" s="578"/>
      <c r="E74" s="579"/>
      <c r="F74" s="580"/>
      <c r="G74" s="581"/>
      <c r="H74" s="768"/>
      <c r="I74" s="771"/>
      <c r="J74" s="774"/>
      <c r="K74" s="777"/>
    </row>
    <row r="75" spans="3:11" x14ac:dyDescent="0.2">
      <c r="C75" s="567">
        <v>72</v>
      </c>
      <c r="D75" s="578"/>
      <c r="E75" s="579"/>
      <c r="F75" s="580"/>
      <c r="G75" s="581"/>
      <c r="H75" s="768"/>
      <c r="I75" s="771"/>
      <c r="J75" s="774"/>
      <c r="K75" s="777"/>
    </row>
    <row r="76" spans="3:11" x14ac:dyDescent="0.2">
      <c r="C76" s="567">
        <v>73</v>
      </c>
      <c r="D76" s="578"/>
      <c r="E76" s="579"/>
      <c r="F76" s="580"/>
      <c r="G76" s="581"/>
      <c r="H76" s="768"/>
      <c r="I76" s="771"/>
      <c r="J76" s="774"/>
      <c r="K76" s="777"/>
    </row>
    <row r="77" spans="3:11" x14ac:dyDescent="0.2">
      <c r="C77" s="567">
        <v>74</v>
      </c>
      <c r="D77" s="578"/>
      <c r="E77" s="579"/>
      <c r="F77" s="580"/>
      <c r="G77" s="581"/>
      <c r="H77" s="768"/>
      <c r="I77" s="771"/>
      <c r="J77" s="774"/>
      <c r="K77" s="777"/>
    </row>
    <row r="78" spans="3:11" x14ac:dyDescent="0.2">
      <c r="C78" s="567">
        <v>75</v>
      </c>
      <c r="D78" s="578"/>
      <c r="E78" s="579"/>
      <c r="F78" s="580"/>
      <c r="G78" s="581"/>
      <c r="H78" s="768"/>
      <c r="I78" s="771"/>
      <c r="J78" s="774"/>
      <c r="K78" s="777"/>
    </row>
    <row r="79" spans="3:11" x14ac:dyDescent="0.2">
      <c r="C79" s="567">
        <v>76</v>
      </c>
      <c r="D79" s="578"/>
      <c r="E79" s="579"/>
      <c r="F79" s="580"/>
      <c r="G79" s="581"/>
      <c r="H79" s="768"/>
      <c r="I79" s="771"/>
      <c r="J79" s="774"/>
      <c r="K79" s="777"/>
    </row>
    <row r="80" spans="3:11" x14ac:dyDescent="0.2">
      <c r="C80" s="567">
        <v>77</v>
      </c>
      <c r="D80" s="578"/>
      <c r="E80" s="579"/>
      <c r="F80" s="580"/>
      <c r="G80" s="581"/>
      <c r="H80" s="768"/>
      <c r="I80" s="771"/>
      <c r="J80" s="774"/>
      <c r="K80" s="777"/>
    </row>
    <row r="81" spans="3:11" x14ac:dyDescent="0.2">
      <c r="C81" s="567">
        <v>78</v>
      </c>
      <c r="D81" s="578"/>
      <c r="E81" s="579"/>
      <c r="F81" s="580"/>
      <c r="G81" s="581"/>
      <c r="H81" s="768"/>
      <c r="I81" s="771"/>
      <c r="J81" s="774"/>
      <c r="K81" s="777"/>
    </row>
    <row r="82" spans="3:11" x14ac:dyDescent="0.2">
      <c r="C82" s="567">
        <v>79</v>
      </c>
      <c r="D82" s="578"/>
      <c r="E82" s="579"/>
      <c r="F82" s="580"/>
      <c r="G82" s="581"/>
      <c r="H82" s="768"/>
      <c r="I82" s="771"/>
      <c r="J82" s="774"/>
      <c r="K82" s="777"/>
    </row>
    <row r="83" spans="3:11" x14ac:dyDescent="0.2">
      <c r="C83" s="567">
        <v>80</v>
      </c>
      <c r="D83" s="578"/>
      <c r="E83" s="579"/>
      <c r="F83" s="580"/>
      <c r="G83" s="581"/>
      <c r="H83" s="768"/>
      <c r="I83" s="771"/>
      <c r="J83" s="774"/>
      <c r="K83" s="777"/>
    </row>
    <row r="84" spans="3:11" x14ac:dyDescent="0.2">
      <c r="C84" s="567">
        <v>81</v>
      </c>
      <c r="D84" s="578"/>
      <c r="E84" s="579"/>
      <c r="F84" s="580"/>
      <c r="G84" s="581"/>
      <c r="H84" s="768"/>
      <c r="I84" s="771"/>
      <c r="J84" s="774"/>
      <c r="K84" s="777"/>
    </row>
    <row r="85" spans="3:11" x14ac:dyDescent="0.2">
      <c r="C85" s="567">
        <v>82</v>
      </c>
      <c r="D85" s="578"/>
      <c r="E85" s="579"/>
      <c r="F85" s="580"/>
      <c r="G85" s="581"/>
      <c r="H85" s="768"/>
      <c r="I85" s="771"/>
      <c r="J85" s="774"/>
      <c r="K85" s="777"/>
    </row>
    <row r="86" spans="3:11" x14ac:dyDescent="0.2">
      <c r="C86" s="567">
        <v>83</v>
      </c>
      <c r="D86" s="578"/>
      <c r="E86" s="579"/>
      <c r="F86" s="580"/>
      <c r="G86" s="581"/>
      <c r="H86" s="768"/>
      <c r="I86" s="771"/>
      <c r="J86" s="774"/>
      <c r="K86" s="777"/>
    </row>
    <row r="87" spans="3:11" x14ac:dyDescent="0.2">
      <c r="C87" s="567">
        <v>84</v>
      </c>
      <c r="D87" s="578"/>
      <c r="E87" s="579"/>
      <c r="F87" s="580"/>
      <c r="G87" s="581"/>
      <c r="H87" s="768"/>
      <c r="I87" s="771"/>
      <c r="J87" s="774"/>
      <c r="K87" s="777"/>
    </row>
    <row r="88" spans="3:11" x14ac:dyDescent="0.2">
      <c r="C88" s="567">
        <v>85</v>
      </c>
      <c r="D88" s="578"/>
      <c r="E88" s="579"/>
      <c r="F88" s="580"/>
      <c r="G88" s="581"/>
      <c r="H88" s="768"/>
      <c r="I88" s="771"/>
      <c r="J88" s="774"/>
      <c r="K88" s="777"/>
    </row>
    <row r="89" spans="3:11" x14ac:dyDescent="0.2">
      <c r="C89" s="567">
        <v>86</v>
      </c>
      <c r="D89" s="578"/>
      <c r="E89" s="579"/>
      <c r="F89" s="580"/>
      <c r="G89" s="581"/>
      <c r="H89" s="768"/>
      <c r="I89" s="771"/>
      <c r="J89" s="774"/>
      <c r="K89" s="777"/>
    </row>
    <row r="90" spans="3:11" x14ac:dyDescent="0.2">
      <c r="C90" s="567">
        <v>87</v>
      </c>
      <c r="D90" s="578"/>
      <c r="E90" s="579"/>
      <c r="F90" s="580"/>
      <c r="G90" s="581"/>
      <c r="H90" s="768"/>
      <c r="I90" s="771"/>
      <c r="J90" s="774"/>
      <c r="K90" s="777"/>
    </row>
    <row r="91" spans="3:11" x14ac:dyDescent="0.2">
      <c r="C91" s="567">
        <v>88</v>
      </c>
      <c r="D91" s="578"/>
      <c r="E91" s="579"/>
      <c r="F91" s="580"/>
      <c r="G91" s="581"/>
      <c r="H91" s="768"/>
      <c r="I91" s="771"/>
      <c r="J91" s="774"/>
      <c r="K91" s="777"/>
    </row>
    <row r="92" spans="3:11" x14ac:dyDescent="0.2">
      <c r="C92" s="567">
        <v>89</v>
      </c>
      <c r="D92" s="578"/>
      <c r="E92" s="579"/>
      <c r="F92" s="580"/>
      <c r="G92" s="581"/>
      <c r="H92" s="768"/>
      <c r="I92" s="771"/>
      <c r="J92" s="774"/>
      <c r="K92" s="777"/>
    </row>
    <row r="93" spans="3:11" x14ac:dyDescent="0.2">
      <c r="C93" s="567">
        <v>90</v>
      </c>
      <c r="D93" s="578"/>
      <c r="E93" s="579"/>
      <c r="F93" s="580"/>
      <c r="G93" s="581"/>
      <c r="H93" s="768"/>
      <c r="I93" s="771"/>
      <c r="J93" s="774"/>
      <c r="K93" s="777"/>
    </row>
    <row r="94" spans="3:11" x14ac:dyDescent="0.2">
      <c r="C94" s="567">
        <v>91</v>
      </c>
      <c r="D94" s="578"/>
      <c r="E94" s="579"/>
      <c r="F94" s="580"/>
      <c r="G94" s="581"/>
      <c r="H94" s="768"/>
      <c r="I94" s="771"/>
      <c r="J94" s="774"/>
      <c r="K94" s="777"/>
    </row>
    <row r="95" spans="3:11" x14ac:dyDescent="0.2">
      <c r="C95" s="567">
        <v>92</v>
      </c>
      <c r="D95" s="578"/>
      <c r="E95" s="579"/>
      <c r="F95" s="580"/>
      <c r="G95" s="581"/>
      <c r="H95" s="768"/>
      <c r="I95" s="771"/>
      <c r="J95" s="774"/>
      <c r="K95" s="777"/>
    </row>
    <row r="96" spans="3:11" x14ac:dyDescent="0.2">
      <c r="C96" s="567">
        <v>93</v>
      </c>
      <c r="D96" s="578"/>
      <c r="E96" s="579"/>
      <c r="F96" s="580"/>
      <c r="G96" s="581"/>
      <c r="H96" s="768"/>
      <c r="I96" s="771"/>
      <c r="J96" s="774"/>
      <c r="K96" s="777"/>
    </row>
    <row r="97" spans="3:11" x14ac:dyDescent="0.2">
      <c r="C97" s="567">
        <v>94</v>
      </c>
      <c r="D97" s="578"/>
      <c r="E97" s="579"/>
      <c r="F97" s="580"/>
      <c r="G97" s="581"/>
      <c r="H97" s="768"/>
      <c r="I97" s="771"/>
      <c r="J97" s="774"/>
      <c r="K97" s="777"/>
    </row>
    <row r="98" spans="3:11" x14ac:dyDescent="0.2">
      <c r="C98" s="567">
        <v>95</v>
      </c>
      <c r="D98" s="578"/>
      <c r="E98" s="579"/>
      <c r="F98" s="580"/>
      <c r="G98" s="581"/>
      <c r="H98" s="768"/>
      <c r="I98" s="771"/>
      <c r="J98" s="774"/>
      <c r="K98" s="777"/>
    </row>
    <row r="99" spans="3:11" x14ac:dyDescent="0.2">
      <c r="C99" s="567">
        <v>96</v>
      </c>
      <c r="D99" s="578"/>
      <c r="E99" s="579"/>
      <c r="F99" s="580"/>
      <c r="G99" s="581"/>
      <c r="H99" s="768"/>
      <c r="I99" s="771"/>
      <c r="J99" s="774"/>
      <c r="K99" s="777"/>
    </row>
    <row r="100" spans="3:11" x14ac:dyDescent="0.2">
      <c r="C100" s="567">
        <v>97</v>
      </c>
      <c r="D100" s="578"/>
      <c r="E100" s="579"/>
      <c r="F100" s="580"/>
      <c r="G100" s="581"/>
      <c r="H100" s="768"/>
      <c r="I100" s="771"/>
      <c r="J100" s="774"/>
      <c r="K100" s="777"/>
    </row>
    <row r="101" spans="3:11" x14ac:dyDescent="0.2">
      <c r="C101" s="567">
        <v>98</v>
      </c>
      <c r="D101" s="578"/>
      <c r="E101" s="579"/>
      <c r="F101" s="580"/>
      <c r="G101" s="581"/>
      <c r="H101" s="768"/>
      <c r="I101" s="771"/>
      <c r="J101" s="774"/>
      <c r="K101" s="777"/>
    </row>
    <row r="102" spans="3:11" x14ac:dyDescent="0.2">
      <c r="C102" s="567">
        <v>99</v>
      </c>
      <c r="D102" s="578"/>
      <c r="E102" s="579"/>
      <c r="F102" s="580"/>
      <c r="G102" s="581"/>
      <c r="H102" s="768"/>
      <c r="I102" s="771"/>
      <c r="J102" s="774"/>
      <c r="K102" s="777"/>
    </row>
    <row r="103" spans="3:11" x14ac:dyDescent="0.2">
      <c r="C103" s="567">
        <v>100</v>
      </c>
      <c r="D103" s="578"/>
      <c r="E103" s="579"/>
      <c r="F103" s="580"/>
      <c r="G103" s="581"/>
      <c r="H103" s="768"/>
      <c r="I103" s="771"/>
      <c r="J103" s="774"/>
      <c r="K103" s="777"/>
    </row>
    <row r="104" spans="3:11" x14ac:dyDescent="0.2">
      <c r="C104" s="567">
        <v>101</v>
      </c>
      <c r="D104" s="578"/>
      <c r="E104" s="579"/>
      <c r="F104" s="580"/>
      <c r="G104" s="581"/>
      <c r="H104" s="768"/>
      <c r="I104" s="771"/>
      <c r="J104" s="774"/>
      <c r="K104" s="777"/>
    </row>
    <row r="105" spans="3:11" x14ac:dyDescent="0.2">
      <c r="C105" s="567">
        <v>102</v>
      </c>
      <c r="D105" s="578"/>
      <c r="E105" s="579"/>
      <c r="F105" s="580"/>
      <c r="G105" s="581"/>
      <c r="H105" s="768"/>
      <c r="I105" s="771"/>
      <c r="J105" s="774"/>
      <c r="K105" s="777"/>
    </row>
    <row r="106" spans="3:11" x14ac:dyDescent="0.2">
      <c r="C106" s="567">
        <v>103</v>
      </c>
      <c r="D106" s="578"/>
      <c r="E106" s="579"/>
      <c r="F106" s="580"/>
      <c r="G106" s="581"/>
      <c r="H106" s="768"/>
      <c r="I106" s="771"/>
      <c r="J106" s="774"/>
      <c r="K106" s="777"/>
    </row>
    <row r="107" spans="3:11" x14ac:dyDescent="0.2">
      <c r="C107" s="567">
        <v>104</v>
      </c>
      <c r="D107" s="578"/>
      <c r="E107" s="579"/>
      <c r="F107" s="580"/>
      <c r="G107" s="581"/>
      <c r="H107" s="768"/>
      <c r="I107" s="771"/>
      <c r="J107" s="774"/>
      <c r="K107" s="777"/>
    </row>
    <row r="108" spans="3:11" x14ac:dyDescent="0.2">
      <c r="C108" s="567">
        <v>105</v>
      </c>
      <c r="D108" s="578"/>
      <c r="E108" s="579"/>
      <c r="F108" s="580"/>
      <c r="G108" s="581"/>
      <c r="H108" s="768"/>
      <c r="I108" s="771"/>
      <c r="J108" s="774"/>
      <c r="K108" s="777"/>
    </row>
    <row r="109" spans="3:11" x14ac:dyDescent="0.2">
      <c r="C109" s="567">
        <v>106</v>
      </c>
      <c r="D109" s="578"/>
      <c r="E109" s="579"/>
      <c r="F109" s="580"/>
      <c r="G109" s="581"/>
      <c r="H109" s="768"/>
      <c r="I109" s="771"/>
      <c r="J109" s="774"/>
      <c r="K109" s="777"/>
    </row>
    <row r="110" spans="3:11" x14ac:dyDescent="0.2">
      <c r="C110" s="567">
        <v>107</v>
      </c>
      <c r="D110" s="578"/>
      <c r="E110" s="579"/>
      <c r="F110" s="580"/>
      <c r="G110" s="581"/>
      <c r="H110" s="768"/>
      <c r="I110" s="771"/>
      <c r="J110" s="774"/>
      <c r="K110" s="777"/>
    </row>
    <row r="111" spans="3:11" x14ac:dyDescent="0.2">
      <c r="C111" s="567">
        <v>108</v>
      </c>
      <c r="D111" s="578"/>
      <c r="E111" s="579"/>
      <c r="F111" s="580"/>
      <c r="G111" s="581"/>
      <c r="H111" s="768"/>
      <c r="I111" s="771"/>
      <c r="J111" s="774"/>
      <c r="K111" s="777"/>
    </row>
    <row r="112" spans="3:11" x14ac:dyDescent="0.2">
      <c r="C112" s="567">
        <v>109</v>
      </c>
      <c r="D112" s="578"/>
      <c r="E112" s="579"/>
      <c r="F112" s="580"/>
      <c r="G112" s="581"/>
      <c r="H112" s="768"/>
      <c r="I112" s="771"/>
      <c r="J112" s="774"/>
      <c r="K112" s="777"/>
    </row>
    <row r="113" spans="3:11" x14ac:dyDescent="0.2">
      <c r="C113" s="567">
        <v>110</v>
      </c>
      <c r="D113" s="578"/>
      <c r="E113" s="579"/>
      <c r="F113" s="580"/>
      <c r="G113" s="581"/>
      <c r="H113" s="768"/>
      <c r="I113" s="771"/>
      <c r="J113" s="774"/>
      <c r="K113" s="777"/>
    </row>
    <row r="114" spans="3:11" x14ac:dyDescent="0.2">
      <c r="C114" s="567">
        <v>111</v>
      </c>
      <c r="D114" s="578"/>
      <c r="E114" s="579"/>
      <c r="F114" s="580"/>
      <c r="G114" s="581"/>
      <c r="H114" s="768"/>
      <c r="I114" s="771"/>
      <c r="J114" s="774"/>
      <c r="K114" s="777"/>
    </row>
    <row r="115" spans="3:11" x14ac:dyDescent="0.2">
      <c r="C115" s="567">
        <v>112</v>
      </c>
      <c r="D115" s="578"/>
      <c r="E115" s="579"/>
      <c r="F115" s="580"/>
      <c r="G115" s="581"/>
      <c r="H115" s="768"/>
      <c r="I115" s="771"/>
      <c r="J115" s="774"/>
      <c r="K115" s="777"/>
    </row>
    <row r="116" spans="3:11" x14ac:dyDescent="0.2">
      <c r="C116" s="567">
        <v>113</v>
      </c>
      <c r="D116" s="578"/>
      <c r="E116" s="579"/>
      <c r="F116" s="580"/>
      <c r="G116" s="581"/>
      <c r="H116" s="768"/>
      <c r="I116" s="771"/>
      <c r="J116" s="774"/>
      <c r="K116" s="777"/>
    </row>
    <row r="117" spans="3:11" x14ac:dyDescent="0.2">
      <c r="C117" s="567">
        <v>114</v>
      </c>
      <c r="D117" s="578"/>
      <c r="E117" s="579"/>
      <c r="F117" s="580"/>
      <c r="G117" s="581"/>
      <c r="H117" s="768"/>
      <c r="I117" s="771"/>
      <c r="J117" s="774"/>
      <c r="K117" s="777"/>
    </row>
    <row r="118" spans="3:11" x14ac:dyDescent="0.2">
      <c r="C118" s="567">
        <v>115</v>
      </c>
      <c r="D118" s="578"/>
      <c r="E118" s="579"/>
      <c r="F118" s="580"/>
      <c r="G118" s="581"/>
      <c r="H118" s="768"/>
      <c r="I118" s="771"/>
      <c r="J118" s="774"/>
      <c r="K118" s="777"/>
    </row>
    <row r="119" spans="3:11" x14ac:dyDescent="0.2">
      <c r="C119" s="567">
        <v>116</v>
      </c>
      <c r="D119" s="578"/>
      <c r="E119" s="579"/>
      <c r="F119" s="580"/>
      <c r="G119" s="581"/>
      <c r="H119" s="768"/>
      <c r="I119" s="771"/>
      <c r="J119" s="774"/>
      <c r="K119" s="777"/>
    </row>
    <row r="120" spans="3:11" x14ac:dyDescent="0.2">
      <c r="C120" s="567">
        <v>117</v>
      </c>
      <c r="D120" s="578"/>
      <c r="E120" s="579"/>
      <c r="F120" s="580"/>
      <c r="G120" s="581"/>
      <c r="H120" s="768"/>
      <c r="I120" s="771"/>
      <c r="J120" s="774"/>
      <c r="K120" s="777"/>
    </row>
    <row r="121" spans="3:11" x14ac:dyDescent="0.2">
      <c r="C121" s="567">
        <v>118</v>
      </c>
      <c r="D121" s="578"/>
      <c r="E121" s="579"/>
      <c r="F121" s="580"/>
      <c r="G121" s="581"/>
      <c r="H121" s="768"/>
      <c r="I121" s="771"/>
      <c r="J121" s="774"/>
      <c r="K121" s="777"/>
    </row>
    <row r="122" spans="3:11" x14ac:dyDescent="0.2">
      <c r="C122" s="567">
        <v>119</v>
      </c>
      <c r="D122" s="578"/>
      <c r="E122" s="579"/>
      <c r="F122" s="580"/>
      <c r="G122" s="581"/>
      <c r="H122" s="768"/>
      <c r="I122" s="771"/>
      <c r="J122" s="774"/>
      <c r="K122" s="777"/>
    </row>
    <row r="123" spans="3:11" x14ac:dyDescent="0.2">
      <c r="C123" s="567">
        <v>120</v>
      </c>
      <c r="D123" s="578"/>
      <c r="E123" s="579"/>
      <c r="F123" s="580"/>
      <c r="G123" s="581"/>
      <c r="H123" s="768"/>
      <c r="I123" s="771"/>
      <c r="J123" s="774"/>
      <c r="K123" s="777"/>
    </row>
    <row r="124" spans="3:11" x14ac:dyDescent="0.2">
      <c r="C124" s="567">
        <v>121</v>
      </c>
      <c r="D124" s="578"/>
      <c r="E124" s="579"/>
      <c r="F124" s="580"/>
      <c r="G124" s="581"/>
      <c r="H124" s="768"/>
      <c r="I124" s="771"/>
      <c r="J124" s="774"/>
      <c r="K124" s="777"/>
    </row>
    <row r="125" spans="3:11" x14ac:dyDescent="0.2">
      <c r="C125" s="567">
        <v>122</v>
      </c>
      <c r="D125" s="578"/>
      <c r="E125" s="579"/>
      <c r="F125" s="580"/>
      <c r="G125" s="581"/>
      <c r="H125" s="768"/>
      <c r="I125" s="771"/>
      <c r="J125" s="774"/>
      <c r="K125" s="777"/>
    </row>
    <row r="126" spans="3:11" x14ac:dyDescent="0.2">
      <c r="C126" s="567">
        <v>123</v>
      </c>
      <c r="D126" s="578"/>
      <c r="E126" s="579"/>
      <c r="F126" s="580"/>
      <c r="G126" s="581"/>
      <c r="H126" s="768"/>
      <c r="I126" s="771"/>
      <c r="J126" s="774"/>
      <c r="K126" s="777"/>
    </row>
    <row r="127" spans="3:11" x14ac:dyDescent="0.2">
      <c r="C127" s="567">
        <v>124</v>
      </c>
      <c r="D127" s="578"/>
      <c r="E127" s="579"/>
      <c r="F127" s="580"/>
      <c r="G127" s="581"/>
      <c r="H127" s="768"/>
      <c r="I127" s="771"/>
      <c r="J127" s="774"/>
      <c r="K127" s="777"/>
    </row>
    <row r="128" spans="3:11" x14ac:dyDescent="0.2">
      <c r="C128" s="567">
        <v>125</v>
      </c>
      <c r="D128" s="578"/>
      <c r="E128" s="579"/>
      <c r="F128" s="580"/>
      <c r="G128" s="581"/>
      <c r="H128" s="768"/>
      <c r="I128" s="771"/>
      <c r="J128" s="774"/>
      <c r="K128" s="777"/>
    </row>
    <row r="129" spans="3:11" x14ac:dyDescent="0.2">
      <c r="C129" s="567">
        <v>126</v>
      </c>
      <c r="D129" s="578"/>
      <c r="E129" s="579"/>
      <c r="F129" s="580"/>
      <c r="G129" s="581"/>
      <c r="H129" s="768"/>
      <c r="I129" s="771"/>
      <c r="J129" s="774"/>
      <c r="K129" s="777"/>
    </row>
    <row r="130" spans="3:11" x14ac:dyDescent="0.2">
      <c r="C130" s="567">
        <v>127</v>
      </c>
      <c r="D130" s="578"/>
      <c r="E130" s="579"/>
      <c r="F130" s="580"/>
      <c r="G130" s="581"/>
      <c r="H130" s="768"/>
      <c r="I130" s="771"/>
      <c r="J130" s="774"/>
      <c r="K130" s="777"/>
    </row>
    <row r="131" spans="3:11" x14ac:dyDescent="0.2">
      <c r="C131" s="567">
        <v>128</v>
      </c>
      <c r="D131" s="578"/>
      <c r="E131" s="579"/>
      <c r="F131" s="580"/>
      <c r="G131" s="581"/>
      <c r="H131" s="768"/>
      <c r="I131" s="771"/>
      <c r="J131" s="774"/>
      <c r="K131" s="777"/>
    </row>
    <row r="132" spans="3:11" x14ac:dyDescent="0.2">
      <c r="C132" s="567">
        <v>129</v>
      </c>
      <c r="D132" s="578"/>
      <c r="E132" s="579"/>
      <c r="F132" s="580"/>
      <c r="G132" s="581"/>
      <c r="H132" s="768"/>
      <c r="I132" s="771"/>
      <c r="J132" s="774"/>
      <c r="K132" s="777"/>
    </row>
    <row r="133" spans="3:11" x14ac:dyDescent="0.2">
      <c r="C133" s="567">
        <v>130</v>
      </c>
      <c r="D133" s="578"/>
      <c r="E133" s="579"/>
      <c r="F133" s="580"/>
      <c r="G133" s="581"/>
      <c r="H133" s="768"/>
      <c r="I133" s="771"/>
      <c r="J133" s="774"/>
      <c r="K133" s="777"/>
    </row>
    <row r="134" spans="3:11" x14ac:dyDescent="0.2">
      <c r="C134" s="567">
        <v>131</v>
      </c>
      <c r="D134" s="578"/>
      <c r="E134" s="579"/>
      <c r="F134" s="580"/>
      <c r="G134" s="581"/>
      <c r="H134" s="768"/>
      <c r="I134" s="771"/>
      <c r="J134" s="774"/>
      <c r="K134" s="777"/>
    </row>
    <row r="135" spans="3:11" x14ac:dyDescent="0.2">
      <c r="C135" s="567">
        <v>132</v>
      </c>
      <c r="D135" s="578"/>
      <c r="E135" s="579"/>
      <c r="F135" s="580"/>
      <c r="G135" s="581"/>
      <c r="H135" s="768"/>
      <c r="I135" s="771"/>
      <c r="J135" s="774"/>
      <c r="K135" s="777"/>
    </row>
    <row r="136" spans="3:11" x14ac:dyDescent="0.2">
      <c r="C136" s="567">
        <v>133</v>
      </c>
      <c r="D136" s="578"/>
      <c r="E136" s="579"/>
      <c r="F136" s="580"/>
      <c r="G136" s="581"/>
      <c r="H136" s="768"/>
      <c r="I136" s="771"/>
      <c r="J136" s="774"/>
      <c r="K136" s="777"/>
    </row>
    <row r="137" spans="3:11" x14ac:dyDescent="0.2">
      <c r="C137" s="567">
        <v>134</v>
      </c>
      <c r="D137" s="578"/>
      <c r="E137" s="579"/>
      <c r="F137" s="580"/>
      <c r="G137" s="581"/>
      <c r="H137" s="768"/>
      <c r="I137" s="771"/>
      <c r="J137" s="774"/>
      <c r="K137" s="777"/>
    </row>
    <row r="138" spans="3:11" x14ac:dyDescent="0.2">
      <c r="C138" s="567">
        <v>135</v>
      </c>
      <c r="D138" s="578"/>
      <c r="E138" s="579"/>
      <c r="F138" s="580"/>
      <c r="G138" s="581"/>
      <c r="H138" s="768"/>
      <c r="I138" s="771"/>
      <c r="J138" s="774"/>
      <c r="K138" s="777"/>
    </row>
    <row r="139" spans="3:11" x14ac:dyDescent="0.2">
      <c r="C139" s="567">
        <v>136</v>
      </c>
      <c r="D139" s="578"/>
      <c r="E139" s="579"/>
      <c r="F139" s="580"/>
      <c r="G139" s="581"/>
      <c r="H139" s="768"/>
      <c r="I139" s="771"/>
      <c r="J139" s="774"/>
      <c r="K139" s="777"/>
    </row>
    <row r="140" spans="3:11" x14ac:dyDescent="0.2">
      <c r="C140" s="567">
        <v>137</v>
      </c>
      <c r="D140" s="578"/>
      <c r="E140" s="579"/>
      <c r="F140" s="580"/>
      <c r="G140" s="581"/>
      <c r="H140" s="768"/>
      <c r="I140" s="771"/>
      <c r="J140" s="774"/>
      <c r="K140" s="777"/>
    </row>
    <row r="141" spans="3:11" x14ac:dyDescent="0.2">
      <c r="C141" s="567">
        <v>138</v>
      </c>
      <c r="D141" s="578"/>
      <c r="E141" s="579"/>
      <c r="F141" s="580"/>
      <c r="G141" s="581"/>
      <c r="H141" s="768"/>
      <c r="I141" s="771"/>
      <c r="J141" s="774"/>
      <c r="K141" s="777"/>
    </row>
    <row r="142" spans="3:11" x14ac:dyDescent="0.2">
      <c r="C142" s="567">
        <v>139</v>
      </c>
      <c r="D142" s="578"/>
      <c r="E142" s="579"/>
      <c r="F142" s="580"/>
      <c r="G142" s="581"/>
      <c r="H142" s="768"/>
      <c r="I142" s="771"/>
      <c r="J142" s="774"/>
      <c r="K142" s="777"/>
    </row>
    <row r="143" spans="3:11" x14ac:dyDescent="0.2">
      <c r="C143" s="567">
        <v>140</v>
      </c>
      <c r="D143" s="578"/>
      <c r="E143" s="579"/>
      <c r="F143" s="580"/>
      <c r="G143" s="581"/>
      <c r="H143" s="768"/>
      <c r="I143" s="771"/>
      <c r="J143" s="774"/>
      <c r="K143" s="777"/>
    </row>
    <row r="144" spans="3:11" x14ac:dyDescent="0.2">
      <c r="C144" s="567">
        <v>141</v>
      </c>
      <c r="D144" s="578"/>
      <c r="E144" s="579"/>
      <c r="F144" s="580"/>
      <c r="G144" s="581"/>
      <c r="H144" s="768"/>
      <c r="I144" s="771"/>
      <c r="J144" s="774"/>
      <c r="K144" s="777"/>
    </row>
    <row r="145" spans="3:11" x14ac:dyDescent="0.2">
      <c r="C145" s="567">
        <v>142</v>
      </c>
      <c r="D145" s="578"/>
      <c r="E145" s="579"/>
      <c r="F145" s="580"/>
      <c r="G145" s="581"/>
      <c r="H145" s="768"/>
      <c r="I145" s="771"/>
      <c r="J145" s="774"/>
      <c r="K145" s="777"/>
    </row>
    <row r="146" spans="3:11" x14ac:dyDescent="0.2">
      <c r="C146" s="567">
        <v>143</v>
      </c>
      <c r="D146" s="578"/>
      <c r="E146" s="579"/>
      <c r="F146" s="580"/>
      <c r="G146" s="581"/>
      <c r="H146" s="768"/>
      <c r="I146" s="771"/>
      <c r="J146" s="774"/>
      <c r="K146" s="777"/>
    </row>
    <row r="147" spans="3:11" x14ac:dyDescent="0.2">
      <c r="C147" s="567">
        <v>144</v>
      </c>
      <c r="D147" s="578"/>
      <c r="E147" s="579"/>
      <c r="F147" s="580"/>
      <c r="G147" s="581"/>
      <c r="H147" s="768"/>
      <c r="I147" s="771"/>
      <c r="J147" s="774"/>
      <c r="K147" s="777"/>
    </row>
    <row r="148" spans="3:11" x14ac:dyDescent="0.2">
      <c r="C148" s="567">
        <v>145</v>
      </c>
      <c r="D148" s="578"/>
      <c r="E148" s="579"/>
      <c r="F148" s="580"/>
      <c r="G148" s="581"/>
      <c r="H148" s="768"/>
      <c r="I148" s="771"/>
      <c r="J148" s="774"/>
      <c r="K148" s="777"/>
    </row>
    <row r="149" spans="3:11" x14ac:dyDescent="0.2">
      <c r="C149" s="567">
        <v>146</v>
      </c>
      <c r="D149" s="578"/>
      <c r="E149" s="579"/>
      <c r="F149" s="580"/>
      <c r="G149" s="581"/>
      <c r="H149" s="768"/>
      <c r="I149" s="771"/>
      <c r="J149" s="774"/>
      <c r="K149" s="777"/>
    </row>
    <row r="150" spans="3:11" x14ac:dyDescent="0.2">
      <c r="C150" s="567">
        <v>147</v>
      </c>
      <c r="D150" s="578"/>
      <c r="E150" s="579"/>
      <c r="F150" s="580"/>
      <c r="G150" s="581"/>
      <c r="H150" s="768"/>
      <c r="I150" s="771"/>
      <c r="J150" s="774"/>
      <c r="K150" s="777"/>
    </row>
    <row r="151" spans="3:11" x14ac:dyDescent="0.2">
      <c r="C151" s="567">
        <v>148</v>
      </c>
      <c r="D151" s="578"/>
      <c r="E151" s="579"/>
      <c r="F151" s="580"/>
      <c r="G151" s="581"/>
      <c r="H151" s="768"/>
      <c r="I151" s="771"/>
      <c r="J151" s="774"/>
      <c r="K151" s="777"/>
    </row>
    <row r="152" spans="3:11" x14ac:dyDescent="0.2">
      <c r="C152" s="567">
        <v>149</v>
      </c>
      <c r="D152" s="578"/>
      <c r="E152" s="579"/>
      <c r="F152" s="580"/>
      <c r="G152" s="581"/>
      <c r="H152" s="768"/>
      <c r="I152" s="771"/>
      <c r="J152" s="774"/>
      <c r="K152" s="777"/>
    </row>
    <row r="153" spans="3:11" x14ac:dyDescent="0.2">
      <c r="C153" s="567">
        <v>150</v>
      </c>
      <c r="D153" s="578"/>
      <c r="E153" s="579"/>
      <c r="F153" s="580"/>
      <c r="G153" s="581"/>
      <c r="H153" s="768"/>
      <c r="I153" s="771"/>
      <c r="J153" s="774"/>
      <c r="K153" s="777"/>
    </row>
    <row r="154" spans="3:11" x14ac:dyDescent="0.2">
      <c r="C154" s="567">
        <v>151</v>
      </c>
      <c r="D154" s="578"/>
      <c r="E154" s="579"/>
      <c r="F154" s="580"/>
      <c r="G154" s="581"/>
      <c r="H154" s="768"/>
      <c r="I154" s="771"/>
      <c r="J154" s="774"/>
      <c r="K154" s="777"/>
    </row>
    <row r="155" spans="3:11" x14ac:dyDescent="0.2">
      <c r="C155" s="567">
        <v>152</v>
      </c>
      <c r="D155" s="578"/>
      <c r="E155" s="579"/>
      <c r="F155" s="580"/>
      <c r="G155" s="581"/>
      <c r="H155" s="768"/>
      <c r="I155" s="771"/>
      <c r="J155" s="774"/>
      <c r="K155" s="777"/>
    </row>
    <row r="156" spans="3:11" x14ac:dyDescent="0.2">
      <c r="C156" s="567">
        <v>153</v>
      </c>
      <c r="D156" s="578"/>
      <c r="E156" s="579"/>
      <c r="F156" s="580"/>
      <c r="G156" s="581"/>
      <c r="H156" s="768"/>
      <c r="I156" s="771"/>
      <c r="J156" s="774"/>
      <c r="K156" s="777"/>
    </row>
    <row r="157" spans="3:11" x14ac:dyDescent="0.2">
      <c r="C157" s="567">
        <v>154</v>
      </c>
      <c r="D157" s="578"/>
      <c r="E157" s="579"/>
      <c r="F157" s="580"/>
      <c r="G157" s="581"/>
      <c r="H157" s="768"/>
      <c r="I157" s="771"/>
      <c r="J157" s="774"/>
      <c r="K157" s="777"/>
    </row>
    <row r="158" spans="3:11" x14ac:dyDescent="0.2">
      <c r="C158" s="567">
        <v>155</v>
      </c>
      <c r="D158" s="578"/>
      <c r="E158" s="579"/>
      <c r="F158" s="580"/>
      <c r="G158" s="581"/>
      <c r="H158" s="768"/>
      <c r="I158" s="771"/>
      <c r="J158" s="774"/>
      <c r="K158" s="777"/>
    </row>
    <row r="159" spans="3:11" x14ac:dyDescent="0.2">
      <c r="C159" s="567">
        <v>156</v>
      </c>
      <c r="D159" s="578"/>
      <c r="E159" s="579"/>
      <c r="F159" s="580"/>
      <c r="G159" s="581"/>
      <c r="H159" s="768"/>
      <c r="I159" s="771"/>
      <c r="J159" s="774"/>
      <c r="K159" s="777"/>
    </row>
    <row r="160" spans="3:11" x14ac:dyDescent="0.2">
      <c r="C160" s="567">
        <v>157</v>
      </c>
      <c r="D160" s="578"/>
      <c r="E160" s="579"/>
      <c r="F160" s="580"/>
      <c r="G160" s="581"/>
      <c r="H160" s="768"/>
      <c r="I160" s="771"/>
      <c r="J160" s="774"/>
      <c r="K160" s="777"/>
    </row>
    <row r="161" spans="3:11" x14ac:dyDescent="0.2">
      <c r="C161" s="567">
        <v>158</v>
      </c>
      <c r="D161" s="578"/>
      <c r="E161" s="579"/>
      <c r="F161" s="580"/>
      <c r="G161" s="581"/>
      <c r="H161" s="768"/>
      <c r="I161" s="771"/>
      <c r="J161" s="774"/>
      <c r="K161" s="777"/>
    </row>
    <row r="162" spans="3:11" x14ac:dyDescent="0.2">
      <c r="C162" s="567">
        <v>159</v>
      </c>
      <c r="D162" s="578"/>
      <c r="E162" s="579"/>
      <c r="F162" s="580"/>
      <c r="G162" s="581"/>
      <c r="H162" s="768"/>
      <c r="I162" s="771"/>
      <c r="J162" s="774"/>
      <c r="K162" s="777"/>
    </row>
    <row r="163" spans="3:11" x14ac:dyDescent="0.2">
      <c r="C163" s="567">
        <v>160</v>
      </c>
      <c r="D163" s="578"/>
      <c r="E163" s="579"/>
      <c r="F163" s="580"/>
      <c r="G163" s="581"/>
      <c r="H163" s="768"/>
      <c r="I163" s="771"/>
      <c r="J163" s="774"/>
      <c r="K163" s="777"/>
    </row>
    <row r="164" spans="3:11" x14ac:dyDescent="0.2">
      <c r="C164" s="567">
        <v>161</v>
      </c>
      <c r="D164" s="578"/>
      <c r="E164" s="579"/>
      <c r="F164" s="580"/>
      <c r="G164" s="581"/>
      <c r="H164" s="768"/>
      <c r="I164" s="771"/>
      <c r="J164" s="774"/>
      <c r="K164" s="777"/>
    </row>
    <row r="165" spans="3:11" x14ac:dyDescent="0.2">
      <c r="C165" s="567">
        <v>162</v>
      </c>
      <c r="D165" s="578"/>
      <c r="E165" s="579"/>
      <c r="F165" s="580"/>
      <c r="G165" s="581"/>
      <c r="H165" s="768"/>
      <c r="I165" s="771"/>
      <c r="J165" s="774"/>
      <c r="K165" s="777"/>
    </row>
    <row r="166" spans="3:11" x14ac:dyDescent="0.2">
      <c r="C166" s="567">
        <v>163</v>
      </c>
      <c r="D166" s="578"/>
      <c r="E166" s="579"/>
      <c r="F166" s="580"/>
      <c r="G166" s="581"/>
      <c r="H166" s="768"/>
      <c r="I166" s="771"/>
      <c r="J166" s="774"/>
      <c r="K166" s="777"/>
    </row>
    <row r="167" spans="3:11" x14ac:dyDescent="0.2">
      <c r="C167" s="567">
        <v>164</v>
      </c>
      <c r="D167" s="578"/>
      <c r="E167" s="579"/>
      <c r="F167" s="580"/>
      <c r="G167" s="581"/>
      <c r="H167" s="768"/>
      <c r="I167" s="771"/>
      <c r="J167" s="774"/>
      <c r="K167" s="777"/>
    </row>
    <row r="168" spans="3:11" x14ac:dyDescent="0.2">
      <c r="C168" s="567">
        <v>165</v>
      </c>
      <c r="D168" s="578"/>
      <c r="E168" s="579"/>
      <c r="F168" s="580"/>
      <c r="G168" s="581"/>
      <c r="H168" s="768"/>
      <c r="I168" s="771"/>
      <c r="J168" s="774"/>
      <c r="K168" s="777"/>
    </row>
    <row r="169" spans="3:11" x14ac:dyDescent="0.2">
      <c r="C169" s="567">
        <v>166</v>
      </c>
      <c r="D169" s="578"/>
      <c r="E169" s="579"/>
      <c r="F169" s="580"/>
      <c r="G169" s="581"/>
      <c r="H169" s="768"/>
      <c r="I169" s="771"/>
      <c r="J169" s="774"/>
      <c r="K169" s="777"/>
    </row>
    <row r="170" spans="3:11" x14ac:dyDescent="0.2">
      <c r="C170" s="567">
        <v>167</v>
      </c>
      <c r="D170" s="578"/>
      <c r="E170" s="579"/>
      <c r="F170" s="580"/>
      <c r="G170" s="581"/>
      <c r="H170" s="768"/>
      <c r="I170" s="771"/>
      <c r="J170" s="774"/>
      <c r="K170" s="777"/>
    </row>
    <row r="171" spans="3:11" x14ac:dyDescent="0.2">
      <c r="C171" s="567">
        <v>168</v>
      </c>
      <c r="D171" s="578"/>
      <c r="E171" s="579"/>
      <c r="F171" s="580"/>
      <c r="G171" s="581"/>
      <c r="H171" s="768"/>
      <c r="I171" s="771"/>
      <c r="J171" s="774"/>
      <c r="K171" s="777"/>
    </row>
    <row r="172" spans="3:11" x14ac:dyDescent="0.2">
      <c r="C172" s="567">
        <v>169</v>
      </c>
      <c r="D172" s="578"/>
      <c r="E172" s="579"/>
      <c r="F172" s="580"/>
      <c r="G172" s="581"/>
      <c r="H172" s="768"/>
      <c r="I172" s="771"/>
      <c r="J172" s="774"/>
      <c r="K172" s="777"/>
    </row>
    <row r="173" spans="3:11" x14ac:dyDescent="0.2">
      <c r="C173" s="567">
        <v>170</v>
      </c>
      <c r="D173" s="578"/>
      <c r="E173" s="579"/>
      <c r="F173" s="580"/>
      <c r="G173" s="581"/>
      <c r="H173" s="768"/>
      <c r="I173" s="771"/>
      <c r="J173" s="774"/>
      <c r="K173" s="777"/>
    </row>
    <row r="174" spans="3:11" x14ac:dyDescent="0.2">
      <c r="C174" s="567">
        <v>171</v>
      </c>
      <c r="D174" s="578"/>
      <c r="E174" s="579"/>
      <c r="F174" s="580"/>
      <c r="G174" s="581"/>
      <c r="H174" s="768"/>
      <c r="I174" s="771"/>
      <c r="J174" s="774"/>
      <c r="K174" s="777"/>
    </row>
    <row r="175" spans="3:11" x14ac:dyDescent="0.2">
      <c r="C175" s="567">
        <v>172</v>
      </c>
      <c r="D175" s="578"/>
      <c r="E175" s="579"/>
      <c r="F175" s="580"/>
      <c r="G175" s="581"/>
      <c r="H175" s="768"/>
      <c r="I175" s="771"/>
      <c r="J175" s="774"/>
      <c r="K175" s="777"/>
    </row>
    <row r="176" spans="3:11" x14ac:dyDescent="0.2">
      <c r="C176" s="567">
        <v>173</v>
      </c>
      <c r="D176" s="578"/>
      <c r="E176" s="579"/>
      <c r="F176" s="580"/>
      <c r="G176" s="581"/>
      <c r="H176" s="768"/>
      <c r="I176" s="771"/>
      <c r="J176" s="774"/>
      <c r="K176" s="777"/>
    </row>
    <row r="177" spans="3:11" x14ac:dyDescent="0.2">
      <c r="C177" s="567">
        <v>174</v>
      </c>
      <c r="D177" s="578"/>
      <c r="E177" s="579"/>
      <c r="F177" s="580"/>
      <c r="G177" s="581"/>
      <c r="H177" s="768"/>
      <c r="I177" s="771"/>
      <c r="J177" s="774"/>
      <c r="K177" s="777"/>
    </row>
    <row r="178" spans="3:11" x14ac:dyDescent="0.2">
      <c r="C178" s="567">
        <v>175</v>
      </c>
      <c r="D178" s="578"/>
      <c r="E178" s="579"/>
      <c r="F178" s="580"/>
      <c r="G178" s="581"/>
      <c r="H178" s="768"/>
      <c r="I178" s="771"/>
      <c r="J178" s="774"/>
      <c r="K178" s="777"/>
    </row>
    <row r="179" spans="3:11" x14ac:dyDescent="0.2">
      <c r="C179" s="567">
        <v>176</v>
      </c>
      <c r="D179" s="578"/>
      <c r="E179" s="579"/>
      <c r="F179" s="580"/>
      <c r="G179" s="581"/>
      <c r="H179" s="768"/>
      <c r="I179" s="771"/>
      <c r="J179" s="774"/>
      <c r="K179" s="777"/>
    </row>
    <row r="180" spans="3:11" x14ac:dyDescent="0.2">
      <c r="C180" s="567">
        <v>177</v>
      </c>
      <c r="D180" s="578"/>
      <c r="E180" s="579"/>
      <c r="F180" s="580"/>
      <c r="G180" s="581"/>
      <c r="H180" s="768"/>
      <c r="I180" s="771"/>
      <c r="J180" s="774"/>
      <c r="K180" s="777"/>
    </row>
    <row r="181" spans="3:11" x14ac:dyDescent="0.2">
      <c r="C181" s="567">
        <v>178</v>
      </c>
      <c r="D181" s="578"/>
      <c r="E181" s="579"/>
      <c r="F181" s="580"/>
      <c r="G181" s="581"/>
      <c r="H181" s="768"/>
      <c r="I181" s="771"/>
      <c r="J181" s="774"/>
      <c r="K181" s="777"/>
    </row>
    <row r="182" spans="3:11" x14ac:dyDescent="0.2">
      <c r="C182" s="567">
        <v>179</v>
      </c>
      <c r="D182" s="578"/>
      <c r="E182" s="579"/>
      <c r="F182" s="580"/>
      <c r="G182" s="581"/>
      <c r="H182" s="768"/>
      <c r="I182" s="771"/>
      <c r="J182" s="774"/>
      <c r="K182" s="777"/>
    </row>
    <row r="183" spans="3:11" x14ac:dyDescent="0.2">
      <c r="C183" s="567">
        <v>180</v>
      </c>
      <c r="D183" s="578"/>
      <c r="E183" s="579"/>
      <c r="F183" s="580"/>
      <c r="G183" s="581"/>
      <c r="H183" s="768"/>
      <c r="I183" s="771"/>
      <c r="J183" s="774"/>
      <c r="K183" s="777"/>
    </row>
    <row r="184" spans="3:11" x14ac:dyDescent="0.2">
      <c r="C184" s="567">
        <v>181</v>
      </c>
      <c r="D184" s="578"/>
      <c r="E184" s="579"/>
      <c r="F184" s="580"/>
      <c r="G184" s="581"/>
      <c r="H184" s="768"/>
      <c r="I184" s="771"/>
      <c r="J184" s="774"/>
      <c r="K184" s="777"/>
    </row>
    <row r="185" spans="3:11" x14ac:dyDescent="0.2">
      <c r="C185" s="567">
        <v>182</v>
      </c>
      <c r="D185" s="578"/>
      <c r="E185" s="579"/>
      <c r="F185" s="580"/>
      <c r="G185" s="581"/>
      <c r="H185" s="768"/>
      <c r="I185" s="771"/>
      <c r="J185" s="774"/>
      <c r="K185" s="777"/>
    </row>
    <row r="186" spans="3:11" x14ac:dyDescent="0.2">
      <c r="C186" s="567">
        <v>183</v>
      </c>
      <c r="D186" s="578"/>
      <c r="E186" s="579"/>
      <c r="F186" s="580"/>
      <c r="G186" s="581"/>
      <c r="H186" s="768"/>
      <c r="I186" s="771"/>
      <c r="J186" s="774"/>
      <c r="K186" s="777"/>
    </row>
    <row r="187" spans="3:11" x14ac:dyDescent="0.2">
      <c r="C187" s="567">
        <v>184</v>
      </c>
      <c r="D187" s="578"/>
      <c r="E187" s="579"/>
      <c r="F187" s="580"/>
      <c r="G187" s="581"/>
      <c r="H187" s="768"/>
      <c r="I187" s="771"/>
      <c r="J187" s="774"/>
      <c r="K187" s="777"/>
    </row>
    <row r="188" spans="3:11" x14ac:dyDescent="0.2">
      <c r="C188" s="567">
        <v>185</v>
      </c>
      <c r="D188" s="578"/>
      <c r="E188" s="579"/>
      <c r="F188" s="580"/>
      <c r="G188" s="581"/>
      <c r="H188" s="768"/>
      <c r="I188" s="771"/>
      <c r="J188" s="774"/>
      <c r="K188" s="777"/>
    </row>
    <row r="189" spans="3:11" x14ac:dyDescent="0.2">
      <c r="C189" s="567">
        <v>186</v>
      </c>
      <c r="D189" s="578"/>
      <c r="E189" s="579"/>
      <c r="F189" s="580"/>
      <c r="G189" s="581"/>
      <c r="H189" s="768"/>
      <c r="I189" s="771"/>
      <c r="J189" s="774"/>
      <c r="K189" s="777"/>
    </row>
    <row r="190" spans="3:11" x14ac:dyDescent="0.2">
      <c r="C190" s="567">
        <v>187</v>
      </c>
      <c r="D190" s="578"/>
      <c r="E190" s="579"/>
      <c r="F190" s="580"/>
      <c r="G190" s="581"/>
      <c r="H190" s="768"/>
      <c r="I190" s="771"/>
      <c r="J190" s="774"/>
      <c r="K190" s="777"/>
    </row>
    <row r="191" spans="3:11" x14ac:dyDescent="0.2">
      <c r="C191" s="567">
        <v>188</v>
      </c>
      <c r="D191" s="578"/>
      <c r="E191" s="579"/>
      <c r="F191" s="580"/>
      <c r="G191" s="581"/>
      <c r="H191" s="768"/>
      <c r="I191" s="771"/>
      <c r="J191" s="774"/>
      <c r="K191" s="777"/>
    </row>
    <row r="192" spans="3:11" x14ac:dyDescent="0.2">
      <c r="C192" s="567">
        <v>189</v>
      </c>
      <c r="D192" s="578"/>
      <c r="E192" s="579"/>
      <c r="F192" s="580"/>
      <c r="G192" s="581"/>
      <c r="H192" s="768"/>
      <c r="I192" s="771"/>
      <c r="J192" s="774"/>
      <c r="K192" s="777"/>
    </row>
    <row r="193" spans="3:11" x14ac:dyDescent="0.2">
      <c r="C193" s="567">
        <v>190</v>
      </c>
      <c r="D193" s="578"/>
      <c r="E193" s="579"/>
      <c r="F193" s="580"/>
      <c r="G193" s="581"/>
      <c r="H193" s="768"/>
      <c r="I193" s="771"/>
      <c r="J193" s="774"/>
      <c r="K193" s="777"/>
    </row>
    <row r="194" spans="3:11" x14ac:dyDescent="0.2">
      <c r="C194" s="567">
        <v>191</v>
      </c>
      <c r="D194" s="578"/>
      <c r="E194" s="579"/>
      <c r="F194" s="580"/>
      <c r="G194" s="581"/>
      <c r="H194" s="768"/>
      <c r="I194" s="771"/>
      <c r="J194" s="774"/>
      <c r="K194" s="777"/>
    </row>
    <row r="195" spans="3:11" x14ac:dyDescent="0.2">
      <c r="C195" s="567">
        <v>192</v>
      </c>
      <c r="D195" s="578"/>
      <c r="E195" s="579"/>
      <c r="F195" s="580"/>
      <c r="G195" s="581"/>
      <c r="H195" s="768"/>
      <c r="I195" s="771"/>
      <c r="J195" s="774"/>
      <c r="K195" s="777"/>
    </row>
    <row r="196" spans="3:11" x14ac:dyDescent="0.2">
      <c r="C196" s="567">
        <v>193</v>
      </c>
      <c r="D196" s="578"/>
      <c r="E196" s="579"/>
      <c r="F196" s="580"/>
      <c r="G196" s="581"/>
      <c r="H196" s="768"/>
      <c r="I196" s="771"/>
      <c r="J196" s="774"/>
      <c r="K196" s="777"/>
    </row>
    <row r="197" spans="3:11" x14ac:dyDescent="0.2">
      <c r="C197" s="567">
        <v>194</v>
      </c>
      <c r="D197" s="578"/>
      <c r="E197" s="579"/>
      <c r="F197" s="580"/>
      <c r="G197" s="581"/>
      <c r="H197" s="768"/>
      <c r="I197" s="771"/>
      <c r="J197" s="774"/>
      <c r="K197" s="777"/>
    </row>
    <row r="198" spans="3:11" x14ac:dyDescent="0.2">
      <c r="C198" s="567">
        <v>195</v>
      </c>
      <c r="D198" s="578"/>
      <c r="E198" s="579"/>
      <c r="F198" s="580"/>
      <c r="G198" s="581"/>
      <c r="H198" s="768"/>
      <c r="I198" s="771"/>
      <c r="J198" s="774"/>
      <c r="K198" s="777"/>
    </row>
    <row r="199" spans="3:11" x14ac:dyDescent="0.2">
      <c r="C199" s="567">
        <v>196</v>
      </c>
      <c r="D199" s="578"/>
      <c r="E199" s="579"/>
      <c r="F199" s="580"/>
      <c r="G199" s="581"/>
      <c r="H199" s="768"/>
      <c r="I199" s="771"/>
      <c r="J199" s="774"/>
      <c r="K199" s="777"/>
    </row>
    <row r="200" spans="3:11" x14ac:dyDescent="0.2">
      <c r="C200" s="567">
        <v>197</v>
      </c>
      <c r="D200" s="578"/>
      <c r="E200" s="579"/>
      <c r="F200" s="580"/>
      <c r="G200" s="581"/>
      <c r="H200" s="768"/>
      <c r="I200" s="771"/>
      <c r="J200" s="774"/>
      <c r="K200" s="777"/>
    </row>
    <row r="201" spans="3:11" x14ac:dyDescent="0.2">
      <c r="C201" s="567">
        <v>198</v>
      </c>
      <c r="D201" s="578"/>
      <c r="E201" s="579"/>
      <c r="F201" s="580"/>
      <c r="G201" s="581"/>
      <c r="H201" s="768"/>
      <c r="I201" s="771"/>
      <c r="J201" s="774"/>
      <c r="K201" s="777"/>
    </row>
    <row r="202" spans="3:11" x14ac:dyDescent="0.2">
      <c r="C202" s="567">
        <v>199</v>
      </c>
      <c r="D202" s="578"/>
      <c r="E202" s="579"/>
      <c r="F202" s="580"/>
      <c r="G202" s="581"/>
      <c r="H202" s="768"/>
      <c r="I202" s="771"/>
      <c r="J202" s="774"/>
      <c r="K202" s="777"/>
    </row>
    <row r="203" spans="3:11" x14ac:dyDescent="0.2">
      <c r="C203" s="567">
        <v>200</v>
      </c>
      <c r="D203" s="578"/>
      <c r="E203" s="579"/>
      <c r="F203" s="580"/>
      <c r="G203" s="581"/>
      <c r="H203" s="768"/>
      <c r="I203" s="771"/>
      <c r="J203" s="774"/>
      <c r="K203" s="777"/>
    </row>
    <row r="204" spans="3:11" x14ac:dyDescent="0.2">
      <c r="C204" s="567">
        <v>201</v>
      </c>
      <c r="D204" s="578"/>
      <c r="E204" s="579"/>
      <c r="F204" s="580"/>
      <c r="G204" s="581"/>
      <c r="H204" s="768"/>
      <c r="I204" s="771"/>
      <c r="J204" s="774"/>
      <c r="K204" s="777"/>
    </row>
    <row r="205" spans="3:11" x14ac:dyDescent="0.2">
      <c r="C205" s="567">
        <v>202</v>
      </c>
      <c r="D205" s="578"/>
      <c r="E205" s="579"/>
      <c r="F205" s="580"/>
      <c r="G205" s="581"/>
      <c r="H205" s="768"/>
      <c r="I205" s="771"/>
      <c r="J205" s="774"/>
      <c r="K205" s="777"/>
    </row>
    <row r="206" spans="3:11" x14ac:dyDescent="0.2">
      <c r="C206" s="567">
        <v>203</v>
      </c>
      <c r="D206" s="578"/>
      <c r="E206" s="579"/>
      <c r="F206" s="580"/>
      <c r="G206" s="581"/>
      <c r="H206" s="768"/>
      <c r="I206" s="771"/>
      <c r="J206" s="774"/>
      <c r="K206" s="777"/>
    </row>
    <row r="207" spans="3:11" x14ac:dyDescent="0.2">
      <c r="C207" s="567">
        <v>204</v>
      </c>
      <c r="D207" s="578"/>
      <c r="E207" s="579"/>
      <c r="F207" s="580"/>
      <c r="G207" s="581"/>
      <c r="H207" s="768"/>
      <c r="I207" s="771"/>
      <c r="J207" s="774"/>
      <c r="K207" s="777"/>
    </row>
    <row r="208" spans="3:11" x14ac:dyDescent="0.2">
      <c r="C208" s="567">
        <v>205</v>
      </c>
      <c r="D208" s="578"/>
      <c r="E208" s="579"/>
      <c r="F208" s="580"/>
      <c r="G208" s="581"/>
      <c r="H208" s="768"/>
      <c r="I208" s="771"/>
      <c r="J208" s="774"/>
      <c r="K208" s="777"/>
    </row>
    <row r="209" spans="3:11" x14ac:dyDescent="0.2">
      <c r="C209" s="567">
        <v>206</v>
      </c>
      <c r="D209" s="578"/>
      <c r="E209" s="579"/>
      <c r="F209" s="580"/>
      <c r="G209" s="581"/>
      <c r="H209" s="768"/>
      <c r="I209" s="771"/>
      <c r="J209" s="774"/>
      <c r="K209" s="777"/>
    </row>
    <row r="210" spans="3:11" x14ac:dyDescent="0.2">
      <c r="C210" s="567">
        <v>207</v>
      </c>
      <c r="D210" s="578"/>
      <c r="E210" s="579"/>
      <c r="F210" s="580"/>
      <c r="G210" s="581"/>
      <c r="H210" s="768"/>
      <c r="I210" s="771"/>
      <c r="J210" s="774"/>
      <c r="K210" s="777"/>
    </row>
    <row r="211" spans="3:11" x14ac:dyDescent="0.2">
      <c r="C211" s="567">
        <v>208</v>
      </c>
      <c r="D211" s="578"/>
      <c r="E211" s="579"/>
      <c r="F211" s="580"/>
      <c r="G211" s="581"/>
      <c r="H211" s="768"/>
      <c r="I211" s="771"/>
      <c r="J211" s="774"/>
      <c r="K211" s="777"/>
    </row>
    <row r="212" spans="3:11" x14ac:dyDescent="0.2">
      <c r="C212" s="567">
        <v>209</v>
      </c>
      <c r="D212" s="578"/>
      <c r="E212" s="579"/>
      <c r="F212" s="580"/>
      <c r="G212" s="581"/>
      <c r="H212" s="768"/>
      <c r="I212" s="771"/>
      <c r="J212" s="774"/>
      <c r="K212" s="777"/>
    </row>
    <row r="213" spans="3:11" x14ac:dyDescent="0.2">
      <c r="C213" s="567">
        <v>210</v>
      </c>
      <c r="D213" s="578"/>
      <c r="E213" s="579"/>
      <c r="F213" s="580"/>
      <c r="G213" s="581"/>
      <c r="H213" s="768"/>
      <c r="I213" s="771"/>
      <c r="J213" s="774"/>
      <c r="K213" s="777"/>
    </row>
    <row r="214" spans="3:11" x14ac:dyDescent="0.2">
      <c r="C214" s="567">
        <v>211</v>
      </c>
      <c r="D214" s="578"/>
      <c r="E214" s="579"/>
      <c r="F214" s="580"/>
      <c r="G214" s="581"/>
      <c r="H214" s="768"/>
      <c r="I214" s="771"/>
      <c r="J214" s="774"/>
      <c r="K214" s="777"/>
    </row>
    <row r="215" spans="3:11" x14ac:dyDescent="0.2">
      <c r="C215" s="567">
        <v>212</v>
      </c>
      <c r="D215" s="578"/>
      <c r="E215" s="579"/>
      <c r="F215" s="580"/>
      <c r="G215" s="581"/>
      <c r="H215" s="768"/>
      <c r="I215" s="771"/>
      <c r="J215" s="774"/>
      <c r="K215" s="777"/>
    </row>
    <row r="216" spans="3:11" x14ac:dyDescent="0.2">
      <c r="C216" s="567">
        <v>213</v>
      </c>
      <c r="D216" s="578"/>
      <c r="E216" s="579"/>
      <c r="F216" s="580"/>
      <c r="G216" s="581"/>
      <c r="H216" s="768"/>
      <c r="I216" s="771"/>
      <c r="J216" s="774"/>
      <c r="K216" s="777"/>
    </row>
    <row r="217" spans="3:11" x14ac:dyDescent="0.2">
      <c r="C217" s="567">
        <v>214</v>
      </c>
      <c r="D217" s="578"/>
      <c r="E217" s="579"/>
      <c r="F217" s="580"/>
      <c r="G217" s="581"/>
      <c r="H217" s="768"/>
      <c r="I217" s="771"/>
      <c r="J217" s="774"/>
      <c r="K217" s="777"/>
    </row>
    <row r="218" spans="3:11" x14ac:dyDescent="0.2">
      <c r="C218" s="567">
        <v>215</v>
      </c>
      <c r="D218" s="578"/>
      <c r="E218" s="579"/>
      <c r="F218" s="580"/>
      <c r="G218" s="581"/>
      <c r="H218" s="768"/>
      <c r="I218" s="771"/>
      <c r="J218" s="774"/>
      <c r="K218" s="777"/>
    </row>
    <row r="219" spans="3:11" x14ac:dyDescent="0.2">
      <c r="C219" s="567">
        <v>216</v>
      </c>
      <c r="D219" s="578"/>
      <c r="E219" s="579"/>
      <c r="F219" s="580"/>
      <c r="G219" s="581"/>
      <c r="H219" s="768"/>
      <c r="I219" s="771"/>
      <c r="J219" s="774"/>
      <c r="K219" s="777"/>
    </row>
    <row r="220" spans="3:11" x14ac:dyDescent="0.2">
      <c r="C220" s="567">
        <v>217</v>
      </c>
      <c r="D220" s="578"/>
      <c r="E220" s="579"/>
      <c r="F220" s="580"/>
      <c r="G220" s="581"/>
      <c r="H220" s="768"/>
      <c r="I220" s="771"/>
      <c r="J220" s="774"/>
      <c r="K220" s="777"/>
    </row>
    <row r="221" spans="3:11" x14ac:dyDescent="0.2">
      <c r="C221" s="567">
        <v>218</v>
      </c>
      <c r="D221" s="578"/>
      <c r="E221" s="579"/>
      <c r="F221" s="580"/>
      <c r="G221" s="581"/>
      <c r="H221" s="768"/>
      <c r="I221" s="771"/>
      <c r="J221" s="774"/>
      <c r="K221" s="777"/>
    </row>
    <row r="222" spans="3:11" x14ac:dyDescent="0.2">
      <c r="C222" s="567">
        <v>219</v>
      </c>
      <c r="D222" s="578"/>
      <c r="E222" s="579"/>
      <c r="F222" s="580"/>
      <c r="G222" s="581"/>
      <c r="H222" s="768"/>
      <c r="I222" s="771"/>
      <c r="J222" s="774"/>
      <c r="K222" s="777"/>
    </row>
    <row r="223" spans="3:11" x14ac:dyDescent="0.2">
      <c r="C223" s="567">
        <v>220</v>
      </c>
      <c r="D223" s="578"/>
      <c r="E223" s="579"/>
      <c r="F223" s="580"/>
      <c r="G223" s="581"/>
      <c r="H223" s="768"/>
      <c r="I223" s="771"/>
      <c r="J223" s="774"/>
      <c r="K223" s="777"/>
    </row>
    <row r="224" spans="3:11" x14ac:dyDescent="0.2">
      <c r="C224" s="567">
        <v>221</v>
      </c>
      <c r="D224" s="578"/>
      <c r="E224" s="579"/>
      <c r="F224" s="580"/>
      <c r="G224" s="581"/>
      <c r="H224" s="768"/>
      <c r="I224" s="771"/>
      <c r="J224" s="774"/>
      <c r="K224" s="777"/>
    </row>
    <row r="225" spans="3:11" x14ac:dyDescent="0.2">
      <c r="C225" s="567">
        <v>222</v>
      </c>
      <c r="D225" s="578"/>
      <c r="E225" s="579"/>
      <c r="F225" s="580"/>
      <c r="G225" s="581"/>
      <c r="H225" s="768"/>
      <c r="I225" s="771"/>
      <c r="J225" s="774"/>
      <c r="K225" s="777"/>
    </row>
    <row r="226" spans="3:11" x14ac:dyDescent="0.2">
      <c r="C226" s="567">
        <v>223</v>
      </c>
      <c r="D226" s="578"/>
      <c r="E226" s="579"/>
      <c r="F226" s="580"/>
      <c r="G226" s="581"/>
      <c r="H226" s="768"/>
      <c r="I226" s="771"/>
      <c r="J226" s="774"/>
      <c r="K226" s="777"/>
    </row>
    <row r="227" spans="3:11" x14ac:dyDescent="0.2">
      <c r="C227" s="567">
        <v>224</v>
      </c>
      <c r="D227" s="578"/>
      <c r="E227" s="579"/>
      <c r="F227" s="580"/>
      <c r="G227" s="581"/>
      <c r="H227" s="768"/>
      <c r="I227" s="771"/>
      <c r="J227" s="774"/>
      <c r="K227" s="777"/>
    </row>
    <row r="228" spans="3:11" x14ac:dyDescent="0.2">
      <c r="C228" s="567">
        <v>225</v>
      </c>
      <c r="D228" s="578"/>
      <c r="E228" s="579"/>
      <c r="F228" s="580"/>
      <c r="G228" s="581"/>
      <c r="H228" s="768"/>
      <c r="I228" s="771"/>
      <c r="J228" s="774"/>
      <c r="K228" s="777"/>
    </row>
    <row r="229" spans="3:11" x14ac:dyDescent="0.2">
      <c r="C229" s="567">
        <v>226</v>
      </c>
      <c r="D229" s="578"/>
      <c r="E229" s="579"/>
      <c r="F229" s="580"/>
      <c r="G229" s="581"/>
      <c r="H229" s="768"/>
      <c r="I229" s="771"/>
      <c r="J229" s="774"/>
      <c r="K229" s="777"/>
    </row>
    <row r="230" spans="3:11" x14ac:dyDescent="0.2">
      <c r="C230" s="567">
        <v>227</v>
      </c>
      <c r="D230" s="578"/>
      <c r="E230" s="579"/>
      <c r="F230" s="580"/>
      <c r="G230" s="581"/>
      <c r="H230" s="768"/>
      <c r="I230" s="771"/>
      <c r="J230" s="774"/>
      <c r="K230" s="777"/>
    </row>
    <row r="231" spans="3:11" x14ac:dyDescent="0.2">
      <c r="C231" s="567">
        <v>228</v>
      </c>
      <c r="D231" s="578"/>
      <c r="E231" s="579"/>
      <c r="F231" s="580"/>
      <c r="G231" s="581"/>
      <c r="H231" s="768"/>
      <c r="I231" s="771"/>
      <c r="J231" s="774"/>
      <c r="K231" s="777"/>
    </row>
    <row r="232" spans="3:11" x14ac:dyDescent="0.2">
      <c r="C232" s="567">
        <v>229</v>
      </c>
      <c r="D232" s="578"/>
      <c r="E232" s="579"/>
      <c r="F232" s="580"/>
      <c r="G232" s="581"/>
      <c r="H232" s="768"/>
      <c r="I232" s="771"/>
      <c r="J232" s="774"/>
      <c r="K232" s="777"/>
    </row>
    <row r="233" spans="3:11" x14ac:dyDescent="0.2">
      <c r="C233" s="567">
        <v>230</v>
      </c>
      <c r="D233" s="578"/>
      <c r="E233" s="579"/>
      <c r="F233" s="580"/>
      <c r="G233" s="581"/>
      <c r="H233" s="768"/>
      <c r="I233" s="771"/>
      <c r="J233" s="774"/>
      <c r="K233" s="777"/>
    </row>
    <row r="234" spans="3:11" x14ac:dyDescent="0.2">
      <c r="C234" s="567">
        <v>231</v>
      </c>
      <c r="D234" s="578"/>
      <c r="E234" s="579"/>
      <c r="F234" s="580"/>
      <c r="G234" s="581"/>
      <c r="H234" s="768"/>
      <c r="I234" s="771"/>
      <c r="J234" s="774"/>
      <c r="K234" s="777"/>
    </row>
    <row r="235" spans="3:11" x14ac:dyDescent="0.2">
      <c r="C235" s="567">
        <v>232</v>
      </c>
      <c r="D235" s="578"/>
      <c r="E235" s="579"/>
      <c r="F235" s="580"/>
      <c r="G235" s="581"/>
      <c r="H235" s="768"/>
      <c r="I235" s="771"/>
      <c r="J235" s="774"/>
      <c r="K235" s="777"/>
    </row>
    <row r="236" spans="3:11" x14ac:dyDescent="0.2">
      <c r="C236" s="567">
        <v>233</v>
      </c>
      <c r="D236" s="578"/>
      <c r="E236" s="579"/>
      <c r="F236" s="580"/>
      <c r="G236" s="581"/>
      <c r="H236" s="768"/>
      <c r="I236" s="771"/>
      <c r="J236" s="774"/>
      <c r="K236" s="777"/>
    </row>
    <row r="237" spans="3:11" x14ac:dyDescent="0.2">
      <c r="C237" s="567">
        <v>234</v>
      </c>
      <c r="D237" s="578"/>
      <c r="E237" s="579"/>
      <c r="F237" s="580"/>
      <c r="G237" s="581"/>
      <c r="H237" s="768"/>
      <c r="I237" s="771"/>
      <c r="J237" s="774"/>
      <c r="K237" s="777"/>
    </row>
    <row r="238" spans="3:11" x14ac:dyDescent="0.2">
      <c r="C238" s="567">
        <v>235</v>
      </c>
      <c r="D238" s="578"/>
      <c r="E238" s="579"/>
      <c r="F238" s="580"/>
      <c r="G238" s="581"/>
      <c r="H238" s="768"/>
      <c r="I238" s="771"/>
      <c r="J238" s="774"/>
      <c r="K238" s="777"/>
    </row>
    <row r="239" spans="3:11" x14ac:dyDescent="0.2">
      <c r="C239" s="567">
        <v>236</v>
      </c>
      <c r="D239" s="578"/>
      <c r="E239" s="579"/>
      <c r="F239" s="580"/>
      <c r="G239" s="581"/>
      <c r="H239" s="768"/>
      <c r="I239" s="771"/>
      <c r="J239" s="774"/>
      <c r="K239" s="777"/>
    </row>
    <row r="240" spans="3:11" x14ac:dyDescent="0.2">
      <c r="C240" s="567">
        <v>237</v>
      </c>
      <c r="D240" s="578"/>
      <c r="E240" s="579"/>
      <c r="F240" s="580"/>
      <c r="G240" s="581"/>
      <c r="H240" s="768"/>
      <c r="I240" s="771"/>
      <c r="J240" s="774"/>
      <c r="K240" s="777"/>
    </row>
    <row r="241" spans="3:11" x14ac:dyDescent="0.2">
      <c r="C241" s="567">
        <v>238</v>
      </c>
      <c r="D241" s="578"/>
      <c r="E241" s="579"/>
      <c r="F241" s="580"/>
      <c r="G241" s="581"/>
      <c r="H241" s="768"/>
      <c r="I241" s="771"/>
      <c r="J241" s="774"/>
      <c r="K241" s="777"/>
    </row>
    <row r="242" spans="3:11" x14ac:dyDescent="0.2">
      <c r="C242" s="567">
        <v>239</v>
      </c>
      <c r="D242" s="578"/>
      <c r="E242" s="579"/>
      <c r="F242" s="580"/>
      <c r="G242" s="581"/>
      <c r="H242" s="768"/>
      <c r="I242" s="771"/>
      <c r="J242" s="774"/>
      <c r="K242" s="777"/>
    </row>
    <row r="243" spans="3:11" x14ac:dyDescent="0.2">
      <c r="C243" s="567">
        <v>240</v>
      </c>
      <c r="D243" s="578"/>
      <c r="E243" s="579"/>
      <c r="F243" s="580"/>
      <c r="G243" s="581"/>
      <c r="H243" s="768"/>
      <c r="I243" s="771"/>
      <c r="J243" s="774"/>
      <c r="K243" s="777"/>
    </row>
    <row r="244" spans="3:11" x14ac:dyDescent="0.2">
      <c r="C244" s="567">
        <v>241</v>
      </c>
      <c r="D244" s="578"/>
      <c r="E244" s="579"/>
      <c r="F244" s="580"/>
      <c r="G244" s="581"/>
      <c r="H244" s="768"/>
      <c r="I244" s="771"/>
      <c r="J244" s="774"/>
      <c r="K244" s="777"/>
    </row>
    <row r="245" spans="3:11" x14ac:dyDescent="0.2">
      <c r="C245" s="567">
        <v>242</v>
      </c>
      <c r="D245" s="578"/>
      <c r="E245" s="579"/>
      <c r="F245" s="580"/>
      <c r="G245" s="581"/>
      <c r="H245" s="768"/>
      <c r="I245" s="771"/>
      <c r="J245" s="774"/>
      <c r="K245" s="777"/>
    </row>
    <row r="246" spans="3:11" x14ac:dyDescent="0.2">
      <c r="C246" s="567">
        <v>243</v>
      </c>
      <c r="D246" s="578"/>
      <c r="E246" s="579"/>
      <c r="F246" s="580"/>
      <c r="G246" s="581"/>
      <c r="H246" s="768"/>
      <c r="I246" s="771"/>
      <c r="J246" s="774"/>
      <c r="K246" s="777"/>
    </row>
    <row r="247" spans="3:11" x14ac:dyDescent="0.2">
      <c r="C247" s="567">
        <v>244</v>
      </c>
      <c r="D247" s="578"/>
      <c r="E247" s="579"/>
      <c r="F247" s="580"/>
      <c r="G247" s="581"/>
      <c r="H247" s="768"/>
      <c r="I247" s="771"/>
      <c r="J247" s="774"/>
      <c r="K247" s="777"/>
    </row>
    <row r="248" spans="3:11" x14ac:dyDescent="0.2">
      <c r="C248" s="567">
        <v>245</v>
      </c>
      <c r="D248" s="578"/>
      <c r="E248" s="579"/>
      <c r="F248" s="580"/>
      <c r="G248" s="581"/>
      <c r="H248" s="768"/>
      <c r="I248" s="771"/>
      <c r="J248" s="774"/>
      <c r="K248" s="777"/>
    </row>
    <row r="249" spans="3:11" x14ac:dyDescent="0.2">
      <c r="C249" s="567">
        <v>246</v>
      </c>
      <c r="D249" s="578"/>
      <c r="E249" s="579"/>
      <c r="F249" s="580"/>
      <c r="G249" s="581"/>
      <c r="H249" s="768"/>
      <c r="I249" s="771"/>
      <c r="J249" s="774"/>
      <c r="K249" s="777"/>
    </row>
    <row r="250" spans="3:11" x14ac:dyDescent="0.2">
      <c r="C250" s="567">
        <v>247</v>
      </c>
      <c r="D250" s="578"/>
      <c r="E250" s="579"/>
      <c r="F250" s="580"/>
      <c r="G250" s="581"/>
      <c r="H250" s="768"/>
      <c r="I250" s="771"/>
      <c r="J250" s="774"/>
      <c r="K250" s="777"/>
    </row>
    <row r="251" spans="3:11" x14ac:dyDescent="0.2">
      <c r="C251" s="567">
        <v>248</v>
      </c>
      <c r="D251" s="578"/>
      <c r="E251" s="579"/>
      <c r="F251" s="580"/>
      <c r="G251" s="581"/>
      <c r="H251" s="768"/>
      <c r="I251" s="771"/>
      <c r="J251" s="774"/>
      <c r="K251" s="777"/>
    </row>
    <row r="252" spans="3:11" x14ac:dyDescent="0.2">
      <c r="C252" s="567">
        <v>249</v>
      </c>
      <c r="D252" s="578"/>
      <c r="E252" s="579"/>
      <c r="F252" s="580"/>
      <c r="G252" s="581"/>
      <c r="H252" s="768"/>
      <c r="I252" s="771"/>
      <c r="J252" s="774"/>
      <c r="K252" s="777"/>
    </row>
    <row r="253" spans="3:11" x14ac:dyDescent="0.2">
      <c r="C253" s="567">
        <v>250</v>
      </c>
      <c r="D253" s="578"/>
      <c r="E253" s="579"/>
      <c r="F253" s="580"/>
      <c r="G253" s="581"/>
      <c r="H253" s="768"/>
      <c r="I253" s="771"/>
      <c r="J253" s="774"/>
      <c r="K253" s="777"/>
    </row>
    <row r="254" spans="3:11" x14ac:dyDescent="0.2">
      <c r="C254" s="567">
        <v>251</v>
      </c>
      <c r="D254" s="578"/>
      <c r="E254" s="579"/>
      <c r="F254" s="580"/>
      <c r="G254" s="581"/>
      <c r="H254" s="768"/>
      <c r="I254" s="771"/>
      <c r="J254" s="774"/>
      <c r="K254" s="777"/>
    </row>
    <row r="255" spans="3:11" x14ac:dyDescent="0.2">
      <c r="C255" s="567">
        <v>252</v>
      </c>
      <c r="D255" s="578"/>
      <c r="E255" s="579"/>
      <c r="F255" s="580"/>
      <c r="G255" s="581"/>
      <c r="H255" s="768"/>
      <c r="I255" s="771"/>
      <c r="J255" s="774"/>
      <c r="K255" s="777"/>
    </row>
    <row r="256" spans="3:11" x14ac:dyDescent="0.2">
      <c r="C256" s="567">
        <v>253</v>
      </c>
      <c r="D256" s="578"/>
      <c r="E256" s="579"/>
      <c r="F256" s="580"/>
      <c r="G256" s="581"/>
      <c r="H256" s="768"/>
      <c r="I256" s="771"/>
      <c r="J256" s="774"/>
      <c r="K256" s="777"/>
    </row>
    <row r="257" spans="3:11" x14ac:dyDescent="0.2">
      <c r="C257" s="567">
        <v>254</v>
      </c>
      <c r="D257" s="578"/>
      <c r="E257" s="579"/>
      <c r="F257" s="580"/>
      <c r="G257" s="581"/>
      <c r="H257" s="768"/>
      <c r="I257" s="771"/>
      <c r="J257" s="774"/>
      <c r="K257" s="777"/>
    </row>
    <row r="258" spans="3:11" x14ac:dyDescent="0.2">
      <c r="C258" s="567">
        <v>255</v>
      </c>
      <c r="D258" s="578"/>
      <c r="E258" s="579"/>
      <c r="F258" s="580"/>
      <c r="G258" s="581"/>
      <c r="H258" s="768"/>
      <c r="I258" s="771"/>
      <c r="J258" s="774"/>
      <c r="K258" s="777"/>
    </row>
    <row r="259" spans="3:11" x14ac:dyDescent="0.2">
      <c r="C259" s="567">
        <v>256</v>
      </c>
      <c r="D259" s="578"/>
      <c r="E259" s="579"/>
      <c r="F259" s="580"/>
      <c r="G259" s="581"/>
      <c r="H259" s="768"/>
      <c r="I259" s="771"/>
      <c r="J259" s="774"/>
      <c r="K259" s="777"/>
    </row>
    <row r="260" spans="3:11" x14ac:dyDescent="0.2">
      <c r="C260" s="567">
        <v>257</v>
      </c>
      <c r="D260" s="578"/>
      <c r="E260" s="579"/>
      <c r="F260" s="580"/>
      <c r="G260" s="581"/>
      <c r="H260" s="768"/>
      <c r="I260" s="771"/>
      <c r="J260" s="774"/>
      <c r="K260" s="777"/>
    </row>
    <row r="261" spans="3:11" x14ac:dyDescent="0.2">
      <c r="C261" s="567">
        <v>258</v>
      </c>
      <c r="D261" s="578"/>
      <c r="E261" s="579"/>
      <c r="F261" s="580"/>
      <c r="G261" s="581"/>
      <c r="H261" s="768"/>
      <c r="I261" s="771"/>
      <c r="J261" s="774"/>
      <c r="K261" s="777"/>
    </row>
    <row r="262" spans="3:11" x14ac:dyDescent="0.2">
      <c r="C262" s="567">
        <v>259</v>
      </c>
      <c r="D262" s="578"/>
      <c r="E262" s="579"/>
      <c r="F262" s="580"/>
      <c r="G262" s="581"/>
      <c r="H262" s="768"/>
      <c r="I262" s="771"/>
      <c r="J262" s="774"/>
      <c r="K262" s="777"/>
    </row>
    <row r="263" spans="3:11" x14ac:dyDescent="0.2">
      <c r="C263" s="567">
        <v>260</v>
      </c>
      <c r="D263" s="578"/>
      <c r="E263" s="579"/>
      <c r="F263" s="580"/>
      <c r="G263" s="581"/>
      <c r="H263" s="768"/>
      <c r="I263" s="771"/>
      <c r="J263" s="774"/>
      <c r="K263" s="777"/>
    </row>
    <row r="264" spans="3:11" x14ac:dyDescent="0.2">
      <c r="C264" s="567">
        <v>261</v>
      </c>
      <c r="D264" s="578"/>
      <c r="E264" s="579"/>
      <c r="F264" s="580"/>
      <c r="G264" s="581"/>
      <c r="H264" s="768"/>
      <c r="I264" s="771"/>
      <c r="J264" s="774"/>
      <c r="K264" s="777"/>
    </row>
    <row r="265" spans="3:11" x14ac:dyDescent="0.2">
      <c r="C265" s="567">
        <v>262</v>
      </c>
      <c r="D265" s="578"/>
      <c r="E265" s="579"/>
      <c r="F265" s="580"/>
      <c r="G265" s="581"/>
      <c r="H265" s="768"/>
      <c r="I265" s="771"/>
      <c r="J265" s="774"/>
      <c r="K265" s="777"/>
    </row>
    <row r="266" spans="3:11" x14ac:dyDescent="0.2">
      <c r="C266" s="567">
        <v>263</v>
      </c>
      <c r="D266" s="578"/>
      <c r="E266" s="579"/>
      <c r="F266" s="580"/>
      <c r="G266" s="581"/>
      <c r="H266" s="768"/>
      <c r="I266" s="771"/>
      <c r="J266" s="774"/>
      <c r="K266" s="777"/>
    </row>
    <row r="267" spans="3:11" x14ac:dyDescent="0.2">
      <c r="C267" s="567">
        <v>264</v>
      </c>
      <c r="D267" s="578"/>
      <c r="E267" s="579"/>
      <c r="F267" s="580"/>
      <c r="G267" s="581"/>
      <c r="H267" s="768"/>
      <c r="I267" s="771"/>
      <c r="J267" s="774"/>
      <c r="K267" s="777"/>
    </row>
    <row r="268" spans="3:11" x14ac:dyDescent="0.2">
      <c r="C268" s="567">
        <v>265</v>
      </c>
      <c r="D268" s="578"/>
      <c r="E268" s="579"/>
      <c r="F268" s="580"/>
      <c r="G268" s="581"/>
      <c r="H268" s="768"/>
      <c r="I268" s="771"/>
      <c r="J268" s="774"/>
      <c r="K268" s="777"/>
    </row>
    <row r="269" spans="3:11" x14ac:dyDescent="0.2">
      <c r="C269" s="567">
        <v>266</v>
      </c>
      <c r="D269" s="578"/>
      <c r="E269" s="579"/>
      <c r="F269" s="580"/>
      <c r="G269" s="581"/>
      <c r="H269" s="768"/>
      <c r="I269" s="771"/>
      <c r="J269" s="774"/>
      <c r="K269" s="777"/>
    </row>
    <row r="270" spans="3:11" x14ac:dyDescent="0.2">
      <c r="C270" s="567">
        <v>267</v>
      </c>
      <c r="D270" s="578"/>
      <c r="E270" s="579"/>
      <c r="F270" s="580"/>
      <c r="G270" s="581"/>
      <c r="H270" s="768"/>
      <c r="I270" s="771"/>
      <c r="J270" s="774"/>
      <c r="K270" s="777"/>
    </row>
    <row r="271" spans="3:11" x14ac:dyDescent="0.2">
      <c r="C271" s="567">
        <v>268</v>
      </c>
      <c r="D271" s="578"/>
      <c r="E271" s="579"/>
      <c r="F271" s="580"/>
      <c r="G271" s="581"/>
      <c r="H271" s="768"/>
      <c r="I271" s="771"/>
      <c r="J271" s="774"/>
      <c r="K271" s="777"/>
    </row>
    <row r="272" spans="3:11" x14ac:dyDescent="0.2">
      <c r="C272" s="567">
        <v>269</v>
      </c>
      <c r="D272" s="578"/>
      <c r="E272" s="579"/>
      <c r="F272" s="580"/>
      <c r="G272" s="581"/>
      <c r="H272" s="768"/>
      <c r="I272" s="771"/>
      <c r="J272" s="774"/>
      <c r="K272" s="777"/>
    </row>
    <row r="273" spans="3:11" x14ac:dyDescent="0.2">
      <c r="C273" s="567">
        <v>270</v>
      </c>
      <c r="D273" s="578"/>
      <c r="E273" s="579"/>
      <c r="F273" s="580"/>
      <c r="G273" s="581"/>
      <c r="H273" s="768"/>
      <c r="I273" s="771"/>
      <c r="J273" s="774"/>
      <c r="K273" s="777"/>
    </row>
    <row r="274" spans="3:11" x14ac:dyDescent="0.2">
      <c r="C274" s="567">
        <v>271</v>
      </c>
      <c r="D274" s="578"/>
      <c r="E274" s="579"/>
      <c r="F274" s="580"/>
      <c r="G274" s="581"/>
      <c r="H274" s="768"/>
      <c r="I274" s="771"/>
      <c r="J274" s="774"/>
      <c r="K274" s="777"/>
    </row>
    <row r="275" spans="3:11" x14ac:dyDescent="0.2">
      <c r="C275" s="567">
        <v>272</v>
      </c>
      <c r="D275" s="578"/>
      <c r="E275" s="579"/>
      <c r="F275" s="580"/>
      <c r="G275" s="581"/>
      <c r="H275" s="768"/>
      <c r="I275" s="771"/>
      <c r="J275" s="774"/>
      <c r="K275" s="777"/>
    </row>
    <row r="276" spans="3:11" x14ac:dyDescent="0.2">
      <c r="C276" s="567">
        <v>273</v>
      </c>
      <c r="D276" s="578"/>
      <c r="E276" s="579"/>
      <c r="F276" s="580"/>
      <c r="G276" s="581"/>
      <c r="H276" s="768"/>
      <c r="I276" s="771"/>
      <c r="J276" s="774"/>
      <c r="K276" s="777"/>
    </row>
    <row r="277" spans="3:11" x14ac:dyDescent="0.2">
      <c r="C277" s="567">
        <v>274</v>
      </c>
      <c r="D277" s="578"/>
      <c r="E277" s="579"/>
      <c r="F277" s="580"/>
      <c r="G277" s="581"/>
      <c r="H277" s="768"/>
      <c r="I277" s="771"/>
      <c r="J277" s="774"/>
      <c r="K277" s="777"/>
    </row>
    <row r="278" spans="3:11" x14ac:dyDescent="0.2">
      <c r="C278" s="567">
        <v>275</v>
      </c>
      <c r="D278" s="578"/>
      <c r="E278" s="579"/>
      <c r="F278" s="580"/>
      <c r="G278" s="581"/>
      <c r="H278" s="768"/>
      <c r="I278" s="771"/>
      <c r="J278" s="774"/>
      <c r="K278" s="777"/>
    </row>
    <row r="279" spans="3:11" x14ac:dyDescent="0.2">
      <c r="C279" s="567">
        <v>276</v>
      </c>
      <c r="D279" s="578"/>
      <c r="E279" s="579"/>
      <c r="F279" s="580"/>
      <c r="G279" s="581"/>
      <c r="H279" s="768"/>
      <c r="I279" s="771"/>
      <c r="J279" s="774"/>
      <c r="K279" s="777"/>
    </row>
    <row r="280" spans="3:11" x14ac:dyDescent="0.2">
      <c r="C280" s="567">
        <v>277</v>
      </c>
      <c r="D280" s="578"/>
      <c r="E280" s="579"/>
      <c r="F280" s="580"/>
      <c r="G280" s="581"/>
      <c r="H280" s="768"/>
      <c r="I280" s="771"/>
      <c r="J280" s="774"/>
      <c r="K280" s="777"/>
    </row>
    <row r="281" spans="3:11" x14ac:dyDescent="0.2">
      <c r="C281" s="567">
        <v>278</v>
      </c>
      <c r="D281" s="578"/>
      <c r="E281" s="579"/>
      <c r="F281" s="580"/>
      <c r="G281" s="581"/>
      <c r="H281" s="768"/>
      <c r="I281" s="771"/>
      <c r="J281" s="774"/>
      <c r="K281" s="777"/>
    </row>
    <row r="282" spans="3:11" x14ac:dyDescent="0.2">
      <c r="C282" s="567">
        <v>279</v>
      </c>
      <c r="D282" s="578"/>
      <c r="E282" s="579"/>
      <c r="F282" s="580"/>
      <c r="G282" s="581"/>
      <c r="H282" s="768"/>
      <c r="I282" s="771"/>
      <c r="J282" s="774"/>
      <c r="K282" s="777"/>
    </row>
    <row r="283" spans="3:11" x14ac:dyDescent="0.2">
      <c r="C283" s="567">
        <v>280</v>
      </c>
      <c r="D283" s="578"/>
      <c r="E283" s="579"/>
      <c r="F283" s="580"/>
      <c r="G283" s="581"/>
      <c r="H283" s="768"/>
      <c r="I283" s="771"/>
      <c r="J283" s="774"/>
      <c r="K283" s="777"/>
    </row>
    <row r="284" spans="3:11" x14ac:dyDescent="0.2">
      <c r="C284" s="567">
        <v>281</v>
      </c>
      <c r="D284" s="578"/>
      <c r="E284" s="579"/>
      <c r="F284" s="580"/>
      <c r="G284" s="581"/>
      <c r="H284" s="768"/>
      <c r="I284" s="771"/>
      <c r="J284" s="774"/>
      <c r="K284" s="777"/>
    </row>
    <row r="285" spans="3:11" x14ac:dyDescent="0.2">
      <c r="C285" s="567">
        <v>282</v>
      </c>
      <c r="D285" s="578"/>
      <c r="E285" s="579"/>
      <c r="F285" s="580"/>
      <c r="G285" s="581"/>
      <c r="H285" s="768"/>
      <c r="I285" s="771"/>
      <c r="J285" s="774"/>
      <c r="K285" s="777"/>
    </row>
    <row r="286" spans="3:11" x14ac:dyDescent="0.2">
      <c r="C286" s="567">
        <v>283</v>
      </c>
      <c r="D286" s="578"/>
      <c r="E286" s="579"/>
      <c r="F286" s="580"/>
      <c r="G286" s="581"/>
      <c r="H286" s="768"/>
      <c r="I286" s="771"/>
      <c r="J286" s="774"/>
      <c r="K286" s="777"/>
    </row>
    <row r="287" spans="3:11" x14ac:dyDescent="0.2">
      <c r="C287" s="567">
        <v>284</v>
      </c>
      <c r="D287" s="578"/>
      <c r="E287" s="579"/>
      <c r="F287" s="580"/>
      <c r="G287" s="581"/>
      <c r="H287" s="768"/>
      <c r="I287" s="771"/>
      <c r="J287" s="774"/>
      <c r="K287" s="777"/>
    </row>
    <row r="288" spans="3:11" x14ac:dyDescent="0.2">
      <c r="C288" s="567">
        <v>285</v>
      </c>
      <c r="D288" s="578"/>
      <c r="E288" s="579"/>
      <c r="F288" s="580"/>
      <c r="G288" s="581"/>
      <c r="H288" s="768"/>
      <c r="I288" s="771"/>
      <c r="J288" s="774"/>
      <c r="K288" s="777"/>
    </row>
    <row r="289" spans="3:11" x14ac:dyDescent="0.2">
      <c r="C289" s="567">
        <v>286</v>
      </c>
      <c r="D289" s="578"/>
      <c r="E289" s="579"/>
      <c r="F289" s="580"/>
      <c r="G289" s="581"/>
      <c r="H289" s="768"/>
      <c r="I289" s="771"/>
      <c r="J289" s="774"/>
      <c r="K289" s="777"/>
    </row>
    <row r="290" spans="3:11" x14ac:dyDescent="0.2">
      <c r="C290" s="567">
        <v>287</v>
      </c>
      <c r="D290" s="578"/>
      <c r="E290" s="579"/>
      <c r="F290" s="580"/>
      <c r="G290" s="581"/>
      <c r="H290" s="768"/>
      <c r="I290" s="771"/>
      <c r="J290" s="774"/>
      <c r="K290" s="777"/>
    </row>
    <row r="291" spans="3:11" x14ac:dyDescent="0.2">
      <c r="C291" s="567">
        <v>288</v>
      </c>
      <c r="D291" s="578"/>
      <c r="E291" s="579"/>
      <c r="F291" s="580"/>
      <c r="G291" s="581"/>
      <c r="H291" s="768"/>
      <c r="I291" s="771"/>
      <c r="J291" s="774"/>
      <c r="K291" s="777"/>
    </row>
    <row r="292" spans="3:11" x14ac:dyDescent="0.2">
      <c r="C292" s="567">
        <v>289</v>
      </c>
      <c r="D292" s="578"/>
      <c r="E292" s="579"/>
      <c r="F292" s="580"/>
      <c r="G292" s="581"/>
      <c r="H292" s="768"/>
      <c r="I292" s="771"/>
      <c r="J292" s="774"/>
      <c r="K292" s="777"/>
    </row>
    <row r="293" spans="3:11" x14ac:dyDescent="0.2">
      <c r="C293" s="567">
        <v>290</v>
      </c>
      <c r="D293" s="578"/>
      <c r="E293" s="579"/>
      <c r="F293" s="580"/>
      <c r="G293" s="581"/>
      <c r="H293" s="768"/>
      <c r="I293" s="771"/>
      <c r="J293" s="774"/>
      <c r="K293" s="777"/>
    </row>
    <row r="294" spans="3:11" x14ac:dyDescent="0.2">
      <c r="C294" s="567">
        <v>291</v>
      </c>
      <c r="D294" s="578"/>
      <c r="E294" s="579"/>
      <c r="F294" s="580"/>
      <c r="G294" s="581"/>
      <c r="H294" s="768"/>
      <c r="I294" s="771"/>
      <c r="J294" s="774"/>
      <c r="K294" s="777"/>
    </row>
    <row r="295" spans="3:11" x14ac:dyDescent="0.2">
      <c r="C295" s="567">
        <v>292</v>
      </c>
      <c r="D295" s="578"/>
      <c r="E295" s="579"/>
      <c r="F295" s="580"/>
      <c r="G295" s="581"/>
      <c r="H295" s="768"/>
      <c r="I295" s="771"/>
      <c r="J295" s="774"/>
      <c r="K295" s="777"/>
    </row>
    <row r="296" spans="3:11" x14ac:dyDescent="0.2">
      <c r="C296" s="567">
        <v>293</v>
      </c>
      <c r="D296" s="578"/>
      <c r="E296" s="579"/>
      <c r="F296" s="580"/>
      <c r="G296" s="581"/>
      <c r="H296" s="768"/>
      <c r="I296" s="771"/>
      <c r="J296" s="774"/>
      <c r="K296" s="777"/>
    </row>
    <row r="297" spans="3:11" x14ac:dyDescent="0.2">
      <c r="C297" s="567">
        <v>294</v>
      </c>
      <c r="D297" s="578"/>
      <c r="E297" s="579"/>
      <c r="F297" s="580"/>
      <c r="G297" s="581"/>
      <c r="H297" s="768"/>
      <c r="I297" s="771"/>
      <c r="J297" s="774"/>
      <c r="K297" s="777"/>
    </row>
    <row r="298" spans="3:11" x14ac:dyDescent="0.2">
      <c r="C298" s="567">
        <v>295</v>
      </c>
      <c r="D298" s="578"/>
      <c r="E298" s="579"/>
      <c r="F298" s="580"/>
      <c r="G298" s="581"/>
      <c r="H298" s="768"/>
      <c r="I298" s="771"/>
      <c r="J298" s="774"/>
      <c r="K298" s="777"/>
    </row>
    <row r="299" spans="3:11" x14ac:dyDescent="0.2">
      <c r="C299" s="567">
        <v>296</v>
      </c>
      <c r="D299" s="578"/>
      <c r="E299" s="579"/>
      <c r="F299" s="580"/>
      <c r="G299" s="581"/>
      <c r="H299" s="768"/>
      <c r="I299" s="771"/>
      <c r="J299" s="774"/>
      <c r="K299" s="777"/>
    </row>
    <row r="300" spans="3:11" x14ac:dyDescent="0.2">
      <c r="C300" s="567">
        <v>297</v>
      </c>
      <c r="D300" s="578"/>
      <c r="E300" s="579"/>
      <c r="F300" s="580"/>
      <c r="G300" s="581"/>
      <c r="H300" s="768"/>
      <c r="I300" s="771"/>
      <c r="J300" s="774"/>
      <c r="K300" s="777"/>
    </row>
    <row r="301" spans="3:11" x14ac:dyDescent="0.2">
      <c r="C301" s="567">
        <v>298</v>
      </c>
      <c r="D301" s="578"/>
      <c r="E301" s="579"/>
      <c r="F301" s="580"/>
      <c r="G301" s="581"/>
      <c r="H301" s="768"/>
      <c r="I301" s="771"/>
      <c r="J301" s="774"/>
      <c r="K301" s="777"/>
    </row>
    <row r="302" spans="3:11" x14ac:dyDescent="0.2">
      <c r="C302" s="567">
        <v>299</v>
      </c>
      <c r="D302" s="578"/>
      <c r="E302" s="579"/>
      <c r="F302" s="580"/>
      <c r="G302" s="581"/>
      <c r="H302" s="768"/>
      <c r="I302" s="771"/>
      <c r="J302" s="774"/>
      <c r="K302" s="777"/>
    </row>
    <row r="303" spans="3:11" x14ac:dyDescent="0.2">
      <c r="C303" s="567">
        <v>300</v>
      </c>
      <c r="D303" s="578"/>
      <c r="E303" s="579"/>
      <c r="F303" s="580"/>
      <c r="G303" s="581"/>
      <c r="H303" s="768"/>
      <c r="I303" s="771"/>
      <c r="J303" s="774"/>
      <c r="K303" s="777"/>
    </row>
    <row r="304" spans="3:11" x14ac:dyDescent="0.2">
      <c r="C304" s="567">
        <v>301</v>
      </c>
      <c r="D304" s="578"/>
      <c r="E304" s="579"/>
      <c r="F304" s="580"/>
      <c r="G304" s="581"/>
      <c r="H304" s="768"/>
      <c r="I304" s="771"/>
      <c r="J304" s="774"/>
      <c r="K304" s="777"/>
    </row>
    <row r="305" spans="3:11" x14ac:dyDescent="0.2">
      <c r="C305" s="567">
        <v>302</v>
      </c>
      <c r="D305" s="578"/>
      <c r="E305" s="579"/>
      <c r="F305" s="580"/>
      <c r="G305" s="581"/>
      <c r="H305" s="768"/>
      <c r="I305" s="771"/>
      <c r="J305" s="774"/>
      <c r="K305" s="777"/>
    </row>
    <row r="306" spans="3:11" x14ac:dyDescent="0.2">
      <c r="C306" s="567">
        <v>303</v>
      </c>
      <c r="D306" s="578"/>
      <c r="E306" s="579"/>
      <c r="F306" s="580"/>
      <c r="G306" s="581"/>
      <c r="H306" s="768"/>
      <c r="I306" s="771"/>
      <c r="J306" s="774"/>
      <c r="K306" s="777"/>
    </row>
    <row r="307" spans="3:11" x14ac:dyDescent="0.2">
      <c r="C307" s="567">
        <v>304</v>
      </c>
      <c r="D307" s="578"/>
      <c r="E307" s="579"/>
      <c r="F307" s="580"/>
      <c r="G307" s="581"/>
      <c r="H307" s="768"/>
      <c r="I307" s="771"/>
      <c r="J307" s="774"/>
      <c r="K307" s="777"/>
    </row>
    <row r="308" spans="3:11" x14ac:dyDescent="0.2">
      <c r="C308" s="567">
        <v>305</v>
      </c>
      <c r="D308" s="578"/>
      <c r="E308" s="579"/>
      <c r="F308" s="580"/>
      <c r="G308" s="581"/>
      <c r="H308" s="768"/>
      <c r="I308" s="771"/>
      <c r="J308" s="774"/>
      <c r="K308" s="777"/>
    </row>
    <row r="309" spans="3:11" x14ac:dyDescent="0.2">
      <c r="C309" s="567">
        <v>306</v>
      </c>
      <c r="D309" s="578"/>
      <c r="E309" s="579"/>
      <c r="F309" s="580"/>
      <c r="G309" s="581"/>
      <c r="H309" s="768"/>
      <c r="I309" s="771"/>
      <c r="J309" s="774"/>
      <c r="K309" s="777"/>
    </row>
    <row r="310" spans="3:11" x14ac:dyDescent="0.2">
      <c r="C310" s="567">
        <v>307</v>
      </c>
      <c r="D310" s="578"/>
      <c r="E310" s="579"/>
      <c r="F310" s="580"/>
      <c r="G310" s="581"/>
      <c r="H310" s="768"/>
      <c r="I310" s="771"/>
      <c r="J310" s="774"/>
      <c r="K310" s="777"/>
    </row>
    <row r="311" spans="3:11" x14ac:dyDescent="0.2">
      <c r="C311" s="567">
        <v>308</v>
      </c>
      <c r="D311" s="578"/>
      <c r="E311" s="579"/>
      <c r="F311" s="580"/>
      <c r="G311" s="581"/>
      <c r="H311" s="768"/>
      <c r="I311" s="771"/>
      <c r="J311" s="774"/>
      <c r="K311" s="777"/>
    </row>
    <row r="312" spans="3:11" x14ac:dyDescent="0.2">
      <c r="C312" s="567">
        <v>309</v>
      </c>
      <c r="D312" s="578"/>
      <c r="E312" s="579"/>
      <c r="F312" s="580"/>
      <c r="G312" s="581"/>
      <c r="H312" s="768"/>
      <c r="I312" s="771"/>
      <c r="J312" s="774"/>
      <c r="K312" s="777"/>
    </row>
    <row r="313" spans="3:11" x14ac:dyDescent="0.2">
      <c r="C313" s="567">
        <v>310</v>
      </c>
      <c r="D313" s="578"/>
      <c r="E313" s="579"/>
      <c r="F313" s="580"/>
      <c r="G313" s="581"/>
      <c r="H313" s="768"/>
      <c r="I313" s="771"/>
      <c r="J313" s="774"/>
      <c r="K313" s="777"/>
    </row>
    <row r="314" spans="3:11" x14ac:dyDescent="0.2">
      <c r="C314" s="567">
        <v>311</v>
      </c>
      <c r="D314" s="578"/>
      <c r="E314" s="579"/>
      <c r="F314" s="580"/>
      <c r="G314" s="581"/>
      <c r="H314" s="768"/>
      <c r="I314" s="771"/>
      <c r="J314" s="774"/>
      <c r="K314" s="777"/>
    </row>
    <row r="315" spans="3:11" x14ac:dyDescent="0.2">
      <c r="C315" s="567">
        <v>312</v>
      </c>
      <c r="D315" s="578"/>
      <c r="E315" s="579"/>
      <c r="F315" s="580"/>
      <c r="G315" s="581"/>
      <c r="H315" s="768"/>
      <c r="I315" s="771"/>
      <c r="J315" s="774"/>
      <c r="K315" s="777"/>
    </row>
    <row r="316" spans="3:11" x14ac:dyDescent="0.2">
      <c r="C316" s="567">
        <v>313</v>
      </c>
      <c r="D316" s="578"/>
      <c r="E316" s="579"/>
      <c r="F316" s="580"/>
      <c r="G316" s="581"/>
      <c r="H316" s="768"/>
      <c r="I316" s="771"/>
      <c r="J316" s="774"/>
      <c r="K316" s="777"/>
    </row>
    <row r="317" spans="3:11" x14ac:dyDescent="0.2">
      <c r="C317" s="567">
        <v>314</v>
      </c>
      <c r="D317" s="578"/>
      <c r="E317" s="579"/>
      <c r="F317" s="580"/>
      <c r="G317" s="581"/>
      <c r="H317" s="768"/>
      <c r="I317" s="771"/>
      <c r="J317" s="774"/>
      <c r="K317" s="777"/>
    </row>
    <row r="318" spans="3:11" x14ac:dyDescent="0.2">
      <c r="C318" s="567">
        <v>315</v>
      </c>
      <c r="D318" s="578"/>
      <c r="E318" s="579"/>
      <c r="F318" s="580"/>
      <c r="G318" s="581"/>
      <c r="H318" s="768"/>
      <c r="I318" s="771"/>
      <c r="J318" s="774"/>
      <c r="K318" s="777"/>
    </row>
    <row r="319" spans="3:11" x14ac:dyDescent="0.2">
      <c r="C319" s="567">
        <v>316</v>
      </c>
      <c r="D319" s="578"/>
      <c r="E319" s="579"/>
      <c r="F319" s="580"/>
      <c r="G319" s="581"/>
      <c r="H319" s="768"/>
      <c r="I319" s="771"/>
      <c r="J319" s="774"/>
      <c r="K319" s="777"/>
    </row>
    <row r="320" spans="3:11" x14ac:dyDescent="0.2">
      <c r="C320" s="567">
        <v>317</v>
      </c>
      <c r="D320" s="578"/>
      <c r="E320" s="579"/>
      <c r="F320" s="580"/>
      <c r="G320" s="581"/>
      <c r="H320" s="768"/>
      <c r="I320" s="771"/>
      <c r="J320" s="774"/>
      <c r="K320" s="777"/>
    </row>
    <row r="321" spans="3:11" x14ac:dyDescent="0.2">
      <c r="C321" s="567">
        <v>318</v>
      </c>
      <c r="D321" s="578"/>
      <c r="E321" s="579"/>
      <c r="F321" s="580"/>
      <c r="G321" s="581"/>
      <c r="H321" s="768"/>
      <c r="I321" s="771"/>
      <c r="J321" s="774"/>
      <c r="K321" s="777"/>
    </row>
    <row r="322" spans="3:11" x14ac:dyDescent="0.2">
      <c r="C322" s="567">
        <v>319</v>
      </c>
      <c r="D322" s="578"/>
      <c r="E322" s="579"/>
      <c r="F322" s="580"/>
      <c r="G322" s="581"/>
      <c r="H322" s="768"/>
      <c r="I322" s="771"/>
      <c r="J322" s="774"/>
      <c r="K322" s="777"/>
    </row>
    <row r="323" spans="3:11" x14ac:dyDescent="0.2">
      <c r="C323" s="567">
        <v>320</v>
      </c>
      <c r="D323" s="578"/>
      <c r="E323" s="579"/>
      <c r="F323" s="580"/>
      <c r="G323" s="581"/>
      <c r="H323" s="768"/>
      <c r="I323" s="771"/>
      <c r="J323" s="774"/>
      <c r="K323" s="777"/>
    </row>
    <row r="324" spans="3:11" x14ac:dyDescent="0.2">
      <c r="C324" s="567">
        <v>321</v>
      </c>
      <c r="D324" s="578"/>
      <c r="E324" s="579"/>
      <c r="F324" s="580"/>
      <c r="G324" s="581"/>
      <c r="H324" s="768"/>
      <c r="I324" s="771"/>
      <c r="J324" s="774"/>
      <c r="K324" s="777"/>
    </row>
    <row r="325" spans="3:11" x14ac:dyDescent="0.2">
      <c r="C325" s="567">
        <v>322</v>
      </c>
      <c r="D325" s="578"/>
      <c r="E325" s="579"/>
      <c r="F325" s="580"/>
      <c r="G325" s="581"/>
      <c r="H325" s="768"/>
      <c r="I325" s="771"/>
      <c r="J325" s="774"/>
      <c r="K325" s="777"/>
    </row>
    <row r="326" spans="3:11" x14ac:dyDescent="0.2">
      <c r="C326" s="567">
        <v>323</v>
      </c>
      <c r="D326" s="578"/>
      <c r="E326" s="579"/>
      <c r="F326" s="580"/>
      <c r="G326" s="581"/>
      <c r="H326" s="768"/>
      <c r="I326" s="771"/>
      <c r="J326" s="774"/>
      <c r="K326" s="777"/>
    </row>
    <row r="327" spans="3:11" x14ac:dyDescent="0.2">
      <c r="C327" s="567">
        <v>324</v>
      </c>
      <c r="D327" s="578"/>
      <c r="E327" s="579"/>
      <c r="F327" s="580"/>
      <c r="G327" s="581"/>
      <c r="H327" s="768"/>
      <c r="I327" s="771"/>
      <c r="J327" s="774"/>
      <c r="K327" s="777"/>
    </row>
    <row r="328" spans="3:11" x14ac:dyDescent="0.2">
      <c r="C328" s="567">
        <v>325</v>
      </c>
      <c r="D328" s="578"/>
      <c r="E328" s="579"/>
      <c r="F328" s="580"/>
      <c r="G328" s="581"/>
      <c r="H328" s="768"/>
      <c r="I328" s="771"/>
      <c r="J328" s="774"/>
      <c r="K328" s="777"/>
    </row>
    <row r="329" spans="3:11" x14ac:dyDescent="0.2">
      <c r="C329" s="567">
        <v>326</v>
      </c>
      <c r="D329" s="578"/>
      <c r="E329" s="579"/>
      <c r="F329" s="580"/>
      <c r="G329" s="581"/>
      <c r="H329" s="768"/>
      <c r="I329" s="771"/>
      <c r="J329" s="774"/>
      <c r="K329" s="777"/>
    </row>
    <row r="330" spans="3:11" x14ac:dyDescent="0.2">
      <c r="C330" s="567">
        <v>327</v>
      </c>
      <c r="D330" s="578"/>
      <c r="E330" s="579"/>
      <c r="F330" s="580"/>
      <c r="G330" s="581"/>
      <c r="H330" s="768"/>
      <c r="I330" s="771"/>
      <c r="J330" s="774"/>
      <c r="K330" s="777"/>
    </row>
    <row r="331" spans="3:11" x14ac:dyDescent="0.2">
      <c r="C331" s="567">
        <v>328</v>
      </c>
      <c r="D331" s="578"/>
      <c r="E331" s="579"/>
      <c r="F331" s="580"/>
      <c r="G331" s="581"/>
      <c r="H331" s="768"/>
      <c r="I331" s="771"/>
      <c r="J331" s="774"/>
      <c r="K331" s="777"/>
    </row>
    <row r="332" spans="3:11" x14ac:dyDescent="0.2">
      <c r="C332" s="567">
        <v>329</v>
      </c>
      <c r="D332" s="578"/>
      <c r="E332" s="579"/>
      <c r="F332" s="580"/>
      <c r="G332" s="581"/>
      <c r="H332" s="768"/>
      <c r="I332" s="771"/>
      <c r="J332" s="774"/>
      <c r="K332" s="777"/>
    </row>
    <row r="333" spans="3:11" x14ac:dyDescent="0.2">
      <c r="C333" s="567">
        <v>330</v>
      </c>
      <c r="D333" s="578"/>
      <c r="E333" s="579"/>
      <c r="F333" s="580"/>
      <c r="G333" s="581"/>
      <c r="H333" s="768"/>
      <c r="I333" s="771"/>
      <c r="J333" s="774"/>
      <c r="K333" s="777"/>
    </row>
    <row r="334" spans="3:11" x14ac:dyDescent="0.2">
      <c r="C334" s="567">
        <v>331</v>
      </c>
      <c r="D334" s="578"/>
      <c r="E334" s="579"/>
      <c r="F334" s="580"/>
      <c r="G334" s="581"/>
      <c r="H334" s="768"/>
      <c r="I334" s="771"/>
      <c r="J334" s="774"/>
      <c r="K334" s="777"/>
    </row>
    <row r="335" spans="3:11" x14ac:dyDescent="0.2">
      <c r="C335" s="567">
        <v>332</v>
      </c>
      <c r="D335" s="578"/>
      <c r="E335" s="579"/>
      <c r="F335" s="580"/>
      <c r="G335" s="581"/>
      <c r="H335" s="768"/>
      <c r="I335" s="771"/>
      <c r="J335" s="774"/>
      <c r="K335" s="777"/>
    </row>
    <row r="336" spans="3:11" x14ac:dyDescent="0.2">
      <c r="C336" s="567">
        <v>333</v>
      </c>
      <c r="D336" s="578"/>
      <c r="E336" s="579"/>
      <c r="F336" s="580"/>
      <c r="G336" s="581"/>
      <c r="H336" s="768"/>
      <c r="I336" s="771"/>
      <c r="J336" s="774"/>
      <c r="K336" s="777"/>
    </row>
    <row r="337" spans="3:11" x14ac:dyDescent="0.2">
      <c r="C337" s="567">
        <v>334</v>
      </c>
      <c r="D337" s="578"/>
      <c r="E337" s="579"/>
      <c r="F337" s="580"/>
      <c r="G337" s="581"/>
      <c r="H337" s="768"/>
      <c r="I337" s="771"/>
      <c r="J337" s="774"/>
      <c r="K337" s="777"/>
    </row>
    <row r="338" spans="3:11" x14ac:dyDescent="0.2">
      <c r="C338" s="567">
        <v>335</v>
      </c>
      <c r="D338" s="578"/>
      <c r="E338" s="579"/>
      <c r="F338" s="580"/>
      <c r="G338" s="581"/>
      <c r="H338" s="768"/>
      <c r="I338" s="771"/>
      <c r="J338" s="774"/>
      <c r="K338" s="777"/>
    </row>
    <row r="339" spans="3:11" x14ac:dyDescent="0.2">
      <c r="C339" s="567">
        <v>336</v>
      </c>
      <c r="D339" s="578"/>
      <c r="E339" s="579"/>
      <c r="F339" s="580"/>
      <c r="G339" s="581"/>
      <c r="H339" s="768"/>
      <c r="I339" s="771"/>
      <c r="J339" s="774"/>
      <c r="K339" s="777"/>
    </row>
    <row r="340" spans="3:11" x14ac:dyDescent="0.2">
      <c r="C340" s="567">
        <v>337</v>
      </c>
      <c r="D340" s="578"/>
      <c r="E340" s="579"/>
      <c r="F340" s="580"/>
      <c r="G340" s="581"/>
      <c r="H340" s="768"/>
      <c r="I340" s="771"/>
      <c r="J340" s="774"/>
      <c r="K340" s="777"/>
    </row>
    <row r="341" spans="3:11" x14ac:dyDescent="0.2">
      <c r="C341" s="567">
        <v>338</v>
      </c>
      <c r="D341" s="578"/>
      <c r="E341" s="579"/>
      <c r="F341" s="580"/>
      <c r="G341" s="581"/>
      <c r="H341" s="768"/>
      <c r="I341" s="771"/>
      <c r="J341" s="774"/>
      <c r="K341" s="777"/>
    </row>
    <row r="342" spans="3:11" x14ac:dyDescent="0.2">
      <c r="C342" s="567">
        <v>339</v>
      </c>
      <c r="D342" s="578"/>
      <c r="E342" s="579"/>
      <c r="F342" s="580"/>
      <c r="G342" s="581"/>
      <c r="H342" s="768"/>
      <c r="I342" s="771"/>
      <c r="J342" s="774"/>
      <c r="K342" s="777"/>
    </row>
    <row r="343" spans="3:11" x14ac:dyDescent="0.2">
      <c r="C343" s="567">
        <v>340</v>
      </c>
      <c r="D343" s="578"/>
      <c r="E343" s="579"/>
      <c r="F343" s="580"/>
      <c r="G343" s="581"/>
      <c r="H343" s="768"/>
      <c r="I343" s="771"/>
      <c r="J343" s="774"/>
      <c r="K343" s="777"/>
    </row>
    <row r="344" spans="3:11" x14ac:dyDescent="0.2">
      <c r="C344" s="567">
        <v>341</v>
      </c>
      <c r="D344" s="578"/>
      <c r="E344" s="579"/>
      <c r="F344" s="580"/>
      <c r="G344" s="581"/>
      <c r="H344" s="768"/>
      <c r="I344" s="771"/>
      <c r="J344" s="774"/>
      <c r="K344" s="777"/>
    </row>
    <row r="345" spans="3:11" x14ac:dyDescent="0.2">
      <c r="C345" s="567">
        <v>342</v>
      </c>
      <c r="D345" s="578"/>
      <c r="E345" s="579"/>
      <c r="F345" s="580"/>
      <c r="G345" s="581"/>
      <c r="H345" s="768"/>
      <c r="I345" s="771"/>
      <c r="J345" s="774"/>
      <c r="K345" s="777"/>
    </row>
    <row r="346" spans="3:11" x14ac:dyDescent="0.2">
      <c r="C346" s="567">
        <v>343</v>
      </c>
      <c r="D346" s="578"/>
      <c r="E346" s="579"/>
      <c r="F346" s="580"/>
      <c r="G346" s="581"/>
      <c r="H346" s="768"/>
      <c r="I346" s="771"/>
      <c r="J346" s="774"/>
      <c r="K346" s="777"/>
    </row>
    <row r="347" spans="3:11" x14ac:dyDescent="0.2">
      <c r="C347" s="567">
        <v>344</v>
      </c>
      <c r="D347" s="578"/>
      <c r="E347" s="579"/>
      <c r="F347" s="580"/>
      <c r="G347" s="581"/>
      <c r="H347" s="768"/>
      <c r="I347" s="771"/>
      <c r="J347" s="774"/>
      <c r="K347" s="777"/>
    </row>
    <row r="348" spans="3:11" x14ac:dyDescent="0.2">
      <c r="C348" s="567">
        <v>345</v>
      </c>
      <c r="D348" s="578"/>
      <c r="E348" s="579"/>
      <c r="F348" s="580"/>
      <c r="G348" s="581"/>
      <c r="H348" s="768"/>
      <c r="I348" s="771"/>
      <c r="J348" s="774"/>
      <c r="K348" s="777"/>
    </row>
    <row r="349" spans="3:11" x14ac:dyDescent="0.2">
      <c r="C349" s="567">
        <v>346</v>
      </c>
      <c r="D349" s="578"/>
      <c r="E349" s="579"/>
      <c r="F349" s="580"/>
      <c r="G349" s="581"/>
      <c r="H349" s="768"/>
      <c r="I349" s="771"/>
      <c r="J349" s="774"/>
      <c r="K349" s="777"/>
    </row>
    <row r="350" spans="3:11" x14ac:dyDescent="0.2">
      <c r="C350" s="567">
        <v>347</v>
      </c>
      <c r="D350" s="578"/>
      <c r="E350" s="579"/>
      <c r="F350" s="580"/>
      <c r="G350" s="581"/>
      <c r="H350" s="768"/>
      <c r="I350" s="771"/>
      <c r="J350" s="774"/>
      <c r="K350" s="777"/>
    </row>
    <row r="351" spans="3:11" x14ac:dyDescent="0.2">
      <c r="C351" s="567">
        <v>348</v>
      </c>
      <c r="D351" s="578"/>
      <c r="E351" s="579"/>
      <c r="F351" s="580"/>
      <c r="G351" s="581"/>
      <c r="H351" s="768"/>
      <c r="I351" s="771"/>
      <c r="J351" s="774"/>
      <c r="K351" s="777"/>
    </row>
    <row r="352" spans="3:11" x14ac:dyDescent="0.2">
      <c r="C352" s="567">
        <v>349</v>
      </c>
      <c r="D352" s="578"/>
      <c r="E352" s="579"/>
      <c r="F352" s="580"/>
      <c r="G352" s="581"/>
      <c r="H352" s="768"/>
      <c r="I352" s="771"/>
      <c r="J352" s="774"/>
      <c r="K352" s="777"/>
    </row>
    <row r="353" spans="3:11" x14ac:dyDescent="0.2">
      <c r="C353" s="567">
        <v>350</v>
      </c>
      <c r="D353" s="578"/>
      <c r="E353" s="579"/>
      <c r="F353" s="580"/>
      <c r="G353" s="581"/>
      <c r="H353" s="768"/>
      <c r="I353" s="771"/>
      <c r="J353" s="774"/>
      <c r="K353" s="777"/>
    </row>
    <row r="354" spans="3:11" x14ac:dyDescent="0.2">
      <c r="C354" s="567">
        <v>351</v>
      </c>
      <c r="D354" s="578"/>
      <c r="E354" s="579"/>
      <c r="F354" s="580"/>
      <c r="G354" s="581"/>
      <c r="H354" s="768"/>
      <c r="I354" s="771"/>
      <c r="J354" s="774"/>
      <c r="K354" s="777"/>
    </row>
    <row r="355" spans="3:11" x14ac:dyDescent="0.2">
      <c r="C355" s="567">
        <v>352</v>
      </c>
      <c r="D355" s="578"/>
      <c r="E355" s="579"/>
      <c r="F355" s="580"/>
      <c r="G355" s="581"/>
      <c r="H355" s="768"/>
      <c r="I355" s="771"/>
      <c r="J355" s="774"/>
      <c r="K355" s="777"/>
    </row>
    <row r="356" spans="3:11" x14ac:dyDescent="0.2">
      <c r="C356" s="567">
        <v>353</v>
      </c>
      <c r="D356" s="578"/>
      <c r="E356" s="579"/>
      <c r="F356" s="580"/>
      <c r="G356" s="581"/>
      <c r="H356" s="768"/>
      <c r="I356" s="771"/>
      <c r="J356" s="774"/>
      <c r="K356" s="777"/>
    </row>
    <row r="357" spans="3:11" x14ac:dyDescent="0.2">
      <c r="C357" s="567">
        <v>354</v>
      </c>
      <c r="D357" s="578"/>
      <c r="E357" s="579"/>
      <c r="F357" s="580"/>
      <c r="G357" s="581"/>
      <c r="H357" s="768"/>
      <c r="I357" s="771"/>
      <c r="J357" s="774"/>
      <c r="K357" s="777"/>
    </row>
    <row r="358" spans="3:11" x14ac:dyDescent="0.2">
      <c r="C358" s="567">
        <v>355</v>
      </c>
      <c r="D358" s="578"/>
      <c r="E358" s="579"/>
      <c r="F358" s="580"/>
      <c r="G358" s="581"/>
      <c r="H358" s="768"/>
      <c r="I358" s="771"/>
      <c r="J358" s="774"/>
      <c r="K358" s="777"/>
    </row>
    <row r="359" spans="3:11" x14ac:dyDescent="0.2">
      <c r="C359" s="567">
        <v>356</v>
      </c>
      <c r="D359" s="578"/>
      <c r="E359" s="579"/>
      <c r="F359" s="580"/>
      <c r="G359" s="581"/>
      <c r="H359" s="768"/>
      <c r="I359" s="771"/>
      <c r="J359" s="774"/>
      <c r="K359" s="777"/>
    </row>
    <row r="360" spans="3:11" x14ac:dyDescent="0.2">
      <c r="C360" s="567">
        <v>357</v>
      </c>
      <c r="D360" s="578"/>
      <c r="E360" s="579"/>
      <c r="F360" s="580"/>
      <c r="G360" s="581"/>
      <c r="H360" s="768"/>
      <c r="I360" s="771"/>
      <c r="J360" s="774"/>
      <c r="K360" s="777"/>
    </row>
    <row r="361" spans="3:11" x14ac:dyDescent="0.2">
      <c r="C361" s="567">
        <v>358</v>
      </c>
      <c r="D361" s="578"/>
      <c r="E361" s="579"/>
      <c r="F361" s="580"/>
      <c r="G361" s="581"/>
      <c r="H361" s="768"/>
      <c r="I361" s="771"/>
      <c r="J361" s="774"/>
      <c r="K361" s="777"/>
    </row>
    <row r="362" spans="3:11" x14ac:dyDescent="0.2">
      <c r="C362" s="567">
        <v>359</v>
      </c>
      <c r="D362" s="578"/>
      <c r="E362" s="579"/>
      <c r="F362" s="580"/>
      <c r="G362" s="581"/>
      <c r="H362" s="768"/>
      <c r="I362" s="771"/>
      <c r="J362" s="774"/>
      <c r="K362" s="777"/>
    </row>
    <row r="363" spans="3:11" x14ac:dyDescent="0.2">
      <c r="C363" s="567">
        <v>360</v>
      </c>
      <c r="D363" s="578"/>
      <c r="E363" s="579"/>
      <c r="F363" s="580"/>
      <c r="G363" s="581"/>
      <c r="H363" s="768"/>
      <c r="I363" s="771"/>
      <c r="J363" s="774"/>
      <c r="K363" s="777"/>
    </row>
    <row r="364" spans="3:11" x14ac:dyDescent="0.2">
      <c r="C364" s="567">
        <v>361</v>
      </c>
      <c r="D364" s="578"/>
      <c r="E364" s="579"/>
      <c r="F364" s="580"/>
      <c r="G364" s="581"/>
      <c r="H364" s="768"/>
      <c r="I364" s="771"/>
      <c r="J364" s="774"/>
      <c r="K364" s="777"/>
    </row>
    <row r="365" spans="3:11" x14ac:dyDescent="0.2">
      <c r="C365" s="567">
        <v>362</v>
      </c>
      <c r="D365" s="578"/>
      <c r="E365" s="579"/>
      <c r="F365" s="580"/>
      <c r="G365" s="581"/>
      <c r="H365" s="768"/>
      <c r="I365" s="771"/>
      <c r="J365" s="774"/>
      <c r="K365" s="777"/>
    </row>
    <row r="366" spans="3:11" x14ac:dyDescent="0.2">
      <c r="C366" s="567">
        <v>363</v>
      </c>
      <c r="D366" s="578"/>
      <c r="E366" s="579"/>
      <c r="F366" s="580"/>
      <c r="G366" s="581"/>
      <c r="H366" s="768"/>
      <c r="I366" s="771"/>
      <c r="J366" s="774"/>
      <c r="K366" s="777"/>
    </row>
    <row r="367" spans="3:11" x14ac:dyDescent="0.2">
      <c r="C367" s="567">
        <v>364</v>
      </c>
      <c r="D367" s="578"/>
      <c r="E367" s="579"/>
      <c r="F367" s="580"/>
      <c r="G367" s="581"/>
      <c r="H367" s="768"/>
      <c r="I367" s="771"/>
      <c r="J367" s="774"/>
      <c r="K367" s="777"/>
    </row>
    <row r="368" spans="3:11" x14ac:dyDescent="0.2">
      <c r="C368" s="567">
        <v>365</v>
      </c>
      <c r="D368" s="578"/>
      <c r="E368" s="579"/>
      <c r="F368" s="580"/>
      <c r="G368" s="581"/>
      <c r="H368" s="768"/>
      <c r="I368" s="771"/>
      <c r="J368" s="774"/>
      <c r="K368" s="777"/>
    </row>
    <row r="369" spans="3:11" x14ac:dyDescent="0.2">
      <c r="C369" s="567">
        <v>366</v>
      </c>
      <c r="D369" s="578"/>
      <c r="E369" s="579"/>
      <c r="F369" s="580"/>
      <c r="G369" s="581"/>
      <c r="H369" s="768"/>
      <c r="I369" s="771"/>
      <c r="J369" s="774"/>
      <c r="K369" s="777"/>
    </row>
    <row r="370" spans="3:11" x14ac:dyDescent="0.2">
      <c r="C370" s="567">
        <v>367</v>
      </c>
      <c r="D370" s="578"/>
      <c r="E370" s="579"/>
      <c r="F370" s="580"/>
      <c r="G370" s="581"/>
      <c r="H370" s="768"/>
      <c r="I370" s="771"/>
      <c r="J370" s="774"/>
      <c r="K370" s="777"/>
    </row>
    <row r="371" spans="3:11" x14ac:dyDescent="0.2">
      <c r="C371" s="567">
        <v>368</v>
      </c>
      <c r="D371" s="578"/>
      <c r="E371" s="579"/>
      <c r="F371" s="580"/>
      <c r="G371" s="581"/>
      <c r="H371" s="768"/>
      <c r="I371" s="771"/>
      <c r="J371" s="774"/>
      <c r="K371" s="777"/>
    </row>
    <row r="372" spans="3:11" x14ac:dyDescent="0.2">
      <c r="C372" s="567">
        <v>369</v>
      </c>
      <c r="D372" s="578"/>
      <c r="E372" s="579"/>
      <c r="F372" s="580"/>
      <c r="G372" s="581"/>
      <c r="H372" s="768"/>
      <c r="I372" s="771"/>
      <c r="J372" s="774"/>
      <c r="K372" s="777"/>
    </row>
    <row r="373" spans="3:11" x14ac:dyDescent="0.2">
      <c r="C373" s="567">
        <v>370</v>
      </c>
      <c r="D373" s="578"/>
      <c r="E373" s="579"/>
      <c r="F373" s="580"/>
      <c r="G373" s="581"/>
      <c r="H373" s="768"/>
      <c r="I373" s="771"/>
      <c r="J373" s="774"/>
      <c r="K373" s="777"/>
    </row>
    <row r="374" spans="3:11" x14ac:dyDescent="0.2">
      <c r="C374" s="567">
        <v>371</v>
      </c>
      <c r="D374" s="578"/>
      <c r="E374" s="579"/>
      <c r="F374" s="580"/>
      <c r="G374" s="581"/>
      <c r="H374" s="768"/>
      <c r="I374" s="771"/>
      <c r="J374" s="774"/>
      <c r="K374" s="777"/>
    </row>
    <row r="375" spans="3:11" x14ac:dyDescent="0.2">
      <c r="C375" s="567">
        <v>372</v>
      </c>
      <c r="D375" s="578"/>
      <c r="E375" s="579"/>
      <c r="F375" s="580"/>
      <c r="G375" s="581"/>
      <c r="H375" s="768"/>
      <c r="I375" s="771"/>
      <c r="J375" s="774"/>
      <c r="K375" s="777"/>
    </row>
    <row r="376" spans="3:11" x14ac:dyDescent="0.2">
      <c r="C376" s="567">
        <v>373</v>
      </c>
      <c r="D376" s="578"/>
      <c r="E376" s="579"/>
      <c r="F376" s="580"/>
      <c r="G376" s="581"/>
      <c r="H376" s="768"/>
      <c r="I376" s="771"/>
      <c r="J376" s="774"/>
      <c r="K376" s="777"/>
    </row>
    <row r="377" spans="3:11" x14ac:dyDescent="0.2">
      <c r="C377" s="567">
        <v>374</v>
      </c>
      <c r="D377" s="578"/>
      <c r="E377" s="579"/>
      <c r="F377" s="580"/>
      <c r="G377" s="581"/>
      <c r="H377" s="768"/>
      <c r="I377" s="771"/>
      <c r="J377" s="774"/>
      <c r="K377" s="777"/>
    </row>
    <row r="378" spans="3:11" x14ac:dyDescent="0.2">
      <c r="C378" s="567">
        <v>375</v>
      </c>
      <c r="D378" s="578"/>
      <c r="E378" s="579"/>
      <c r="F378" s="580"/>
      <c r="G378" s="581"/>
      <c r="H378" s="768"/>
      <c r="I378" s="771"/>
      <c r="J378" s="774"/>
      <c r="K378" s="777"/>
    </row>
    <row r="379" spans="3:11" x14ac:dyDescent="0.2">
      <c r="C379" s="567">
        <v>376</v>
      </c>
      <c r="D379" s="578"/>
      <c r="E379" s="579"/>
      <c r="F379" s="580"/>
      <c r="G379" s="581"/>
      <c r="H379" s="768"/>
      <c r="I379" s="771"/>
      <c r="J379" s="774"/>
      <c r="K379" s="777"/>
    </row>
    <row r="380" spans="3:11" x14ac:dyDescent="0.2">
      <c r="C380" s="567">
        <v>377</v>
      </c>
      <c r="D380" s="578"/>
      <c r="E380" s="579"/>
      <c r="F380" s="580"/>
      <c r="G380" s="581"/>
      <c r="H380" s="768"/>
      <c r="I380" s="771"/>
      <c r="J380" s="774"/>
      <c r="K380" s="777"/>
    </row>
    <row r="381" spans="3:11" x14ac:dyDescent="0.2">
      <c r="C381" s="567">
        <v>378</v>
      </c>
      <c r="D381" s="578"/>
      <c r="E381" s="579"/>
      <c r="F381" s="580"/>
      <c r="G381" s="581"/>
      <c r="H381" s="768"/>
      <c r="I381" s="771"/>
      <c r="J381" s="774"/>
      <c r="K381" s="777"/>
    </row>
    <row r="382" spans="3:11" x14ac:dyDescent="0.2">
      <c r="C382" s="567">
        <v>379</v>
      </c>
      <c r="D382" s="578"/>
      <c r="E382" s="579"/>
      <c r="F382" s="580"/>
      <c r="G382" s="581"/>
      <c r="H382" s="768"/>
      <c r="I382" s="771"/>
      <c r="J382" s="774"/>
      <c r="K382" s="777"/>
    </row>
    <row r="383" spans="3:11" x14ac:dyDescent="0.2">
      <c r="C383" s="567">
        <v>380</v>
      </c>
      <c r="D383" s="578"/>
      <c r="E383" s="579"/>
      <c r="F383" s="580"/>
      <c r="G383" s="581"/>
      <c r="H383" s="768"/>
      <c r="I383" s="771"/>
      <c r="J383" s="774"/>
      <c r="K383" s="777"/>
    </row>
    <row r="384" spans="3:11" x14ac:dyDescent="0.2">
      <c r="C384" s="567">
        <v>381</v>
      </c>
      <c r="D384" s="578"/>
      <c r="E384" s="579"/>
      <c r="F384" s="580"/>
      <c r="G384" s="581"/>
      <c r="H384" s="768"/>
      <c r="I384" s="771"/>
      <c r="J384" s="774"/>
      <c r="K384" s="777"/>
    </row>
    <row r="385" spans="3:11" x14ac:dyDescent="0.2">
      <c r="C385" s="567">
        <v>382</v>
      </c>
      <c r="D385" s="578"/>
      <c r="E385" s="579"/>
      <c r="F385" s="580"/>
      <c r="G385" s="581"/>
      <c r="H385" s="768"/>
      <c r="I385" s="771"/>
      <c r="J385" s="774"/>
      <c r="K385" s="777"/>
    </row>
    <row r="386" spans="3:11" x14ac:dyDescent="0.2">
      <c r="C386" s="567">
        <v>383</v>
      </c>
      <c r="D386" s="578"/>
      <c r="E386" s="579"/>
      <c r="F386" s="580"/>
      <c r="G386" s="581"/>
      <c r="H386" s="768"/>
      <c r="I386" s="771"/>
      <c r="J386" s="774"/>
      <c r="K386" s="777"/>
    </row>
    <row r="387" spans="3:11" x14ac:dyDescent="0.2">
      <c r="C387" s="567">
        <v>384</v>
      </c>
      <c r="D387" s="578"/>
      <c r="E387" s="579"/>
      <c r="F387" s="580"/>
      <c r="G387" s="581"/>
      <c r="H387" s="768"/>
      <c r="I387" s="771"/>
      <c r="J387" s="774"/>
      <c r="K387" s="777"/>
    </row>
    <row r="388" spans="3:11" x14ac:dyDescent="0.2">
      <c r="C388" s="567">
        <v>385</v>
      </c>
      <c r="D388" s="578"/>
      <c r="E388" s="579"/>
      <c r="F388" s="580"/>
      <c r="G388" s="581"/>
      <c r="H388" s="768"/>
      <c r="I388" s="771"/>
      <c r="J388" s="774"/>
      <c r="K388" s="777"/>
    </row>
    <row r="389" spans="3:11" x14ac:dyDescent="0.2">
      <c r="C389" s="567">
        <v>386</v>
      </c>
      <c r="D389" s="578"/>
      <c r="E389" s="579"/>
      <c r="F389" s="580"/>
      <c r="G389" s="581"/>
      <c r="H389" s="768"/>
      <c r="I389" s="771"/>
      <c r="J389" s="774"/>
      <c r="K389" s="777"/>
    </row>
    <row r="390" spans="3:11" x14ac:dyDescent="0.2">
      <c r="C390" s="567">
        <v>387</v>
      </c>
      <c r="D390" s="578"/>
      <c r="E390" s="579"/>
      <c r="F390" s="580"/>
      <c r="G390" s="581"/>
      <c r="H390" s="768"/>
      <c r="I390" s="771"/>
      <c r="J390" s="774"/>
      <c r="K390" s="777"/>
    </row>
    <row r="391" spans="3:11" x14ac:dyDescent="0.2">
      <c r="C391" s="567">
        <v>388</v>
      </c>
      <c r="D391" s="578"/>
      <c r="E391" s="579"/>
      <c r="F391" s="580"/>
      <c r="G391" s="581"/>
      <c r="H391" s="768"/>
      <c r="I391" s="771"/>
      <c r="J391" s="774"/>
      <c r="K391" s="777"/>
    </row>
    <row r="392" spans="3:11" x14ac:dyDescent="0.2">
      <c r="C392" s="567">
        <v>389</v>
      </c>
      <c r="D392" s="578"/>
      <c r="E392" s="579"/>
      <c r="F392" s="580"/>
      <c r="G392" s="581"/>
      <c r="H392" s="768"/>
      <c r="I392" s="771"/>
      <c r="J392" s="774"/>
      <c r="K392" s="777"/>
    </row>
    <row r="393" spans="3:11" x14ac:dyDescent="0.2">
      <c r="C393" s="567">
        <v>390</v>
      </c>
      <c r="D393" s="578"/>
      <c r="E393" s="579"/>
      <c r="F393" s="580"/>
      <c r="G393" s="581"/>
      <c r="H393" s="768"/>
      <c r="I393" s="771"/>
      <c r="J393" s="774"/>
      <c r="K393" s="777"/>
    </row>
    <row r="394" spans="3:11" x14ac:dyDescent="0.2">
      <c r="C394" s="567">
        <v>391</v>
      </c>
      <c r="D394" s="578"/>
      <c r="E394" s="579"/>
      <c r="F394" s="580"/>
      <c r="G394" s="581"/>
      <c r="H394" s="768"/>
      <c r="I394" s="771"/>
      <c r="J394" s="774"/>
      <c r="K394" s="777"/>
    </row>
    <row r="395" spans="3:11" x14ac:dyDescent="0.2">
      <c r="C395" s="567">
        <v>392</v>
      </c>
      <c r="D395" s="578"/>
      <c r="E395" s="579"/>
      <c r="F395" s="580"/>
      <c r="G395" s="581"/>
      <c r="H395" s="768"/>
      <c r="I395" s="771"/>
      <c r="J395" s="774"/>
      <c r="K395" s="777"/>
    </row>
    <row r="396" spans="3:11" x14ac:dyDescent="0.2">
      <c r="C396" s="567">
        <v>393</v>
      </c>
      <c r="D396" s="578"/>
      <c r="E396" s="579"/>
      <c r="F396" s="580"/>
      <c r="G396" s="581"/>
      <c r="H396" s="768"/>
      <c r="I396" s="771"/>
      <c r="J396" s="774"/>
      <c r="K396" s="777"/>
    </row>
    <row r="397" spans="3:11" x14ac:dyDescent="0.2">
      <c r="C397" s="567">
        <v>394</v>
      </c>
      <c r="D397" s="578"/>
      <c r="E397" s="579"/>
      <c r="F397" s="580"/>
      <c r="G397" s="581"/>
      <c r="H397" s="768"/>
      <c r="I397" s="771"/>
      <c r="J397" s="774"/>
      <c r="K397" s="777"/>
    </row>
    <row r="398" spans="3:11" x14ac:dyDescent="0.2">
      <c r="C398" s="567">
        <v>395</v>
      </c>
      <c r="D398" s="578"/>
      <c r="E398" s="579"/>
      <c r="F398" s="580"/>
      <c r="G398" s="581"/>
      <c r="H398" s="768"/>
      <c r="I398" s="771"/>
      <c r="J398" s="774"/>
      <c r="K398" s="777"/>
    </row>
    <row r="399" spans="3:11" x14ac:dyDescent="0.2">
      <c r="C399" s="567">
        <v>396</v>
      </c>
      <c r="D399" s="578"/>
      <c r="E399" s="579"/>
      <c r="F399" s="580"/>
      <c r="G399" s="581"/>
      <c r="H399" s="768"/>
      <c r="I399" s="771"/>
      <c r="J399" s="774"/>
      <c r="K399" s="777"/>
    </row>
    <row r="400" spans="3:11" x14ac:dyDescent="0.2">
      <c r="C400" s="567">
        <v>397</v>
      </c>
      <c r="D400" s="578"/>
      <c r="E400" s="579"/>
      <c r="F400" s="580"/>
      <c r="G400" s="581"/>
      <c r="H400" s="768"/>
      <c r="I400" s="771"/>
      <c r="J400" s="774"/>
      <c r="K400" s="777"/>
    </row>
    <row r="401" spans="3:11" x14ac:dyDescent="0.2">
      <c r="C401" s="567">
        <v>398</v>
      </c>
      <c r="D401" s="578"/>
      <c r="E401" s="579"/>
      <c r="F401" s="580"/>
      <c r="G401" s="581"/>
      <c r="H401" s="768"/>
      <c r="I401" s="771"/>
      <c r="J401" s="774"/>
      <c r="K401" s="777"/>
    </row>
    <row r="402" spans="3:11" x14ac:dyDescent="0.2">
      <c r="C402" s="567">
        <v>399</v>
      </c>
      <c r="D402" s="578"/>
      <c r="E402" s="579"/>
      <c r="F402" s="580"/>
      <c r="G402" s="581"/>
      <c r="H402" s="768"/>
      <c r="I402" s="771"/>
      <c r="J402" s="774"/>
      <c r="K402" s="777"/>
    </row>
    <row r="403" spans="3:11" x14ac:dyDescent="0.2">
      <c r="C403" s="567">
        <v>400</v>
      </c>
      <c r="D403" s="578"/>
      <c r="E403" s="579"/>
      <c r="F403" s="580"/>
      <c r="G403" s="581"/>
      <c r="H403" s="768"/>
      <c r="I403" s="771"/>
      <c r="J403" s="774"/>
      <c r="K403" s="777"/>
    </row>
    <row r="404" spans="3:11" x14ac:dyDescent="0.2">
      <c r="C404" s="567">
        <v>401</v>
      </c>
      <c r="D404" s="578"/>
      <c r="E404" s="579"/>
      <c r="F404" s="580"/>
      <c r="G404" s="581"/>
      <c r="H404" s="768"/>
      <c r="I404" s="771"/>
      <c r="J404" s="774"/>
      <c r="K404" s="777"/>
    </row>
    <row r="405" spans="3:11" x14ac:dyDescent="0.2">
      <c r="C405" s="567">
        <v>402</v>
      </c>
      <c r="D405" s="578"/>
      <c r="E405" s="579"/>
      <c r="F405" s="580"/>
      <c r="G405" s="581"/>
      <c r="H405" s="768"/>
      <c r="I405" s="771"/>
      <c r="J405" s="774"/>
      <c r="K405" s="777"/>
    </row>
    <row r="406" spans="3:11" x14ac:dyDescent="0.2">
      <c r="C406" s="567">
        <v>403</v>
      </c>
      <c r="D406" s="578"/>
      <c r="E406" s="579"/>
      <c r="F406" s="580"/>
      <c r="G406" s="581"/>
      <c r="H406" s="768"/>
      <c r="I406" s="771"/>
      <c r="J406" s="774"/>
      <c r="K406" s="777"/>
    </row>
    <row r="407" spans="3:11" x14ac:dyDescent="0.2">
      <c r="C407" s="567">
        <v>404</v>
      </c>
      <c r="D407" s="578"/>
      <c r="E407" s="579"/>
      <c r="F407" s="580"/>
      <c r="G407" s="581"/>
      <c r="H407" s="768"/>
      <c r="I407" s="771"/>
      <c r="J407" s="774"/>
      <c r="K407" s="777"/>
    </row>
    <row r="408" spans="3:11" x14ac:dyDescent="0.2">
      <c r="C408" s="567">
        <v>405</v>
      </c>
      <c r="D408" s="578"/>
      <c r="E408" s="579"/>
      <c r="F408" s="580"/>
      <c r="G408" s="581"/>
      <c r="H408" s="768"/>
      <c r="I408" s="771"/>
      <c r="J408" s="774"/>
      <c r="K408" s="777"/>
    </row>
    <row r="409" spans="3:11" x14ac:dyDescent="0.2">
      <c r="C409" s="567">
        <v>406</v>
      </c>
      <c r="D409" s="578"/>
      <c r="E409" s="579"/>
      <c r="F409" s="580"/>
      <c r="G409" s="581"/>
      <c r="H409" s="768"/>
      <c r="I409" s="771"/>
      <c r="J409" s="774"/>
      <c r="K409" s="777"/>
    </row>
    <row r="410" spans="3:11" x14ac:dyDescent="0.2">
      <c r="C410" s="567">
        <v>407</v>
      </c>
      <c r="D410" s="578"/>
      <c r="E410" s="579"/>
      <c r="F410" s="580"/>
      <c r="G410" s="581"/>
      <c r="H410" s="768"/>
      <c r="I410" s="771"/>
      <c r="J410" s="774"/>
      <c r="K410" s="777"/>
    </row>
    <row r="411" spans="3:11" x14ac:dyDescent="0.2">
      <c r="C411" s="567">
        <v>408</v>
      </c>
      <c r="D411" s="578"/>
      <c r="E411" s="579"/>
      <c r="F411" s="580"/>
      <c r="G411" s="581"/>
      <c r="H411" s="768"/>
      <c r="I411" s="771"/>
      <c r="J411" s="774"/>
      <c r="K411" s="777"/>
    </row>
    <row r="412" spans="3:11" x14ac:dyDescent="0.2">
      <c r="C412" s="567">
        <v>409</v>
      </c>
      <c r="D412" s="578"/>
      <c r="E412" s="579"/>
      <c r="F412" s="580"/>
      <c r="G412" s="581"/>
      <c r="H412" s="768"/>
      <c r="I412" s="771"/>
      <c r="J412" s="774"/>
      <c r="K412" s="777"/>
    </row>
    <row r="413" spans="3:11" x14ac:dyDescent="0.2">
      <c r="C413" s="567">
        <v>410</v>
      </c>
      <c r="D413" s="578"/>
      <c r="E413" s="579"/>
      <c r="F413" s="580"/>
      <c r="G413" s="581"/>
      <c r="H413" s="768"/>
      <c r="I413" s="771"/>
      <c r="J413" s="774"/>
      <c r="K413" s="777"/>
    </row>
    <row r="414" spans="3:11" x14ac:dyDescent="0.2">
      <c r="C414" s="567">
        <v>411</v>
      </c>
      <c r="D414" s="578"/>
      <c r="E414" s="579"/>
      <c r="F414" s="580"/>
      <c r="G414" s="581"/>
      <c r="H414" s="768"/>
      <c r="I414" s="771"/>
      <c r="J414" s="774"/>
      <c r="K414" s="777"/>
    </row>
    <row r="415" spans="3:11" x14ac:dyDescent="0.2">
      <c r="C415" s="567">
        <v>412</v>
      </c>
      <c r="D415" s="578"/>
      <c r="E415" s="579"/>
      <c r="F415" s="580"/>
      <c r="G415" s="581"/>
      <c r="H415" s="768"/>
      <c r="I415" s="771"/>
      <c r="J415" s="774"/>
      <c r="K415" s="777"/>
    </row>
    <row r="416" spans="3:11" x14ac:dyDescent="0.2">
      <c r="C416" s="567">
        <v>413</v>
      </c>
      <c r="D416" s="578"/>
      <c r="E416" s="579"/>
      <c r="F416" s="580"/>
      <c r="G416" s="581"/>
      <c r="H416" s="768"/>
      <c r="I416" s="771"/>
      <c r="J416" s="774"/>
      <c r="K416" s="777"/>
    </row>
    <row r="417" spans="3:11" x14ac:dyDescent="0.2">
      <c r="C417" s="567">
        <v>414</v>
      </c>
      <c r="D417" s="578"/>
      <c r="E417" s="579"/>
      <c r="F417" s="580"/>
      <c r="G417" s="581"/>
      <c r="H417" s="768"/>
      <c r="I417" s="771"/>
      <c r="J417" s="774"/>
      <c r="K417" s="777"/>
    </row>
    <row r="418" spans="3:11" x14ac:dyDescent="0.2">
      <c r="C418" s="567">
        <v>415</v>
      </c>
      <c r="D418" s="578"/>
      <c r="E418" s="579"/>
      <c r="F418" s="580"/>
      <c r="G418" s="581"/>
      <c r="H418" s="768"/>
      <c r="I418" s="771"/>
      <c r="J418" s="774"/>
      <c r="K418" s="777"/>
    </row>
    <row r="419" spans="3:11" x14ac:dyDescent="0.2">
      <c r="C419" s="567">
        <v>416</v>
      </c>
      <c r="D419" s="578"/>
      <c r="E419" s="579"/>
      <c r="F419" s="580"/>
      <c r="G419" s="581"/>
      <c r="H419" s="768"/>
      <c r="I419" s="771"/>
      <c r="J419" s="774"/>
      <c r="K419" s="777"/>
    </row>
    <row r="420" spans="3:11" x14ac:dyDescent="0.2">
      <c r="C420" s="567">
        <v>417</v>
      </c>
      <c r="D420" s="578"/>
      <c r="E420" s="579"/>
      <c r="F420" s="580"/>
      <c r="G420" s="581"/>
      <c r="H420" s="768"/>
      <c r="I420" s="771"/>
      <c r="J420" s="774"/>
      <c r="K420" s="777"/>
    </row>
    <row r="421" spans="3:11" x14ac:dyDescent="0.2">
      <c r="C421" s="567">
        <v>418</v>
      </c>
      <c r="D421" s="578"/>
      <c r="E421" s="579"/>
      <c r="F421" s="580"/>
      <c r="G421" s="581"/>
      <c r="H421" s="768"/>
      <c r="I421" s="771"/>
      <c r="J421" s="774"/>
      <c r="K421" s="777"/>
    </row>
    <row r="422" spans="3:11" x14ac:dyDescent="0.2">
      <c r="C422" s="567">
        <v>419</v>
      </c>
      <c r="D422" s="578"/>
      <c r="E422" s="579"/>
      <c r="F422" s="580"/>
      <c r="G422" s="581"/>
      <c r="H422" s="768"/>
      <c r="I422" s="771"/>
      <c r="J422" s="774"/>
      <c r="K422" s="777"/>
    </row>
    <row r="423" spans="3:11" x14ac:dyDescent="0.2">
      <c r="C423" s="567">
        <v>420</v>
      </c>
      <c r="D423" s="578"/>
      <c r="E423" s="579"/>
      <c r="F423" s="580"/>
      <c r="G423" s="581"/>
      <c r="H423" s="768"/>
      <c r="I423" s="771"/>
      <c r="J423" s="774"/>
      <c r="K423" s="777"/>
    </row>
    <row r="424" spans="3:11" x14ac:dyDescent="0.2">
      <c r="C424" s="567">
        <v>421</v>
      </c>
      <c r="D424" s="578"/>
      <c r="E424" s="579"/>
      <c r="F424" s="580"/>
      <c r="G424" s="581"/>
      <c r="H424" s="768"/>
      <c r="I424" s="771"/>
      <c r="J424" s="774"/>
      <c r="K424" s="777"/>
    </row>
    <row r="425" spans="3:11" x14ac:dyDescent="0.2">
      <c r="C425" s="567">
        <v>422</v>
      </c>
      <c r="D425" s="578"/>
      <c r="E425" s="579"/>
      <c r="F425" s="580"/>
      <c r="G425" s="581"/>
      <c r="H425" s="768"/>
      <c r="I425" s="771"/>
      <c r="J425" s="774"/>
      <c r="K425" s="777"/>
    </row>
    <row r="426" spans="3:11" x14ac:dyDescent="0.2">
      <c r="C426" s="567">
        <v>423</v>
      </c>
      <c r="D426" s="578"/>
      <c r="E426" s="579"/>
      <c r="F426" s="580"/>
      <c r="G426" s="581"/>
      <c r="H426" s="768"/>
      <c r="I426" s="771"/>
      <c r="J426" s="774"/>
      <c r="K426" s="777"/>
    </row>
    <row r="427" spans="3:11" x14ac:dyDescent="0.2">
      <c r="C427" s="567">
        <v>424</v>
      </c>
      <c r="D427" s="578"/>
      <c r="E427" s="579"/>
      <c r="F427" s="580"/>
      <c r="G427" s="581"/>
      <c r="H427" s="768"/>
      <c r="I427" s="771"/>
      <c r="J427" s="774"/>
      <c r="K427" s="777"/>
    </row>
    <row r="428" spans="3:11" x14ac:dyDescent="0.2">
      <c r="C428" s="567">
        <v>425</v>
      </c>
      <c r="D428" s="578"/>
      <c r="E428" s="579"/>
      <c r="F428" s="580"/>
      <c r="G428" s="581"/>
      <c r="H428" s="768"/>
      <c r="I428" s="771"/>
      <c r="J428" s="774"/>
      <c r="K428" s="777"/>
    </row>
    <row r="429" spans="3:11" x14ac:dyDescent="0.2">
      <c r="C429" s="567">
        <v>426</v>
      </c>
      <c r="D429" s="578"/>
      <c r="E429" s="579"/>
      <c r="F429" s="580"/>
      <c r="G429" s="581"/>
      <c r="H429" s="768"/>
      <c r="I429" s="771"/>
      <c r="J429" s="774"/>
      <c r="K429" s="777"/>
    </row>
    <row r="430" spans="3:11" x14ac:dyDescent="0.2">
      <c r="C430" s="567">
        <v>427</v>
      </c>
      <c r="D430" s="578"/>
      <c r="E430" s="579"/>
      <c r="F430" s="580"/>
      <c r="G430" s="581"/>
      <c r="H430" s="768"/>
      <c r="I430" s="771"/>
      <c r="J430" s="774"/>
      <c r="K430" s="777"/>
    </row>
    <row r="431" spans="3:11" x14ac:dyDescent="0.2">
      <c r="C431" s="567">
        <v>428</v>
      </c>
      <c r="D431" s="578"/>
      <c r="E431" s="579"/>
      <c r="F431" s="580"/>
      <c r="G431" s="581"/>
      <c r="H431" s="768"/>
      <c r="I431" s="771"/>
      <c r="J431" s="774"/>
      <c r="K431" s="777"/>
    </row>
    <row r="432" spans="3:11" x14ac:dyDescent="0.2">
      <c r="C432" s="567">
        <v>429</v>
      </c>
      <c r="D432" s="578"/>
      <c r="E432" s="579"/>
      <c r="F432" s="580"/>
      <c r="G432" s="581"/>
      <c r="H432" s="768"/>
      <c r="I432" s="771"/>
      <c r="J432" s="774"/>
      <c r="K432" s="777"/>
    </row>
    <row r="433" spans="3:11" x14ac:dyDescent="0.2">
      <c r="C433" s="567">
        <v>430</v>
      </c>
      <c r="D433" s="578"/>
      <c r="E433" s="579"/>
      <c r="F433" s="580"/>
      <c r="G433" s="581"/>
      <c r="H433" s="768"/>
      <c r="I433" s="771"/>
      <c r="J433" s="774"/>
      <c r="K433" s="777"/>
    </row>
    <row r="434" spans="3:11" x14ac:dyDescent="0.2">
      <c r="C434" s="567">
        <v>431</v>
      </c>
      <c r="D434" s="578"/>
      <c r="E434" s="579"/>
      <c r="F434" s="580"/>
      <c r="G434" s="581"/>
      <c r="H434" s="768"/>
      <c r="I434" s="771"/>
      <c r="J434" s="774"/>
      <c r="K434" s="777"/>
    </row>
    <row r="435" spans="3:11" x14ac:dyDescent="0.2">
      <c r="C435" s="567">
        <v>432</v>
      </c>
      <c r="D435" s="578"/>
      <c r="E435" s="579"/>
      <c r="F435" s="580"/>
      <c r="G435" s="581"/>
      <c r="H435" s="768"/>
      <c r="I435" s="771"/>
      <c r="J435" s="774"/>
      <c r="K435" s="777"/>
    </row>
    <row r="436" spans="3:11" x14ac:dyDescent="0.2">
      <c r="C436" s="567">
        <v>433</v>
      </c>
      <c r="D436" s="578"/>
      <c r="E436" s="579"/>
      <c r="F436" s="580"/>
      <c r="G436" s="581"/>
      <c r="H436" s="768"/>
      <c r="I436" s="771"/>
      <c r="J436" s="774"/>
      <c r="K436" s="777"/>
    </row>
    <row r="437" spans="3:11" x14ac:dyDescent="0.2">
      <c r="C437" s="567">
        <v>434</v>
      </c>
      <c r="D437" s="578"/>
      <c r="E437" s="579"/>
      <c r="F437" s="580"/>
      <c r="G437" s="581"/>
      <c r="H437" s="768"/>
      <c r="I437" s="771"/>
      <c r="J437" s="774"/>
      <c r="K437" s="777"/>
    </row>
    <row r="438" spans="3:11" x14ac:dyDescent="0.2">
      <c r="C438" s="567">
        <v>435</v>
      </c>
      <c r="D438" s="578"/>
      <c r="E438" s="579"/>
      <c r="F438" s="580"/>
      <c r="G438" s="581"/>
      <c r="H438" s="768"/>
      <c r="I438" s="771"/>
      <c r="J438" s="774"/>
      <c r="K438" s="777"/>
    </row>
    <row r="439" spans="3:11" x14ac:dyDescent="0.2">
      <c r="C439" s="567">
        <v>436</v>
      </c>
      <c r="D439" s="578"/>
      <c r="E439" s="579"/>
      <c r="F439" s="580"/>
      <c r="G439" s="581"/>
      <c r="H439" s="768"/>
      <c r="I439" s="771"/>
      <c r="J439" s="774"/>
      <c r="K439" s="777"/>
    </row>
    <row r="440" spans="3:11" x14ac:dyDescent="0.2">
      <c r="C440" s="567">
        <v>437</v>
      </c>
      <c r="D440" s="578"/>
      <c r="E440" s="579"/>
      <c r="F440" s="580"/>
      <c r="G440" s="581"/>
      <c r="H440" s="768"/>
      <c r="I440" s="771"/>
      <c r="J440" s="774"/>
      <c r="K440" s="777"/>
    </row>
    <row r="441" spans="3:11" x14ac:dyDescent="0.2">
      <c r="C441" s="567">
        <v>438</v>
      </c>
      <c r="D441" s="578"/>
      <c r="E441" s="579"/>
      <c r="F441" s="580"/>
      <c r="G441" s="581"/>
      <c r="H441" s="768"/>
      <c r="I441" s="771"/>
      <c r="J441" s="774"/>
      <c r="K441" s="777"/>
    </row>
    <row r="442" spans="3:11" x14ac:dyDescent="0.2">
      <c r="C442" s="567">
        <v>439</v>
      </c>
      <c r="D442" s="578"/>
      <c r="E442" s="579"/>
      <c r="F442" s="580"/>
      <c r="G442" s="581"/>
      <c r="H442" s="768"/>
      <c r="I442" s="771"/>
      <c r="J442" s="774"/>
      <c r="K442" s="777"/>
    </row>
    <row r="443" spans="3:11" x14ac:dyDescent="0.2">
      <c r="C443" s="567">
        <v>440</v>
      </c>
      <c r="D443" s="578"/>
      <c r="E443" s="579"/>
      <c r="F443" s="580"/>
      <c r="G443" s="581"/>
      <c r="H443" s="768"/>
      <c r="I443" s="771"/>
      <c r="J443" s="774"/>
      <c r="K443" s="777"/>
    </row>
    <row r="444" spans="3:11" x14ac:dyDescent="0.2">
      <c r="C444" s="567">
        <v>441</v>
      </c>
      <c r="D444" s="578"/>
      <c r="E444" s="579"/>
      <c r="F444" s="580"/>
      <c r="G444" s="581"/>
      <c r="H444" s="768"/>
      <c r="I444" s="771"/>
      <c r="J444" s="774"/>
      <c r="K444" s="777"/>
    </row>
    <row r="445" spans="3:11" x14ac:dyDescent="0.2">
      <c r="C445" s="567">
        <v>442</v>
      </c>
      <c r="D445" s="578"/>
      <c r="E445" s="579"/>
      <c r="F445" s="580"/>
      <c r="G445" s="581"/>
      <c r="H445" s="768"/>
      <c r="I445" s="771"/>
      <c r="J445" s="774"/>
      <c r="K445" s="777"/>
    </row>
    <row r="446" spans="3:11" x14ac:dyDescent="0.2">
      <c r="C446" s="567">
        <v>443</v>
      </c>
      <c r="D446" s="578"/>
      <c r="E446" s="579"/>
      <c r="F446" s="580"/>
      <c r="G446" s="581"/>
      <c r="H446" s="768"/>
      <c r="I446" s="771"/>
      <c r="J446" s="774"/>
      <c r="K446" s="777"/>
    </row>
    <row r="447" spans="3:11" x14ac:dyDescent="0.2">
      <c r="C447" s="567">
        <v>444</v>
      </c>
      <c r="D447" s="578"/>
      <c r="E447" s="579"/>
      <c r="F447" s="580"/>
      <c r="G447" s="581"/>
      <c r="H447" s="768"/>
      <c r="I447" s="771"/>
      <c r="J447" s="774"/>
      <c r="K447" s="777"/>
    </row>
    <row r="448" spans="3:11" x14ac:dyDescent="0.2">
      <c r="C448" s="567">
        <v>445</v>
      </c>
      <c r="D448" s="578"/>
      <c r="E448" s="579"/>
      <c r="F448" s="580"/>
      <c r="G448" s="581"/>
      <c r="H448" s="768"/>
      <c r="I448" s="771"/>
      <c r="J448" s="774"/>
      <c r="K448" s="777"/>
    </row>
    <row r="449" spans="3:11" x14ac:dyDescent="0.2">
      <c r="C449" s="567">
        <v>446</v>
      </c>
      <c r="D449" s="578"/>
      <c r="E449" s="579"/>
      <c r="F449" s="580"/>
      <c r="G449" s="581"/>
      <c r="H449" s="768"/>
      <c r="I449" s="771"/>
      <c r="J449" s="774"/>
      <c r="K449" s="777"/>
    </row>
    <row r="450" spans="3:11" x14ac:dyDescent="0.2">
      <c r="C450" s="567">
        <v>447</v>
      </c>
      <c r="D450" s="578"/>
      <c r="E450" s="579"/>
      <c r="F450" s="580"/>
      <c r="G450" s="581"/>
      <c r="H450" s="768"/>
      <c r="I450" s="771"/>
      <c r="J450" s="774"/>
      <c r="K450" s="777"/>
    </row>
    <row r="451" spans="3:11" x14ac:dyDescent="0.2">
      <c r="C451" s="567">
        <v>448</v>
      </c>
      <c r="D451" s="578"/>
      <c r="E451" s="579"/>
      <c r="F451" s="580"/>
      <c r="G451" s="581"/>
      <c r="H451" s="768"/>
      <c r="I451" s="771"/>
      <c r="J451" s="774"/>
      <c r="K451" s="777"/>
    </row>
    <row r="452" spans="3:11" x14ac:dyDescent="0.2">
      <c r="C452" s="567">
        <v>449</v>
      </c>
      <c r="D452" s="578"/>
      <c r="E452" s="579"/>
      <c r="F452" s="580"/>
      <c r="G452" s="581"/>
      <c r="H452" s="768"/>
      <c r="I452" s="771"/>
      <c r="J452" s="774"/>
      <c r="K452" s="777"/>
    </row>
    <row r="453" spans="3:11" x14ac:dyDescent="0.2">
      <c r="C453" s="567">
        <v>450</v>
      </c>
      <c r="D453" s="578"/>
      <c r="E453" s="579"/>
      <c r="F453" s="580"/>
      <c r="G453" s="581"/>
      <c r="H453" s="768"/>
      <c r="I453" s="771"/>
      <c r="J453" s="774"/>
      <c r="K453" s="777"/>
    </row>
    <row r="454" spans="3:11" x14ac:dyDescent="0.2">
      <c r="C454" s="567">
        <v>451</v>
      </c>
      <c r="D454" s="578"/>
      <c r="E454" s="579"/>
      <c r="F454" s="580"/>
      <c r="G454" s="581"/>
      <c r="H454" s="768"/>
      <c r="I454" s="771"/>
      <c r="J454" s="774"/>
      <c r="K454" s="777"/>
    </row>
    <row r="455" spans="3:11" x14ac:dyDescent="0.2">
      <c r="C455" s="567">
        <v>452</v>
      </c>
      <c r="D455" s="578"/>
      <c r="E455" s="579"/>
      <c r="F455" s="580"/>
      <c r="G455" s="581"/>
      <c r="H455" s="768"/>
      <c r="I455" s="771"/>
      <c r="J455" s="774"/>
      <c r="K455" s="777"/>
    </row>
    <row r="456" spans="3:11" x14ac:dyDescent="0.2">
      <c r="C456" s="567">
        <v>453</v>
      </c>
      <c r="D456" s="578"/>
      <c r="E456" s="579"/>
      <c r="F456" s="580"/>
      <c r="G456" s="581"/>
      <c r="H456" s="768"/>
      <c r="I456" s="771"/>
      <c r="J456" s="774"/>
      <c r="K456" s="777"/>
    </row>
    <row r="457" spans="3:11" x14ac:dyDescent="0.2">
      <c r="C457" s="567">
        <v>454</v>
      </c>
      <c r="D457" s="578"/>
      <c r="E457" s="579"/>
      <c r="F457" s="580"/>
      <c r="G457" s="581"/>
      <c r="H457" s="768"/>
      <c r="I457" s="771"/>
      <c r="J457" s="774"/>
      <c r="K457" s="777"/>
    </row>
    <row r="458" spans="3:11" x14ac:dyDescent="0.2">
      <c r="C458" s="567">
        <v>455</v>
      </c>
      <c r="D458" s="578"/>
      <c r="E458" s="579"/>
      <c r="F458" s="580"/>
      <c r="G458" s="581"/>
      <c r="H458" s="768"/>
      <c r="I458" s="771"/>
      <c r="J458" s="774"/>
      <c r="K458" s="777"/>
    </row>
    <row r="459" spans="3:11" x14ac:dyDescent="0.2">
      <c r="C459" s="567">
        <v>456</v>
      </c>
      <c r="D459" s="578"/>
      <c r="E459" s="579"/>
      <c r="F459" s="580"/>
      <c r="G459" s="581"/>
      <c r="H459" s="768"/>
      <c r="I459" s="771"/>
      <c r="J459" s="774"/>
      <c r="K459" s="777"/>
    </row>
    <row r="460" spans="3:11" x14ac:dyDescent="0.2">
      <c r="C460" s="567">
        <v>457</v>
      </c>
      <c r="D460" s="578"/>
      <c r="E460" s="579"/>
      <c r="F460" s="580"/>
      <c r="G460" s="581"/>
      <c r="H460" s="768"/>
      <c r="I460" s="771"/>
      <c r="J460" s="774"/>
      <c r="K460" s="777"/>
    </row>
    <row r="461" spans="3:11" x14ac:dyDescent="0.2">
      <c r="C461" s="567">
        <v>458</v>
      </c>
      <c r="D461" s="578"/>
      <c r="E461" s="579"/>
      <c r="F461" s="580"/>
      <c r="G461" s="581"/>
      <c r="H461" s="768"/>
      <c r="I461" s="771"/>
      <c r="J461" s="774"/>
      <c r="K461" s="777"/>
    </row>
    <row r="462" spans="3:11" x14ac:dyDescent="0.2">
      <c r="C462" s="567">
        <v>459</v>
      </c>
      <c r="D462" s="578"/>
      <c r="E462" s="579"/>
      <c r="F462" s="580"/>
      <c r="G462" s="581"/>
      <c r="H462" s="768"/>
      <c r="I462" s="771"/>
      <c r="J462" s="774"/>
      <c r="K462" s="777"/>
    </row>
    <row r="463" spans="3:11" x14ac:dyDescent="0.2">
      <c r="C463" s="567">
        <v>460</v>
      </c>
      <c r="D463" s="578"/>
      <c r="E463" s="579"/>
      <c r="F463" s="580"/>
      <c r="G463" s="581"/>
      <c r="H463" s="768"/>
      <c r="I463" s="771"/>
      <c r="J463" s="774"/>
      <c r="K463" s="777"/>
    </row>
    <row r="464" spans="3:11" x14ac:dyDescent="0.2">
      <c r="C464" s="567">
        <v>461</v>
      </c>
      <c r="D464" s="578"/>
      <c r="E464" s="579"/>
      <c r="F464" s="580"/>
      <c r="G464" s="581"/>
      <c r="H464" s="768"/>
      <c r="I464" s="771"/>
      <c r="J464" s="774"/>
      <c r="K464" s="777"/>
    </row>
    <row r="465" spans="3:11" x14ac:dyDescent="0.2">
      <c r="C465" s="567">
        <v>462</v>
      </c>
      <c r="D465" s="578"/>
      <c r="E465" s="579"/>
      <c r="F465" s="580"/>
      <c r="G465" s="581"/>
      <c r="H465" s="768"/>
      <c r="I465" s="771"/>
      <c r="J465" s="774"/>
      <c r="K465" s="777"/>
    </row>
    <row r="466" spans="3:11" x14ac:dyDescent="0.2">
      <c r="C466" s="567">
        <v>463</v>
      </c>
      <c r="D466" s="578"/>
      <c r="E466" s="579"/>
      <c r="F466" s="580"/>
      <c r="G466" s="581"/>
      <c r="H466" s="768"/>
      <c r="I466" s="771"/>
      <c r="J466" s="774"/>
      <c r="K466" s="777"/>
    </row>
    <row r="467" spans="3:11" x14ac:dyDescent="0.2">
      <c r="C467" s="567">
        <v>464</v>
      </c>
      <c r="D467" s="578"/>
      <c r="E467" s="579"/>
      <c r="F467" s="580"/>
      <c r="G467" s="581"/>
      <c r="H467" s="768"/>
      <c r="I467" s="771"/>
      <c r="J467" s="774"/>
      <c r="K467" s="777"/>
    </row>
    <row r="468" spans="3:11" x14ac:dyDescent="0.2">
      <c r="C468" s="567">
        <v>465</v>
      </c>
      <c r="D468" s="578"/>
      <c r="E468" s="579"/>
      <c r="F468" s="580"/>
      <c r="G468" s="581"/>
      <c r="H468" s="768"/>
      <c r="I468" s="771"/>
      <c r="J468" s="774"/>
      <c r="K468" s="777"/>
    </row>
    <row r="469" spans="3:11" x14ac:dyDescent="0.2">
      <c r="C469" s="567">
        <v>466</v>
      </c>
      <c r="D469" s="578"/>
      <c r="E469" s="579"/>
      <c r="F469" s="580"/>
      <c r="G469" s="581"/>
      <c r="H469" s="768"/>
      <c r="I469" s="771"/>
      <c r="J469" s="774"/>
      <c r="K469" s="777"/>
    </row>
    <row r="470" spans="3:11" x14ac:dyDescent="0.2">
      <c r="C470" s="567">
        <v>467</v>
      </c>
      <c r="D470" s="578"/>
      <c r="E470" s="579"/>
      <c r="F470" s="580"/>
      <c r="G470" s="581"/>
      <c r="H470" s="768"/>
      <c r="I470" s="771"/>
      <c r="J470" s="774"/>
      <c r="K470" s="777"/>
    </row>
    <row r="471" spans="3:11" x14ac:dyDescent="0.2">
      <c r="C471" s="567">
        <v>468</v>
      </c>
      <c r="D471" s="578"/>
      <c r="E471" s="579"/>
      <c r="F471" s="580"/>
      <c r="G471" s="581"/>
      <c r="H471" s="768"/>
      <c r="I471" s="771"/>
      <c r="J471" s="774"/>
      <c r="K471" s="777"/>
    </row>
    <row r="472" spans="3:11" x14ac:dyDescent="0.2">
      <c r="C472" s="567">
        <v>469</v>
      </c>
      <c r="D472" s="578"/>
      <c r="E472" s="579"/>
      <c r="F472" s="580"/>
      <c r="G472" s="581"/>
      <c r="H472" s="768"/>
      <c r="I472" s="771"/>
      <c r="J472" s="774"/>
      <c r="K472" s="777"/>
    </row>
    <row r="473" spans="3:11" x14ac:dyDescent="0.2">
      <c r="C473" s="567">
        <v>470</v>
      </c>
      <c r="D473" s="578"/>
      <c r="E473" s="579"/>
      <c r="F473" s="580"/>
      <c r="G473" s="581"/>
      <c r="H473" s="768"/>
      <c r="I473" s="771"/>
      <c r="J473" s="774"/>
      <c r="K473" s="777"/>
    </row>
    <row r="474" spans="3:11" x14ac:dyDescent="0.2">
      <c r="C474" s="567">
        <v>471</v>
      </c>
      <c r="D474" s="578"/>
      <c r="E474" s="579"/>
      <c r="F474" s="580"/>
      <c r="G474" s="581"/>
      <c r="H474" s="768"/>
      <c r="I474" s="771"/>
      <c r="J474" s="774"/>
      <c r="K474" s="777"/>
    </row>
    <row r="475" spans="3:11" x14ac:dyDescent="0.2">
      <c r="C475" s="567">
        <v>472</v>
      </c>
      <c r="D475" s="578"/>
      <c r="E475" s="579"/>
      <c r="F475" s="580"/>
      <c r="G475" s="581"/>
      <c r="H475" s="768"/>
      <c r="I475" s="771"/>
      <c r="J475" s="774"/>
      <c r="K475" s="777"/>
    </row>
    <row r="476" spans="3:11" x14ac:dyDescent="0.2">
      <c r="C476" s="567">
        <v>473</v>
      </c>
      <c r="D476" s="578"/>
      <c r="E476" s="579"/>
      <c r="F476" s="580"/>
      <c r="G476" s="581"/>
      <c r="H476" s="768"/>
      <c r="I476" s="771"/>
      <c r="J476" s="774"/>
      <c r="K476" s="777"/>
    </row>
    <row r="477" spans="3:11" x14ac:dyDescent="0.2">
      <c r="C477" s="567">
        <v>474</v>
      </c>
      <c r="D477" s="578"/>
      <c r="E477" s="579"/>
      <c r="F477" s="580"/>
      <c r="G477" s="581"/>
      <c r="H477" s="768"/>
      <c r="I477" s="771"/>
      <c r="J477" s="774"/>
      <c r="K477" s="777"/>
    </row>
    <row r="478" spans="3:11" x14ac:dyDescent="0.2">
      <c r="C478" s="567">
        <v>475</v>
      </c>
      <c r="D478" s="578"/>
      <c r="E478" s="579"/>
      <c r="F478" s="580"/>
      <c r="G478" s="581"/>
      <c r="H478" s="768"/>
      <c r="I478" s="771"/>
      <c r="J478" s="774"/>
      <c r="K478" s="777"/>
    </row>
    <row r="479" spans="3:11" x14ac:dyDescent="0.2">
      <c r="C479" s="567">
        <v>476</v>
      </c>
      <c r="D479" s="578"/>
      <c r="E479" s="579"/>
      <c r="F479" s="580"/>
      <c r="G479" s="581"/>
      <c r="H479" s="768"/>
      <c r="I479" s="771"/>
      <c r="J479" s="774"/>
      <c r="K479" s="777"/>
    </row>
    <row r="480" spans="3:11" x14ac:dyDescent="0.2">
      <c r="C480" s="567">
        <v>477</v>
      </c>
      <c r="D480" s="578"/>
      <c r="E480" s="579"/>
      <c r="F480" s="580"/>
      <c r="G480" s="581"/>
      <c r="H480" s="768"/>
      <c r="I480" s="771"/>
      <c r="J480" s="774"/>
      <c r="K480" s="777"/>
    </row>
    <row r="481" spans="3:11" x14ac:dyDescent="0.2">
      <c r="C481" s="567">
        <v>478</v>
      </c>
      <c r="D481" s="578"/>
      <c r="E481" s="579"/>
      <c r="F481" s="580"/>
      <c r="G481" s="581"/>
      <c r="H481" s="768"/>
      <c r="I481" s="771"/>
      <c r="J481" s="774"/>
      <c r="K481" s="777"/>
    </row>
    <row r="482" spans="3:11" x14ac:dyDescent="0.2">
      <c r="C482" s="567">
        <v>479</v>
      </c>
      <c r="D482" s="578"/>
      <c r="E482" s="579"/>
      <c r="F482" s="580"/>
      <c r="G482" s="581"/>
      <c r="H482" s="768"/>
      <c r="I482" s="771"/>
      <c r="J482" s="774"/>
      <c r="K482" s="777"/>
    </row>
    <row r="483" spans="3:11" x14ac:dyDescent="0.2">
      <c r="C483" s="567">
        <v>480</v>
      </c>
      <c r="D483" s="578"/>
      <c r="E483" s="579"/>
      <c r="F483" s="580"/>
      <c r="G483" s="581"/>
      <c r="H483" s="768"/>
      <c r="I483" s="771"/>
      <c r="J483" s="774"/>
      <c r="K483" s="777"/>
    </row>
    <row r="484" spans="3:11" x14ac:dyDescent="0.2">
      <c r="C484" s="567">
        <v>481</v>
      </c>
      <c r="D484" s="578"/>
      <c r="E484" s="579"/>
      <c r="F484" s="580"/>
      <c r="G484" s="581"/>
      <c r="H484" s="768"/>
      <c r="I484" s="771"/>
      <c r="J484" s="774"/>
      <c r="K484" s="777"/>
    </row>
    <row r="485" spans="3:11" x14ac:dyDescent="0.2">
      <c r="C485" s="567">
        <v>482</v>
      </c>
      <c r="D485" s="578"/>
      <c r="E485" s="579"/>
      <c r="F485" s="580"/>
      <c r="G485" s="581"/>
      <c r="H485" s="768"/>
      <c r="I485" s="771"/>
      <c r="J485" s="774"/>
      <c r="K485" s="777"/>
    </row>
    <row r="486" spans="3:11" x14ac:dyDescent="0.2">
      <c r="C486" s="567">
        <v>483</v>
      </c>
      <c r="D486" s="578"/>
      <c r="E486" s="579"/>
      <c r="F486" s="580"/>
      <c r="G486" s="581"/>
      <c r="H486" s="768"/>
      <c r="I486" s="771"/>
      <c r="J486" s="774"/>
      <c r="K486" s="777"/>
    </row>
    <row r="487" spans="3:11" x14ac:dyDescent="0.2">
      <c r="C487" s="567">
        <v>484</v>
      </c>
      <c r="D487" s="578"/>
      <c r="E487" s="579"/>
      <c r="F487" s="580"/>
      <c r="G487" s="581"/>
      <c r="H487" s="768"/>
      <c r="I487" s="771"/>
      <c r="J487" s="774"/>
      <c r="K487" s="777"/>
    </row>
    <row r="488" spans="3:11" x14ac:dyDescent="0.2">
      <c r="C488" s="567">
        <v>485</v>
      </c>
      <c r="D488" s="578"/>
      <c r="E488" s="579"/>
      <c r="F488" s="580"/>
      <c r="G488" s="581"/>
      <c r="H488" s="768"/>
      <c r="I488" s="771"/>
      <c r="J488" s="774"/>
      <c r="K488" s="777"/>
    </row>
    <row r="489" spans="3:11" x14ac:dyDescent="0.2">
      <c r="C489" s="567">
        <v>486</v>
      </c>
      <c r="D489" s="578"/>
      <c r="E489" s="579"/>
      <c r="F489" s="580"/>
      <c r="G489" s="581"/>
      <c r="H489" s="768"/>
      <c r="I489" s="771"/>
      <c r="J489" s="774"/>
      <c r="K489" s="777"/>
    </row>
    <row r="490" spans="3:11" x14ac:dyDescent="0.2">
      <c r="C490" s="567">
        <v>487</v>
      </c>
      <c r="D490" s="578"/>
      <c r="E490" s="579"/>
      <c r="F490" s="580"/>
      <c r="G490" s="581"/>
      <c r="H490" s="768"/>
      <c r="I490" s="771"/>
      <c r="J490" s="774"/>
      <c r="K490" s="777"/>
    </row>
    <row r="491" spans="3:11" x14ac:dyDescent="0.2">
      <c r="C491" s="567">
        <v>488</v>
      </c>
      <c r="D491" s="578"/>
      <c r="E491" s="579"/>
      <c r="F491" s="580"/>
      <c r="G491" s="581"/>
      <c r="H491" s="768"/>
      <c r="I491" s="771"/>
      <c r="J491" s="774"/>
      <c r="K491" s="777"/>
    </row>
    <row r="492" spans="3:11" x14ac:dyDescent="0.2">
      <c r="C492" s="567">
        <v>489</v>
      </c>
      <c r="D492" s="578"/>
      <c r="E492" s="579"/>
      <c r="F492" s="580"/>
      <c r="G492" s="581"/>
      <c r="H492" s="768"/>
      <c r="I492" s="771"/>
      <c r="J492" s="774"/>
      <c r="K492" s="777"/>
    </row>
    <row r="493" spans="3:11" x14ac:dyDescent="0.2">
      <c r="C493" s="567">
        <v>490</v>
      </c>
      <c r="D493" s="578"/>
      <c r="E493" s="579"/>
      <c r="F493" s="580"/>
      <c r="G493" s="581"/>
      <c r="H493" s="768"/>
      <c r="I493" s="771"/>
      <c r="J493" s="774"/>
      <c r="K493" s="777"/>
    </row>
    <row r="494" spans="3:11" x14ac:dyDescent="0.2">
      <c r="C494" s="567">
        <v>491</v>
      </c>
      <c r="D494" s="578"/>
      <c r="E494" s="579"/>
      <c r="F494" s="580"/>
      <c r="G494" s="581"/>
      <c r="H494" s="768"/>
      <c r="I494" s="771"/>
      <c r="J494" s="774"/>
      <c r="K494" s="777"/>
    </row>
    <row r="495" spans="3:11" x14ac:dyDescent="0.2">
      <c r="C495" s="567">
        <v>492</v>
      </c>
      <c r="D495" s="578"/>
      <c r="E495" s="579"/>
      <c r="F495" s="580"/>
      <c r="G495" s="581"/>
      <c r="H495" s="768"/>
      <c r="I495" s="771"/>
      <c r="J495" s="774"/>
      <c r="K495" s="777"/>
    </row>
    <row r="496" spans="3:11" x14ac:dyDescent="0.2">
      <c r="C496" s="567">
        <v>493</v>
      </c>
      <c r="D496" s="578"/>
      <c r="E496" s="579"/>
      <c r="F496" s="580"/>
      <c r="G496" s="581"/>
      <c r="H496" s="768"/>
      <c r="I496" s="771"/>
      <c r="J496" s="774"/>
      <c r="K496" s="777"/>
    </row>
    <row r="497" spans="3:11" x14ac:dyDescent="0.2">
      <c r="C497" s="567">
        <v>494</v>
      </c>
      <c r="D497" s="578"/>
      <c r="E497" s="579"/>
      <c r="F497" s="580"/>
      <c r="G497" s="581"/>
      <c r="H497" s="768"/>
      <c r="I497" s="771"/>
      <c r="J497" s="774"/>
      <c r="K497" s="777"/>
    </row>
    <row r="498" spans="3:11" x14ac:dyDescent="0.2">
      <c r="C498" s="567">
        <v>495</v>
      </c>
      <c r="D498" s="578"/>
      <c r="E498" s="579"/>
      <c r="F498" s="580"/>
      <c r="G498" s="581"/>
      <c r="H498" s="768"/>
      <c r="I498" s="771"/>
      <c r="J498" s="774"/>
      <c r="K498" s="777"/>
    </row>
    <row r="499" spans="3:11" x14ac:dyDescent="0.2">
      <c r="C499" s="567">
        <v>496</v>
      </c>
      <c r="D499" s="578"/>
      <c r="E499" s="579"/>
      <c r="F499" s="580"/>
      <c r="G499" s="581"/>
      <c r="H499" s="768"/>
      <c r="I499" s="771"/>
      <c r="J499" s="774"/>
      <c r="K499" s="777"/>
    </row>
    <row r="500" spans="3:11" x14ac:dyDescent="0.2">
      <c r="C500" s="567">
        <v>497</v>
      </c>
      <c r="D500" s="578"/>
      <c r="E500" s="579"/>
      <c r="F500" s="580"/>
      <c r="G500" s="581"/>
      <c r="H500" s="768"/>
      <c r="I500" s="771"/>
      <c r="J500" s="774"/>
      <c r="K500" s="777"/>
    </row>
    <row r="501" spans="3:11" x14ac:dyDescent="0.2">
      <c r="C501" s="567">
        <v>498</v>
      </c>
      <c r="D501" s="578"/>
      <c r="E501" s="579"/>
      <c r="F501" s="580"/>
      <c r="G501" s="581"/>
      <c r="H501" s="768"/>
      <c r="I501" s="771"/>
      <c r="J501" s="774"/>
      <c r="K501" s="777"/>
    </row>
    <row r="502" spans="3:11" x14ac:dyDescent="0.2">
      <c r="C502" s="567">
        <v>499</v>
      </c>
      <c r="D502" s="578"/>
      <c r="E502" s="579"/>
      <c r="F502" s="580"/>
      <c r="G502" s="581"/>
      <c r="H502" s="768"/>
      <c r="I502" s="771"/>
      <c r="J502" s="774"/>
      <c r="K502" s="777"/>
    </row>
    <row r="503" spans="3:11" x14ac:dyDescent="0.2">
      <c r="C503" s="567">
        <v>500</v>
      </c>
      <c r="D503" s="578"/>
      <c r="E503" s="579"/>
      <c r="F503" s="580"/>
      <c r="G503" s="581"/>
      <c r="H503" s="768"/>
      <c r="I503" s="771"/>
      <c r="J503" s="774"/>
      <c r="K503" s="777"/>
    </row>
    <row r="504" spans="3:11" x14ac:dyDescent="0.2">
      <c r="C504" s="567">
        <v>501</v>
      </c>
      <c r="D504" s="578"/>
      <c r="E504" s="579"/>
      <c r="F504" s="580"/>
      <c r="G504" s="581"/>
      <c r="H504" s="768"/>
      <c r="I504" s="771"/>
      <c r="J504" s="774"/>
      <c r="K504" s="777"/>
    </row>
    <row r="505" spans="3:11" x14ac:dyDescent="0.2">
      <c r="C505" s="567">
        <v>502</v>
      </c>
      <c r="D505" s="578"/>
      <c r="E505" s="579"/>
      <c r="F505" s="580"/>
      <c r="G505" s="581"/>
      <c r="H505" s="768"/>
      <c r="I505" s="771"/>
      <c r="J505" s="774"/>
      <c r="K505" s="777"/>
    </row>
    <row r="506" spans="3:11" x14ac:dyDescent="0.2">
      <c r="C506" s="567">
        <v>503</v>
      </c>
      <c r="D506" s="578"/>
      <c r="E506" s="579"/>
      <c r="F506" s="580"/>
      <c r="G506" s="581"/>
      <c r="H506" s="768"/>
      <c r="I506" s="771"/>
      <c r="J506" s="774"/>
      <c r="K506" s="777"/>
    </row>
    <row r="507" spans="3:11" x14ac:dyDescent="0.2">
      <c r="C507" s="567">
        <v>504</v>
      </c>
      <c r="D507" s="578"/>
      <c r="E507" s="579"/>
      <c r="F507" s="580"/>
      <c r="G507" s="581"/>
      <c r="H507" s="768"/>
      <c r="I507" s="771"/>
      <c r="J507" s="774"/>
      <c r="K507" s="777"/>
    </row>
    <row r="508" spans="3:11" x14ac:dyDescent="0.2">
      <c r="C508" s="567">
        <v>505</v>
      </c>
      <c r="D508" s="578"/>
      <c r="E508" s="579"/>
      <c r="F508" s="580"/>
      <c r="G508" s="581"/>
      <c r="H508" s="768"/>
      <c r="I508" s="771"/>
      <c r="J508" s="774"/>
      <c r="K508" s="777"/>
    </row>
    <row r="509" spans="3:11" x14ac:dyDescent="0.2">
      <c r="C509" s="567">
        <v>506</v>
      </c>
      <c r="D509" s="578"/>
      <c r="E509" s="579"/>
      <c r="F509" s="580"/>
      <c r="G509" s="581"/>
      <c r="H509" s="768"/>
      <c r="I509" s="771"/>
      <c r="J509" s="774"/>
      <c r="K509" s="777"/>
    </row>
    <row r="510" spans="3:11" x14ac:dyDescent="0.2">
      <c r="C510" s="567">
        <v>507</v>
      </c>
      <c r="D510" s="578"/>
      <c r="E510" s="579"/>
      <c r="F510" s="580"/>
      <c r="G510" s="581"/>
      <c r="H510" s="768"/>
      <c r="I510" s="771"/>
      <c r="J510" s="774"/>
      <c r="K510" s="777"/>
    </row>
    <row r="511" spans="3:11" x14ac:dyDescent="0.2">
      <c r="C511" s="567">
        <v>508</v>
      </c>
      <c r="D511" s="578"/>
      <c r="E511" s="579"/>
      <c r="F511" s="580"/>
      <c r="G511" s="581"/>
      <c r="H511" s="768"/>
      <c r="I511" s="771"/>
      <c r="J511" s="774"/>
      <c r="K511" s="777"/>
    </row>
    <row r="512" spans="3:11" x14ac:dyDescent="0.2">
      <c r="C512" s="567">
        <v>509</v>
      </c>
      <c r="D512" s="578"/>
      <c r="E512" s="579"/>
      <c r="F512" s="580"/>
      <c r="G512" s="581"/>
      <c r="H512" s="768"/>
      <c r="I512" s="771"/>
      <c r="J512" s="774"/>
      <c r="K512" s="777"/>
    </row>
    <row r="513" spans="3:11" x14ac:dyDescent="0.2">
      <c r="C513" s="567">
        <v>510</v>
      </c>
      <c r="D513" s="578"/>
      <c r="E513" s="579"/>
      <c r="F513" s="580"/>
      <c r="G513" s="581"/>
      <c r="H513" s="768"/>
      <c r="I513" s="771"/>
      <c r="J513" s="774"/>
      <c r="K513" s="777"/>
    </row>
    <row r="514" spans="3:11" x14ac:dyDescent="0.2">
      <c r="C514" s="567">
        <v>511</v>
      </c>
      <c r="D514" s="578"/>
      <c r="E514" s="579"/>
      <c r="F514" s="580"/>
      <c r="G514" s="581"/>
      <c r="H514" s="768"/>
      <c r="I514" s="771"/>
      <c r="J514" s="774"/>
      <c r="K514" s="777"/>
    </row>
    <row r="515" spans="3:11" x14ac:dyDescent="0.2">
      <c r="C515" s="567">
        <v>512</v>
      </c>
      <c r="D515" s="578"/>
      <c r="E515" s="579"/>
      <c r="F515" s="580"/>
      <c r="G515" s="581"/>
      <c r="H515" s="768"/>
      <c r="I515" s="771"/>
      <c r="J515" s="774"/>
      <c r="K515" s="777"/>
    </row>
    <row r="516" spans="3:11" x14ac:dyDescent="0.2">
      <c r="C516" s="567">
        <v>513</v>
      </c>
      <c r="D516" s="578"/>
      <c r="E516" s="579"/>
      <c r="F516" s="580"/>
      <c r="G516" s="581"/>
      <c r="H516" s="768"/>
      <c r="I516" s="771"/>
      <c r="J516" s="774"/>
      <c r="K516" s="777"/>
    </row>
    <row r="517" spans="3:11" x14ac:dyDescent="0.2">
      <c r="C517" s="567">
        <v>514</v>
      </c>
      <c r="D517" s="578"/>
      <c r="E517" s="579"/>
      <c r="F517" s="580"/>
      <c r="G517" s="581"/>
      <c r="H517" s="768"/>
      <c r="I517" s="771"/>
      <c r="J517" s="774"/>
      <c r="K517" s="777"/>
    </row>
    <row r="518" spans="3:11" x14ac:dyDescent="0.2">
      <c r="C518" s="567">
        <v>515</v>
      </c>
      <c r="D518" s="578"/>
      <c r="E518" s="579"/>
      <c r="F518" s="580"/>
      <c r="G518" s="581"/>
      <c r="H518" s="768"/>
      <c r="I518" s="771"/>
      <c r="J518" s="774"/>
      <c r="K518" s="777"/>
    </row>
    <row r="519" spans="3:11" x14ac:dyDescent="0.2">
      <c r="C519" s="567">
        <v>516</v>
      </c>
      <c r="D519" s="578"/>
      <c r="E519" s="579"/>
      <c r="F519" s="580"/>
      <c r="G519" s="581"/>
      <c r="H519" s="768"/>
      <c r="I519" s="771"/>
      <c r="J519" s="774"/>
      <c r="K519" s="777"/>
    </row>
    <row r="520" spans="3:11" x14ac:dyDescent="0.2">
      <c r="C520" s="567">
        <v>517</v>
      </c>
      <c r="D520" s="578"/>
      <c r="E520" s="579"/>
      <c r="F520" s="580"/>
      <c r="G520" s="581"/>
      <c r="H520" s="768"/>
      <c r="I520" s="771"/>
      <c r="J520" s="774"/>
      <c r="K520" s="777"/>
    </row>
    <row r="521" spans="3:11" x14ac:dyDescent="0.2">
      <c r="C521" s="567">
        <v>518</v>
      </c>
      <c r="D521" s="578"/>
      <c r="E521" s="579"/>
      <c r="F521" s="580"/>
      <c r="G521" s="581"/>
      <c r="H521" s="768"/>
      <c r="I521" s="771"/>
      <c r="J521" s="774"/>
      <c r="K521" s="777"/>
    </row>
    <row r="522" spans="3:11" x14ac:dyDescent="0.2">
      <c r="C522" s="567">
        <v>519</v>
      </c>
      <c r="D522" s="578"/>
      <c r="E522" s="579"/>
      <c r="F522" s="580"/>
      <c r="G522" s="581"/>
      <c r="H522" s="768"/>
      <c r="I522" s="771"/>
      <c r="J522" s="774"/>
      <c r="K522" s="777"/>
    </row>
    <row r="523" spans="3:11" x14ac:dyDescent="0.2">
      <c r="C523" s="567">
        <v>520</v>
      </c>
      <c r="D523" s="578"/>
      <c r="E523" s="579"/>
      <c r="F523" s="580"/>
      <c r="G523" s="581"/>
      <c r="H523" s="768"/>
      <c r="I523" s="771"/>
      <c r="J523" s="774"/>
      <c r="K523" s="777"/>
    </row>
    <row r="524" spans="3:11" x14ac:dyDescent="0.2">
      <c r="C524" s="567">
        <v>521</v>
      </c>
      <c r="D524" s="578"/>
      <c r="E524" s="579"/>
      <c r="F524" s="580"/>
      <c r="G524" s="581"/>
      <c r="H524" s="768"/>
      <c r="I524" s="771"/>
      <c r="J524" s="774"/>
      <c r="K524" s="777"/>
    </row>
    <row r="525" spans="3:11" x14ac:dyDescent="0.2">
      <c r="C525" s="567">
        <v>522</v>
      </c>
      <c r="D525" s="578"/>
      <c r="E525" s="579"/>
      <c r="F525" s="580"/>
      <c r="G525" s="581"/>
      <c r="H525" s="768"/>
      <c r="I525" s="771"/>
      <c r="J525" s="774"/>
      <c r="K525" s="777"/>
    </row>
    <row r="526" spans="3:11" x14ac:dyDescent="0.2">
      <c r="C526" s="567">
        <v>523</v>
      </c>
      <c r="D526" s="578"/>
      <c r="E526" s="579"/>
      <c r="F526" s="580"/>
      <c r="G526" s="581"/>
      <c r="H526" s="768"/>
      <c r="I526" s="771"/>
      <c r="J526" s="774"/>
      <c r="K526" s="777"/>
    </row>
    <row r="527" spans="3:11" x14ac:dyDescent="0.2">
      <c r="C527" s="567">
        <v>524</v>
      </c>
      <c r="D527" s="578"/>
      <c r="E527" s="579"/>
      <c r="F527" s="580"/>
      <c r="G527" s="581"/>
      <c r="H527" s="768"/>
      <c r="I527" s="771"/>
      <c r="J527" s="774"/>
      <c r="K527" s="777"/>
    </row>
    <row r="528" spans="3:11" x14ac:dyDescent="0.2">
      <c r="C528" s="567">
        <v>525</v>
      </c>
      <c r="D528" s="578"/>
      <c r="E528" s="579"/>
      <c r="F528" s="580"/>
      <c r="G528" s="581"/>
      <c r="H528" s="768"/>
      <c r="I528" s="771"/>
      <c r="J528" s="774"/>
      <c r="K528" s="777"/>
    </row>
    <row r="529" spans="3:11" x14ac:dyDescent="0.2">
      <c r="C529" s="567">
        <v>526</v>
      </c>
      <c r="D529" s="578"/>
      <c r="E529" s="579"/>
      <c r="F529" s="580"/>
      <c r="G529" s="581"/>
      <c r="H529" s="768"/>
      <c r="I529" s="771"/>
      <c r="J529" s="774"/>
      <c r="K529" s="777"/>
    </row>
    <row r="530" spans="3:11" x14ac:dyDescent="0.2">
      <c r="C530" s="567">
        <v>527</v>
      </c>
      <c r="D530" s="578"/>
      <c r="E530" s="579"/>
      <c r="F530" s="580"/>
      <c r="G530" s="581"/>
      <c r="H530" s="768"/>
      <c r="I530" s="771"/>
      <c r="J530" s="774"/>
      <c r="K530" s="777"/>
    </row>
    <row r="531" spans="3:11" x14ac:dyDescent="0.2">
      <c r="C531" s="567">
        <v>528</v>
      </c>
      <c r="D531" s="578"/>
      <c r="E531" s="579"/>
      <c r="F531" s="580"/>
      <c r="G531" s="581"/>
      <c r="H531" s="768"/>
      <c r="I531" s="771"/>
      <c r="J531" s="774"/>
      <c r="K531" s="777"/>
    </row>
    <row r="532" spans="3:11" x14ac:dyDescent="0.2">
      <c r="C532" s="567">
        <v>529</v>
      </c>
      <c r="D532" s="578"/>
      <c r="E532" s="579"/>
      <c r="F532" s="580"/>
      <c r="G532" s="581"/>
      <c r="H532" s="768"/>
      <c r="I532" s="771"/>
      <c r="J532" s="774"/>
      <c r="K532" s="777"/>
    </row>
    <row r="533" spans="3:11" x14ac:dyDescent="0.2">
      <c r="C533" s="567">
        <v>530</v>
      </c>
      <c r="D533" s="578"/>
      <c r="E533" s="579"/>
      <c r="F533" s="580"/>
      <c r="G533" s="581"/>
      <c r="H533" s="768"/>
      <c r="I533" s="771"/>
      <c r="J533" s="774"/>
      <c r="K533" s="777"/>
    </row>
    <row r="534" spans="3:11" x14ac:dyDescent="0.2">
      <c r="C534" s="567">
        <v>531</v>
      </c>
      <c r="D534" s="578"/>
      <c r="E534" s="579"/>
      <c r="F534" s="580"/>
      <c r="G534" s="581"/>
      <c r="H534" s="768"/>
      <c r="I534" s="771"/>
      <c r="J534" s="774"/>
      <c r="K534" s="777"/>
    </row>
    <row r="535" spans="3:11" x14ac:dyDescent="0.2">
      <c r="C535" s="567">
        <v>532</v>
      </c>
      <c r="D535" s="578"/>
      <c r="E535" s="579"/>
      <c r="F535" s="580"/>
      <c r="G535" s="581"/>
      <c r="H535" s="768"/>
      <c r="I535" s="771"/>
      <c r="J535" s="774"/>
      <c r="K535" s="777"/>
    </row>
    <row r="536" spans="3:11" x14ac:dyDescent="0.2">
      <c r="C536" s="567">
        <v>533</v>
      </c>
      <c r="D536" s="578"/>
      <c r="E536" s="579"/>
      <c r="F536" s="580"/>
      <c r="G536" s="581"/>
      <c r="H536" s="768"/>
      <c r="I536" s="771"/>
      <c r="J536" s="774"/>
      <c r="K536" s="777"/>
    </row>
    <row r="537" spans="3:11" x14ac:dyDescent="0.2">
      <c r="C537" s="567">
        <v>534</v>
      </c>
      <c r="D537" s="578"/>
      <c r="E537" s="579"/>
      <c r="F537" s="580"/>
      <c r="G537" s="581"/>
      <c r="H537" s="768"/>
      <c r="I537" s="771"/>
      <c r="J537" s="774"/>
      <c r="K537" s="777"/>
    </row>
    <row r="538" spans="3:11" x14ac:dyDescent="0.2">
      <c r="C538" s="567">
        <v>535</v>
      </c>
      <c r="D538" s="578"/>
      <c r="E538" s="579"/>
      <c r="F538" s="580"/>
      <c r="G538" s="581"/>
      <c r="H538" s="768"/>
      <c r="I538" s="771"/>
      <c r="J538" s="774"/>
      <c r="K538" s="777"/>
    </row>
    <row r="539" spans="3:11" x14ac:dyDescent="0.2">
      <c r="C539" s="567">
        <v>536</v>
      </c>
      <c r="D539" s="578"/>
      <c r="E539" s="579"/>
      <c r="F539" s="580"/>
      <c r="G539" s="581"/>
      <c r="H539" s="768"/>
      <c r="I539" s="771"/>
      <c r="J539" s="774"/>
      <c r="K539" s="777"/>
    </row>
    <row r="540" spans="3:11" x14ac:dyDescent="0.2">
      <c r="C540" s="567">
        <v>537</v>
      </c>
      <c r="D540" s="578"/>
      <c r="E540" s="579"/>
      <c r="F540" s="580"/>
      <c r="G540" s="581"/>
      <c r="H540" s="768"/>
      <c r="I540" s="771"/>
      <c r="J540" s="774"/>
      <c r="K540" s="777"/>
    </row>
    <row r="541" spans="3:11" x14ac:dyDescent="0.2">
      <c r="C541" s="567">
        <v>538</v>
      </c>
      <c r="D541" s="578"/>
      <c r="E541" s="579"/>
      <c r="F541" s="580"/>
      <c r="G541" s="581"/>
      <c r="H541" s="768"/>
      <c r="I541" s="771"/>
      <c r="J541" s="774"/>
      <c r="K541" s="777"/>
    </row>
    <row r="542" spans="3:11" x14ac:dyDescent="0.2">
      <c r="C542" s="567">
        <v>539</v>
      </c>
      <c r="D542" s="578"/>
      <c r="E542" s="579"/>
      <c r="F542" s="580"/>
      <c r="G542" s="581"/>
      <c r="H542" s="768"/>
      <c r="I542" s="771"/>
      <c r="J542" s="774"/>
      <c r="K542" s="777"/>
    </row>
    <row r="543" spans="3:11" x14ac:dyDescent="0.2">
      <c r="C543" s="567">
        <v>540</v>
      </c>
      <c r="D543" s="578"/>
      <c r="E543" s="579"/>
      <c r="F543" s="580"/>
      <c r="G543" s="581"/>
      <c r="H543" s="768"/>
      <c r="I543" s="771"/>
      <c r="J543" s="774"/>
      <c r="K543" s="777"/>
    </row>
    <row r="544" spans="3:11" x14ac:dyDescent="0.2">
      <c r="C544" s="567">
        <v>541</v>
      </c>
      <c r="D544" s="578"/>
      <c r="E544" s="579"/>
      <c r="F544" s="580"/>
      <c r="G544" s="581"/>
      <c r="H544" s="768"/>
      <c r="I544" s="771"/>
      <c r="J544" s="774"/>
      <c r="K544" s="777"/>
    </row>
    <row r="545" spans="3:11" x14ac:dyDescent="0.2">
      <c r="C545" s="567">
        <v>542</v>
      </c>
      <c r="D545" s="578"/>
      <c r="E545" s="579"/>
      <c r="F545" s="580"/>
      <c r="G545" s="581"/>
      <c r="H545" s="768"/>
      <c r="I545" s="771"/>
      <c r="J545" s="774"/>
      <c r="K545" s="777"/>
    </row>
    <row r="546" spans="3:11" x14ac:dyDescent="0.2">
      <c r="C546" s="567">
        <v>543</v>
      </c>
      <c r="D546" s="578"/>
      <c r="E546" s="579"/>
      <c r="F546" s="580"/>
      <c r="G546" s="581"/>
      <c r="H546" s="768"/>
      <c r="I546" s="771"/>
      <c r="J546" s="774"/>
      <c r="K546" s="777"/>
    </row>
    <row r="547" spans="3:11" x14ac:dyDescent="0.2">
      <c r="C547" s="567">
        <v>544</v>
      </c>
      <c r="D547" s="578"/>
      <c r="E547" s="579"/>
      <c r="F547" s="580"/>
      <c r="G547" s="581"/>
      <c r="H547" s="768"/>
      <c r="I547" s="771"/>
      <c r="J547" s="774"/>
      <c r="K547" s="777"/>
    </row>
    <row r="548" spans="3:11" x14ac:dyDescent="0.2">
      <c r="C548" s="567">
        <v>545</v>
      </c>
      <c r="D548" s="578"/>
      <c r="E548" s="579"/>
      <c r="F548" s="580"/>
      <c r="G548" s="581"/>
      <c r="H548" s="768"/>
      <c r="I548" s="771"/>
      <c r="J548" s="774"/>
      <c r="K548" s="777"/>
    </row>
    <row r="549" spans="3:11" x14ac:dyDescent="0.2">
      <c r="C549" s="567">
        <v>546</v>
      </c>
      <c r="D549" s="578"/>
      <c r="E549" s="579"/>
      <c r="F549" s="580"/>
      <c r="G549" s="581"/>
      <c r="H549" s="768"/>
      <c r="I549" s="771"/>
      <c r="J549" s="774"/>
      <c r="K549" s="777"/>
    </row>
    <row r="550" spans="3:11" x14ac:dyDescent="0.2">
      <c r="C550" s="567">
        <v>547</v>
      </c>
      <c r="D550" s="578"/>
      <c r="E550" s="579"/>
      <c r="F550" s="580"/>
      <c r="G550" s="581"/>
      <c r="H550" s="768"/>
      <c r="I550" s="771"/>
      <c r="J550" s="774"/>
      <c r="K550" s="777"/>
    </row>
    <row r="551" spans="3:11" x14ac:dyDescent="0.2">
      <c r="C551" s="567">
        <v>548</v>
      </c>
      <c r="D551" s="578"/>
      <c r="E551" s="579"/>
      <c r="F551" s="580"/>
      <c r="G551" s="581"/>
      <c r="H551" s="768"/>
      <c r="I551" s="771"/>
      <c r="J551" s="774"/>
      <c r="K551" s="777"/>
    </row>
    <row r="552" spans="3:11" x14ac:dyDescent="0.2">
      <c r="C552" s="567">
        <v>549</v>
      </c>
      <c r="D552" s="578"/>
      <c r="E552" s="579"/>
      <c r="F552" s="580"/>
      <c r="G552" s="581"/>
      <c r="H552" s="768"/>
      <c r="I552" s="771"/>
      <c r="J552" s="774"/>
      <c r="K552" s="777"/>
    </row>
    <row r="553" spans="3:11" x14ac:dyDescent="0.2">
      <c r="C553" s="567">
        <v>550</v>
      </c>
      <c r="D553" s="578"/>
      <c r="E553" s="579"/>
      <c r="F553" s="580"/>
      <c r="G553" s="581"/>
      <c r="H553" s="768"/>
      <c r="I553" s="771"/>
      <c r="J553" s="774"/>
      <c r="K553" s="777"/>
    </row>
    <row r="554" spans="3:11" x14ac:dyDescent="0.2">
      <c r="C554" s="567">
        <v>551</v>
      </c>
      <c r="D554" s="578"/>
      <c r="E554" s="579"/>
      <c r="F554" s="580"/>
      <c r="G554" s="581"/>
      <c r="H554" s="768"/>
      <c r="I554" s="771"/>
      <c r="J554" s="774"/>
      <c r="K554" s="777"/>
    </row>
    <row r="555" spans="3:11" x14ac:dyDescent="0.2">
      <c r="C555" s="567">
        <v>552</v>
      </c>
      <c r="D555" s="578"/>
      <c r="E555" s="579"/>
      <c r="F555" s="580"/>
      <c r="G555" s="581"/>
      <c r="H555" s="768"/>
      <c r="I555" s="771"/>
      <c r="J555" s="774"/>
      <c r="K555" s="777"/>
    </row>
    <row r="556" spans="3:11" x14ac:dyDescent="0.2">
      <c r="C556" s="567">
        <v>553</v>
      </c>
      <c r="D556" s="578"/>
      <c r="E556" s="579"/>
      <c r="F556" s="580"/>
      <c r="G556" s="581"/>
      <c r="H556" s="768"/>
      <c r="I556" s="771"/>
      <c r="J556" s="774"/>
      <c r="K556" s="777"/>
    </row>
    <row r="557" spans="3:11" x14ac:dyDescent="0.2">
      <c r="C557" s="567">
        <v>554</v>
      </c>
      <c r="D557" s="578"/>
      <c r="E557" s="579"/>
      <c r="F557" s="580"/>
      <c r="G557" s="581"/>
      <c r="H557" s="768"/>
      <c r="I557" s="771"/>
      <c r="J557" s="774"/>
      <c r="K557" s="777"/>
    </row>
    <row r="558" spans="3:11" x14ac:dyDescent="0.2">
      <c r="C558" s="567">
        <v>555</v>
      </c>
      <c r="D558" s="578"/>
      <c r="E558" s="579"/>
      <c r="F558" s="580"/>
      <c r="G558" s="581"/>
      <c r="H558" s="768"/>
      <c r="I558" s="771"/>
      <c r="J558" s="774"/>
      <c r="K558" s="777"/>
    </row>
    <row r="559" spans="3:11" x14ac:dyDescent="0.2">
      <c r="C559" s="567">
        <v>556</v>
      </c>
      <c r="D559" s="578"/>
      <c r="E559" s="579"/>
      <c r="F559" s="580"/>
      <c r="G559" s="581"/>
      <c r="H559" s="768"/>
      <c r="I559" s="771"/>
      <c r="J559" s="774"/>
      <c r="K559" s="777"/>
    </row>
    <row r="560" spans="3:11" x14ac:dyDescent="0.2">
      <c r="C560" s="567">
        <v>557</v>
      </c>
      <c r="D560" s="578"/>
      <c r="E560" s="579"/>
      <c r="F560" s="580"/>
      <c r="G560" s="581"/>
      <c r="H560" s="768"/>
      <c r="I560" s="771"/>
      <c r="J560" s="774"/>
      <c r="K560" s="777"/>
    </row>
    <row r="561" spans="3:11" x14ac:dyDescent="0.2">
      <c r="C561" s="567">
        <v>558</v>
      </c>
      <c r="D561" s="578"/>
      <c r="E561" s="579"/>
      <c r="F561" s="580"/>
      <c r="G561" s="581"/>
      <c r="H561" s="768"/>
      <c r="I561" s="771"/>
      <c r="J561" s="774"/>
      <c r="K561" s="777"/>
    </row>
    <row r="562" spans="3:11" x14ac:dyDescent="0.2">
      <c r="C562" s="567">
        <v>559</v>
      </c>
      <c r="D562" s="578"/>
      <c r="E562" s="579"/>
      <c r="F562" s="580"/>
      <c r="G562" s="581"/>
      <c r="H562" s="768"/>
      <c r="I562" s="771"/>
      <c r="J562" s="774"/>
      <c r="K562" s="777"/>
    </row>
    <row r="563" spans="3:11" x14ac:dyDescent="0.2">
      <c r="C563" s="567">
        <v>560</v>
      </c>
      <c r="D563" s="578"/>
      <c r="E563" s="579"/>
      <c r="F563" s="580"/>
      <c r="G563" s="581"/>
      <c r="H563" s="768"/>
      <c r="I563" s="771"/>
      <c r="J563" s="774"/>
      <c r="K563" s="777"/>
    </row>
    <row r="564" spans="3:11" x14ac:dyDescent="0.2">
      <c r="C564" s="567">
        <v>561</v>
      </c>
      <c r="D564" s="578"/>
      <c r="E564" s="579"/>
      <c r="F564" s="580"/>
      <c r="G564" s="581"/>
      <c r="H564" s="768"/>
      <c r="I564" s="771"/>
      <c r="J564" s="774"/>
      <c r="K564" s="777"/>
    </row>
    <row r="565" spans="3:11" x14ac:dyDescent="0.2">
      <c r="C565" s="567">
        <v>562</v>
      </c>
      <c r="D565" s="578"/>
      <c r="E565" s="579"/>
      <c r="F565" s="580"/>
      <c r="G565" s="581"/>
      <c r="H565" s="768"/>
      <c r="I565" s="771"/>
      <c r="J565" s="774"/>
      <c r="K565" s="777"/>
    </row>
    <row r="566" spans="3:11" x14ac:dyDescent="0.2">
      <c r="C566" s="567">
        <v>563</v>
      </c>
      <c r="D566" s="578"/>
      <c r="E566" s="579"/>
      <c r="F566" s="580"/>
      <c r="G566" s="581"/>
      <c r="H566" s="768"/>
      <c r="I566" s="771"/>
      <c r="J566" s="774"/>
      <c r="K566" s="777"/>
    </row>
    <row r="567" spans="3:11" x14ac:dyDescent="0.2">
      <c r="C567" s="567">
        <v>564</v>
      </c>
      <c r="D567" s="578"/>
      <c r="E567" s="579"/>
      <c r="F567" s="580"/>
      <c r="G567" s="581"/>
      <c r="H567" s="768"/>
      <c r="I567" s="771"/>
      <c r="J567" s="774"/>
      <c r="K567" s="777"/>
    </row>
    <row r="568" spans="3:11" x14ac:dyDescent="0.2">
      <c r="C568" s="567">
        <v>565</v>
      </c>
      <c r="D568" s="578"/>
      <c r="E568" s="579"/>
      <c r="F568" s="580"/>
      <c r="G568" s="581"/>
      <c r="H568" s="768"/>
      <c r="I568" s="771"/>
      <c r="J568" s="774"/>
      <c r="K568" s="777"/>
    </row>
    <row r="569" spans="3:11" x14ac:dyDescent="0.2">
      <c r="C569" s="567">
        <v>566</v>
      </c>
      <c r="D569" s="578"/>
      <c r="E569" s="579"/>
      <c r="F569" s="580"/>
      <c r="G569" s="581"/>
      <c r="H569" s="768"/>
      <c r="I569" s="771"/>
      <c r="J569" s="774"/>
      <c r="K569" s="777"/>
    </row>
    <row r="570" spans="3:11" x14ac:dyDescent="0.2">
      <c r="C570" s="567">
        <v>567</v>
      </c>
      <c r="D570" s="578"/>
      <c r="E570" s="579"/>
      <c r="F570" s="580"/>
      <c r="G570" s="581"/>
      <c r="H570" s="768"/>
      <c r="I570" s="771"/>
      <c r="J570" s="774"/>
      <c r="K570" s="777"/>
    </row>
    <row r="571" spans="3:11" x14ac:dyDescent="0.2">
      <c r="C571" s="567">
        <v>568</v>
      </c>
      <c r="D571" s="578"/>
      <c r="E571" s="579"/>
      <c r="F571" s="580"/>
      <c r="G571" s="581"/>
      <c r="H571" s="768"/>
      <c r="I571" s="771"/>
      <c r="J571" s="774"/>
      <c r="K571" s="777"/>
    </row>
    <row r="572" spans="3:11" x14ac:dyDescent="0.2">
      <c r="C572" s="567">
        <v>569</v>
      </c>
      <c r="D572" s="578"/>
      <c r="E572" s="579"/>
      <c r="F572" s="580"/>
      <c r="G572" s="581"/>
      <c r="H572" s="768"/>
      <c r="I572" s="771"/>
      <c r="J572" s="774"/>
      <c r="K572" s="777"/>
    </row>
    <row r="573" spans="3:11" x14ac:dyDescent="0.2">
      <c r="C573" s="567">
        <v>570</v>
      </c>
      <c r="D573" s="578"/>
      <c r="E573" s="579"/>
      <c r="F573" s="580"/>
      <c r="G573" s="581"/>
      <c r="H573" s="768"/>
      <c r="I573" s="771"/>
      <c r="J573" s="774"/>
      <c r="K573" s="777"/>
    </row>
    <row r="574" spans="3:11" x14ac:dyDescent="0.2">
      <c r="C574" s="567">
        <v>571</v>
      </c>
      <c r="D574" s="578"/>
      <c r="E574" s="579"/>
      <c r="F574" s="580"/>
      <c r="G574" s="581"/>
      <c r="H574" s="768"/>
      <c r="I574" s="771"/>
      <c r="J574" s="774"/>
      <c r="K574" s="777"/>
    </row>
    <row r="575" spans="3:11" x14ac:dyDescent="0.2">
      <c r="C575" s="567">
        <v>572</v>
      </c>
      <c r="D575" s="578"/>
      <c r="E575" s="579"/>
      <c r="F575" s="580"/>
      <c r="G575" s="581"/>
      <c r="H575" s="768"/>
      <c r="I575" s="771"/>
      <c r="J575" s="774"/>
      <c r="K575" s="777"/>
    </row>
    <row r="576" spans="3:11" x14ac:dyDescent="0.2">
      <c r="C576" s="567">
        <v>573</v>
      </c>
      <c r="D576" s="578"/>
      <c r="E576" s="579"/>
      <c r="F576" s="580"/>
      <c r="G576" s="581"/>
      <c r="H576" s="768"/>
      <c r="I576" s="771"/>
      <c r="J576" s="774"/>
      <c r="K576" s="777"/>
    </row>
    <row r="577" spans="3:11" x14ac:dyDescent="0.2">
      <c r="C577" s="567">
        <v>574</v>
      </c>
      <c r="D577" s="578"/>
      <c r="E577" s="579"/>
      <c r="F577" s="580"/>
      <c r="G577" s="581"/>
      <c r="H577" s="768"/>
      <c r="I577" s="771"/>
      <c r="J577" s="774"/>
      <c r="K577" s="777"/>
    </row>
    <row r="578" spans="3:11" x14ac:dyDescent="0.2">
      <c r="C578" s="567">
        <v>575</v>
      </c>
      <c r="D578" s="578"/>
      <c r="E578" s="579"/>
      <c r="F578" s="580"/>
      <c r="G578" s="581"/>
      <c r="H578" s="768"/>
      <c r="I578" s="771"/>
      <c r="J578" s="774"/>
      <c r="K578" s="777"/>
    </row>
    <row r="579" spans="3:11" x14ac:dyDescent="0.2">
      <c r="C579" s="567">
        <v>576</v>
      </c>
      <c r="D579" s="578"/>
      <c r="E579" s="579"/>
      <c r="F579" s="580"/>
      <c r="G579" s="581"/>
      <c r="H579" s="768"/>
      <c r="I579" s="771"/>
      <c r="J579" s="774"/>
      <c r="K579" s="777"/>
    </row>
    <row r="580" spans="3:11" x14ac:dyDescent="0.2">
      <c r="C580" s="567">
        <v>577</v>
      </c>
      <c r="D580" s="578"/>
      <c r="E580" s="579"/>
      <c r="F580" s="580"/>
      <c r="G580" s="581"/>
      <c r="H580" s="768"/>
      <c r="I580" s="771"/>
      <c r="J580" s="774"/>
      <c r="K580" s="777"/>
    </row>
    <row r="581" spans="3:11" x14ac:dyDescent="0.2">
      <c r="C581" s="567">
        <v>578</v>
      </c>
      <c r="D581" s="578"/>
      <c r="E581" s="579"/>
      <c r="F581" s="580"/>
      <c r="G581" s="581"/>
      <c r="H581" s="768"/>
      <c r="I581" s="771"/>
      <c r="J581" s="774"/>
      <c r="K581" s="777"/>
    </row>
    <row r="582" spans="3:11" x14ac:dyDescent="0.2">
      <c r="C582" s="567">
        <v>579</v>
      </c>
      <c r="D582" s="578"/>
      <c r="E582" s="579"/>
      <c r="F582" s="580"/>
      <c r="G582" s="581"/>
      <c r="H582" s="768"/>
      <c r="I582" s="771"/>
      <c r="J582" s="774"/>
      <c r="K582" s="777"/>
    </row>
    <row r="583" spans="3:11" x14ac:dyDescent="0.2">
      <c r="C583" s="567">
        <v>580</v>
      </c>
      <c r="D583" s="578"/>
      <c r="E583" s="579"/>
      <c r="F583" s="580"/>
      <c r="G583" s="581"/>
      <c r="H583" s="768"/>
      <c r="I583" s="771"/>
      <c r="J583" s="774"/>
      <c r="K583" s="777"/>
    </row>
    <row r="584" spans="3:11" x14ac:dyDescent="0.2">
      <c r="C584" s="567">
        <v>581</v>
      </c>
      <c r="D584" s="578"/>
      <c r="E584" s="579"/>
      <c r="F584" s="580"/>
      <c r="G584" s="581"/>
      <c r="H584" s="768"/>
      <c r="I584" s="771"/>
      <c r="J584" s="774"/>
      <c r="K584" s="777"/>
    </row>
    <row r="585" spans="3:11" x14ac:dyDescent="0.2">
      <c r="C585" s="567">
        <v>582</v>
      </c>
      <c r="D585" s="578"/>
      <c r="E585" s="579"/>
      <c r="F585" s="580"/>
      <c r="G585" s="581"/>
      <c r="H585" s="768"/>
      <c r="I585" s="771"/>
      <c r="J585" s="774"/>
      <c r="K585" s="777"/>
    </row>
    <row r="586" spans="3:11" x14ac:dyDescent="0.2">
      <c r="C586" s="567">
        <v>583</v>
      </c>
      <c r="D586" s="578"/>
      <c r="E586" s="579"/>
      <c r="F586" s="580"/>
      <c r="G586" s="581"/>
      <c r="H586" s="768"/>
      <c r="I586" s="771"/>
      <c r="J586" s="774"/>
      <c r="K586" s="777"/>
    </row>
    <row r="587" spans="3:11" x14ac:dyDescent="0.2">
      <c r="C587" s="567">
        <v>584</v>
      </c>
      <c r="D587" s="578"/>
      <c r="E587" s="579"/>
      <c r="F587" s="580"/>
      <c r="G587" s="581"/>
      <c r="H587" s="768"/>
      <c r="I587" s="771"/>
      <c r="J587" s="774"/>
      <c r="K587" s="777"/>
    </row>
    <row r="588" spans="3:11" x14ac:dyDescent="0.2">
      <c r="C588" s="567">
        <v>585</v>
      </c>
      <c r="D588" s="578"/>
      <c r="E588" s="579"/>
      <c r="F588" s="580"/>
      <c r="G588" s="581"/>
      <c r="H588" s="768"/>
      <c r="I588" s="771"/>
      <c r="J588" s="774"/>
      <c r="K588" s="777"/>
    </row>
    <row r="589" spans="3:11" x14ac:dyDescent="0.2">
      <c r="C589" s="567">
        <v>586</v>
      </c>
      <c r="D589" s="578"/>
      <c r="E589" s="579"/>
      <c r="F589" s="580"/>
      <c r="G589" s="581"/>
      <c r="H589" s="768"/>
      <c r="I589" s="771"/>
      <c r="J589" s="774"/>
      <c r="K589" s="777"/>
    </row>
    <row r="590" spans="3:11" x14ac:dyDescent="0.2">
      <c r="C590" s="567">
        <v>587</v>
      </c>
      <c r="D590" s="578"/>
      <c r="E590" s="579"/>
      <c r="F590" s="580"/>
      <c r="G590" s="581"/>
      <c r="H590" s="768"/>
      <c r="I590" s="771"/>
      <c r="J590" s="774"/>
      <c r="K590" s="777"/>
    </row>
    <row r="591" spans="3:11" x14ac:dyDescent="0.2">
      <c r="C591" s="567">
        <v>588</v>
      </c>
      <c r="D591" s="578"/>
      <c r="E591" s="579"/>
      <c r="F591" s="580"/>
      <c r="G591" s="581"/>
      <c r="H591" s="768"/>
      <c r="I591" s="771"/>
      <c r="J591" s="774"/>
      <c r="K591" s="777"/>
    </row>
    <row r="592" spans="3:11" x14ac:dyDescent="0.2">
      <c r="C592" s="567">
        <v>589</v>
      </c>
      <c r="D592" s="578"/>
      <c r="E592" s="579"/>
      <c r="F592" s="580"/>
      <c r="G592" s="581"/>
      <c r="H592" s="768"/>
      <c r="I592" s="771"/>
      <c r="J592" s="774"/>
      <c r="K592" s="777"/>
    </row>
    <row r="593" spans="3:11" x14ac:dyDescent="0.2">
      <c r="C593" s="567">
        <v>590</v>
      </c>
      <c r="D593" s="578"/>
      <c r="E593" s="579"/>
      <c r="F593" s="580"/>
      <c r="G593" s="581"/>
      <c r="H593" s="768"/>
      <c r="I593" s="771"/>
      <c r="J593" s="774"/>
      <c r="K593" s="777"/>
    </row>
    <row r="594" spans="3:11" x14ac:dyDescent="0.2">
      <c r="C594" s="567">
        <v>591</v>
      </c>
      <c r="D594" s="578"/>
      <c r="E594" s="579"/>
      <c r="F594" s="580"/>
      <c r="G594" s="581"/>
      <c r="H594" s="768"/>
      <c r="I594" s="771"/>
      <c r="J594" s="774"/>
      <c r="K594" s="777"/>
    </row>
    <row r="595" spans="3:11" x14ac:dyDescent="0.2">
      <c r="C595" s="567">
        <v>592</v>
      </c>
      <c r="D595" s="578"/>
      <c r="E595" s="579"/>
      <c r="F595" s="580"/>
      <c r="G595" s="581"/>
      <c r="H595" s="768"/>
      <c r="I595" s="771"/>
      <c r="J595" s="774"/>
      <c r="K595" s="777"/>
    </row>
    <row r="596" spans="3:11" x14ac:dyDescent="0.2">
      <c r="C596" s="567">
        <v>593</v>
      </c>
      <c r="D596" s="578"/>
      <c r="E596" s="579"/>
      <c r="F596" s="580"/>
      <c r="G596" s="581"/>
      <c r="H596" s="768"/>
      <c r="I596" s="771"/>
      <c r="J596" s="774"/>
      <c r="K596" s="777"/>
    </row>
    <row r="597" spans="3:11" x14ac:dyDescent="0.2">
      <c r="C597" s="567">
        <v>594</v>
      </c>
      <c r="D597" s="578"/>
      <c r="E597" s="579"/>
      <c r="F597" s="580"/>
      <c r="G597" s="581"/>
      <c r="H597" s="768"/>
      <c r="I597" s="771"/>
      <c r="J597" s="774"/>
      <c r="K597" s="777"/>
    </row>
    <row r="598" spans="3:11" x14ac:dyDescent="0.2">
      <c r="C598" s="567">
        <v>595</v>
      </c>
      <c r="D598" s="578"/>
      <c r="E598" s="579"/>
      <c r="F598" s="580"/>
      <c r="G598" s="581"/>
      <c r="H598" s="768"/>
      <c r="I598" s="771"/>
      <c r="J598" s="774"/>
      <c r="K598" s="777"/>
    </row>
    <row r="599" spans="3:11" x14ac:dyDescent="0.2">
      <c r="C599" s="567">
        <v>596</v>
      </c>
      <c r="D599" s="578"/>
      <c r="E599" s="579"/>
      <c r="F599" s="580"/>
      <c r="G599" s="581"/>
      <c r="H599" s="768"/>
      <c r="I599" s="771"/>
      <c r="J599" s="774"/>
      <c r="K599" s="777"/>
    </row>
    <row r="600" spans="3:11" x14ac:dyDescent="0.2">
      <c r="C600" s="567">
        <v>597</v>
      </c>
      <c r="D600" s="578"/>
      <c r="E600" s="579"/>
      <c r="F600" s="580"/>
      <c r="G600" s="581"/>
      <c r="H600" s="768"/>
      <c r="I600" s="771"/>
      <c r="J600" s="774"/>
      <c r="K600" s="777"/>
    </row>
    <row r="601" spans="3:11" x14ac:dyDescent="0.2">
      <c r="C601" s="567">
        <v>598</v>
      </c>
      <c r="D601" s="578"/>
      <c r="E601" s="579"/>
      <c r="F601" s="580"/>
      <c r="G601" s="581"/>
      <c r="H601" s="768"/>
      <c r="I601" s="771"/>
      <c r="J601" s="774"/>
      <c r="K601" s="777"/>
    </row>
    <row r="602" spans="3:11" x14ac:dyDescent="0.2">
      <c r="C602" s="567">
        <v>599</v>
      </c>
      <c r="D602" s="578"/>
      <c r="E602" s="579"/>
      <c r="F602" s="580"/>
      <c r="G602" s="581"/>
      <c r="H602" s="768"/>
      <c r="I602" s="771"/>
      <c r="J602" s="774"/>
      <c r="K602" s="777"/>
    </row>
    <row r="603" spans="3:11" x14ac:dyDescent="0.2">
      <c r="C603" s="567">
        <v>600</v>
      </c>
      <c r="D603" s="578"/>
      <c r="E603" s="579"/>
      <c r="F603" s="580"/>
      <c r="G603" s="581"/>
      <c r="H603" s="768"/>
      <c r="I603" s="771"/>
      <c r="J603" s="774"/>
      <c r="K603" s="777"/>
    </row>
    <row r="604" spans="3:11" x14ac:dyDescent="0.2">
      <c r="C604" s="567">
        <v>601</v>
      </c>
      <c r="D604" s="578"/>
      <c r="E604" s="579"/>
      <c r="F604" s="580"/>
      <c r="G604" s="581"/>
      <c r="H604" s="768"/>
      <c r="I604" s="771"/>
      <c r="J604" s="774"/>
      <c r="K604" s="777"/>
    </row>
    <row r="605" spans="3:11" x14ac:dyDescent="0.2">
      <c r="C605" s="567">
        <v>602</v>
      </c>
      <c r="D605" s="578"/>
      <c r="E605" s="579"/>
      <c r="F605" s="580"/>
      <c r="G605" s="581"/>
      <c r="H605" s="768"/>
      <c r="I605" s="771"/>
      <c r="J605" s="774"/>
      <c r="K605" s="777"/>
    </row>
    <row r="606" spans="3:11" x14ac:dyDescent="0.2">
      <c r="C606" s="567">
        <v>603</v>
      </c>
      <c r="D606" s="578"/>
      <c r="E606" s="579"/>
      <c r="F606" s="580"/>
      <c r="G606" s="581"/>
      <c r="H606" s="768"/>
      <c r="I606" s="771"/>
      <c r="J606" s="774"/>
      <c r="K606" s="777"/>
    </row>
    <row r="607" spans="3:11" x14ac:dyDescent="0.2">
      <c r="C607" s="567">
        <v>604</v>
      </c>
      <c r="D607" s="578"/>
      <c r="E607" s="579"/>
      <c r="F607" s="580"/>
      <c r="G607" s="581"/>
      <c r="H607" s="768"/>
      <c r="I607" s="771"/>
      <c r="J607" s="774"/>
      <c r="K607" s="777"/>
    </row>
    <row r="608" spans="3:11" x14ac:dyDescent="0.2">
      <c r="C608" s="567">
        <v>605</v>
      </c>
      <c r="D608" s="578"/>
      <c r="E608" s="579"/>
      <c r="F608" s="580"/>
      <c r="G608" s="581"/>
      <c r="H608" s="768"/>
      <c r="I608" s="771"/>
      <c r="J608" s="774"/>
      <c r="K608" s="777"/>
    </row>
    <row r="609" spans="3:11" x14ac:dyDescent="0.2">
      <c r="C609" s="567">
        <v>606</v>
      </c>
      <c r="D609" s="578"/>
      <c r="E609" s="579"/>
      <c r="F609" s="580"/>
      <c r="G609" s="581"/>
      <c r="H609" s="768"/>
      <c r="I609" s="771"/>
      <c r="J609" s="774"/>
      <c r="K609" s="777"/>
    </row>
    <row r="610" spans="3:11" x14ac:dyDescent="0.2">
      <c r="C610" s="567">
        <v>607</v>
      </c>
      <c r="D610" s="578"/>
      <c r="E610" s="579"/>
      <c r="F610" s="580"/>
      <c r="G610" s="581"/>
      <c r="H610" s="768"/>
      <c r="I610" s="771"/>
      <c r="J610" s="774"/>
      <c r="K610" s="777"/>
    </row>
    <row r="611" spans="3:11" x14ac:dyDescent="0.2">
      <c r="C611" s="567">
        <v>608</v>
      </c>
      <c r="D611" s="578"/>
      <c r="E611" s="579"/>
      <c r="F611" s="580"/>
      <c r="G611" s="581"/>
      <c r="H611" s="768"/>
      <c r="I611" s="771"/>
      <c r="J611" s="774"/>
      <c r="K611" s="777"/>
    </row>
    <row r="612" spans="3:11" x14ac:dyDescent="0.2">
      <c r="C612" s="567">
        <v>609</v>
      </c>
      <c r="D612" s="578"/>
      <c r="E612" s="579"/>
      <c r="F612" s="580"/>
      <c r="G612" s="581"/>
      <c r="H612" s="768"/>
      <c r="I612" s="771"/>
      <c r="J612" s="774"/>
      <c r="K612" s="777"/>
    </row>
    <row r="613" spans="3:11" x14ac:dyDescent="0.2">
      <c r="C613" s="567">
        <v>610</v>
      </c>
      <c r="D613" s="578"/>
      <c r="E613" s="579"/>
      <c r="F613" s="580"/>
      <c r="G613" s="581"/>
      <c r="H613" s="768"/>
      <c r="I613" s="771"/>
      <c r="J613" s="774"/>
      <c r="K613" s="777"/>
    </row>
    <row r="614" spans="3:11" x14ac:dyDescent="0.2">
      <c r="C614" s="567">
        <v>611</v>
      </c>
      <c r="D614" s="578"/>
      <c r="E614" s="579"/>
      <c r="F614" s="580"/>
      <c r="G614" s="581"/>
      <c r="H614" s="768"/>
      <c r="I614" s="771"/>
      <c r="J614" s="774"/>
      <c r="K614" s="777"/>
    </row>
    <row r="615" spans="3:11" x14ac:dyDescent="0.2">
      <c r="C615" s="567">
        <v>612</v>
      </c>
      <c r="D615" s="578"/>
      <c r="E615" s="579"/>
      <c r="F615" s="580"/>
      <c r="G615" s="581"/>
      <c r="H615" s="768"/>
      <c r="I615" s="771"/>
      <c r="J615" s="774"/>
      <c r="K615" s="777"/>
    </row>
    <row r="616" spans="3:11" x14ac:dyDescent="0.2">
      <c r="C616" s="567">
        <v>613</v>
      </c>
      <c r="D616" s="578"/>
      <c r="E616" s="579"/>
      <c r="F616" s="580"/>
      <c r="G616" s="581"/>
      <c r="H616" s="768"/>
      <c r="I616" s="771"/>
      <c r="J616" s="774"/>
      <c r="K616" s="777"/>
    </row>
    <row r="617" spans="3:11" x14ac:dyDescent="0.2">
      <c r="C617" s="567">
        <v>614</v>
      </c>
      <c r="D617" s="578"/>
      <c r="E617" s="579"/>
      <c r="F617" s="580"/>
      <c r="G617" s="581"/>
      <c r="H617" s="768"/>
      <c r="I617" s="771"/>
      <c r="J617" s="774"/>
      <c r="K617" s="777"/>
    </row>
    <row r="618" spans="3:11" x14ac:dyDescent="0.2">
      <c r="C618" s="567">
        <v>615</v>
      </c>
      <c r="D618" s="578"/>
      <c r="E618" s="579"/>
      <c r="F618" s="580"/>
      <c r="G618" s="581"/>
      <c r="H618" s="768"/>
      <c r="I618" s="771"/>
      <c r="J618" s="774"/>
      <c r="K618" s="777"/>
    </row>
    <row r="619" spans="3:11" x14ac:dyDescent="0.2">
      <c r="C619" s="567">
        <v>616</v>
      </c>
      <c r="D619" s="578"/>
      <c r="E619" s="579"/>
      <c r="F619" s="580"/>
      <c r="G619" s="581"/>
      <c r="H619" s="768"/>
      <c r="I619" s="771"/>
      <c r="J619" s="774"/>
      <c r="K619" s="777"/>
    </row>
    <row r="620" spans="3:11" x14ac:dyDescent="0.2">
      <c r="C620" s="567">
        <v>617</v>
      </c>
      <c r="D620" s="578"/>
      <c r="E620" s="579"/>
      <c r="F620" s="580"/>
      <c r="G620" s="581"/>
      <c r="H620" s="768"/>
      <c r="I620" s="771"/>
      <c r="J620" s="774"/>
      <c r="K620" s="777"/>
    </row>
    <row r="621" spans="3:11" x14ac:dyDescent="0.2">
      <c r="C621" s="567">
        <v>618</v>
      </c>
      <c r="D621" s="578"/>
      <c r="E621" s="579"/>
      <c r="F621" s="580"/>
      <c r="G621" s="581"/>
      <c r="H621" s="768"/>
      <c r="I621" s="771"/>
      <c r="J621" s="774"/>
      <c r="K621" s="777"/>
    </row>
    <row r="622" spans="3:11" x14ac:dyDescent="0.2">
      <c r="C622" s="567">
        <v>619</v>
      </c>
      <c r="D622" s="578"/>
      <c r="E622" s="579"/>
      <c r="F622" s="580"/>
      <c r="G622" s="581"/>
      <c r="H622" s="768"/>
      <c r="I622" s="771"/>
      <c r="J622" s="774"/>
      <c r="K622" s="777"/>
    </row>
    <row r="623" spans="3:11" x14ac:dyDescent="0.2">
      <c r="C623" s="567">
        <v>620</v>
      </c>
      <c r="D623" s="578"/>
      <c r="E623" s="579"/>
      <c r="F623" s="580"/>
      <c r="G623" s="581"/>
      <c r="H623" s="768"/>
      <c r="I623" s="771"/>
      <c r="J623" s="774"/>
      <c r="K623" s="777"/>
    </row>
    <row r="624" spans="3:11" x14ac:dyDescent="0.2">
      <c r="C624" s="567">
        <v>621</v>
      </c>
      <c r="D624" s="578"/>
      <c r="E624" s="579"/>
      <c r="F624" s="580"/>
      <c r="G624" s="581"/>
      <c r="H624" s="768"/>
      <c r="I624" s="771"/>
      <c r="J624" s="774"/>
      <c r="K624" s="777"/>
    </row>
    <row r="625" spans="3:11" x14ac:dyDescent="0.2">
      <c r="C625" s="567">
        <v>622</v>
      </c>
      <c r="D625" s="578"/>
      <c r="E625" s="579"/>
      <c r="F625" s="580"/>
      <c r="G625" s="581"/>
      <c r="H625" s="768"/>
      <c r="I625" s="771"/>
      <c r="J625" s="774"/>
      <c r="K625" s="777"/>
    </row>
    <row r="626" spans="3:11" x14ac:dyDescent="0.2">
      <c r="C626" s="567">
        <v>623</v>
      </c>
      <c r="D626" s="578"/>
      <c r="E626" s="579"/>
      <c r="F626" s="580"/>
      <c r="G626" s="581"/>
      <c r="H626" s="768"/>
      <c r="I626" s="771"/>
      <c r="J626" s="774"/>
      <c r="K626" s="777"/>
    </row>
    <row r="627" spans="3:11" x14ac:dyDescent="0.2">
      <c r="C627" s="567">
        <v>624</v>
      </c>
      <c r="D627" s="578"/>
      <c r="E627" s="579"/>
      <c r="F627" s="580"/>
      <c r="G627" s="581"/>
      <c r="H627" s="768"/>
      <c r="I627" s="771"/>
      <c r="J627" s="774"/>
      <c r="K627" s="777"/>
    </row>
    <row r="628" spans="3:11" x14ac:dyDescent="0.2">
      <c r="C628" s="567">
        <v>625</v>
      </c>
      <c r="D628" s="578"/>
      <c r="E628" s="579"/>
      <c r="F628" s="580"/>
      <c r="G628" s="581"/>
      <c r="H628" s="768"/>
      <c r="I628" s="771"/>
      <c r="J628" s="774"/>
      <c r="K628" s="777"/>
    </row>
    <row r="629" spans="3:11" x14ac:dyDescent="0.2">
      <c r="C629" s="567">
        <v>626</v>
      </c>
      <c r="D629" s="578"/>
      <c r="E629" s="579"/>
      <c r="F629" s="580"/>
      <c r="G629" s="581"/>
      <c r="H629" s="768"/>
      <c r="I629" s="771"/>
      <c r="J629" s="774"/>
      <c r="K629" s="777"/>
    </row>
    <row r="630" spans="3:11" x14ac:dyDescent="0.2">
      <c r="C630" s="567">
        <v>627</v>
      </c>
      <c r="D630" s="578"/>
      <c r="E630" s="579"/>
      <c r="F630" s="580"/>
      <c r="G630" s="581"/>
      <c r="H630" s="768"/>
      <c r="I630" s="771"/>
      <c r="J630" s="774"/>
      <c r="K630" s="777"/>
    </row>
    <row r="631" spans="3:11" x14ac:dyDescent="0.2">
      <c r="C631" s="567">
        <v>628</v>
      </c>
      <c r="D631" s="578"/>
      <c r="E631" s="579"/>
      <c r="F631" s="580"/>
      <c r="G631" s="581"/>
      <c r="H631" s="768"/>
      <c r="I631" s="771"/>
      <c r="J631" s="774"/>
      <c r="K631" s="777"/>
    </row>
    <row r="632" spans="3:11" x14ac:dyDescent="0.2">
      <c r="C632" s="567">
        <v>629</v>
      </c>
      <c r="D632" s="578"/>
      <c r="E632" s="579"/>
      <c r="F632" s="580"/>
      <c r="G632" s="581"/>
      <c r="H632" s="768"/>
      <c r="I632" s="771"/>
      <c r="J632" s="774"/>
      <c r="K632" s="777"/>
    </row>
    <row r="633" spans="3:11" x14ac:dyDescent="0.2">
      <c r="C633" s="567">
        <v>630</v>
      </c>
      <c r="D633" s="578"/>
      <c r="E633" s="579"/>
      <c r="F633" s="580"/>
      <c r="G633" s="581"/>
      <c r="H633" s="768"/>
      <c r="I633" s="771"/>
      <c r="J633" s="774"/>
      <c r="K633" s="777"/>
    </row>
    <row r="634" spans="3:11" x14ac:dyDescent="0.2">
      <c r="C634" s="567">
        <v>631</v>
      </c>
      <c r="D634" s="578"/>
      <c r="E634" s="579"/>
      <c r="F634" s="580"/>
      <c r="G634" s="581"/>
      <c r="H634" s="768"/>
      <c r="I634" s="771"/>
      <c r="J634" s="774"/>
      <c r="K634" s="777"/>
    </row>
    <row r="635" spans="3:11" x14ac:dyDescent="0.2">
      <c r="C635" s="567">
        <v>632</v>
      </c>
      <c r="D635" s="578"/>
      <c r="E635" s="579"/>
      <c r="F635" s="580"/>
      <c r="G635" s="581"/>
      <c r="H635" s="768"/>
      <c r="I635" s="771"/>
      <c r="J635" s="774"/>
      <c r="K635" s="777"/>
    </row>
    <row r="636" spans="3:11" x14ac:dyDescent="0.2">
      <c r="C636" s="567">
        <v>633</v>
      </c>
      <c r="D636" s="578"/>
      <c r="E636" s="579"/>
      <c r="F636" s="580"/>
      <c r="G636" s="581"/>
      <c r="H636" s="768"/>
      <c r="I636" s="771"/>
      <c r="J636" s="774"/>
      <c r="K636" s="777"/>
    </row>
    <row r="637" spans="3:11" x14ac:dyDescent="0.2">
      <c r="C637" s="567">
        <v>634</v>
      </c>
      <c r="D637" s="578"/>
      <c r="E637" s="579"/>
      <c r="F637" s="580"/>
      <c r="G637" s="581"/>
      <c r="H637" s="768"/>
      <c r="I637" s="771"/>
      <c r="J637" s="774"/>
      <c r="K637" s="777"/>
    </row>
    <row r="638" spans="3:11" x14ac:dyDescent="0.2">
      <c r="C638" s="567">
        <v>635</v>
      </c>
      <c r="D638" s="578"/>
      <c r="E638" s="579"/>
      <c r="F638" s="580"/>
      <c r="G638" s="581"/>
      <c r="H638" s="768"/>
      <c r="I638" s="771"/>
      <c r="J638" s="774"/>
      <c r="K638" s="777"/>
    </row>
    <row r="639" spans="3:11" x14ac:dyDescent="0.2">
      <c r="C639" s="567">
        <v>636</v>
      </c>
      <c r="D639" s="578"/>
      <c r="E639" s="579"/>
      <c r="F639" s="580"/>
      <c r="G639" s="581"/>
      <c r="H639" s="768"/>
      <c r="I639" s="771"/>
      <c r="J639" s="774"/>
      <c r="K639" s="777"/>
    </row>
    <row r="640" spans="3:11" x14ac:dyDescent="0.2">
      <c r="C640" s="567">
        <v>637</v>
      </c>
      <c r="D640" s="578"/>
      <c r="E640" s="579"/>
      <c r="F640" s="580"/>
      <c r="G640" s="581"/>
      <c r="H640" s="768"/>
      <c r="I640" s="771"/>
      <c r="J640" s="774"/>
      <c r="K640" s="777"/>
    </row>
    <row r="641" spans="3:11" x14ac:dyDescent="0.2">
      <c r="C641" s="567">
        <v>638</v>
      </c>
      <c r="D641" s="578"/>
      <c r="E641" s="579"/>
      <c r="F641" s="580"/>
      <c r="G641" s="581"/>
      <c r="H641" s="768"/>
      <c r="I641" s="771"/>
      <c r="J641" s="774"/>
      <c r="K641" s="777"/>
    </row>
    <row r="642" spans="3:11" x14ac:dyDescent="0.2">
      <c r="C642" s="567">
        <v>639</v>
      </c>
      <c r="D642" s="578"/>
      <c r="E642" s="579"/>
      <c r="F642" s="580"/>
      <c r="G642" s="581"/>
      <c r="H642" s="768"/>
      <c r="I642" s="771"/>
      <c r="J642" s="774"/>
      <c r="K642" s="777"/>
    </row>
    <row r="643" spans="3:11" x14ac:dyDescent="0.2">
      <c r="C643" s="567">
        <v>640</v>
      </c>
      <c r="D643" s="578"/>
      <c r="E643" s="579"/>
      <c r="F643" s="580"/>
      <c r="G643" s="581"/>
      <c r="H643" s="768"/>
      <c r="I643" s="771"/>
      <c r="J643" s="774"/>
      <c r="K643" s="777"/>
    </row>
    <row r="644" spans="3:11" x14ac:dyDescent="0.2">
      <c r="C644" s="567">
        <v>641</v>
      </c>
      <c r="D644" s="578"/>
      <c r="E644" s="579"/>
      <c r="F644" s="580"/>
      <c r="G644" s="581"/>
      <c r="H644" s="768"/>
      <c r="I644" s="771"/>
      <c r="J644" s="774"/>
      <c r="K644" s="777"/>
    </row>
    <row r="645" spans="3:11" x14ac:dyDescent="0.2">
      <c r="C645" s="567">
        <v>642</v>
      </c>
      <c r="D645" s="578"/>
      <c r="E645" s="579"/>
      <c r="F645" s="580"/>
      <c r="G645" s="581"/>
      <c r="H645" s="768"/>
      <c r="I645" s="771"/>
      <c r="J645" s="774"/>
      <c r="K645" s="777"/>
    </row>
    <row r="646" spans="3:11" x14ac:dyDescent="0.2">
      <c r="C646" s="567">
        <v>643</v>
      </c>
      <c r="D646" s="578"/>
      <c r="E646" s="579"/>
      <c r="F646" s="580"/>
      <c r="G646" s="581"/>
      <c r="H646" s="768"/>
      <c r="I646" s="771"/>
      <c r="J646" s="774"/>
      <c r="K646" s="777"/>
    </row>
    <row r="647" spans="3:11" x14ac:dyDescent="0.2">
      <c r="C647" s="567">
        <v>644</v>
      </c>
      <c r="D647" s="578"/>
      <c r="E647" s="579"/>
      <c r="F647" s="580"/>
      <c r="G647" s="581"/>
      <c r="H647" s="768"/>
      <c r="I647" s="771"/>
      <c r="J647" s="774"/>
      <c r="K647" s="777"/>
    </row>
    <row r="648" spans="3:11" x14ac:dyDescent="0.2">
      <c r="C648" s="567">
        <v>645</v>
      </c>
      <c r="D648" s="578"/>
      <c r="E648" s="579"/>
      <c r="F648" s="580"/>
      <c r="G648" s="581"/>
      <c r="H648" s="768"/>
      <c r="I648" s="771"/>
      <c r="J648" s="774"/>
      <c r="K648" s="777"/>
    </row>
    <row r="649" spans="3:11" x14ac:dyDescent="0.2">
      <c r="C649" s="567">
        <v>646</v>
      </c>
      <c r="D649" s="578"/>
      <c r="E649" s="579"/>
      <c r="F649" s="580"/>
      <c r="G649" s="581"/>
      <c r="H649" s="768"/>
      <c r="I649" s="771"/>
      <c r="J649" s="774"/>
      <c r="K649" s="777"/>
    </row>
    <row r="650" spans="3:11" x14ac:dyDescent="0.2">
      <c r="C650" s="567">
        <v>647</v>
      </c>
      <c r="D650" s="578"/>
      <c r="E650" s="579"/>
      <c r="F650" s="580"/>
      <c r="G650" s="581"/>
      <c r="H650" s="768"/>
      <c r="I650" s="771"/>
      <c r="J650" s="774"/>
      <c r="K650" s="777"/>
    </row>
    <row r="651" spans="3:11" x14ac:dyDescent="0.2">
      <c r="C651" s="567">
        <v>648</v>
      </c>
      <c r="D651" s="578"/>
      <c r="E651" s="579"/>
      <c r="F651" s="580"/>
      <c r="G651" s="581"/>
      <c r="H651" s="768"/>
      <c r="I651" s="771"/>
      <c r="J651" s="774"/>
      <c r="K651" s="777"/>
    </row>
    <row r="652" spans="3:11" x14ac:dyDescent="0.2">
      <c r="C652" s="567">
        <v>649</v>
      </c>
      <c r="D652" s="578"/>
      <c r="E652" s="579"/>
      <c r="F652" s="580"/>
      <c r="G652" s="581"/>
      <c r="H652" s="768"/>
      <c r="I652" s="771"/>
      <c r="J652" s="774"/>
      <c r="K652" s="777"/>
    </row>
    <row r="653" spans="3:11" x14ac:dyDescent="0.2">
      <c r="C653" s="567">
        <v>650</v>
      </c>
      <c r="D653" s="578"/>
      <c r="E653" s="579"/>
      <c r="F653" s="580"/>
      <c r="G653" s="581"/>
      <c r="H653" s="768"/>
      <c r="I653" s="771"/>
      <c r="J653" s="774"/>
      <c r="K653" s="777"/>
    </row>
    <row r="654" spans="3:11" x14ac:dyDescent="0.2">
      <c r="C654" s="567">
        <v>651</v>
      </c>
      <c r="D654" s="578"/>
      <c r="E654" s="579"/>
      <c r="F654" s="580"/>
      <c r="G654" s="581"/>
      <c r="H654" s="768"/>
      <c r="I654" s="771"/>
      <c r="J654" s="774"/>
      <c r="K654" s="777"/>
    </row>
    <row r="655" spans="3:11" x14ac:dyDescent="0.2">
      <c r="C655" s="567">
        <v>652</v>
      </c>
      <c r="D655" s="578"/>
      <c r="E655" s="579"/>
      <c r="F655" s="580"/>
      <c r="G655" s="581"/>
      <c r="H655" s="768"/>
      <c r="I655" s="771"/>
      <c r="J655" s="774"/>
      <c r="K655" s="777"/>
    </row>
    <row r="656" spans="3:11" x14ac:dyDescent="0.2">
      <c r="C656" s="567">
        <v>653</v>
      </c>
      <c r="D656" s="578"/>
      <c r="E656" s="579"/>
      <c r="F656" s="580"/>
      <c r="G656" s="581"/>
      <c r="H656" s="768"/>
      <c r="I656" s="771"/>
      <c r="J656" s="774"/>
      <c r="K656" s="777"/>
    </row>
    <row r="657" spans="3:11" x14ac:dyDescent="0.2">
      <c r="C657" s="567">
        <v>654</v>
      </c>
      <c r="D657" s="578"/>
      <c r="E657" s="579"/>
      <c r="F657" s="580"/>
      <c r="G657" s="581"/>
      <c r="H657" s="768"/>
      <c r="I657" s="771"/>
      <c r="J657" s="774"/>
      <c r="K657" s="777"/>
    </row>
    <row r="658" spans="3:11" x14ac:dyDescent="0.2">
      <c r="C658" s="567">
        <v>655</v>
      </c>
      <c r="D658" s="578"/>
      <c r="E658" s="579"/>
      <c r="F658" s="580"/>
      <c r="G658" s="581"/>
      <c r="H658" s="768"/>
      <c r="I658" s="771"/>
      <c r="J658" s="774"/>
      <c r="K658" s="777"/>
    </row>
    <row r="659" spans="3:11" x14ac:dyDescent="0.2">
      <c r="C659" s="567">
        <v>656</v>
      </c>
      <c r="D659" s="578"/>
      <c r="E659" s="579"/>
      <c r="F659" s="580"/>
      <c r="G659" s="581"/>
      <c r="H659" s="768"/>
      <c r="I659" s="771"/>
      <c r="J659" s="774"/>
      <c r="K659" s="777"/>
    </row>
    <row r="660" spans="3:11" x14ac:dyDescent="0.2">
      <c r="C660" s="567">
        <v>657</v>
      </c>
      <c r="D660" s="578"/>
      <c r="E660" s="579"/>
      <c r="F660" s="580"/>
      <c r="G660" s="581"/>
      <c r="H660" s="768"/>
      <c r="I660" s="771"/>
      <c r="J660" s="774"/>
      <c r="K660" s="777"/>
    </row>
    <row r="661" spans="3:11" x14ac:dyDescent="0.2">
      <c r="C661" s="567">
        <v>658</v>
      </c>
      <c r="D661" s="578"/>
      <c r="E661" s="579"/>
      <c r="F661" s="580"/>
      <c r="G661" s="581"/>
      <c r="H661" s="768"/>
      <c r="I661" s="771"/>
      <c r="J661" s="774"/>
      <c r="K661" s="777"/>
    </row>
    <row r="662" spans="3:11" x14ac:dyDescent="0.2">
      <c r="C662" s="567">
        <v>659</v>
      </c>
      <c r="D662" s="578"/>
      <c r="E662" s="579"/>
      <c r="F662" s="580"/>
      <c r="G662" s="581"/>
      <c r="H662" s="768"/>
      <c r="I662" s="771"/>
      <c r="J662" s="774"/>
      <c r="K662" s="777"/>
    </row>
    <row r="663" spans="3:11" x14ac:dyDescent="0.2">
      <c r="C663" s="567">
        <v>660</v>
      </c>
      <c r="D663" s="578"/>
      <c r="E663" s="579"/>
      <c r="F663" s="580"/>
      <c r="G663" s="581"/>
      <c r="H663" s="768"/>
      <c r="I663" s="771"/>
      <c r="J663" s="774"/>
      <c r="K663" s="777"/>
    </row>
    <row r="664" spans="3:11" x14ac:dyDescent="0.2">
      <c r="C664" s="567">
        <v>661</v>
      </c>
      <c r="D664" s="578"/>
      <c r="E664" s="579"/>
      <c r="F664" s="580"/>
      <c r="G664" s="581"/>
      <c r="H664" s="768"/>
      <c r="I664" s="771"/>
      <c r="J664" s="774"/>
      <c r="K664" s="777"/>
    </row>
    <row r="665" spans="3:11" x14ac:dyDescent="0.2">
      <c r="C665" s="567">
        <v>662</v>
      </c>
      <c r="D665" s="578"/>
      <c r="E665" s="579"/>
      <c r="F665" s="580"/>
      <c r="G665" s="581"/>
      <c r="H665" s="768"/>
      <c r="I665" s="771"/>
      <c r="J665" s="774"/>
      <c r="K665" s="777"/>
    </row>
    <row r="666" spans="3:11" x14ac:dyDescent="0.2">
      <c r="C666" s="567">
        <v>663</v>
      </c>
      <c r="D666" s="578"/>
      <c r="E666" s="579"/>
      <c r="F666" s="580"/>
      <c r="G666" s="581"/>
      <c r="H666" s="768"/>
      <c r="I666" s="771"/>
      <c r="J666" s="774"/>
      <c r="K666" s="777"/>
    </row>
    <row r="667" spans="3:11" x14ac:dyDescent="0.2">
      <c r="C667" s="567">
        <v>664</v>
      </c>
      <c r="D667" s="578"/>
      <c r="E667" s="579"/>
      <c r="F667" s="580"/>
      <c r="G667" s="581"/>
      <c r="H667" s="768"/>
      <c r="I667" s="771"/>
      <c r="J667" s="774"/>
      <c r="K667" s="777"/>
    </row>
    <row r="668" spans="3:11" x14ac:dyDescent="0.2">
      <c r="C668" s="567">
        <v>665</v>
      </c>
      <c r="D668" s="578"/>
      <c r="E668" s="579"/>
      <c r="F668" s="580"/>
      <c r="G668" s="581"/>
      <c r="H668" s="768"/>
      <c r="I668" s="771"/>
      <c r="J668" s="774"/>
      <c r="K668" s="777"/>
    </row>
    <row r="669" spans="3:11" x14ac:dyDescent="0.2">
      <c r="C669" s="567">
        <v>666</v>
      </c>
      <c r="D669" s="578"/>
      <c r="E669" s="579"/>
      <c r="F669" s="580"/>
      <c r="G669" s="581"/>
      <c r="H669" s="768"/>
      <c r="I669" s="771"/>
      <c r="J669" s="774"/>
      <c r="K669" s="777"/>
    </row>
    <row r="670" spans="3:11" x14ac:dyDescent="0.2">
      <c r="C670" s="567">
        <v>667</v>
      </c>
      <c r="D670" s="578"/>
      <c r="E670" s="579"/>
      <c r="F670" s="580"/>
      <c r="G670" s="581"/>
      <c r="H670" s="768"/>
      <c r="I670" s="771"/>
      <c r="J670" s="774"/>
      <c r="K670" s="777"/>
    </row>
    <row r="671" spans="3:11" x14ac:dyDescent="0.2">
      <c r="C671" s="567">
        <v>668</v>
      </c>
      <c r="D671" s="578"/>
      <c r="E671" s="579"/>
      <c r="F671" s="580"/>
      <c r="G671" s="581"/>
      <c r="H671" s="768"/>
      <c r="I671" s="771"/>
      <c r="J671" s="774"/>
      <c r="K671" s="777"/>
    </row>
    <row r="672" spans="3:11" x14ac:dyDescent="0.2">
      <c r="C672" s="567">
        <v>669</v>
      </c>
      <c r="D672" s="578"/>
      <c r="E672" s="579"/>
      <c r="F672" s="580"/>
      <c r="G672" s="581"/>
      <c r="H672" s="768"/>
      <c r="I672" s="771"/>
      <c r="J672" s="774"/>
      <c r="K672" s="777"/>
    </row>
    <row r="673" spans="3:11" x14ac:dyDescent="0.2">
      <c r="C673" s="567">
        <v>670</v>
      </c>
      <c r="D673" s="578"/>
      <c r="E673" s="579"/>
      <c r="F673" s="580"/>
      <c r="G673" s="581"/>
      <c r="H673" s="768"/>
      <c r="I673" s="771"/>
      <c r="J673" s="774"/>
      <c r="K673" s="777"/>
    </row>
    <row r="674" spans="3:11" x14ac:dyDescent="0.2">
      <c r="C674" s="567">
        <v>671</v>
      </c>
      <c r="D674" s="578"/>
      <c r="E674" s="579"/>
      <c r="F674" s="580"/>
      <c r="G674" s="581"/>
      <c r="H674" s="768"/>
      <c r="I674" s="771"/>
      <c r="J674" s="774"/>
      <c r="K674" s="777"/>
    </row>
    <row r="675" spans="3:11" x14ac:dyDescent="0.2">
      <c r="C675" s="567">
        <v>672</v>
      </c>
      <c r="D675" s="578"/>
      <c r="E675" s="579"/>
      <c r="F675" s="580"/>
      <c r="G675" s="581"/>
      <c r="H675" s="768"/>
      <c r="I675" s="771"/>
      <c r="J675" s="774"/>
      <c r="K675" s="777"/>
    </row>
    <row r="676" spans="3:11" x14ac:dyDescent="0.2">
      <c r="C676" s="567">
        <v>673</v>
      </c>
      <c r="D676" s="578"/>
      <c r="E676" s="579"/>
      <c r="F676" s="580"/>
      <c r="G676" s="581"/>
      <c r="H676" s="768"/>
      <c r="I676" s="771"/>
      <c r="J676" s="774"/>
      <c r="K676" s="777"/>
    </row>
    <row r="677" spans="3:11" x14ac:dyDescent="0.2">
      <c r="C677" s="567">
        <v>674</v>
      </c>
      <c r="D677" s="578"/>
      <c r="E677" s="579"/>
      <c r="F677" s="580"/>
      <c r="G677" s="581"/>
      <c r="H677" s="768"/>
      <c r="I677" s="771"/>
      <c r="J677" s="774"/>
      <c r="K677" s="777"/>
    </row>
    <row r="678" spans="3:11" x14ac:dyDescent="0.2">
      <c r="C678" s="567">
        <v>675</v>
      </c>
      <c r="D678" s="578"/>
      <c r="E678" s="579"/>
      <c r="F678" s="580"/>
      <c r="G678" s="581"/>
      <c r="H678" s="768"/>
      <c r="I678" s="771"/>
      <c r="J678" s="774"/>
      <c r="K678" s="777"/>
    </row>
    <row r="679" spans="3:11" x14ac:dyDescent="0.2">
      <c r="C679" s="567">
        <v>676</v>
      </c>
      <c r="D679" s="578"/>
      <c r="E679" s="579"/>
      <c r="F679" s="580"/>
      <c r="G679" s="581"/>
      <c r="H679" s="768"/>
      <c r="I679" s="771"/>
      <c r="J679" s="774"/>
      <c r="K679" s="777"/>
    </row>
    <row r="680" spans="3:11" x14ac:dyDescent="0.2">
      <c r="C680" s="567">
        <v>677</v>
      </c>
      <c r="D680" s="578"/>
      <c r="E680" s="579"/>
      <c r="F680" s="580"/>
      <c r="G680" s="581"/>
      <c r="H680" s="768"/>
      <c r="I680" s="771"/>
      <c r="J680" s="774"/>
      <c r="K680" s="777"/>
    </row>
    <row r="681" spans="3:11" x14ac:dyDescent="0.2">
      <c r="C681" s="567">
        <v>678</v>
      </c>
      <c r="D681" s="578"/>
      <c r="E681" s="579"/>
      <c r="F681" s="580"/>
      <c r="G681" s="581"/>
      <c r="H681" s="768"/>
      <c r="I681" s="771"/>
      <c r="J681" s="774"/>
      <c r="K681" s="777"/>
    </row>
    <row r="682" spans="3:11" x14ac:dyDescent="0.2">
      <c r="C682" s="567">
        <v>679</v>
      </c>
      <c r="D682" s="578"/>
      <c r="E682" s="579"/>
      <c r="F682" s="580"/>
      <c r="G682" s="581"/>
      <c r="H682" s="768"/>
      <c r="I682" s="771"/>
      <c r="J682" s="774"/>
      <c r="K682" s="777"/>
    </row>
    <row r="683" spans="3:11" x14ac:dyDescent="0.2">
      <c r="C683" s="567">
        <v>680</v>
      </c>
      <c r="D683" s="578"/>
      <c r="E683" s="579"/>
      <c r="F683" s="580"/>
      <c r="G683" s="581"/>
      <c r="H683" s="768"/>
      <c r="I683" s="771"/>
      <c r="J683" s="774"/>
      <c r="K683" s="777"/>
    </row>
    <row r="684" spans="3:11" x14ac:dyDescent="0.2">
      <c r="C684" s="567">
        <v>681</v>
      </c>
      <c r="D684" s="578"/>
      <c r="E684" s="579"/>
      <c r="F684" s="580"/>
      <c r="G684" s="581"/>
      <c r="H684" s="768"/>
      <c r="I684" s="771"/>
      <c r="J684" s="774"/>
      <c r="K684" s="777"/>
    </row>
    <row r="685" spans="3:11" x14ac:dyDescent="0.2">
      <c r="C685" s="567">
        <v>682</v>
      </c>
      <c r="D685" s="578"/>
      <c r="E685" s="579"/>
      <c r="F685" s="580"/>
      <c r="G685" s="581"/>
      <c r="H685" s="768"/>
      <c r="I685" s="771"/>
      <c r="J685" s="774"/>
      <c r="K685" s="777"/>
    </row>
    <row r="686" spans="3:11" x14ac:dyDescent="0.2">
      <c r="C686" s="567">
        <v>683</v>
      </c>
      <c r="D686" s="578"/>
      <c r="E686" s="579"/>
      <c r="F686" s="580"/>
      <c r="G686" s="581"/>
      <c r="H686" s="768"/>
      <c r="I686" s="771"/>
      <c r="J686" s="774"/>
      <c r="K686" s="777"/>
    </row>
    <row r="687" spans="3:11" x14ac:dyDescent="0.2">
      <c r="C687" s="567">
        <v>684</v>
      </c>
      <c r="D687" s="578"/>
      <c r="E687" s="579"/>
      <c r="F687" s="580"/>
      <c r="G687" s="581"/>
      <c r="H687" s="768"/>
      <c r="I687" s="771"/>
      <c r="J687" s="774"/>
      <c r="K687" s="777"/>
    </row>
    <row r="688" spans="3:11" x14ac:dyDescent="0.2">
      <c r="C688" s="567">
        <v>685</v>
      </c>
      <c r="D688" s="578"/>
      <c r="E688" s="579"/>
      <c r="F688" s="580"/>
      <c r="G688" s="581"/>
      <c r="H688" s="768"/>
      <c r="I688" s="771"/>
      <c r="J688" s="774"/>
      <c r="K688" s="777"/>
    </row>
    <row r="689" spans="3:11" x14ac:dyDescent="0.2">
      <c r="C689" s="567">
        <v>686</v>
      </c>
      <c r="D689" s="578"/>
      <c r="E689" s="579"/>
      <c r="F689" s="580"/>
      <c r="G689" s="581"/>
      <c r="H689" s="768"/>
      <c r="I689" s="771"/>
      <c r="J689" s="774"/>
      <c r="K689" s="777"/>
    </row>
    <row r="690" spans="3:11" x14ac:dyDescent="0.2">
      <c r="C690" s="567">
        <v>687</v>
      </c>
      <c r="D690" s="578"/>
      <c r="E690" s="579"/>
      <c r="F690" s="580"/>
      <c r="G690" s="581"/>
      <c r="H690" s="768"/>
      <c r="I690" s="771"/>
      <c r="J690" s="774"/>
      <c r="K690" s="777"/>
    </row>
    <row r="691" spans="3:11" x14ac:dyDescent="0.2">
      <c r="C691" s="567">
        <v>688</v>
      </c>
      <c r="D691" s="578"/>
      <c r="E691" s="579"/>
      <c r="F691" s="580"/>
      <c r="G691" s="581"/>
      <c r="H691" s="768"/>
      <c r="I691" s="771"/>
      <c r="J691" s="774"/>
      <c r="K691" s="777"/>
    </row>
    <row r="692" spans="3:11" x14ac:dyDescent="0.2">
      <c r="C692" s="567">
        <v>689</v>
      </c>
      <c r="D692" s="578"/>
      <c r="E692" s="579"/>
      <c r="F692" s="580"/>
      <c r="G692" s="581"/>
      <c r="H692" s="768"/>
      <c r="I692" s="771"/>
      <c r="J692" s="774"/>
      <c r="K692" s="777"/>
    </row>
    <row r="693" spans="3:11" x14ac:dyDescent="0.2">
      <c r="C693" s="567">
        <v>690</v>
      </c>
      <c r="D693" s="578"/>
      <c r="E693" s="579"/>
      <c r="F693" s="580"/>
      <c r="G693" s="581"/>
      <c r="H693" s="768"/>
      <c r="I693" s="771"/>
      <c r="J693" s="774"/>
      <c r="K693" s="777"/>
    </row>
    <row r="694" spans="3:11" x14ac:dyDescent="0.2">
      <c r="C694" s="567">
        <v>691</v>
      </c>
      <c r="D694" s="578"/>
      <c r="E694" s="579"/>
      <c r="F694" s="580"/>
      <c r="G694" s="581"/>
      <c r="H694" s="768"/>
      <c r="I694" s="771"/>
      <c r="J694" s="774"/>
      <c r="K694" s="777"/>
    </row>
    <row r="695" spans="3:11" x14ac:dyDescent="0.2">
      <c r="C695" s="567">
        <v>692</v>
      </c>
      <c r="D695" s="578"/>
      <c r="E695" s="579"/>
      <c r="F695" s="580"/>
      <c r="G695" s="581"/>
      <c r="H695" s="768"/>
      <c r="I695" s="771"/>
      <c r="J695" s="774"/>
      <c r="K695" s="777"/>
    </row>
    <row r="696" spans="3:11" x14ac:dyDescent="0.2">
      <c r="C696" s="567">
        <v>693</v>
      </c>
      <c r="D696" s="578"/>
      <c r="E696" s="579"/>
      <c r="F696" s="580"/>
      <c r="G696" s="581"/>
      <c r="H696" s="768"/>
      <c r="I696" s="771"/>
      <c r="J696" s="774"/>
      <c r="K696" s="777"/>
    </row>
    <row r="697" spans="3:11" x14ac:dyDescent="0.2">
      <c r="C697" s="567">
        <v>694</v>
      </c>
      <c r="D697" s="578"/>
      <c r="E697" s="579"/>
      <c r="F697" s="580"/>
      <c r="G697" s="581"/>
      <c r="H697" s="768"/>
      <c r="I697" s="771"/>
      <c r="J697" s="774"/>
      <c r="K697" s="777"/>
    </row>
    <row r="698" spans="3:11" x14ac:dyDescent="0.2">
      <c r="C698" s="567">
        <v>695</v>
      </c>
      <c r="D698" s="578"/>
      <c r="E698" s="579"/>
      <c r="F698" s="580"/>
      <c r="G698" s="581"/>
      <c r="H698" s="768"/>
      <c r="I698" s="771"/>
      <c r="J698" s="774"/>
      <c r="K698" s="777"/>
    </row>
    <row r="699" spans="3:11" x14ac:dyDescent="0.2">
      <c r="C699" s="567">
        <v>696</v>
      </c>
      <c r="D699" s="578"/>
      <c r="E699" s="579"/>
      <c r="F699" s="580"/>
      <c r="G699" s="581"/>
      <c r="H699" s="768"/>
      <c r="I699" s="771"/>
      <c r="J699" s="774"/>
      <c r="K699" s="777"/>
    </row>
    <row r="700" spans="3:11" x14ac:dyDescent="0.2">
      <c r="C700" s="567">
        <v>697</v>
      </c>
      <c r="D700" s="578"/>
      <c r="E700" s="579"/>
      <c r="F700" s="580"/>
      <c r="G700" s="581"/>
      <c r="H700" s="768"/>
      <c r="I700" s="771"/>
      <c r="J700" s="774"/>
      <c r="K700" s="777"/>
    </row>
    <row r="701" spans="3:11" x14ac:dyDescent="0.2">
      <c r="C701" s="567">
        <v>698</v>
      </c>
      <c r="D701" s="578"/>
      <c r="E701" s="579"/>
      <c r="F701" s="580"/>
      <c r="G701" s="581"/>
      <c r="H701" s="768"/>
      <c r="I701" s="771"/>
      <c r="J701" s="774"/>
      <c r="K701" s="777"/>
    </row>
    <row r="702" spans="3:11" x14ac:dyDescent="0.2">
      <c r="C702" s="567">
        <v>699</v>
      </c>
      <c r="D702" s="578"/>
      <c r="E702" s="579"/>
      <c r="F702" s="580"/>
      <c r="G702" s="581"/>
      <c r="H702" s="768"/>
      <c r="I702" s="771"/>
      <c r="J702" s="774"/>
      <c r="K702" s="777"/>
    </row>
    <row r="703" spans="3:11" x14ac:dyDescent="0.2">
      <c r="C703" s="567">
        <v>700</v>
      </c>
      <c r="D703" s="578"/>
      <c r="E703" s="579"/>
      <c r="F703" s="580"/>
      <c r="G703" s="581"/>
      <c r="H703" s="768"/>
      <c r="I703" s="771"/>
      <c r="J703" s="774"/>
      <c r="K703" s="777"/>
    </row>
    <row r="704" spans="3:11" x14ac:dyDescent="0.2">
      <c r="C704" s="567">
        <v>701</v>
      </c>
      <c r="D704" s="578"/>
      <c r="E704" s="579"/>
      <c r="F704" s="580"/>
      <c r="G704" s="581"/>
      <c r="H704" s="768"/>
      <c r="I704" s="771"/>
      <c r="J704" s="774"/>
      <c r="K704" s="777"/>
    </row>
    <row r="705" spans="3:11" x14ac:dyDescent="0.2">
      <c r="C705" s="567">
        <v>702</v>
      </c>
      <c r="D705" s="578"/>
      <c r="E705" s="579"/>
      <c r="F705" s="580"/>
      <c r="G705" s="581"/>
      <c r="H705" s="768"/>
      <c r="I705" s="771"/>
      <c r="J705" s="774"/>
      <c r="K705" s="777"/>
    </row>
    <row r="706" spans="3:11" x14ac:dyDescent="0.2">
      <c r="C706" s="567">
        <v>703</v>
      </c>
      <c r="D706" s="578"/>
      <c r="E706" s="579"/>
      <c r="F706" s="580"/>
      <c r="G706" s="581"/>
      <c r="H706" s="768"/>
      <c r="I706" s="771"/>
      <c r="J706" s="774"/>
      <c r="K706" s="777"/>
    </row>
    <row r="707" spans="3:11" x14ac:dyDescent="0.2">
      <c r="C707" s="567">
        <v>704</v>
      </c>
      <c r="D707" s="578"/>
      <c r="E707" s="579"/>
      <c r="F707" s="580"/>
      <c r="G707" s="581"/>
      <c r="H707" s="768"/>
      <c r="I707" s="771"/>
      <c r="J707" s="774"/>
      <c r="K707" s="777"/>
    </row>
    <row r="708" spans="3:11" x14ac:dyDescent="0.2">
      <c r="C708" s="567">
        <v>705</v>
      </c>
      <c r="D708" s="578"/>
      <c r="E708" s="579"/>
      <c r="F708" s="580"/>
      <c r="G708" s="581"/>
      <c r="H708" s="768"/>
      <c r="I708" s="771"/>
      <c r="J708" s="774"/>
      <c r="K708" s="777"/>
    </row>
    <row r="709" spans="3:11" x14ac:dyDescent="0.2">
      <c r="C709" s="567">
        <v>706</v>
      </c>
      <c r="D709" s="578"/>
      <c r="E709" s="579"/>
      <c r="F709" s="580"/>
      <c r="G709" s="581"/>
      <c r="H709" s="768"/>
      <c r="I709" s="771"/>
      <c r="J709" s="774"/>
      <c r="K709" s="777"/>
    </row>
    <row r="710" spans="3:11" x14ac:dyDescent="0.2">
      <c r="C710" s="567">
        <v>707</v>
      </c>
      <c r="D710" s="578"/>
      <c r="E710" s="579"/>
      <c r="F710" s="580"/>
      <c r="G710" s="581"/>
      <c r="H710" s="768"/>
      <c r="I710" s="771"/>
      <c r="J710" s="774"/>
      <c r="K710" s="777"/>
    </row>
    <row r="711" spans="3:11" x14ac:dyDescent="0.2">
      <c r="C711" s="567">
        <v>708</v>
      </c>
      <c r="D711" s="578"/>
      <c r="E711" s="579"/>
      <c r="F711" s="580"/>
      <c r="G711" s="581"/>
      <c r="H711" s="768"/>
      <c r="I711" s="771"/>
      <c r="J711" s="774"/>
      <c r="K711" s="777"/>
    </row>
    <row r="712" spans="3:11" x14ac:dyDescent="0.2">
      <c r="C712" s="567">
        <v>709</v>
      </c>
      <c r="D712" s="578"/>
      <c r="E712" s="579"/>
      <c r="F712" s="580"/>
      <c r="G712" s="581"/>
      <c r="H712" s="768"/>
      <c r="I712" s="771"/>
      <c r="J712" s="774"/>
      <c r="K712" s="777"/>
    </row>
    <row r="713" spans="3:11" x14ac:dyDescent="0.2">
      <c r="C713" s="567">
        <v>710</v>
      </c>
      <c r="D713" s="578"/>
      <c r="E713" s="579"/>
      <c r="F713" s="580"/>
      <c r="G713" s="581"/>
      <c r="H713" s="768"/>
      <c r="I713" s="771"/>
      <c r="J713" s="774"/>
      <c r="K713" s="777"/>
    </row>
    <row r="714" spans="3:11" x14ac:dyDescent="0.2">
      <c r="C714" s="567">
        <v>711</v>
      </c>
      <c r="D714" s="578"/>
      <c r="E714" s="579"/>
      <c r="F714" s="580"/>
      <c r="G714" s="581"/>
      <c r="H714" s="768"/>
      <c r="I714" s="771"/>
      <c r="J714" s="774"/>
      <c r="K714" s="777"/>
    </row>
    <row r="715" spans="3:11" x14ac:dyDescent="0.2">
      <c r="C715" s="567">
        <v>712</v>
      </c>
      <c r="D715" s="578"/>
      <c r="E715" s="579"/>
      <c r="F715" s="580"/>
      <c r="G715" s="581"/>
      <c r="H715" s="768"/>
      <c r="I715" s="771"/>
      <c r="J715" s="774"/>
      <c r="K715" s="777"/>
    </row>
    <row r="716" spans="3:11" x14ac:dyDescent="0.2">
      <c r="C716" s="567">
        <v>713</v>
      </c>
      <c r="D716" s="578"/>
      <c r="E716" s="579"/>
      <c r="F716" s="580"/>
      <c r="G716" s="581"/>
      <c r="H716" s="768"/>
      <c r="I716" s="771"/>
      <c r="J716" s="774"/>
      <c r="K716" s="777"/>
    </row>
    <row r="717" spans="3:11" x14ac:dyDescent="0.2">
      <c r="C717" s="567">
        <v>714</v>
      </c>
      <c r="D717" s="578"/>
      <c r="E717" s="579"/>
      <c r="F717" s="580"/>
      <c r="G717" s="581"/>
      <c r="H717" s="768"/>
      <c r="I717" s="771"/>
      <c r="J717" s="774"/>
      <c r="K717" s="777"/>
    </row>
    <row r="718" spans="3:11" x14ac:dyDescent="0.2">
      <c r="C718" s="567">
        <v>715</v>
      </c>
      <c r="D718" s="578"/>
      <c r="E718" s="579"/>
      <c r="F718" s="580"/>
      <c r="G718" s="581"/>
      <c r="H718" s="768"/>
      <c r="I718" s="771"/>
      <c r="J718" s="774"/>
      <c r="K718" s="777"/>
    </row>
    <row r="719" spans="3:11" x14ac:dyDescent="0.2">
      <c r="C719" s="567">
        <v>716</v>
      </c>
      <c r="D719" s="578"/>
      <c r="E719" s="579"/>
      <c r="F719" s="580"/>
      <c r="G719" s="581"/>
      <c r="H719" s="768"/>
      <c r="I719" s="771"/>
      <c r="J719" s="774"/>
      <c r="K719" s="777"/>
    </row>
    <row r="720" spans="3:11" x14ac:dyDescent="0.2">
      <c r="C720" s="567">
        <v>717</v>
      </c>
      <c r="D720" s="578"/>
      <c r="E720" s="579"/>
      <c r="F720" s="580"/>
      <c r="G720" s="581"/>
      <c r="H720" s="768"/>
      <c r="I720" s="771"/>
      <c r="J720" s="774"/>
      <c r="K720" s="777"/>
    </row>
    <row r="721" spans="3:11" x14ac:dyDescent="0.2">
      <c r="C721" s="567">
        <v>718</v>
      </c>
      <c r="D721" s="578"/>
      <c r="E721" s="579"/>
      <c r="F721" s="580"/>
      <c r="G721" s="581"/>
      <c r="H721" s="768"/>
      <c r="I721" s="771"/>
      <c r="J721" s="774"/>
      <c r="K721" s="777"/>
    </row>
    <row r="722" spans="3:11" x14ac:dyDescent="0.2">
      <c r="C722" s="567">
        <v>719</v>
      </c>
      <c r="D722" s="578"/>
      <c r="E722" s="579"/>
      <c r="F722" s="580"/>
      <c r="G722" s="581"/>
      <c r="H722" s="768"/>
      <c r="I722" s="771"/>
      <c r="J722" s="774"/>
      <c r="K722" s="777"/>
    </row>
    <row r="723" spans="3:11" x14ac:dyDescent="0.2">
      <c r="C723" s="567">
        <v>720</v>
      </c>
      <c r="D723" s="578"/>
      <c r="E723" s="579"/>
      <c r="F723" s="580"/>
      <c r="G723" s="581"/>
      <c r="H723" s="768"/>
      <c r="I723" s="771"/>
      <c r="J723" s="774"/>
      <c r="K723" s="777"/>
    </row>
    <row r="724" spans="3:11" x14ac:dyDescent="0.2">
      <c r="C724" s="567">
        <v>721</v>
      </c>
      <c r="D724" s="578"/>
      <c r="E724" s="579"/>
      <c r="F724" s="580"/>
      <c r="G724" s="581"/>
      <c r="H724" s="768"/>
      <c r="I724" s="771"/>
      <c r="J724" s="774"/>
      <c r="K724" s="777"/>
    </row>
    <row r="725" spans="3:11" x14ac:dyDescent="0.2">
      <c r="C725" s="567">
        <v>722</v>
      </c>
      <c r="D725" s="578"/>
      <c r="E725" s="579"/>
      <c r="F725" s="580"/>
      <c r="G725" s="581"/>
      <c r="H725" s="768"/>
      <c r="I725" s="771"/>
      <c r="J725" s="774"/>
      <c r="K725" s="777"/>
    </row>
    <row r="726" spans="3:11" x14ac:dyDescent="0.2">
      <c r="C726" s="567">
        <v>723</v>
      </c>
      <c r="D726" s="578"/>
      <c r="E726" s="579"/>
      <c r="F726" s="580"/>
      <c r="G726" s="581"/>
      <c r="H726" s="768"/>
      <c r="I726" s="771"/>
      <c r="J726" s="774"/>
      <c r="K726" s="777"/>
    </row>
    <row r="727" spans="3:11" x14ac:dyDescent="0.2">
      <c r="C727" s="567">
        <v>724</v>
      </c>
      <c r="D727" s="578"/>
      <c r="E727" s="579"/>
      <c r="F727" s="580"/>
      <c r="G727" s="581"/>
      <c r="H727" s="768"/>
      <c r="I727" s="771"/>
      <c r="J727" s="774"/>
      <c r="K727" s="777"/>
    </row>
    <row r="728" spans="3:11" x14ac:dyDescent="0.2">
      <c r="C728" s="567">
        <v>725</v>
      </c>
      <c r="D728" s="578"/>
      <c r="E728" s="579"/>
      <c r="F728" s="580"/>
      <c r="G728" s="581"/>
      <c r="H728" s="768"/>
      <c r="I728" s="771"/>
      <c r="J728" s="774"/>
      <c r="K728" s="777"/>
    </row>
    <row r="729" spans="3:11" x14ac:dyDescent="0.2">
      <c r="C729" s="567">
        <v>726</v>
      </c>
      <c r="D729" s="578"/>
      <c r="E729" s="579"/>
      <c r="F729" s="580"/>
      <c r="G729" s="581"/>
      <c r="H729" s="768"/>
      <c r="I729" s="771"/>
      <c r="J729" s="774"/>
      <c r="K729" s="777"/>
    </row>
    <row r="730" spans="3:11" x14ac:dyDescent="0.2">
      <c r="C730" s="567">
        <v>727</v>
      </c>
      <c r="D730" s="578"/>
      <c r="E730" s="579"/>
      <c r="F730" s="580"/>
      <c r="G730" s="581"/>
      <c r="H730" s="768"/>
      <c r="I730" s="771"/>
      <c r="J730" s="774"/>
      <c r="K730" s="777"/>
    </row>
    <row r="731" spans="3:11" x14ac:dyDescent="0.2">
      <c r="C731" s="567">
        <v>728</v>
      </c>
      <c r="D731" s="578"/>
      <c r="E731" s="579"/>
      <c r="F731" s="580"/>
      <c r="G731" s="581"/>
      <c r="H731" s="768"/>
      <c r="I731" s="771"/>
      <c r="J731" s="774"/>
      <c r="K731" s="777"/>
    </row>
    <row r="732" spans="3:11" x14ac:dyDescent="0.2">
      <c r="C732" s="567">
        <v>729</v>
      </c>
      <c r="D732" s="578"/>
      <c r="E732" s="579"/>
      <c r="F732" s="580"/>
      <c r="G732" s="581"/>
      <c r="H732" s="768"/>
      <c r="I732" s="771"/>
      <c r="J732" s="774"/>
      <c r="K732" s="777"/>
    </row>
    <row r="733" spans="3:11" x14ac:dyDescent="0.2">
      <c r="C733" s="567">
        <v>730</v>
      </c>
      <c r="D733" s="578"/>
      <c r="E733" s="579"/>
      <c r="F733" s="580"/>
      <c r="G733" s="581"/>
      <c r="H733" s="768"/>
      <c r="I733" s="771"/>
      <c r="J733" s="774"/>
      <c r="K733" s="777"/>
    </row>
    <row r="734" spans="3:11" x14ac:dyDescent="0.2">
      <c r="C734" s="567">
        <v>731</v>
      </c>
      <c r="D734" s="578"/>
      <c r="E734" s="579"/>
      <c r="F734" s="580"/>
      <c r="G734" s="581"/>
      <c r="H734" s="768"/>
      <c r="I734" s="771"/>
      <c r="J734" s="774"/>
      <c r="K734" s="777"/>
    </row>
    <row r="735" spans="3:11" x14ac:dyDescent="0.2">
      <c r="C735" s="567">
        <v>732</v>
      </c>
      <c r="D735" s="578"/>
      <c r="E735" s="579"/>
      <c r="F735" s="580"/>
      <c r="G735" s="581"/>
      <c r="H735" s="768"/>
      <c r="I735" s="771"/>
      <c r="J735" s="774"/>
      <c r="K735" s="777"/>
    </row>
    <row r="736" spans="3:11" x14ac:dyDescent="0.2">
      <c r="C736" s="567">
        <v>733</v>
      </c>
      <c r="D736" s="578"/>
      <c r="E736" s="579"/>
      <c r="F736" s="580"/>
      <c r="G736" s="581"/>
      <c r="H736" s="768"/>
      <c r="I736" s="771"/>
      <c r="J736" s="774"/>
      <c r="K736" s="777"/>
    </row>
    <row r="737" spans="3:11" x14ac:dyDescent="0.2">
      <c r="C737" s="567">
        <v>734</v>
      </c>
      <c r="D737" s="578"/>
      <c r="E737" s="579"/>
      <c r="F737" s="580"/>
      <c r="G737" s="581"/>
      <c r="H737" s="768"/>
      <c r="I737" s="771"/>
      <c r="J737" s="774"/>
      <c r="K737" s="777"/>
    </row>
    <row r="738" spans="3:11" x14ac:dyDescent="0.2">
      <c r="C738" s="567">
        <v>735</v>
      </c>
      <c r="D738" s="578"/>
      <c r="E738" s="579"/>
      <c r="F738" s="580"/>
      <c r="G738" s="581"/>
      <c r="H738" s="768"/>
      <c r="I738" s="771"/>
      <c r="J738" s="774"/>
      <c r="K738" s="777"/>
    </row>
    <row r="739" spans="3:11" x14ac:dyDescent="0.2">
      <c r="C739" s="567">
        <v>736</v>
      </c>
      <c r="D739" s="578"/>
      <c r="E739" s="579"/>
      <c r="F739" s="580"/>
      <c r="G739" s="581"/>
      <c r="H739" s="768"/>
      <c r="I739" s="771"/>
      <c r="J739" s="774"/>
      <c r="K739" s="777"/>
    </row>
    <row r="740" spans="3:11" x14ac:dyDescent="0.2">
      <c r="C740" s="567">
        <v>737</v>
      </c>
      <c r="D740" s="578"/>
      <c r="E740" s="579"/>
      <c r="F740" s="580"/>
      <c r="G740" s="581"/>
      <c r="H740" s="768"/>
      <c r="I740" s="771"/>
      <c r="J740" s="774"/>
      <c r="K740" s="777"/>
    </row>
    <row r="741" spans="3:11" x14ac:dyDescent="0.2">
      <c r="C741" s="567">
        <v>738</v>
      </c>
      <c r="D741" s="578"/>
      <c r="E741" s="579"/>
      <c r="F741" s="580"/>
      <c r="G741" s="581"/>
      <c r="H741" s="768"/>
      <c r="I741" s="771"/>
      <c r="J741" s="774"/>
      <c r="K741" s="777"/>
    </row>
    <row r="742" spans="3:11" x14ac:dyDescent="0.2">
      <c r="C742" s="567">
        <v>739</v>
      </c>
      <c r="D742" s="578"/>
      <c r="E742" s="579"/>
      <c r="F742" s="580"/>
      <c r="G742" s="581"/>
      <c r="H742" s="768"/>
      <c r="I742" s="771"/>
      <c r="J742" s="774"/>
      <c r="K742" s="777"/>
    </row>
    <row r="743" spans="3:11" x14ac:dyDescent="0.2">
      <c r="C743" s="567">
        <v>740</v>
      </c>
      <c r="D743" s="578"/>
      <c r="E743" s="579"/>
      <c r="F743" s="580"/>
      <c r="G743" s="581"/>
      <c r="H743" s="768"/>
      <c r="I743" s="771"/>
      <c r="J743" s="774"/>
      <c r="K743" s="777"/>
    </row>
    <row r="744" spans="3:11" x14ac:dyDescent="0.2">
      <c r="C744" s="567">
        <v>741</v>
      </c>
      <c r="D744" s="578"/>
      <c r="E744" s="579"/>
      <c r="F744" s="580"/>
      <c r="G744" s="581"/>
      <c r="H744" s="768"/>
      <c r="I744" s="771"/>
      <c r="J744" s="774"/>
      <c r="K744" s="777"/>
    </row>
    <row r="745" spans="3:11" x14ac:dyDescent="0.2">
      <c r="C745" s="567">
        <v>742</v>
      </c>
      <c r="D745" s="578"/>
      <c r="E745" s="579"/>
      <c r="F745" s="580"/>
      <c r="G745" s="581"/>
      <c r="H745" s="768"/>
      <c r="I745" s="771"/>
      <c r="J745" s="774"/>
      <c r="K745" s="777"/>
    </row>
    <row r="746" spans="3:11" x14ac:dyDescent="0.2">
      <c r="C746" s="567">
        <v>743</v>
      </c>
      <c r="D746" s="578"/>
      <c r="E746" s="579"/>
      <c r="F746" s="580"/>
      <c r="G746" s="581"/>
      <c r="H746" s="768"/>
      <c r="I746" s="771"/>
      <c r="J746" s="774"/>
      <c r="K746" s="777"/>
    </row>
    <row r="747" spans="3:11" x14ac:dyDescent="0.2">
      <c r="C747" s="567">
        <v>744</v>
      </c>
      <c r="D747" s="578"/>
      <c r="E747" s="579"/>
      <c r="F747" s="580"/>
      <c r="G747" s="581"/>
      <c r="H747" s="768"/>
      <c r="I747" s="771"/>
      <c r="J747" s="774"/>
      <c r="K747" s="777"/>
    </row>
    <row r="748" spans="3:11" x14ac:dyDescent="0.2">
      <c r="C748" s="567">
        <v>745</v>
      </c>
      <c r="D748" s="578"/>
      <c r="E748" s="579"/>
      <c r="F748" s="580"/>
      <c r="G748" s="581"/>
      <c r="H748" s="768"/>
      <c r="I748" s="771"/>
      <c r="J748" s="774"/>
      <c r="K748" s="777"/>
    </row>
    <row r="749" spans="3:11" x14ac:dyDescent="0.2">
      <c r="C749" s="567">
        <v>746</v>
      </c>
      <c r="D749" s="578"/>
      <c r="E749" s="579"/>
      <c r="F749" s="580"/>
      <c r="G749" s="581"/>
      <c r="H749" s="768"/>
      <c r="I749" s="771"/>
      <c r="J749" s="774"/>
      <c r="K749" s="777"/>
    </row>
    <row r="750" spans="3:11" x14ac:dyDescent="0.2">
      <c r="C750" s="567">
        <v>747</v>
      </c>
      <c r="D750" s="578"/>
      <c r="E750" s="579"/>
      <c r="F750" s="580"/>
      <c r="G750" s="581"/>
      <c r="H750" s="768"/>
      <c r="I750" s="771"/>
      <c r="J750" s="774"/>
      <c r="K750" s="777"/>
    </row>
    <row r="751" spans="3:11" x14ac:dyDescent="0.2">
      <c r="C751" s="567">
        <v>748</v>
      </c>
      <c r="D751" s="578"/>
      <c r="E751" s="579"/>
      <c r="F751" s="580"/>
      <c r="G751" s="581"/>
      <c r="H751" s="768"/>
      <c r="I751" s="771"/>
      <c r="J751" s="774"/>
      <c r="K751" s="777"/>
    </row>
    <row r="752" spans="3:11" x14ac:dyDescent="0.2">
      <c r="C752" s="567">
        <v>749</v>
      </c>
      <c r="D752" s="578"/>
      <c r="E752" s="579"/>
      <c r="F752" s="580"/>
      <c r="G752" s="581"/>
      <c r="H752" s="768"/>
      <c r="I752" s="771"/>
      <c r="J752" s="774"/>
      <c r="K752" s="777"/>
    </row>
    <row r="753" spans="3:11" x14ac:dyDescent="0.2">
      <c r="C753" s="567">
        <v>750</v>
      </c>
      <c r="D753" s="578"/>
      <c r="E753" s="579"/>
      <c r="F753" s="580"/>
      <c r="G753" s="581"/>
      <c r="H753" s="768"/>
      <c r="I753" s="771"/>
      <c r="J753" s="774"/>
      <c r="K753" s="777"/>
    </row>
    <row r="754" spans="3:11" x14ac:dyDescent="0.2">
      <c r="C754" s="567">
        <v>751</v>
      </c>
      <c r="D754" s="578"/>
      <c r="E754" s="579"/>
      <c r="F754" s="580"/>
      <c r="G754" s="581"/>
      <c r="H754" s="768"/>
      <c r="I754" s="771"/>
      <c r="J754" s="774"/>
      <c r="K754" s="777"/>
    </row>
    <row r="755" spans="3:11" x14ac:dyDescent="0.2">
      <c r="C755" s="567">
        <v>752</v>
      </c>
      <c r="D755" s="578"/>
      <c r="E755" s="579"/>
      <c r="F755" s="580"/>
      <c r="G755" s="581"/>
      <c r="H755" s="768"/>
      <c r="I755" s="771"/>
      <c r="J755" s="774"/>
      <c r="K755" s="777"/>
    </row>
    <row r="756" spans="3:11" x14ac:dyDescent="0.2">
      <c r="C756" s="567">
        <v>753</v>
      </c>
      <c r="D756" s="578"/>
      <c r="E756" s="579"/>
      <c r="F756" s="580"/>
      <c r="G756" s="581"/>
      <c r="H756" s="768"/>
      <c r="I756" s="771"/>
      <c r="J756" s="774"/>
      <c r="K756" s="777"/>
    </row>
    <row r="757" spans="3:11" x14ac:dyDescent="0.2">
      <c r="C757" s="567">
        <v>754</v>
      </c>
      <c r="D757" s="578"/>
      <c r="E757" s="579"/>
      <c r="F757" s="580"/>
      <c r="G757" s="581"/>
      <c r="H757" s="768"/>
      <c r="I757" s="771"/>
      <c r="J757" s="774"/>
      <c r="K757" s="777"/>
    </row>
    <row r="758" spans="3:11" x14ac:dyDescent="0.2">
      <c r="C758" s="567">
        <v>755</v>
      </c>
      <c r="D758" s="578"/>
      <c r="E758" s="579"/>
      <c r="F758" s="580"/>
      <c r="G758" s="581"/>
      <c r="H758" s="768"/>
      <c r="I758" s="771"/>
      <c r="J758" s="774"/>
      <c r="K758" s="777"/>
    </row>
    <row r="759" spans="3:11" x14ac:dyDescent="0.2">
      <c r="C759" s="567">
        <v>756</v>
      </c>
      <c r="D759" s="578"/>
      <c r="E759" s="579"/>
      <c r="F759" s="580"/>
      <c r="G759" s="581"/>
      <c r="H759" s="768"/>
      <c r="I759" s="771"/>
      <c r="J759" s="774"/>
      <c r="K759" s="777"/>
    </row>
    <row r="760" spans="3:11" x14ac:dyDescent="0.2">
      <c r="C760" s="567">
        <v>757</v>
      </c>
      <c r="D760" s="578"/>
      <c r="E760" s="579"/>
      <c r="F760" s="580"/>
      <c r="G760" s="581"/>
      <c r="H760" s="768"/>
      <c r="I760" s="771"/>
      <c r="J760" s="774"/>
      <c r="K760" s="777"/>
    </row>
    <row r="761" spans="3:11" x14ac:dyDescent="0.2">
      <c r="C761" s="567">
        <v>758</v>
      </c>
      <c r="D761" s="578"/>
      <c r="E761" s="579"/>
      <c r="F761" s="580"/>
      <c r="G761" s="581"/>
      <c r="H761" s="768"/>
      <c r="I761" s="771"/>
      <c r="J761" s="774"/>
      <c r="K761" s="777"/>
    </row>
    <row r="762" spans="3:11" x14ac:dyDescent="0.2">
      <c r="C762" s="567">
        <v>759</v>
      </c>
      <c r="D762" s="578"/>
      <c r="E762" s="579"/>
      <c r="F762" s="580"/>
      <c r="G762" s="581"/>
      <c r="H762" s="768"/>
      <c r="I762" s="771"/>
      <c r="J762" s="774"/>
      <c r="K762" s="777"/>
    </row>
    <row r="763" spans="3:11" x14ac:dyDescent="0.2">
      <c r="C763" s="567">
        <v>760</v>
      </c>
      <c r="D763" s="578"/>
      <c r="E763" s="579"/>
      <c r="F763" s="580"/>
      <c r="G763" s="581"/>
      <c r="H763" s="768"/>
      <c r="I763" s="771"/>
      <c r="J763" s="774"/>
      <c r="K763" s="777"/>
    </row>
    <row r="764" spans="3:11" x14ac:dyDescent="0.2">
      <c r="C764" s="567">
        <v>761</v>
      </c>
      <c r="D764" s="578"/>
      <c r="E764" s="579"/>
      <c r="F764" s="580"/>
      <c r="G764" s="581"/>
      <c r="H764" s="768"/>
      <c r="I764" s="771"/>
      <c r="J764" s="774"/>
      <c r="K764" s="777"/>
    </row>
    <row r="765" spans="3:11" x14ac:dyDescent="0.2">
      <c r="C765" s="567">
        <v>762</v>
      </c>
      <c r="D765" s="578"/>
      <c r="E765" s="579"/>
      <c r="F765" s="580"/>
      <c r="G765" s="581"/>
      <c r="H765" s="768"/>
      <c r="I765" s="771"/>
      <c r="J765" s="774"/>
      <c r="K765" s="777"/>
    </row>
    <row r="766" spans="3:11" x14ac:dyDescent="0.2">
      <c r="C766" s="567">
        <v>763</v>
      </c>
      <c r="D766" s="578"/>
      <c r="E766" s="579"/>
      <c r="F766" s="580"/>
      <c r="G766" s="581"/>
      <c r="H766" s="768"/>
      <c r="I766" s="771"/>
      <c r="J766" s="774"/>
      <c r="K766" s="777"/>
    </row>
    <row r="767" spans="3:11" x14ac:dyDescent="0.2">
      <c r="C767" s="567">
        <v>764</v>
      </c>
      <c r="D767" s="578"/>
      <c r="E767" s="579"/>
      <c r="F767" s="580"/>
      <c r="G767" s="581"/>
      <c r="H767" s="768"/>
      <c r="I767" s="771"/>
      <c r="J767" s="774"/>
      <c r="K767" s="777"/>
    </row>
    <row r="768" spans="3:11" x14ac:dyDescent="0.2">
      <c r="C768" s="567">
        <v>765</v>
      </c>
      <c r="D768" s="578"/>
      <c r="E768" s="579"/>
      <c r="F768" s="580"/>
      <c r="G768" s="581"/>
      <c r="H768" s="768"/>
      <c r="I768" s="771"/>
      <c r="J768" s="774"/>
      <c r="K768" s="777"/>
    </row>
    <row r="769" spans="3:11" x14ac:dyDescent="0.2">
      <c r="C769" s="567">
        <v>766</v>
      </c>
      <c r="D769" s="578"/>
      <c r="E769" s="579"/>
      <c r="F769" s="580"/>
      <c r="G769" s="581"/>
      <c r="H769" s="768"/>
      <c r="I769" s="771"/>
      <c r="J769" s="774"/>
      <c r="K769" s="777"/>
    </row>
    <row r="770" spans="3:11" x14ac:dyDescent="0.2">
      <c r="C770" s="567">
        <v>767</v>
      </c>
      <c r="D770" s="578"/>
      <c r="E770" s="579"/>
      <c r="F770" s="580"/>
      <c r="G770" s="581"/>
      <c r="H770" s="768"/>
      <c r="I770" s="771"/>
      <c r="J770" s="774"/>
      <c r="K770" s="777"/>
    </row>
    <row r="771" spans="3:11" x14ac:dyDescent="0.2">
      <c r="C771" s="567">
        <v>768</v>
      </c>
      <c r="D771" s="578"/>
      <c r="E771" s="579"/>
      <c r="F771" s="580"/>
      <c r="G771" s="581"/>
      <c r="H771" s="768"/>
      <c r="I771" s="771"/>
      <c r="J771" s="774"/>
      <c r="K771" s="777"/>
    </row>
    <row r="772" spans="3:11" x14ac:dyDescent="0.2">
      <c r="C772" s="567">
        <v>769</v>
      </c>
      <c r="D772" s="578"/>
      <c r="E772" s="579"/>
      <c r="F772" s="580"/>
      <c r="G772" s="581"/>
      <c r="H772" s="768"/>
      <c r="I772" s="771"/>
      <c r="J772" s="774"/>
      <c r="K772" s="777"/>
    </row>
    <row r="773" spans="3:11" x14ac:dyDescent="0.2">
      <c r="C773" s="567">
        <v>770</v>
      </c>
      <c r="D773" s="578"/>
      <c r="E773" s="579"/>
      <c r="F773" s="580"/>
      <c r="G773" s="581"/>
      <c r="H773" s="768"/>
      <c r="I773" s="771"/>
      <c r="J773" s="774"/>
      <c r="K773" s="777"/>
    </row>
    <row r="774" spans="3:11" x14ac:dyDescent="0.2">
      <c r="C774" s="567">
        <v>771</v>
      </c>
      <c r="D774" s="578"/>
      <c r="E774" s="579"/>
      <c r="F774" s="580"/>
      <c r="G774" s="581"/>
      <c r="H774" s="768"/>
      <c r="I774" s="771"/>
      <c r="J774" s="774"/>
      <c r="K774" s="777"/>
    </row>
    <row r="775" spans="3:11" x14ac:dyDescent="0.2">
      <c r="C775" s="567">
        <v>772</v>
      </c>
      <c r="D775" s="578"/>
      <c r="E775" s="579"/>
      <c r="F775" s="580"/>
      <c r="G775" s="581"/>
      <c r="H775" s="768"/>
      <c r="I775" s="771"/>
      <c r="J775" s="774"/>
      <c r="K775" s="777"/>
    </row>
    <row r="776" spans="3:11" x14ac:dyDescent="0.2">
      <c r="C776" s="567">
        <v>773</v>
      </c>
      <c r="D776" s="578"/>
      <c r="E776" s="579"/>
      <c r="F776" s="580"/>
      <c r="G776" s="581"/>
      <c r="H776" s="768"/>
      <c r="I776" s="771"/>
      <c r="J776" s="774"/>
      <c r="K776" s="777"/>
    </row>
    <row r="777" spans="3:11" x14ac:dyDescent="0.2">
      <c r="C777" s="567">
        <v>774</v>
      </c>
      <c r="D777" s="578"/>
      <c r="E777" s="579"/>
      <c r="F777" s="580"/>
      <c r="G777" s="581"/>
      <c r="H777" s="768"/>
      <c r="I777" s="771"/>
      <c r="J777" s="774"/>
      <c r="K777" s="777"/>
    </row>
    <row r="778" spans="3:11" x14ac:dyDescent="0.2">
      <c r="C778" s="567">
        <v>775</v>
      </c>
      <c r="D778" s="578"/>
      <c r="E778" s="579"/>
      <c r="F778" s="580"/>
      <c r="G778" s="581"/>
      <c r="H778" s="768"/>
      <c r="I778" s="771"/>
      <c r="J778" s="774"/>
      <c r="K778" s="777"/>
    </row>
    <row r="779" spans="3:11" x14ac:dyDescent="0.2">
      <c r="C779" s="567">
        <v>776</v>
      </c>
      <c r="D779" s="578"/>
      <c r="E779" s="579"/>
      <c r="F779" s="580"/>
      <c r="G779" s="581"/>
      <c r="H779" s="768"/>
      <c r="I779" s="771"/>
      <c r="J779" s="774"/>
      <c r="K779" s="777"/>
    </row>
    <row r="780" spans="3:11" x14ac:dyDescent="0.2">
      <c r="C780" s="567">
        <v>777</v>
      </c>
      <c r="D780" s="578"/>
      <c r="E780" s="579"/>
      <c r="F780" s="580"/>
      <c r="G780" s="581"/>
      <c r="H780" s="768"/>
      <c r="I780" s="771"/>
      <c r="J780" s="774"/>
      <c r="K780" s="777"/>
    </row>
    <row r="781" spans="3:11" x14ac:dyDescent="0.2">
      <c r="C781" s="567">
        <v>778</v>
      </c>
      <c r="D781" s="578"/>
      <c r="E781" s="579"/>
      <c r="F781" s="580"/>
      <c r="G781" s="581"/>
      <c r="H781" s="768"/>
      <c r="I781" s="771"/>
      <c r="J781" s="774"/>
      <c r="K781" s="777"/>
    </row>
    <row r="782" spans="3:11" x14ac:dyDescent="0.2">
      <c r="C782" s="567">
        <v>779</v>
      </c>
      <c r="D782" s="578"/>
      <c r="E782" s="579"/>
      <c r="F782" s="580"/>
      <c r="G782" s="581"/>
      <c r="H782" s="768"/>
      <c r="I782" s="771"/>
      <c r="J782" s="774"/>
      <c r="K782" s="777"/>
    </row>
    <row r="783" spans="3:11" x14ac:dyDescent="0.2">
      <c r="C783" s="567">
        <v>780</v>
      </c>
      <c r="D783" s="578"/>
      <c r="E783" s="579"/>
      <c r="F783" s="580"/>
      <c r="G783" s="581"/>
      <c r="H783" s="768"/>
      <c r="I783" s="771"/>
      <c r="J783" s="774"/>
      <c r="K783" s="777"/>
    </row>
    <row r="784" spans="3:11" x14ac:dyDescent="0.2">
      <c r="C784" s="567">
        <v>781</v>
      </c>
      <c r="D784" s="578"/>
      <c r="E784" s="579"/>
      <c r="F784" s="580"/>
      <c r="G784" s="581"/>
      <c r="H784" s="768"/>
      <c r="I784" s="771"/>
      <c r="J784" s="774"/>
      <c r="K784" s="777"/>
    </row>
    <row r="785" spans="3:11" x14ac:dyDescent="0.2">
      <c r="C785" s="567">
        <v>782</v>
      </c>
      <c r="D785" s="578"/>
      <c r="E785" s="579"/>
      <c r="F785" s="580"/>
      <c r="G785" s="581"/>
      <c r="H785" s="768"/>
      <c r="I785" s="771"/>
      <c r="J785" s="774"/>
      <c r="K785" s="777"/>
    </row>
    <row r="786" spans="3:11" x14ac:dyDescent="0.2">
      <c r="C786" s="567">
        <v>783</v>
      </c>
      <c r="D786" s="578"/>
      <c r="E786" s="579"/>
      <c r="F786" s="580"/>
      <c r="G786" s="581"/>
      <c r="H786" s="768"/>
      <c r="I786" s="771"/>
      <c r="J786" s="774"/>
      <c r="K786" s="777"/>
    </row>
    <row r="787" spans="3:11" x14ac:dyDescent="0.2">
      <c r="C787" s="567">
        <v>784</v>
      </c>
      <c r="D787" s="578"/>
      <c r="E787" s="579"/>
      <c r="F787" s="580"/>
      <c r="G787" s="581"/>
      <c r="H787" s="768"/>
      <c r="I787" s="771"/>
      <c r="J787" s="774"/>
      <c r="K787" s="777"/>
    </row>
    <row r="788" spans="3:11" x14ac:dyDescent="0.2">
      <c r="C788" s="567">
        <v>785</v>
      </c>
      <c r="D788" s="578"/>
      <c r="E788" s="579"/>
      <c r="F788" s="580"/>
      <c r="G788" s="581"/>
      <c r="H788" s="768"/>
      <c r="I788" s="771"/>
      <c r="J788" s="774"/>
      <c r="K788" s="777"/>
    </row>
    <row r="789" spans="3:11" x14ac:dyDescent="0.2">
      <c r="C789" s="567">
        <v>786</v>
      </c>
      <c r="D789" s="578"/>
      <c r="E789" s="579"/>
      <c r="F789" s="580"/>
      <c r="G789" s="581"/>
      <c r="H789" s="768"/>
      <c r="I789" s="771"/>
      <c r="J789" s="774"/>
      <c r="K789" s="777"/>
    </row>
    <row r="790" spans="3:11" x14ac:dyDescent="0.2">
      <c r="C790" s="567">
        <v>787</v>
      </c>
      <c r="D790" s="578"/>
      <c r="E790" s="579"/>
      <c r="F790" s="580"/>
      <c r="G790" s="581"/>
      <c r="H790" s="768"/>
      <c r="I790" s="771"/>
      <c r="J790" s="774"/>
      <c r="K790" s="777"/>
    </row>
    <row r="791" spans="3:11" x14ac:dyDescent="0.2">
      <c r="C791" s="567">
        <v>788</v>
      </c>
      <c r="D791" s="578"/>
      <c r="E791" s="579"/>
      <c r="F791" s="580"/>
      <c r="G791" s="581"/>
      <c r="H791" s="768"/>
      <c r="I791" s="771"/>
      <c r="J791" s="774"/>
      <c r="K791" s="777"/>
    </row>
    <row r="792" spans="3:11" x14ac:dyDescent="0.2">
      <c r="C792" s="567">
        <v>789</v>
      </c>
      <c r="D792" s="578"/>
      <c r="E792" s="579"/>
      <c r="F792" s="580"/>
      <c r="G792" s="581"/>
      <c r="H792" s="768"/>
      <c r="I792" s="771"/>
      <c r="J792" s="774"/>
      <c r="K792" s="777"/>
    </row>
    <row r="793" spans="3:11" x14ac:dyDescent="0.2">
      <c r="C793" s="567">
        <v>790</v>
      </c>
      <c r="D793" s="578"/>
      <c r="E793" s="579"/>
      <c r="F793" s="580"/>
      <c r="G793" s="581"/>
      <c r="H793" s="768"/>
      <c r="I793" s="771"/>
      <c r="J793" s="774"/>
      <c r="K793" s="777"/>
    </row>
    <row r="794" spans="3:11" x14ac:dyDescent="0.2">
      <c r="C794" s="567">
        <v>791</v>
      </c>
      <c r="D794" s="578"/>
      <c r="E794" s="579"/>
      <c r="F794" s="580"/>
      <c r="G794" s="581"/>
      <c r="H794" s="768"/>
      <c r="I794" s="771"/>
      <c r="J794" s="774"/>
      <c r="K794" s="777"/>
    </row>
    <row r="795" spans="3:11" x14ac:dyDescent="0.2">
      <c r="C795" s="567">
        <v>792</v>
      </c>
      <c r="D795" s="578"/>
      <c r="E795" s="579"/>
      <c r="F795" s="580"/>
      <c r="G795" s="581"/>
      <c r="H795" s="768"/>
      <c r="I795" s="771"/>
      <c r="J795" s="774"/>
      <c r="K795" s="777"/>
    </row>
    <row r="796" spans="3:11" x14ac:dyDescent="0.2">
      <c r="C796" s="567">
        <v>793</v>
      </c>
      <c r="D796" s="578"/>
      <c r="E796" s="579"/>
      <c r="F796" s="580"/>
      <c r="G796" s="581"/>
      <c r="H796" s="768"/>
      <c r="I796" s="771"/>
      <c r="J796" s="774"/>
      <c r="K796" s="777"/>
    </row>
    <row r="797" spans="3:11" x14ac:dyDescent="0.2">
      <c r="C797" s="567">
        <v>794</v>
      </c>
      <c r="D797" s="578"/>
      <c r="E797" s="579"/>
      <c r="F797" s="580"/>
      <c r="G797" s="581"/>
      <c r="H797" s="768"/>
      <c r="I797" s="771"/>
      <c r="J797" s="774"/>
      <c r="K797" s="777"/>
    </row>
    <row r="798" spans="3:11" x14ac:dyDescent="0.2">
      <c r="C798" s="567">
        <v>795</v>
      </c>
      <c r="D798" s="578"/>
      <c r="E798" s="579"/>
      <c r="F798" s="580"/>
      <c r="G798" s="581"/>
      <c r="H798" s="768"/>
      <c r="I798" s="771"/>
      <c r="J798" s="774"/>
      <c r="K798" s="777"/>
    </row>
    <row r="799" spans="3:11" x14ac:dyDescent="0.2">
      <c r="C799" s="567">
        <v>796</v>
      </c>
      <c r="D799" s="578"/>
      <c r="E799" s="579"/>
      <c r="F799" s="580"/>
      <c r="G799" s="581"/>
      <c r="H799" s="768"/>
      <c r="I799" s="771"/>
      <c r="J799" s="774"/>
      <c r="K799" s="777"/>
    </row>
    <row r="800" spans="3:11" x14ac:dyDescent="0.2">
      <c r="C800" s="567">
        <v>797</v>
      </c>
      <c r="D800" s="578"/>
      <c r="E800" s="579"/>
      <c r="F800" s="580"/>
      <c r="G800" s="581"/>
      <c r="H800" s="768"/>
      <c r="I800" s="771"/>
      <c r="J800" s="774"/>
      <c r="K800" s="777"/>
    </row>
    <row r="801" spans="3:11" x14ac:dyDescent="0.2">
      <c r="C801" s="567">
        <v>798</v>
      </c>
      <c r="D801" s="578"/>
      <c r="E801" s="579"/>
      <c r="F801" s="580"/>
      <c r="G801" s="581"/>
      <c r="H801" s="768"/>
      <c r="I801" s="771"/>
      <c r="J801" s="774"/>
      <c r="K801" s="777"/>
    </row>
    <row r="802" spans="3:11" x14ac:dyDescent="0.2">
      <c r="C802" s="567">
        <v>799</v>
      </c>
      <c r="D802" s="578"/>
      <c r="E802" s="579"/>
      <c r="F802" s="580"/>
      <c r="G802" s="581"/>
      <c r="H802" s="768"/>
      <c r="I802" s="771"/>
      <c r="J802" s="774"/>
      <c r="K802" s="777"/>
    </row>
    <row r="803" spans="3:11" x14ac:dyDescent="0.2">
      <c r="C803" s="567">
        <v>800</v>
      </c>
      <c r="D803" s="578"/>
      <c r="E803" s="579"/>
      <c r="F803" s="580"/>
      <c r="G803" s="581"/>
      <c r="H803" s="768"/>
      <c r="I803" s="771"/>
      <c r="J803" s="774"/>
      <c r="K803" s="777"/>
    </row>
    <row r="804" spans="3:11" x14ac:dyDescent="0.2">
      <c r="C804" s="567">
        <v>801</v>
      </c>
      <c r="D804" s="578"/>
      <c r="E804" s="579"/>
      <c r="F804" s="580"/>
      <c r="G804" s="581"/>
      <c r="H804" s="768"/>
      <c r="I804" s="771"/>
      <c r="J804" s="774"/>
      <c r="K804" s="777"/>
    </row>
    <row r="805" spans="3:11" x14ac:dyDescent="0.2">
      <c r="C805" s="567">
        <v>802</v>
      </c>
      <c r="D805" s="578"/>
      <c r="E805" s="579"/>
      <c r="F805" s="580"/>
      <c r="G805" s="581"/>
      <c r="H805" s="768"/>
      <c r="I805" s="771"/>
      <c r="J805" s="774"/>
      <c r="K805" s="777"/>
    </row>
    <row r="806" spans="3:11" x14ac:dyDescent="0.2">
      <c r="C806" s="567">
        <v>803</v>
      </c>
      <c r="D806" s="578"/>
      <c r="E806" s="579"/>
      <c r="F806" s="580"/>
      <c r="G806" s="581"/>
      <c r="H806" s="768"/>
      <c r="I806" s="771"/>
      <c r="J806" s="774"/>
      <c r="K806" s="777"/>
    </row>
    <row r="807" spans="3:11" x14ac:dyDescent="0.2">
      <c r="C807" s="567">
        <v>804</v>
      </c>
      <c r="D807" s="578"/>
      <c r="E807" s="579"/>
      <c r="F807" s="580"/>
      <c r="G807" s="581"/>
      <c r="H807" s="768"/>
      <c r="I807" s="771"/>
      <c r="J807" s="774"/>
      <c r="K807" s="777"/>
    </row>
    <row r="808" spans="3:11" x14ac:dyDescent="0.2">
      <c r="C808" s="567">
        <v>805</v>
      </c>
      <c r="D808" s="578"/>
      <c r="E808" s="579"/>
      <c r="F808" s="580"/>
      <c r="G808" s="581"/>
      <c r="H808" s="768"/>
      <c r="I808" s="771"/>
      <c r="J808" s="774"/>
      <c r="K808" s="777"/>
    </row>
    <row r="809" spans="3:11" x14ac:dyDescent="0.2">
      <c r="C809" s="567">
        <v>806</v>
      </c>
      <c r="D809" s="578"/>
      <c r="E809" s="579"/>
      <c r="F809" s="580"/>
      <c r="G809" s="581"/>
      <c r="H809" s="768"/>
      <c r="I809" s="771"/>
      <c r="J809" s="774"/>
      <c r="K809" s="777"/>
    </row>
    <row r="810" spans="3:11" x14ac:dyDescent="0.2">
      <c r="C810" s="567">
        <v>807</v>
      </c>
      <c r="D810" s="578"/>
      <c r="E810" s="579"/>
      <c r="F810" s="580"/>
      <c r="G810" s="581"/>
      <c r="H810" s="768"/>
      <c r="I810" s="771"/>
      <c r="J810" s="774"/>
      <c r="K810" s="777"/>
    </row>
    <row r="811" spans="3:11" x14ac:dyDescent="0.2">
      <c r="C811" s="567">
        <v>808</v>
      </c>
      <c r="D811" s="578"/>
      <c r="E811" s="579"/>
      <c r="F811" s="580"/>
      <c r="G811" s="581"/>
      <c r="H811" s="768"/>
      <c r="I811" s="771"/>
      <c r="J811" s="774"/>
      <c r="K811" s="777"/>
    </row>
    <row r="812" spans="3:11" x14ac:dyDescent="0.2">
      <c r="C812" s="567">
        <v>809</v>
      </c>
      <c r="D812" s="578"/>
      <c r="E812" s="579"/>
      <c r="F812" s="580"/>
      <c r="G812" s="581"/>
      <c r="H812" s="768"/>
      <c r="I812" s="771"/>
      <c r="J812" s="774"/>
      <c r="K812" s="777"/>
    </row>
    <row r="813" spans="3:11" x14ac:dyDescent="0.2">
      <c r="C813" s="567">
        <v>810</v>
      </c>
      <c r="D813" s="578"/>
      <c r="E813" s="579"/>
      <c r="F813" s="580"/>
      <c r="G813" s="581"/>
      <c r="H813" s="768"/>
      <c r="I813" s="771"/>
      <c r="J813" s="774"/>
      <c r="K813" s="777"/>
    </row>
    <row r="814" spans="3:11" x14ac:dyDescent="0.2">
      <c r="C814" s="567">
        <v>811</v>
      </c>
      <c r="D814" s="578"/>
      <c r="E814" s="579"/>
      <c r="F814" s="580"/>
      <c r="G814" s="581"/>
      <c r="H814" s="768"/>
      <c r="I814" s="771"/>
      <c r="J814" s="774"/>
      <c r="K814" s="777"/>
    </row>
    <row r="815" spans="3:11" x14ac:dyDescent="0.2">
      <c r="C815" s="567">
        <v>812</v>
      </c>
      <c r="D815" s="578"/>
      <c r="E815" s="579"/>
      <c r="F815" s="580"/>
      <c r="G815" s="581"/>
      <c r="H815" s="768"/>
      <c r="I815" s="771"/>
      <c r="J815" s="774"/>
      <c r="K815" s="777"/>
    </row>
    <row r="816" spans="3:11" x14ac:dyDescent="0.2">
      <c r="C816" s="567">
        <v>813</v>
      </c>
      <c r="D816" s="578"/>
      <c r="E816" s="579"/>
      <c r="F816" s="580"/>
      <c r="G816" s="581"/>
      <c r="H816" s="768"/>
      <c r="I816" s="771"/>
      <c r="J816" s="774"/>
      <c r="K816" s="777"/>
    </row>
    <row r="817" spans="3:11" x14ac:dyDescent="0.2">
      <c r="C817" s="567">
        <v>814</v>
      </c>
      <c r="D817" s="578"/>
      <c r="E817" s="579"/>
      <c r="F817" s="580"/>
      <c r="G817" s="581"/>
      <c r="H817" s="768"/>
      <c r="I817" s="771"/>
      <c r="J817" s="774"/>
      <c r="K817" s="777"/>
    </row>
    <row r="818" spans="3:11" x14ac:dyDescent="0.2">
      <c r="C818" s="567">
        <v>815</v>
      </c>
      <c r="D818" s="578"/>
      <c r="E818" s="579"/>
      <c r="F818" s="580"/>
      <c r="G818" s="581"/>
      <c r="H818" s="768"/>
      <c r="I818" s="771"/>
      <c r="J818" s="774"/>
      <c r="K818" s="777"/>
    </row>
    <row r="819" spans="3:11" x14ac:dyDescent="0.2">
      <c r="C819" s="567">
        <v>816</v>
      </c>
      <c r="D819" s="578"/>
      <c r="E819" s="579"/>
      <c r="F819" s="580"/>
      <c r="G819" s="581"/>
      <c r="H819" s="768"/>
      <c r="I819" s="771"/>
      <c r="J819" s="774"/>
      <c r="K819" s="777"/>
    </row>
    <row r="820" spans="3:11" x14ac:dyDescent="0.2">
      <c r="C820" s="567">
        <v>817</v>
      </c>
      <c r="D820" s="578"/>
      <c r="E820" s="579"/>
      <c r="F820" s="580"/>
      <c r="G820" s="581"/>
      <c r="H820" s="768"/>
      <c r="I820" s="771"/>
      <c r="J820" s="774"/>
      <c r="K820" s="777"/>
    </row>
    <row r="821" spans="3:11" x14ac:dyDescent="0.2">
      <c r="C821" s="567">
        <v>818</v>
      </c>
      <c r="D821" s="578"/>
      <c r="E821" s="579"/>
      <c r="F821" s="580"/>
      <c r="G821" s="581"/>
      <c r="H821" s="768"/>
      <c r="I821" s="771"/>
      <c r="J821" s="774"/>
      <c r="K821" s="777"/>
    </row>
    <row r="822" spans="3:11" x14ac:dyDescent="0.2">
      <c r="C822" s="567">
        <v>819</v>
      </c>
      <c r="D822" s="578"/>
      <c r="E822" s="579"/>
      <c r="F822" s="580"/>
      <c r="G822" s="581"/>
      <c r="H822" s="768"/>
      <c r="I822" s="771"/>
      <c r="J822" s="774"/>
      <c r="K822" s="777"/>
    </row>
    <row r="823" spans="3:11" x14ac:dyDescent="0.2">
      <c r="C823" s="567">
        <v>820</v>
      </c>
      <c r="D823" s="578"/>
      <c r="E823" s="579"/>
      <c r="F823" s="580"/>
      <c r="G823" s="581"/>
      <c r="H823" s="768"/>
      <c r="I823" s="771"/>
      <c r="J823" s="774"/>
      <c r="K823" s="777"/>
    </row>
    <row r="824" spans="3:11" x14ac:dyDescent="0.2">
      <c r="C824" s="567">
        <v>821</v>
      </c>
      <c r="D824" s="578"/>
      <c r="E824" s="579"/>
      <c r="F824" s="580"/>
      <c r="G824" s="581"/>
      <c r="H824" s="768"/>
      <c r="I824" s="771"/>
      <c r="J824" s="774"/>
      <c r="K824" s="777"/>
    </row>
    <row r="825" spans="3:11" x14ac:dyDescent="0.2">
      <c r="C825" s="567">
        <v>822</v>
      </c>
      <c r="D825" s="578"/>
      <c r="E825" s="579"/>
      <c r="F825" s="580"/>
      <c r="G825" s="581"/>
      <c r="H825" s="768"/>
      <c r="I825" s="771"/>
      <c r="J825" s="774"/>
      <c r="K825" s="777"/>
    </row>
    <row r="826" spans="3:11" x14ac:dyDescent="0.2">
      <c r="C826" s="567">
        <v>823</v>
      </c>
      <c r="D826" s="578"/>
      <c r="E826" s="579"/>
      <c r="F826" s="580"/>
      <c r="G826" s="581"/>
      <c r="H826" s="768"/>
      <c r="I826" s="771"/>
      <c r="J826" s="774"/>
      <c r="K826" s="777"/>
    </row>
    <row r="827" spans="3:11" x14ac:dyDescent="0.2">
      <c r="C827" s="567">
        <v>824</v>
      </c>
      <c r="D827" s="578"/>
      <c r="E827" s="579"/>
      <c r="F827" s="580"/>
      <c r="G827" s="581"/>
      <c r="H827" s="768"/>
      <c r="I827" s="771"/>
      <c r="J827" s="774"/>
      <c r="K827" s="777"/>
    </row>
    <row r="828" spans="3:11" x14ac:dyDescent="0.2">
      <c r="C828" s="567">
        <v>825</v>
      </c>
      <c r="D828" s="578"/>
      <c r="E828" s="579"/>
      <c r="F828" s="580"/>
      <c r="G828" s="581"/>
      <c r="H828" s="768"/>
      <c r="I828" s="771"/>
      <c r="J828" s="774"/>
      <c r="K828" s="777"/>
    </row>
    <row r="829" spans="3:11" x14ac:dyDescent="0.2">
      <c r="C829" s="567">
        <v>826</v>
      </c>
      <c r="D829" s="578"/>
      <c r="E829" s="579"/>
      <c r="F829" s="580"/>
      <c r="G829" s="581"/>
      <c r="H829" s="768"/>
      <c r="I829" s="771"/>
      <c r="J829" s="774"/>
      <c r="K829" s="777"/>
    </row>
    <row r="830" spans="3:11" x14ac:dyDescent="0.2">
      <c r="C830" s="567">
        <v>827</v>
      </c>
      <c r="D830" s="578"/>
      <c r="E830" s="579"/>
      <c r="F830" s="580"/>
      <c r="G830" s="581"/>
      <c r="H830" s="768"/>
      <c r="I830" s="771"/>
      <c r="J830" s="774"/>
      <c r="K830" s="777"/>
    </row>
    <row r="831" spans="3:11" x14ac:dyDescent="0.2">
      <c r="C831" s="567">
        <v>828</v>
      </c>
      <c r="D831" s="578"/>
      <c r="E831" s="579"/>
      <c r="F831" s="580"/>
      <c r="G831" s="581"/>
      <c r="H831" s="768"/>
      <c r="I831" s="771"/>
      <c r="J831" s="774"/>
      <c r="K831" s="777"/>
    </row>
    <row r="832" spans="3:11" x14ac:dyDescent="0.2">
      <c r="C832" s="567">
        <v>829</v>
      </c>
      <c r="D832" s="578"/>
      <c r="E832" s="579"/>
      <c r="F832" s="580"/>
      <c r="G832" s="581"/>
      <c r="H832" s="768"/>
      <c r="I832" s="771"/>
      <c r="J832" s="774"/>
      <c r="K832" s="777"/>
    </row>
    <row r="833" spans="3:11" x14ac:dyDescent="0.2">
      <c r="C833" s="567">
        <v>830</v>
      </c>
      <c r="D833" s="578"/>
      <c r="E833" s="579"/>
      <c r="F833" s="580"/>
      <c r="G833" s="581"/>
      <c r="H833" s="768"/>
      <c r="I833" s="771"/>
      <c r="J833" s="774"/>
      <c r="K833" s="777"/>
    </row>
    <row r="834" spans="3:11" x14ac:dyDescent="0.2">
      <c r="C834" s="567">
        <v>831</v>
      </c>
      <c r="D834" s="578"/>
      <c r="E834" s="579"/>
      <c r="F834" s="580"/>
      <c r="G834" s="581"/>
      <c r="H834" s="768"/>
      <c r="I834" s="771"/>
      <c r="J834" s="774"/>
      <c r="K834" s="777"/>
    </row>
    <row r="835" spans="3:11" x14ac:dyDescent="0.2">
      <c r="C835" s="567">
        <v>832</v>
      </c>
      <c r="D835" s="578"/>
      <c r="E835" s="579"/>
      <c r="F835" s="580"/>
      <c r="G835" s="581"/>
      <c r="H835" s="768"/>
      <c r="I835" s="771"/>
      <c r="J835" s="774"/>
      <c r="K835" s="777"/>
    </row>
    <row r="836" spans="3:11" x14ac:dyDescent="0.2">
      <c r="C836" s="567">
        <v>833</v>
      </c>
      <c r="D836" s="578"/>
      <c r="E836" s="579"/>
      <c r="F836" s="580"/>
      <c r="G836" s="581"/>
      <c r="H836" s="768"/>
      <c r="I836" s="771"/>
      <c r="J836" s="774"/>
      <c r="K836" s="777"/>
    </row>
    <row r="837" spans="3:11" x14ac:dyDescent="0.2">
      <c r="C837" s="567">
        <v>834</v>
      </c>
      <c r="D837" s="578"/>
      <c r="E837" s="579"/>
      <c r="F837" s="580"/>
      <c r="G837" s="581"/>
      <c r="H837" s="768"/>
      <c r="I837" s="771"/>
      <c r="J837" s="774"/>
      <c r="K837" s="777"/>
    </row>
    <row r="838" spans="3:11" x14ac:dyDescent="0.2">
      <c r="C838" s="567">
        <v>835</v>
      </c>
      <c r="D838" s="578"/>
      <c r="E838" s="579"/>
      <c r="F838" s="580"/>
      <c r="G838" s="581"/>
      <c r="H838" s="768"/>
      <c r="I838" s="771"/>
      <c r="J838" s="774"/>
      <c r="K838" s="777"/>
    </row>
    <row r="839" spans="3:11" x14ac:dyDescent="0.2">
      <c r="C839" s="567">
        <v>836</v>
      </c>
      <c r="D839" s="578"/>
      <c r="E839" s="579"/>
      <c r="F839" s="580"/>
      <c r="G839" s="581"/>
      <c r="H839" s="768"/>
      <c r="I839" s="771"/>
      <c r="J839" s="774"/>
      <c r="K839" s="777"/>
    </row>
    <row r="840" spans="3:11" x14ac:dyDescent="0.2">
      <c r="C840" s="567">
        <v>837</v>
      </c>
      <c r="D840" s="578"/>
      <c r="E840" s="579"/>
      <c r="F840" s="580"/>
      <c r="G840" s="581"/>
      <c r="H840" s="768"/>
      <c r="I840" s="771"/>
      <c r="J840" s="774"/>
      <c r="K840" s="777"/>
    </row>
    <row r="841" spans="3:11" x14ac:dyDescent="0.2">
      <c r="C841" s="567">
        <v>838</v>
      </c>
      <c r="D841" s="578"/>
      <c r="E841" s="579"/>
      <c r="F841" s="580"/>
      <c r="G841" s="581"/>
      <c r="H841" s="768"/>
      <c r="I841" s="771"/>
      <c r="J841" s="774"/>
      <c r="K841" s="777"/>
    </row>
    <row r="842" spans="3:11" x14ac:dyDescent="0.2">
      <c r="C842" s="567">
        <v>839</v>
      </c>
      <c r="D842" s="578"/>
      <c r="E842" s="579"/>
      <c r="F842" s="580"/>
      <c r="G842" s="581"/>
      <c r="H842" s="768"/>
      <c r="I842" s="771"/>
      <c r="J842" s="774"/>
      <c r="K842" s="777"/>
    </row>
    <row r="843" spans="3:11" x14ac:dyDescent="0.2">
      <c r="C843" s="567">
        <v>840</v>
      </c>
      <c r="D843" s="578"/>
      <c r="E843" s="579"/>
      <c r="F843" s="580"/>
      <c r="G843" s="581"/>
      <c r="H843" s="768"/>
      <c r="I843" s="771"/>
      <c r="J843" s="774"/>
      <c r="K843" s="777"/>
    </row>
    <row r="844" spans="3:11" x14ac:dyDescent="0.2">
      <c r="C844" s="567">
        <v>841</v>
      </c>
      <c r="D844" s="578"/>
      <c r="E844" s="579"/>
      <c r="F844" s="580"/>
      <c r="G844" s="581"/>
      <c r="H844" s="768"/>
      <c r="I844" s="771"/>
      <c r="J844" s="774"/>
      <c r="K844" s="777"/>
    </row>
    <row r="845" spans="3:11" x14ac:dyDescent="0.2">
      <c r="C845" s="567">
        <v>842</v>
      </c>
      <c r="D845" s="578"/>
      <c r="E845" s="579"/>
      <c r="F845" s="580"/>
      <c r="G845" s="581"/>
      <c r="H845" s="768"/>
      <c r="I845" s="771"/>
      <c r="J845" s="774"/>
      <c r="K845" s="777"/>
    </row>
    <row r="846" spans="3:11" x14ac:dyDescent="0.2">
      <c r="C846" s="567">
        <v>843</v>
      </c>
      <c r="D846" s="578"/>
      <c r="E846" s="579"/>
      <c r="F846" s="580"/>
      <c r="G846" s="581"/>
      <c r="H846" s="768"/>
      <c r="I846" s="771"/>
      <c r="J846" s="774"/>
      <c r="K846" s="777"/>
    </row>
    <row r="847" spans="3:11" x14ac:dyDescent="0.2">
      <c r="C847" s="567">
        <v>844</v>
      </c>
      <c r="D847" s="578"/>
      <c r="E847" s="579"/>
      <c r="F847" s="580"/>
      <c r="G847" s="581"/>
      <c r="H847" s="768"/>
      <c r="I847" s="771"/>
      <c r="J847" s="774"/>
      <c r="K847" s="777"/>
    </row>
    <row r="848" spans="3:11" x14ac:dyDescent="0.2">
      <c r="C848" s="567">
        <v>845</v>
      </c>
      <c r="D848" s="578"/>
      <c r="E848" s="579"/>
      <c r="F848" s="580"/>
      <c r="G848" s="581"/>
      <c r="H848" s="768"/>
      <c r="I848" s="771"/>
      <c r="J848" s="774"/>
      <c r="K848" s="777"/>
    </row>
    <row r="849" spans="3:11" x14ac:dyDescent="0.2">
      <c r="C849" s="567">
        <v>846</v>
      </c>
      <c r="D849" s="578"/>
      <c r="E849" s="579"/>
      <c r="F849" s="580"/>
      <c r="G849" s="581"/>
      <c r="H849" s="768"/>
      <c r="I849" s="771"/>
      <c r="J849" s="774"/>
      <c r="K849" s="777"/>
    </row>
    <row r="850" spans="3:11" x14ac:dyDescent="0.2">
      <c r="C850" s="567">
        <v>847</v>
      </c>
      <c r="D850" s="578"/>
      <c r="E850" s="579"/>
      <c r="F850" s="580"/>
      <c r="G850" s="581"/>
      <c r="H850" s="768"/>
      <c r="I850" s="771"/>
      <c r="J850" s="774"/>
      <c r="K850" s="777"/>
    </row>
    <row r="851" spans="3:11" x14ac:dyDescent="0.2">
      <c r="C851" s="567">
        <v>848</v>
      </c>
      <c r="D851" s="578"/>
      <c r="E851" s="579"/>
      <c r="F851" s="580"/>
      <c r="G851" s="581"/>
      <c r="H851" s="768"/>
      <c r="I851" s="771"/>
      <c r="J851" s="774"/>
      <c r="K851" s="777"/>
    </row>
    <row r="852" spans="3:11" x14ac:dyDescent="0.2">
      <c r="C852" s="567">
        <v>849</v>
      </c>
      <c r="D852" s="578"/>
      <c r="E852" s="579"/>
      <c r="F852" s="580"/>
      <c r="G852" s="581"/>
      <c r="H852" s="768"/>
      <c r="I852" s="771"/>
      <c r="J852" s="774"/>
      <c r="K852" s="777"/>
    </row>
    <row r="853" spans="3:11" x14ac:dyDescent="0.2">
      <c r="C853" s="567">
        <v>850</v>
      </c>
      <c r="D853" s="578"/>
      <c r="E853" s="579"/>
      <c r="F853" s="580"/>
      <c r="G853" s="581"/>
      <c r="H853" s="768"/>
      <c r="I853" s="771"/>
      <c r="J853" s="774"/>
      <c r="K853" s="777"/>
    </row>
    <row r="854" spans="3:11" x14ac:dyDescent="0.2">
      <c r="C854" s="567">
        <v>851</v>
      </c>
      <c r="D854" s="578"/>
      <c r="E854" s="579"/>
      <c r="F854" s="580"/>
      <c r="G854" s="581"/>
      <c r="H854" s="768"/>
      <c r="I854" s="771"/>
      <c r="J854" s="774"/>
      <c r="K854" s="777"/>
    </row>
    <row r="855" spans="3:11" x14ac:dyDescent="0.2">
      <c r="C855" s="567">
        <v>852</v>
      </c>
      <c r="D855" s="578"/>
      <c r="E855" s="579"/>
      <c r="F855" s="580"/>
      <c r="G855" s="581"/>
      <c r="H855" s="768"/>
      <c r="I855" s="771"/>
      <c r="J855" s="774"/>
      <c r="K855" s="777"/>
    </row>
    <row r="856" spans="3:11" x14ac:dyDescent="0.2">
      <c r="C856" s="567">
        <v>853</v>
      </c>
      <c r="D856" s="578"/>
      <c r="E856" s="579"/>
      <c r="F856" s="580"/>
      <c r="G856" s="581"/>
      <c r="H856" s="768"/>
      <c r="I856" s="771"/>
      <c r="J856" s="774"/>
      <c r="K856" s="777"/>
    </row>
    <row r="857" spans="3:11" x14ac:dyDescent="0.2">
      <c r="C857" s="567">
        <v>854</v>
      </c>
      <c r="D857" s="578"/>
      <c r="E857" s="579"/>
      <c r="F857" s="580"/>
      <c r="G857" s="581"/>
      <c r="H857" s="768"/>
      <c r="I857" s="771"/>
      <c r="J857" s="774"/>
      <c r="K857" s="777"/>
    </row>
    <row r="858" spans="3:11" x14ac:dyDescent="0.2">
      <c r="C858" s="567">
        <v>855</v>
      </c>
      <c r="D858" s="578"/>
      <c r="E858" s="579"/>
      <c r="F858" s="580"/>
      <c r="G858" s="581"/>
      <c r="H858" s="768"/>
      <c r="I858" s="771"/>
      <c r="J858" s="774"/>
      <c r="K858" s="777"/>
    </row>
    <row r="859" spans="3:11" ht="16" x14ac:dyDescent="0.2">
      <c r="C859" s="567">
        <v>856</v>
      </c>
      <c r="D859" s="578" t="s">
        <v>1025</v>
      </c>
      <c r="E859" s="579" t="s">
        <v>1026</v>
      </c>
      <c r="F859" s="580" t="s">
        <v>1026</v>
      </c>
      <c r="G859" s="581" t="s">
        <v>1026</v>
      </c>
      <c r="H859" s="768" t="s">
        <v>1026</v>
      </c>
      <c r="I859" s="771" t="s">
        <v>1026</v>
      </c>
      <c r="J859" s="774" t="s">
        <v>1026</v>
      </c>
      <c r="K859" s="777" t="s">
        <v>1026</v>
      </c>
    </row>
    <row r="860" spans="3:11" ht="16" x14ac:dyDescent="0.2">
      <c r="C860" s="567">
        <v>857</v>
      </c>
      <c r="D860" s="578" t="s">
        <v>1027</v>
      </c>
      <c r="E860" s="579" t="s">
        <v>1027</v>
      </c>
      <c r="F860" s="580" t="s">
        <v>1027</v>
      </c>
      <c r="G860" s="581" t="s">
        <v>1027</v>
      </c>
      <c r="H860" s="581" t="s">
        <v>1027</v>
      </c>
      <c r="I860" s="581" t="s">
        <v>1027</v>
      </c>
      <c r="J860" s="581" t="s">
        <v>1027</v>
      </c>
      <c r="K860" s="581" t="s">
        <v>1027</v>
      </c>
    </row>
    <row r="861" spans="3:11" ht="16" x14ac:dyDescent="0.2">
      <c r="C861" s="567">
        <v>858</v>
      </c>
      <c r="D861" s="578" t="s">
        <v>1028</v>
      </c>
      <c r="E861" s="579" t="s">
        <v>1029</v>
      </c>
      <c r="F861" s="580" t="s">
        <v>1028</v>
      </c>
      <c r="G861" s="581" t="s">
        <v>1028</v>
      </c>
      <c r="H861" s="581" t="s">
        <v>1028</v>
      </c>
      <c r="I861" s="581" t="s">
        <v>1028</v>
      </c>
      <c r="J861" s="581" t="s">
        <v>1028</v>
      </c>
      <c r="K861" s="581" t="s">
        <v>1028</v>
      </c>
    </row>
  </sheetData>
  <phoneticPr fontId="96" type="noConversion"/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A015-5713-4B62-935B-487F9C6AC5D3}">
  <dimension ref="A1:X31"/>
  <sheetViews>
    <sheetView zoomScale="85" zoomScaleNormal="85" workbookViewId="0">
      <selection activeCell="X1" sqref="X1"/>
    </sheetView>
  </sheetViews>
  <sheetFormatPr baseColWidth="10" defaultColWidth="8.83203125" defaultRowHeight="13" x14ac:dyDescent="0.15"/>
  <sheetData>
    <row r="1" spans="1:24" s="561" customFormat="1" ht="56" x14ac:dyDescent="0.15">
      <c r="A1" s="582" t="str" cm="1">
        <f t="array" aca="1" ref="A1" ca="1">MID(CELL("filename",$A$1),FIND("]",CELL("filename",$A$1))+1,255)</f>
        <v>Syötä maat KIRJASTOLINKIT!</v>
      </c>
    </row>
    <row r="2" spans="1:24" x14ac:dyDescent="0.15">
      <c r="A2" s="583" t="s">
        <v>1030</v>
      </c>
      <c r="B2" s="584">
        <f>INDEX('Kirjasto (maat)'!$D$4:$K$28,ROW('Kirjasto (maat)'!$D4)-3,'Kirjasto (maat)'!$B$4)</f>
        <v>0</v>
      </c>
    </row>
    <row r="3" spans="1:24" x14ac:dyDescent="0.15">
      <c r="A3" s="583" t="s">
        <v>1031</v>
      </c>
      <c r="B3" s="584"/>
    </row>
    <row r="4" spans="1:24" ht="14" thickBot="1" x14ac:dyDescent="0.2">
      <c r="A4" s="583" t="s">
        <v>1032</v>
      </c>
      <c r="B4" s="584"/>
    </row>
    <row r="5" spans="1:24" x14ac:dyDescent="0.15">
      <c r="A5" s="583" t="s">
        <v>1033</v>
      </c>
      <c r="B5" s="584"/>
      <c r="R5" s="228" t="s">
        <v>1101</v>
      </c>
      <c r="S5" s="230"/>
      <c r="T5" s="230"/>
      <c r="U5" s="230"/>
      <c r="V5" s="230"/>
      <c r="W5" s="230"/>
      <c r="X5" s="231"/>
    </row>
    <row r="6" spans="1:24" x14ac:dyDescent="0.15">
      <c r="A6" s="583" t="s">
        <v>1034</v>
      </c>
      <c r="B6" s="584"/>
      <c r="R6" s="232"/>
      <c r="X6" s="364"/>
    </row>
    <row r="7" spans="1:24" x14ac:dyDescent="0.15">
      <c r="A7" s="583" t="s">
        <v>1035</v>
      </c>
      <c r="B7" s="584"/>
      <c r="R7" s="232"/>
      <c r="X7" s="364"/>
    </row>
    <row r="8" spans="1:24" x14ac:dyDescent="0.15">
      <c r="A8" s="583" t="s">
        <v>1036</v>
      </c>
      <c r="B8" s="584"/>
      <c r="R8" s="232"/>
      <c r="X8" s="364"/>
    </row>
    <row r="9" spans="1:24" x14ac:dyDescent="0.15">
      <c r="A9" s="583" t="s">
        <v>1037</v>
      </c>
      <c r="B9" s="584"/>
      <c r="R9" s="232"/>
      <c r="X9" s="364"/>
    </row>
    <row r="10" spans="1:24" x14ac:dyDescent="0.15">
      <c r="A10" s="583" t="s">
        <v>1038</v>
      </c>
      <c r="B10" s="584"/>
      <c r="R10" s="232"/>
      <c r="X10" s="364"/>
    </row>
    <row r="11" spans="1:24" x14ac:dyDescent="0.15">
      <c r="A11" s="583" t="s">
        <v>1039</v>
      </c>
      <c r="B11" s="584"/>
      <c r="R11" s="232"/>
      <c r="X11" s="364"/>
    </row>
    <row r="12" spans="1:24" x14ac:dyDescent="0.15">
      <c r="A12" s="583" t="s">
        <v>1040</v>
      </c>
      <c r="B12" s="584"/>
      <c r="R12" s="232"/>
      <c r="X12" s="364"/>
    </row>
    <row r="13" spans="1:24" x14ac:dyDescent="0.15">
      <c r="A13" s="583" t="s">
        <v>1041</v>
      </c>
      <c r="B13" s="584"/>
      <c r="R13" s="232"/>
      <c r="X13" s="364"/>
    </row>
    <row r="14" spans="1:24" x14ac:dyDescent="0.15">
      <c r="A14" s="583" t="s">
        <v>1042</v>
      </c>
      <c r="B14" s="584"/>
      <c r="R14" s="232"/>
      <c r="X14" s="364"/>
    </row>
    <row r="15" spans="1:24" x14ac:dyDescent="0.15">
      <c r="A15" s="583" t="s">
        <v>1043</v>
      </c>
      <c r="B15" s="584"/>
      <c r="R15" s="232"/>
      <c r="X15" s="364"/>
    </row>
    <row r="16" spans="1:24" x14ac:dyDescent="0.15">
      <c r="A16" s="583" t="s">
        <v>1044</v>
      </c>
      <c r="B16" s="584"/>
      <c r="R16" s="232"/>
      <c r="X16" s="364"/>
    </row>
    <row r="17" spans="1:24" x14ac:dyDescent="0.15">
      <c r="A17" s="583" t="s">
        <v>1045</v>
      </c>
      <c r="B17" s="584"/>
      <c r="R17" s="232"/>
      <c r="X17" s="364"/>
    </row>
    <row r="18" spans="1:24" x14ac:dyDescent="0.15">
      <c r="A18" s="583" t="s">
        <v>1046</v>
      </c>
      <c r="B18" s="584"/>
      <c r="R18" s="232"/>
      <c r="X18" s="364"/>
    </row>
    <row r="19" spans="1:24" x14ac:dyDescent="0.15">
      <c r="A19" s="583" t="s">
        <v>1047</v>
      </c>
      <c r="B19" s="584"/>
      <c r="R19" s="232"/>
      <c r="X19" s="364"/>
    </row>
    <row r="20" spans="1:24" x14ac:dyDescent="0.15">
      <c r="A20" s="583" t="s">
        <v>1048</v>
      </c>
      <c r="B20" s="584"/>
      <c r="R20" s="232"/>
      <c r="X20" s="364"/>
    </row>
    <row r="21" spans="1:24" x14ac:dyDescent="0.15">
      <c r="A21" s="583" t="s">
        <v>1049</v>
      </c>
      <c r="B21" s="584"/>
      <c r="R21" s="232"/>
      <c r="X21" s="364"/>
    </row>
    <row r="22" spans="1:24" x14ac:dyDescent="0.15">
      <c r="A22" s="583" t="s">
        <v>1050</v>
      </c>
      <c r="B22" s="584"/>
      <c r="R22" s="232"/>
      <c r="X22" s="364"/>
    </row>
    <row r="23" spans="1:24" x14ac:dyDescent="0.15">
      <c r="A23" s="583" t="s">
        <v>1051</v>
      </c>
      <c r="B23" s="584"/>
      <c r="R23" s="232"/>
      <c r="X23" s="364"/>
    </row>
    <row r="24" spans="1:24" x14ac:dyDescent="0.15">
      <c r="A24" s="583" t="s">
        <v>1052</v>
      </c>
      <c r="B24" s="584"/>
      <c r="R24" s="232"/>
      <c r="X24" s="364"/>
    </row>
    <row r="25" spans="1:24" x14ac:dyDescent="0.15">
      <c r="A25" s="583" t="s">
        <v>1053</v>
      </c>
      <c r="B25" s="584"/>
      <c r="R25" s="232"/>
      <c r="X25" s="364"/>
    </row>
    <row r="26" spans="1:24" ht="14" thickBot="1" x14ac:dyDescent="0.2">
      <c r="A26" s="583" t="s">
        <v>1054</v>
      </c>
      <c r="B26" s="584"/>
      <c r="R26" s="236"/>
      <c r="S26" s="238"/>
      <c r="T26" s="238"/>
      <c r="U26" s="238"/>
      <c r="V26" s="238"/>
      <c r="W26" s="238"/>
      <c r="X26" s="239"/>
    </row>
    <row r="29" spans="1:24" x14ac:dyDescent="0.15">
      <c r="A29" s="2" t="s">
        <v>1055</v>
      </c>
    </row>
    <row r="31" spans="1:24" ht="18" x14ac:dyDescent="0.2">
      <c r="A31" s="585" t="str">
        <f ca="1">_xlfn.CONCAT("Käytettävä kaavaa, joka hakee arvot taulukosta: ",'Kirjasto (maat)'!B1)</f>
        <v>Käytettävä kaavaa, joka hakee arvot taulukosta: Kirjasto (maat)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5BD71-7986-463C-B1C8-3B11430AEF63}">
  <dimension ref="A1:Z44"/>
  <sheetViews>
    <sheetView workbookViewId="0">
      <selection activeCell="K13" sqref="K13"/>
    </sheetView>
  </sheetViews>
  <sheetFormatPr baseColWidth="10" defaultColWidth="8.83203125" defaultRowHeight="13" x14ac:dyDescent="0.15"/>
  <cols>
    <col min="1" max="1" width="10.83203125" style="2" customWidth="1"/>
    <col min="2" max="26" width="9.6640625" customWidth="1"/>
  </cols>
  <sheetData>
    <row r="1" spans="1:26" s="582" customFormat="1" ht="56" x14ac:dyDescent="0.15">
      <c r="A1" s="582" t="str" cm="1">
        <f t="array" aca="1" ref="A1" ca="1">MID(CELL("filename",$A$1),FIND("]",CELL("filename",$A$1))+1,255)</f>
        <v>Syötä kaupungit KIRJASTOLINKIT!</v>
      </c>
      <c r="B1" s="582">
        <f>IF(ISBLANK('Syötä maat KIRJASTOLINKIT!'!$B$2),'Syötä maat KIRJASTOLINKIT!'!$A$2,'Syötä maat KIRJASTOLINKIT!'!$B$2)</f>
        <v>0</v>
      </c>
      <c r="C1" s="582" t="str">
        <f>IF(ISBLANK('Syötä maat KIRJASTOLINKIT!'!$B$3),'Syötä maat KIRJASTOLINKIT!'!$A$3,'Syötä maat KIRJASTOLINKIT!'!$B$3)</f>
        <v>MAA 2</v>
      </c>
      <c r="D1" s="582" t="str">
        <f>IF(ISBLANK('Syötä maat KIRJASTOLINKIT!'!$B$4),'Syötä maat KIRJASTOLINKIT!'!$A$4,'Syötä maat KIRJASTOLINKIT!'!$B$4)</f>
        <v>MAA 3</v>
      </c>
      <c r="E1" s="582" t="str">
        <f>IF(ISBLANK('Syötä maat KIRJASTOLINKIT!'!$B$5),'Syötä maat KIRJASTOLINKIT!'!$A$5,'Syötä maat KIRJASTOLINKIT!'!$B$5)</f>
        <v>MAA 4</v>
      </c>
      <c r="F1" s="582" t="str">
        <f>IF(ISBLANK('Syötä maat KIRJASTOLINKIT!'!$B$6),'Syötä maat KIRJASTOLINKIT!'!$A$6,'Syötä maat KIRJASTOLINKIT!'!$B$6)</f>
        <v>MAA 5</v>
      </c>
      <c r="G1" s="582" t="str">
        <f>IF(ISBLANK('Syötä maat KIRJASTOLINKIT!'!$B$7),'Syötä maat KIRJASTOLINKIT!'!$A$7,'Syötä maat KIRJASTOLINKIT!'!$B$7)</f>
        <v>MAA 6</v>
      </c>
      <c r="H1" s="582" t="str">
        <f>IF(ISBLANK('Syötä maat KIRJASTOLINKIT!'!$B$8),'Syötä maat KIRJASTOLINKIT!'!$A$8,'Syötä maat KIRJASTOLINKIT!'!$B$8)</f>
        <v>MAA 7</v>
      </c>
      <c r="I1" s="582" t="str">
        <f>IF(ISBLANK('Syötä maat KIRJASTOLINKIT!'!$B$9),'Syötä maat KIRJASTOLINKIT!'!$A$9,'Syötä maat KIRJASTOLINKIT!'!$B$9)</f>
        <v>MAA 8</v>
      </c>
      <c r="J1" s="582" t="str">
        <f>IF(ISBLANK('Syötä maat KIRJASTOLINKIT!'!$B$10),'Syötä maat KIRJASTOLINKIT!'!$A$10,'Syötä maat KIRJASTOLINKIT!'!$B$10)</f>
        <v>MAA 9</v>
      </c>
      <c r="K1" s="582" t="str">
        <f>IF(ISBLANK('Syötä maat KIRJASTOLINKIT!'!$B$11),'Syötä maat KIRJASTOLINKIT!'!$A$11,'Syötä maat KIRJASTOLINKIT!'!$B$11)</f>
        <v>MAA 10</v>
      </c>
      <c r="L1" s="582" t="str">
        <f>IF(ISBLANK('Syötä maat KIRJASTOLINKIT!'!$B$12),'Syötä maat KIRJASTOLINKIT!'!$A$12,'Syötä maat KIRJASTOLINKIT!'!$B$12)</f>
        <v>MAA 11</v>
      </c>
      <c r="M1" s="582" t="str">
        <f>IF(ISBLANK('Syötä maat KIRJASTOLINKIT!'!$B$13),'Syötä maat KIRJASTOLINKIT!'!$A$13,'Syötä maat KIRJASTOLINKIT!'!$B$13)</f>
        <v>MAA 12</v>
      </c>
      <c r="N1" s="582" t="str">
        <f>IF(ISBLANK('Syötä maat KIRJASTOLINKIT!'!$B$14),'Syötä maat KIRJASTOLINKIT!'!$A$14,'Syötä maat KIRJASTOLINKIT!'!$B$14)</f>
        <v>MAA 13</v>
      </c>
      <c r="O1" s="582" t="str">
        <f>IF(ISBLANK('Syötä maat KIRJASTOLINKIT!'!$B$15),'Syötä maat KIRJASTOLINKIT!'!$A$15,'Syötä maat KIRJASTOLINKIT!'!$B$15)</f>
        <v>MAA 14</v>
      </c>
      <c r="P1" s="582" t="str">
        <f>IF(ISBLANK('Syötä maat KIRJASTOLINKIT!'!$B$16),'Syötä maat KIRJASTOLINKIT!'!$A$16,'Syötä maat KIRJASTOLINKIT!'!$B$16)</f>
        <v>MAA 15</v>
      </c>
      <c r="Q1" s="582" t="str">
        <f>IF(ISBLANK('Syötä maat KIRJASTOLINKIT!'!$B$17),'Syötä maat KIRJASTOLINKIT!'!$A$17,'Syötä maat KIRJASTOLINKIT!'!$B$17)</f>
        <v>MAA 16</v>
      </c>
      <c r="R1" s="582" t="str">
        <f>IF(ISBLANK('Syötä maat KIRJASTOLINKIT!'!$B$18),'Syötä maat KIRJASTOLINKIT!'!$A$18,'Syötä maat KIRJASTOLINKIT!'!$B$18)</f>
        <v>MAA 17</v>
      </c>
      <c r="S1" s="582" t="str">
        <f>IF(ISBLANK('Syötä maat KIRJASTOLINKIT!'!$B$19),'Syötä maat KIRJASTOLINKIT!'!$A$19,'Syötä maat KIRJASTOLINKIT!'!$B$19)</f>
        <v>MAA 18</v>
      </c>
      <c r="T1" s="582" t="str">
        <f>IF(ISBLANK('Syötä maat KIRJASTOLINKIT!'!$B$20),'Syötä maat KIRJASTOLINKIT!'!$A$20,'Syötä maat KIRJASTOLINKIT!'!$B$20)</f>
        <v>MAA 19</v>
      </c>
      <c r="U1" s="582" t="str">
        <f>IF(ISBLANK('Syötä maat KIRJASTOLINKIT!'!$B$21),'Syötä maat KIRJASTOLINKIT!'!$A$21,'Syötä maat KIRJASTOLINKIT!'!$B$21)</f>
        <v>MAA 20</v>
      </c>
      <c r="V1" s="582" t="str">
        <f>IF(ISBLANK('Syötä maat KIRJASTOLINKIT!'!$B$22),'Syötä maat KIRJASTOLINKIT!'!$A$22,'Syötä maat KIRJASTOLINKIT!'!$B$22)</f>
        <v>MAA 21</v>
      </c>
      <c r="W1" s="582" t="str">
        <f>IF(ISBLANK('Syötä maat KIRJASTOLINKIT!'!$B$23),'Syötä maat KIRJASTOLINKIT!'!$A$23,'Syötä maat KIRJASTOLINKIT!'!$B$23)</f>
        <v>MAA 22</v>
      </c>
      <c r="X1" s="582" t="str">
        <f>IF(ISBLANK('Syötä maat KIRJASTOLINKIT!'!$B$24),'Syötä maat KIRJASTOLINKIT!'!$A$24,'Syötä maat KIRJASTOLINKIT!'!$B$24)</f>
        <v>MAA 23</v>
      </c>
      <c r="Y1" s="582" t="str">
        <f>IF(ISBLANK('Syötä maat KIRJASTOLINKIT!'!$B$25),'Syötä maat KIRJASTOLINKIT!'!$A$25,'Syötä maat KIRJASTOLINKIT!'!$B$25)</f>
        <v>MAA 24</v>
      </c>
      <c r="Z1" s="582" t="str">
        <f>IF(ISBLANK('Syötä maat KIRJASTOLINKIT!'!$B23),'Syötä maat KIRJASTOLINKIT!'!$A23,'Syötä maat KIRJASTOLINKIT!'!$B23)</f>
        <v>MAA 22</v>
      </c>
    </row>
    <row r="2" spans="1:26" x14ac:dyDescent="0.15">
      <c r="A2" s="2" t="s">
        <v>1056</v>
      </c>
      <c r="B2" s="584" t="str">
        <f>INDEX('Kirjasto (kaupungit)'!$D$4:$K$861,ROW('Kirjasto (kaupungit)'!$D4)-3,'Kirjasto (kaupungit)'!$B$4)</f>
        <v>I (Vantaa)</v>
      </c>
      <c r="C2" s="584" t="str">
        <f>INDEX('Kirjasto (kaupungit)'!$D$4:$K$861,ROW('Kirjasto (kaupungit)'!$D8)-3,'Kirjasto (kaupungit)'!$B$4)</f>
        <v>SWE - Sztokholm</v>
      </c>
      <c r="D2" s="584" t="str">
        <f>INDEX('Kirjasto (kaupungit)'!$D$4:$K$861,ROW('Kirjasto (kaupungit)'!$D9)-3,'Kirjasto (kaupungit)'!$B$4)</f>
        <v>SWE - Goteborg</v>
      </c>
      <c r="E2" s="584" t="str">
        <f>INDEX('Kirjasto (kaupungit)'!$D$4:$K$861,ROW('Kirjasto (kaupungit)'!$D10)-3,'Kirjasto (kaupungit)'!$B$4)</f>
        <v>EST - Tallin</v>
      </c>
      <c r="F2" s="584" t="str">
        <f>INDEX('Kirjasto (kaupungit)'!$D$4:$K$861,ROW('Kirjasto (kaupungit)'!$D11)-3,'Kirjasto (kaupungit)'!$B$4)</f>
        <v>LAT - Ryga</v>
      </c>
      <c r="G2" s="584" t="str">
        <f>INDEX('Kirjasto (kaupungit)'!$D$4:$K$861,ROW('Kirjasto (kaupungit)'!$D12)-3,'Kirjasto (kaupungit)'!$B$4)</f>
        <v>LTU - Wilno</v>
      </c>
      <c r="H2" s="584" t="str">
        <f>INDEX('Kirjasto (kaupungit)'!$D$4:$K$861,ROW('Kirjasto (kaupungit)'!$D13)-3,'Kirjasto (kaupungit)'!$B$4)</f>
        <v>POL - Warszawa</v>
      </c>
      <c r="I2" s="584" t="s">
        <v>1378</v>
      </c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</row>
    <row r="3" spans="1:26" x14ac:dyDescent="0.15">
      <c r="A3" s="2" t="s">
        <v>1057</v>
      </c>
      <c r="B3" s="584" t="str">
        <f>INDEX('Kirjasto (kaupungit)'!$D$4:$K$861,ROW('Kirjasto (kaupungit)'!$D5)-3,'Kirjasto (kaupungit)'!$B$4)</f>
        <v>II (Jokioinen)</v>
      </c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584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  <c r="Z3" s="584"/>
    </row>
    <row r="4" spans="1:26" x14ac:dyDescent="0.15">
      <c r="A4" s="2" t="s">
        <v>1058</v>
      </c>
      <c r="B4" s="584" t="str">
        <f>INDEX('Kirjasto (kaupungit)'!$D$4:$K$861,ROW('Kirjasto (kaupungit)'!$D6)-3,'Kirjasto (kaupungit)'!$B$4)</f>
        <v>III (Jyväskylä)</v>
      </c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  <c r="Z4" s="584"/>
    </row>
    <row r="5" spans="1:26" x14ac:dyDescent="0.15">
      <c r="A5" s="2" t="s">
        <v>1059</v>
      </c>
      <c r="B5" s="584" t="str">
        <f>INDEX('Kirjasto (kaupungit)'!$D$4:$K$861,ROW('Kirjasto (kaupungit)'!$D7)-3,'Kirjasto (kaupungit)'!$B$4)</f>
        <v>IV (Sodankylä)</v>
      </c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584"/>
      <c r="U5" s="584"/>
      <c r="V5" s="584"/>
      <c r="W5" s="584"/>
      <c r="X5" s="584"/>
      <c r="Y5" s="584"/>
      <c r="Z5" s="584"/>
    </row>
    <row r="6" spans="1:26" x14ac:dyDescent="0.15">
      <c r="A6" s="2" t="s">
        <v>1060</v>
      </c>
      <c r="B6" s="584"/>
      <c r="C6" s="584"/>
      <c r="D6" s="584"/>
      <c r="E6" s="584"/>
      <c r="F6" s="584"/>
      <c r="G6" s="584"/>
      <c r="H6" s="584"/>
      <c r="I6" s="584"/>
      <c r="J6" s="584"/>
      <c r="K6" s="584"/>
      <c r="L6" s="584"/>
      <c r="M6" s="584"/>
      <c r="N6" s="584"/>
      <c r="O6" s="584"/>
      <c r="P6" s="584"/>
      <c r="Q6" s="584"/>
      <c r="R6" s="584"/>
      <c r="S6" s="584"/>
      <c r="T6" s="584"/>
      <c r="U6" s="584"/>
      <c r="V6" s="584"/>
      <c r="W6" s="584"/>
      <c r="X6" s="584"/>
      <c r="Y6" s="584"/>
      <c r="Z6" s="584"/>
    </row>
    <row r="7" spans="1:26" x14ac:dyDescent="0.15">
      <c r="A7" s="2" t="s">
        <v>1061</v>
      </c>
      <c r="B7" s="584"/>
      <c r="C7" s="584"/>
      <c r="D7" s="584"/>
      <c r="E7" s="584"/>
      <c r="F7" s="584"/>
      <c r="G7" s="584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584"/>
      <c r="S7" s="584"/>
      <c r="T7" s="584"/>
      <c r="U7" s="584"/>
      <c r="V7" s="584"/>
      <c r="W7" s="584"/>
      <c r="X7" s="584"/>
      <c r="Y7" s="584"/>
      <c r="Z7" s="584"/>
    </row>
    <row r="8" spans="1:26" x14ac:dyDescent="0.15">
      <c r="A8" s="2" t="s">
        <v>1062</v>
      </c>
      <c r="B8" s="584"/>
      <c r="C8" s="584"/>
      <c r="D8" s="584"/>
      <c r="E8" s="584"/>
      <c r="F8" s="584"/>
      <c r="G8" s="584"/>
      <c r="H8" s="584"/>
      <c r="I8" s="584"/>
      <c r="J8" s="584"/>
      <c r="K8" s="584"/>
      <c r="L8" s="584"/>
      <c r="M8" s="584"/>
      <c r="N8" s="584"/>
      <c r="O8" s="584"/>
      <c r="P8" s="584"/>
      <c r="Q8" s="584"/>
      <c r="R8" s="584"/>
      <c r="S8" s="584"/>
      <c r="T8" s="584"/>
      <c r="U8" s="584"/>
      <c r="V8" s="584"/>
      <c r="W8" s="584"/>
      <c r="X8" s="584"/>
      <c r="Y8" s="584"/>
      <c r="Z8" s="584"/>
    </row>
    <row r="9" spans="1:26" x14ac:dyDescent="0.15">
      <c r="A9" s="2" t="s">
        <v>1063</v>
      </c>
      <c r="B9" s="584"/>
      <c r="C9" s="584"/>
      <c r="D9" s="584"/>
      <c r="E9" s="584"/>
      <c r="F9" s="584"/>
      <c r="G9" s="584"/>
      <c r="H9" s="584"/>
      <c r="I9" s="584"/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  <c r="Z9" s="584"/>
    </row>
    <row r="10" spans="1:26" x14ac:dyDescent="0.15">
      <c r="A10" s="2" t="s">
        <v>1064</v>
      </c>
      <c r="B10" s="584"/>
      <c r="C10" s="584"/>
      <c r="D10" s="584"/>
      <c r="E10" s="584"/>
      <c r="F10" s="584"/>
      <c r="G10" s="584"/>
      <c r="H10" s="584"/>
      <c r="I10" s="584"/>
      <c r="J10" s="584"/>
      <c r="K10" s="584"/>
      <c r="L10" s="584"/>
      <c r="M10" s="584"/>
      <c r="N10" s="584"/>
      <c r="O10" s="584"/>
      <c r="P10" s="584"/>
      <c r="Q10" s="584"/>
      <c r="R10" s="584"/>
      <c r="S10" s="584"/>
      <c r="T10" s="584"/>
      <c r="U10" s="584"/>
      <c r="V10" s="584"/>
      <c r="W10" s="584"/>
      <c r="X10" s="584"/>
      <c r="Y10" s="584"/>
      <c r="Z10" s="584"/>
    </row>
    <row r="11" spans="1:26" x14ac:dyDescent="0.15">
      <c r="A11" s="2" t="s">
        <v>1065</v>
      </c>
      <c r="B11" s="584"/>
      <c r="C11" s="584"/>
      <c r="D11" s="584"/>
      <c r="E11" s="584"/>
      <c r="F11" s="584"/>
      <c r="G11" s="584"/>
      <c r="H11" s="584"/>
      <c r="I11" s="584"/>
      <c r="J11" s="584"/>
      <c r="K11" s="584"/>
      <c r="L11" s="584"/>
      <c r="M11" s="584"/>
      <c r="N11" s="584"/>
      <c r="O11" s="584"/>
      <c r="P11" s="584"/>
      <c r="Q11" s="584"/>
      <c r="R11" s="584"/>
      <c r="S11" s="584"/>
      <c r="T11" s="584"/>
      <c r="U11" s="584"/>
      <c r="V11" s="584"/>
      <c r="W11" s="584"/>
      <c r="X11" s="584"/>
      <c r="Y11" s="584"/>
      <c r="Z11" s="584"/>
    </row>
    <row r="12" spans="1:26" x14ac:dyDescent="0.15">
      <c r="A12" s="2" t="s">
        <v>1066</v>
      </c>
      <c r="B12" s="584"/>
      <c r="C12" s="584"/>
      <c r="D12" s="584"/>
      <c r="E12" s="584"/>
      <c r="F12" s="584"/>
      <c r="G12" s="584"/>
      <c r="H12" s="584"/>
      <c r="I12" s="584"/>
      <c r="J12" s="584"/>
      <c r="K12" s="584"/>
      <c r="L12" s="584"/>
      <c r="M12" s="584"/>
      <c r="N12" s="584"/>
      <c r="O12" s="584"/>
      <c r="P12" s="584"/>
      <c r="Q12" s="584"/>
      <c r="R12" s="584"/>
      <c r="S12" s="584"/>
      <c r="T12" s="584"/>
      <c r="U12" s="584"/>
      <c r="V12" s="584"/>
      <c r="W12" s="584"/>
      <c r="X12" s="584"/>
      <c r="Y12" s="584"/>
      <c r="Z12" s="584"/>
    </row>
    <row r="13" spans="1:26" x14ac:dyDescent="0.15">
      <c r="A13" s="2" t="s">
        <v>1067</v>
      </c>
      <c r="B13" s="584"/>
      <c r="C13" s="584"/>
      <c r="D13" s="584"/>
      <c r="E13" s="584"/>
      <c r="F13" s="584"/>
      <c r="G13" s="584"/>
      <c r="H13" s="584"/>
      <c r="I13" s="584"/>
      <c r="J13" s="584"/>
      <c r="K13" s="584"/>
      <c r="L13" s="584"/>
      <c r="M13" s="584"/>
      <c r="N13" s="584"/>
      <c r="O13" s="584"/>
      <c r="P13" s="584"/>
      <c r="Q13" s="584"/>
      <c r="R13" s="584"/>
      <c r="S13" s="584"/>
      <c r="T13" s="584"/>
      <c r="U13" s="584"/>
      <c r="V13" s="584"/>
      <c r="W13" s="584"/>
      <c r="X13" s="584"/>
      <c r="Y13" s="584"/>
      <c r="Z13" s="584"/>
    </row>
    <row r="14" spans="1:26" x14ac:dyDescent="0.15">
      <c r="A14" s="2" t="s">
        <v>1068</v>
      </c>
      <c r="B14" s="584"/>
      <c r="C14" s="584"/>
      <c r="D14" s="584"/>
      <c r="E14" s="584"/>
      <c r="F14" s="584"/>
      <c r="G14" s="584"/>
      <c r="H14" s="584"/>
      <c r="I14" s="584"/>
      <c r="J14" s="584"/>
      <c r="K14" s="584"/>
      <c r="L14" s="584"/>
      <c r="M14" s="584"/>
      <c r="N14" s="584"/>
      <c r="O14" s="584"/>
      <c r="P14" s="584"/>
      <c r="Q14" s="584"/>
      <c r="R14" s="584"/>
      <c r="S14" s="584"/>
      <c r="T14" s="584"/>
      <c r="U14" s="584"/>
      <c r="V14" s="584"/>
      <c r="W14" s="584"/>
      <c r="X14" s="584"/>
      <c r="Y14" s="584"/>
      <c r="Z14" s="584"/>
    </row>
    <row r="15" spans="1:26" x14ac:dyDescent="0.15">
      <c r="A15" s="2" t="s">
        <v>1069</v>
      </c>
      <c r="B15" s="584"/>
      <c r="C15" s="584"/>
      <c r="D15" s="584"/>
      <c r="E15" s="584"/>
      <c r="F15" s="584"/>
      <c r="G15" s="584"/>
      <c r="H15" s="584"/>
      <c r="I15" s="584"/>
      <c r="J15" s="584"/>
      <c r="K15" s="584"/>
      <c r="L15" s="584"/>
      <c r="M15" s="584"/>
      <c r="N15" s="584"/>
      <c r="O15" s="584"/>
      <c r="P15" s="584"/>
      <c r="Q15" s="584"/>
      <c r="R15" s="584"/>
      <c r="S15" s="584"/>
      <c r="T15" s="584"/>
      <c r="U15" s="584"/>
      <c r="V15" s="584"/>
      <c r="W15" s="584"/>
      <c r="X15" s="584"/>
      <c r="Y15" s="584"/>
      <c r="Z15" s="584"/>
    </row>
    <row r="16" spans="1:26" x14ac:dyDescent="0.15">
      <c r="A16" s="2" t="s">
        <v>1070</v>
      </c>
      <c r="B16" s="584"/>
      <c r="C16" s="584"/>
      <c r="D16" s="584"/>
      <c r="E16" s="584"/>
      <c r="F16" s="584"/>
      <c r="G16" s="584"/>
      <c r="H16" s="584"/>
      <c r="I16" s="584"/>
      <c r="J16" s="584"/>
      <c r="K16" s="584"/>
      <c r="L16" s="584"/>
      <c r="M16" s="584"/>
      <c r="N16" s="584"/>
      <c r="O16" s="584"/>
      <c r="P16" s="584"/>
      <c r="Q16" s="584"/>
      <c r="R16" s="584"/>
      <c r="S16" s="584"/>
      <c r="T16" s="584"/>
      <c r="U16" s="584"/>
      <c r="V16" s="584"/>
      <c r="W16" s="584"/>
      <c r="X16" s="584"/>
      <c r="Y16" s="584"/>
      <c r="Z16" s="584"/>
    </row>
    <row r="17" spans="1:26" x14ac:dyDescent="0.15">
      <c r="A17" s="2" t="s">
        <v>1071</v>
      </c>
      <c r="B17" s="584"/>
      <c r="C17" s="584"/>
      <c r="D17" s="584"/>
      <c r="E17" s="584"/>
      <c r="F17" s="584"/>
      <c r="G17" s="584"/>
      <c r="H17" s="584"/>
      <c r="I17" s="584"/>
      <c r="J17" s="584"/>
      <c r="K17" s="584"/>
      <c r="L17" s="584"/>
      <c r="M17" s="584"/>
      <c r="N17" s="584"/>
      <c r="O17" s="584"/>
      <c r="P17" s="584"/>
      <c r="Q17" s="584"/>
      <c r="R17" s="584"/>
      <c r="S17" s="584"/>
      <c r="T17" s="584"/>
      <c r="U17" s="584"/>
      <c r="V17" s="584"/>
      <c r="W17" s="584"/>
      <c r="X17" s="584"/>
      <c r="Y17" s="584"/>
      <c r="Z17" s="584"/>
    </row>
    <row r="18" spans="1:26" x14ac:dyDescent="0.15">
      <c r="A18" s="2" t="s">
        <v>1072</v>
      </c>
      <c r="B18" s="584"/>
      <c r="C18" s="584"/>
      <c r="D18" s="584"/>
      <c r="E18" s="584"/>
      <c r="F18" s="584"/>
      <c r="G18" s="584"/>
      <c r="H18" s="584"/>
      <c r="I18" s="584"/>
      <c r="J18" s="584"/>
      <c r="K18" s="584"/>
      <c r="L18" s="584"/>
      <c r="M18" s="584"/>
      <c r="N18" s="584"/>
      <c r="O18" s="584"/>
      <c r="P18" s="584"/>
      <c r="Q18" s="584"/>
      <c r="R18" s="584"/>
      <c r="S18" s="584"/>
      <c r="T18" s="584"/>
      <c r="U18" s="584"/>
      <c r="V18" s="584"/>
      <c r="W18" s="584"/>
      <c r="X18" s="584"/>
      <c r="Y18" s="584"/>
      <c r="Z18" s="584"/>
    </row>
    <row r="19" spans="1:26" x14ac:dyDescent="0.15">
      <c r="A19" s="2" t="s">
        <v>1073</v>
      </c>
      <c r="B19" s="584"/>
      <c r="C19" s="584"/>
      <c r="D19" s="584"/>
      <c r="E19" s="584"/>
      <c r="F19" s="584"/>
      <c r="G19" s="584"/>
      <c r="H19" s="584"/>
      <c r="I19" s="584"/>
      <c r="J19" s="584"/>
      <c r="K19" s="584"/>
      <c r="L19" s="584"/>
      <c r="M19" s="584"/>
      <c r="N19" s="584"/>
      <c r="O19" s="584"/>
      <c r="P19" s="584"/>
      <c r="Q19" s="584"/>
      <c r="R19" s="584"/>
      <c r="S19" s="584"/>
      <c r="T19" s="584"/>
      <c r="U19" s="584"/>
      <c r="V19" s="584"/>
      <c r="W19" s="584"/>
      <c r="X19" s="584"/>
      <c r="Y19" s="584"/>
      <c r="Z19" s="584"/>
    </row>
    <row r="20" spans="1:26" x14ac:dyDescent="0.15">
      <c r="A20" s="2" t="s">
        <v>1074</v>
      </c>
      <c r="B20" s="584"/>
      <c r="C20" s="584"/>
      <c r="D20" s="584"/>
      <c r="E20" s="584"/>
      <c r="F20" s="584"/>
      <c r="G20" s="584"/>
      <c r="H20" s="584"/>
      <c r="I20" s="584"/>
      <c r="J20" s="584"/>
      <c r="K20" s="584"/>
      <c r="L20" s="584"/>
      <c r="M20" s="584"/>
      <c r="N20" s="584"/>
      <c r="O20" s="584"/>
      <c r="P20" s="584"/>
      <c r="Q20" s="584"/>
      <c r="R20" s="584"/>
      <c r="S20" s="584"/>
      <c r="T20" s="584"/>
      <c r="U20" s="584"/>
      <c r="V20" s="584"/>
      <c r="W20" s="584"/>
      <c r="X20" s="584"/>
      <c r="Y20" s="584"/>
      <c r="Z20" s="584"/>
    </row>
    <row r="21" spans="1:26" x14ac:dyDescent="0.15">
      <c r="A21" s="2" t="s">
        <v>1075</v>
      </c>
      <c r="B21" s="584"/>
      <c r="C21" s="584"/>
      <c r="D21" s="584"/>
      <c r="E21" s="584"/>
      <c r="F21" s="584"/>
      <c r="G21" s="584"/>
      <c r="H21" s="584"/>
      <c r="I21" s="584"/>
      <c r="J21" s="584"/>
      <c r="K21" s="584"/>
      <c r="L21" s="584"/>
      <c r="M21" s="584"/>
      <c r="N21" s="584"/>
      <c r="O21" s="584"/>
      <c r="P21" s="584"/>
      <c r="Q21" s="584"/>
      <c r="R21" s="584"/>
      <c r="S21" s="584"/>
      <c r="T21" s="584"/>
      <c r="U21" s="584"/>
      <c r="V21" s="584"/>
      <c r="W21" s="584"/>
      <c r="X21" s="584"/>
      <c r="Y21" s="584"/>
      <c r="Z21" s="584"/>
    </row>
    <row r="22" spans="1:26" x14ac:dyDescent="0.15">
      <c r="A22" s="2" t="s">
        <v>1076</v>
      </c>
      <c r="B22" s="584"/>
      <c r="C22" s="584"/>
      <c r="D22" s="584"/>
      <c r="E22" s="584"/>
      <c r="F22" s="584"/>
      <c r="G22" s="584"/>
      <c r="H22" s="584"/>
      <c r="I22" s="584"/>
      <c r="J22" s="584"/>
      <c r="K22" s="584"/>
      <c r="L22" s="584"/>
      <c r="M22" s="584"/>
      <c r="N22" s="584"/>
      <c r="O22" s="584"/>
      <c r="P22" s="584"/>
      <c r="Q22" s="584"/>
      <c r="R22" s="584"/>
      <c r="S22" s="584"/>
      <c r="T22" s="584"/>
      <c r="U22" s="584"/>
      <c r="V22" s="584"/>
      <c r="W22" s="584"/>
      <c r="X22" s="584"/>
      <c r="Y22" s="584"/>
      <c r="Z22" s="584"/>
    </row>
    <row r="23" spans="1:26" x14ac:dyDescent="0.15">
      <c r="A23" s="2" t="s">
        <v>1077</v>
      </c>
      <c r="B23" s="584"/>
      <c r="C23" s="584"/>
      <c r="D23" s="584"/>
      <c r="E23" s="584"/>
      <c r="F23" s="584"/>
      <c r="G23" s="584"/>
      <c r="H23" s="584"/>
      <c r="I23" s="584"/>
      <c r="J23" s="584"/>
      <c r="K23" s="584"/>
      <c r="L23" s="584"/>
      <c r="M23" s="584"/>
      <c r="N23" s="584"/>
      <c r="O23" s="584"/>
      <c r="P23" s="584"/>
      <c r="Q23" s="584"/>
      <c r="R23" s="584"/>
      <c r="S23" s="584"/>
      <c r="T23" s="584"/>
      <c r="U23" s="584"/>
      <c r="V23" s="584"/>
      <c r="W23" s="584"/>
      <c r="X23" s="584"/>
      <c r="Y23" s="584"/>
      <c r="Z23" s="584"/>
    </row>
    <row r="24" spans="1:26" x14ac:dyDescent="0.15">
      <c r="A24" s="2" t="s">
        <v>1078</v>
      </c>
      <c r="B24" s="584"/>
      <c r="C24" s="584"/>
      <c r="D24" s="584"/>
      <c r="E24" s="584"/>
      <c r="F24" s="584"/>
      <c r="G24" s="584"/>
      <c r="H24" s="584"/>
      <c r="I24" s="584"/>
      <c r="J24" s="584"/>
      <c r="K24" s="584"/>
      <c r="L24" s="584"/>
      <c r="M24" s="584"/>
      <c r="N24" s="584"/>
      <c r="O24" s="584"/>
      <c r="P24" s="584"/>
      <c r="Q24" s="584"/>
      <c r="R24" s="584"/>
      <c r="S24" s="584"/>
      <c r="T24" s="584"/>
      <c r="U24" s="584"/>
      <c r="V24" s="584"/>
      <c r="W24" s="584"/>
      <c r="X24" s="584"/>
      <c r="Y24" s="584"/>
      <c r="Z24" s="584"/>
    </row>
    <row r="25" spans="1:26" x14ac:dyDescent="0.15">
      <c r="A25" s="2" t="s">
        <v>1079</v>
      </c>
      <c r="B25" s="584"/>
      <c r="C25" s="584"/>
      <c r="D25" s="584"/>
      <c r="E25" s="584"/>
      <c r="F25" s="584"/>
      <c r="G25" s="584"/>
      <c r="H25" s="584"/>
      <c r="I25" s="584"/>
      <c r="J25" s="584"/>
      <c r="K25" s="584"/>
      <c r="L25" s="584"/>
      <c r="M25" s="584"/>
      <c r="N25" s="584"/>
      <c r="O25" s="584"/>
      <c r="P25" s="584"/>
      <c r="Q25" s="584"/>
      <c r="R25" s="584"/>
      <c r="S25" s="584"/>
      <c r="T25" s="584"/>
      <c r="U25" s="584"/>
      <c r="V25" s="584"/>
      <c r="W25" s="584"/>
      <c r="X25" s="584"/>
      <c r="Y25" s="584"/>
      <c r="Z25" s="584"/>
    </row>
    <row r="26" spans="1:26" x14ac:dyDescent="0.15">
      <c r="A26" s="2" t="s">
        <v>1080</v>
      </c>
      <c r="B26" s="584"/>
      <c r="C26" s="584"/>
      <c r="D26" s="584"/>
      <c r="E26" s="584"/>
      <c r="F26" s="584"/>
      <c r="G26" s="584"/>
      <c r="H26" s="584"/>
      <c r="I26" s="584"/>
      <c r="J26" s="584"/>
      <c r="K26" s="584"/>
      <c r="L26" s="584"/>
      <c r="M26" s="584"/>
      <c r="N26" s="584"/>
      <c r="O26" s="584"/>
      <c r="P26" s="584"/>
      <c r="Q26" s="584"/>
      <c r="R26" s="584"/>
      <c r="S26" s="584"/>
      <c r="T26" s="584"/>
      <c r="U26" s="584"/>
      <c r="V26" s="584"/>
      <c r="W26" s="584"/>
      <c r="X26" s="584"/>
      <c r="Y26" s="584"/>
      <c r="Z26" s="584"/>
    </row>
    <row r="27" spans="1:26" x14ac:dyDescent="0.15">
      <c r="A27" s="2" t="s">
        <v>1081</v>
      </c>
      <c r="B27" s="584"/>
      <c r="C27" s="584"/>
      <c r="D27" s="584"/>
      <c r="E27" s="584"/>
      <c r="F27" s="584"/>
      <c r="G27" s="584"/>
      <c r="H27" s="584"/>
      <c r="I27" s="584"/>
      <c r="J27" s="584"/>
      <c r="K27" s="584"/>
      <c r="L27" s="584"/>
      <c r="M27" s="584"/>
      <c r="N27" s="584"/>
      <c r="O27" s="584"/>
      <c r="P27" s="584"/>
      <c r="Q27" s="584"/>
      <c r="R27" s="584"/>
      <c r="S27" s="584"/>
      <c r="T27" s="584"/>
      <c r="U27" s="584"/>
      <c r="V27" s="584"/>
      <c r="W27" s="584"/>
      <c r="X27" s="584"/>
      <c r="Y27" s="584"/>
      <c r="Z27" s="584"/>
    </row>
    <row r="28" spans="1:26" x14ac:dyDescent="0.15">
      <c r="A28" s="2" t="s">
        <v>1082</v>
      </c>
      <c r="B28" s="584"/>
      <c r="C28" s="584"/>
      <c r="D28" s="584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584"/>
      <c r="P28" s="584"/>
      <c r="Q28" s="584"/>
      <c r="R28" s="584"/>
      <c r="S28" s="584"/>
      <c r="T28" s="584"/>
      <c r="U28" s="584"/>
      <c r="V28" s="584"/>
      <c r="W28" s="584"/>
      <c r="X28" s="584"/>
      <c r="Y28" s="584"/>
      <c r="Z28" s="584"/>
    </row>
    <row r="29" spans="1:26" x14ac:dyDescent="0.15">
      <c r="A29" s="2" t="s">
        <v>1083</v>
      </c>
      <c r="B29" s="584"/>
      <c r="C29" s="584"/>
      <c r="D29" s="584"/>
      <c r="E29" s="584"/>
      <c r="F29" s="584"/>
      <c r="G29" s="584"/>
      <c r="H29" s="584"/>
      <c r="I29" s="584"/>
      <c r="J29" s="584"/>
      <c r="K29" s="584"/>
      <c r="L29" s="584"/>
      <c r="M29" s="584"/>
      <c r="N29" s="584"/>
      <c r="O29" s="584"/>
      <c r="P29" s="584"/>
      <c r="Q29" s="584"/>
      <c r="R29" s="584"/>
      <c r="S29" s="584"/>
      <c r="T29" s="584"/>
      <c r="U29" s="584"/>
      <c r="V29" s="584"/>
      <c r="W29" s="584"/>
      <c r="X29" s="584"/>
      <c r="Y29" s="584"/>
      <c r="Z29" s="584"/>
    </row>
    <row r="30" spans="1:26" x14ac:dyDescent="0.15">
      <c r="A30" s="2" t="s">
        <v>1084</v>
      </c>
      <c r="B30" s="584"/>
      <c r="C30" s="584"/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  <c r="V30" s="584"/>
      <c r="W30" s="584"/>
      <c r="X30" s="584"/>
      <c r="Y30" s="584"/>
      <c r="Z30" s="584"/>
    </row>
    <row r="31" spans="1:26" x14ac:dyDescent="0.15">
      <c r="A31" s="2" t="s">
        <v>1085</v>
      </c>
      <c r="B31" s="584"/>
      <c r="C31" s="584"/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584"/>
      <c r="T31" s="584"/>
      <c r="U31" s="584"/>
      <c r="V31" s="584"/>
      <c r="W31" s="584"/>
      <c r="X31" s="584"/>
      <c r="Y31" s="584"/>
      <c r="Z31" s="584"/>
    </row>
    <row r="32" spans="1:26" x14ac:dyDescent="0.15">
      <c r="A32" s="2" t="s">
        <v>1086</v>
      </c>
      <c r="B32" s="584"/>
      <c r="C32" s="584"/>
      <c r="D32" s="584"/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584"/>
      <c r="T32" s="584"/>
      <c r="U32" s="584"/>
      <c r="V32" s="584"/>
      <c r="W32" s="584"/>
      <c r="X32" s="584"/>
      <c r="Y32" s="584"/>
      <c r="Z32" s="584"/>
    </row>
    <row r="33" spans="1:26" x14ac:dyDescent="0.15">
      <c r="A33" s="2" t="s">
        <v>1087</v>
      </c>
      <c r="B33" s="584"/>
      <c r="C33" s="584"/>
      <c r="D33" s="584"/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584"/>
      <c r="U33" s="584"/>
      <c r="V33" s="584"/>
      <c r="W33" s="584"/>
      <c r="X33" s="584"/>
      <c r="Y33" s="584"/>
      <c r="Z33" s="584"/>
    </row>
    <row r="34" spans="1:26" x14ac:dyDescent="0.15">
      <c r="A34" s="2" t="s">
        <v>1088</v>
      </c>
      <c r="B34" s="584"/>
      <c r="C34" s="584"/>
      <c r="D34" s="584"/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584"/>
      <c r="T34" s="584"/>
      <c r="U34" s="584"/>
      <c r="V34" s="584"/>
      <c r="W34" s="584"/>
      <c r="X34" s="584"/>
      <c r="Y34" s="584"/>
      <c r="Z34" s="584"/>
    </row>
    <row r="35" spans="1:26" x14ac:dyDescent="0.15">
      <c r="A35" s="2" t="s">
        <v>1089</v>
      </c>
      <c r="B35" s="584"/>
      <c r="C35" s="584"/>
      <c r="D35" s="584"/>
      <c r="E35" s="584"/>
      <c r="F35" s="584"/>
      <c r="G35" s="584"/>
      <c r="H35" s="584"/>
      <c r="I35" s="584"/>
      <c r="J35" s="584"/>
      <c r="K35" s="584"/>
      <c r="L35" s="584"/>
      <c r="M35" s="584"/>
      <c r="N35" s="584"/>
      <c r="O35" s="584"/>
      <c r="P35" s="584"/>
      <c r="Q35" s="584"/>
      <c r="R35" s="584"/>
      <c r="S35" s="584"/>
      <c r="T35" s="584"/>
      <c r="U35" s="584"/>
      <c r="V35" s="584"/>
      <c r="W35" s="584"/>
      <c r="X35" s="584"/>
      <c r="Y35" s="584"/>
      <c r="Z35" s="584"/>
    </row>
    <row r="36" spans="1:26" x14ac:dyDescent="0.15">
      <c r="A36" s="2" t="s">
        <v>1090</v>
      </c>
      <c r="B36" s="584"/>
      <c r="C36" s="584"/>
      <c r="D36" s="584"/>
      <c r="E36" s="584"/>
      <c r="F36" s="584"/>
      <c r="G36" s="584"/>
      <c r="H36" s="584"/>
      <c r="I36" s="584"/>
      <c r="J36" s="584"/>
      <c r="K36" s="584"/>
      <c r="L36" s="584"/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4"/>
      <c r="X36" s="584"/>
      <c r="Y36" s="584"/>
      <c r="Z36" s="584"/>
    </row>
    <row r="37" spans="1:26" x14ac:dyDescent="0.15">
      <c r="A37" s="2" t="s">
        <v>1091</v>
      </c>
      <c r="B37" s="584"/>
      <c r="C37" s="584"/>
      <c r="D37" s="584"/>
      <c r="E37" s="584"/>
      <c r="F37" s="584"/>
      <c r="G37" s="584"/>
      <c r="H37" s="584"/>
      <c r="I37" s="584"/>
      <c r="J37" s="584"/>
      <c r="K37" s="584"/>
      <c r="L37" s="584"/>
      <c r="M37" s="584"/>
      <c r="N37" s="584"/>
      <c r="O37" s="584"/>
      <c r="P37" s="584"/>
      <c r="Q37" s="584"/>
      <c r="R37" s="584"/>
      <c r="S37" s="584"/>
      <c r="T37" s="584"/>
      <c r="U37" s="584"/>
      <c r="V37" s="584"/>
      <c r="W37" s="584"/>
      <c r="X37" s="584"/>
      <c r="Y37" s="584"/>
      <c r="Z37" s="584"/>
    </row>
    <row r="38" spans="1:26" x14ac:dyDescent="0.15">
      <c r="A38" s="2" t="s">
        <v>1092</v>
      </c>
      <c r="B38" s="584"/>
      <c r="C38" s="584"/>
      <c r="D38" s="584"/>
      <c r="E38" s="584"/>
      <c r="F38" s="584"/>
      <c r="G38" s="584"/>
      <c r="H38" s="584"/>
      <c r="I38" s="584"/>
      <c r="J38" s="584"/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4"/>
      <c r="X38" s="584"/>
      <c r="Y38" s="584"/>
      <c r="Z38" s="584"/>
    </row>
    <row r="39" spans="1:26" x14ac:dyDescent="0.15">
      <c r="A39" s="2" t="s">
        <v>1093</v>
      </c>
      <c r="B39" s="584"/>
      <c r="C39" s="584"/>
      <c r="D39" s="584"/>
      <c r="E39" s="584"/>
      <c r="F39" s="584"/>
      <c r="G39" s="584"/>
      <c r="H39" s="584"/>
      <c r="I39" s="584"/>
      <c r="J39" s="584"/>
      <c r="K39" s="584"/>
      <c r="L39" s="584"/>
      <c r="M39" s="584"/>
      <c r="N39" s="584"/>
      <c r="O39" s="584"/>
      <c r="P39" s="584"/>
      <c r="Q39" s="584"/>
      <c r="R39" s="584"/>
      <c r="S39" s="584"/>
      <c r="T39" s="584"/>
      <c r="U39" s="584"/>
      <c r="V39" s="584"/>
      <c r="W39" s="584"/>
      <c r="X39" s="584"/>
      <c r="Y39" s="584"/>
      <c r="Z39" s="584"/>
    </row>
    <row r="40" spans="1:26" x14ac:dyDescent="0.15">
      <c r="A40" s="2" t="s">
        <v>1094</v>
      </c>
      <c r="B40" s="584"/>
      <c r="C40" s="584"/>
      <c r="D40" s="584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4"/>
      <c r="X40" s="584"/>
      <c r="Y40" s="584"/>
      <c r="Z40" s="584"/>
    </row>
    <row r="42" spans="1:26" x14ac:dyDescent="0.15">
      <c r="A42" s="2" t="s">
        <v>1095</v>
      </c>
    </row>
    <row r="43" spans="1:26" x14ac:dyDescent="0.15">
      <c r="A43"/>
    </row>
    <row r="44" spans="1:26" ht="18" x14ac:dyDescent="0.2">
      <c r="A44" s="585" t="str">
        <f ca="1">_xlfn.CONCAT("Käytettävä kaavaa, joka hakee arvot taulukosta: ",'Kirjasto (kaupungit)'!B1)</f>
        <v>Käytettävä kaavaa, joka hakee arvot taulukosta: Kirjasto (kaupungit)</v>
      </c>
    </row>
  </sheetData>
  <sheetProtection algorithmName="SHA-512" hashValue="B1fOQHP2Y+fknw4R2t3q/fSv1SInHpR58p861CJcqtTj71hNhmaEpVkqMxb3CQKe7aLpFrrcImGafuq8zvc8EA==" saltValue="61dckCyYjXfBuHcHQc06xQ==" spinCount="100000" sheet="1" objects="1" scenarios="1"/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DC3D2-8DC7-4AFF-8DE3-FEAD72CE6B18}">
  <dimension ref="A1:AO984"/>
  <sheetViews>
    <sheetView workbookViewId="0">
      <selection activeCell="K13" sqref="K13"/>
    </sheetView>
  </sheetViews>
  <sheetFormatPr baseColWidth="10" defaultColWidth="8.83203125" defaultRowHeight="13" x14ac:dyDescent="0.15"/>
  <cols>
    <col min="2" max="2" width="15.33203125" bestFit="1" customWidth="1"/>
    <col min="3" max="41" width="12" customWidth="1"/>
  </cols>
  <sheetData>
    <row r="1" spans="1:41" x14ac:dyDescent="0.15">
      <c r="A1" s="2" t="str" cm="1">
        <f t="array" aca="1" ref="A1" ca="1">MID(CELL("filename",$A$1),FIND("]",CELL("filename",$A$1))+1,255)</f>
        <v>Syötä pysyvyyskäyrät</v>
      </c>
    </row>
    <row r="3" spans="1:41" s="561" customFormat="1" ht="28" x14ac:dyDescent="0.15">
      <c r="B3" s="558" cm="1">
        <f t="array" ref="B3:AO3">TRANSPOSE('Syötä kaupungit KIRJASTOLINKIT!'!$B$1:$B$40)</f>
        <v>0</v>
      </c>
      <c r="C3" s="562" t="str">
        <v>I (Vantaa)</v>
      </c>
      <c r="D3" s="562" t="str">
        <v>II (Jokioinen)</v>
      </c>
      <c r="E3" s="562" t="str">
        <v>III (Jyväskylä)</v>
      </c>
      <c r="F3" s="562" t="str">
        <v>IV (Sodankylä)</v>
      </c>
      <c r="G3" s="562">
        <v>0</v>
      </c>
      <c r="H3" s="562">
        <v>0</v>
      </c>
      <c r="I3" s="562">
        <v>0</v>
      </c>
      <c r="J3" s="562">
        <v>0</v>
      </c>
      <c r="K3" s="562">
        <v>0</v>
      </c>
      <c r="L3" s="562">
        <v>0</v>
      </c>
      <c r="M3" s="562">
        <v>0</v>
      </c>
      <c r="N3" s="562">
        <v>0</v>
      </c>
      <c r="O3" s="562">
        <v>0</v>
      </c>
      <c r="P3" s="562">
        <v>0</v>
      </c>
      <c r="Q3" s="562">
        <v>0</v>
      </c>
      <c r="R3" s="562">
        <v>0</v>
      </c>
      <c r="S3" s="562">
        <v>0</v>
      </c>
      <c r="T3" s="562">
        <v>0</v>
      </c>
      <c r="U3" s="562">
        <v>0</v>
      </c>
      <c r="V3" s="562">
        <v>0</v>
      </c>
      <c r="W3" s="562">
        <v>0</v>
      </c>
      <c r="X3" s="562">
        <v>0</v>
      </c>
      <c r="Y3" s="562">
        <v>0</v>
      </c>
      <c r="Z3" s="562">
        <v>0</v>
      </c>
      <c r="AA3" s="562">
        <v>0</v>
      </c>
      <c r="AB3" s="562">
        <v>0</v>
      </c>
      <c r="AC3" s="562">
        <v>0</v>
      </c>
      <c r="AD3" s="562">
        <v>0</v>
      </c>
      <c r="AE3" s="562">
        <v>0</v>
      </c>
      <c r="AF3" s="562">
        <v>0</v>
      </c>
      <c r="AG3" s="562">
        <v>0</v>
      </c>
      <c r="AH3" s="562">
        <v>0</v>
      </c>
      <c r="AI3" s="562">
        <v>0</v>
      </c>
      <c r="AJ3" s="562">
        <v>0</v>
      </c>
      <c r="AK3" s="562">
        <v>0</v>
      </c>
      <c r="AL3" s="562">
        <v>0</v>
      </c>
      <c r="AM3" s="562">
        <v>0</v>
      </c>
      <c r="AN3" s="562">
        <v>0</v>
      </c>
      <c r="AO3" s="562">
        <v>0</v>
      </c>
    </row>
    <row r="4" spans="1:41" x14ac:dyDescent="0.15">
      <c r="B4" s="563">
        <v>-40</v>
      </c>
      <c r="C4" s="564">
        <v>0</v>
      </c>
      <c r="D4" s="564">
        <v>0</v>
      </c>
      <c r="E4" s="564">
        <v>0</v>
      </c>
      <c r="F4" s="564">
        <v>0</v>
      </c>
      <c r="G4" s="564"/>
      <c r="H4" s="564"/>
      <c r="I4" s="564"/>
      <c r="J4" s="564"/>
      <c r="K4" s="564"/>
      <c r="L4" s="564"/>
      <c r="M4" s="564"/>
      <c r="N4" s="564"/>
      <c r="O4" s="564"/>
      <c r="P4" s="564"/>
      <c r="Q4" s="564"/>
      <c r="R4" s="564"/>
      <c r="S4" s="564"/>
      <c r="T4" s="564"/>
      <c r="U4" s="564"/>
      <c r="V4" s="564"/>
      <c r="W4" s="564"/>
      <c r="X4" s="564"/>
      <c r="Y4" s="564"/>
      <c r="Z4" s="564"/>
      <c r="AA4" s="564"/>
      <c r="AB4" s="564"/>
      <c r="AC4" s="564"/>
      <c r="AD4" s="564"/>
      <c r="AE4" s="564"/>
      <c r="AF4" s="564"/>
      <c r="AG4" s="564"/>
      <c r="AH4" s="564"/>
      <c r="AI4" s="564"/>
      <c r="AJ4" s="564"/>
      <c r="AK4" s="564"/>
      <c r="AL4" s="564"/>
      <c r="AM4" s="564"/>
      <c r="AN4" s="564"/>
      <c r="AO4" s="564"/>
    </row>
    <row r="5" spans="1:41" x14ac:dyDescent="0.15">
      <c r="B5" s="565">
        <v>-39</v>
      </c>
      <c r="C5" s="564">
        <v>0</v>
      </c>
      <c r="D5" s="564">
        <v>0</v>
      </c>
      <c r="E5" s="564">
        <v>0</v>
      </c>
      <c r="F5" s="564">
        <v>0</v>
      </c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4"/>
      <c r="AG5" s="564"/>
      <c r="AH5" s="564"/>
      <c r="AI5" s="564"/>
      <c r="AJ5" s="564"/>
      <c r="AK5" s="564"/>
      <c r="AL5" s="564"/>
      <c r="AM5" s="564"/>
      <c r="AN5" s="564"/>
      <c r="AO5" s="564"/>
    </row>
    <row r="6" spans="1:41" x14ac:dyDescent="0.15">
      <c r="B6" s="565">
        <v>-38</v>
      </c>
      <c r="C6" s="564">
        <v>0</v>
      </c>
      <c r="D6" s="564">
        <v>0</v>
      </c>
      <c r="E6" s="564">
        <v>0</v>
      </c>
      <c r="F6" s="564">
        <v>3.4246575342465754E-4</v>
      </c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4"/>
      <c r="AF6" s="564"/>
      <c r="AG6" s="564"/>
      <c r="AH6" s="564"/>
      <c r="AI6" s="564"/>
      <c r="AJ6" s="564"/>
      <c r="AK6" s="564"/>
      <c r="AL6" s="564"/>
      <c r="AM6" s="564"/>
      <c r="AN6" s="564"/>
      <c r="AO6" s="564"/>
    </row>
    <row r="7" spans="1:41" x14ac:dyDescent="0.15">
      <c r="B7" s="565">
        <v>-37</v>
      </c>
      <c r="C7" s="564">
        <v>0</v>
      </c>
      <c r="D7" s="564">
        <v>0</v>
      </c>
      <c r="E7" s="564">
        <v>0</v>
      </c>
      <c r="F7" s="564">
        <v>5.7077625570776253E-4</v>
      </c>
      <c r="G7" s="564"/>
      <c r="H7" s="564"/>
      <c r="I7" s="564"/>
      <c r="J7" s="564"/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  <c r="Y7" s="564"/>
      <c r="Z7" s="564"/>
      <c r="AA7" s="564"/>
      <c r="AB7" s="564"/>
      <c r="AC7" s="564"/>
      <c r="AD7" s="564"/>
      <c r="AE7" s="564"/>
      <c r="AF7" s="564"/>
      <c r="AG7" s="564"/>
      <c r="AH7" s="564"/>
      <c r="AI7" s="564"/>
      <c r="AJ7" s="564"/>
      <c r="AK7" s="564"/>
      <c r="AL7" s="564"/>
      <c r="AM7" s="564"/>
      <c r="AN7" s="564"/>
      <c r="AO7" s="564"/>
    </row>
    <row r="8" spans="1:41" x14ac:dyDescent="0.15">
      <c r="B8" s="565">
        <v>-36</v>
      </c>
      <c r="C8" s="564">
        <v>0</v>
      </c>
      <c r="D8" s="564">
        <v>0</v>
      </c>
      <c r="E8" s="564">
        <v>0</v>
      </c>
      <c r="F8" s="564">
        <v>1.1415525114155251E-3</v>
      </c>
      <c r="G8" s="564"/>
      <c r="H8" s="564"/>
      <c r="I8" s="564"/>
      <c r="J8" s="564"/>
      <c r="K8" s="564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  <c r="Y8" s="564"/>
      <c r="Z8" s="564"/>
      <c r="AA8" s="564"/>
      <c r="AB8" s="564"/>
      <c r="AC8" s="564"/>
      <c r="AD8" s="564"/>
      <c r="AE8" s="564"/>
      <c r="AF8" s="564"/>
      <c r="AG8" s="564"/>
      <c r="AH8" s="564"/>
      <c r="AI8" s="564"/>
      <c r="AJ8" s="564"/>
      <c r="AK8" s="564"/>
      <c r="AL8" s="564"/>
      <c r="AM8" s="564"/>
      <c r="AN8" s="564"/>
      <c r="AO8" s="564"/>
    </row>
    <row r="9" spans="1:41" x14ac:dyDescent="0.15">
      <c r="B9" s="565">
        <v>-35</v>
      </c>
      <c r="C9" s="564">
        <v>0</v>
      </c>
      <c r="D9" s="564">
        <v>0</v>
      </c>
      <c r="E9" s="564">
        <v>0</v>
      </c>
      <c r="F9" s="564">
        <v>1.8264840182648401E-3</v>
      </c>
      <c r="G9" s="564"/>
      <c r="H9" s="564"/>
      <c r="I9" s="564"/>
      <c r="J9" s="564"/>
      <c r="K9" s="564"/>
      <c r="L9" s="564"/>
      <c r="M9" s="564"/>
      <c r="N9" s="564"/>
      <c r="O9" s="564"/>
      <c r="P9" s="564"/>
      <c r="Q9" s="564"/>
      <c r="R9" s="564"/>
      <c r="S9" s="564"/>
      <c r="T9" s="564"/>
      <c r="U9" s="564"/>
      <c r="V9" s="564"/>
      <c r="W9" s="564"/>
      <c r="X9" s="564"/>
      <c r="Y9" s="564"/>
      <c r="Z9" s="564"/>
      <c r="AA9" s="564"/>
      <c r="AB9" s="564"/>
      <c r="AC9" s="564"/>
      <c r="AD9" s="564"/>
      <c r="AE9" s="564"/>
      <c r="AF9" s="564"/>
      <c r="AG9" s="564"/>
      <c r="AH9" s="564"/>
      <c r="AI9" s="564"/>
      <c r="AJ9" s="564"/>
      <c r="AK9" s="564"/>
      <c r="AL9" s="564"/>
      <c r="AM9" s="564"/>
      <c r="AN9" s="564"/>
      <c r="AO9" s="564"/>
    </row>
    <row r="10" spans="1:41" x14ac:dyDescent="0.15">
      <c r="B10" s="565">
        <v>-34</v>
      </c>
      <c r="C10" s="564">
        <v>0</v>
      </c>
      <c r="D10" s="564">
        <v>0</v>
      </c>
      <c r="E10" s="564">
        <v>0</v>
      </c>
      <c r="F10" s="564">
        <v>2.9680365296803654E-3</v>
      </c>
      <c r="G10" s="564"/>
      <c r="H10" s="564"/>
      <c r="I10" s="564"/>
      <c r="J10" s="564"/>
      <c r="K10" s="564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4"/>
      <c r="AI10" s="564"/>
      <c r="AJ10" s="564"/>
      <c r="AK10" s="564"/>
      <c r="AL10" s="564"/>
      <c r="AM10" s="564"/>
      <c r="AN10" s="564"/>
      <c r="AO10" s="564"/>
    </row>
    <row r="11" spans="1:41" x14ac:dyDescent="0.15">
      <c r="B11" s="565">
        <v>-33</v>
      </c>
      <c r="C11" s="564">
        <v>0</v>
      </c>
      <c r="D11" s="564">
        <v>0</v>
      </c>
      <c r="E11" s="564">
        <v>0</v>
      </c>
      <c r="F11" s="564">
        <v>4.10958904109589E-3</v>
      </c>
      <c r="G11" s="564"/>
      <c r="H11" s="564"/>
      <c r="I11" s="564"/>
      <c r="J11" s="564"/>
      <c r="K11" s="564"/>
      <c r="L11" s="564"/>
      <c r="M11" s="564"/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  <c r="Y11" s="564"/>
      <c r="Z11" s="564"/>
      <c r="AA11" s="564"/>
      <c r="AB11" s="564"/>
      <c r="AC11" s="564"/>
      <c r="AD11" s="564"/>
      <c r="AE11" s="564"/>
      <c r="AF11" s="564"/>
      <c r="AG11" s="564"/>
      <c r="AH11" s="564"/>
      <c r="AI11" s="564"/>
      <c r="AJ11" s="564"/>
      <c r="AK11" s="564"/>
      <c r="AL11" s="564"/>
      <c r="AM11" s="564"/>
      <c r="AN11" s="564"/>
      <c r="AO11" s="564"/>
    </row>
    <row r="12" spans="1:41" x14ac:dyDescent="0.15">
      <c r="B12" s="565">
        <v>-32</v>
      </c>
      <c r="C12" s="564">
        <v>0</v>
      </c>
      <c r="D12" s="564">
        <v>0</v>
      </c>
      <c r="E12" s="564">
        <v>0</v>
      </c>
      <c r="F12" s="564">
        <v>4.7945205479452057E-3</v>
      </c>
      <c r="G12" s="564"/>
      <c r="H12" s="564"/>
      <c r="I12" s="564"/>
      <c r="J12" s="564"/>
      <c r="K12" s="564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  <c r="Y12" s="564"/>
      <c r="Z12" s="564"/>
      <c r="AA12" s="564"/>
      <c r="AB12" s="564"/>
      <c r="AC12" s="564"/>
      <c r="AD12" s="564"/>
      <c r="AE12" s="564"/>
      <c r="AF12" s="564"/>
      <c r="AG12" s="564"/>
      <c r="AH12" s="564"/>
      <c r="AI12" s="564"/>
      <c r="AJ12" s="564"/>
      <c r="AK12" s="564"/>
      <c r="AL12" s="564"/>
      <c r="AM12" s="564"/>
      <c r="AN12" s="564"/>
      <c r="AO12" s="564"/>
    </row>
    <row r="13" spans="1:41" x14ac:dyDescent="0.15">
      <c r="B13" s="565">
        <v>-31</v>
      </c>
      <c r="C13" s="564">
        <v>0</v>
      </c>
      <c r="D13" s="564">
        <v>0</v>
      </c>
      <c r="E13" s="564">
        <v>2.2831050228310502E-4</v>
      </c>
      <c r="F13" s="564">
        <v>6.0502283105022831E-3</v>
      </c>
      <c r="G13" s="564"/>
      <c r="H13" s="564"/>
      <c r="I13" s="564"/>
      <c r="J13" s="564"/>
      <c r="K13" s="564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  <c r="Y13" s="564"/>
      <c r="Z13" s="564"/>
      <c r="AA13" s="564"/>
      <c r="AB13" s="564"/>
      <c r="AC13" s="564"/>
      <c r="AD13" s="564"/>
      <c r="AE13" s="564"/>
      <c r="AF13" s="564"/>
      <c r="AG13" s="564"/>
      <c r="AH13" s="564"/>
      <c r="AI13" s="564"/>
      <c r="AJ13" s="564"/>
      <c r="AK13" s="564"/>
      <c r="AL13" s="564"/>
      <c r="AM13" s="564"/>
      <c r="AN13" s="564"/>
      <c r="AO13" s="564"/>
    </row>
    <row r="14" spans="1:41" x14ac:dyDescent="0.15">
      <c r="B14" s="565">
        <v>-30</v>
      </c>
      <c r="C14" s="564">
        <v>0</v>
      </c>
      <c r="D14" s="564">
        <v>0</v>
      </c>
      <c r="E14" s="564">
        <v>3.4246575342465754E-4</v>
      </c>
      <c r="F14" s="564">
        <v>7.9908675799086754E-3</v>
      </c>
      <c r="G14" s="564"/>
      <c r="H14" s="564"/>
      <c r="I14" s="564"/>
      <c r="J14" s="564"/>
      <c r="K14" s="564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  <c r="Y14" s="564"/>
      <c r="Z14" s="564"/>
      <c r="AA14" s="564"/>
      <c r="AB14" s="564"/>
      <c r="AC14" s="564"/>
      <c r="AD14" s="564"/>
      <c r="AE14" s="564"/>
      <c r="AF14" s="564"/>
      <c r="AG14" s="564"/>
      <c r="AH14" s="564"/>
      <c r="AI14" s="564"/>
      <c r="AJ14" s="564"/>
      <c r="AK14" s="564"/>
      <c r="AL14" s="564"/>
      <c r="AM14" s="564"/>
      <c r="AN14" s="564"/>
      <c r="AO14" s="564"/>
    </row>
    <row r="15" spans="1:41" x14ac:dyDescent="0.15">
      <c r="B15" s="565">
        <v>-29</v>
      </c>
      <c r="C15" s="564">
        <v>0</v>
      </c>
      <c r="D15" s="564">
        <v>0</v>
      </c>
      <c r="E15" s="564">
        <v>4.5662100456621003E-4</v>
      </c>
      <c r="F15" s="564">
        <v>1.1187214611872146E-2</v>
      </c>
      <c r="G15" s="564"/>
      <c r="H15" s="564"/>
      <c r="I15" s="564"/>
      <c r="J15" s="564"/>
      <c r="K15" s="564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  <c r="Y15" s="564"/>
      <c r="Z15" s="564"/>
      <c r="AA15" s="564"/>
      <c r="AB15" s="564"/>
      <c r="AC15" s="564"/>
      <c r="AD15" s="564"/>
      <c r="AE15" s="564"/>
      <c r="AF15" s="564"/>
      <c r="AG15" s="564"/>
      <c r="AH15" s="564"/>
      <c r="AI15" s="564"/>
      <c r="AJ15" s="564"/>
      <c r="AK15" s="564"/>
      <c r="AL15" s="564"/>
      <c r="AM15" s="564"/>
      <c r="AN15" s="564"/>
      <c r="AO15" s="564"/>
    </row>
    <row r="16" spans="1:41" x14ac:dyDescent="0.15">
      <c r="B16" s="565">
        <v>-28</v>
      </c>
      <c r="C16" s="564">
        <v>0</v>
      </c>
      <c r="D16" s="564">
        <v>0</v>
      </c>
      <c r="E16" s="564">
        <v>9.1324200913242006E-4</v>
      </c>
      <c r="F16" s="564">
        <v>1.4726027397260274E-2</v>
      </c>
      <c r="G16" s="564"/>
      <c r="H16" s="564"/>
      <c r="I16" s="564"/>
      <c r="J16" s="564"/>
      <c r="K16" s="564"/>
      <c r="L16" s="564"/>
      <c r="M16" s="564"/>
      <c r="N16" s="564"/>
      <c r="O16" s="564"/>
      <c r="P16" s="564"/>
      <c r="Q16" s="564"/>
      <c r="R16" s="564"/>
      <c r="S16" s="564"/>
      <c r="T16" s="564"/>
      <c r="U16" s="564"/>
      <c r="V16" s="564"/>
      <c r="W16" s="564"/>
      <c r="X16" s="564"/>
      <c r="Y16" s="564"/>
      <c r="Z16" s="564"/>
      <c r="AA16" s="564"/>
      <c r="AB16" s="564"/>
      <c r="AC16" s="564"/>
      <c r="AD16" s="564"/>
      <c r="AE16" s="564"/>
      <c r="AF16" s="564"/>
      <c r="AG16" s="564"/>
      <c r="AH16" s="564"/>
      <c r="AI16" s="564"/>
      <c r="AJ16" s="564"/>
      <c r="AK16" s="564"/>
      <c r="AL16" s="564"/>
      <c r="AM16" s="564"/>
      <c r="AN16" s="564"/>
      <c r="AO16" s="564"/>
    </row>
    <row r="17" spans="2:41" x14ac:dyDescent="0.15">
      <c r="B17" s="565">
        <v>-27</v>
      </c>
      <c r="C17" s="564">
        <v>0</v>
      </c>
      <c r="D17" s="564">
        <v>0</v>
      </c>
      <c r="E17" s="564">
        <v>1.8264840182648401E-3</v>
      </c>
      <c r="F17" s="564">
        <v>1.906392694063927E-2</v>
      </c>
      <c r="G17" s="564"/>
      <c r="H17" s="564"/>
      <c r="I17" s="564"/>
      <c r="J17" s="564"/>
      <c r="K17" s="564"/>
      <c r="L17" s="564"/>
      <c r="M17" s="564"/>
      <c r="N17" s="564"/>
      <c r="O17" s="564"/>
      <c r="P17" s="564"/>
      <c r="Q17" s="564"/>
      <c r="R17" s="564"/>
      <c r="S17" s="564"/>
      <c r="T17" s="564"/>
      <c r="U17" s="564"/>
      <c r="V17" s="564"/>
      <c r="W17" s="564"/>
      <c r="X17" s="564"/>
      <c r="Y17" s="564"/>
      <c r="Z17" s="564"/>
      <c r="AA17" s="564"/>
      <c r="AB17" s="564"/>
      <c r="AC17" s="564"/>
      <c r="AD17" s="564"/>
      <c r="AE17" s="564"/>
      <c r="AF17" s="564"/>
      <c r="AG17" s="564"/>
      <c r="AH17" s="564"/>
      <c r="AI17" s="564"/>
      <c r="AJ17" s="564"/>
      <c r="AK17" s="564"/>
      <c r="AL17" s="564"/>
      <c r="AM17" s="564"/>
      <c r="AN17" s="564"/>
      <c r="AO17" s="564"/>
    </row>
    <row r="18" spans="2:41" x14ac:dyDescent="0.15">
      <c r="B18" s="565">
        <v>-26</v>
      </c>
      <c r="C18" s="564">
        <v>0</v>
      </c>
      <c r="D18" s="564">
        <v>3.4246575342465754E-4</v>
      </c>
      <c r="E18" s="564">
        <v>2.625570776255708E-3</v>
      </c>
      <c r="F18" s="564">
        <v>2.2488584474885845E-2</v>
      </c>
      <c r="G18" s="564"/>
      <c r="H18" s="564"/>
      <c r="I18" s="564"/>
      <c r="J18" s="564"/>
      <c r="K18" s="564"/>
      <c r="L18" s="564"/>
      <c r="M18" s="564"/>
      <c r="N18" s="564"/>
      <c r="O18" s="564"/>
      <c r="P18" s="564"/>
      <c r="Q18" s="564"/>
      <c r="R18" s="564"/>
      <c r="S18" s="564"/>
      <c r="T18" s="564"/>
      <c r="U18" s="564"/>
      <c r="V18" s="564"/>
      <c r="W18" s="564"/>
      <c r="X18" s="564"/>
      <c r="Y18" s="564"/>
      <c r="Z18" s="564"/>
      <c r="AA18" s="564"/>
      <c r="AB18" s="564"/>
      <c r="AC18" s="564"/>
      <c r="AD18" s="564"/>
      <c r="AE18" s="564"/>
      <c r="AF18" s="564"/>
      <c r="AG18" s="564"/>
      <c r="AH18" s="564"/>
      <c r="AI18" s="564"/>
      <c r="AJ18" s="564"/>
      <c r="AK18" s="564"/>
      <c r="AL18" s="564"/>
      <c r="AM18" s="564"/>
      <c r="AN18" s="564"/>
      <c r="AO18" s="564"/>
    </row>
    <row r="19" spans="2:41" x14ac:dyDescent="0.15">
      <c r="B19" s="565">
        <v>-25</v>
      </c>
      <c r="C19" s="564">
        <v>0</v>
      </c>
      <c r="D19" s="564">
        <v>9.1324200913242006E-4</v>
      </c>
      <c r="E19" s="564">
        <v>3.8812785388127853E-3</v>
      </c>
      <c r="F19" s="564">
        <v>2.7397260273972601E-2</v>
      </c>
      <c r="G19" s="564"/>
      <c r="H19" s="564"/>
      <c r="I19" s="564"/>
      <c r="J19" s="564"/>
      <c r="K19" s="564"/>
      <c r="L19" s="564"/>
      <c r="M19" s="564"/>
      <c r="N19" s="564"/>
      <c r="O19" s="564"/>
      <c r="P19" s="564"/>
      <c r="Q19" s="564"/>
      <c r="R19" s="564"/>
      <c r="S19" s="564"/>
      <c r="T19" s="564"/>
      <c r="U19" s="564"/>
      <c r="V19" s="564"/>
      <c r="W19" s="564"/>
      <c r="X19" s="564"/>
      <c r="Y19" s="564"/>
      <c r="Z19" s="564"/>
      <c r="AA19" s="564"/>
      <c r="AB19" s="564"/>
      <c r="AC19" s="564"/>
      <c r="AD19" s="564"/>
      <c r="AE19" s="564"/>
      <c r="AF19" s="564"/>
      <c r="AG19" s="564"/>
      <c r="AH19" s="564"/>
      <c r="AI19" s="564"/>
      <c r="AJ19" s="564"/>
      <c r="AK19" s="564"/>
      <c r="AL19" s="564"/>
      <c r="AM19" s="564"/>
      <c r="AN19" s="564"/>
      <c r="AO19" s="564"/>
    </row>
    <row r="20" spans="2:41" x14ac:dyDescent="0.15">
      <c r="B20" s="565">
        <v>-24</v>
      </c>
      <c r="C20" s="564">
        <v>1.1415525114155251E-4</v>
      </c>
      <c r="D20" s="564">
        <v>1.3698630136986301E-3</v>
      </c>
      <c r="E20" s="564">
        <v>5.8219178082191785E-3</v>
      </c>
      <c r="F20" s="564">
        <v>3.093607305936073E-2</v>
      </c>
      <c r="G20" s="564"/>
      <c r="H20" s="564"/>
      <c r="I20" s="564"/>
      <c r="J20" s="564"/>
      <c r="K20" s="564"/>
      <c r="L20" s="564"/>
      <c r="M20" s="564"/>
      <c r="N20" s="564"/>
      <c r="O20" s="564"/>
      <c r="P20" s="564"/>
      <c r="Q20" s="564"/>
      <c r="R20" s="564"/>
      <c r="S20" s="564"/>
      <c r="T20" s="564"/>
      <c r="U20" s="564"/>
      <c r="V20" s="564"/>
      <c r="W20" s="564"/>
      <c r="X20" s="564"/>
      <c r="Y20" s="564"/>
      <c r="Z20" s="564"/>
      <c r="AA20" s="564"/>
      <c r="AB20" s="564"/>
      <c r="AC20" s="564"/>
      <c r="AD20" s="564"/>
      <c r="AE20" s="564"/>
      <c r="AF20" s="564"/>
      <c r="AG20" s="564"/>
      <c r="AH20" s="564"/>
      <c r="AI20" s="564"/>
      <c r="AJ20" s="564"/>
      <c r="AK20" s="564"/>
      <c r="AL20" s="564"/>
      <c r="AM20" s="564"/>
      <c r="AN20" s="564"/>
      <c r="AO20" s="564"/>
    </row>
    <row r="21" spans="2:41" x14ac:dyDescent="0.15">
      <c r="B21" s="565">
        <v>-23</v>
      </c>
      <c r="C21" s="564">
        <v>3.4246575342465754E-4</v>
      </c>
      <c r="D21" s="564">
        <v>2.3972602739726029E-3</v>
      </c>
      <c r="E21" s="564">
        <v>7.3059360730593605E-3</v>
      </c>
      <c r="F21" s="564">
        <v>3.4018264840182645E-2</v>
      </c>
      <c r="G21" s="564"/>
      <c r="H21" s="564"/>
      <c r="I21" s="564"/>
      <c r="J21" s="564"/>
      <c r="K21" s="564"/>
      <c r="L21" s="564"/>
      <c r="M21" s="564"/>
      <c r="N21" s="564"/>
      <c r="O21" s="564"/>
      <c r="P21" s="564"/>
      <c r="Q21" s="564"/>
      <c r="R21" s="564"/>
      <c r="S21" s="564"/>
      <c r="T21" s="564"/>
      <c r="U21" s="564"/>
      <c r="V21" s="564"/>
      <c r="W21" s="564"/>
      <c r="X21" s="564"/>
      <c r="Y21" s="564"/>
      <c r="Z21" s="564"/>
      <c r="AA21" s="564"/>
      <c r="AB21" s="564"/>
      <c r="AC21" s="564"/>
      <c r="AD21" s="564"/>
      <c r="AE21" s="564"/>
      <c r="AF21" s="564"/>
      <c r="AG21" s="564"/>
      <c r="AH21" s="564"/>
      <c r="AI21" s="564"/>
      <c r="AJ21" s="564"/>
      <c r="AK21" s="564"/>
      <c r="AL21" s="564"/>
      <c r="AM21" s="564"/>
      <c r="AN21" s="564"/>
      <c r="AO21" s="564"/>
    </row>
    <row r="22" spans="2:41" x14ac:dyDescent="0.15">
      <c r="B22" s="565">
        <v>-22</v>
      </c>
      <c r="C22" s="564">
        <v>5.7077625570776253E-4</v>
      </c>
      <c r="D22" s="564">
        <v>2.9680365296803654E-3</v>
      </c>
      <c r="E22" s="564">
        <v>8.3333333333333332E-3</v>
      </c>
      <c r="F22" s="564">
        <v>4.1095890410958902E-2</v>
      </c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  <c r="Y22" s="564"/>
      <c r="Z22" s="564"/>
      <c r="AA22" s="564"/>
      <c r="AB22" s="564"/>
      <c r="AC22" s="564"/>
      <c r="AD22" s="564"/>
      <c r="AE22" s="564"/>
      <c r="AF22" s="564"/>
      <c r="AG22" s="564"/>
      <c r="AH22" s="564"/>
      <c r="AI22" s="564"/>
      <c r="AJ22" s="564"/>
      <c r="AK22" s="564"/>
      <c r="AL22" s="564"/>
      <c r="AM22" s="564"/>
      <c r="AN22" s="564"/>
      <c r="AO22" s="564"/>
    </row>
    <row r="23" spans="2:41" x14ac:dyDescent="0.15">
      <c r="B23" s="565">
        <v>-21</v>
      </c>
      <c r="C23" s="564">
        <v>1.1415525114155251E-3</v>
      </c>
      <c r="D23" s="564">
        <v>4.5662100456621002E-3</v>
      </c>
      <c r="E23" s="564">
        <v>1.0616438356164383E-2</v>
      </c>
      <c r="F23" s="564">
        <v>4.8059360730593609E-2</v>
      </c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</row>
    <row r="24" spans="2:41" x14ac:dyDescent="0.15">
      <c r="B24" s="565">
        <v>-20</v>
      </c>
      <c r="C24" s="564">
        <v>2.8538812785388126E-3</v>
      </c>
      <c r="D24" s="564">
        <v>5.8219178082191785E-3</v>
      </c>
      <c r="E24" s="564">
        <v>1.2671232876712329E-2</v>
      </c>
      <c r="F24" s="564">
        <v>5.5251141552511415E-2</v>
      </c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  <c r="Y24" s="564"/>
      <c r="Z24" s="564"/>
      <c r="AA24" s="564"/>
      <c r="AB24" s="564"/>
      <c r="AC24" s="564"/>
      <c r="AD24" s="564"/>
      <c r="AE24" s="564"/>
      <c r="AF24" s="564"/>
      <c r="AG24" s="564"/>
      <c r="AH24" s="564"/>
      <c r="AI24" s="564"/>
      <c r="AJ24" s="564"/>
      <c r="AK24" s="564"/>
      <c r="AL24" s="564"/>
      <c r="AM24" s="564"/>
      <c r="AN24" s="564"/>
      <c r="AO24" s="564"/>
    </row>
    <row r="25" spans="2:41" x14ac:dyDescent="0.15">
      <c r="B25" s="565">
        <v>-19</v>
      </c>
      <c r="C25" s="564">
        <v>5.3652968036529683E-3</v>
      </c>
      <c r="D25" s="564">
        <v>7.7625570776255707E-3</v>
      </c>
      <c r="E25" s="564">
        <v>1.6552511415525113E-2</v>
      </c>
      <c r="F25" s="564">
        <v>6.2557077625570778E-2</v>
      </c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  <c r="AA25" s="564"/>
      <c r="AB25" s="564"/>
      <c r="AC25" s="564"/>
      <c r="AD25" s="564"/>
      <c r="AE25" s="564"/>
      <c r="AF25" s="564"/>
      <c r="AG25" s="564"/>
      <c r="AH25" s="564"/>
      <c r="AI25" s="564"/>
      <c r="AJ25" s="564"/>
      <c r="AK25" s="564"/>
      <c r="AL25" s="564"/>
      <c r="AM25" s="564"/>
      <c r="AN25" s="564"/>
      <c r="AO25" s="564"/>
    </row>
    <row r="26" spans="2:41" x14ac:dyDescent="0.15">
      <c r="B26" s="565">
        <v>-18</v>
      </c>
      <c r="C26" s="564">
        <v>7.0776255707762558E-3</v>
      </c>
      <c r="D26" s="564">
        <v>1.0045662100456621E-2</v>
      </c>
      <c r="E26" s="564">
        <v>1.8949771689497717E-2</v>
      </c>
      <c r="F26" s="564">
        <v>6.803652968036529E-2</v>
      </c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  <c r="Y26" s="564"/>
      <c r="Z26" s="564"/>
      <c r="AA26" s="564"/>
      <c r="AB26" s="564"/>
      <c r="AC26" s="564"/>
      <c r="AD26" s="564"/>
      <c r="AE26" s="564"/>
      <c r="AF26" s="564"/>
      <c r="AG26" s="564"/>
      <c r="AH26" s="564"/>
      <c r="AI26" s="564"/>
      <c r="AJ26" s="564"/>
      <c r="AK26" s="564"/>
      <c r="AL26" s="564"/>
      <c r="AM26" s="564"/>
      <c r="AN26" s="564"/>
      <c r="AO26" s="564"/>
    </row>
    <row r="27" spans="2:41" x14ac:dyDescent="0.15">
      <c r="B27" s="565">
        <v>-17</v>
      </c>
      <c r="C27" s="564">
        <v>9.2465753424657536E-3</v>
      </c>
      <c r="D27" s="564">
        <v>1.3127853881278538E-2</v>
      </c>
      <c r="E27" s="564">
        <v>2.3287671232876714E-2</v>
      </c>
      <c r="F27" s="564">
        <v>7.4543378995433784E-2</v>
      </c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  <c r="Y27" s="564"/>
      <c r="Z27" s="564"/>
      <c r="AA27" s="564"/>
      <c r="AB27" s="564"/>
      <c r="AC27" s="564"/>
      <c r="AD27" s="564"/>
      <c r="AE27" s="564"/>
      <c r="AF27" s="564"/>
      <c r="AG27" s="564"/>
      <c r="AH27" s="564"/>
      <c r="AI27" s="564"/>
      <c r="AJ27" s="564"/>
      <c r="AK27" s="564"/>
      <c r="AL27" s="564"/>
      <c r="AM27" s="564"/>
      <c r="AN27" s="564"/>
      <c r="AO27" s="564"/>
    </row>
    <row r="28" spans="2:41" x14ac:dyDescent="0.15">
      <c r="B28" s="565">
        <v>-16</v>
      </c>
      <c r="C28" s="564">
        <v>1.1872146118721462E-2</v>
      </c>
      <c r="D28" s="564">
        <v>1.8264840182648401E-2</v>
      </c>
      <c r="E28" s="564">
        <v>2.8538812785388126E-2</v>
      </c>
      <c r="F28" s="564">
        <v>8.1621004566210048E-2</v>
      </c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564"/>
      <c r="AA28" s="564"/>
      <c r="AB28" s="564"/>
      <c r="AC28" s="564"/>
      <c r="AD28" s="564"/>
      <c r="AE28" s="564"/>
      <c r="AF28" s="564"/>
      <c r="AG28" s="564"/>
      <c r="AH28" s="564"/>
      <c r="AI28" s="564"/>
      <c r="AJ28" s="564"/>
      <c r="AK28" s="564"/>
      <c r="AL28" s="564"/>
      <c r="AM28" s="564"/>
      <c r="AN28" s="564"/>
      <c r="AO28" s="564"/>
    </row>
    <row r="29" spans="2:41" x14ac:dyDescent="0.15">
      <c r="B29" s="565">
        <v>-15</v>
      </c>
      <c r="C29" s="564">
        <v>1.632420091324201E-2</v>
      </c>
      <c r="D29" s="564">
        <v>2.3287671232876714E-2</v>
      </c>
      <c r="E29" s="564">
        <v>3.5844748858447489E-2</v>
      </c>
      <c r="F29" s="564">
        <v>9.0981735159817348E-2</v>
      </c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  <c r="AA29" s="564"/>
      <c r="AB29" s="564"/>
      <c r="AC29" s="564"/>
      <c r="AD29" s="564"/>
      <c r="AE29" s="564"/>
      <c r="AF29" s="564"/>
      <c r="AG29" s="564"/>
      <c r="AH29" s="564"/>
      <c r="AI29" s="564"/>
      <c r="AJ29" s="564"/>
      <c r="AK29" s="564"/>
      <c r="AL29" s="564"/>
      <c r="AM29" s="564"/>
      <c r="AN29" s="564"/>
      <c r="AO29" s="564"/>
    </row>
    <row r="30" spans="2:41" x14ac:dyDescent="0.15">
      <c r="B30" s="565">
        <v>-14</v>
      </c>
      <c r="C30" s="564">
        <v>2.1917808219178082E-2</v>
      </c>
      <c r="D30" s="564">
        <v>2.9794520547945205E-2</v>
      </c>
      <c r="E30" s="564">
        <v>4.3493150684931509E-2</v>
      </c>
      <c r="F30" s="564">
        <v>0.10422374429223745</v>
      </c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  <c r="AA30" s="564"/>
      <c r="AB30" s="564"/>
      <c r="AC30" s="564"/>
      <c r="AD30" s="564"/>
      <c r="AE30" s="564"/>
      <c r="AF30" s="564"/>
      <c r="AG30" s="564"/>
      <c r="AH30" s="564"/>
      <c r="AI30" s="564"/>
      <c r="AJ30" s="564"/>
      <c r="AK30" s="564"/>
      <c r="AL30" s="564"/>
      <c r="AM30" s="564"/>
      <c r="AN30" s="564"/>
      <c r="AO30" s="564"/>
    </row>
    <row r="31" spans="2:41" x14ac:dyDescent="0.15">
      <c r="B31" s="565">
        <v>-13</v>
      </c>
      <c r="C31" s="564">
        <v>2.8652968036529679E-2</v>
      </c>
      <c r="D31" s="564">
        <v>3.6529680365296802E-2</v>
      </c>
      <c r="E31" s="564">
        <v>5.1598173515981734E-2</v>
      </c>
      <c r="F31" s="564">
        <v>0.11746575342465754</v>
      </c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  <c r="AA31" s="564"/>
      <c r="AB31" s="564"/>
      <c r="AC31" s="564"/>
      <c r="AD31" s="564"/>
      <c r="AE31" s="564"/>
      <c r="AF31" s="564"/>
      <c r="AG31" s="564"/>
      <c r="AH31" s="564"/>
      <c r="AI31" s="564"/>
      <c r="AJ31" s="564"/>
      <c r="AK31" s="564"/>
      <c r="AL31" s="564"/>
      <c r="AM31" s="564"/>
      <c r="AN31" s="564"/>
      <c r="AO31" s="564"/>
    </row>
    <row r="32" spans="2:41" x14ac:dyDescent="0.15">
      <c r="B32" s="565">
        <v>-12</v>
      </c>
      <c r="C32" s="564">
        <v>3.4589041095890408E-2</v>
      </c>
      <c r="D32" s="564">
        <v>4.1324200913242008E-2</v>
      </c>
      <c r="E32" s="564">
        <v>6.095890410958904E-2</v>
      </c>
      <c r="F32" s="564">
        <v>0.13344748858447489</v>
      </c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  <c r="Y32" s="564"/>
      <c r="Z32" s="564"/>
      <c r="AA32" s="564"/>
      <c r="AB32" s="564"/>
      <c r="AC32" s="564"/>
      <c r="AD32" s="564"/>
      <c r="AE32" s="564"/>
      <c r="AF32" s="564"/>
      <c r="AG32" s="564"/>
      <c r="AH32" s="564"/>
      <c r="AI32" s="564"/>
      <c r="AJ32" s="564"/>
      <c r="AK32" s="564"/>
      <c r="AL32" s="564"/>
      <c r="AM32" s="564"/>
      <c r="AN32" s="564"/>
      <c r="AO32" s="564"/>
    </row>
    <row r="33" spans="2:41" x14ac:dyDescent="0.15">
      <c r="B33" s="565">
        <v>-11</v>
      </c>
      <c r="C33" s="564">
        <v>4.0639269406392696E-2</v>
      </c>
      <c r="D33" s="564">
        <v>4.8401826484018265E-2</v>
      </c>
      <c r="E33" s="564">
        <v>7.1575342465753422E-2</v>
      </c>
      <c r="F33" s="564">
        <v>0.15136986301369862</v>
      </c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  <c r="Y33" s="564"/>
      <c r="Z33" s="564"/>
      <c r="AA33" s="564"/>
      <c r="AB33" s="564"/>
      <c r="AC33" s="564"/>
      <c r="AD33" s="564"/>
      <c r="AE33" s="564"/>
      <c r="AF33" s="564"/>
      <c r="AG33" s="564"/>
      <c r="AH33" s="564"/>
      <c r="AI33" s="564"/>
      <c r="AJ33" s="564"/>
      <c r="AK33" s="564"/>
      <c r="AL33" s="564"/>
      <c r="AM33" s="564"/>
      <c r="AN33" s="564"/>
      <c r="AO33" s="564"/>
    </row>
    <row r="34" spans="2:41" x14ac:dyDescent="0.15">
      <c r="B34" s="565">
        <v>-10</v>
      </c>
      <c r="C34" s="564">
        <v>4.6575342465753428E-2</v>
      </c>
      <c r="D34" s="564">
        <v>5.6963470319634703E-2</v>
      </c>
      <c r="E34" s="564">
        <v>8.3105022831050229E-2</v>
      </c>
      <c r="F34" s="564">
        <v>0.16860730593607307</v>
      </c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  <c r="Y34" s="564"/>
      <c r="Z34" s="564"/>
      <c r="AA34" s="564"/>
      <c r="AB34" s="564"/>
      <c r="AC34" s="564"/>
      <c r="AD34" s="564"/>
      <c r="AE34" s="564"/>
      <c r="AF34" s="564"/>
      <c r="AG34" s="564"/>
      <c r="AH34" s="564"/>
      <c r="AI34" s="564"/>
      <c r="AJ34" s="564"/>
      <c r="AK34" s="564"/>
      <c r="AL34" s="564"/>
      <c r="AM34" s="564"/>
      <c r="AN34" s="564"/>
      <c r="AO34" s="564"/>
    </row>
    <row r="35" spans="2:41" x14ac:dyDescent="0.15">
      <c r="B35" s="565">
        <v>-9</v>
      </c>
      <c r="C35" s="564">
        <v>5.4680365296803653E-2</v>
      </c>
      <c r="D35" s="564">
        <v>6.7351598173515978E-2</v>
      </c>
      <c r="E35" s="564">
        <v>9.7945205479452055E-2</v>
      </c>
      <c r="F35" s="564">
        <v>0.18630136986301371</v>
      </c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  <c r="Y35" s="564"/>
      <c r="Z35" s="564"/>
      <c r="AA35" s="564"/>
      <c r="AB35" s="564"/>
      <c r="AC35" s="564"/>
      <c r="AD35" s="564"/>
      <c r="AE35" s="564"/>
      <c r="AF35" s="564"/>
      <c r="AG35" s="564"/>
      <c r="AH35" s="564"/>
      <c r="AI35" s="564"/>
      <c r="AJ35" s="564"/>
      <c r="AK35" s="564"/>
      <c r="AL35" s="564"/>
      <c r="AM35" s="564"/>
      <c r="AN35" s="564"/>
      <c r="AO35" s="564"/>
    </row>
    <row r="36" spans="2:41" x14ac:dyDescent="0.15">
      <c r="B36" s="565">
        <v>-8</v>
      </c>
      <c r="C36" s="564">
        <v>6.3356164383561647E-2</v>
      </c>
      <c r="D36" s="564">
        <v>7.6255707762557079E-2</v>
      </c>
      <c r="E36" s="564">
        <v>0.11666666666666667</v>
      </c>
      <c r="F36" s="564">
        <v>0.20091324200913241</v>
      </c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  <c r="Y36" s="564"/>
      <c r="Z36" s="564"/>
      <c r="AA36" s="564"/>
      <c r="AB36" s="564"/>
      <c r="AC36" s="564"/>
      <c r="AD36" s="564"/>
      <c r="AE36" s="564"/>
      <c r="AF36" s="564"/>
      <c r="AG36" s="564"/>
      <c r="AH36" s="564"/>
      <c r="AI36" s="564"/>
      <c r="AJ36" s="564"/>
      <c r="AK36" s="564"/>
      <c r="AL36" s="564"/>
      <c r="AM36" s="564"/>
      <c r="AN36" s="564"/>
      <c r="AO36" s="564"/>
    </row>
    <row r="37" spans="2:41" x14ac:dyDescent="0.15">
      <c r="B37" s="565">
        <v>-7</v>
      </c>
      <c r="C37" s="564">
        <v>7.4999999999999997E-2</v>
      </c>
      <c r="D37" s="564">
        <v>8.7785388127853886E-2</v>
      </c>
      <c r="E37" s="564">
        <v>0.13698630136986301</v>
      </c>
      <c r="F37" s="564">
        <v>0.22237442922374429</v>
      </c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  <c r="Y37" s="564"/>
      <c r="Z37" s="564"/>
      <c r="AA37" s="564"/>
      <c r="AB37" s="564"/>
      <c r="AC37" s="564"/>
      <c r="AD37" s="564"/>
      <c r="AE37" s="564"/>
      <c r="AF37" s="564"/>
      <c r="AG37" s="564"/>
      <c r="AH37" s="564"/>
      <c r="AI37" s="564"/>
      <c r="AJ37" s="564"/>
      <c r="AK37" s="564"/>
      <c r="AL37" s="564"/>
      <c r="AM37" s="564"/>
      <c r="AN37" s="564"/>
      <c r="AO37" s="564"/>
    </row>
    <row r="38" spans="2:41" x14ac:dyDescent="0.15">
      <c r="B38" s="565">
        <v>-6</v>
      </c>
      <c r="C38" s="564">
        <v>8.8470319634703198E-2</v>
      </c>
      <c r="D38" s="564">
        <v>0.1021689497716895</v>
      </c>
      <c r="E38" s="564">
        <v>0.16095890410958905</v>
      </c>
      <c r="F38" s="564">
        <v>0.24121004566210047</v>
      </c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564"/>
      <c r="Y38" s="564"/>
      <c r="Z38" s="564"/>
      <c r="AA38" s="564"/>
      <c r="AB38" s="564"/>
      <c r="AC38" s="564"/>
      <c r="AD38" s="564"/>
      <c r="AE38" s="564"/>
      <c r="AF38" s="564"/>
      <c r="AG38" s="564"/>
      <c r="AH38" s="564"/>
      <c r="AI38" s="564"/>
      <c r="AJ38" s="564"/>
      <c r="AK38" s="564"/>
      <c r="AL38" s="564"/>
      <c r="AM38" s="564"/>
      <c r="AN38" s="564"/>
      <c r="AO38" s="564"/>
    </row>
    <row r="39" spans="2:41" x14ac:dyDescent="0.15">
      <c r="B39" s="565">
        <v>-5</v>
      </c>
      <c r="C39" s="564">
        <v>0.10547945205479452</v>
      </c>
      <c r="D39" s="564">
        <v>0.12317351598173516</v>
      </c>
      <c r="E39" s="564">
        <v>0.18801369863013698</v>
      </c>
      <c r="F39" s="564">
        <v>0.27180365296803655</v>
      </c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  <c r="U39" s="564"/>
      <c r="V39" s="564"/>
      <c r="W39" s="564"/>
      <c r="X39" s="564"/>
      <c r="Y39" s="564"/>
      <c r="Z39" s="564"/>
      <c r="AA39" s="564"/>
      <c r="AB39" s="564"/>
      <c r="AC39" s="564"/>
      <c r="AD39" s="564"/>
      <c r="AE39" s="564"/>
      <c r="AF39" s="564"/>
      <c r="AG39" s="564"/>
      <c r="AH39" s="564"/>
      <c r="AI39" s="564"/>
      <c r="AJ39" s="564"/>
      <c r="AK39" s="564"/>
      <c r="AL39" s="564"/>
      <c r="AM39" s="564"/>
      <c r="AN39" s="564"/>
      <c r="AO39" s="564"/>
    </row>
    <row r="40" spans="2:41" x14ac:dyDescent="0.15">
      <c r="B40" s="565">
        <v>-4</v>
      </c>
      <c r="C40" s="564">
        <v>0.12888127853881279</v>
      </c>
      <c r="D40" s="564">
        <v>0.14452054794520547</v>
      </c>
      <c r="E40" s="564">
        <v>0.2139269406392694</v>
      </c>
      <c r="F40" s="564">
        <v>0.3065068493150685</v>
      </c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  <c r="Y40" s="564"/>
      <c r="Z40" s="564"/>
      <c r="AA40" s="564"/>
      <c r="AB40" s="564"/>
      <c r="AC40" s="564"/>
      <c r="AD40" s="564"/>
      <c r="AE40" s="564"/>
      <c r="AF40" s="564"/>
      <c r="AG40" s="564"/>
      <c r="AH40" s="564"/>
      <c r="AI40" s="564"/>
      <c r="AJ40" s="564"/>
      <c r="AK40" s="564"/>
      <c r="AL40" s="564"/>
      <c r="AM40" s="564"/>
      <c r="AN40" s="564"/>
      <c r="AO40" s="564"/>
    </row>
    <row r="41" spans="2:41" x14ac:dyDescent="0.15">
      <c r="B41" s="565">
        <v>-3</v>
      </c>
      <c r="C41" s="564">
        <v>0.15570776255707763</v>
      </c>
      <c r="D41" s="564">
        <v>0.16849315068493151</v>
      </c>
      <c r="E41" s="564">
        <v>0.24406392694063928</v>
      </c>
      <c r="F41" s="564">
        <v>0.34178082191780823</v>
      </c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  <c r="Y41" s="564"/>
      <c r="Z41" s="564"/>
      <c r="AA41" s="564"/>
      <c r="AB41" s="564"/>
      <c r="AC41" s="564"/>
      <c r="AD41" s="564"/>
      <c r="AE41" s="564"/>
      <c r="AF41" s="564"/>
      <c r="AG41" s="564"/>
      <c r="AH41" s="564"/>
      <c r="AI41" s="564"/>
      <c r="AJ41" s="564"/>
      <c r="AK41" s="564"/>
      <c r="AL41" s="564"/>
      <c r="AM41" s="564"/>
      <c r="AN41" s="564"/>
      <c r="AO41" s="564"/>
    </row>
    <row r="42" spans="2:41" x14ac:dyDescent="0.15">
      <c r="B42" s="565">
        <v>-2</v>
      </c>
      <c r="C42" s="564">
        <v>0.18424657534246575</v>
      </c>
      <c r="D42" s="564">
        <v>0.19337899543378995</v>
      </c>
      <c r="E42" s="564">
        <v>0.27728310502283104</v>
      </c>
      <c r="F42" s="564">
        <v>0.37648401826484018</v>
      </c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  <c r="Y42" s="564"/>
      <c r="Z42" s="564"/>
      <c r="AA42" s="564"/>
      <c r="AB42" s="564"/>
      <c r="AC42" s="564"/>
      <c r="AD42" s="564"/>
      <c r="AE42" s="564"/>
      <c r="AF42" s="564"/>
      <c r="AG42" s="564"/>
      <c r="AH42" s="564"/>
      <c r="AI42" s="564"/>
      <c r="AJ42" s="564"/>
      <c r="AK42" s="564"/>
      <c r="AL42" s="564"/>
      <c r="AM42" s="564"/>
      <c r="AN42" s="564"/>
      <c r="AO42" s="564"/>
    </row>
    <row r="43" spans="2:41" x14ac:dyDescent="0.15">
      <c r="B43" s="565">
        <v>-1</v>
      </c>
      <c r="C43" s="564">
        <v>0.20924657534246574</v>
      </c>
      <c r="D43" s="564">
        <v>0.22340182648401827</v>
      </c>
      <c r="E43" s="564">
        <v>0.31210045662100455</v>
      </c>
      <c r="F43" s="564">
        <v>0.41678082191780824</v>
      </c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  <c r="Y43" s="564"/>
      <c r="Z43" s="564"/>
      <c r="AA43" s="564"/>
      <c r="AB43" s="564"/>
      <c r="AC43" s="564"/>
      <c r="AD43" s="564"/>
      <c r="AE43" s="564"/>
      <c r="AF43" s="564"/>
      <c r="AG43" s="564"/>
      <c r="AH43" s="564"/>
      <c r="AI43" s="564"/>
      <c r="AJ43" s="564"/>
      <c r="AK43" s="564"/>
      <c r="AL43" s="564"/>
      <c r="AM43" s="564"/>
      <c r="AN43" s="564"/>
      <c r="AO43" s="564"/>
    </row>
    <row r="44" spans="2:41" x14ac:dyDescent="0.15">
      <c r="B44" s="565">
        <v>0</v>
      </c>
      <c r="C44" s="564">
        <v>0.24920091324200913</v>
      </c>
      <c r="D44" s="564">
        <v>0.27089041095890409</v>
      </c>
      <c r="E44" s="564">
        <v>0.36792237442922376</v>
      </c>
      <c r="F44" s="564">
        <v>0.46027397260273972</v>
      </c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564"/>
      <c r="S44" s="564"/>
      <c r="T44" s="564"/>
      <c r="U44" s="564"/>
      <c r="V44" s="564"/>
      <c r="W44" s="564"/>
      <c r="X44" s="564"/>
      <c r="Y44" s="564"/>
      <c r="Z44" s="564"/>
      <c r="AA44" s="564"/>
      <c r="AB44" s="564"/>
      <c r="AC44" s="564"/>
      <c r="AD44" s="564"/>
      <c r="AE44" s="564"/>
      <c r="AF44" s="564"/>
      <c r="AG44" s="564"/>
      <c r="AH44" s="564"/>
      <c r="AI44" s="564"/>
      <c r="AJ44" s="564"/>
      <c r="AK44" s="564"/>
      <c r="AL44" s="564"/>
      <c r="AM44" s="564"/>
      <c r="AN44" s="564"/>
      <c r="AO44" s="564"/>
    </row>
    <row r="45" spans="2:41" x14ac:dyDescent="0.15">
      <c r="B45" s="565">
        <v>1</v>
      </c>
      <c r="C45" s="564">
        <v>0.30993150684931509</v>
      </c>
      <c r="D45" s="564">
        <v>0.3422374429223744</v>
      </c>
      <c r="E45" s="564">
        <v>0.41004566210045662</v>
      </c>
      <c r="F45" s="564">
        <v>0.51118721461187211</v>
      </c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  <c r="Y45" s="564"/>
      <c r="Z45" s="564"/>
      <c r="AA45" s="564"/>
      <c r="AB45" s="564"/>
      <c r="AC45" s="564"/>
      <c r="AD45" s="564"/>
      <c r="AE45" s="564"/>
      <c r="AF45" s="564"/>
      <c r="AG45" s="564"/>
      <c r="AH45" s="564"/>
      <c r="AI45" s="564"/>
      <c r="AJ45" s="564"/>
      <c r="AK45" s="564"/>
      <c r="AL45" s="564"/>
      <c r="AM45" s="564"/>
      <c r="AN45" s="564"/>
      <c r="AO45" s="564"/>
    </row>
    <row r="46" spans="2:41" x14ac:dyDescent="0.15">
      <c r="B46" s="565">
        <v>2</v>
      </c>
      <c r="C46" s="564">
        <v>0.36917808219178083</v>
      </c>
      <c r="D46" s="564">
        <v>0.40136986301369865</v>
      </c>
      <c r="E46" s="564">
        <v>0.45171232876712331</v>
      </c>
      <c r="F46" s="564">
        <v>0.54372146118721465</v>
      </c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  <c r="Y46" s="564"/>
      <c r="Z46" s="564"/>
      <c r="AA46" s="564"/>
      <c r="AB46" s="564"/>
      <c r="AC46" s="564"/>
      <c r="AD46" s="564"/>
      <c r="AE46" s="564"/>
      <c r="AF46" s="564"/>
      <c r="AG46" s="564"/>
      <c r="AH46" s="564"/>
      <c r="AI46" s="564"/>
      <c r="AJ46" s="564"/>
      <c r="AK46" s="564"/>
      <c r="AL46" s="564"/>
      <c r="AM46" s="564"/>
      <c r="AN46" s="564"/>
      <c r="AO46" s="564"/>
    </row>
    <row r="47" spans="2:41" x14ac:dyDescent="0.15">
      <c r="B47" s="565">
        <v>3</v>
      </c>
      <c r="C47" s="564">
        <v>0.41598173515981735</v>
      </c>
      <c r="D47" s="564">
        <v>0.44018264840182647</v>
      </c>
      <c r="E47" s="564">
        <v>0.48652968036529681</v>
      </c>
      <c r="F47" s="564">
        <v>0.57363013698630139</v>
      </c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  <c r="Y47" s="564"/>
      <c r="Z47" s="564"/>
      <c r="AA47" s="564"/>
      <c r="AB47" s="564"/>
      <c r="AC47" s="564"/>
      <c r="AD47" s="564"/>
      <c r="AE47" s="564"/>
      <c r="AF47" s="564"/>
      <c r="AG47" s="564"/>
      <c r="AH47" s="564"/>
      <c r="AI47" s="564"/>
      <c r="AJ47" s="564"/>
      <c r="AK47" s="564"/>
      <c r="AL47" s="564"/>
      <c r="AM47" s="564"/>
      <c r="AN47" s="564"/>
      <c r="AO47" s="564"/>
    </row>
    <row r="48" spans="2:41" x14ac:dyDescent="0.15">
      <c r="B48" s="565">
        <v>4</v>
      </c>
      <c r="C48" s="564">
        <v>0.45079908675799085</v>
      </c>
      <c r="D48" s="564">
        <v>0.4771689497716895</v>
      </c>
      <c r="E48" s="564">
        <v>0.51837899543378996</v>
      </c>
      <c r="F48" s="564">
        <v>0.61015981735159819</v>
      </c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  <c r="Y48" s="564"/>
      <c r="Z48" s="564"/>
      <c r="AA48" s="564"/>
      <c r="AB48" s="564"/>
      <c r="AC48" s="564"/>
      <c r="AD48" s="564"/>
      <c r="AE48" s="564"/>
      <c r="AF48" s="564"/>
      <c r="AG48" s="564"/>
      <c r="AH48" s="564"/>
      <c r="AI48" s="564"/>
      <c r="AJ48" s="564"/>
      <c r="AK48" s="564"/>
      <c r="AL48" s="564"/>
      <c r="AM48" s="564"/>
      <c r="AN48" s="564"/>
      <c r="AO48" s="564"/>
    </row>
    <row r="49" spans="2:41" x14ac:dyDescent="0.15">
      <c r="B49" s="565">
        <v>5</v>
      </c>
      <c r="C49" s="564">
        <v>0.48413242009132418</v>
      </c>
      <c r="D49" s="564">
        <v>0.50776255707762552</v>
      </c>
      <c r="E49" s="564">
        <v>0.54885844748858448</v>
      </c>
      <c r="F49" s="564">
        <v>0.63641552511415522</v>
      </c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  <c r="Y49" s="564"/>
      <c r="Z49" s="564"/>
      <c r="AA49" s="564"/>
      <c r="AB49" s="564"/>
      <c r="AC49" s="564"/>
      <c r="AD49" s="564"/>
      <c r="AE49" s="564"/>
      <c r="AF49" s="564"/>
      <c r="AG49" s="564"/>
      <c r="AH49" s="564"/>
      <c r="AI49" s="564"/>
      <c r="AJ49" s="564"/>
      <c r="AK49" s="564"/>
      <c r="AL49" s="564"/>
      <c r="AM49" s="564"/>
      <c r="AN49" s="564"/>
      <c r="AO49" s="564"/>
    </row>
    <row r="50" spans="2:41" x14ac:dyDescent="0.15">
      <c r="B50" s="565">
        <v>6</v>
      </c>
      <c r="C50" s="564">
        <v>0.51586757990867582</v>
      </c>
      <c r="D50" s="564">
        <v>0.54166666666666663</v>
      </c>
      <c r="E50" s="564">
        <v>0.58139269406392691</v>
      </c>
      <c r="F50" s="564">
        <v>0.66415525114155249</v>
      </c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  <c r="Y50" s="564"/>
      <c r="Z50" s="564"/>
      <c r="AA50" s="564"/>
      <c r="AB50" s="564"/>
      <c r="AC50" s="564"/>
      <c r="AD50" s="564"/>
      <c r="AE50" s="564"/>
      <c r="AF50" s="564"/>
      <c r="AG50" s="564"/>
      <c r="AH50" s="564"/>
      <c r="AI50" s="564"/>
      <c r="AJ50" s="564"/>
      <c r="AK50" s="564"/>
      <c r="AL50" s="564"/>
      <c r="AM50" s="564"/>
      <c r="AN50" s="564"/>
      <c r="AO50" s="564"/>
    </row>
    <row r="51" spans="2:41" x14ac:dyDescent="0.15">
      <c r="B51" s="565">
        <v>7</v>
      </c>
      <c r="C51" s="564">
        <v>0.55331050228310508</v>
      </c>
      <c r="D51" s="564">
        <v>0.58744292237442919</v>
      </c>
      <c r="E51" s="564">
        <v>0.60719178082191783</v>
      </c>
      <c r="F51" s="564">
        <v>0.6905251141552512</v>
      </c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  <c r="Y51" s="564"/>
      <c r="Z51" s="564"/>
      <c r="AA51" s="564"/>
      <c r="AB51" s="564"/>
      <c r="AC51" s="564"/>
      <c r="AD51" s="564"/>
      <c r="AE51" s="564"/>
      <c r="AF51" s="564"/>
      <c r="AG51" s="564"/>
      <c r="AH51" s="564"/>
      <c r="AI51" s="564"/>
      <c r="AJ51" s="564"/>
      <c r="AK51" s="564"/>
      <c r="AL51" s="564"/>
      <c r="AM51" s="564"/>
      <c r="AN51" s="564"/>
      <c r="AO51" s="564"/>
    </row>
    <row r="52" spans="2:41" x14ac:dyDescent="0.15">
      <c r="B52" s="565">
        <v>8</v>
      </c>
      <c r="C52" s="564">
        <v>0.58984018264840188</v>
      </c>
      <c r="D52" s="564">
        <v>0.62123287671232874</v>
      </c>
      <c r="E52" s="564">
        <v>0.63162100456621006</v>
      </c>
      <c r="F52" s="564">
        <v>0.71872146118721458</v>
      </c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  <c r="Y52" s="564"/>
      <c r="Z52" s="564"/>
      <c r="AA52" s="564"/>
      <c r="AB52" s="564"/>
      <c r="AC52" s="564"/>
      <c r="AD52" s="564"/>
      <c r="AE52" s="564"/>
      <c r="AF52" s="564"/>
      <c r="AG52" s="564"/>
      <c r="AH52" s="564"/>
      <c r="AI52" s="564"/>
      <c r="AJ52" s="564"/>
      <c r="AK52" s="564"/>
      <c r="AL52" s="564"/>
      <c r="AM52" s="564"/>
      <c r="AN52" s="564"/>
      <c r="AO52" s="564"/>
    </row>
    <row r="53" spans="2:41" x14ac:dyDescent="0.15">
      <c r="B53" s="565">
        <v>9</v>
      </c>
      <c r="C53" s="564">
        <v>0.61746575342465748</v>
      </c>
      <c r="D53" s="564">
        <v>0.65399543378995428</v>
      </c>
      <c r="E53" s="564">
        <v>0.6623287671232877</v>
      </c>
      <c r="F53" s="564">
        <v>0.74885844748858443</v>
      </c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  <c r="Y53" s="564"/>
      <c r="Z53" s="564"/>
      <c r="AA53" s="564"/>
      <c r="AB53" s="564"/>
      <c r="AC53" s="564"/>
      <c r="AD53" s="564"/>
      <c r="AE53" s="564"/>
      <c r="AF53" s="564"/>
      <c r="AG53" s="564"/>
      <c r="AH53" s="564"/>
      <c r="AI53" s="564"/>
      <c r="AJ53" s="564"/>
      <c r="AK53" s="564"/>
      <c r="AL53" s="564"/>
      <c r="AM53" s="564"/>
      <c r="AN53" s="564"/>
      <c r="AO53" s="564"/>
    </row>
    <row r="54" spans="2:41" x14ac:dyDescent="0.15">
      <c r="B54" s="565">
        <v>10</v>
      </c>
      <c r="C54" s="564">
        <v>0.64394977168949774</v>
      </c>
      <c r="D54" s="564">
        <v>0.68835616438356162</v>
      </c>
      <c r="E54" s="564">
        <v>0.69623287671232881</v>
      </c>
      <c r="F54" s="564">
        <v>0.78527397260273968</v>
      </c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  <c r="Y54" s="564"/>
      <c r="Z54" s="564"/>
      <c r="AA54" s="564"/>
      <c r="AB54" s="564"/>
      <c r="AC54" s="564"/>
      <c r="AD54" s="564"/>
      <c r="AE54" s="564"/>
      <c r="AF54" s="564"/>
      <c r="AG54" s="564"/>
      <c r="AH54" s="564"/>
      <c r="AI54" s="564"/>
      <c r="AJ54" s="564"/>
      <c r="AK54" s="564"/>
      <c r="AL54" s="564"/>
      <c r="AM54" s="564"/>
      <c r="AN54" s="564"/>
      <c r="AO54" s="564"/>
    </row>
    <row r="55" spans="2:41" x14ac:dyDescent="0.15">
      <c r="B55" s="565">
        <v>11</v>
      </c>
      <c r="C55" s="564">
        <v>0.67625570776255706</v>
      </c>
      <c r="D55" s="564">
        <v>0.72168949771689495</v>
      </c>
      <c r="E55" s="564">
        <v>0.73105022831050226</v>
      </c>
      <c r="F55" s="564">
        <v>0.82283105022831049</v>
      </c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  <c r="Y55" s="564"/>
      <c r="Z55" s="564"/>
      <c r="AA55" s="564"/>
      <c r="AB55" s="564"/>
      <c r="AC55" s="564"/>
      <c r="AD55" s="564"/>
      <c r="AE55" s="564"/>
      <c r="AF55" s="564"/>
      <c r="AG55" s="564"/>
      <c r="AH55" s="564"/>
      <c r="AI55" s="564"/>
      <c r="AJ55" s="564"/>
      <c r="AK55" s="564"/>
      <c r="AL55" s="564"/>
      <c r="AM55" s="564"/>
      <c r="AN55" s="564"/>
      <c r="AO55" s="564"/>
    </row>
    <row r="56" spans="2:41" x14ac:dyDescent="0.15">
      <c r="B56" s="565">
        <v>12</v>
      </c>
      <c r="C56" s="564">
        <v>0.71415525114155254</v>
      </c>
      <c r="D56" s="564">
        <v>0.75296803652968036</v>
      </c>
      <c r="E56" s="564">
        <v>0.76780821917808217</v>
      </c>
      <c r="F56" s="564">
        <v>0.85114155251141554</v>
      </c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  <c r="Y56" s="564"/>
      <c r="Z56" s="564"/>
      <c r="AA56" s="564"/>
      <c r="AB56" s="564"/>
      <c r="AC56" s="564"/>
      <c r="AD56" s="564"/>
      <c r="AE56" s="564"/>
      <c r="AF56" s="564"/>
      <c r="AG56" s="564"/>
      <c r="AH56" s="564"/>
      <c r="AI56" s="564"/>
      <c r="AJ56" s="564"/>
      <c r="AK56" s="564"/>
      <c r="AL56" s="564"/>
      <c r="AM56" s="564"/>
      <c r="AN56" s="564"/>
      <c r="AO56" s="564"/>
    </row>
    <row r="57" spans="2:41" x14ac:dyDescent="0.15">
      <c r="B57" s="565">
        <v>13</v>
      </c>
      <c r="C57" s="564">
        <v>0.75433789954337904</v>
      </c>
      <c r="D57" s="564">
        <v>0.78493150684931512</v>
      </c>
      <c r="E57" s="564">
        <v>0.80593607305936077</v>
      </c>
      <c r="F57" s="564">
        <v>0.87602739726027401</v>
      </c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  <c r="Y57" s="564"/>
      <c r="Z57" s="564"/>
      <c r="AA57" s="564"/>
      <c r="AB57" s="564"/>
      <c r="AC57" s="564"/>
      <c r="AD57" s="564"/>
      <c r="AE57" s="564"/>
      <c r="AF57" s="564"/>
      <c r="AG57" s="564"/>
      <c r="AH57" s="564"/>
      <c r="AI57" s="564"/>
      <c r="AJ57" s="564"/>
      <c r="AK57" s="564"/>
      <c r="AL57" s="564"/>
      <c r="AM57" s="564"/>
      <c r="AN57" s="564"/>
      <c r="AO57" s="564"/>
    </row>
    <row r="58" spans="2:41" x14ac:dyDescent="0.15">
      <c r="B58" s="565">
        <v>14</v>
      </c>
      <c r="C58" s="564">
        <v>0.7873287671232877</v>
      </c>
      <c r="D58" s="564">
        <v>0.81974885844748857</v>
      </c>
      <c r="E58" s="564">
        <v>0.84509132420091326</v>
      </c>
      <c r="F58" s="564">
        <v>0.89577625570776254</v>
      </c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  <c r="Y58" s="564"/>
      <c r="Z58" s="564"/>
      <c r="AA58" s="564"/>
      <c r="AB58" s="564"/>
      <c r="AC58" s="564"/>
      <c r="AD58" s="564"/>
      <c r="AE58" s="564"/>
      <c r="AF58" s="564"/>
      <c r="AG58" s="564"/>
      <c r="AH58" s="564"/>
      <c r="AI58" s="564"/>
      <c r="AJ58" s="564"/>
      <c r="AK58" s="564"/>
      <c r="AL58" s="564"/>
      <c r="AM58" s="564"/>
      <c r="AN58" s="564"/>
      <c r="AO58" s="564"/>
    </row>
    <row r="59" spans="2:41" x14ac:dyDescent="0.15">
      <c r="B59" s="565">
        <v>15</v>
      </c>
      <c r="C59" s="564">
        <v>0.82625570776255708</v>
      </c>
      <c r="D59" s="564">
        <v>0.85468036529680369</v>
      </c>
      <c r="E59" s="564">
        <v>0.87568493150684934</v>
      </c>
      <c r="F59" s="564">
        <v>0.91803652968036531</v>
      </c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  <c r="Y59" s="564"/>
      <c r="Z59" s="564"/>
      <c r="AA59" s="564"/>
      <c r="AB59" s="564"/>
      <c r="AC59" s="564"/>
      <c r="AD59" s="564"/>
      <c r="AE59" s="564"/>
      <c r="AF59" s="564"/>
      <c r="AG59" s="564"/>
      <c r="AH59" s="564"/>
      <c r="AI59" s="564"/>
      <c r="AJ59" s="564"/>
      <c r="AK59" s="564"/>
      <c r="AL59" s="564"/>
      <c r="AM59" s="564"/>
      <c r="AN59" s="564"/>
      <c r="AO59" s="564"/>
    </row>
    <row r="60" spans="2:41" x14ac:dyDescent="0.15">
      <c r="B60" s="565">
        <v>16</v>
      </c>
      <c r="C60" s="564">
        <v>0.86187214611872143</v>
      </c>
      <c r="D60" s="564">
        <v>0.88059360730593605</v>
      </c>
      <c r="E60" s="564">
        <v>0.89908675799086757</v>
      </c>
      <c r="F60" s="564">
        <v>0.93550228310502281</v>
      </c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  <c r="Y60" s="564"/>
      <c r="Z60" s="564"/>
      <c r="AA60" s="564"/>
      <c r="AB60" s="564"/>
      <c r="AC60" s="564"/>
      <c r="AD60" s="564"/>
      <c r="AE60" s="564"/>
      <c r="AF60" s="564"/>
      <c r="AG60" s="564"/>
      <c r="AH60" s="564"/>
      <c r="AI60" s="564"/>
      <c r="AJ60" s="564"/>
      <c r="AK60" s="564"/>
      <c r="AL60" s="564"/>
      <c r="AM60" s="564"/>
      <c r="AN60" s="564"/>
      <c r="AO60" s="564"/>
    </row>
    <row r="61" spans="2:41" x14ac:dyDescent="0.15">
      <c r="B61" s="565">
        <v>17</v>
      </c>
      <c r="C61" s="564">
        <v>0.88995433789954337</v>
      </c>
      <c r="D61" s="564">
        <v>0.90388127853881284</v>
      </c>
      <c r="E61" s="564">
        <v>0.92100456621004567</v>
      </c>
      <c r="F61" s="564">
        <v>0.95273972602739732</v>
      </c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  <c r="Y61" s="564"/>
      <c r="Z61" s="564"/>
      <c r="AA61" s="564"/>
      <c r="AB61" s="564"/>
      <c r="AC61" s="564"/>
      <c r="AD61" s="564"/>
      <c r="AE61" s="564"/>
      <c r="AF61" s="564"/>
      <c r="AG61" s="564"/>
      <c r="AH61" s="564"/>
      <c r="AI61" s="564"/>
      <c r="AJ61" s="564"/>
      <c r="AK61" s="564"/>
      <c r="AL61" s="564"/>
      <c r="AM61" s="564"/>
      <c r="AN61" s="564"/>
      <c r="AO61" s="564"/>
    </row>
    <row r="62" spans="2:41" x14ac:dyDescent="0.15">
      <c r="B62" s="565">
        <v>18</v>
      </c>
      <c r="C62" s="564">
        <v>0.91358447488584471</v>
      </c>
      <c r="D62" s="564">
        <v>0.92260273972602735</v>
      </c>
      <c r="E62" s="564">
        <v>0.9389269406392694</v>
      </c>
      <c r="F62" s="564">
        <v>0.9671232876712329</v>
      </c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  <c r="Y62" s="564"/>
      <c r="Z62" s="564"/>
      <c r="AA62" s="564"/>
      <c r="AB62" s="564"/>
      <c r="AC62" s="564"/>
      <c r="AD62" s="564"/>
      <c r="AE62" s="564"/>
      <c r="AF62" s="564"/>
      <c r="AG62" s="564"/>
      <c r="AH62" s="564"/>
      <c r="AI62" s="564"/>
      <c r="AJ62" s="564"/>
      <c r="AK62" s="564"/>
      <c r="AL62" s="564"/>
      <c r="AM62" s="564"/>
      <c r="AN62" s="564"/>
      <c r="AO62" s="564"/>
    </row>
    <row r="63" spans="2:41" x14ac:dyDescent="0.15">
      <c r="B63" s="565">
        <v>19</v>
      </c>
      <c r="C63" s="564">
        <v>0.93219178082191778</v>
      </c>
      <c r="D63" s="564">
        <v>0.93835616438356162</v>
      </c>
      <c r="E63" s="564">
        <v>0.95490867579908678</v>
      </c>
      <c r="F63" s="564">
        <v>0.97602739726027399</v>
      </c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  <c r="Y63" s="564"/>
      <c r="Z63" s="564"/>
      <c r="AA63" s="564"/>
      <c r="AB63" s="564"/>
      <c r="AC63" s="564"/>
      <c r="AD63" s="564"/>
      <c r="AE63" s="564"/>
      <c r="AF63" s="564"/>
      <c r="AG63" s="564"/>
      <c r="AH63" s="564"/>
      <c r="AI63" s="564"/>
      <c r="AJ63" s="564"/>
      <c r="AK63" s="564"/>
      <c r="AL63" s="564"/>
      <c r="AM63" s="564"/>
      <c r="AN63" s="564"/>
      <c r="AO63" s="564"/>
    </row>
    <row r="64" spans="2:41" x14ac:dyDescent="0.15">
      <c r="B64" s="565">
        <v>20</v>
      </c>
      <c r="C64" s="564">
        <v>0.94783105022831049</v>
      </c>
      <c r="D64" s="564">
        <v>0.95490867579908678</v>
      </c>
      <c r="E64" s="564">
        <v>0.96700913242009134</v>
      </c>
      <c r="F64" s="564">
        <v>0.98264840182648405</v>
      </c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  <c r="Y64" s="564"/>
      <c r="Z64" s="564"/>
      <c r="AA64" s="564"/>
      <c r="AB64" s="564"/>
      <c r="AC64" s="564"/>
      <c r="AD64" s="564"/>
      <c r="AE64" s="564"/>
      <c r="AF64" s="564"/>
      <c r="AG64" s="564"/>
      <c r="AH64" s="564"/>
      <c r="AI64" s="564"/>
      <c r="AJ64" s="564"/>
      <c r="AK64" s="564"/>
      <c r="AL64" s="564"/>
      <c r="AM64" s="564"/>
      <c r="AN64" s="564"/>
      <c r="AO64" s="564"/>
    </row>
    <row r="65" spans="2:41" x14ac:dyDescent="0.15">
      <c r="B65" s="565">
        <v>21</v>
      </c>
      <c r="C65" s="564">
        <v>0.96324200913242009</v>
      </c>
      <c r="D65" s="564">
        <v>0.96757990867579913</v>
      </c>
      <c r="E65" s="564">
        <v>0.9780821917808219</v>
      </c>
      <c r="F65" s="564">
        <v>0.98789954337899544</v>
      </c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  <c r="AA65" s="564"/>
      <c r="AB65" s="564"/>
      <c r="AC65" s="564"/>
      <c r="AD65" s="564"/>
      <c r="AE65" s="564"/>
      <c r="AF65" s="564"/>
      <c r="AG65" s="564"/>
      <c r="AH65" s="564"/>
      <c r="AI65" s="564"/>
      <c r="AJ65" s="564"/>
      <c r="AK65" s="564"/>
      <c r="AL65" s="564"/>
      <c r="AM65" s="564"/>
      <c r="AN65" s="564"/>
      <c r="AO65" s="564"/>
    </row>
    <row r="66" spans="2:41" x14ac:dyDescent="0.15">
      <c r="B66" s="565">
        <v>22</v>
      </c>
      <c r="C66" s="564">
        <v>0.97283105022831051</v>
      </c>
      <c r="D66" s="564">
        <v>0.97751141552511411</v>
      </c>
      <c r="E66" s="564">
        <v>0.98652968036529676</v>
      </c>
      <c r="F66" s="564">
        <v>0.9916666666666667</v>
      </c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  <c r="AB66" s="564"/>
      <c r="AC66" s="564"/>
      <c r="AD66" s="564"/>
      <c r="AE66" s="564"/>
      <c r="AF66" s="564"/>
      <c r="AG66" s="564"/>
      <c r="AH66" s="564"/>
      <c r="AI66" s="564"/>
      <c r="AJ66" s="564"/>
      <c r="AK66" s="564"/>
      <c r="AL66" s="564"/>
      <c r="AM66" s="564"/>
      <c r="AN66" s="564"/>
      <c r="AO66" s="564"/>
    </row>
    <row r="67" spans="2:41" x14ac:dyDescent="0.15">
      <c r="B67" s="565">
        <v>23</v>
      </c>
      <c r="C67" s="564">
        <v>0.98082191780821915</v>
      </c>
      <c r="D67" s="564">
        <v>0.9853881278538813</v>
      </c>
      <c r="E67" s="564">
        <v>0.99303652968036527</v>
      </c>
      <c r="F67" s="564">
        <v>0.99497716894977173</v>
      </c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  <c r="AA67" s="564"/>
      <c r="AB67" s="564"/>
      <c r="AC67" s="564"/>
      <c r="AD67" s="564"/>
      <c r="AE67" s="564"/>
      <c r="AF67" s="564"/>
      <c r="AG67" s="564"/>
      <c r="AH67" s="564"/>
      <c r="AI67" s="564"/>
      <c r="AJ67" s="564"/>
      <c r="AK67" s="564"/>
      <c r="AL67" s="564"/>
      <c r="AM67" s="564"/>
      <c r="AN67" s="564"/>
      <c r="AO67" s="564"/>
    </row>
    <row r="68" spans="2:41" x14ac:dyDescent="0.15">
      <c r="B68" s="565">
        <v>24</v>
      </c>
      <c r="C68" s="564">
        <v>0.98550228310502286</v>
      </c>
      <c r="D68" s="564">
        <v>0.99098173515981736</v>
      </c>
      <c r="E68" s="564">
        <v>0.99760273972602742</v>
      </c>
      <c r="F68" s="564">
        <v>0.99748858447488586</v>
      </c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  <c r="Y68" s="564"/>
      <c r="Z68" s="564"/>
      <c r="AA68" s="564"/>
      <c r="AB68" s="564"/>
      <c r="AC68" s="564"/>
      <c r="AD68" s="564"/>
      <c r="AE68" s="564"/>
      <c r="AF68" s="564"/>
      <c r="AG68" s="564"/>
      <c r="AH68" s="564"/>
      <c r="AI68" s="564"/>
      <c r="AJ68" s="564"/>
      <c r="AK68" s="564"/>
      <c r="AL68" s="564"/>
      <c r="AM68" s="564"/>
      <c r="AN68" s="564"/>
      <c r="AO68" s="564"/>
    </row>
    <row r="69" spans="2:41" x14ac:dyDescent="0.15">
      <c r="B69" s="565">
        <v>25</v>
      </c>
      <c r="C69" s="564">
        <v>0.98949771689497712</v>
      </c>
      <c r="D69" s="564">
        <v>0.99520547945205484</v>
      </c>
      <c r="E69" s="564">
        <v>0.9992009132420091</v>
      </c>
      <c r="F69" s="564">
        <v>0.99851598173515976</v>
      </c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  <c r="Y69" s="564"/>
      <c r="Z69" s="564"/>
      <c r="AA69" s="564"/>
      <c r="AB69" s="564"/>
      <c r="AC69" s="564"/>
      <c r="AD69" s="564"/>
      <c r="AE69" s="564"/>
      <c r="AF69" s="564"/>
      <c r="AG69" s="564"/>
      <c r="AH69" s="564"/>
      <c r="AI69" s="564"/>
      <c r="AJ69" s="564"/>
      <c r="AK69" s="564"/>
      <c r="AL69" s="564"/>
      <c r="AM69" s="564"/>
      <c r="AN69" s="564"/>
      <c r="AO69" s="564"/>
    </row>
    <row r="70" spans="2:41" x14ac:dyDescent="0.15">
      <c r="B70" s="565">
        <v>26</v>
      </c>
      <c r="C70" s="564">
        <v>0.99372146118721461</v>
      </c>
      <c r="D70" s="564">
        <v>0.99691780821917808</v>
      </c>
      <c r="E70" s="564">
        <v>0.99965753424657533</v>
      </c>
      <c r="F70" s="564">
        <v>0.99954337899543377</v>
      </c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  <c r="Y70" s="564"/>
      <c r="Z70" s="564"/>
      <c r="AA70" s="564"/>
      <c r="AB70" s="564"/>
      <c r="AC70" s="564"/>
      <c r="AD70" s="564"/>
      <c r="AE70" s="564"/>
      <c r="AF70" s="564"/>
      <c r="AG70" s="564"/>
      <c r="AH70" s="564"/>
      <c r="AI70" s="564"/>
      <c r="AJ70" s="564"/>
      <c r="AK70" s="564"/>
      <c r="AL70" s="564"/>
      <c r="AM70" s="564"/>
      <c r="AN70" s="564"/>
      <c r="AO70" s="564"/>
    </row>
    <row r="71" spans="2:41" x14ac:dyDescent="0.15">
      <c r="B71" s="565">
        <v>27</v>
      </c>
      <c r="C71" s="564">
        <v>0.99668949771689497</v>
      </c>
      <c r="D71" s="564">
        <v>0.99840182648401832</v>
      </c>
      <c r="E71" s="564">
        <v>1</v>
      </c>
      <c r="F71" s="564">
        <v>1</v>
      </c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  <c r="AA71" s="564"/>
      <c r="AB71" s="564"/>
      <c r="AC71" s="564"/>
      <c r="AD71" s="564"/>
      <c r="AE71" s="564"/>
      <c r="AF71" s="564"/>
      <c r="AG71" s="564"/>
      <c r="AH71" s="564"/>
      <c r="AI71" s="564"/>
      <c r="AJ71" s="564"/>
      <c r="AK71" s="564"/>
      <c r="AL71" s="564"/>
      <c r="AM71" s="564"/>
      <c r="AN71" s="564"/>
      <c r="AO71" s="564"/>
    </row>
    <row r="72" spans="2:41" x14ac:dyDescent="0.15">
      <c r="B72" s="565">
        <v>28</v>
      </c>
      <c r="C72" s="564">
        <v>0.99874429223744288</v>
      </c>
      <c r="D72" s="564">
        <v>0.9992009132420091</v>
      </c>
      <c r="E72" s="564">
        <v>1</v>
      </c>
      <c r="F72" s="564">
        <v>1</v>
      </c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  <c r="AB72" s="564"/>
      <c r="AC72" s="564"/>
      <c r="AD72" s="564"/>
      <c r="AE72" s="564"/>
      <c r="AF72" s="564"/>
      <c r="AG72" s="564"/>
      <c r="AH72" s="564"/>
      <c r="AI72" s="564"/>
      <c r="AJ72" s="564"/>
      <c r="AK72" s="564"/>
      <c r="AL72" s="564"/>
      <c r="AM72" s="564"/>
      <c r="AN72" s="564"/>
      <c r="AO72" s="564"/>
    </row>
    <row r="73" spans="2:41" x14ac:dyDescent="0.15">
      <c r="B73" s="565">
        <v>29</v>
      </c>
      <c r="C73" s="564">
        <v>0.99965753424657533</v>
      </c>
      <c r="D73" s="564">
        <v>0.99977168949771689</v>
      </c>
      <c r="E73" s="564">
        <v>1</v>
      </c>
      <c r="F73" s="564">
        <v>1</v>
      </c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  <c r="AA73" s="564"/>
      <c r="AB73" s="564"/>
      <c r="AC73" s="564"/>
      <c r="AD73" s="564"/>
      <c r="AE73" s="564"/>
      <c r="AF73" s="564"/>
      <c r="AG73" s="564"/>
      <c r="AH73" s="564"/>
      <c r="AI73" s="564"/>
      <c r="AJ73" s="564"/>
      <c r="AK73" s="564"/>
      <c r="AL73" s="564"/>
      <c r="AM73" s="564"/>
      <c r="AN73" s="564"/>
      <c r="AO73" s="564"/>
    </row>
    <row r="74" spans="2:41" x14ac:dyDescent="0.15">
      <c r="B74" s="565">
        <v>30</v>
      </c>
      <c r="C74" s="564">
        <v>1</v>
      </c>
      <c r="D74" s="564">
        <v>1</v>
      </c>
      <c r="E74" s="564">
        <v>1</v>
      </c>
      <c r="F74" s="564">
        <v>1</v>
      </c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  <c r="Y74" s="564"/>
      <c r="Z74" s="564"/>
      <c r="AA74" s="564"/>
      <c r="AB74" s="564"/>
      <c r="AC74" s="564"/>
      <c r="AD74" s="564"/>
      <c r="AE74" s="564"/>
      <c r="AF74" s="564"/>
      <c r="AG74" s="564"/>
      <c r="AH74" s="564"/>
      <c r="AI74" s="564"/>
      <c r="AJ74" s="564"/>
      <c r="AK74" s="564"/>
      <c r="AL74" s="564"/>
      <c r="AM74" s="564"/>
      <c r="AN74" s="564"/>
      <c r="AO74" s="564"/>
    </row>
    <row r="75" spans="2:41" x14ac:dyDescent="0.15">
      <c r="B75" s="565">
        <v>31</v>
      </c>
      <c r="C75" s="564">
        <v>1</v>
      </c>
      <c r="D75" s="564">
        <v>1</v>
      </c>
      <c r="E75" s="564">
        <v>1</v>
      </c>
      <c r="F75" s="564">
        <v>1</v>
      </c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  <c r="Y75" s="564"/>
      <c r="Z75" s="564"/>
      <c r="AA75" s="564"/>
      <c r="AB75" s="564"/>
      <c r="AC75" s="564"/>
      <c r="AD75" s="564"/>
      <c r="AE75" s="564"/>
      <c r="AF75" s="564"/>
      <c r="AG75" s="564"/>
      <c r="AH75" s="564"/>
      <c r="AI75" s="564"/>
      <c r="AJ75" s="564"/>
      <c r="AK75" s="564"/>
      <c r="AL75" s="564"/>
      <c r="AM75" s="564"/>
      <c r="AN75" s="564"/>
      <c r="AO75" s="564"/>
    </row>
    <row r="76" spans="2:41" x14ac:dyDescent="0.15">
      <c r="B76" s="565">
        <v>32</v>
      </c>
      <c r="C76" s="564">
        <v>1</v>
      </c>
      <c r="D76" s="564">
        <v>1</v>
      </c>
      <c r="E76" s="564">
        <v>1</v>
      </c>
      <c r="F76" s="564">
        <v>1</v>
      </c>
      <c r="G76" s="564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  <c r="Y76" s="564"/>
      <c r="Z76" s="564"/>
      <c r="AA76" s="564"/>
      <c r="AB76" s="564"/>
      <c r="AC76" s="564"/>
      <c r="AD76" s="564"/>
      <c r="AE76" s="564"/>
      <c r="AF76" s="564"/>
      <c r="AG76" s="564"/>
      <c r="AH76" s="564"/>
      <c r="AI76" s="564"/>
      <c r="AJ76" s="564"/>
      <c r="AK76" s="564"/>
      <c r="AL76" s="564"/>
      <c r="AM76" s="564"/>
      <c r="AN76" s="564"/>
      <c r="AO76" s="564"/>
    </row>
    <row r="77" spans="2:41" x14ac:dyDescent="0.15">
      <c r="B77" s="565">
        <v>33</v>
      </c>
      <c r="C77" s="564">
        <v>1</v>
      </c>
      <c r="D77" s="564">
        <v>1</v>
      </c>
      <c r="E77" s="564">
        <v>1</v>
      </c>
      <c r="F77" s="564">
        <v>1</v>
      </c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  <c r="Y77" s="564"/>
      <c r="Z77" s="564"/>
      <c r="AA77" s="564"/>
      <c r="AB77" s="564"/>
      <c r="AC77" s="564"/>
      <c r="AD77" s="564"/>
      <c r="AE77" s="564"/>
      <c r="AF77" s="564"/>
      <c r="AG77" s="564"/>
      <c r="AH77" s="564"/>
      <c r="AI77" s="564"/>
      <c r="AJ77" s="564"/>
      <c r="AK77" s="564"/>
      <c r="AL77" s="564"/>
      <c r="AM77" s="564"/>
      <c r="AN77" s="564"/>
      <c r="AO77" s="564"/>
    </row>
    <row r="78" spans="2:41" x14ac:dyDescent="0.15">
      <c r="B78" s="565">
        <v>34</v>
      </c>
      <c r="C78" s="564">
        <v>1</v>
      </c>
      <c r="D78" s="564">
        <v>1</v>
      </c>
      <c r="E78" s="564">
        <v>1</v>
      </c>
      <c r="F78" s="564">
        <v>1</v>
      </c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  <c r="AB78" s="564"/>
      <c r="AC78" s="564"/>
      <c r="AD78" s="564"/>
      <c r="AE78" s="564"/>
      <c r="AF78" s="564"/>
      <c r="AG78" s="564"/>
      <c r="AH78" s="564"/>
      <c r="AI78" s="564"/>
      <c r="AJ78" s="564"/>
      <c r="AK78" s="564"/>
      <c r="AL78" s="564"/>
      <c r="AM78" s="564"/>
      <c r="AN78" s="564"/>
      <c r="AO78" s="564"/>
    </row>
    <row r="79" spans="2:41" x14ac:dyDescent="0.15">
      <c r="B79" s="565">
        <v>35</v>
      </c>
      <c r="C79" s="564">
        <v>1</v>
      </c>
      <c r="D79" s="564">
        <v>1</v>
      </c>
      <c r="E79" s="564">
        <v>1</v>
      </c>
      <c r="F79" s="564">
        <v>1</v>
      </c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  <c r="AB79" s="564"/>
      <c r="AC79" s="564"/>
      <c r="AD79" s="564"/>
      <c r="AE79" s="564"/>
      <c r="AF79" s="564"/>
      <c r="AG79" s="564"/>
      <c r="AH79" s="564"/>
      <c r="AI79" s="564"/>
      <c r="AJ79" s="564"/>
      <c r="AK79" s="564"/>
      <c r="AL79" s="564"/>
      <c r="AM79" s="564"/>
      <c r="AN79" s="564"/>
      <c r="AO79" s="564"/>
    </row>
    <row r="80" spans="2:41" x14ac:dyDescent="0.15">
      <c r="B80" s="565">
        <v>36</v>
      </c>
      <c r="C80" s="564">
        <v>1</v>
      </c>
      <c r="D80" s="564">
        <v>1</v>
      </c>
      <c r="E80" s="564">
        <v>1</v>
      </c>
      <c r="F80" s="564">
        <v>1</v>
      </c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  <c r="Y80" s="564"/>
      <c r="Z80" s="564"/>
      <c r="AA80" s="564"/>
      <c r="AB80" s="564"/>
      <c r="AC80" s="564"/>
      <c r="AD80" s="564"/>
      <c r="AE80" s="564"/>
      <c r="AF80" s="564"/>
      <c r="AG80" s="564"/>
      <c r="AH80" s="564"/>
      <c r="AI80" s="564"/>
      <c r="AJ80" s="564"/>
      <c r="AK80" s="564"/>
      <c r="AL80" s="564"/>
      <c r="AM80" s="564"/>
      <c r="AN80" s="564"/>
      <c r="AO80" s="564"/>
    </row>
    <row r="81" spans="2:41" x14ac:dyDescent="0.15">
      <c r="B81" s="565">
        <v>37</v>
      </c>
      <c r="C81" s="564">
        <v>1</v>
      </c>
      <c r="D81" s="564">
        <v>1</v>
      </c>
      <c r="E81" s="564">
        <v>1</v>
      </c>
      <c r="F81" s="564">
        <v>1</v>
      </c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  <c r="Y81" s="564"/>
      <c r="Z81" s="564"/>
      <c r="AA81" s="564"/>
      <c r="AB81" s="564"/>
      <c r="AC81" s="564"/>
      <c r="AD81" s="564"/>
      <c r="AE81" s="564"/>
      <c r="AF81" s="564"/>
      <c r="AG81" s="564"/>
      <c r="AH81" s="564"/>
      <c r="AI81" s="564"/>
      <c r="AJ81" s="564"/>
      <c r="AK81" s="564"/>
      <c r="AL81" s="564"/>
      <c r="AM81" s="564"/>
      <c r="AN81" s="564"/>
      <c r="AO81" s="564"/>
    </row>
    <row r="82" spans="2:41" x14ac:dyDescent="0.15">
      <c r="B82" s="565">
        <v>38</v>
      </c>
      <c r="C82" s="564">
        <v>1</v>
      </c>
      <c r="D82" s="564">
        <v>1</v>
      </c>
      <c r="E82" s="564">
        <v>1</v>
      </c>
      <c r="F82" s="564">
        <v>1</v>
      </c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  <c r="Y82" s="564"/>
      <c r="Z82" s="564"/>
      <c r="AA82" s="564"/>
      <c r="AB82" s="564"/>
      <c r="AC82" s="564"/>
      <c r="AD82" s="564"/>
      <c r="AE82" s="564"/>
      <c r="AF82" s="564"/>
      <c r="AG82" s="564"/>
      <c r="AH82" s="564"/>
      <c r="AI82" s="564"/>
      <c r="AJ82" s="564"/>
      <c r="AK82" s="564"/>
      <c r="AL82" s="564"/>
      <c r="AM82" s="564"/>
      <c r="AN82" s="564"/>
      <c r="AO82" s="564"/>
    </row>
    <row r="83" spans="2:41" x14ac:dyDescent="0.15">
      <c r="B83" s="565">
        <v>39</v>
      </c>
      <c r="C83" s="564">
        <v>1</v>
      </c>
      <c r="D83" s="564">
        <v>1</v>
      </c>
      <c r="E83" s="564">
        <v>1</v>
      </c>
      <c r="F83" s="564">
        <v>1</v>
      </c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  <c r="Y83" s="564"/>
      <c r="Z83" s="564"/>
      <c r="AA83" s="564"/>
      <c r="AB83" s="564"/>
      <c r="AC83" s="564"/>
      <c r="AD83" s="564"/>
      <c r="AE83" s="564"/>
      <c r="AF83" s="564"/>
      <c r="AG83" s="564"/>
      <c r="AH83" s="564"/>
      <c r="AI83" s="564"/>
      <c r="AJ83" s="564"/>
      <c r="AK83" s="564"/>
      <c r="AL83" s="564"/>
      <c r="AM83" s="564"/>
      <c r="AN83" s="564"/>
      <c r="AO83" s="564"/>
    </row>
    <row r="84" spans="2:41" x14ac:dyDescent="0.15">
      <c r="B84" s="566">
        <v>40</v>
      </c>
      <c r="C84" s="564">
        <v>1</v>
      </c>
      <c r="D84" s="564">
        <v>1</v>
      </c>
      <c r="E84" s="564">
        <v>1</v>
      </c>
      <c r="F84" s="564">
        <v>1</v>
      </c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  <c r="Y84" s="564"/>
      <c r="Z84" s="564"/>
      <c r="AA84" s="564"/>
      <c r="AB84" s="564"/>
      <c r="AC84" s="564"/>
      <c r="AD84" s="564"/>
      <c r="AE84" s="564"/>
      <c r="AF84" s="564"/>
      <c r="AG84" s="564"/>
      <c r="AH84" s="564"/>
      <c r="AI84" s="564"/>
      <c r="AJ84" s="564"/>
      <c r="AK84" s="564"/>
      <c r="AL84" s="564"/>
      <c r="AM84" s="564"/>
      <c r="AN84" s="564"/>
      <c r="AO84" s="564"/>
    </row>
    <row r="93" spans="2:41" s="561" customFormat="1" ht="28" x14ac:dyDescent="0.15">
      <c r="B93" s="558" t="str" cm="1">
        <f t="array" ref="B93:AO93">TRANSPOSE('Syötä kaupungit KIRJASTOLINKIT!'!$C$1:$C$40)</f>
        <v>MAA 2</v>
      </c>
      <c r="C93" s="562" t="str">
        <v>SWE - Sztokholm</v>
      </c>
      <c r="D93" s="562">
        <v>0</v>
      </c>
      <c r="E93" s="562">
        <v>0</v>
      </c>
      <c r="F93" s="562">
        <v>0</v>
      </c>
      <c r="G93" s="562">
        <v>0</v>
      </c>
      <c r="H93" s="562">
        <v>0</v>
      </c>
      <c r="I93" s="562">
        <v>0</v>
      </c>
      <c r="J93" s="562">
        <v>0</v>
      </c>
      <c r="K93" s="562">
        <v>0</v>
      </c>
      <c r="L93" s="562">
        <v>0</v>
      </c>
      <c r="M93" s="562">
        <v>0</v>
      </c>
      <c r="N93" s="562">
        <v>0</v>
      </c>
      <c r="O93" s="562">
        <v>0</v>
      </c>
      <c r="P93" s="562">
        <v>0</v>
      </c>
      <c r="Q93" s="562">
        <v>0</v>
      </c>
      <c r="R93" s="562">
        <v>0</v>
      </c>
      <c r="S93" s="562">
        <v>0</v>
      </c>
      <c r="T93" s="562">
        <v>0</v>
      </c>
      <c r="U93" s="562">
        <v>0</v>
      </c>
      <c r="V93" s="562">
        <v>0</v>
      </c>
      <c r="W93" s="562">
        <v>0</v>
      </c>
      <c r="X93" s="562">
        <v>0</v>
      </c>
      <c r="Y93" s="562">
        <v>0</v>
      </c>
      <c r="Z93" s="562">
        <v>0</v>
      </c>
      <c r="AA93" s="562">
        <v>0</v>
      </c>
      <c r="AB93" s="562">
        <v>0</v>
      </c>
      <c r="AC93" s="562">
        <v>0</v>
      </c>
      <c r="AD93" s="562">
        <v>0</v>
      </c>
      <c r="AE93" s="562">
        <v>0</v>
      </c>
      <c r="AF93" s="562">
        <v>0</v>
      </c>
      <c r="AG93" s="562">
        <v>0</v>
      </c>
      <c r="AH93" s="562">
        <v>0</v>
      </c>
      <c r="AI93" s="562">
        <v>0</v>
      </c>
      <c r="AJ93" s="562">
        <v>0</v>
      </c>
      <c r="AK93" s="562">
        <v>0</v>
      </c>
      <c r="AL93" s="562">
        <v>0</v>
      </c>
      <c r="AM93" s="562">
        <v>0</v>
      </c>
      <c r="AN93" s="562">
        <v>0</v>
      </c>
      <c r="AO93" s="562">
        <v>0</v>
      </c>
    </row>
    <row r="94" spans="2:41" x14ac:dyDescent="0.15">
      <c r="B94" s="563">
        <v>-40</v>
      </c>
      <c r="C94" s="564">
        <v>0</v>
      </c>
      <c r="D94" s="564"/>
      <c r="E94" s="564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  <c r="Y94" s="564"/>
      <c r="Z94" s="564"/>
      <c r="AA94" s="564"/>
      <c r="AB94" s="564"/>
      <c r="AC94" s="564"/>
      <c r="AD94" s="564"/>
      <c r="AE94" s="564"/>
      <c r="AF94" s="564"/>
      <c r="AG94" s="564"/>
      <c r="AH94" s="564"/>
      <c r="AI94" s="564"/>
      <c r="AJ94" s="564"/>
      <c r="AK94" s="564"/>
      <c r="AL94" s="564"/>
      <c r="AM94" s="564"/>
      <c r="AN94" s="564"/>
      <c r="AO94" s="564"/>
    </row>
    <row r="95" spans="2:41" x14ac:dyDescent="0.15">
      <c r="B95" s="565">
        <v>-39</v>
      </c>
      <c r="C95" s="564">
        <v>0</v>
      </c>
      <c r="D95" s="564"/>
      <c r="E95" s="564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  <c r="Y95" s="564"/>
      <c r="Z95" s="564"/>
      <c r="AA95" s="564"/>
      <c r="AB95" s="564"/>
      <c r="AC95" s="564"/>
      <c r="AD95" s="564"/>
      <c r="AE95" s="564"/>
      <c r="AF95" s="564"/>
      <c r="AG95" s="564"/>
      <c r="AH95" s="564"/>
      <c r="AI95" s="564"/>
      <c r="AJ95" s="564"/>
      <c r="AK95" s="564"/>
      <c r="AL95" s="564"/>
      <c r="AM95" s="564"/>
      <c r="AN95" s="564"/>
      <c r="AO95" s="564"/>
    </row>
    <row r="96" spans="2:41" x14ac:dyDescent="0.15">
      <c r="B96" s="565">
        <v>-38</v>
      </c>
      <c r="C96" s="564">
        <v>0</v>
      </c>
      <c r="D96" s="564"/>
      <c r="E96" s="564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  <c r="Y96" s="564"/>
      <c r="Z96" s="564"/>
      <c r="AA96" s="564"/>
      <c r="AB96" s="564"/>
      <c r="AC96" s="564"/>
      <c r="AD96" s="564"/>
      <c r="AE96" s="564"/>
      <c r="AF96" s="564"/>
      <c r="AG96" s="564"/>
      <c r="AH96" s="564"/>
      <c r="AI96" s="564"/>
      <c r="AJ96" s="564"/>
      <c r="AK96" s="564"/>
      <c r="AL96" s="564"/>
      <c r="AM96" s="564"/>
      <c r="AN96" s="564"/>
      <c r="AO96" s="564"/>
    </row>
    <row r="97" spans="2:41" x14ac:dyDescent="0.15">
      <c r="B97" s="565">
        <v>-37</v>
      </c>
      <c r="C97" s="564">
        <v>0</v>
      </c>
      <c r="D97" s="564"/>
      <c r="E97" s="564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  <c r="Y97" s="564"/>
      <c r="Z97" s="564"/>
      <c r="AA97" s="564"/>
      <c r="AB97" s="564"/>
      <c r="AC97" s="564"/>
      <c r="AD97" s="564"/>
      <c r="AE97" s="564"/>
      <c r="AF97" s="564"/>
      <c r="AG97" s="564"/>
      <c r="AH97" s="564"/>
      <c r="AI97" s="564"/>
      <c r="AJ97" s="564"/>
      <c r="AK97" s="564"/>
      <c r="AL97" s="564"/>
      <c r="AM97" s="564"/>
      <c r="AN97" s="564"/>
      <c r="AO97" s="564"/>
    </row>
    <row r="98" spans="2:41" x14ac:dyDescent="0.15">
      <c r="B98" s="565">
        <v>-36</v>
      </c>
      <c r="C98" s="564">
        <v>0</v>
      </c>
      <c r="D98" s="564"/>
      <c r="E98" s="564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  <c r="Y98" s="564"/>
      <c r="Z98" s="564"/>
      <c r="AA98" s="564"/>
      <c r="AB98" s="564"/>
      <c r="AC98" s="564"/>
      <c r="AD98" s="564"/>
      <c r="AE98" s="564"/>
      <c r="AF98" s="564"/>
      <c r="AG98" s="564"/>
      <c r="AH98" s="564"/>
      <c r="AI98" s="564"/>
      <c r="AJ98" s="564"/>
      <c r="AK98" s="564"/>
      <c r="AL98" s="564"/>
      <c r="AM98" s="564"/>
      <c r="AN98" s="564"/>
      <c r="AO98" s="564"/>
    </row>
    <row r="99" spans="2:41" x14ac:dyDescent="0.15">
      <c r="B99" s="565">
        <v>-35</v>
      </c>
      <c r="C99" s="564">
        <v>0</v>
      </c>
      <c r="D99" s="564"/>
      <c r="E99" s="564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  <c r="Y99" s="564"/>
      <c r="Z99" s="564"/>
      <c r="AA99" s="564"/>
      <c r="AB99" s="564"/>
      <c r="AC99" s="564"/>
      <c r="AD99" s="564"/>
      <c r="AE99" s="564"/>
      <c r="AF99" s="564"/>
      <c r="AG99" s="564"/>
      <c r="AH99" s="564"/>
      <c r="AI99" s="564"/>
      <c r="AJ99" s="564"/>
      <c r="AK99" s="564"/>
      <c r="AL99" s="564"/>
      <c r="AM99" s="564"/>
      <c r="AN99" s="564"/>
      <c r="AO99" s="564"/>
    </row>
    <row r="100" spans="2:41" x14ac:dyDescent="0.15">
      <c r="B100" s="565">
        <v>-34</v>
      </c>
      <c r="C100" s="564">
        <v>0</v>
      </c>
      <c r="D100" s="564"/>
      <c r="E100" s="564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  <c r="Y100" s="564"/>
      <c r="Z100" s="564"/>
      <c r="AA100" s="564"/>
      <c r="AB100" s="564"/>
      <c r="AC100" s="564"/>
      <c r="AD100" s="564"/>
      <c r="AE100" s="564"/>
      <c r="AF100" s="564"/>
      <c r="AG100" s="564"/>
      <c r="AH100" s="564"/>
      <c r="AI100" s="564"/>
      <c r="AJ100" s="564"/>
      <c r="AK100" s="564"/>
      <c r="AL100" s="564"/>
      <c r="AM100" s="564"/>
      <c r="AN100" s="564"/>
      <c r="AO100" s="564"/>
    </row>
    <row r="101" spans="2:41" x14ac:dyDescent="0.15">
      <c r="B101" s="565">
        <v>-33</v>
      </c>
      <c r="C101" s="564">
        <v>0</v>
      </c>
      <c r="D101" s="564"/>
      <c r="E101" s="564"/>
      <c r="F101" s="564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  <c r="Y101" s="564"/>
      <c r="Z101" s="564"/>
      <c r="AA101" s="564"/>
      <c r="AB101" s="564"/>
      <c r="AC101" s="564"/>
      <c r="AD101" s="564"/>
      <c r="AE101" s="564"/>
      <c r="AF101" s="564"/>
      <c r="AG101" s="564"/>
      <c r="AH101" s="564"/>
      <c r="AI101" s="564"/>
      <c r="AJ101" s="564"/>
      <c r="AK101" s="564"/>
      <c r="AL101" s="564"/>
      <c r="AM101" s="564"/>
      <c r="AN101" s="564"/>
      <c r="AO101" s="564"/>
    </row>
    <row r="102" spans="2:41" x14ac:dyDescent="0.15">
      <c r="B102" s="565">
        <v>-32</v>
      </c>
      <c r="C102" s="564">
        <v>0</v>
      </c>
      <c r="D102" s="564"/>
      <c r="E102" s="564"/>
      <c r="F102" s="564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  <c r="AA102" s="564"/>
      <c r="AB102" s="564"/>
      <c r="AC102" s="564"/>
      <c r="AD102" s="564"/>
      <c r="AE102" s="564"/>
      <c r="AF102" s="564"/>
      <c r="AG102" s="564"/>
      <c r="AH102" s="564"/>
      <c r="AI102" s="564"/>
      <c r="AJ102" s="564"/>
      <c r="AK102" s="564"/>
      <c r="AL102" s="564"/>
      <c r="AM102" s="564"/>
      <c r="AN102" s="564"/>
      <c r="AO102" s="564"/>
    </row>
    <row r="103" spans="2:41" x14ac:dyDescent="0.15">
      <c r="B103" s="565">
        <v>-31</v>
      </c>
      <c r="C103" s="564">
        <v>0</v>
      </c>
      <c r="D103" s="564"/>
      <c r="E103" s="564"/>
      <c r="F103" s="564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  <c r="Y103" s="564"/>
      <c r="Z103" s="564"/>
      <c r="AA103" s="564"/>
      <c r="AB103" s="564"/>
      <c r="AC103" s="564"/>
      <c r="AD103" s="564"/>
      <c r="AE103" s="564"/>
      <c r="AF103" s="564"/>
      <c r="AG103" s="564"/>
      <c r="AH103" s="564"/>
      <c r="AI103" s="564"/>
      <c r="AJ103" s="564"/>
      <c r="AK103" s="564"/>
      <c r="AL103" s="564"/>
      <c r="AM103" s="564"/>
      <c r="AN103" s="564"/>
      <c r="AO103" s="564"/>
    </row>
    <row r="104" spans="2:41" x14ac:dyDescent="0.15">
      <c r="B104" s="565">
        <v>-30</v>
      </c>
      <c r="C104" s="564">
        <v>0</v>
      </c>
      <c r="D104" s="564"/>
      <c r="E104" s="564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  <c r="Y104" s="564"/>
      <c r="Z104" s="564"/>
      <c r="AA104" s="564"/>
      <c r="AB104" s="564"/>
      <c r="AC104" s="564"/>
      <c r="AD104" s="564"/>
      <c r="AE104" s="564"/>
      <c r="AF104" s="564"/>
      <c r="AG104" s="564"/>
      <c r="AH104" s="564"/>
      <c r="AI104" s="564"/>
      <c r="AJ104" s="564"/>
      <c r="AK104" s="564"/>
      <c r="AL104" s="564"/>
      <c r="AM104" s="564"/>
      <c r="AN104" s="564"/>
      <c r="AO104" s="564"/>
    </row>
    <row r="105" spans="2:41" x14ac:dyDescent="0.15">
      <c r="B105" s="565">
        <v>-29</v>
      </c>
      <c r="C105" s="564">
        <v>0</v>
      </c>
      <c r="D105" s="564"/>
      <c r="E105" s="564"/>
      <c r="F105" s="564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  <c r="Y105" s="564"/>
      <c r="Z105" s="564"/>
      <c r="AA105" s="564"/>
      <c r="AB105" s="564"/>
      <c r="AC105" s="564"/>
      <c r="AD105" s="564"/>
      <c r="AE105" s="564"/>
      <c r="AF105" s="564"/>
      <c r="AG105" s="564"/>
      <c r="AH105" s="564"/>
      <c r="AI105" s="564"/>
      <c r="AJ105" s="564"/>
      <c r="AK105" s="564"/>
      <c r="AL105" s="564"/>
      <c r="AM105" s="564"/>
      <c r="AN105" s="564"/>
      <c r="AO105" s="564"/>
    </row>
    <row r="106" spans="2:41" x14ac:dyDescent="0.15">
      <c r="B106" s="565">
        <v>-28</v>
      </c>
      <c r="C106" s="564">
        <v>0</v>
      </c>
      <c r="D106" s="564"/>
      <c r="E106" s="564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  <c r="Y106" s="564"/>
      <c r="Z106" s="564"/>
      <c r="AA106" s="564"/>
      <c r="AB106" s="564"/>
      <c r="AC106" s="564"/>
      <c r="AD106" s="564"/>
      <c r="AE106" s="564"/>
      <c r="AF106" s="564"/>
      <c r="AG106" s="564"/>
      <c r="AH106" s="564"/>
      <c r="AI106" s="564"/>
      <c r="AJ106" s="564"/>
      <c r="AK106" s="564"/>
      <c r="AL106" s="564"/>
      <c r="AM106" s="564"/>
      <c r="AN106" s="564"/>
      <c r="AO106" s="564"/>
    </row>
    <row r="107" spans="2:41" x14ac:dyDescent="0.15">
      <c r="B107" s="565">
        <v>-27</v>
      </c>
      <c r="C107" s="564">
        <v>0</v>
      </c>
      <c r="D107" s="564"/>
      <c r="E107" s="564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  <c r="Y107" s="564"/>
      <c r="Z107" s="564"/>
      <c r="AA107" s="564"/>
      <c r="AB107" s="564"/>
      <c r="AC107" s="564"/>
      <c r="AD107" s="564"/>
      <c r="AE107" s="564"/>
      <c r="AF107" s="564"/>
      <c r="AG107" s="564"/>
      <c r="AH107" s="564"/>
      <c r="AI107" s="564"/>
      <c r="AJ107" s="564"/>
      <c r="AK107" s="564"/>
      <c r="AL107" s="564"/>
      <c r="AM107" s="564"/>
      <c r="AN107" s="564"/>
      <c r="AO107" s="564"/>
    </row>
    <row r="108" spans="2:41" x14ac:dyDescent="0.15">
      <c r="B108" s="565">
        <v>-26</v>
      </c>
      <c r="C108" s="564">
        <v>0</v>
      </c>
      <c r="D108" s="564"/>
      <c r="E108" s="564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  <c r="Y108" s="564"/>
      <c r="Z108" s="564"/>
      <c r="AA108" s="564"/>
      <c r="AB108" s="564"/>
      <c r="AC108" s="564"/>
      <c r="AD108" s="564"/>
      <c r="AE108" s="564"/>
      <c r="AF108" s="564"/>
      <c r="AG108" s="564"/>
      <c r="AH108" s="564"/>
      <c r="AI108" s="564"/>
      <c r="AJ108" s="564"/>
      <c r="AK108" s="564"/>
      <c r="AL108" s="564"/>
      <c r="AM108" s="564"/>
      <c r="AN108" s="564"/>
      <c r="AO108" s="564"/>
    </row>
    <row r="109" spans="2:41" x14ac:dyDescent="0.15">
      <c r="B109" s="565">
        <v>-25</v>
      </c>
      <c r="C109" s="564">
        <v>0</v>
      </c>
      <c r="D109" s="564"/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  <c r="Y109" s="564"/>
      <c r="Z109" s="564"/>
      <c r="AA109" s="564"/>
      <c r="AB109" s="564"/>
      <c r="AC109" s="564"/>
      <c r="AD109" s="564"/>
      <c r="AE109" s="564"/>
      <c r="AF109" s="564"/>
      <c r="AG109" s="564"/>
      <c r="AH109" s="564"/>
      <c r="AI109" s="564"/>
      <c r="AJ109" s="564"/>
      <c r="AK109" s="564"/>
      <c r="AL109" s="564"/>
      <c r="AM109" s="564"/>
      <c r="AN109" s="564"/>
      <c r="AO109" s="564"/>
    </row>
    <row r="110" spans="2:41" x14ac:dyDescent="0.15">
      <c r="B110" s="565">
        <v>-24</v>
      </c>
      <c r="C110" s="564">
        <v>0</v>
      </c>
      <c r="D110" s="564"/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  <c r="Y110" s="564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564"/>
      <c r="AM110" s="564"/>
      <c r="AN110" s="564"/>
      <c r="AO110" s="564"/>
    </row>
    <row r="111" spans="2:41" x14ac:dyDescent="0.15">
      <c r="B111" s="565">
        <v>-23</v>
      </c>
      <c r="C111" s="564">
        <v>0</v>
      </c>
      <c r="D111" s="564"/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  <c r="Y111" s="564"/>
      <c r="Z111" s="564"/>
      <c r="AA111" s="564"/>
      <c r="AB111" s="564"/>
      <c r="AC111" s="564"/>
      <c r="AD111" s="564"/>
      <c r="AE111" s="564"/>
      <c r="AF111" s="564"/>
      <c r="AG111" s="564"/>
      <c r="AH111" s="564"/>
      <c r="AI111" s="564"/>
      <c r="AJ111" s="564"/>
      <c r="AK111" s="564"/>
      <c r="AL111" s="564"/>
      <c r="AM111" s="564"/>
      <c r="AN111" s="564"/>
      <c r="AO111" s="564"/>
    </row>
    <row r="112" spans="2:41" x14ac:dyDescent="0.15">
      <c r="B112" s="565">
        <v>-22</v>
      </c>
      <c r="C112" s="564">
        <v>0</v>
      </c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  <c r="Y112" s="564"/>
      <c r="Z112" s="564"/>
      <c r="AA112" s="564"/>
      <c r="AB112" s="564"/>
      <c r="AC112" s="564"/>
      <c r="AD112" s="564"/>
      <c r="AE112" s="564"/>
      <c r="AF112" s="564"/>
      <c r="AG112" s="564"/>
      <c r="AH112" s="564"/>
      <c r="AI112" s="564"/>
      <c r="AJ112" s="564"/>
      <c r="AK112" s="564"/>
      <c r="AL112" s="564"/>
      <c r="AM112" s="564"/>
      <c r="AN112" s="564"/>
      <c r="AO112" s="564"/>
    </row>
    <row r="113" spans="2:41" x14ac:dyDescent="0.15">
      <c r="B113" s="565">
        <v>-21</v>
      </c>
      <c r="C113" s="564">
        <v>0</v>
      </c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  <c r="Y113" s="564"/>
      <c r="Z113" s="564"/>
      <c r="AA113" s="564"/>
      <c r="AB113" s="564"/>
      <c r="AC113" s="564"/>
      <c r="AD113" s="564"/>
      <c r="AE113" s="564"/>
      <c r="AF113" s="564"/>
      <c r="AG113" s="564"/>
      <c r="AH113" s="564"/>
      <c r="AI113" s="564"/>
      <c r="AJ113" s="564"/>
      <c r="AK113" s="564"/>
      <c r="AL113" s="564"/>
      <c r="AM113" s="564"/>
      <c r="AN113" s="564"/>
      <c r="AO113" s="564"/>
    </row>
    <row r="114" spans="2:41" x14ac:dyDescent="0.15">
      <c r="B114" s="565">
        <v>-20</v>
      </c>
      <c r="C114" s="564">
        <v>0</v>
      </c>
      <c r="D114" s="564"/>
      <c r="E114" s="564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  <c r="Y114" s="564"/>
      <c r="Z114" s="564"/>
      <c r="AA114" s="564"/>
      <c r="AB114" s="564"/>
      <c r="AC114" s="564"/>
      <c r="AD114" s="564"/>
      <c r="AE114" s="564"/>
      <c r="AF114" s="564"/>
      <c r="AG114" s="564"/>
      <c r="AH114" s="564"/>
      <c r="AI114" s="564"/>
      <c r="AJ114" s="564"/>
      <c r="AK114" s="564"/>
      <c r="AL114" s="564"/>
      <c r="AM114" s="564"/>
      <c r="AN114" s="564"/>
      <c r="AO114" s="564"/>
    </row>
    <row r="115" spans="2:41" x14ac:dyDescent="0.15">
      <c r="B115" s="565">
        <v>-19</v>
      </c>
      <c r="C115" s="564">
        <v>0</v>
      </c>
      <c r="D115" s="564"/>
      <c r="E115" s="564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  <c r="Y115" s="564"/>
      <c r="Z115" s="564"/>
      <c r="AA115" s="564"/>
      <c r="AB115" s="564"/>
      <c r="AC115" s="564"/>
      <c r="AD115" s="564"/>
      <c r="AE115" s="564"/>
      <c r="AF115" s="564"/>
      <c r="AG115" s="564"/>
      <c r="AH115" s="564"/>
      <c r="AI115" s="564"/>
      <c r="AJ115" s="564"/>
      <c r="AK115" s="564"/>
      <c r="AL115" s="564"/>
      <c r="AM115" s="564"/>
      <c r="AN115" s="564"/>
      <c r="AO115" s="564"/>
    </row>
    <row r="116" spans="2:41" x14ac:dyDescent="0.15">
      <c r="B116" s="565">
        <v>-18</v>
      </c>
      <c r="C116" s="564">
        <v>0</v>
      </c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  <c r="Y116" s="564"/>
      <c r="Z116" s="564"/>
      <c r="AA116" s="564"/>
      <c r="AB116" s="564"/>
      <c r="AC116" s="564"/>
      <c r="AD116" s="564"/>
      <c r="AE116" s="564"/>
      <c r="AF116" s="564"/>
      <c r="AG116" s="564"/>
      <c r="AH116" s="564"/>
      <c r="AI116" s="564"/>
      <c r="AJ116" s="564"/>
      <c r="AK116" s="564"/>
      <c r="AL116" s="564"/>
      <c r="AM116" s="564"/>
      <c r="AN116" s="564"/>
      <c r="AO116" s="564"/>
    </row>
    <row r="117" spans="2:41" x14ac:dyDescent="0.15">
      <c r="B117" s="565">
        <v>-17</v>
      </c>
      <c r="C117" s="564">
        <v>2.2831050228310502E-4</v>
      </c>
      <c r="D117" s="564"/>
      <c r="E117" s="564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  <c r="Y117" s="564"/>
      <c r="Z117" s="564"/>
      <c r="AA117" s="564"/>
      <c r="AB117" s="564"/>
      <c r="AC117" s="564"/>
      <c r="AD117" s="564"/>
      <c r="AE117" s="564"/>
      <c r="AF117" s="564"/>
      <c r="AG117" s="564"/>
      <c r="AH117" s="564"/>
      <c r="AI117" s="564"/>
      <c r="AJ117" s="564"/>
      <c r="AK117" s="564"/>
      <c r="AL117" s="564"/>
      <c r="AM117" s="564"/>
      <c r="AN117" s="564"/>
      <c r="AO117" s="564"/>
    </row>
    <row r="118" spans="2:41" x14ac:dyDescent="0.15">
      <c r="B118" s="565">
        <v>-16</v>
      </c>
      <c r="C118" s="564">
        <v>1.2557077625570776E-3</v>
      </c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  <c r="Y118" s="564"/>
      <c r="Z118" s="564"/>
      <c r="AA118" s="564"/>
      <c r="AB118" s="564"/>
      <c r="AC118" s="564"/>
      <c r="AD118" s="564"/>
      <c r="AE118" s="564"/>
      <c r="AF118" s="564"/>
      <c r="AG118" s="564"/>
      <c r="AH118" s="564"/>
      <c r="AI118" s="564"/>
      <c r="AJ118" s="564"/>
      <c r="AK118" s="564"/>
      <c r="AL118" s="564"/>
      <c r="AM118" s="564"/>
      <c r="AN118" s="564"/>
      <c r="AO118" s="564"/>
    </row>
    <row r="119" spans="2:41" x14ac:dyDescent="0.15">
      <c r="B119" s="565">
        <v>-15</v>
      </c>
      <c r="C119" s="564">
        <v>4.7945205479452057E-3</v>
      </c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  <c r="Y119" s="564"/>
      <c r="Z119" s="564"/>
      <c r="AA119" s="564"/>
      <c r="AB119" s="564"/>
      <c r="AC119" s="564"/>
      <c r="AD119" s="564"/>
      <c r="AE119" s="564"/>
      <c r="AF119" s="564"/>
      <c r="AG119" s="564"/>
      <c r="AH119" s="564"/>
      <c r="AI119" s="564"/>
      <c r="AJ119" s="564"/>
      <c r="AK119" s="564"/>
      <c r="AL119" s="564"/>
      <c r="AM119" s="564"/>
      <c r="AN119" s="564"/>
      <c r="AO119" s="564"/>
    </row>
    <row r="120" spans="2:41" x14ac:dyDescent="0.15">
      <c r="B120" s="565">
        <v>-14</v>
      </c>
      <c r="C120" s="564">
        <v>6.8493150684931503E-3</v>
      </c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  <c r="Y120" s="564"/>
      <c r="Z120" s="564"/>
      <c r="AA120" s="564"/>
      <c r="AB120" s="564"/>
      <c r="AC120" s="564"/>
      <c r="AD120" s="564"/>
      <c r="AE120" s="564"/>
      <c r="AF120" s="564"/>
      <c r="AG120" s="564"/>
      <c r="AH120" s="564"/>
      <c r="AI120" s="564"/>
      <c r="AJ120" s="564"/>
      <c r="AK120" s="564"/>
      <c r="AL120" s="564"/>
      <c r="AM120" s="564"/>
      <c r="AN120" s="564"/>
      <c r="AO120" s="564"/>
    </row>
    <row r="121" spans="2:41" x14ac:dyDescent="0.15">
      <c r="B121" s="565">
        <v>-13</v>
      </c>
      <c r="C121" s="564">
        <v>1.2557077625570776E-2</v>
      </c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  <c r="Y121" s="564"/>
      <c r="Z121" s="564"/>
      <c r="AA121" s="564"/>
      <c r="AB121" s="564"/>
      <c r="AC121" s="564"/>
      <c r="AD121" s="564"/>
      <c r="AE121" s="564"/>
      <c r="AF121" s="564"/>
      <c r="AG121" s="564"/>
      <c r="AH121" s="564"/>
      <c r="AI121" s="564"/>
      <c r="AJ121" s="564"/>
      <c r="AK121" s="564"/>
      <c r="AL121" s="564"/>
      <c r="AM121" s="564"/>
      <c r="AN121" s="564"/>
      <c r="AO121" s="564"/>
    </row>
    <row r="122" spans="2:41" x14ac:dyDescent="0.15">
      <c r="B122" s="565">
        <v>-12</v>
      </c>
      <c r="C122" s="564">
        <v>1.9748858447488585E-2</v>
      </c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  <c r="Y122" s="564"/>
      <c r="Z122" s="564"/>
      <c r="AA122" s="564"/>
      <c r="AB122" s="564"/>
      <c r="AC122" s="564"/>
      <c r="AD122" s="564"/>
      <c r="AE122" s="564"/>
      <c r="AF122" s="564"/>
      <c r="AG122" s="564"/>
      <c r="AH122" s="564"/>
      <c r="AI122" s="564"/>
      <c r="AJ122" s="564"/>
      <c r="AK122" s="564"/>
      <c r="AL122" s="564"/>
      <c r="AM122" s="564"/>
      <c r="AN122" s="564"/>
      <c r="AO122" s="564"/>
    </row>
    <row r="123" spans="2:41" x14ac:dyDescent="0.15">
      <c r="B123" s="565">
        <v>-11</v>
      </c>
      <c r="C123" s="564">
        <v>2.9223744292237442E-2</v>
      </c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  <c r="AB123" s="564"/>
      <c r="AC123" s="564"/>
      <c r="AD123" s="564"/>
      <c r="AE123" s="564"/>
      <c r="AF123" s="564"/>
      <c r="AG123" s="564"/>
      <c r="AH123" s="564"/>
      <c r="AI123" s="564"/>
      <c r="AJ123" s="564"/>
      <c r="AK123" s="564"/>
      <c r="AL123" s="564"/>
      <c r="AM123" s="564"/>
      <c r="AN123" s="564"/>
      <c r="AO123" s="564"/>
    </row>
    <row r="124" spans="2:41" x14ac:dyDescent="0.15">
      <c r="B124" s="565">
        <v>-10</v>
      </c>
      <c r="C124" s="564">
        <v>4.029680365296804E-2</v>
      </c>
      <c r="D124" s="564"/>
      <c r="E124" s="564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  <c r="Y124" s="564"/>
      <c r="Z124" s="564"/>
      <c r="AA124" s="564"/>
      <c r="AB124" s="564"/>
      <c r="AC124" s="564"/>
      <c r="AD124" s="564"/>
      <c r="AE124" s="564"/>
      <c r="AF124" s="564"/>
      <c r="AG124" s="564"/>
      <c r="AH124" s="564"/>
      <c r="AI124" s="564"/>
      <c r="AJ124" s="564"/>
      <c r="AK124" s="564"/>
      <c r="AL124" s="564"/>
      <c r="AM124" s="564"/>
      <c r="AN124" s="564"/>
      <c r="AO124" s="564"/>
    </row>
    <row r="125" spans="2:41" x14ac:dyDescent="0.15">
      <c r="B125" s="565">
        <v>-9</v>
      </c>
      <c r="C125" s="564">
        <v>4.8744292237442921E-2</v>
      </c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  <c r="Y125" s="564"/>
      <c r="Z125" s="564"/>
      <c r="AA125" s="564"/>
      <c r="AB125" s="564"/>
      <c r="AC125" s="564"/>
      <c r="AD125" s="564"/>
      <c r="AE125" s="564"/>
      <c r="AF125" s="564"/>
      <c r="AG125" s="564"/>
      <c r="AH125" s="564"/>
      <c r="AI125" s="564"/>
      <c r="AJ125" s="564"/>
      <c r="AK125" s="564"/>
      <c r="AL125" s="564"/>
      <c r="AM125" s="564"/>
      <c r="AN125" s="564"/>
      <c r="AO125" s="564"/>
    </row>
    <row r="126" spans="2:41" x14ac:dyDescent="0.15">
      <c r="B126" s="565">
        <v>-8</v>
      </c>
      <c r="C126" s="564">
        <v>6.2557077625570778E-2</v>
      </c>
      <c r="D126" s="564"/>
      <c r="E126" s="564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  <c r="Y126" s="564"/>
      <c r="Z126" s="564"/>
      <c r="AA126" s="564"/>
      <c r="AB126" s="564"/>
      <c r="AC126" s="564"/>
      <c r="AD126" s="564"/>
      <c r="AE126" s="564"/>
      <c r="AF126" s="564"/>
      <c r="AG126" s="564"/>
      <c r="AH126" s="564"/>
      <c r="AI126" s="564"/>
      <c r="AJ126" s="564"/>
      <c r="AK126" s="564"/>
      <c r="AL126" s="564"/>
      <c r="AM126" s="564"/>
      <c r="AN126" s="564"/>
      <c r="AO126" s="564"/>
    </row>
    <row r="127" spans="2:41" x14ac:dyDescent="0.15">
      <c r="B127" s="565">
        <v>-7</v>
      </c>
      <c r="C127" s="564">
        <v>8.4474885844748854E-2</v>
      </c>
      <c r="D127" s="564"/>
      <c r="E127" s="564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  <c r="Y127" s="564"/>
      <c r="Z127" s="564"/>
      <c r="AA127" s="564"/>
      <c r="AB127" s="564"/>
      <c r="AC127" s="564"/>
      <c r="AD127" s="564"/>
      <c r="AE127" s="564"/>
      <c r="AF127" s="564"/>
      <c r="AG127" s="564"/>
      <c r="AH127" s="564"/>
      <c r="AI127" s="564"/>
      <c r="AJ127" s="564"/>
      <c r="AK127" s="564"/>
      <c r="AL127" s="564"/>
      <c r="AM127" s="564"/>
      <c r="AN127" s="564"/>
      <c r="AO127" s="564"/>
    </row>
    <row r="128" spans="2:41" x14ac:dyDescent="0.15">
      <c r="B128" s="565">
        <v>-6</v>
      </c>
      <c r="C128" s="564">
        <v>0.10616438356164383</v>
      </c>
      <c r="D128" s="564"/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  <c r="Y128" s="564"/>
      <c r="Z128" s="564"/>
      <c r="AA128" s="564"/>
      <c r="AB128" s="564"/>
      <c r="AC128" s="564"/>
      <c r="AD128" s="564"/>
      <c r="AE128" s="564"/>
      <c r="AF128" s="564"/>
      <c r="AG128" s="564"/>
      <c r="AH128" s="564"/>
      <c r="AI128" s="564"/>
      <c r="AJ128" s="564"/>
      <c r="AK128" s="564"/>
      <c r="AL128" s="564"/>
      <c r="AM128" s="564"/>
      <c r="AN128" s="564"/>
      <c r="AO128" s="564"/>
    </row>
    <row r="129" spans="2:41" x14ac:dyDescent="0.15">
      <c r="B129" s="565">
        <v>-5</v>
      </c>
      <c r="C129" s="564">
        <v>0.13070776255707764</v>
      </c>
      <c r="D129" s="564"/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  <c r="AB129" s="564"/>
      <c r="AC129" s="564"/>
      <c r="AD129" s="564"/>
      <c r="AE129" s="564"/>
      <c r="AF129" s="564"/>
      <c r="AG129" s="564"/>
      <c r="AH129" s="564"/>
      <c r="AI129" s="564"/>
      <c r="AJ129" s="564"/>
      <c r="AK129" s="564"/>
      <c r="AL129" s="564"/>
      <c r="AM129" s="564"/>
      <c r="AN129" s="564"/>
      <c r="AO129" s="564"/>
    </row>
    <row r="130" spans="2:41" x14ac:dyDescent="0.15">
      <c r="B130" s="565">
        <v>-4</v>
      </c>
      <c r="C130" s="564">
        <v>0.14771689497716894</v>
      </c>
      <c r="D130" s="564"/>
      <c r="E130" s="564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  <c r="Y130" s="564"/>
      <c r="Z130" s="564"/>
      <c r="AA130" s="564"/>
      <c r="AB130" s="564"/>
      <c r="AC130" s="564"/>
      <c r="AD130" s="564"/>
      <c r="AE130" s="564"/>
      <c r="AF130" s="564"/>
      <c r="AG130" s="564"/>
      <c r="AH130" s="564"/>
      <c r="AI130" s="564"/>
      <c r="AJ130" s="564"/>
      <c r="AK130" s="564"/>
      <c r="AL130" s="564"/>
      <c r="AM130" s="564"/>
      <c r="AN130" s="564"/>
      <c r="AO130" s="564"/>
    </row>
    <row r="131" spans="2:41" x14ac:dyDescent="0.15">
      <c r="B131" s="565">
        <v>-3</v>
      </c>
      <c r="C131" s="564">
        <v>0.17340182648401825</v>
      </c>
      <c r="D131" s="564"/>
      <c r="E131" s="564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  <c r="Y131" s="564"/>
      <c r="Z131" s="564"/>
      <c r="AA131" s="564"/>
      <c r="AB131" s="564"/>
      <c r="AC131" s="564"/>
      <c r="AD131" s="564"/>
      <c r="AE131" s="564"/>
      <c r="AF131" s="564"/>
      <c r="AG131" s="564"/>
      <c r="AH131" s="564"/>
      <c r="AI131" s="564"/>
      <c r="AJ131" s="564"/>
      <c r="AK131" s="564"/>
      <c r="AL131" s="564"/>
      <c r="AM131" s="564"/>
      <c r="AN131" s="564"/>
      <c r="AO131" s="564"/>
    </row>
    <row r="132" spans="2:41" x14ac:dyDescent="0.15">
      <c r="B132" s="565">
        <v>-2</v>
      </c>
      <c r="C132" s="564">
        <v>0.20468036529680364</v>
      </c>
      <c r="D132" s="564"/>
      <c r="E132" s="564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  <c r="Y132" s="564"/>
      <c r="Z132" s="564"/>
      <c r="AA132" s="564"/>
      <c r="AB132" s="564"/>
      <c r="AC132" s="564"/>
      <c r="AD132" s="564"/>
      <c r="AE132" s="564"/>
      <c r="AF132" s="564"/>
      <c r="AG132" s="564"/>
      <c r="AH132" s="564"/>
      <c r="AI132" s="564"/>
      <c r="AJ132" s="564"/>
      <c r="AK132" s="564"/>
      <c r="AL132" s="564"/>
      <c r="AM132" s="564"/>
      <c r="AN132" s="564"/>
      <c r="AO132" s="564"/>
    </row>
    <row r="133" spans="2:41" x14ac:dyDescent="0.15">
      <c r="B133" s="565">
        <v>-1</v>
      </c>
      <c r="C133" s="564">
        <v>0.23184931506849316</v>
      </c>
      <c r="D133" s="564"/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  <c r="Y133" s="564"/>
      <c r="Z133" s="564"/>
      <c r="AA133" s="564"/>
      <c r="AB133" s="564"/>
      <c r="AC133" s="564"/>
      <c r="AD133" s="564"/>
      <c r="AE133" s="564"/>
      <c r="AF133" s="564"/>
      <c r="AG133" s="564"/>
      <c r="AH133" s="564"/>
      <c r="AI133" s="564"/>
      <c r="AJ133" s="564"/>
      <c r="AK133" s="564"/>
      <c r="AL133" s="564"/>
      <c r="AM133" s="564"/>
      <c r="AN133" s="564"/>
      <c r="AO133" s="564"/>
    </row>
    <row r="134" spans="2:41" x14ac:dyDescent="0.15">
      <c r="B134" s="565">
        <v>0</v>
      </c>
      <c r="C134" s="564">
        <v>0.27363013698630134</v>
      </c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  <c r="Y134" s="564"/>
      <c r="Z134" s="564"/>
      <c r="AA134" s="564"/>
      <c r="AB134" s="564"/>
      <c r="AC134" s="564"/>
      <c r="AD134" s="564"/>
      <c r="AE134" s="564"/>
      <c r="AF134" s="564"/>
      <c r="AG134" s="564"/>
      <c r="AH134" s="564"/>
      <c r="AI134" s="564"/>
      <c r="AJ134" s="564"/>
      <c r="AK134" s="564"/>
      <c r="AL134" s="564"/>
      <c r="AM134" s="564"/>
      <c r="AN134" s="564"/>
      <c r="AO134" s="564"/>
    </row>
    <row r="135" spans="2:41" x14ac:dyDescent="0.15">
      <c r="B135" s="565">
        <v>1</v>
      </c>
      <c r="C135" s="564">
        <v>0.30490867579908676</v>
      </c>
      <c r="D135" s="564"/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  <c r="Y135" s="564"/>
      <c r="Z135" s="564"/>
      <c r="AA135" s="564"/>
      <c r="AB135" s="564"/>
      <c r="AC135" s="564"/>
      <c r="AD135" s="564"/>
      <c r="AE135" s="564"/>
      <c r="AF135" s="564"/>
      <c r="AG135" s="564"/>
      <c r="AH135" s="564"/>
      <c r="AI135" s="564"/>
      <c r="AJ135" s="564"/>
      <c r="AK135" s="564"/>
      <c r="AL135" s="564"/>
      <c r="AM135" s="564"/>
      <c r="AN135" s="564"/>
      <c r="AO135" s="564"/>
    </row>
    <row r="136" spans="2:41" x14ac:dyDescent="0.15">
      <c r="B136" s="565">
        <v>2</v>
      </c>
      <c r="C136" s="564">
        <v>0.36506849315068496</v>
      </c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  <c r="Y136" s="564"/>
      <c r="Z136" s="564"/>
      <c r="AA136" s="564"/>
      <c r="AB136" s="564"/>
      <c r="AC136" s="564"/>
      <c r="AD136" s="564"/>
      <c r="AE136" s="564"/>
      <c r="AF136" s="564"/>
      <c r="AG136" s="564"/>
      <c r="AH136" s="564"/>
      <c r="AI136" s="564"/>
      <c r="AJ136" s="564"/>
      <c r="AK136" s="564"/>
      <c r="AL136" s="564"/>
      <c r="AM136" s="564"/>
      <c r="AN136" s="564"/>
      <c r="AO136" s="564"/>
    </row>
    <row r="137" spans="2:41" x14ac:dyDescent="0.15">
      <c r="B137" s="565">
        <v>3</v>
      </c>
      <c r="C137" s="564">
        <v>0.40559360730593608</v>
      </c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  <c r="Y137" s="564"/>
      <c r="Z137" s="564"/>
      <c r="AA137" s="564"/>
      <c r="AB137" s="564"/>
      <c r="AC137" s="564"/>
      <c r="AD137" s="564"/>
      <c r="AE137" s="564"/>
      <c r="AF137" s="564"/>
      <c r="AG137" s="564"/>
      <c r="AH137" s="564"/>
      <c r="AI137" s="564"/>
      <c r="AJ137" s="564"/>
      <c r="AK137" s="564"/>
      <c r="AL137" s="564"/>
      <c r="AM137" s="564"/>
      <c r="AN137" s="564"/>
      <c r="AO137" s="564"/>
    </row>
    <row r="138" spans="2:41" x14ac:dyDescent="0.15">
      <c r="B138" s="565">
        <v>4</v>
      </c>
      <c r="C138" s="564">
        <v>0.4534246575342466</v>
      </c>
      <c r="D138" s="564"/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  <c r="Y138" s="564"/>
      <c r="Z138" s="564"/>
      <c r="AA138" s="564"/>
      <c r="AB138" s="564"/>
      <c r="AC138" s="564"/>
      <c r="AD138" s="564"/>
      <c r="AE138" s="564"/>
      <c r="AF138" s="564"/>
      <c r="AG138" s="564"/>
      <c r="AH138" s="564"/>
      <c r="AI138" s="564"/>
      <c r="AJ138" s="564"/>
      <c r="AK138" s="564"/>
      <c r="AL138" s="564"/>
      <c r="AM138" s="564"/>
      <c r="AN138" s="564"/>
      <c r="AO138" s="564"/>
    </row>
    <row r="139" spans="2:41" x14ac:dyDescent="0.15">
      <c r="B139" s="565">
        <v>5</v>
      </c>
      <c r="C139" s="564">
        <v>0.49874429223744293</v>
      </c>
      <c r="D139" s="564"/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  <c r="Y139" s="564"/>
      <c r="Z139" s="564"/>
      <c r="AA139" s="564"/>
      <c r="AB139" s="564"/>
      <c r="AC139" s="564"/>
      <c r="AD139" s="564"/>
      <c r="AE139" s="564"/>
      <c r="AF139" s="564"/>
      <c r="AG139" s="564"/>
      <c r="AH139" s="564"/>
      <c r="AI139" s="564"/>
      <c r="AJ139" s="564"/>
      <c r="AK139" s="564"/>
      <c r="AL139" s="564"/>
      <c r="AM139" s="564"/>
      <c r="AN139" s="564"/>
      <c r="AO139" s="564"/>
    </row>
    <row r="140" spans="2:41" x14ac:dyDescent="0.15">
      <c r="B140" s="565">
        <v>6</v>
      </c>
      <c r="C140" s="564">
        <v>0.51609589041095894</v>
      </c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  <c r="AA140" s="564"/>
      <c r="AB140" s="564"/>
      <c r="AC140" s="564"/>
      <c r="AD140" s="564"/>
      <c r="AE140" s="564"/>
      <c r="AF140" s="564"/>
      <c r="AG140" s="564"/>
      <c r="AH140" s="564"/>
      <c r="AI140" s="564"/>
      <c r="AJ140" s="564"/>
      <c r="AK140" s="564"/>
      <c r="AL140" s="564"/>
      <c r="AM140" s="564"/>
      <c r="AN140" s="564"/>
      <c r="AO140" s="564"/>
    </row>
    <row r="141" spans="2:41" x14ac:dyDescent="0.15">
      <c r="B141" s="565">
        <v>7</v>
      </c>
      <c r="C141" s="564">
        <v>0.5501141552511416</v>
      </c>
      <c r="D141" s="564"/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  <c r="Y141" s="564"/>
      <c r="Z141" s="564"/>
      <c r="AA141" s="564"/>
      <c r="AB141" s="564"/>
      <c r="AC141" s="564"/>
      <c r="AD141" s="564"/>
      <c r="AE141" s="564"/>
      <c r="AF141" s="564"/>
      <c r="AG141" s="564"/>
      <c r="AH141" s="564"/>
      <c r="AI141" s="564"/>
      <c r="AJ141" s="564"/>
      <c r="AK141" s="564"/>
      <c r="AL141" s="564"/>
      <c r="AM141" s="564"/>
      <c r="AN141" s="564"/>
      <c r="AO141" s="564"/>
    </row>
    <row r="142" spans="2:41" x14ac:dyDescent="0.15">
      <c r="B142" s="565">
        <v>8</v>
      </c>
      <c r="C142" s="564">
        <v>0.58858447488584476</v>
      </c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  <c r="Y142" s="564"/>
      <c r="Z142" s="564"/>
      <c r="AA142" s="564"/>
      <c r="AB142" s="564"/>
      <c r="AC142" s="564"/>
      <c r="AD142" s="564"/>
      <c r="AE142" s="564"/>
      <c r="AF142" s="564"/>
      <c r="AG142" s="564"/>
      <c r="AH142" s="564"/>
      <c r="AI142" s="564"/>
      <c r="AJ142" s="564"/>
      <c r="AK142" s="564"/>
      <c r="AL142" s="564"/>
      <c r="AM142" s="564"/>
      <c r="AN142" s="564"/>
      <c r="AO142" s="564"/>
    </row>
    <row r="143" spans="2:41" x14ac:dyDescent="0.15">
      <c r="B143" s="565">
        <v>9</v>
      </c>
      <c r="C143" s="564">
        <v>0.6205479452054794</v>
      </c>
      <c r="D143" s="564"/>
      <c r="E143" s="564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  <c r="Y143" s="564"/>
      <c r="Z143" s="564"/>
      <c r="AA143" s="564"/>
      <c r="AB143" s="564"/>
      <c r="AC143" s="564"/>
      <c r="AD143" s="564"/>
      <c r="AE143" s="564"/>
      <c r="AF143" s="564"/>
      <c r="AG143" s="564"/>
      <c r="AH143" s="564"/>
      <c r="AI143" s="564"/>
      <c r="AJ143" s="564"/>
      <c r="AK143" s="564"/>
      <c r="AL143" s="564"/>
      <c r="AM143" s="564"/>
      <c r="AN143" s="564"/>
      <c r="AO143" s="564"/>
    </row>
    <row r="144" spans="2:41" x14ac:dyDescent="0.15">
      <c r="B144" s="565">
        <v>10</v>
      </c>
      <c r="C144" s="564">
        <v>0.65936073059360734</v>
      </c>
      <c r="D144" s="564"/>
      <c r="E144" s="564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  <c r="Y144" s="564"/>
      <c r="Z144" s="564"/>
      <c r="AA144" s="564"/>
      <c r="AB144" s="564"/>
      <c r="AC144" s="564"/>
      <c r="AD144" s="564"/>
      <c r="AE144" s="564"/>
      <c r="AF144" s="564"/>
      <c r="AG144" s="564"/>
      <c r="AH144" s="564"/>
      <c r="AI144" s="564"/>
      <c r="AJ144" s="564"/>
      <c r="AK144" s="564"/>
      <c r="AL144" s="564"/>
      <c r="AM144" s="564"/>
      <c r="AN144" s="564"/>
      <c r="AO144" s="564"/>
    </row>
    <row r="145" spans="2:41" x14ac:dyDescent="0.15">
      <c r="B145" s="565">
        <v>11</v>
      </c>
      <c r="C145" s="564">
        <v>0.68093607305936077</v>
      </c>
      <c r="D145" s="564"/>
      <c r="E145" s="564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  <c r="Y145" s="564"/>
      <c r="Z145" s="564"/>
      <c r="AA145" s="564"/>
      <c r="AB145" s="564"/>
      <c r="AC145" s="564"/>
      <c r="AD145" s="564"/>
      <c r="AE145" s="564"/>
      <c r="AF145" s="564"/>
      <c r="AG145" s="564"/>
      <c r="AH145" s="564"/>
      <c r="AI145" s="564"/>
      <c r="AJ145" s="564"/>
      <c r="AK145" s="564"/>
      <c r="AL145" s="564"/>
      <c r="AM145" s="564"/>
      <c r="AN145" s="564"/>
      <c r="AO145" s="564"/>
    </row>
    <row r="146" spans="2:41" x14ac:dyDescent="0.15">
      <c r="B146" s="565">
        <v>12</v>
      </c>
      <c r="C146" s="564">
        <v>0.71860730593607303</v>
      </c>
      <c r="D146" s="564"/>
      <c r="E146" s="564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  <c r="Y146" s="564"/>
      <c r="Z146" s="564"/>
      <c r="AA146" s="564"/>
      <c r="AB146" s="564"/>
      <c r="AC146" s="564"/>
      <c r="AD146" s="564"/>
      <c r="AE146" s="564"/>
      <c r="AF146" s="564"/>
      <c r="AG146" s="564"/>
      <c r="AH146" s="564"/>
      <c r="AI146" s="564"/>
      <c r="AJ146" s="564"/>
      <c r="AK146" s="564"/>
      <c r="AL146" s="564"/>
      <c r="AM146" s="564"/>
      <c r="AN146" s="564"/>
      <c r="AO146" s="564"/>
    </row>
    <row r="147" spans="2:41" x14ac:dyDescent="0.15">
      <c r="B147" s="565">
        <v>13</v>
      </c>
      <c r="C147" s="564">
        <v>0.76404109589041092</v>
      </c>
      <c r="D147" s="564"/>
      <c r="E147" s="564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  <c r="Y147" s="564"/>
      <c r="Z147" s="564"/>
      <c r="AA147" s="564"/>
      <c r="AB147" s="564"/>
      <c r="AC147" s="564"/>
      <c r="AD147" s="564"/>
      <c r="AE147" s="564"/>
      <c r="AF147" s="564"/>
      <c r="AG147" s="564"/>
      <c r="AH147" s="564"/>
      <c r="AI147" s="564"/>
      <c r="AJ147" s="564"/>
      <c r="AK147" s="564"/>
      <c r="AL147" s="564"/>
      <c r="AM147" s="564"/>
      <c r="AN147" s="564"/>
      <c r="AO147" s="564"/>
    </row>
    <row r="148" spans="2:41" x14ac:dyDescent="0.15">
      <c r="B148" s="565">
        <v>14</v>
      </c>
      <c r="C148" s="564">
        <v>0.80936073059360736</v>
      </c>
      <c r="D148" s="564"/>
      <c r="E148" s="564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  <c r="Y148" s="564"/>
      <c r="Z148" s="564"/>
      <c r="AA148" s="564"/>
      <c r="AB148" s="564"/>
      <c r="AC148" s="564"/>
      <c r="AD148" s="564"/>
      <c r="AE148" s="564"/>
      <c r="AF148" s="564"/>
      <c r="AG148" s="564"/>
      <c r="AH148" s="564"/>
      <c r="AI148" s="564"/>
      <c r="AJ148" s="564"/>
      <c r="AK148" s="564"/>
      <c r="AL148" s="564"/>
      <c r="AM148" s="564"/>
      <c r="AN148" s="564"/>
      <c r="AO148" s="564"/>
    </row>
    <row r="149" spans="2:41" x14ac:dyDescent="0.15">
      <c r="B149" s="565">
        <v>15</v>
      </c>
      <c r="C149" s="564">
        <v>0.84531963470319638</v>
      </c>
      <c r="D149" s="564"/>
      <c r="E149" s="564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  <c r="Y149" s="564"/>
      <c r="Z149" s="564"/>
      <c r="AA149" s="564"/>
      <c r="AB149" s="564"/>
      <c r="AC149" s="564"/>
      <c r="AD149" s="564"/>
      <c r="AE149" s="564"/>
      <c r="AF149" s="564"/>
      <c r="AG149" s="564"/>
      <c r="AH149" s="564"/>
      <c r="AI149" s="564"/>
      <c r="AJ149" s="564"/>
      <c r="AK149" s="564"/>
      <c r="AL149" s="564"/>
      <c r="AM149" s="564"/>
      <c r="AN149" s="564"/>
      <c r="AO149" s="564"/>
    </row>
    <row r="150" spans="2:41" x14ac:dyDescent="0.15">
      <c r="B150" s="565">
        <v>16</v>
      </c>
      <c r="C150" s="564">
        <v>0.86312785388127855</v>
      </c>
      <c r="D150" s="564"/>
      <c r="E150" s="564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  <c r="Y150" s="564"/>
      <c r="Z150" s="564"/>
      <c r="AA150" s="564"/>
      <c r="AB150" s="564"/>
      <c r="AC150" s="564"/>
      <c r="AD150" s="564"/>
      <c r="AE150" s="564"/>
      <c r="AF150" s="564"/>
      <c r="AG150" s="564"/>
      <c r="AH150" s="564"/>
      <c r="AI150" s="564"/>
      <c r="AJ150" s="564"/>
      <c r="AK150" s="564"/>
      <c r="AL150" s="564"/>
      <c r="AM150" s="564"/>
      <c r="AN150" s="564"/>
      <c r="AO150" s="564"/>
    </row>
    <row r="151" spans="2:41" x14ac:dyDescent="0.15">
      <c r="B151" s="565">
        <v>17</v>
      </c>
      <c r="C151" s="564">
        <v>0.88949771689497714</v>
      </c>
      <c r="D151" s="564"/>
      <c r="E151" s="564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  <c r="Y151" s="564"/>
      <c r="Z151" s="564"/>
      <c r="AA151" s="564"/>
      <c r="AB151" s="564"/>
      <c r="AC151" s="564"/>
      <c r="AD151" s="564"/>
      <c r="AE151" s="564"/>
      <c r="AF151" s="564"/>
      <c r="AG151" s="564"/>
      <c r="AH151" s="564"/>
      <c r="AI151" s="564"/>
      <c r="AJ151" s="564"/>
      <c r="AK151" s="564"/>
      <c r="AL151" s="564"/>
      <c r="AM151" s="564"/>
      <c r="AN151" s="564"/>
      <c r="AO151" s="564"/>
    </row>
    <row r="152" spans="2:41" x14ac:dyDescent="0.15">
      <c r="B152" s="565">
        <v>18</v>
      </c>
      <c r="C152" s="564">
        <v>0.91461187214611872</v>
      </c>
      <c r="D152" s="564"/>
      <c r="E152" s="564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  <c r="Y152" s="564"/>
      <c r="Z152" s="564"/>
      <c r="AA152" s="564"/>
      <c r="AB152" s="564"/>
      <c r="AC152" s="564"/>
      <c r="AD152" s="564"/>
      <c r="AE152" s="564"/>
      <c r="AF152" s="564"/>
      <c r="AG152" s="564"/>
      <c r="AH152" s="564"/>
      <c r="AI152" s="564"/>
      <c r="AJ152" s="564"/>
      <c r="AK152" s="564"/>
      <c r="AL152" s="564"/>
      <c r="AM152" s="564"/>
      <c r="AN152" s="564"/>
      <c r="AO152" s="564"/>
    </row>
    <row r="153" spans="2:41" x14ac:dyDescent="0.15">
      <c r="B153" s="565">
        <v>19</v>
      </c>
      <c r="C153" s="564">
        <v>0.93641552511415527</v>
      </c>
      <c r="D153" s="564"/>
      <c r="E153" s="564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  <c r="Y153" s="564"/>
      <c r="Z153" s="564"/>
      <c r="AA153" s="564"/>
      <c r="AB153" s="564"/>
      <c r="AC153" s="564"/>
      <c r="AD153" s="564"/>
      <c r="AE153" s="564"/>
      <c r="AF153" s="564"/>
      <c r="AG153" s="564"/>
      <c r="AH153" s="564"/>
      <c r="AI153" s="564"/>
      <c r="AJ153" s="564"/>
      <c r="AK153" s="564"/>
      <c r="AL153" s="564"/>
      <c r="AM153" s="564"/>
      <c r="AN153" s="564"/>
      <c r="AO153" s="564"/>
    </row>
    <row r="154" spans="2:41" x14ac:dyDescent="0.15">
      <c r="B154" s="565">
        <v>20</v>
      </c>
      <c r="C154" s="564">
        <v>0.95399543378995433</v>
      </c>
      <c r="D154" s="564"/>
      <c r="E154" s="564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  <c r="Y154" s="564"/>
      <c r="Z154" s="564"/>
      <c r="AA154" s="564"/>
      <c r="AB154" s="564"/>
      <c r="AC154" s="564"/>
      <c r="AD154" s="564"/>
      <c r="AE154" s="564"/>
      <c r="AF154" s="564"/>
      <c r="AG154" s="564"/>
      <c r="AH154" s="564"/>
      <c r="AI154" s="564"/>
      <c r="AJ154" s="564"/>
      <c r="AK154" s="564"/>
      <c r="AL154" s="564"/>
      <c r="AM154" s="564"/>
      <c r="AN154" s="564"/>
      <c r="AO154" s="564"/>
    </row>
    <row r="155" spans="2:41" x14ac:dyDescent="0.15">
      <c r="B155" s="565">
        <v>21</v>
      </c>
      <c r="C155" s="564">
        <v>0.96107305936073062</v>
      </c>
      <c r="D155" s="564"/>
      <c r="E155" s="564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  <c r="Y155" s="564"/>
      <c r="Z155" s="564"/>
      <c r="AA155" s="564"/>
      <c r="AB155" s="564"/>
      <c r="AC155" s="564"/>
      <c r="AD155" s="564"/>
      <c r="AE155" s="564"/>
      <c r="AF155" s="564"/>
      <c r="AG155" s="564"/>
      <c r="AH155" s="564"/>
      <c r="AI155" s="564"/>
      <c r="AJ155" s="564"/>
      <c r="AK155" s="564"/>
      <c r="AL155" s="564"/>
      <c r="AM155" s="564"/>
      <c r="AN155" s="564"/>
      <c r="AO155" s="564"/>
    </row>
    <row r="156" spans="2:41" x14ac:dyDescent="0.15">
      <c r="B156" s="565">
        <v>22</v>
      </c>
      <c r="C156" s="564">
        <v>0.97305936073059363</v>
      </c>
      <c r="D156" s="564"/>
      <c r="E156" s="564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  <c r="Y156" s="564"/>
      <c r="Z156" s="564"/>
      <c r="AA156" s="564"/>
      <c r="AB156" s="564"/>
      <c r="AC156" s="564"/>
      <c r="AD156" s="564"/>
      <c r="AE156" s="564"/>
      <c r="AF156" s="564"/>
      <c r="AG156" s="564"/>
      <c r="AH156" s="564"/>
      <c r="AI156" s="564"/>
      <c r="AJ156" s="564"/>
      <c r="AK156" s="564"/>
      <c r="AL156" s="564"/>
      <c r="AM156" s="564"/>
      <c r="AN156" s="564"/>
      <c r="AO156" s="564"/>
    </row>
    <row r="157" spans="2:41" x14ac:dyDescent="0.15">
      <c r="B157" s="565">
        <v>23</v>
      </c>
      <c r="C157" s="564">
        <v>0.98264840182648405</v>
      </c>
      <c r="D157" s="564"/>
      <c r="E157" s="564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  <c r="Y157" s="564"/>
      <c r="Z157" s="564"/>
      <c r="AA157" s="564"/>
      <c r="AB157" s="564"/>
      <c r="AC157" s="564"/>
      <c r="AD157" s="564"/>
      <c r="AE157" s="564"/>
      <c r="AF157" s="564"/>
      <c r="AG157" s="564"/>
      <c r="AH157" s="564"/>
      <c r="AI157" s="564"/>
      <c r="AJ157" s="564"/>
      <c r="AK157" s="564"/>
      <c r="AL157" s="564"/>
      <c r="AM157" s="564"/>
      <c r="AN157" s="564"/>
      <c r="AO157" s="564"/>
    </row>
    <row r="158" spans="2:41" x14ac:dyDescent="0.15">
      <c r="B158" s="565">
        <v>24</v>
      </c>
      <c r="C158" s="564">
        <v>0.99041095890410957</v>
      </c>
      <c r="D158" s="564"/>
      <c r="E158" s="564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  <c r="Y158" s="564"/>
      <c r="Z158" s="564"/>
      <c r="AA158" s="564"/>
      <c r="AB158" s="564"/>
      <c r="AC158" s="564"/>
      <c r="AD158" s="564"/>
      <c r="AE158" s="564"/>
      <c r="AF158" s="564"/>
      <c r="AG158" s="564"/>
      <c r="AH158" s="564"/>
      <c r="AI158" s="564"/>
      <c r="AJ158" s="564"/>
      <c r="AK158" s="564"/>
      <c r="AL158" s="564"/>
      <c r="AM158" s="564"/>
      <c r="AN158" s="564"/>
      <c r="AO158" s="564"/>
    </row>
    <row r="159" spans="2:41" x14ac:dyDescent="0.15">
      <c r="B159" s="565">
        <v>25</v>
      </c>
      <c r="C159" s="564">
        <v>0.99566210045662096</v>
      </c>
      <c r="D159" s="564"/>
      <c r="E159" s="564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  <c r="Y159" s="564"/>
      <c r="Z159" s="564"/>
      <c r="AA159" s="564"/>
      <c r="AB159" s="564"/>
      <c r="AC159" s="564"/>
      <c r="AD159" s="564"/>
      <c r="AE159" s="564"/>
      <c r="AF159" s="564"/>
      <c r="AG159" s="564"/>
      <c r="AH159" s="564"/>
      <c r="AI159" s="564"/>
      <c r="AJ159" s="564"/>
      <c r="AK159" s="564"/>
      <c r="AL159" s="564"/>
      <c r="AM159" s="564"/>
      <c r="AN159" s="564"/>
      <c r="AO159" s="564"/>
    </row>
    <row r="160" spans="2:41" x14ac:dyDescent="0.15">
      <c r="B160" s="565">
        <v>26</v>
      </c>
      <c r="C160" s="564">
        <v>0.9981735159817352</v>
      </c>
      <c r="D160" s="564"/>
      <c r="E160" s="564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  <c r="Y160" s="564"/>
      <c r="Z160" s="564"/>
      <c r="AA160" s="564"/>
      <c r="AB160" s="564"/>
      <c r="AC160" s="564"/>
      <c r="AD160" s="564"/>
      <c r="AE160" s="564"/>
      <c r="AF160" s="564"/>
      <c r="AG160" s="564"/>
      <c r="AH160" s="564"/>
      <c r="AI160" s="564"/>
      <c r="AJ160" s="564"/>
      <c r="AK160" s="564"/>
      <c r="AL160" s="564"/>
      <c r="AM160" s="564"/>
      <c r="AN160" s="564"/>
      <c r="AO160" s="564"/>
    </row>
    <row r="161" spans="2:41" x14ac:dyDescent="0.15">
      <c r="B161" s="565">
        <v>27</v>
      </c>
      <c r="C161" s="564">
        <v>0.9992009132420091</v>
      </c>
      <c r="D161" s="564"/>
      <c r="E161" s="564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  <c r="Y161" s="564"/>
      <c r="Z161" s="564"/>
      <c r="AA161" s="564"/>
      <c r="AB161" s="564"/>
      <c r="AC161" s="564"/>
      <c r="AD161" s="564"/>
      <c r="AE161" s="564"/>
      <c r="AF161" s="564"/>
      <c r="AG161" s="564"/>
      <c r="AH161" s="564"/>
      <c r="AI161" s="564"/>
      <c r="AJ161" s="564"/>
      <c r="AK161" s="564"/>
      <c r="AL161" s="564"/>
      <c r="AM161" s="564"/>
      <c r="AN161" s="564"/>
      <c r="AO161" s="564"/>
    </row>
    <row r="162" spans="2:41" x14ac:dyDescent="0.15">
      <c r="B162" s="565">
        <v>28</v>
      </c>
      <c r="C162" s="564">
        <v>1</v>
      </c>
      <c r="D162" s="564"/>
      <c r="E162" s="564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  <c r="Y162" s="564"/>
      <c r="Z162" s="564"/>
      <c r="AA162" s="564"/>
      <c r="AB162" s="564"/>
      <c r="AC162" s="564"/>
      <c r="AD162" s="564"/>
      <c r="AE162" s="564"/>
      <c r="AF162" s="564"/>
      <c r="AG162" s="564"/>
      <c r="AH162" s="564"/>
      <c r="AI162" s="564"/>
      <c r="AJ162" s="564"/>
      <c r="AK162" s="564"/>
      <c r="AL162" s="564"/>
      <c r="AM162" s="564"/>
      <c r="AN162" s="564"/>
      <c r="AO162" s="564"/>
    </row>
    <row r="163" spans="2:41" x14ac:dyDescent="0.15">
      <c r="B163" s="565">
        <v>29</v>
      </c>
      <c r="C163" s="564">
        <v>1</v>
      </c>
      <c r="D163" s="564"/>
      <c r="E163" s="564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  <c r="Y163" s="564"/>
      <c r="Z163" s="564"/>
      <c r="AA163" s="564"/>
      <c r="AB163" s="564"/>
      <c r="AC163" s="564"/>
      <c r="AD163" s="564"/>
      <c r="AE163" s="564"/>
      <c r="AF163" s="564"/>
      <c r="AG163" s="564"/>
      <c r="AH163" s="564"/>
      <c r="AI163" s="564"/>
      <c r="AJ163" s="564"/>
      <c r="AK163" s="564"/>
      <c r="AL163" s="564"/>
      <c r="AM163" s="564"/>
      <c r="AN163" s="564"/>
      <c r="AO163" s="564"/>
    </row>
    <row r="164" spans="2:41" x14ac:dyDescent="0.15">
      <c r="B164" s="565">
        <v>30</v>
      </c>
      <c r="C164" s="564">
        <v>1</v>
      </c>
      <c r="D164" s="564"/>
      <c r="E164" s="564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  <c r="Y164" s="564"/>
      <c r="Z164" s="564"/>
      <c r="AA164" s="564"/>
      <c r="AB164" s="564"/>
      <c r="AC164" s="564"/>
      <c r="AD164" s="564"/>
      <c r="AE164" s="564"/>
      <c r="AF164" s="564"/>
      <c r="AG164" s="564"/>
      <c r="AH164" s="564"/>
      <c r="AI164" s="564"/>
      <c r="AJ164" s="564"/>
      <c r="AK164" s="564"/>
      <c r="AL164" s="564"/>
      <c r="AM164" s="564"/>
      <c r="AN164" s="564"/>
      <c r="AO164" s="564"/>
    </row>
    <row r="165" spans="2:41" x14ac:dyDescent="0.15">
      <c r="B165" s="565">
        <v>31</v>
      </c>
      <c r="C165" s="564">
        <v>1</v>
      </c>
      <c r="D165" s="564"/>
      <c r="E165" s="564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  <c r="Y165" s="564"/>
      <c r="Z165" s="564"/>
      <c r="AA165" s="564"/>
      <c r="AB165" s="564"/>
      <c r="AC165" s="564"/>
      <c r="AD165" s="564"/>
      <c r="AE165" s="564"/>
      <c r="AF165" s="564"/>
      <c r="AG165" s="564"/>
      <c r="AH165" s="564"/>
      <c r="AI165" s="564"/>
      <c r="AJ165" s="564"/>
      <c r="AK165" s="564"/>
      <c r="AL165" s="564"/>
      <c r="AM165" s="564"/>
      <c r="AN165" s="564"/>
      <c r="AO165" s="564"/>
    </row>
    <row r="166" spans="2:41" x14ac:dyDescent="0.15">
      <c r="B166" s="565">
        <v>32</v>
      </c>
      <c r="C166" s="564">
        <v>1</v>
      </c>
      <c r="D166" s="564"/>
      <c r="E166" s="564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  <c r="Y166" s="564"/>
      <c r="Z166" s="564"/>
      <c r="AA166" s="564"/>
      <c r="AB166" s="564"/>
      <c r="AC166" s="564"/>
      <c r="AD166" s="564"/>
      <c r="AE166" s="564"/>
      <c r="AF166" s="564"/>
      <c r="AG166" s="564"/>
      <c r="AH166" s="564"/>
      <c r="AI166" s="564"/>
      <c r="AJ166" s="564"/>
      <c r="AK166" s="564"/>
      <c r="AL166" s="564"/>
      <c r="AM166" s="564"/>
      <c r="AN166" s="564"/>
      <c r="AO166" s="564"/>
    </row>
    <row r="167" spans="2:41" x14ac:dyDescent="0.15">
      <c r="B167" s="565">
        <v>33</v>
      </c>
      <c r="C167" s="564">
        <v>1</v>
      </c>
      <c r="D167" s="564"/>
      <c r="E167" s="564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  <c r="Y167" s="564"/>
      <c r="Z167" s="564"/>
      <c r="AA167" s="564"/>
      <c r="AB167" s="564"/>
      <c r="AC167" s="564"/>
      <c r="AD167" s="564"/>
      <c r="AE167" s="564"/>
      <c r="AF167" s="564"/>
      <c r="AG167" s="564"/>
      <c r="AH167" s="564"/>
      <c r="AI167" s="564"/>
      <c r="AJ167" s="564"/>
      <c r="AK167" s="564"/>
      <c r="AL167" s="564"/>
      <c r="AM167" s="564"/>
      <c r="AN167" s="564"/>
      <c r="AO167" s="564"/>
    </row>
    <row r="168" spans="2:41" x14ac:dyDescent="0.15">
      <c r="B168" s="565">
        <v>34</v>
      </c>
      <c r="C168" s="564">
        <v>1</v>
      </c>
      <c r="D168" s="564"/>
      <c r="E168" s="564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  <c r="Y168" s="564"/>
      <c r="Z168" s="564"/>
      <c r="AA168" s="564"/>
      <c r="AB168" s="564"/>
      <c r="AC168" s="564"/>
      <c r="AD168" s="564"/>
      <c r="AE168" s="564"/>
      <c r="AF168" s="564"/>
      <c r="AG168" s="564"/>
      <c r="AH168" s="564"/>
      <c r="AI168" s="564"/>
      <c r="AJ168" s="564"/>
      <c r="AK168" s="564"/>
      <c r="AL168" s="564"/>
      <c r="AM168" s="564"/>
      <c r="AN168" s="564"/>
      <c r="AO168" s="564"/>
    </row>
    <row r="169" spans="2:41" x14ac:dyDescent="0.15">
      <c r="B169" s="565">
        <v>35</v>
      </c>
      <c r="C169" s="564">
        <v>1</v>
      </c>
      <c r="D169" s="564"/>
      <c r="E169" s="564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  <c r="Y169" s="564"/>
      <c r="Z169" s="564"/>
      <c r="AA169" s="564"/>
      <c r="AB169" s="564"/>
      <c r="AC169" s="564"/>
      <c r="AD169" s="564"/>
      <c r="AE169" s="564"/>
      <c r="AF169" s="564"/>
      <c r="AG169" s="564"/>
      <c r="AH169" s="564"/>
      <c r="AI169" s="564"/>
      <c r="AJ169" s="564"/>
      <c r="AK169" s="564"/>
      <c r="AL169" s="564"/>
      <c r="AM169" s="564"/>
      <c r="AN169" s="564"/>
      <c r="AO169" s="564"/>
    </row>
    <row r="170" spans="2:41" x14ac:dyDescent="0.15">
      <c r="B170" s="565">
        <v>36</v>
      </c>
      <c r="C170" s="564">
        <v>1</v>
      </c>
      <c r="D170" s="564"/>
      <c r="E170" s="564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  <c r="Y170" s="564"/>
      <c r="Z170" s="564"/>
      <c r="AA170" s="564"/>
      <c r="AB170" s="564"/>
      <c r="AC170" s="564"/>
      <c r="AD170" s="564"/>
      <c r="AE170" s="564"/>
      <c r="AF170" s="564"/>
      <c r="AG170" s="564"/>
      <c r="AH170" s="564"/>
      <c r="AI170" s="564"/>
      <c r="AJ170" s="564"/>
      <c r="AK170" s="564"/>
      <c r="AL170" s="564"/>
      <c r="AM170" s="564"/>
      <c r="AN170" s="564"/>
      <c r="AO170" s="564"/>
    </row>
    <row r="171" spans="2:41" x14ac:dyDescent="0.15">
      <c r="B171" s="565">
        <v>37</v>
      </c>
      <c r="C171" s="564">
        <v>1</v>
      </c>
      <c r="D171" s="564"/>
      <c r="E171" s="564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  <c r="Y171" s="564"/>
      <c r="Z171" s="564"/>
      <c r="AA171" s="564"/>
      <c r="AB171" s="564"/>
      <c r="AC171" s="564"/>
      <c r="AD171" s="564"/>
      <c r="AE171" s="564"/>
      <c r="AF171" s="564"/>
      <c r="AG171" s="564"/>
      <c r="AH171" s="564"/>
      <c r="AI171" s="564"/>
      <c r="AJ171" s="564"/>
      <c r="AK171" s="564"/>
      <c r="AL171" s="564"/>
      <c r="AM171" s="564"/>
      <c r="AN171" s="564"/>
      <c r="AO171" s="564"/>
    </row>
    <row r="172" spans="2:41" x14ac:dyDescent="0.15">
      <c r="B172" s="565">
        <v>38</v>
      </c>
      <c r="C172" s="564">
        <v>1</v>
      </c>
      <c r="D172" s="564"/>
      <c r="E172" s="564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  <c r="Y172" s="564"/>
      <c r="Z172" s="564"/>
      <c r="AA172" s="564"/>
      <c r="AB172" s="564"/>
      <c r="AC172" s="564"/>
      <c r="AD172" s="564"/>
      <c r="AE172" s="564"/>
      <c r="AF172" s="564"/>
      <c r="AG172" s="564"/>
      <c r="AH172" s="564"/>
      <c r="AI172" s="564"/>
      <c r="AJ172" s="564"/>
      <c r="AK172" s="564"/>
      <c r="AL172" s="564"/>
      <c r="AM172" s="564"/>
      <c r="AN172" s="564"/>
      <c r="AO172" s="564"/>
    </row>
    <row r="173" spans="2:41" x14ac:dyDescent="0.15">
      <c r="B173" s="565">
        <v>39</v>
      </c>
      <c r="C173" s="564">
        <v>1</v>
      </c>
      <c r="D173" s="564"/>
      <c r="E173" s="564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  <c r="Y173" s="564"/>
      <c r="Z173" s="564"/>
      <c r="AA173" s="564"/>
      <c r="AB173" s="564"/>
      <c r="AC173" s="564"/>
      <c r="AD173" s="564"/>
      <c r="AE173" s="564"/>
      <c r="AF173" s="564"/>
      <c r="AG173" s="564"/>
      <c r="AH173" s="564"/>
      <c r="AI173" s="564"/>
      <c r="AJ173" s="564"/>
      <c r="AK173" s="564"/>
      <c r="AL173" s="564"/>
      <c r="AM173" s="564"/>
      <c r="AN173" s="564"/>
      <c r="AO173" s="564"/>
    </row>
    <row r="174" spans="2:41" x14ac:dyDescent="0.15">
      <c r="B174" s="566">
        <v>40</v>
      </c>
      <c r="C174" s="564">
        <v>1</v>
      </c>
      <c r="D174" s="564"/>
      <c r="E174" s="564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  <c r="Y174" s="564"/>
      <c r="Z174" s="564"/>
      <c r="AA174" s="564"/>
      <c r="AB174" s="564"/>
      <c r="AC174" s="564"/>
      <c r="AD174" s="564"/>
      <c r="AE174" s="564"/>
      <c r="AF174" s="564"/>
      <c r="AG174" s="564"/>
      <c r="AH174" s="564"/>
      <c r="AI174" s="564"/>
      <c r="AJ174" s="564"/>
      <c r="AK174" s="564"/>
      <c r="AL174" s="564"/>
      <c r="AM174" s="564"/>
      <c r="AN174" s="564"/>
      <c r="AO174" s="564"/>
    </row>
    <row r="183" spans="2:41" s="561" customFormat="1" ht="28" x14ac:dyDescent="0.15">
      <c r="B183" s="558" t="str" cm="1">
        <f t="array" ref="B183:AO183">TRANSPOSE('Syötä kaupungit KIRJASTOLINKIT!'!$D$1:$D$40)</f>
        <v>MAA 3</v>
      </c>
      <c r="C183" s="562" t="str">
        <v>SWE - Goteborg</v>
      </c>
      <c r="D183" s="562">
        <v>0</v>
      </c>
      <c r="E183" s="562">
        <v>0</v>
      </c>
      <c r="F183" s="562">
        <v>0</v>
      </c>
      <c r="G183" s="562">
        <v>0</v>
      </c>
      <c r="H183" s="562">
        <v>0</v>
      </c>
      <c r="I183" s="562">
        <v>0</v>
      </c>
      <c r="J183" s="562">
        <v>0</v>
      </c>
      <c r="K183" s="562">
        <v>0</v>
      </c>
      <c r="L183" s="562">
        <v>0</v>
      </c>
      <c r="M183" s="562">
        <v>0</v>
      </c>
      <c r="N183" s="562">
        <v>0</v>
      </c>
      <c r="O183" s="562">
        <v>0</v>
      </c>
      <c r="P183" s="562">
        <v>0</v>
      </c>
      <c r="Q183" s="562">
        <v>0</v>
      </c>
      <c r="R183" s="562">
        <v>0</v>
      </c>
      <c r="S183" s="562">
        <v>0</v>
      </c>
      <c r="T183" s="562">
        <v>0</v>
      </c>
      <c r="U183" s="562">
        <v>0</v>
      </c>
      <c r="V183" s="562">
        <v>0</v>
      </c>
      <c r="W183" s="562">
        <v>0</v>
      </c>
      <c r="X183" s="562">
        <v>0</v>
      </c>
      <c r="Y183" s="562">
        <v>0</v>
      </c>
      <c r="Z183" s="562">
        <v>0</v>
      </c>
      <c r="AA183" s="562">
        <v>0</v>
      </c>
      <c r="AB183" s="562">
        <v>0</v>
      </c>
      <c r="AC183" s="562">
        <v>0</v>
      </c>
      <c r="AD183" s="562">
        <v>0</v>
      </c>
      <c r="AE183" s="562">
        <v>0</v>
      </c>
      <c r="AF183" s="562">
        <v>0</v>
      </c>
      <c r="AG183" s="562">
        <v>0</v>
      </c>
      <c r="AH183" s="562">
        <v>0</v>
      </c>
      <c r="AI183" s="562">
        <v>0</v>
      </c>
      <c r="AJ183" s="562">
        <v>0</v>
      </c>
      <c r="AK183" s="562">
        <v>0</v>
      </c>
      <c r="AL183" s="562">
        <v>0</v>
      </c>
      <c r="AM183" s="562">
        <v>0</v>
      </c>
      <c r="AN183" s="562">
        <v>0</v>
      </c>
      <c r="AO183" s="562">
        <v>0</v>
      </c>
    </row>
    <row r="184" spans="2:41" x14ac:dyDescent="0.15">
      <c r="B184" s="563">
        <v>-40</v>
      </c>
      <c r="C184" s="564">
        <v>0</v>
      </c>
      <c r="D184" s="564"/>
      <c r="E184" s="564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  <c r="Y184" s="564"/>
      <c r="Z184" s="564"/>
      <c r="AA184" s="564"/>
      <c r="AB184" s="564"/>
      <c r="AC184" s="564"/>
      <c r="AD184" s="564"/>
      <c r="AE184" s="564"/>
      <c r="AF184" s="564"/>
      <c r="AG184" s="564"/>
      <c r="AH184" s="564"/>
      <c r="AI184" s="564"/>
      <c r="AJ184" s="564"/>
      <c r="AK184" s="564"/>
      <c r="AL184" s="564"/>
      <c r="AM184" s="564"/>
      <c r="AN184" s="564"/>
      <c r="AO184" s="564"/>
    </row>
    <row r="185" spans="2:41" x14ac:dyDescent="0.15">
      <c r="B185" s="565">
        <v>-39</v>
      </c>
      <c r="C185" s="564">
        <v>0</v>
      </c>
      <c r="D185" s="564"/>
      <c r="E185" s="564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  <c r="Y185" s="564"/>
      <c r="Z185" s="564"/>
      <c r="AA185" s="564"/>
      <c r="AB185" s="564"/>
      <c r="AC185" s="564"/>
      <c r="AD185" s="564"/>
      <c r="AE185" s="564"/>
      <c r="AF185" s="564"/>
      <c r="AG185" s="564"/>
      <c r="AH185" s="564"/>
      <c r="AI185" s="564"/>
      <c r="AJ185" s="564"/>
      <c r="AK185" s="564"/>
      <c r="AL185" s="564"/>
      <c r="AM185" s="564"/>
      <c r="AN185" s="564"/>
      <c r="AO185" s="564"/>
    </row>
    <row r="186" spans="2:41" x14ac:dyDescent="0.15">
      <c r="B186" s="565">
        <v>-38</v>
      </c>
      <c r="C186" s="564">
        <v>0</v>
      </c>
      <c r="D186" s="564"/>
      <c r="E186" s="564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  <c r="Y186" s="564"/>
      <c r="Z186" s="564"/>
      <c r="AA186" s="564"/>
      <c r="AB186" s="564"/>
      <c r="AC186" s="564"/>
      <c r="AD186" s="564"/>
      <c r="AE186" s="564"/>
      <c r="AF186" s="564"/>
      <c r="AG186" s="564"/>
      <c r="AH186" s="564"/>
      <c r="AI186" s="564"/>
      <c r="AJ186" s="564"/>
      <c r="AK186" s="564"/>
      <c r="AL186" s="564"/>
      <c r="AM186" s="564"/>
      <c r="AN186" s="564"/>
      <c r="AO186" s="564"/>
    </row>
    <row r="187" spans="2:41" x14ac:dyDescent="0.15">
      <c r="B187" s="565">
        <v>-37</v>
      </c>
      <c r="C187" s="564">
        <v>0</v>
      </c>
      <c r="D187" s="564"/>
      <c r="E187" s="564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  <c r="Y187" s="564"/>
      <c r="Z187" s="564"/>
      <c r="AA187" s="564"/>
      <c r="AB187" s="564"/>
      <c r="AC187" s="564"/>
      <c r="AD187" s="564"/>
      <c r="AE187" s="564"/>
      <c r="AF187" s="564"/>
      <c r="AG187" s="564"/>
      <c r="AH187" s="564"/>
      <c r="AI187" s="564"/>
      <c r="AJ187" s="564"/>
      <c r="AK187" s="564"/>
      <c r="AL187" s="564"/>
      <c r="AM187" s="564"/>
      <c r="AN187" s="564"/>
      <c r="AO187" s="564"/>
    </row>
    <row r="188" spans="2:41" x14ac:dyDescent="0.15">
      <c r="B188" s="565">
        <v>-36</v>
      </c>
      <c r="C188" s="564">
        <v>0</v>
      </c>
      <c r="D188" s="564"/>
      <c r="E188" s="564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  <c r="Y188" s="564"/>
      <c r="Z188" s="564"/>
      <c r="AA188" s="564"/>
      <c r="AB188" s="564"/>
      <c r="AC188" s="564"/>
      <c r="AD188" s="564"/>
      <c r="AE188" s="564"/>
      <c r="AF188" s="564"/>
      <c r="AG188" s="564"/>
      <c r="AH188" s="564"/>
      <c r="AI188" s="564"/>
      <c r="AJ188" s="564"/>
      <c r="AK188" s="564"/>
      <c r="AL188" s="564"/>
      <c r="AM188" s="564"/>
      <c r="AN188" s="564"/>
      <c r="AO188" s="564"/>
    </row>
    <row r="189" spans="2:41" x14ac:dyDescent="0.15">
      <c r="B189" s="565">
        <v>-35</v>
      </c>
      <c r="C189" s="564">
        <v>0</v>
      </c>
      <c r="D189" s="564"/>
      <c r="E189" s="564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  <c r="Y189" s="564"/>
      <c r="Z189" s="564"/>
      <c r="AA189" s="564"/>
      <c r="AB189" s="564"/>
      <c r="AC189" s="564"/>
      <c r="AD189" s="564"/>
      <c r="AE189" s="564"/>
      <c r="AF189" s="564"/>
      <c r="AG189" s="564"/>
      <c r="AH189" s="564"/>
      <c r="AI189" s="564"/>
      <c r="AJ189" s="564"/>
      <c r="AK189" s="564"/>
      <c r="AL189" s="564"/>
      <c r="AM189" s="564"/>
      <c r="AN189" s="564"/>
      <c r="AO189" s="564"/>
    </row>
    <row r="190" spans="2:41" x14ac:dyDescent="0.15">
      <c r="B190" s="565">
        <v>-34</v>
      </c>
      <c r="C190" s="564">
        <v>0</v>
      </c>
      <c r="D190" s="564"/>
      <c r="E190" s="564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  <c r="Y190" s="564"/>
      <c r="Z190" s="564"/>
      <c r="AA190" s="564"/>
      <c r="AB190" s="564"/>
      <c r="AC190" s="564"/>
      <c r="AD190" s="564"/>
      <c r="AE190" s="564"/>
      <c r="AF190" s="564"/>
      <c r="AG190" s="564"/>
      <c r="AH190" s="564"/>
      <c r="AI190" s="564"/>
      <c r="AJ190" s="564"/>
      <c r="AK190" s="564"/>
      <c r="AL190" s="564"/>
      <c r="AM190" s="564"/>
      <c r="AN190" s="564"/>
      <c r="AO190" s="564"/>
    </row>
    <row r="191" spans="2:41" x14ac:dyDescent="0.15">
      <c r="B191" s="565">
        <v>-33</v>
      </c>
      <c r="C191" s="564">
        <v>0</v>
      </c>
      <c r="D191" s="564"/>
      <c r="E191" s="564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  <c r="Y191" s="564"/>
      <c r="Z191" s="564"/>
      <c r="AA191" s="564"/>
      <c r="AB191" s="564"/>
      <c r="AC191" s="564"/>
      <c r="AD191" s="564"/>
      <c r="AE191" s="564"/>
      <c r="AF191" s="564"/>
      <c r="AG191" s="564"/>
      <c r="AH191" s="564"/>
      <c r="AI191" s="564"/>
      <c r="AJ191" s="564"/>
      <c r="AK191" s="564"/>
      <c r="AL191" s="564"/>
      <c r="AM191" s="564"/>
      <c r="AN191" s="564"/>
      <c r="AO191" s="564"/>
    </row>
    <row r="192" spans="2:41" x14ac:dyDescent="0.15">
      <c r="B192" s="565">
        <v>-32</v>
      </c>
      <c r="C192" s="564">
        <v>0</v>
      </c>
      <c r="D192" s="564"/>
      <c r="E192" s="564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  <c r="Y192" s="564"/>
      <c r="Z192" s="564"/>
      <c r="AA192" s="564"/>
      <c r="AB192" s="564"/>
      <c r="AC192" s="564"/>
      <c r="AD192" s="564"/>
      <c r="AE192" s="564"/>
      <c r="AF192" s="564"/>
      <c r="AG192" s="564"/>
      <c r="AH192" s="564"/>
      <c r="AI192" s="564"/>
      <c r="AJ192" s="564"/>
      <c r="AK192" s="564"/>
      <c r="AL192" s="564"/>
      <c r="AM192" s="564"/>
      <c r="AN192" s="564"/>
      <c r="AO192" s="564"/>
    </row>
    <row r="193" spans="2:41" x14ac:dyDescent="0.15">
      <c r="B193" s="565">
        <v>-31</v>
      </c>
      <c r="C193" s="564">
        <v>0</v>
      </c>
      <c r="D193" s="564"/>
      <c r="E193" s="564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  <c r="Y193" s="564"/>
      <c r="Z193" s="564"/>
      <c r="AA193" s="564"/>
      <c r="AB193" s="564"/>
      <c r="AC193" s="564"/>
      <c r="AD193" s="564"/>
      <c r="AE193" s="564"/>
      <c r="AF193" s="564"/>
      <c r="AG193" s="564"/>
      <c r="AH193" s="564"/>
      <c r="AI193" s="564"/>
      <c r="AJ193" s="564"/>
      <c r="AK193" s="564"/>
      <c r="AL193" s="564"/>
      <c r="AM193" s="564"/>
      <c r="AN193" s="564"/>
      <c r="AO193" s="564"/>
    </row>
    <row r="194" spans="2:41" x14ac:dyDescent="0.15">
      <c r="B194" s="565">
        <v>-30</v>
      </c>
      <c r="C194" s="564">
        <v>0</v>
      </c>
      <c r="D194" s="564"/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  <c r="Y194" s="564"/>
      <c r="Z194" s="564"/>
      <c r="AA194" s="564"/>
      <c r="AB194" s="564"/>
      <c r="AC194" s="564"/>
      <c r="AD194" s="564"/>
      <c r="AE194" s="564"/>
      <c r="AF194" s="564"/>
      <c r="AG194" s="564"/>
      <c r="AH194" s="564"/>
      <c r="AI194" s="564"/>
      <c r="AJ194" s="564"/>
      <c r="AK194" s="564"/>
      <c r="AL194" s="564"/>
      <c r="AM194" s="564"/>
      <c r="AN194" s="564"/>
      <c r="AO194" s="564"/>
    </row>
    <row r="195" spans="2:41" x14ac:dyDescent="0.15">
      <c r="B195" s="565">
        <v>-29</v>
      </c>
      <c r="C195" s="564">
        <v>0</v>
      </c>
      <c r="D195" s="564"/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  <c r="Y195" s="564"/>
      <c r="Z195" s="564"/>
      <c r="AA195" s="564"/>
      <c r="AB195" s="564"/>
      <c r="AC195" s="564"/>
      <c r="AD195" s="564"/>
      <c r="AE195" s="564"/>
      <c r="AF195" s="564"/>
      <c r="AG195" s="564"/>
      <c r="AH195" s="564"/>
      <c r="AI195" s="564"/>
      <c r="AJ195" s="564"/>
      <c r="AK195" s="564"/>
      <c r="AL195" s="564"/>
      <c r="AM195" s="564"/>
      <c r="AN195" s="564"/>
      <c r="AO195" s="564"/>
    </row>
    <row r="196" spans="2:41" x14ac:dyDescent="0.15">
      <c r="B196" s="565">
        <v>-28</v>
      </c>
      <c r="C196" s="564">
        <v>0</v>
      </c>
      <c r="D196" s="564"/>
      <c r="E196" s="564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  <c r="Y196" s="564"/>
      <c r="Z196" s="564"/>
      <c r="AA196" s="564"/>
      <c r="AB196" s="564"/>
      <c r="AC196" s="564"/>
      <c r="AD196" s="564"/>
      <c r="AE196" s="564"/>
      <c r="AF196" s="564"/>
      <c r="AG196" s="564"/>
      <c r="AH196" s="564"/>
      <c r="AI196" s="564"/>
      <c r="AJ196" s="564"/>
      <c r="AK196" s="564"/>
      <c r="AL196" s="564"/>
      <c r="AM196" s="564"/>
      <c r="AN196" s="564"/>
      <c r="AO196" s="564"/>
    </row>
    <row r="197" spans="2:41" x14ac:dyDescent="0.15">
      <c r="B197" s="565">
        <v>-27</v>
      </c>
      <c r="C197" s="564">
        <v>0</v>
      </c>
      <c r="D197" s="564"/>
      <c r="E197" s="564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  <c r="Y197" s="564"/>
      <c r="Z197" s="564"/>
      <c r="AA197" s="564"/>
      <c r="AB197" s="564"/>
      <c r="AC197" s="564"/>
      <c r="AD197" s="564"/>
      <c r="AE197" s="564"/>
      <c r="AF197" s="564"/>
      <c r="AG197" s="564"/>
      <c r="AH197" s="564"/>
      <c r="AI197" s="564"/>
      <c r="AJ197" s="564"/>
      <c r="AK197" s="564"/>
      <c r="AL197" s="564"/>
      <c r="AM197" s="564"/>
      <c r="AN197" s="564"/>
      <c r="AO197" s="564"/>
    </row>
    <row r="198" spans="2:41" x14ac:dyDescent="0.15">
      <c r="B198" s="565">
        <v>-26</v>
      </c>
      <c r="C198" s="564">
        <v>0</v>
      </c>
      <c r="D198" s="564"/>
      <c r="E198" s="564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  <c r="Y198" s="564"/>
      <c r="Z198" s="564"/>
      <c r="AA198" s="564"/>
      <c r="AB198" s="564"/>
      <c r="AC198" s="564"/>
      <c r="AD198" s="564"/>
      <c r="AE198" s="564"/>
      <c r="AF198" s="564"/>
      <c r="AG198" s="564"/>
      <c r="AH198" s="564"/>
      <c r="AI198" s="564"/>
      <c r="AJ198" s="564"/>
      <c r="AK198" s="564"/>
      <c r="AL198" s="564"/>
      <c r="AM198" s="564"/>
      <c r="AN198" s="564"/>
      <c r="AO198" s="564"/>
    </row>
    <row r="199" spans="2:41" x14ac:dyDescent="0.15">
      <c r="B199" s="565">
        <v>-25</v>
      </c>
      <c r="C199" s="564">
        <v>0</v>
      </c>
      <c r="D199" s="564"/>
      <c r="E199" s="564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  <c r="Y199" s="564"/>
      <c r="Z199" s="564"/>
      <c r="AA199" s="564"/>
      <c r="AB199" s="564"/>
      <c r="AC199" s="564"/>
      <c r="AD199" s="564"/>
      <c r="AE199" s="564"/>
      <c r="AF199" s="564"/>
      <c r="AG199" s="564"/>
      <c r="AH199" s="564"/>
      <c r="AI199" s="564"/>
      <c r="AJ199" s="564"/>
      <c r="AK199" s="564"/>
      <c r="AL199" s="564"/>
      <c r="AM199" s="564"/>
      <c r="AN199" s="564"/>
      <c r="AO199" s="564"/>
    </row>
    <row r="200" spans="2:41" x14ac:dyDescent="0.15">
      <c r="B200" s="565">
        <v>-24</v>
      </c>
      <c r="C200" s="564">
        <v>0</v>
      </c>
      <c r="D200" s="564"/>
      <c r="E200" s="564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  <c r="Y200" s="564"/>
      <c r="Z200" s="564"/>
      <c r="AA200" s="564"/>
      <c r="AB200" s="564"/>
      <c r="AC200" s="564"/>
      <c r="AD200" s="564"/>
      <c r="AE200" s="564"/>
      <c r="AF200" s="564"/>
      <c r="AG200" s="564"/>
      <c r="AH200" s="564"/>
      <c r="AI200" s="564"/>
      <c r="AJ200" s="564"/>
      <c r="AK200" s="564"/>
      <c r="AL200" s="564"/>
      <c r="AM200" s="564"/>
      <c r="AN200" s="564"/>
      <c r="AO200" s="564"/>
    </row>
    <row r="201" spans="2:41" x14ac:dyDescent="0.15">
      <c r="B201" s="565">
        <v>-23</v>
      </c>
      <c r="C201" s="564">
        <v>0</v>
      </c>
      <c r="D201" s="564"/>
      <c r="E201" s="564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  <c r="Y201" s="564"/>
      <c r="Z201" s="564"/>
      <c r="AA201" s="564"/>
      <c r="AB201" s="564"/>
      <c r="AC201" s="564"/>
      <c r="AD201" s="564"/>
      <c r="AE201" s="564"/>
      <c r="AF201" s="564"/>
      <c r="AG201" s="564"/>
      <c r="AH201" s="564"/>
      <c r="AI201" s="564"/>
      <c r="AJ201" s="564"/>
      <c r="AK201" s="564"/>
      <c r="AL201" s="564"/>
      <c r="AM201" s="564"/>
      <c r="AN201" s="564"/>
      <c r="AO201" s="564"/>
    </row>
    <row r="202" spans="2:41" x14ac:dyDescent="0.15">
      <c r="B202" s="565">
        <v>-22</v>
      </c>
      <c r="C202" s="564">
        <v>0</v>
      </c>
      <c r="D202" s="564"/>
      <c r="E202" s="564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  <c r="Y202" s="564"/>
      <c r="Z202" s="564"/>
      <c r="AA202" s="564"/>
      <c r="AB202" s="564"/>
      <c r="AC202" s="564"/>
      <c r="AD202" s="564"/>
      <c r="AE202" s="564"/>
      <c r="AF202" s="564"/>
      <c r="AG202" s="564"/>
      <c r="AH202" s="564"/>
      <c r="AI202" s="564"/>
      <c r="AJ202" s="564"/>
      <c r="AK202" s="564"/>
      <c r="AL202" s="564"/>
      <c r="AM202" s="564"/>
      <c r="AN202" s="564"/>
      <c r="AO202" s="564"/>
    </row>
    <row r="203" spans="2:41" x14ac:dyDescent="0.15">
      <c r="B203" s="565">
        <v>-21</v>
      </c>
      <c r="C203" s="564">
        <v>0</v>
      </c>
      <c r="D203" s="564"/>
      <c r="E203" s="564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  <c r="Y203" s="564"/>
      <c r="Z203" s="564"/>
      <c r="AA203" s="564"/>
      <c r="AB203" s="564"/>
      <c r="AC203" s="564"/>
      <c r="AD203" s="564"/>
      <c r="AE203" s="564"/>
      <c r="AF203" s="564"/>
      <c r="AG203" s="564"/>
      <c r="AH203" s="564"/>
      <c r="AI203" s="564"/>
      <c r="AJ203" s="564"/>
      <c r="AK203" s="564"/>
      <c r="AL203" s="564"/>
      <c r="AM203" s="564"/>
      <c r="AN203" s="564"/>
      <c r="AO203" s="564"/>
    </row>
    <row r="204" spans="2:41" x14ac:dyDescent="0.15">
      <c r="B204" s="565">
        <v>-20</v>
      </c>
      <c r="C204" s="564">
        <v>0</v>
      </c>
      <c r="D204" s="564"/>
      <c r="E204" s="564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  <c r="Y204" s="564"/>
      <c r="Z204" s="564"/>
      <c r="AA204" s="564"/>
      <c r="AB204" s="564"/>
      <c r="AC204" s="564"/>
      <c r="AD204" s="564"/>
      <c r="AE204" s="564"/>
      <c r="AF204" s="564"/>
      <c r="AG204" s="564"/>
      <c r="AH204" s="564"/>
      <c r="AI204" s="564"/>
      <c r="AJ204" s="564"/>
      <c r="AK204" s="564"/>
      <c r="AL204" s="564"/>
      <c r="AM204" s="564"/>
      <c r="AN204" s="564"/>
      <c r="AO204" s="564"/>
    </row>
    <row r="205" spans="2:41" x14ac:dyDescent="0.15">
      <c r="B205" s="565">
        <v>-19</v>
      </c>
      <c r="C205" s="564">
        <v>0</v>
      </c>
      <c r="D205" s="564"/>
      <c r="E205" s="564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  <c r="Y205" s="564"/>
      <c r="Z205" s="564"/>
      <c r="AA205" s="564"/>
      <c r="AB205" s="564"/>
      <c r="AC205" s="564"/>
      <c r="AD205" s="564"/>
      <c r="AE205" s="564"/>
      <c r="AF205" s="564"/>
      <c r="AG205" s="564"/>
      <c r="AH205" s="564"/>
      <c r="AI205" s="564"/>
      <c r="AJ205" s="564"/>
      <c r="AK205" s="564"/>
      <c r="AL205" s="564"/>
      <c r="AM205" s="564"/>
      <c r="AN205" s="564"/>
      <c r="AO205" s="564"/>
    </row>
    <row r="206" spans="2:41" x14ac:dyDescent="0.15">
      <c r="B206" s="565">
        <v>-18</v>
      </c>
      <c r="C206" s="564">
        <v>4.5662100456621003E-4</v>
      </c>
      <c r="D206" s="564"/>
      <c r="E206" s="564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  <c r="Y206" s="564"/>
      <c r="Z206" s="564"/>
      <c r="AA206" s="564"/>
      <c r="AB206" s="564"/>
      <c r="AC206" s="564"/>
      <c r="AD206" s="564"/>
      <c r="AE206" s="564"/>
      <c r="AF206" s="564"/>
      <c r="AG206" s="564"/>
      <c r="AH206" s="564"/>
      <c r="AI206" s="564"/>
      <c r="AJ206" s="564"/>
      <c r="AK206" s="564"/>
      <c r="AL206" s="564"/>
      <c r="AM206" s="564"/>
      <c r="AN206" s="564"/>
      <c r="AO206" s="564"/>
    </row>
    <row r="207" spans="2:41" x14ac:dyDescent="0.15">
      <c r="B207" s="565">
        <v>-17</v>
      </c>
      <c r="C207" s="564">
        <v>1.8264840182648401E-3</v>
      </c>
      <c r="D207" s="564"/>
      <c r="E207" s="564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  <c r="Y207" s="564"/>
      <c r="Z207" s="564"/>
      <c r="AA207" s="564"/>
      <c r="AB207" s="564"/>
      <c r="AC207" s="564"/>
      <c r="AD207" s="564"/>
      <c r="AE207" s="564"/>
      <c r="AF207" s="564"/>
      <c r="AG207" s="564"/>
      <c r="AH207" s="564"/>
      <c r="AI207" s="564"/>
      <c r="AJ207" s="564"/>
      <c r="AK207" s="564"/>
      <c r="AL207" s="564"/>
      <c r="AM207" s="564"/>
      <c r="AN207" s="564"/>
      <c r="AO207" s="564"/>
    </row>
    <row r="208" spans="2:41" x14ac:dyDescent="0.15">
      <c r="B208" s="565">
        <v>-16</v>
      </c>
      <c r="C208" s="564">
        <v>3.767123287671233E-3</v>
      </c>
      <c r="D208" s="564"/>
      <c r="E208" s="564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  <c r="Y208" s="564"/>
      <c r="Z208" s="564"/>
      <c r="AA208" s="564"/>
      <c r="AB208" s="564"/>
      <c r="AC208" s="564"/>
      <c r="AD208" s="564"/>
      <c r="AE208" s="564"/>
      <c r="AF208" s="564"/>
      <c r="AG208" s="564"/>
      <c r="AH208" s="564"/>
      <c r="AI208" s="564"/>
      <c r="AJ208" s="564"/>
      <c r="AK208" s="564"/>
      <c r="AL208" s="564"/>
      <c r="AM208" s="564"/>
      <c r="AN208" s="564"/>
      <c r="AO208" s="564"/>
    </row>
    <row r="209" spans="2:41" x14ac:dyDescent="0.15">
      <c r="B209" s="565">
        <v>-15</v>
      </c>
      <c r="C209" s="564">
        <v>6.392694063926941E-3</v>
      </c>
      <c r="D209" s="564"/>
      <c r="E209" s="564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  <c r="Y209" s="564"/>
      <c r="Z209" s="564"/>
      <c r="AA209" s="564"/>
      <c r="AB209" s="564"/>
      <c r="AC209" s="564"/>
      <c r="AD209" s="564"/>
      <c r="AE209" s="564"/>
      <c r="AF209" s="564"/>
      <c r="AG209" s="564"/>
      <c r="AH209" s="564"/>
      <c r="AI209" s="564"/>
      <c r="AJ209" s="564"/>
      <c r="AK209" s="564"/>
      <c r="AL209" s="564"/>
      <c r="AM209" s="564"/>
      <c r="AN209" s="564"/>
      <c r="AO209" s="564"/>
    </row>
    <row r="210" spans="2:41" x14ac:dyDescent="0.15">
      <c r="B210" s="565">
        <v>-14</v>
      </c>
      <c r="C210" s="564">
        <v>7.4200913242009128E-3</v>
      </c>
      <c r="D210" s="564"/>
      <c r="E210" s="564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  <c r="Y210" s="564"/>
      <c r="Z210" s="564"/>
      <c r="AA210" s="564"/>
      <c r="AB210" s="564"/>
      <c r="AC210" s="564"/>
      <c r="AD210" s="564"/>
      <c r="AE210" s="564"/>
      <c r="AF210" s="564"/>
      <c r="AG210" s="564"/>
      <c r="AH210" s="564"/>
      <c r="AI210" s="564"/>
      <c r="AJ210" s="564"/>
      <c r="AK210" s="564"/>
      <c r="AL210" s="564"/>
      <c r="AM210" s="564"/>
      <c r="AN210" s="564"/>
      <c r="AO210" s="564"/>
    </row>
    <row r="211" spans="2:41" x14ac:dyDescent="0.15">
      <c r="B211" s="565">
        <v>-13</v>
      </c>
      <c r="C211" s="564">
        <v>1.1301369863013699E-2</v>
      </c>
      <c r="D211" s="564"/>
      <c r="E211" s="564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  <c r="Y211" s="564"/>
      <c r="Z211" s="564"/>
      <c r="AA211" s="564"/>
      <c r="AB211" s="564"/>
      <c r="AC211" s="564"/>
      <c r="AD211" s="564"/>
      <c r="AE211" s="564"/>
      <c r="AF211" s="564"/>
      <c r="AG211" s="564"/>
      <c r="AH211" s="564"/>
      <c r="AI211" s="564"/>
      <c r="AJ211" s="564"/>
      <c r="AK211" s="564"/>
      <c r="AL211" s="564"/>
      <c r="AM211" s="564"/>
      <c r="AN211" s="564"/>
      <c r="AO211" s="564"/>
    </row>
    <row r="212" spans="2:41" x14ac:dyDescent="0.15">
      <c r="B212" s="565">
        <v>-12</v>
      </c>
      <c r="C212" s="564">
        <v>1.4041095890410958E-2</v>
      </c>
      <c r="D212" s="564"/>
      <c r="E212" s="564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  <c r="Y212" s="564"/>
      <c r="Z212" s="564"/>
      <c r="AA212" s="564"/>
      <c r="AB212" s="564"/>
      <c r="AC212" s="564"/>
      <c r="AD212" s="564"/>
      <c r="AE212" s="564"/>
      <c r="AF212" s="564"/>
      <c r="AG212" s="564"/>
      <c r="AH212" s="564"/>
      <c r="AI212" s="564"/>
      <c r="AJ212" s="564"/>
      <c r="AK212" s="564"/>
      <c r="AL212" s="564"/>
      <c r="AM212" s="564"/>
      <c r="AN212" s="564"/>
      <c r="AO212" s="564"/>
    </row>
    <row r="213" spans="2:41" x14ac:dyDescent="0.15">
      <c r="B213" s="565">
        <v>-11</v>
      </c>
      <c r="C213" s="564">
        <v>1.872146118721461E-2</v>
      </c>
      <c r="D213" s="564"/>
      <c r="E213" s="564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  <c r="Y213" s="564"/>
      <c r="Z213" s="564"/>
      <c r="AA213" s="564"/>
      <c r="AB213" s="564"/>
      <c r="AC213" s="564"/>
      <c r="AD213" s="564"/>
      <c r="AE213" s="564"/>
      <c r="AF213" s="564"/>
      <c r="AG213" s="564"/>
      <c r="AH213" s="564"/>
      <c r="AI213" s="564"/>
      <c r="AJ213" s="564"/>
      <c r="AK213" s="564"/>
      <c r="AL213" s="564"/>
      <c r="AM213" s="564"/>
      <c r="AN213" s="564"/>
      <c r="AO213" s="564"/>
    </row>
    <row r="214" spans="2:41" x14ac:dyDescent="0.15">
      <c r="B214" s="565">
        <v>-10</v>
      </c>
      <c r="C214" s="564">
        <v>2.1232876712328767E-2</v>
      </c>
      <c r="D214" s="564"/>
      <c r="E214" s="564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  <c r="Y214" s="564"/>
      <c r="Z214" s="564"/>
      <c r="AA214" s="564"/>
      <c r="AB214" s="564"/>
      <c r="AC214" s="564"/>
      <c r="AD214" s="564"/>
      <c r="AE214" s="564"/>
      <c r="AF214" s="564"/>
      <c r="AG214" s="564"/>
      <c r="AH214" s="564"/>
      <c r="AI214" s="564"/>
      <c r="AJ214" s="564"/>
      <c r="AK214" s="564"/>
      <c r="AL214" s="564"/>
      <c r="AM214" s="564"/>
      <c r="AN214" s="564"/>
      <c r="AO214" s="564"/>
    </row>
    <row r="215" spans="2:41" x14ac:dyDescent="0.15">
      <c r="B215" s="565">
        <v>-9</v>
      </c>
      <c r="C215" s="564">
        <v>2.3173515981735161E-2</v>
      </c>
      <c r="D215" s="564"/>
      <c r="E215" s="564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  <c r="Y215" s="564"/>
      <c r="Z215" s="564"/>
      <c r="AA215" s="564"/>
      <c r="AB215" s="564"/>
      <c r="AC215" s="564"/>
      <c r="AD215" s="564"/>
      <c r="AE215" s="564"/>
      <c r="AF215" s="564"/>
      <c r="AG215" s="564"/>
      <c r="AH215" s="564"/>
      <c r="AI215" s="564"/>
      <c r="AJ215" s="564"/>
      <c r="AK215" s="564"/>
      <c r="AL215" s="564"/>
      <c r="AM215" s="564"/>
      <c r="AN215" s="564"/>
      <c r="AO215" s="564"/>
    </row>
    <row r="216" spans="2:41" x14ac:dyDescent="0.15">
      <c r="B216" s="565">
        <v>-8</v>
      </c>
      <c r="C216" s="564">
        <v>3.0365296803652967E-2</v>
      </c>
      <c r="D216" s="564"/>
      <c r="E216" s="564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  <c r="Y216" s="564"/>
      <c r="Z216" s="564"/>
      <c r="AA216" s="564"/>
      <c r="AB216" s="564"/>
      <c r="AC216" s="564"/>
      <c r="AD216" s="564"/>
      <c r="AE216" s="564"/>
      <c r="AF216" s="564"/>
      <c r="AG216" s="564"/>
      <c r="AH216" s="564"/>
      <c r="AI216" s="564"/>
      <c r="AJ216" s="564"/>
      <c r="AK216" s="564"/>
      <c r="AL216" s="564"/>
      <c r="AM216" s="564"/>
      <c r="AN216" s="564"/>
      <c r="AO216" s="564"/>
    </row>
    <row r="217" spans="2:41" x14ac:dyDescent="0.15">
      <c r="B217" s="565">
        <v>-7</v>
      </c>
      <c r="C217" s="564">
        <v>3.9041095890410958E-2</v>
      </c>
      <c r="D217" s="564"/>
      <c r="E217" s="564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  <c r="Y217" s="564"/>
      <c r="Z217" s="564"/>
      <c r="AA217" s="564"/>
      <c r="AB217" s="564"/>
      <c r="AC217" s="564"/>
      <c r="AD217" s="564"/>
      <c r="AE217" s="564"/>
      <c r="AF217" s="564"/>
      <c r="AG217" s="564"/>
      <c r="AH217" s="564"/>
      <c r="AI217" s="564"/>
      <c r="AJ217" s="564"/>
      <c r="AK217" s="564"/>
      <c r="AL217" s="564"/>
      <c r="AM217" s="564"/>
      <c r="AN217" s="564"/>
      <c r="AO217" s="564"/>
    </row>
    <row r="218" spans="2:41" x14ac:dyDescent="0.15">
      <c r="B218" s="565">
        <v>-6</v>
      </c>
      <c r="C218" s="564">
        <v>5.3538812785388128E-2</v>
      </c>
      <c r="D218" s="564"/>
      <c r="E218" s="564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  <c r="Y218" s="564"/>
      <c r="Z218" s="564"/>
      <c r="AA218" s="564"/>
      <c r="AB218" s="564"/>
      <c r="AC218" s="564"/>
      <c r="AD218" s="564"/>
      <c r="AE218" s="564"/>
      <c r="AF218" s="564"/>
      <c r="AG218" s="564"/>
      <c r="AH218" s="564"/>
      <c r="AI218" s="564"/>
      <c r="AJ218" s="564"/>
      <c r="AK218" s="564"/>
      <c r="AL218" s="564"/>
      <c r="AM218" s="564"/>
      <c r="AN218" s="564"/>
      <c r="AO218" s="564"/>
    </row>
    <row r="219" spans="2:41" x14ac:dyDescent="0.15">
      <c r="B219" s="565">
        <v>-5</v>
      </c>
      <c r="C219" s="564">
        <v>7.4543378995433784E-2</v>
      </c>
      <c r="D219" s="564"/>
      <c r="E219" s="564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  <c r="Y219" s="564"/>
      <c r="Z219" s="564"/>
      <c r="AA219" s="564"/>
      <c r="AB219" s="564"/>
      <c r="AC219" s="564"/>
      <c r="AD219" s="564"/>
      <c r="AE219" s="564"/>
      <c r="AF219" s="564"/>
      <c r="AG219" s="564"/>
      <c r="AH219" s="564"/>
      <c r="AI219" s="564"/>
      <c r="AJ219" s="564"/>
      <c r="AK219" s="564"/>
      <c r="AL219" s="564"/>
      <c r="AM219" s="564"/>
      <c r="AN219" s="564"/>
      <c r="AO219" s="564"/>
    </row>
    <row r="220" spans="2:41" x14ac:dyDescent="0.15">
      <c r="B220" s="565">
        <v>-4</v>
      </c>
      <c r="C220" s="564">
        <v>8.6872146118721461E-2</v>
      </c>
      <c r="D220" s="564"/>
      <c r="E220" s="564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  <c r="Y220" s="564"/>
      <c r="Z220" s="564"/>
      <c r="AA220" s="564"/>
      <c r="AB220" s="564"/>
      <c r="AC220" s="564"/>
      <c r="AD220" s="564"/>
      <c r="AE220" s="564"/>
      <c r="AF220" s="564"/>
      <c r="AG220" s="564"/>
      <c r="AH220" s="564"/>
      <c r="AI220" s="564"/>
      <c r="AJ220" s="564"/>
      <c r="AK220" s="564"/>
      <c r="AL220" s="564"/>
      <c r="AM220" s="564"/>
      <c r="AN220" s="564"/>
      <c r="AO220" s="564"/>
    </row>
    <row r="221" spans="2:41" x14ac:dyDescent="0.15">
      <c r="B221" s="565">
        <v>-3</v>
      </c>
      <c r="C221" s="564">
        <v>0.11780821917808219</v>
      </c>
      <c r="D221" s="564"/>
      <c r="E221" s="564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  <c r="Y221" s="564"/>
      <c r="Z221" s="564"/>
      <c r="AA221" s="564"/>
      <c r="AB221" s="564"/>
      <c r="AC221" s="564"/>
      <c r="AD221" s="564"/>
      <c r="AE221" s="564"/>
      <c r="AF221" s="564"/>
      <c r="AG221" s="564"/>
      <c r="AH221" s="564"/>
      <c r="AI221" s="564"/>
      <c r="AJ221" s="564"/>
      <c r="AK221" s="564"/>
      <c r="AL221" s="564"/>
      <c r="AM221" s="564"/>
      <c r="AN221" s="564"/>
      <c r="AO221" s="564"/>
    </row>
    <row r="222" spans="2:41" x14ac:dyDescent="0.15">
      <c r="B222" s="565">
        <v>-2</v>
      </c>
      <c r="C222" s="564">
        <v>0.16244292237442923</v>
      </c>
      <c r="D222" s="564"/>
      <c r="E222" s="564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  <c r="Y222" s="564"/>
      <c r="Z222" s="564"/>
      <c r="AA222" s="564"/>
      <c r="AB222" s="564"/>
      <c r="AC222" s="564"/>
      <c r="AD222" s="564"/>
      <c r="AE222" s="564"/>
      <c r="AF222" s="564"/>
      <c r="AG222" s="564"/>
      <c r="AH222" s="564"/>
      <c r="AI222" s="564"/>
      <c r="AJ222" s="564"/>
      <c r="AK222" s="564"/>
      <c r="AL222" s="564"/>
      <c r="AM222" s="564"/>
      <c r="AN222" s="564"/>
      <c r="AO222" s="564"/>
    </row>
    <row r="223" spans="2:41" x14ac:dyDescent="0.15">
      <c r="B223" s="565">
        <v>-1</v>
      </c>
      <c r="C223" s="564">
        <v>0.21118721461187215</v>
      </c>
      <c r="D223" s="564"/>
      <c r="E223" s="564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  <c r="Y223" s="564"/>
      <c r="Z223" s="564"/>
      <c r="AA223" s="564"/>
      <c r="AB223" s="564"/>
      <c r="AC223" s="564"/>
      <c r="AD223" s="564"/>
      <c r="AE223" s="564"/>
      <c r="AF223" s="564"/>
      <c r="AG223" s="564"/>
      <c r="AH223" s="564"/>
      <c r="AI223" s="564"/>
      <c r="AJ223" s="564"/>
      <c r="AK223" s="564"/>
      <c r="AL223" s="564"/>
      <c r="AM223" s="564"/>
      <c r="AN223" s="564"/>
      <c r="AO223" s="564"/>
    </row>
    <row r="224" spans="2:41" x14ac:dyDescent="0.15">
      <c r="B224" s="565">
        <v>0</v>
      </c>
      <c r="C224" s="564">
        <v>0.25753424657534246</v>
      </c>
      <c r="D224" s="564"/>
      <c r="E224" s="564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  <c r="Y224" s="564"/>
      <c r="Z224" s="564"/>
      <c r="AA224" s="564"/>
      <c r="AB224" s="564"/>
      <c r="AC224" s="564"/>
      <c r="AD224" s="564"/>
      <c r="AE224" s="564"/>
      <c r="AF224" s="564"/>
      <c r="AG224" s="564"/>
      <c r="AH224" s="564"/>
      <c r="AI224" s="564"/>
      <c r="AJ224" s="564"/>
      <c r="AK224" s="564"/>
      <c r="AL224" s="564"/>
      <c r="AM224" s="564"/>
      <c r="AN224" s="564"/>
      <c r="AO224" s="564"/>
    </row>
    <row r="225" spans="2:41" x14ac:dyDescent="0.15">
      <c r="B225" s="565">
        <v>1</v>
      </c>
      <c r="C225" s="564">
        <v>0.28150684931506847</v>
      </c>
      <c r="D225" s="564"/>
      <c r="E225" s="564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  <c r="Y225" s="564"/>
      <c r="Z225" s="564"/>
      <c r="AA225" s="564"/>
      <c r="AB225" s="564"/>
      <c r="AC225" s="564"/>
      <c r="AD225" s="564"/>
      <c r="AE225" s="564"/>
      <c r="AF225" s="564"/>
      <c r="AG225" s="564"/>
      <c r="AH225" s="564"/>
      <c r="AI225" s="564"/>
      <c r="AJ225" s="564"/>
      <c r="AK225" s="564"/>
      <c r="AL225" s="564"/>
      <c r="AM225" s="564"/>
      <c r="AN225" s="564"/>
      <c r="AO225" s="564"/>
    </row>
    <row r="226" spans="2:41" x14ac:dyDescent="0.15">
      <c r="B226" s="565">
        <v>2</v>
      </c>
      <c r="C226" s="564">
        <v>0.33550228310502284</v>
      </c>
      <c r="D226" s="564"/>
      <c r="E226" s="564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  <c r="Y226" s="564"/>
      <c r="Z226" s="564"/>
      <c r="AA226" s="564"/>
      <c r="AB226" s="564"/>
      <c r="AC226" s="564"/>
      <c r="AD226" s="564"/>
      <c r="AE226" s="564"/>
      <c r="AF226" s="564"/>
      <c r="AG226" s="564"/>
      <c r="AH226" s="564"/>
      <c r="AI226" s="564"/>
      <c r="AJ226" s="564"/>
      <c r="AK226" s="564"/>
      <c r="AL226" s="564"/>
      <c r="AM226" s="564"/>
      <c r="AN226" s="564"/>
      <c r="AO226" s="564"/>
    </row>
    <row r="227" spans="2:41" x14ac:dyDescent="0.15">
      <c r="B227" s="565">
        <v>3</v>
      </c>
      <c r="C227" s="564">
        <v>0.38824200913242007</v>
      </c>
      <c r="D227" s="564"/>
      <c r="E227" s="564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  <c r="Y227" s="564"/>
      <c r="Z227" s="564"/>
      <c r="AA227" s="564"/>
      <c r="AB227" s="564"/>
      <c r="AC227" s="564"/>
      <c r="AD227" s="564"/>
      <c r="AE227" s="564"/>
      <c r="AF227" s="564"/>
      <c r="AG227" s="564"/>
      <c r="AH227" s="564"/>
      <c r="AI227" s="564"/>
      <c r="AJ227" s="564"/>
      <c r="AK227" s="564"/>
      <c r="AL227" s="564"/>
      <c r="AM227" s="564"/>
      <c r="AN227" s="564"/>
      <c r="AO227" s="564"/>
    </row>
    <row r="228" spans="2:41" x14ac:dyDescent="0.15">
      <c r="B228" s="565">
        <v>4</v>
      </c>
      <c r="C228" s="564">
        <v>0.44189497716894977</v>
      </c>
      <c r="D228" s="564"/>
      <c r="E228" s="564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  <c r="Y228" s="564"/>
      <c r="Z228" s="564"/>
      <c r="AA228" s="564"/>
      <c r="AB228" s="564"/>
      <c r="AC228" s="564"/>
      <c r="AD228" s="564"/>
      <c r="AE228" s="564"/>
      <c r="AF228" s="564"/>
      <c r="AG228" s="564"/>
      <c r="AH228" s="564"/>
      <c r="AI228" s="564"/>
      <c r="AJ228" s="564"/>
      <c r="AK228" s="564"/>
      <c r="AL228" s="564"/>
      <c r="AM228" s="564"/>
      <c r="AN228" s="564"/>
      <c r="AO228" s="564"/>
    </row>
    <row r="229" spans="2:41" x14ac:dyDescent="0.15">
      <c r="B229" s="565">
        <v>5</v>
      </c>
      <c r="C229" s="564">
        <v>0.48162100456621004</v>
      </c>
      <c r="D229" s="564"/>
      <c r="E229" s="564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  <c r="Y229" s="564"/>
      <c r="Z229" s="564"/>
      <c r="AA229" s="564"/>
      <c r="AB229" s="564"/>
      <c r="AC229" s="564"/>
      <c r="AD229" s="564"/>
      <c r="AE229" s="564"/>
      <c r="AF229" s="564"/>
      <c r="AG229" s="564"/>
      <c r="AH229" s="564"/>
      <c r="AI229" s="564"/>
      <c r="AJ229" s="564"/>
      <c r="AK229" s="564"/>
      <c r="AL229" s="564"/>
      <c r="AM229" s="564"/>
      <c r="AN229" s="564"/>
      <c r="AO229" s="564"/>
    </row>
    <row r="230" spans="2:41" x14ac:dyDescent="0.15">
      <c r="B230" s="565">
        <v>6</v>
      </c>
      <c r="C230" s="564">
        <v>0.49771689497716892</v>
      </c>
      <c r="D230" s="564"/>
      <c r="E230" s="564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  <c r="Y230" s="564"/>
      <c r="Z230" s="564"/>
      <c r="AA230" s="564"/>
      <c r="AB230" s="564"/>
      <c r="AC230" s="564"/>
      <c r="AD230" s="564"/>
      <c r="AE230" s="564"/>
      <c r="AF230" s="564"/>
      <c r="AG230" s="564"/>
      <c r="AH230" s="564"/>
      <c r="AI230" s="564"/>
      <c r="AJ230" s="564"/>
      <c r="AK230" s="564"/>
      <c r="AL230" s="564"/>
      <c r="AM230" s="564"/>
      <c r="AN230" s="564"/>
      <c r="AO230" s="564"/>
    </row>
    <row r="231" spans="2:41" x14ac:dyDescent="0.15">
      <c r="B231" s="565">
        <v>7</v>
      </c>
      <c r="C231" s="564">
        <v>0.53230593607305932</v>
      </c>
      <c r="D231" s="564"/>
      <c r="E231" s="564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  <c r="Y231" s="564"/>
      <c r="Z231" s="564"/>
      <c r="AA231" s="564"/>
      <c r="AB231" s="564"/>
      <c r="AC231" s="564"/>
      <c r="AD231" s="564"/>
      <c r="AE231" s="564"/>
      <c r="AF231" s="564"/>
      <c r="AG231" s="564"/>
      <c r="AH231" s="564"/>
      <c r="AI231" s="564"/>
      <c r="AJ231" s="564"/>
      <c r="AK231" s="564"/>
      <c r="AL231" s="564"/>
      <c r="AM231" s="564"/>
      <c r="AN231" s="564"/>
      <c r="AO231" s="564"/>
    </row>
    <row r="232" spans="2:41" x14ac:dyDescent="0.15">
      <c r="B232" s="565">
        <v>8</v>
      </c>
      <c r="C232" s="564">
        <v>0.56666666666666665</v>
      </c>
      <c r="D232" s="564"/>
      <c r="E232" s="564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  <c r="Y232" s="564"/>
      <c r="Z232" s="564"/>
      <c r="AA232" s="564"/>
      <c r="AB232" s="564"/>
      <c r="AC232" s="564"/>
      <c r="AD232" s="564"/>
      <c r="AE232" s="564"/>
      <c r="AF232" s="564"/>
      <c r="AG232" s="564"/>
      <c r="AH232" s="564"/>
      <c r="AI232" s="564"/>
      <c r="AJ232" s="564"/>
      <c r="AK232" s="564"/>
      <c r="AL232" s="564"/>
      <c r="AM232" s="564"/>
      <c r="AN232" s="564"/>
      <c r="AO232" s="564"/>
    </row>
    <row r="233" spans="2:41" x14ac:dyDescent="0.15">
      <c r="B233" s="565">
        <v>9</v>
      </c>
      <c r="C233" s="564">
        <v>0.60136986301369866</v>
      </c>
      <c r="D233" s="564"/>
      <c r="E233" s="564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  <c r="Y233" s="564"/>
      <c r="Z233" s="564"/>
      <c r="AA233" s="564"/>
      <c r="AB233" s="564"/>
      <c r="AC233" s="564"/>
      <c r="AD233" s="564"/>
      <c r="AE233" s="564"/>
      <c r="AF233" s="564"/>
      <c r="AG233" s="564"/>
      <c r="AH233" s="564"/>
      <c r="AI233" s="564"/>
      <c r="AJ233" s="564"/>
      <c r="AK233" s="564"/>
      <c r="AL233" s="564"/>
      <c r="AM233" s="564"/>
      <c r="AN233" s="564"/>
      <c r="AO233" s="564"/>
    </row>
    <row r="234" spans="2:41" x14ac:dyDescent="0.15">
      <c r="B234" s="565">
        <v>10</v>
      </c>
      <c r="C234" s="564">
        <v>0.64577625570776254</v>
      </c>
      <c r="D234" s="564"/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  <c r="Y234" s="564"/>
      <c r="Z234" s="564"/>
      <c r="AA234" s="564"/>
      <c r="AB234" s="564"/>
      <c r="AC234" s="564"/>
      <c r="AD234" s="564"/>
      <c r="AE234" s="564"/>
      <c r="AF234" s="564"/>
      <c r="AG234" s="564"/>
      <c r="AH234" s="564"/>
      <c r="AI234" s="564"/>
      <c r="AJ234" s="564"/>
      <c r="AK234" s="564"/>
      <c r="AL234" s="564"/>
      <c r="AM234" s="564"/>
      <c r="AN234" s="564"/>
      <c r="AO234" s="564"/>
    </row>
    <row r="235" spans="2:41" x14ac:dyDescent="0.15">
      <c r="B235" s="565">
        <v>11</v>
      </c>
      <c r="C235" s="564">
        <v>0.67168949771689501</v>
      </c>
      <c r="D235" s="564"/>
      <c r="E235" s="564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  <c r="Y235" s="564"/>
      <c r="Z235" s="564"/>
      <c r="AA235" s="564"/>
      <c r="AB235" s="564"/>
      <c r="AC235" s="564"/>
      <c r="AD235" s="564"/>
      <c r="AE235" s="564"/>
      <c r="AF235" s="564"/>
      <c r="AG235" s="564"/>
      <c r="AH235" s="564"/>
      <c r="AI235" s="564"/>
      <c r="AJ235" s="564"/>
      <c r="AK235" s="564"/>
      <c r="AL235" s="564"/>
      <c r="AM235" s="564"/>
      <c r="AN235" s="564"/>
      <c r="AO235" s="564"/>
    </row>
    <row r="236" spans="2:41" x14ac:dyDescent="0.15">
      <c r="B236" s="565">
        <v>12</v>
      </c>
      <c r="C236" s="564">
        <v>0.72568493150684932</v>
      </c>
      <c r="D236" s="564"/>
      <c r="E236" s="564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  <c r="Y236" s="564"/>
      <c r="Z236" s="564"/>
      <c r="AA236" s="564"/>
      <c r="AB236" s="564"/>
      <c r="AC236" s="564"/>
      <c r="AD236" s="564"/>
      <c r="AE236" s="564"/>
      <c r="AF236" s="564"/>
      <c r="AG236" s="564"/>
      <c r="AH236" s="564"/>
      <c r="AI236" s="564"/>
      <c r="AJ236" s="564"/>
      <c r="AK236" s="564"/>
      <c r="AL236" s="564"/>
      <c r="AM236" s="564"/>
      <c r="AN236" s="564"/>
      <c r="AO236" s="564"/>
    </row>
    <row r="237" spans="2:41" x14ac:dyDescent="0.15">
      <c r="B237" s="565">
        <v>13</v>
      </c>
      <c r="C237" s="564">
        <v>0.77579908675799092</v>
      </c>
      <c r="D237" s="564"/>
      <c r="E237" s="564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  <c r="Y237" s="564"/>
      <c r="Z237" s="564"/>
      <c r="AA237" s="564"/>
      <c r="AB237" s="564"/>
      <c r="AC237" s="564"/>
      <c r="AD237" s="564"/>
      <c r="AE237" s="564"/>
      <c r="AF237" s="564"/>
      <c r="AG237" s="564"/>
      <c r="AH237" s="564"/>
      <c r="AI237" s="564"/>
      <c r="AJ237" s="564"/>
      <c r="AK237" s="564"/>
      <c r="AL237" s="564"/>
      <c r="AM237" s="564"/>
      <c r="AN237" s="564"/>
      <c r="AO237" s="564"/>
    </row>
    <row r="238" spans="2:41" x14ac:dyDescent="0.15">
      <c r="B238" s="565">
        <v>14</v>
      </c>
      <c r="C238" s="564">
        <v>0.82248858447488582</v>
      </c>
      <c r="D238" s="564"/>
      <c r="E238" s="564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  <c r="Y238" s="564"/>
      <c r="Z238" s="564"/>
      <c r="AA238" s="564"/>
      <c r="AB238" s="564"/>
      <c r="AC238" s="564"/>
      <c r="AD238" s="564"/>
      <c r="AE238" s="564"/>
      <c r="AF238" s="564"/>
      <c r="AG238" s="564"/>
      <c r="AH238" s="564"/>
      <c r="AI238" s="564"/>
      <c r="AJ238" s="564"/>
      <c r="AK238" s="564"/>
      <c r="AL238" s="564"/>
      <c r="AM238" s="564"/>
      <c r="AN238" s="564"/>
      <c r="AO238" s="564"/>
    </row>
    <row r="239" spans="2:41" x14ac:dyDescent="0.15">
      <c r="B239" s="565">
        <v>15</v>
      </c>
      <c r="C239" s="564">
        <v>0.86130136986301364</v>
      </c>
      <c r="D239" s="564"/>
      <c r="E239" s="564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  <c r="Y239" s="564"/>
      <c r="Z239" s="564"/>
      <c r="AA239" s="564"/>
      <c r="AB239" s="564"/>
      <c r="AC239" s="564"/>
      <c r="AD239" s="564"/>
      <c r="AE239" s="564"/>
      <c r="AF239" s="564"/>
      <c r="AG239" s="564"/>
      <c r="AH239" s="564"/>
      <c r="AI239" s="564"/>
      <c r="AJ239" s="564"/>
      <c r="AK239" s="564"/>
      <c r="AL239" s="564"/>
      <c r="AM239" s="564"/>
      <c r="AN239" s="564"/>
      <c r="AO239" s="564"/>
    </row>
    <row r="240" spans="2:41" x14ac:dyDescent="0.15">
      <c r="B240" s="565">
        <v>16</v>
      </c>
      <c r="C240" s="564">
        <v>0.88299086757990863</v>
      </c>
      <c r="D240" s="564"/>
      <c r="E240" s="564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  <c r="Y240" s="564"/>
      <c r="Z240" s="564"/>
      <c r="AA240" s="564"/>
      <c r="AB240" s="564"/>
      <c r="AC240" s="564"/>
      <c r="AD240" s="564"/>
      <c r="AE240" s="564"/>
      <c r="AF240" s="564"/>
      <c r="AG240" s="564"/>
      <c r="AH240" s="564"/>
      <c r="AI240" s="564"/>
      <c r="AJ240" s="564"/>
      <c r="AK240" s="564"/>
      <c r="AL240" s="564"/>
      <c r="AM240" s="564"/>
      <c r="AN240" s="564"/>
      <c r="AO240" s="564"/>
    </row>
    <row r="241" spans="2:41" x14ac:dyDescent="0.15">
      <c r="B241" s="565">
        <v>17</v>
      </c>
      <c r="C241" s="564">
        <v>0.9178082191780822</v>
      </c>
      <c r="D241" s="564"/>
      <c r="E241" s="564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  <c r="Y241" s="564"/>
      <c r="Z241" s="564"/>
      <c r="AA241" s="564"/>
      <c r="AB241" s="564"/>
      <c r="AC241" s="564"/>
      <c r="AD241" s="564"/>
      <c r="AE241" s="564"/>
      <c r="AF241" s="564"/>
      <c r="AG241" s="564"/>
      <c r="AH241" s="564"/>
      <c r="AI241" s="564"/>
      <c r="AJ241" s="564"/>
      <c r="AK241" s="564"/>
      <c r="AL241" s="564"/>
      <c r="AM241" s="564"/>
      <c r="AN241" s="564"/>
      <c r="AO241" s="564"/>
    </row>
    <row r="242" spans="2:41" x14ac:dyDescent="0.15">
      <c r="B242" s="565">
        <v>18</v>
      </c>
      <c r="C242" s="564">
        <v>0.94509132420091324</v>
      </c>
      <c r="D242" s="564"/>
      <c r="E242" s="564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  <c r="Y242" s="564"/>
      <c r="Z242" s="564"/>
      <c r="AA242" s="564"/>
      <c r="AB242" s="564"/>
      <c r="AC242" s="564"/>
      <c r="AD242" s="564"/>
      <c r="AE242" s="564"/>
      <c r="AF242" s="564"/>
      <c r="AG242" s="564"/>
      <c r="AH242" s="564"/>
      <c r="AI242" s="564"/>
      <c r="AJ242" s="564"/>
      <c r="AK242" s="564"/>
      <c r="AL242" s="564"/>
      <c r="AM242" s="564"/>
      <c r="AN242" s="564"/>
      <c r="AO242" s="564"/>
    </row>
    <row r="243" spans="2:41" x14ac:dyDescent="0.15">
      <c r="B243" s="565">
        <v>19</v>
      </c>
      <c r="C243" s="564">
        <v>0.96369863013698631</v>
      </c>
      <c r="D243" s="564"/>
      <c r="E243" s="564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  <c r="Y243" s="564"/>
      <c r="Z243" s="564"/>
      <c r="AA243" s="564"/>
      <c r="AB243" s="564"/>
      <c r="AC243" s="564"/>
      <c r="AD243" s="564"/>
      <c r="AE243" s="564"/>
      <c r="AF243" s="564"/>
      <c r="AG243" s="564"/>
      <c r="AH243" s="564"/>
      <c r="AI243" s="564"/>
      <c r="AJ243" s="564"/>
      <c r="AK243" s="564"/>
      <c r="AL243" s="564"/>
      <c r="AM243" s="564"/>
      <c r="AN243" s="564"/>
      <c r="AO243" s="564"/>
    </row>
    <row r="244" spans="2:41" x14ac:dyDescent="0.15">
      <c r="B244" s="565">
        <v>20</v>
      </c>
      <c r="C244" s="564">
        <v>0.97659817351598177</v>
      </c>
      <c r="D244" s="564"/>
      <c r="E244" s="564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  <c r="Y244" s="564"/>
      <c r="Z244" s="564"/>
      <c r="AA244" s="564"/>
      <c r="AB244" s="564"/>
      <c r="AC244" s="564"/>
      <c r="AD244" s="564"/>
      <c r="AE244" s="564"/>
      <c r="AF244" s="564"/>
      <c r="AG244" s="564"/>
      <c r="AH244" s="564"/>
      <c r="AI244" s="564"/>
      <c r="AJ244" s="564"/>
      <c r="AK244" s="564"/>
      <c r="AL244" s="564"/>
      <c r="AM244" s="564"/>
      <c r="AN244" s="564"/>
      <c r="AO244" s="564"/>
    </row>
    <row r="245" spans="2:41" x14ac:dyDescent="0.15">
      <c r="B245" s="565">
        <v>21</v>
      </c>
      <c r="C245" s="564">
        <v>0.9817351598173516</v>
      </c>
      <c r="D245" s="564"/>
      <c r="E245" s="564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  <c r="Y245" s="564"/>
      <c r="Z245" s="564"/>
      <c r="AA245" s="564"/>
      <c r="AB245" s="564"/>
      <c r="AC245" s="564"/>
      <c r="AD245" s="564"/>
      <c r="AE245" s="564"/>
      <c r="AF245" s="564"/>
      <c r="AG245" s="564"/>
      <c r="AH245" s="564"/>
      <c r="AI245" s="564"/>
      <c r="AJ245" s="564"/>
      <c r="AK245" s="564"/>
      <c r="AL245" s="564"/>
      <c r="AM245" s="564"/>
      <c r="AN245" s="564"/>
      <c r="AO245" s="564"/>
    </row>
    <row r="246" spans="2:41" x14ac:dyDescent="0.15">
      <c r="B246" s="565">
        <v>22</v>
      </c>
      <c r="C246" s="564">
        <v>0.98847031963470322</v>
      </c>
      <c r="D246" s="564"/>
      <c r="E246" s="564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  <c r="Y246" s="564"/>
      <c r="Z246" s="564"/>
      <c r="AA246" s="564"/>
      <c r="AB246" s="564"/>
      <c r="AC246" s="564"/>
      <c r="AD246" s="564"/>
      <c r="AE246" s="564"/>
      <c r="AF246" s="564"/>
      <c r="AG246" s="564"/>
      <c r="AH246" s="564"/>
      <c r="AI246" s="564"/>
      <c r="AJ246" s="564"/>
      <c r="AK246" s="564"/>
      <c r="AL246" s="564"/>
      <c r="AM246" s="564"/>
      <c r="AN246" s="564"/>
      <c r="AO246" s="564"/>
    </row>
    <row r="247" spans="2:41" x14ac:dyDescent="0.15">
      <c r="B247" s="565">
        <v>23</v>
      </c>
      <c r="C247" s="564">
        <v>0.99372146118721461</v>
      </c>
      <c r="D247" s="564"/>
      <c r="E247" s="564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  <c r="Y247" s="564"/>
      <c r="Z247" s="564"/>
      <c r="AA247" s="564"/>
      <c r="AB247" s="564"/>
      <c r="AC247" s="564"/>
      <c r="AD247" s="564"/>
      <c r="AE247" s="564"/>
      <c r="AF247" s="564"/>
      <c r="AG247" s="564"/>
      <c r="AH247" s="564"/>
      <c r="AI247" s="564"/>
      <c r="AJ247" s="564"/>
      <c r="AK247" s="564"/>
      <c r="AL247" s="564"/>
      <c r="AM247" s="564"/>
      <c r="AN247" s="564"/>
      <c r="AO247" s="564"/>
    </row>
    <row r="248" spans="2:41" x14ac:dyDescent="0.15">
      <c r="B248" s="565">
        <v>24</v>
      </c>
      <c r="C248" s="564">
        <v>0.9963470319634703</v>
      </c>
      <c r="D248" s="564"/>
      <c r="E248" s="564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  <c r="Y248" s="564"/>
      <c r="Z248" s="564"/>
      <c r="AA248" s="564"/>
      <c r="AB248" s="564"/>
      <c r="AC248" s="564"/>
      <c r="AD248" s="564"/>
      <c r="AE248" s="564"/>
      <c r="AF248" s="564"/>
      <c r="AG248" s="564"/>
      <c r="AH248" s="564"/>
      <c r="AI248" s="564"/>
      <c r="AJ248" s="564"/>
      <c r="AK248" s="564"/>
      <c r="AL248" s="564"/>
      <c r="AM248" s="564"/>
      <c r="AN248" s="564"/>
      <c r="AO248" s="564"/>
    </row>
    <row r="249" spans="2:41" x14ac:dyDescent="0.15">
      <c r="B249" s="565">
        <v>25</v>
      </c>
      <c r="C249" s="564">
        <v>0.99840182648401832</v>
      </c>
      <c r="D249" s="564"/>
      <c r="E249" s="564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  <c r="Y249" s="564"/>
      <c r="Z249" s="564"/>
      <c r="AA249" s="564"/>
      <c r="AB249" s="564"/>
      <c r="AC249" s="564"/>
      <c r="AD249" s="564"/>
      <c r="AE249" s="564"/>
      <c r="AF249" s="564"/>
      <c r="AG249" s="564"/>
      <c r="AH249" s="564"/>
      <c r="AI249" s="564"/>
      <c r="AJ249" s="564"/>
      <c r="AK249" s="564"/>
      <c r="AL249" s="564"/>
      <c r="AM249" s="564"/>
      <c r="AN249" s="564"/>
      <c r="AO249" s="564"/>
    </row>
    <row r="250" spans="2:41" x14ac:dyDescent="0.15">
      <c r="B250" s="565">
        <v>26</v>
      </c>
      <c r="C250" s="564">
        <v>0.99908675799086755</v>
      </c>
      <c r="D250" s="564"/>
      <c r="E250" s="564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  <c r="Y250" s="564"/>
      <c r="Z250" s="564"/>
      <c r="AA250" s="564"/>
      <c r="AB250" s="564"/>
      <c r="AC250" s="564"/>
      <c r="AD250" s="564"/>
      <c r="AE250" s="564"/>
      <c r="AF250" s="564"/>
      <c r="AG250" s="564"/>
      <c r="AH250" s="564"/>
      <c r="AI250" s="564"/>
      <c r="AJ250" s="564"/>
      <c r="AK250" s="564"/>
      <c r="AL250" s="564"/>
      <c r="AM250" s="564"/>
      <c r="AN250" s="564"/>
      <c r="AO250" s="564"/>
    </row>
    <row r="251" spans="2:41" x14ac:dyDescent="0.15">
      <c r="B251" s="565">
        <v>27</v>
      </c>
      <c r="C251" s="564">
        <v>0.99965753424657533</v>
      </c>
      <c r="D251" s="564"/>
      <c r="E251" s="564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  <c r="Y251" s="564"/>
      <c r="Z251" s="564"/>
      <c r="AA251" s="564"/>
      <c r="AB251" s="564"/>
      <c r="AC251" s="564"/>
      <c r="AD251" s="564"/>
      <c r="AE251" s="564"/>
      <c r="AF251" s="564"/>
      <c r="AG251" s="564"/>
      <c r="AH251" s="564"/>
      <c r="AI251" s="564"/>
      <c r="AJ251" s="564"/>
      <c r="AK251" s="564"/>
      <c r="AL251" s="564"/>
      <c r="AM251" s="564"/>
      <c r="AN251" s="564"/>
      <c r="AO251" s="564"/>
    </row>
    <row r="252" spans="2:41" x14ac:dyDescent="0.15">
      <c r="B252" s="565">
        <v>28</v>
      </c>
      <c r="C252" s="564">
        <v>1</v>
      </c>
      <c r="D252" s="564"/>
      <c r="E252" s="564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  <c r="Y252" s="564"/>
      <c r="Z252" s="564"/>
      <c r="AA252" s="564"/>
      <c r="AB252" s="564"/>
      <c r="AC252" s="564"/>
      <c r="AD252" s="564"/>
      <c r="AE252" s="564"/>
      <c r="AF252" s="564"/>
      <c r="AG252" s="564"/>
      <c r="AH252" s="564"/>
      <c r="AI252" s="564"/>
      <c r="AJ252" s="564"/>
      <c r="AK252" s="564"/>
      <c r="AL252" s="564"/>
      <c r="AM252" s="564"/>
      <c r="AN252" s="564"/>
      <c r="AO252" s="564"/>
    </row>
    <row r="253" spans="2:41" x14ac:dyDescent="0.15">
      <c r="B253" s="565">
        <v>29</v>
      </c>
      <c r="C253" s="564">
        <v>1</v>
      </c>
      <c r="D253" s="564"/>
      <c r="E253" s="564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  <c r="Y253" s="564"/>
      <c r="Z253" s="564"/>
      <c r="AA253" s="564"/>
      <c r="AB253" s="564"/>
      <c r="AC253" s="564"/>
      <c r="AD253" s="564"/>
      <c r="AE253" s="564"/>
      <c r="AF253" s="564"/>
      <c r="AG253" s="564"/>
      <c r="AH253" s="564"/>
      <c r="AI253" s="564"/>
      <c r="AJ253" s="564"/>
      <c r="AK253" s="564"/>
      <c r="AL253" s="564"/>
      <c r="AM253" s="564"/>
      <c r="AN253" s="564"/>
      <c r="AO253" s="564"/>
    </row>
    <row r="254" spans="2:41" x14ac:dyDescent="0.15">
      <c r="B254" s="565">
        <v>30</v>
      </c>
      <c r="C254" s="564">
        <v>1</v>
      </c>
      <c r="D254" s="564"/>
      <c r="E254" s="564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  <c r="Y254" s="564"/>
      <c r="Z254" s="564"/>
      <c r="AA254" s="564"/>
      <c r="AB254" s="564"/>
      <c r="AC254" s="564"/>
      <c r="AD254" s="564"/>
      <c r="AE254" s="564"/>
      <c r="AF254" s="564"/>
      <c r="AG254" s="564"/>
      <c r="AH254" s="564"/>
      <c r="AI254" s="564"/>
      <c r="AJ254" s="564"/>
      <c r="AK254" s="564"/>
      <c r="AL254" s="564"/>
      <c r="AM254" s="564"/>
      <c r="AN254" s="564"/>
      <c r="AO254" s="564"/>
    </row>
    <row r="255" spans="2:41" x14ac:dyDescent="0.15">
      <c r="B255" s="565">
        <v>31</v>
      </c>
      <c r="C255" s="564">
        <v>1</v>
      </c>
      <c r="D255" s="564"/>
      <c r="E255" s="564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  <c r="Y255" s="564"/>
      <c r="Z255" s="564"/>
      <c r="AA255" s="564"/>
      <c r="AB255" s="564"/>
      <c r="AC255" s="564"/>
      <c r="AD255" s="564"/>
      <c r="AE255" s="564"/>
      <c r="AF255" s="564"/>
      <c r="AG255" s="564"/>
      <c r="AH255" s="564"/>
      <c r="AI255" s="564"/>
      <c r="AJ255" s="564"/>
      <c r="AK255" s="564"/>
      <c r="AL255" s="564"/>
      <c r="AM255" s="564"/>
      <c r="AN255" s="564"/>
      <c r="AO255" s="564"/>
    </row>
    <row r="256" spans="2:41" x14ac:dyDescent="0.15">
      <c r="B256" s="565">
        <v>32</v>
      </c>
      <c r="C256" s="564">
        <v>1</v>
      </c>
      <c r="D256" s="564"/>
      <c r="E256" s="564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  <c r="Y256" s="564"/>
      <c r="Z256" s="564"/>
      <c r="AA256" s="564"/>
      <c r="AB256" s="564"/>
      <c r="AC256" s="564"/>
      <c r="AD256" s="564"/>
      <c r="AE256" s="564"/>
      <c r="AF256" s="564"/>
      <c r="AG256" s="564"/>
      <c r="AH256" s="564"/>
      <c r="AI256" s="564"/>
      <c r="AJ256" s="564"/>
      <c r="AK256" s="564"/>
      <c r="AL256" s="564"/>
      <c r="AM256" s="564"/>
      <c r="AN256" s="564"/>
      <c r="AO256" s="564"/>
    </row>
    <row r="257" spans="2:41" x14ac:dyDescent="0.15">
      <c r="B257" s="565">
        <v>33</v>
      </c>
      <c r="C257" s="564">
        <v>1</v>
      </c>
      <c r="D257" s="564"/>
      <c r="E257" s="564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  <c r="Y257" s="564"/>
      <c r="Z257" s="564"/>
      <c r="AA257" s="564"/>
      <c r="AB257" s="564"/>
      <c r="AC257" s="564"/>
      <c r="AD257" s="564"/>
      <c r="AE257" s="564"/>
      <c r="AF257" s="564"/>
      <c r="AG257" s="564"/>
      <c r="AH257" s="564"/>
      <c r="AI257" s="564"/>
      <c r="AJ257" s="564"/>
      <c r="AK257" s="564"/>
      <c r="AL257" s="564"/>
      <c r="AM257" s="564"/>
      <c r="AN257" s="564"/>
      <c r="AO257" s="564"/>
    </row>
    <row r="258" spans="2:41" x14ac:dyDescent="0.15">
      <c r="B258" s="565">
        <v>34</v>
      </c>
      <c r="C258" s="564">
        <v>1</v>
      </c>
      <c r="D258" s="564"/>
      <c r="E258" s="564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  <c r="Y258" s="564"/>
      <c r="Z258" s="564"/>
      <c r="AA258" s="564"/>
      <c r="AB258" s="564"/>
      <c r="AC258" s="564"/>
      <c r="AD258" s="564"/>
      <c r="AE258" s="564"/>
      <c r="AF258" s="564"/>
      <c r="AG258" s="564"/>
      <c r="AH258" s="564"/>
      <c r="AI258" s="564"/>
      <c r="AJ258" s="564"/>
      <c r="AK258" s="564"/>
      <c r="AL258" s="564"/>
      <c r="AM258" s="564"/>
      <c r="AN258" s="564"/>
      <c r="AO258" s="564"/>
    </row>
    <row r="259" spans="2:41" x14ac:dyDescent="0.15">
      <c r="B259" s="565">
        <v>35</v>
      </c>
      <c r="C259" s="564">
        <v>1</v>
      </c>
      <c r="D259" s="564"/>
      <c r="E259" s="564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  <c r="Y259" s="564"/>
      <c r="Z259" s="564"/>
      <c r="AA259" s="564"/>
      <c r="AB259" s="564"/>
      <c r="AC259" s="564"/>
      <c r="AD259" s="564"/>
      <c r="AE259" s="564"/>
      <c r="AF259" s="564"/>
      <c r="AG259" s="564"/>
      <c r="AH259" s="564"/>
      <c r="AI259" s="564"/>
      <c r="AJ259" s="564"/>
      <c r="AK259" s="564"/>
      <c r="AL259" s="564"/>
      <c r="AM259" s="564"/>
      <c r="AN259" s="564"/>
      <c r="AO259" s="564"/>
    </row>
    <row r="260" spans="2:41" x14ac:dyDescent="0.15">
      <c r="B260" s="565">
        <v>36</v>
      </c>
      <c r="C260" s="564">
        <v>1</v>
      </c>
      <c r="D260" s="564"/>
      <c r="E260" s="564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  <c r="Y260" s="564"/>
      <c r="Z260" s="564"/>
      <c r="AA260" s="564"/>
      <c r="AB260" s="564"/>
      <c r="AC260" s="564"/>
      <c r="AD260" s="564"/>
      <c r="AE260" s="564"/>
      <c r="AF260" s="564"/>
      <c r="AG260" s="564"/>
      <c r="AH260" s="564"/>
      <c r="AI260" s="564"/>
      <c r="AJ260" s="564"/>
      <c r="AK260" s="564"/>
      <c r="AL260" s="564"/>
      <c r="AM260" s="564"/>
      <c r="AN260" s="564"/>
      <c r="AO260" s="564"/>
    </row>
    <row r="261" spans="2:41" x14ac:dyDescent="0.15">
      <c r="B261" s="565">
        <v>37</v>
      </c>
      <c r="C261" s="564">
        <v>1</v>
      </c>
      <c r="D261" s="564"/>
      <c r="E261" s="564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  <c r="Y261" s="564"/>
      <c r="Z261" s="564"/>
      <c r="AA261" s="564"/>
      <c r="AB261" s="564"/>
      <c r="AC261" s="564"/>
      <c r="AD261" s="564"/>
      <c r="AE261" s="564"/>
      <c r="AF261" s="564"/>
      <c r="AG261" s="564"/>
      <c r="AH261" s="564"/>
      <c r="AI261" s="564"/>
      <c r="AJ261" s="564"/>
      <c r="AK261" s="564"/>
      <c r="AL261" s="564"/>
      <c r="AM261" s="564"/>
      <c r="AN261" s="564"/>
      <c r="AO261" s="564"/>
    </row>
    <row r="262" spans="2:41" x14ac:dyDescent="0.15">
      <c r="B262" s="565">
        <v>38</v>
      </c>
      <c r="C262" s="564">
        <v>1</v>
      </c>
      <c r="D262" s="564"/>
      <c r="E262" s="564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  <c r="Y262" s="564"/>
      <c r="Z262" s="564"/>
      <c r="AA262" s="564"/>
      <c r="AB262" s="564"/>
      <c r="AC262" s="564"/>
      <c r="AD262" s="564"/>
      <c r="AE262" s="564"/>
      <c r="AF262" s="564"/>
      <c r="AG262" s="564"/>
      <c r="AH262" s="564"/>
      <c r="AI262" s="564"/>
      <c r="AJ262" s="564"/>
      <c r="AK262" s="564"/>
      <c r="AL262" s="564"/>
      <c r="AM262" s="564"/>
      <c r="AN262" s="564"/>
      <c r="AO262" s="564"/>
    </row>
    <row r="263" spans="2:41" x14ac:dyDescent="0.15">
      <c r="B263" s="565">
        <v>39</v>
      </c>
      <c r="C263" s="564">
        <v>1</v>
      </c>
      <c r="D263" s="564"/>
      <c r="E263" s="564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  <c r="Y263" s="564"/>
      <c r="Z263" s="564"/>
      <c r="AA263" s="564"/>
      <c r="AB263" s="564"/>
      <c r="AC263" s="564"/>
      <c r="AD263" s="564"/>
      <c r="AE263" s="564"/>
      <c r="AF263" s="564"/>
      <c r="AG263" s="564"/>
      <c r="AH263" s="564"/>
      <c r="AI263" s="564"/>
      <c r="AJ263" s="564"/>
      <c r="AK263" s="564"/>
      <c r="AL263" s="564"/>
      <c r="AM263" s="564"/>
      <c r="AN263" s="564"/>
      <c r="AO263" s="564"/>
    </row>
    <row r="264" spans="2:41" x14ac:dyDescent="0.15">
      <c r="B264" s="566">
        <v>40</v>
      </c>
      <c r="C264" s="564">
        <v>1</v>
      </c>
      <c r="D264" s="564"/>
      <c r="E264" s="564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  <c r="Y264" s="564"/>
      <c r="Z264" s="564"/>
      <c r="AA264" s="564"/>
      <c r="AB264" s="564"/>
      <c r="AC264" s="564"/>
      <c r="AD264" s="564"/>
      <c r="AE264" s="564"/>
      <c r="AF264" s="564"/>
      <c r="AG264" s="564"/>
      <c r="AH264" s="564"/>
      <c r="AI264" s="564"/>
      <c r="AJ264" s="564"/>
      <c r="AK264" s="564"/>
      <c r="AL264" s="564"/>
      <c r="AM264" s="564"/>
      <c r="AN264" s="564"/>
      <c r="AO264" s="564"/>
    </row>
    <row r="273" spans="2:41" s="561" customFormat="1" ht="14" x14ac:dyDescent="0.15">
      <c r="B273" s="558" t="str" cm="1">
        <f t="array" ref="B273:AO273">TRANSPOSE('Syötä kaupungit KIRJASTOLINKIT!'!$E$1:$E$40)</f>
        <v>MAA 4</v>
      </c>
      <c r="C273" s="562" t="str">
        <v>EST - Tallin</v>
      </c>
      <c r="D273" s="562">
        <v>0</v>
      </c>
      <c r="E273" s="562">
        <v>0</v>
      </c>
      <c r="F273" s="562">
        <v>0</v>
      </c>
      <c r="G273" s="562">
        <v>0</v>
      </c>
      <c r="H273" s="562">
        <v>0</v>
      </c>
      <c r="I273" s="562">
        <v>0</v>
      </c>
      <c r="J273" s="562">
        <v>0</v>
      </c>
      <c r="K273" s="562">
        <v>0</v>
      </c>
      <c r="L273" s="562">
        <v>0</v>
      </c>
      <c r="M273" s="562">
        <v>0</v>
      </c>
      <c r="N273" s="562">
        <v>0</v>
      </c>
      <c r="O273" s="562">
        <v>0</v>
      </c>
      <c r="P273" s="562">
        <v>0</v>
      </c>
      <c r="Q273" s="562">
        <v>0</v>
      </c>
      <c r="R273" s="562">
        <v>0</v>
      </c>
      <c r="S273" s="562">
        <v>0</v>
      </c>
      <c r="T273" s="562">
        <v>0</v>
      </c>
      <c r="U273" s="562">
        <v>0</v>
      </c>
      <c r="V273" s="562">
        <v>0</v>
      </c>
      <c r="W273" s="562">
        <v>0</v>
      </c>
      <c r="X273" s="562">
        <v>0</v>
      </c>
      <c r="Y273" s="562">
        <v>0</v>
      </c>
      <c r="Z273" s="562">
        <v>0</v>
      </c>
      <c r="AA273" s="562">
        <v>0</v>
      </c>
      <c r="AB273" s="562">
        <v>0</v>
      </c>
      <c r="AC273" s="562">
        <v>0</v>
      </c>
      <c r="AD273" s="562">
        <v>0</v>
      </c>
      <c r="AE273" s="562">
        <v>0</v>
      </c>
      <c r="AF273" s="562">
        <v>0</v>
      </c>
      <c r="AG273" s="562">
        <v>0</v>
      </c>
      <c r="AH273" s="562">
        <v>0</v>
      </c>
      <c r="AI273" s="562">
        <v>0</v>
      </c>
      <c r="AJ273" s="562">
        <v>0</v>
      </c>
      <c r="AK273" s="562">
        <v>0</v>
      </c>
      <c r="AL273" s="562">
        <v>0</v>
      </c>
      <c r="AM273" s="562">
        <v>0</v>
      </c>
      <c r="AN273" s="562">
        <v>0</v>
      </c>
      <c r="AO273" s="562">
        <v>0</v>
      </c>
    </row>
    <row r="274" spans="2:41" x14ac:dyDescent="0.15">
      <c r="B274" s="563">
        <v>-40</v>
      </c>
      <c r="C274" s="564">
        <v>0</v>
      </c>
      <c r="D274" s="564"/>
      <c r="E274" s="564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  <c r="Y274" s="564"/>
      <c r="Z274" s="564"/>
      <c r="AA274" s="564"/>
      <c r="AB274" s="564"/>
      <c r="AC274" s="564"/>
      <c r="AD274" s="564"/>
      <c r="AE274" s="564"/>
      <c r="AF274" s="564"/>
      <c r="AG274" s="564"/>
      <c r="AH274" s="564"/>
      <c r="AI274" s="564"/>
      <c r="AJ274" s="564"/>
      <c r="AK274" s="564"/>
      <c r="AL274" s="564"/>
      <c r="AM274" s="564"/>
      <c r="AN274" s="564"/>
      <c r="AO274" s="564"/>
    </row>
    <row r="275" spans="2:41" x14ac:dyDescent="0.15">
      <c r="B275" s="565">
        <v>-39</v>
      </c>
      <c r="C275" s="564">
        <v>0</v>
      </c>
      <c r="D275" s="564"/>
      <c r="E275" s="564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  <c r="Y275" s="564"/>
      <c r="Z275" s="564"/>
      <c r="AA275" s="564"/>
      <c r="AB275" s="564"/>
      <c r="AC275" s="564"/>
      <c r="AD275" s="564"/>
      <c r="AE275" s="564"/>
      <c r="AF275" s="564"/>
      <c r="AG275" s="564"/>
      <c r="AH275" s="564"/>
      <c r="AI275" s="564"/>
      <c r="AJ275" s="564"/>
      <c r="AK275" s="564"/>
      <c r="AL275" s="564"/>
      <c r="AM275" s="564"/>
      <c r="AN275" s="564"/>
      <c r="AO275" s="564"/>
    </row>
    <row r="276" spans="2:41" x14ac:dyDescent="0.15">
      <c r="B276" s="565">
        <v>-38</v>
      </c>
      <c r="C276" s="564">
        <v>0</v>
      </c>
      <c r="D276" s="564"/>
      <c r="E276" s="564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  <c r="Y276" s="564"/>
      <c r="Z276" s="564"/>
      <c r="AA276" s="564"/>
      <c r="AB276" s="564"/>
      <c r="AC276" s="564"/>
      <c r="AD276" s="564"/>
      <c r="AE276" s="564"/>
      <c r="AF276" s="564"/>
      <c r="AG276" s="564"/>
      <c r="AH276" s="564"/>
      <c r="AI276" s="564"/>
      <c r="AJ276" s="564"/>
      <c r="AK276" s="564"/>
      <c r="AL276" s="564"/>
      <c r="AM276" s="564"/>
      <c r="AN276" s="564"/>
      <c r="AO276" s="564"/>
    </row>
    <row r="277" spans="2:41" x14ac:dyDescent="0.15">
      <c r="B277" s="565">
        <v>-37</v>
      </c>
      <c r="C277" s="564">
        <v>0</v>
      </c>
      <c r="D277" s="564"/>
      <c r="E277" s="564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  <c r="Y277" s="564"/>
      <c r="Z277" s="564"/>
      <c r="AA277" s="564"/>
      <c r="AB277" s="564"/>
      <c r="AC277" s="564"/>
      <c r="AD277" s="564"/>
      <c r="AE277" s="564"/>
      <c r="AF277" s="564"/>
      <c r="AG277" s="564"/>
      <c r="AH277" s="564"/>
      <c r="AI277" s="564"/>
      <c r="AJ277" s="564"/>
      <c r="AK277" s="564"/>
      <c r="AL277" s="564"/>
      <c r="AM277" s="564"/>
      <c r="AN277" s="564"/>
      <c r="AO277" s="564"/>
    </row>
    <row r="278" spans="2:41" x14ac:dyDescent="0.15">
      <c r="B278" s="565">
        <v>-36</v>
      </c>
      <c r="C278" s="564">
        <v>0</v>
      </c>
      <c r="D278" s="564"/>
      <c r="E278" s="564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  <c r="Y278" s="564"/>
      <c r="Z278" s="564"/>
      <c r="AA278" s="564"/>
      <c r="AB278" s="564"/>
      <c r="AC278" s="564"/>
      <c r="AD278" s="564"/>
      <c r="AE278" s="564"/>
      <c r="AF278" s="564"/>
      <c r="AG278" s="564"/>
      <c r="AH278" s="564"/>
      <c r="AI278" s="564"/>
      <c r="AJ278" s="564"/>
      <c r="AK278" s="564"/>
      <c r="AL278" s="564"/>
      <c r="AM278" s="564"/>
      <c r="AN278" s="564"/>
      <c r="AO278" s="564"/>
    </row>
    <row r="279" spans="2:41" x14ac:dyDescent="0.15">
      <c r="B279" s="565">
        <v>-35</v>
      </c>
      <c r="C279" s="564">
        <v>0</v>
      </c>
      <c r="D279" s="564"/>
      <c r="E279" s="564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  <c r="Y279" s="564"/>
      <c r="Z279" s="564"/>
      <c r="AA279" s="564"/>
      <c r="AB279" s="564"/>
      <c r="AC279" s="564"/>
      <c r="AD279" s="564"/>
      <c r="AE279" s="564"/>
      <c r="AF279" s="564"/>
      <c r="AG279" s="564"/>
      <c r="AH279" s="564"/>
      <c r="AI279" s="564"/>
      <c r="AJ279" s="564"/>
      <c r="AK279" s="564"/>
      <c r="AL279" s="564"/>
      <c r="AM279" s="564"/>
      <c r="AN279" s="564"/>
      <c r="AO279" s="564"/>
    </row>
    <row r="280" spans="2:41" x14ac:dyDescent="0.15">
      <c r="B280" s="565">
        <v>-34</v>
      </c>
      <c r="C280" s="564">
        <v>0</v>
      </c>
      <c r="D280" s="564"/>
      <c r="E280" s="564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  <c r="Y280" s="564"/>
      <c r="Z280" s="564"/>
      <c r="AA280" s="564"/>
      <c r="AB280" s="564"/>
      <c r="AC280" s="564"/>
      <c r="AD280" s="564"/>
      <c r="AE280" s="564"/>
      <c r="AF280" s="564"/>
      <c r="AG280" s="564"/>
      <c r="AH280" s="564"/>
      <c r="AI280" s="564"/>
      <c r="AJ280" s="564"/>
      <c r="AK280" s="564"/>
      <c r="AL280" s="564"/>
      <c r="AM280" s="564"/>
      <c r="AN280" s="564"/>
      <c r="AO280" s="564"/>
    </row>
    <row r="281" spans="2:41" x14ac:dyDescent="0.15">
      <c r="B281" s="565">
        <v>-33</v>
      </c>
      <c r="C281" s="564">
        <v>0</v>
      </c>
      <c r="D281" s="564"/>
      <c r="E281" s="564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  <c r="Y281" s="564"/>
      <c r="Z281" s="564"/>
      <c r="AA281" s="564"/>
      <c r="AB281" s="564"/>
      <c r="AC281" s="564"/>
      <c r="AD281" s="564"/>
      <c r="AE281" s="564"/>
      <c r="AF281" s="564"/>
      <c r="AG281" s="564"/>
      <c r="AH281" s="564"/>
      <c r="AI281" s="564"/>
      <c r="AJ281" s="564"/>
      <c r="AK281" s="564"/>
      <c r="AL281" s="564"/>
      <c r="AM281" s="564"/>
      <c r="AN281" s="564"/>
      <c r="AO281" s="564"/>
    </row>
    <row r="282" spans="2:41" x14ac:dyDescent="0.15">
      <c r="B282" s="565">
        <v>-32</v>
      </c>
      <c r="C282" s="564">
        <v>0</v>
      </c>
      <c r="D282" s="564"/>
      <c r="E282" s="564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  <c r="Y282" s="564"/>
      <c r="Z282" s="564"/>
      <c r="AA282" s="564"/>
      <c r="AB282" s="564"/>
      <c r="AC282" s="564"/>
      <c r="AD282" s="564"/>
      <c r="AE282" s="564"/>
      <c r="AF282" s="564"/>
      <c r="AG282" s="564"/>
      <c r="AH282" s="564"/>
      <c r="AI282" s="564"/>
      <c r="AJ282" s="564"/>
      <c r="AK282" s="564"/>
      <c r="AL282" s="564"/>
      <c r="AM282" s="564"/>
      <c r="AN282" s="564"/>
      <c r="AO282" s="564"/>
    </row>
    <row r="283" spans="2:41" x14ac:dyDescent="0.15">
      <c r="B283" s="565">
        <v>-31</v>
      </c>
      <c r="C283" s="564">
        <v>0</v>
      </c>
      <c r="D283" s="564"/>
      <c r="E283" s="564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  <c r="Y283" s="564"/>
      <c r="Z283" s="564"/>
      <c r="AA283" s="564"/>
      <c r="AB283" s="564"/>
      <c r="AC283" s="564"/>
      <c r="AD283" s="564"/>
      <c r="AE283" s="564"/>
      <c r="AF283" s="564"/>
      <c r="AG283" s="564"/>
      <c r="AH283" s="564"/>
      <c r="AI283" s="564"/>
      <c r="AJ283" s="564"/>
      <c r="AK283" s="564"/>
      <c r="AL283" s="564"/>
      <c r="AM283" s="564"/>
      <c r="AN283" s="564"/>
      <c r="AO283" s="564"/>
    </row>
    <row r="284" spans="2:41" x14ac:dyDescent="0.15">
      <c r="B284" s="565">
        <v>-30</v>
      </c>
      <c r="C284" s="564">
        <v>0</v>
      </c>
      <c r="D284" s="564"/>
      <c r="E284" s="564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  <c r="Y284" s="564"/>
      <c r="Z284" s="564"/>
      <c r="AA284" s="564"/>
      <c r="AB284" s="564"/>
      <c r="AC284" s="564"/>
      <c r="AD284" s="564"/>
      <c r="AE284" s="564"/>
      <c r="AF284" s="564"/>
      <c r="AG284" s="564"/>
      <c r="AH284" s="564"/>
      <c r="AI284" s="564"/>
      <c r="AJ284" s="564"/>
      <c r="AK284" s="564"/>
      <c r="AL284" s="564"/>
      <c r="AM284" s="564"/>
      <c r="AN284" s="564"/>
      <c r="AO284" s="564"/>
    </row>
    <row r="285" spans="2:41" x14ac:dyDescent="0.15">
      <c r="B285" s="565">
        <v>-29</v>
      </c>
      <c r="C285" s="564">
        <v>0</v>
      </c>
      <c r="D285" s="564"/>
      <c r="E285" s="564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  <c r="Y285" s="564"/>
      <c r="Z285" s="564"/>
      <c r="AA285" s="564"/>
      <c r="AB285" s="564"/>
      <c r="AC285" s="564"/>
      <c r="AD285" s="564"/>
      <c r="AE285" s="564"/>
      <c r="AF285" s="564"/>
      <c r="AG285" s="564"/>
      <c r="AH285" s="564"/>
      <c r="AI285" s="564"/>
      <c r="AJ285" s="564"/>
      <c r="AK285" s="564"/>
      <c r="AL285" s="564"/>
      <c r="AM285" s="564"/>
      <c r="AN285" s="564"/>
      <c r="AO285" s="564"/>
    </row>
    <row r="286" spans="2:41" x14ac:dyDescent="0.15">
      <c r="B286" s="565">
        <v>-28</v>
      </c>
      <c r="C286" s="564">
        <v>0</v>
      </c>
      <c r="D286" s="564"/>
      <c r="E286" s="564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  <c r="Y286" s="564"/>
      <c r="Z286" s="564"/>
      <c r="AA286" s="564"/>
      <c r="AB286" s="564"/>
      <c r="AC286" s="564"/>
      <c r="AD286" s="564"/>
      <c r="AE286" s="564"/>
      <c r="AF286" s="564"/>
      <c r="AG286" s="564"/>
      <c r="AH286" s="564"/>
      <c r="AI286" s="564"/>
      <c r="AJ286" s="564"/>
      <c r="AK286" s="564"/>
      <c r="AL286" s="564"/>
      <c r="AM286" s="564"/>
      <c r="AN286" s="564"/>
      <c r="AO286" s="564"/>
    </row>
    <row r="287" spans="2:41" x14ac:dyDescent="0.15">
      <c r="B287" s="565">
        <v>-27</v>
      </c>
      <c r="C287" s="564">
        <v>0</v>
      </c>
      <c r="D287" s="564"/>
      <c r="E287" s="564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  <c r="Y287" s="564"/>
      <c r="Z287" s="564"/>
      <c r="AA287" s="564"/>
      <c r="AB287" s="564"/>
      <c r="AC287" s="564"/>
      <c r="AD287" s="564"/>
      <c r="AE287" s="564"/>
      <c r="AF287" s="564"/>
      <c r="AG287" s="564"/>
      <c r="AH287" s="564"/>
      <c r="AI287" s="564"/>
      <c r="AJ287" s="564"/>
      <c r="AK287" s="564"/>
      <c r="AL287" s="564"/>
      <c r="AM287" s="564"/>
      <c r="AN287" s="564"/>
      <c r="AO287" s="564"/>
    </row>
    <row r="288" spans="2:41" x14ac:dyDescent="0.15">
      <c r="B288" s="565">
        <v>-26</v>
      </c>
      <c r="C288" s="564">
        <v>0</v>
      </c>
      <c r="D288" s="564"/>
      <c r="E288" s="564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  <c r="Y288" s="564"/>
      <c r="Z288" s="564"/>
      <c r="AA288" s="564"/>
      <c r="AB288" s="564"/>
      <c r="AC288" s="564"/>
      <c r="AD288" s="564"/>
      <c r="AE288" s="564"/>
      <c r="AF288" s="564"/>
      <c r="AG288" s="564"/>
      <c r="AH288" s="564"/>
      <c r="AI288" s="564"/>
      <c r="AJ288" s="564"/>
      <c r="AK288" s="564"/>
      <c r="AL288" s="564"/>
      <c r="AM288" s="564"/>
      <c r="AN288" s="564"/>
      <c r="AO288" s="564"/>
    </row>
    <row r="289" spans="2:41" x14ac:dyDescent="0.15">
      <c r="B289" s="565">
        <v>-25</v>
      </c>
      <c r="C289" s="564">
        <v>0</v>
      </c>
      <c r="D289" s="564"/>
      <c r="E289" s="564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  <c r="Y289" s="564"/>
      <c r="Z289" s="564"/>
      <c r="AA289" s="564"/>
      <c r="AB289" s="564"/>
      <c r="AC289" s="564"/>
      <c r="AD289" s="564"/>
      <c r="AE289" s="564"/>
      <c r="AF289" s="564"/>
      <c r="AG289" s="564"/>
      <c r="AH289" s="564"/>
      <c r="AI289" s="564"/>
      <c r="AJ289" s="564"/>
      <c r="AK289" s="564"/>
      <c r="AL289" s="564"/>
      <c r="AM289" s="564"/>
      <c r="AN289" s="564"/>
      <c r="AO289" s="564"/>
    </row>
    <row r="290" spans="2:41" x14ac:dyDescent="0.15">
      <c r="B290" s="565">
        <v>-24</v>
      </c>
      <c r="C290" s="564">
        <v>0</v>
      </c>
      <c r="D290" s="564"/>
      <c r="E290" s="564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  <c r="Y290" s="564"/>
      <c r="Z290" s="564"/>
      <c r="AA290" s="564"/>
      <c r="AB290" s="564"/>
      <c r="AC290" s="564"/>
      <c r="AD290" s="564"/>
      <c r="AE290" s="564"/>
      <c r="AF290" s="564"/>
      <c r="AG290" s="564"/>
      <c r="AH290" s="564"/>
      <c r="AI290" s="564"/>
      <c r="AJ290" s="564"/>
      <c r="AK290" s="564"/>
      <c r="AL290" s="564"/>
      <c r="AM290" s="564"/>
      <c r="AN290" s="564"/>
      <c r="AO290" s="564"/>
    </row>
    <row r="291" spans="2:41" x14ac:dyDescent="0.15">
      <c r="B291" s="565">
        <v>-23</v>
      </c>
      <c r="C291" s="564">
        <v>0</v>
      </c>
      <c r="D291" s="564"/>
      <c r="E291" s="564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  <c r="Y291" s="564"/>
      <c r="Z291" s="564"/>
      <c r="AA291" s="564"/>
      <c r="AB291" s="564"/>
      <c r="AC291" s="564"/>
      <c r="AD291" s="564"/>
      <c r="AE291" s="564"/>
      <c r="AF291" s="564"/>
      <c r="AG291" s="564"/>
      <c r="AH291" s="564"/>
      <c r="AI291" s="564"/>
      <c r="AJ291" s="564"/>
      <c r="AK291" s="564"/>
      <c r="AL291" s="564"/>
      <c r="AM291" s="564"/>
      <c r="AN291" s="564"/>
      <c r="AO291" s="564"/>
    </row>
    <row r="292" spans="2:41" x14ac:dyDescent="0.15">
      <c r="B292" s="565">
        <v>-22</v>
      </c>
      <c r="C292" s="564">
        <v>0</v>
      </c>
      <c r="D292" s="564"/>
      <c r="E292" s="564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  <c r="Y292" s="564"/>
      <c r="Z292" s="564"/>
      <c r="AA292" s="564"/>
      <c r="AB292" s="564"/>
      <c r="AC292" s="564"/>
      <c r="AD292" s="564"/>
      <c r="AE292" s="564"/>
      <c r="AF292" s="564"/>
      <c r="AG292" s="564"/>
      <c r="AH292" s="564"/>
      <c r="AI292" s="564"/>
      <c r="AJ292" s="564"/>
      <c r="AK292" s="564"/>
      <c r="AL292" s="564"/>
      <c r="AM292" s="564"/>
      <c r="AN292" s="564"/>
      <c r="AO292" s="564"/>
    </row>
    <row r="293" spans="2:41" x14ac:dyDescent="0.15">
      <c r="B293" s="565">
        <v>-21</v>
      </c>
      <c r="C293" s="564">
        <v>0</v>
      </c>
      <c r="D293" s="564"/>
      <c r="E293" s="564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  <c r="Y293" s="564"/>
      <c r="Z293" s="564"/>
      <c r="AA293" s="564"/>
      <c r="AB293" s="564"/>
      <c r="AC293" s="564"/>
      <c r="AD293" s="564"/>
      <c r="AE293" s="564"/>
      <c r="AF293" s="564"/>
      <c r="AG293" s="564"/>
      <c r="AH293" s="564"/>
      <c r="AI293" s="564"/>
      <c r="AJ293" s="564"/>
      <c r="AK293" s="564"/>
      <c r="AL293" s="564"/>
      <c r="AM293" s="564"/>
      <c r="AN293" s="564"/>
      <c r="AO293" s="564"/>
    </row>
    <row r="294" spans="2:41" x14ac:dyDescent="0.15">
      <c r="B294" s="565">
        <v>-20</v>
      </c>
      <c r="C294" s="564">
        <v>0</v>
      </c>
      <c r="D294" s="564"/>
      <c r="E294" s="564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  <c r="Y294" s="564"/>
      <c r="Z294" s="564"/>
      <c r="AA294" s="564"/>
      <c r="AB294" s="564"/>
      <c r="AC294" s="564"/>
      <c r="AD294" s="564"/>
      <c r="AE294" s="564"/>
      <c r="AF294" s="564"/>
      <c r="AG294" s="564"/>
      <c r="AH294" s="564"/>
      <c r="AI294" s="564"/>
      <c r="AJ294" s="564"/>
      <c r="AK294" s="564"/>
      <c r="AL294" s="564"/>
      <c r="AM294" s="564"/>
      <c r="AN294" s="564"/>
      <c r="AO294" s="564"/>
    </row>
    <row r="295" spans="2:41" x14ac:dyDescent="0.15">
      <c r="B295" s="565">
        <v>-19</v>
      </c>
      <c r="C295" s="564">
        <v>0</v>
      </c>
      <c r="D295" s="564"/>
      <c r="E295" s="564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  <c r="Y295" s="564"/>
      <c r="Z295" s="564"/>
      <c r="AA295" s="564"/>
      <c r="AB295" s="564"/>
      <c r="AC295" s="564"/>
      <c r="AD295" s="564"/>
      <c r="AE295" s="564"/>
      <c r="AF295" s="564"/>
      <c r="AG295" s="564"/>
      <c r="AH295" s="564"/>
      <c r="AI295" s="564"/>
      <c r="AJ295" s="564"/>
      <c r="AK295" s="564"/>
      <c r="AL295" s="564"/>
      <c r="AM295" s="564"/>
      <c r="AN295" s="564"/>
      <c r="AO295" s="564"/>
    </row>
    <row r="296" spans="2:41" x14ac:dyDescent="0.15">
      <c r="B296" s="565">
        <v>-18</v>
      </c>
      <c r="C296" s="564">
        <v>0</v>
      </c>
      <c r="D296" s="564"/>
      <c r="E296" s="564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  <c r="Y296" s="564"/>
      <c r="Z296" s="564"/>
      <c r="AA296" s="564"/>
      <c r="AB296" s="564"/>
      <c r="AC296" s="564"/>
      <c r="AD296" s="564"/>
      <c r="AE296" s="564"/>
      <c r="AF296" s="564"/>
      <c r="AG296" s="564"/>
      <c r="AH296" s="564"/>
      <c r="AI296" s="564"/>
      <c r="AJ296" s="564"/>
      <c r="AK296" s="564"/>
      <c r="AL296" s="564"/>
      <c r="AM296" s="564"/>
      <c r="AN296" s="564"/>
      <c r="AO296" s="564"/>
    </row>
    <row r="297" spans="2:41" x14ac:dyDescent="0.15">
      <c r="B297" s="565">
        <v>-17</v>
      </c>
      <c r="C297" s="564">
        <v>0</v>
      </c>
      <c r="D297" s="564"/>
      <c r="E297" s="564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  <c r="Y297" s="564"/>
      <c r="Z297" s="564"/>
      <c r="AA297" s="564"/>
      <c r="AB297" s="564"/>
      <c r="AC297" s="564"/>
      <c r="AD297" s="564"/>
      <c r="AE297" s="564"/>
      <c r="AF297" s="564"/>
      <c r="AG297" s="564"/>
      <c r="AH297" s="564"/>
      <c r="AI297" s="564"/>
      <c r="AJ297" s="564"/>
      <c r="AK297" s="564"/>
      <c r="AL297" s="564"/>
      <c r="AM297" s="564"/>
      <c r="AN297" s="564"/>
      <c r="AO297" s="564"/>
    </row>
    <row r="298" spans="2:41" x14ac:dyDescent="0.15">
      <c r="B298" s="565">
        <v>-16</v>
      </c>
      <c r="C298" s="564">
        <v>0</v>
      </c>
      <c r="D298" s="564"/>
      <c r="E298" s="564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  <c r="Y298" s="564"/>
      <c r="Z298" s="564"/>
      <c r="AA298" s="564"/>
      <c r="AB298" s="564"/>
      <c r="AC298" s="564"/>
      <c r="AD298" s="564"/>
      <c r="AE298" s="564"/>
      <c r="AF298" s="564"/>
      <c r="AG298" s="564"/>
      <c r="AH298" s="564"/>
      <c r="AI298" s="564"/>
      <c r="AJ298" s="564"/>
      <c r="AK298" s="564"/>
      <c r="AL298" s="564"/>
      <c r="AM298" s="564"/>
      <c r="AN298" s="564"/>
      <c r="AO298" s="564"/>
    </row>
    <row r="299" spans="2:41" x14ac:dyDescent="0.15">
      <c r="B299" s="565">
        <v>-15</v>
      </c>
      <c r="C299" s="564">
        <v>0</v>
      </c>
      <c r="D299" s="564"/>
      <c r="E299" s="564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  <c r="Y299" s="564"/>
      <c r="Z299" s="564"/>
      <c r="AA299" s="564"/>
      <c r="AB299" s="564"/>
      <c r="AC299" s="564"/>
      <c r="AD299" s="564"/>
      <c r="AE299" s="564"/>
      <c r="AF299" s="564"/>
      <c r="AG299" s="564"/>
      <c r="AH299" s="564"/>
      <c r="AI299" s="564"/>
      <c r="AJ299" s="564"/>
      <c r="AK299" s="564"/>
      <c r="AL299" s="564"/>
      <c r="AM299" s="564"/>
      <c r="AN299" s="564"/>
      <c r="AO299" s="564"/>
    </row>
    <row r="300" spans="2:41" x14ac:dyDescent="0.15">
      <c r="B300" s="565">
        <v>-14</v>
      </c>
      <c r="C300" s="564">
        <v>0</v>
      </c>
      <c r="D300" s="564"/>
      <c r="E300" s="564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  <c r="Y300" s="564"/>
      <c r="Z300" s="564"/>
      <c r="AA300" s="564"/>
      <c r="AB300" s="564"/>
      <c r="AC300" s="564"/>
      <c r="AD300" s="564"/>
      <c r="AE300" s="564"/>
      <c r="AF300" s="564"/>
      <c r="AG300" s="564"/>
      <c r="AH300" s="564"/>
      <c r="AI300" s="564"/>
      <c r="AJ300" s="564"/>
      <c r="AK300" s="564"/>
      <c r="AL300" s="564"/>
      <c r="AM300" s="564"/>
      <c r="AN300" s="564"/>
      <c r="AO300" s="564"/>
    </row>
    <row r="301" spans="2:41" x14ac:dyDescent="0.15">
      <c r="B301" s="565">
        <v>-13</v>
      </c>
      <c r="C301" s="564">
        <v>0</v>
      </c>
      <c r="D301" s="564"/>
      <c r="E301" s="564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  <c r="Y301" s="564"/>
      <c r="Z301" s="564"/>
      <c r="AA301" s="564"/>
      <c r="AB301" s="564"/>
      <c r="AC301" s="564"/>
      <c r="AD301" s="564"/>
      <c r="AE301" s="564"/>
      <c r="AF301" s="564"/>
      <c r="AG301" s="564"/>
      <c r="AH301" s="564"/>
      <c r="AI301" s="564"/>
      <c r="AJ301" s="564"/>
      <c r="AK301" s="564"/>
      <c r="AL301" s="564"/>
      <c r="AM301" s="564"/>
      <c r="AN301" s="564"/>
      <c r="AO301" s="564"/>
    </row>
    <row r="302" spans="2:41" x14ac:dyDescent="0.15">
      <c r="B302" s="565">
        <v>-12</v>
      </c>
      <c r="C302" s="564">
        <v>0</v>
      </c>
      <c r="D302" s="564"/>
      <c r="E302" s="564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  <c r="Y302" s="564"/>
      <c r="Z302" s="564"/>
      <c r="AA302" s="564"/>
      <c r="AB302" s="564"/>
      <c r="AC302" s="564"/>
      <c r="AD302" s="564"/>
      <c r="AE302" s="564"/>
      <c r="AF302" s="564"/>
      <c r="AG302" s="564"/>
      <c r="AH302" s="564"/>
      <c r="AI302" s="564"/>
      <c r="AJ302" s="564"/>
      <c r="AK302" s="564"/>
      <c r="AL302" s="564"/>
      <c r="AM302" s="564"/>
      <c r="AN302" s="564"/>
      <c r="AO302" s="564"/>
    </row>
    <row r="303" spans="2:41" x14ac:dyDescent="0.15">
      <c r="B303" s="565">
        <v>-11</v>
      </c>
      <c r="C303" s="564">
        <v>0</v>
      </c>
      <c r="D303" s="564"/>
      <c r="E303" s="564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  <c r="Y303" s="564"/>
      <c r="Z303" s="564"/>
      <c r="AA303" s="564"/>
      <c r="AB303" s="564"/>
      <c r="AC303" s="564"/>
      <c r="AD303" s="564"/>
      <c r="AE303" s="564"/>
      <c r="AF303" s="564"/>
      <c r="AG303" s="564"/>
      <c r="AH303" s="564"/>
      <c r="AI303" s="564"/>
      <c r="AJ303" s="564"/>
      <c r="AK303" s="564"/>
      <c r="AL303" s="564"/>
      <c r="AM303" s="564"/>
      <c r="AN303" s="564"/>
      <c r="AO303" s="564"/>
    </row>
    <row r="304" spans="2:41" x14ac:dyDescent="0.15">
      <c r="B304" s="565">
        <v>-10</v>
      </c>
      <c r="C304" s="564">
        <v>2.5114155251141552E-3</v>
      </c>
      <c r="D304" s="564"/>
      <c r="E304" s="564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  <c r="Y304" s="564"/>
      <c r="Z304" s="564"/>
      <c r="AA304" s="564"/>
      <c r="AB304" s="564"/>
      <c r="AC304" s="564"/>
      <c r="AD304" s="564"/>
      <c r="AE304" s="564"/>
      <c r="AF304" s="564"/>
      <c r="AG304" s="564"/>
      <c r="AH304" s="564"/>
      <c r="AI304" s="564"/>
      <c r="AJ304" s="564"/>
      <c r="AK304" s="564"/>
      <c r="AL304" s="564"/>
      <c r="AM304" s="564"/>
      <c r="AN304" s="564"/>
      <c r="AO304" s="564"/>
    </row>
    <row r="305" spans="2:41" x14ac:dyDescent="0.15">
      <c r="B305" s="565">
        <v>-9</v>
      </c>
      <c r="C305" s="564">
        <v>3.0821917808219177E-3</v>
      </c>
      <c r="D305" s="564"/>
      <c r="E305" s="564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  <c r="Y305" s="564"/>
      <c r="Z305" s="564"/>
      <c r="AA305" s="564"/>
      <c r="AB305" s="564"/>
      <c r="AC305" s="564"/>
      <c r="AD305" s="564"/>
      <c r="AE305" s="564"/>
      <c r="AF305" s="564"/>
      <c r="AG305" s="564"/>
      <c r="AH305" s="564"/>
      <c r="AI305" s="564"/>
      <c r="AJ305" s="564"/>
      <c r="AK305" s="564"/>
      <c r="AL305" s="564"/>
      <c r="AM305" s="564"/>
      <c r="AN305" s="564"/>
      <c r="AO305" s="564"/>
    </row>
    <row r="306" spans="2:41" x14ac:dyDescent="0.15">
      <c r="B306" s="565">
        <v>-8</v>
      </c>
      <c r="C306" s="564">
        <v>5.0228310502283104E-3</v>
      </c>
      <c r="D306" s="564"/>
      <c r="E306" s="564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  <c r="Y306" s="564"/>
      <c r="Z306" s="564"/>
      <c r="AA306" s="564"/>
      <c r="AB306" s="564"/>
      <c r="AC306" s="564"/>
      <c r="AD306" s="564"/>
      <c r="AE306" s="564"/>
      <c r="AF306" s="564"/>
      <c r="AG306" s="564"/>
      <c r="AH306" s="564"/>
      <c r="AI306" s="564"/>
      <c r="AJ306" s="564"/>
      <c r="AK306" s="564"/>
      <c r="AL306" s="564"/>
      <c r="AM306" s="564"/>
      <c r="AN306" s="564"/>
      <c r="AO306" s="564"/>
    </row>
    <row r="307" spans="2:41" x14ac:dyDescent="0.15">
      <c r="B307" s="565">
        <v>-7</v>
      </c>
      <c r="C307" s="564">
        <v>8.6757990867579911E-3</v>
      </c>
      <c r="D307" s="564"/>
      <c r="E307" s="564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  <c r="Y307" s="564"/>
      <c r="Z307" s="564"/>
      <c r="AA307" s="564"/>
      <c r="AB307" s="564"/>
      <c r="AC307" s="564"/>
      <c r="AD307" s="564"/>
      <c r="AE307" s="564"/>
      <c r="AF307" s="564"/>
      <c r="AG307" s="564"/>
      <c r="AH307" s="564"/>
      <c r="AI307" s="564"/>
      <c r="AJ307" s="564"/>
      <c r="AK307" s="564"/>
      <c r="AL307" s="564"/>
      <c r="AM307" s="564"/>
      <c r="AN307" s="564"/>
      <c r="AO307" s="564"/>
    </row>
    <row r="308" spans="2:41" x14ac:dyDescent="0.15">
      <c r="B308" s="565">
        <v>-6</v>
      </c>
      <c r="C308" s="564">
        <v>1.4041095890410958E-2</v>
      </c>
      <c r="D308" s="564"/>
      <c r="E308" s="564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  <c r="Y308" s="564"/>
      <c r="Z308" s="564"/>
      <c r="AA308" s="564"/>
      <c r="AB308" s="564"/>
      <c r="AC308" s="564"/>
      <c r="AD308" s="564"/>
      <c r="AE308" s="564"/>
      <c r="AF308" s="564"/>
      <c r="AG308" s="564"/>
      <c r="AH308" s="564"/>
      <c r="AI308" s="564"/>
      <c r="AJ308" s="564"/>
      <c r="AK308" s="564"/>
      <c r="AL308" s="564"/>
      <c r="AM308" s="564"/>
      <c r="AN308" s="564"/>
      <c r="AO308" s="564"/>
    </row>
    <row r="309" spans="2:41" x14ac:dyDescent="0.15">
      <c r="B309" s="565">
        <v>-5</v>
      </c>
      <c r="C309" s="564">
        <v>2.0662100456621004E-2</v>
      </c>
      <c r="D309" s="564"/>
      <c r="E309" s="564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  <c r="Y309" s="564"/>
      <c r="Z309" s="564"/>
      <c r="AA309" s="564"/>
      <c r="AB309" s="564"/>
      <c r="AC309" s="564"/>
      <c r="AD309" s="564"/>
      <c r="AE309" s="564"/>
      <c r="AF309" s="564"/>
      <c r="AG309" s="564"/>
      <c r="AH309" s="564"/>
      <c r="AI309" s="564"/>
      <c r="AJ309" s="564"/>
      <c r="AK309" s="564"/>
      <c r="AL309" s="564"/>
      <c r="AM309" s="564"/>
      <c r="AN309" s="564"/>
      <c r="AO309" s="564"/>
    </row>
    <row r="310" spans="2:41" x14ac:dyDescent="0.15">
      <c r="B310" s="565">
        <v>-4</v>
      </c>
      <c r="C310" s="564">
        <v>2.8767123287671233E-2</v>
      </c>
      <c r="D310" s="564"/>
      <c r="E310" s="564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  <c r="Y310" s="564"/>
      <c r="Z310" s="564"/>
      <c r="AA310" s="564"/>
      <c r="AB310" s="564"/>
      <c r="AC310" s="564"/>
      <c r="AD310" s="564"/>
      <c r="AE310" s="564"/>
      <c r="AF310" s="564"/>
      <c r="AG310" s="564"/>
      <c r="AH310" s="564"/>
      <c r="AI310" s="564"/>
      <c r="AJ310" s="564"/>
      <c r="AK310" s="564"/>
      <c r="AL310" s="564"/>
      <c r="AM310" s="564"/>
      <c r="AN310" s="564"/>
      <c r="AO310" s="564"/>
    </row>
    <row r="311" spans="2:41" x14ac:dyDescent="0.15">
      <c r="B311" s="565">
        <v>-3</v>
      </c>
      <c r="C311" s="564">
        <v>4.4292237442922378E-2</v>
      </c>
      <c r="D311" s="564"/>
      <c r="E311" s="564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  <c r="Y311" s="564"/>
      <c r="Z311" s="564"/>
      <c r="AA311" s="564"/>
      <c r="AB311" s="564"/>
      <c r="AC311" s="564"/>
      <c r="AD311" s="564"/>
      <c r="AE311" s="564"/>
      <c r="AF311" s="564"/>
      <c r="AG311" s="564"/>
      <c r="AH311" s="564"/>
      <c r="AI311" s="564"/>
      <c r="AJ311" s="564"/>
      <c r="AK311" s="564"/>
      <c r="AL311" s="564"/>
      <c r="AM311" s="564"/>
      <c r="AN311" s="564"/>
      <c r="AO311" s="564"/>
    </row>
    <row r="312" spans="2:41" x14ac:dyDescent="0.15">
      <c r="B312" s="565">
        <v>-2</v>
      </c>
      <c r="C312" s="564">
        <v>7.1689497716894979E-2</v>
      </c>
      <c r="D312" s="564"/>
      <c r="E312" s="564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  <c r="Y312" s="564"/>
      <c r="Z312" s="564"/>
      <c r="AA312" s="564"/>
      <c r="AB312" s="564"/>
      <c r="AC312" s="564"/>
      <c r="AD312" s="564"/>
      <c r="AE312" s="564"/>
      <c r="AF312" s="564"/>
      <c r="AG312" s="564"/>
      <c r="AH312" s="564"/>
      <c r="AI312" s="564"/>
      <c r="AJ312" s="564"/>
      <c r="AK312" s="564"/>
      <c r="AL312" s="564"/>
      <c r="AM312" s="564"/>
      <c r="AN312" s="564"/>
      <c r="AO312" s="564"/>
    </row>
    <row r="313" spans="2:41" x14ac:dyDescent="0.15">
      <c r="B313" s="565">
        <v>-1</v>
      </c>
      <c r="C313" s="564">
        <v>0.10148401826484019</v>
      </c>
      <c r="D313" s="564"/>
      <c r="E313" s="564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  <c r="Y313" s="564"/>
      <c r="Z313" s="564"/>
      <c r="AA313" s="564"/>
      <c r="AB313" s="564"/>
      <c r="AC313" s="564"/>
      <c r="AD313" s="564"/>
      <c r="AE313" s="564"/>
      <c r="AF313" s="564"/>
      <c r="AG313" s="564"/>
      <c r="AH313" s="564"/>
      <c r="AI313" s="564"/>
      <c r="AJ313" s="564"/>
      <c r="AK313" s="564"/>
      <c r="AL313" s="564"/>
      <c r="AM313" s="564"/>
      <c r="AN313" s="564"/>
      <c r="AO313" s="564"/>
    </row>
    <row r="314" spans="2:41" x14ac:dyDescent="0.15">
      <c r="B314" s="565">
        <v>0</v>
      </c>
      <c r="C314" s="564">
        <v>0.14212328767123289</v>
      </c>
      <c r="D314" s="564"/>
      <c r="E314" s="564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  <c r="Y314" s="564"/>
      <c r="Z314" s="564"/>
      <c r="AA314" s="564"/>
      <c r="AB314" s="564"/>
      <c r="AC314" s="564"/>
      <c r="AD314" s="564"/>
      <c r="AE314" s="564"/>
      <c r="AF314" s="564"/>
      <c r="AG314" s="564"/>
      <c r="AH314" s="564"/>
      <c r="AI314" s="564"/>
      <c r="AJ314" s="564"/>
      <c r="AK314" s="564"/>
      <c r="AL314" s="564"/>
      <c r="AM314" s="564"/>
      <c r="AN314" s="564"/>
      <c r="AO314" s="564"/>
    </row>
    <row r="315" spans="2:41" x14ac:dyDescent="0.15">
      <c r="B315" s="565">
        <v>1</v>
      </c>
      <c r="C315" s="564">
        <v>0.1636986301369863</v>
      </c>
      <c r="D315" s="564"/>
      <c r="E315" s="564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  <c r="Y315" s="564"/>
      <c r="Z315" s="564"/>
      <c r="AA315" s="564"/>
      <c r="AB315" s="564"/>
      <c r="AC315" s="564"/>
      <c r="AD315" s="564"/>
      <c r="AE315" s="564"/>
      <c r="AF315" s="564"/>
      <c r="AG315" s="564"/>
      <c r="AH315" s="564"/>
      <c r="AI315" s="564"/>
      <c r="AJ315" s="564"/>
      <c r="AK315" s="564"/>
      <c r="AL315" s="564"/>
      <c r="AM315" s="564"/>
      <c r="AN315" s="564"/>
      <c r="AO315" s="564"/>
    </row>
    <row r="316" spans="2:41" x14ac:dyDescent="0.15">
      <c r="B316" s="565">
        <v>2</v>
      </c>
      <c r="C316" s="564">
        <v>0.20742009132420092</v>
      </c>
      <c r="D316" s="564"/>
      <c r="E316" s="564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  <c r="Y316" s="564"/>
      <c r="Z316" s="564"/>
      <c r="AA316" s="564"/>
      <c r="AB316" s="564"/>
      <c r="AC316" s="564"/>
      <c r="AD316" s="564"/>
      <c r="AE316" s="564"/>
      <c r="AF316" s="564"/>
      <c r="AG316" s="564"/>
      <c r="AH316" s="564"/>
      <c r="AI316" s="564"/>
      <c r="AJ316" s="564"/>
      <c r="AK316" s="564"/>
      <c r="AL316" s="564"/>
      <c r="AM316" s="564"/>
      <c r="AN316" s="564"/>
      <c r="AO316" s="564"/>
    </row>
    <row r="317" spans="2:41" x14ac:dyDescent="0.15">
      <c r="B317" s="565">
        <v>3</v>
      </c>
      <c r="C317" s="564">
        <v>0.26221461187214612</v>
      </c>
      <c r="D317" s="564"/>
      <c r="E317" s="564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  <c r="Y317" s="564"/>
      <c r="Z317" s="564"/>
      <c r="AA317" s="564"/>
      <c r="AB317" s="564"/>
      <c r="AC317" s="564"/>
      <c r="AD317" s="564"/>
      <c r="AE317" s="564"/>
      <c r="AF317" s="564"/>
      <c r="AG317" s="564"/>
      <c r="AH317" s="564"/>
      <c r="AI317" s="564"/>
      <c r="AJ317" s="564"/>
      <c r="AK317" s="564"/>
      <c r="AL317" s="564"/>
      <c r="AM317" s="564"/>
      <c r="AN317" s="564"/>
      <c r="AO317" s="564"/>
    </row>
    <row r="318" spans="2:41" x14ac:dyDescent="0.15">
      <c r="B318" s="565">
        <v>4</v>
      </c>
      <c r="C318" s="564">
        <v>0.31358447488584473</v>
      </c>
      <c r="D318" s="564"/>
      <c r="E318" s="564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  <c r="Y318" s="564"/>
      <c r="Z318" s="564"/>
      <c r="AA318" s="564"/>
      <c r="AB318" s="564"/>
      <c r="AC318" s="564"/>
      <c r="AD318" s="564"/>
      <c r="AE318" s="564"/>
      <c r="AF318" s="564"/>
      <c r="AG318" s="564"/>
      <c r="AH318" s="564"/>
      <c r="AI318" s="564"/>
      <c r="AJ318" s="564"/>
      <c r="AK318" s="564"/>
      <c r="AL318" s="564"/>
      <c r="AM318" s="564"/>
      <c r="AN318" s="564"/>
      <c r="AO318" s="564"/>
    </row>
    <row r="319" spans="2:41" x14ac:dyDescent="0.15">
      <c r="B319" s="565">
        <v>5</v>
      </c>
      <c r="C319" s="564">
        <v>0.36598173515981736</v>
      </c>
      <c r="D319" s="564"/>
      <c r="E319" s="564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  <c r="Y319" s="564"/>
      <c r="Z319" s="564"/>
      <c r="AA319" s="564"/>
      <c r="AB319" s="564"/>
      <c r="AC319" s="564"/>
      <c r="AD319" s="564"/>
      <c r="AE319" s="564"/>
      <c r="AF319" s="564"/>
      <c r="AG319" s="564"/>
      <c r="AH319" s="564"/>
      <c r="AI319" s="564"/>
      <c r="AJ319" s="564"/>
      <c r="AK319" s="564"/>
      <c r="AL319" s="564"/>
      <c r="AM319" s="564"/>
      <c r="AN319" s="564"/>
      <c r="AO319" s="564"/>
    </row>
    <row r="320" spans="2:41" x14ac:dyDescent="0.15">
      <c r="B320" s="565">
        <v>6</v>
      </c>
      <c r="C320" s="564">
        <v>0.39086757990867582</v>
      </c>
      <c r="D320" s="564"/>
      <c r="E320" s="564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  <c r="Y320" s="564"/>
      <c r="Z320" s="564"/>
      <c r="AA320" s="564"/>
      <c r="AB320" s="564"/>
      <c r="AC320" s="564"/>
      <c r="AD320" s="564"/>
      <c r="AE320" s="564"/>
      <c r="AF320" s="564"/>
      <c r="AG320" s="564"/>
      <c r="AH320" s="564"/>
      <c r="AI320" s="564"/>
      <c r="AJ320" s="564"/>
      <c r="AK320" s="564"/>
      <c r="AL320" s="564"/>
      <c r="AM320" s="564"/>
      <c r="AN320" s="564"/>
      <c r="AO320" s="564"/>
    </row>
    <row r="321" spans="2:41" x14ac:dyDescent="0.15">
      <c r="B321" s="565">
        <v>7</v>
      </c>
      <c r="C321" s="564">
        <v>0.44315068493150683</v>
      </c>
      <c r="D321" s="564"/>
      <c r="E321" s="564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  <c r="Y321" s="564"/>
      <c r="Z321" s="564"/>
      <c r="AA321" s="564"/>
      <c r="AB321" s="564"/>
      <c r="AC321" s="564"/>
      <c r="AD321" s="564"/>
      <c r="AE321" s="564"/>
      <c r="AF321" s="564"/>
      <c r="AG321" s="564"/>
      <c r="AH321" s="564"/>
      <c r="AI321" s="564"/>
      <c r="AJ321" s="564"/>
      <c r="AK321" s="564"/>
      <c r="AL321" s="564"/>
      <c r="AM321" s="564"/>
      <c r="AN321" s="564"/>
      <c r="AO321" s="564"/>
    </row>
    <row r="322" spans="2:41" x14ac:dyDescent="0.15">
      <c r="B322" s="565">
        <v>8</v>
      </c>
      <c r="C322" s="564">
        <v>0.49166666666666664</v>
      </c>
      <c r="D322" s="564"/>
      <c r="E322" s="564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  <c r="Y322" s="564"/>
      <c r="Z322" s="564"/>
      <c r="AA322" s="564"/>
      <c r="AB322" s="564"/>
      <c r="AC322" s="564"/>
      <c r="AD322" s="564"/>
      <c r="AE322" s="564"/>
      <c r="AF322" s="564"/>
      <c r="AG322" s="564"/>
      <c r="AH322" s="564"/>
      <c r="AI322" s="564"/>
      <c r="AJ322" s="564"/>
      <c r="AK322" s="564"/>
      <c r="AL322" s="564"/>
      <c r="AM322" s="564"/>
      <c r="AN322" s="564"/>
      <c r="AO322" s="564"/>
    </row>
    <row r="323" spans="2:41" x14ac:dyDescent="0.15">
      <c r="B323" s="565">
        <v>9</v>
      </c>
      <c r="C323" s="564">
        <v>0.54166666666666663</v>
      </c>
      <c r="D323" s="564"/>
      <c r="E323" s="564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  <c r="Y323" s="564"/>
      <c r="Z323" s="564"/>
      <c r="AA323" s="564"/>
      <c r="AB323" s="564"/>
      <c r="AC323" s="564"/>
      <c r="AD323" s="564"/>
      <c r="AE323" s="564"/>
      <c r="AF323" s="564"/>
      <c r="AG323" s="564"/>
      <c r="AH323" s="564"/>
      <c r="AI323" s="564"/>
      <c r="AJ323" s="564"/>
      <c r="AK323" s="564"/>
      <c r="AL323" s="564"/>
      <c r="AM323" s="564"/>
      <c r="AN323" s="564"/>
      <c r="AO323" s="564"/>
    </row>
    <row r="324" spans="2:41" x14ac:dyDescent="0.15">
      <c r="B324" s="565">
        <v>10</v>
      </c>
      <c r="C324" s="564">
        <v>0.59041095890410955</v>
      </c>
      <c r="D324" s="564"/>
      <c r="E324" s="564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  <c r="Y324" s="564"/>
      <c r="Z324" s="564"/>
      <c r="AA324" s="564"/>
      <c r="AB324" s="564"/>
      <c r="AC324" s="564"/>
      <c r="AD324" s="564"/>
      <c r="AE324" s="564"/>
      <c r="AF324" s="564"/>
      <c r="AG324" s="564"/>
      <c r="AH324" s="564"/>
      <c r="AI324" s="564"/>
      <c r="AJ324" s="564"/>
      <c r="AK324" s="564"/>
      <c r="AL324" s="564"/>
      <c r="AM324" s="564"/>
      <c r="AN324" s="564"/>
      <c r="AO324" s="564"/>
    </row>
    <row r="325" spans="2:41" x14ac:dyDescent="0.15">
      <c r="B325" s="565">
        <v>11</v>
      </c>
      <c r="C325" s="564">
        <v>0.61289954337899544</v>
      </c>
      <c r="D325" s="564"/>
      <c r="E325" s="564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  <c r="Y325" s="564"/>
      <c r="Z325" s="564"/>
      <c r="AA325" s="564"/>
      <c r="AB325" s="564"/>
      <c r="AC325" s="564"/>
      <c r="AD325" s="564"/>
      <c r="AE325" s="564"/>
      <c r="AF325" s="564"/>
      <c r="AG325" s="564"/>
      <c r="AH325" s="564"/>
      <c r="AI325" s="564"/>
      <c r="AJ325" s="564"/>
      <c r="AK325" s="564"/>
      <c r="AL325" s="564"/>
      <c r="AM325" s="564"/>
      <c r="AN325" s="564"/>
      <c r="AO325" s="564"/>
    </row>
    <row r="326" spans="2:41" x14ac:dyDescent="0.15">
      <c r="B326" s="565">
        <v>12</v>
      </c>
      <c r="C326" s="564">
        <v>0.65890410958904111</v>
      </c>
      <c r="D326" s="564"/>
      <c r="E326" s="564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  <c r="Y326" s="564"/>
      <c r="Z326" s="564"/>
      <c r="AA326" s="564"/>
      <c r="AB326" s="564"/>
      <c r="AC326" s="564"/>
      <c r="AD326" s="564"/>
      <c r="AE326" s="564"/>
      <c r="AF326" s="564"/>
      <c r="AG326" s="564"/>
      <c r="AH326" s="564"/>
      <c r="AI326" s="564"/>
      <c r="AJ326" s="564"/>
      <c r="AK326" s="564"/>
      <c r="AL326" s="564"/>
      <c r="AM326" s="564"/>
      <c r="AN326" s="564"/>
      <c r="AO326" s="564"/>
    </row>
    <row r="327" spans="2:41" x14ac:dyDescent="0.15">
      <c r="B327" s="565">
        <v>13</v>
      </c>
      <c r="C327" s="564">
        <v>0.70742009132420092</v>
      </c>
      <c r="D327" s="564"/>
      <c r="E327" s="564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  <c r="Y327" s="564"/>
      <c r="Z327" s="564"/>
      <c r="AA327" s="564"/>
      <c r="AB327" s="564"/>
      <c r="AC327" s="564"/>
      <c r="AD327" s="564"/>
      <c r="AE327" s="564"/>
      <c r="AF327" s="564"/>
      <c r="AG327" s="564"/>
      <c r="AH327" s="564"/>
      <c r="AI327" s="564"/>
      <c r="AJ327" s="564"/>
      <c r="AK327" s="564"/>
      <c r="AL327" s="564"/>
      <c r="AM327" s="564"/>
      <c r="AN327" s="564"/>
      <c r="AO327" s="564"/>
    </row>
    <row r="328" spans="2:41" x14ac:dyDescent="0.15">
      <c r="B328" s="565">
        <v>14</v>
      </c>
      <c r="C328" s="564">
        <v>0.75582191780821917</v>
      </c>
      <c r="D328" s="564"/>
      <c r="E328" s="564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  <c r="Y328" s="564"/>
      <c r="Z328" s="564"/>
      <c r="AA328" s="564"/>
      <c r="AB328" s="564"/>
      <c r="AC328" s="564"/>
      <c r="AD328" s="564"/>
      <c r="AE328" s="564"/>
      <c r="AF328" s="564"/>
      <c r="AG328" s="564"/>
      <c r="AH328" s="564"/>
      <c r="AI328" s="564"/>
      <c r="AJ328" s="564"/>
      <c r="AK328" s="564"/>
      <c r="AL328" s="564"/>
      <c r="AM328" s="564"/>
      <c r="AN328" s="564"/>
      <c r="AO328" s="564"/>
    </row>
    <row r="329" spans="2:41" x14ac:dyDescent="0.15">
      <c r="B329" s="565">
        <v>15</v>
      </c>
      <c r="C329" s="564">
        <v>0.79965753424657537</v>
      </c>
      <c r="D329" s="564"/>
      <c r="E329" s="564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  <c r="Y329" s="564"/>
      <c r="Z329" s="564"/>
      <c r="AA329" s="564"/>
      <c r="AB329" s="564"/>
      <c r="AC329" s="564"/>
      <c r="AD329" s="564"/>
      <c r="AE329" s="564"/>
      <c r="AF329" s="564"/>
      <c r="AG329" s="564"/>
      <c r="AH329" s="564"/>
      <c r="AI329" s="564"/>
      <c r="AJ329" s="564"/>
      <c r="AK329" s="564"/>
      <c r="AL329" s="564"/>
      <c r="AM329" s="564"/>
      <c r="AN329" s="564"/>
      <c r="AO329" s="564"/>
    </row>
    <row r="330" spans="2:41" x14ac:dyDescent="0.15">
      <c r="B330" s="565">
        <v>16</v>
      </c>
      <c r="C330" s="564">
        <v>0.8238584474885845</v>
      </c>
      <c r="D330" s="564"/>
      <c r="E330" s="564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  <c r="Y330" s="564"/>
      <c r="Z330" s="564"/>
      <c r="AA330" s="564"/>
      <c r="AB330" s="564"/>
      <c r="AC330" s="564"/>
      <c r="AD330" s="564"/>
      <c r="AE330" s="564"/>
      <c r="AF330" s="564"/>
      <c r="AG330" s="564"/>
      <c r="AH330" s="564"/>
      <c r="AI330" s="564"/>
      <c r="AJ330" s="564"/>
      <c r="AK330" s="564"/>
      <c r="AL330" s="564"/>
      <c r="AM330" s="564"/>
      <c r="AN330" s="564"/>
      <c r="AO330" s="564"/>
    </row>
    <row r="331" spans="2:41" x14ac:dyDescent="0.15">
      <c r="B331" s="565">
        <v>17</v>
      </c>
      <c r="C331" s="564">
        <v>0.86335616438356166</v>
      </c>
      <c r="D331" s="564"/>
      <c r="E331" s="564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  <c r="Y331" s="564"/>
      <c r="Z331" s="564"/>
      <c r="AA331" s="564"/>
      <c r="AB331" s="564"/>
      <c r="AC331" s="564"/>
      <c r="AD331" s="564"/>
      <c r="AE331" s="564"/>
      <c r="AF331" s="564"/>
      <c r="AG331" s="564"/>
      <c r="AH331" s="564"/>
      <c r="AI331" s="564"/>
      <c r="AJ331" s="564"/>
      <c r="AK331" s="564"/>
      <c r="AL331" s="564"/>
      <c r="AM331" s="564"/>
      <c r="AN331" s="564"/>
      <c r="AO331" s="564"/>
    </row>
    <row r="332" spans="2:41" x14ac:dyDescent="0.15">
      <c r="B332" s="565">
        <v>18</v>
      </c>
      <c r="C332" s="564">
        <v>0.8987442922374429</v>
      </c>
      <c r="D332" s="564"/>
      <c r="E332" s="564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  <c r="Y332" s="564"/>
      <c r="Z332" s="564"/>
      <c r="AA332" s="564"/>
      <c r="AB332" s="564"/>
      <c r="AC332" s="564"/>
      <c r="AD332" s="564"/>
      <c r="AE332" s="564"/>
      <c r="AF332" s="564"/>
      <c r="AG332" s="564"/>
      <c r="AH332" s="564"/>
      <c r="AI332" s="564"/>
      <c r="AJ332" s="564"/>
      <c r="AK332" s="564"/>
      <c r="AL332" s="564"/>
      <c r="AM332" s="564"/>
      <c r="AN332" s="564"/>
      <c r="AO332" s="564"/>
    </row>
    <row r="333" spans="2:41" x14ac:dyDescent="0.15">
      <c r="B333" s="565">
        <v>19</v>
      </c>
      <c r="C333" s="564">
        <v>0.92625570776255706</v>
      </c>
      <c r="D333" s="564"/>
      <c r="E333" s="564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  <c r="Y333" s="564"/>
      <c r="Z333" s="564"/>
      <c r="AA333" s="564"/>
      <c r="AB333" s="564"/>
      <c r="AC333" s="564"/>
      <c r="AD333" s="564"/>
      <c r="AE333" s="564"/>
      <c r="AF333" s="564"/>
      <c r="AG333" s="564"/>
      <c r="AH333" s="564"/>
      <c r="AI333" s="564"/>
      <c r="AJ333" s="564"/>
      <c r="AK333" s="564"/>
      <c r="AL333" s="564"/>
      <c r="AM333" s="564"/>
      <c r="AN333" s="564"/>
      <c r="AO333" s="564"/>
    </row>
    <row r="334" spans="2:41" x14ac:dyDescent="0.15">
      <c r="B334" s="565">
        <v>20</v>
      </c>
      <c r="C334" s="564">
        <v>0.9480593607305936</v>
      </c>
      <c r="D334" s="564"/>
      <c r="E334" s="564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  <c r="Y334" s="564"/>
      <c r="Z334" s="564"/>
      <c r="AA334" s="564"/>
      <c r="AB334" s="564"/>
      <c r="AC334" s="564"/>
      <c r="AD334" s="564"/>
      <c r="AE334" s="564"/>
      <c r="AF334" s="564"/>
      <c r="AG334" s="564"/>
      <c r="AH334" s="564"/>
      <c r="AI334" s="564"/>
      <c r="AJ334" s="564"/>
      <c r="AK334" s="564"/>
      <c r="AL334" s="564"/>
      <c r="AM334" s="564"/>
      <c r="AN334" s="564"/>
      <c r="AO334" s="564"/>
    </row>
    <row r="335" spans="2:41" x14ac:dyDescent="0.15">
      <c r="B335" s="565">
        <v>21</v>
      </c>
      <c r="C335" s="564">
        <v>0.95913242009132416</v>
      </c>
      <c r="D335" s="564"/>
      <c r="E335" s="564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  <c r="Y335" s="564"/>
      <c r="Z335" s="564"/>
      <c r="AA335" s="564"/>
      <c r="AB335" s="564"/>
      <c r="AC335" s="564"/>
      <c r="AD335" s="564"/>
      <c r="AE335" s="564"/>
      <c r="AF335" s="564"/>
      <c r="AG335" s="564"/>
      <c r="AH335" s="564"/>
      <c r="AI335" s="564"/>
      <c r="AJ335" s="564"/>
      <c r="AK335" s="564"/>
      <c r="AL335" s="564"/>
      <c r="AM335" s="564"/>
      <c r="AN335" s="564"/>
      <c r="AO335" s="564"/>
    </row>
    <row r="336" spans="2:41" x14ac:dyDescent="0.15">
      <c r="B336" s="565">
        <v>22</v>
      </c>
      <c r="C336" s="564">
        <v>0.97454337899543375</v>
      </c>
      <c r="D336" s="564"/>
      <c r="E336" s="564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  <c r="Y336" s="564"/>
      <c r="Z336" s="564"/>
      <c r="AA336" s="564"/>
      <c r="AB336" s="564"/>
      <c r="AC336" s="564"/>
      <c r="AD336" s="564"/>
      <c r="AE336" s="564"/>
      <c r="AF336" s="564"/>
      <c r="AG336" s="564"/>
      <c r="AH336" s="564"/>
      <c r="AI336" s="564"/>
      <c r="AJ336" s="564"/>
      <c r="AK336" s="564"/>
      <c r="AL336" s="564"/>
      <c r="AM336" s="564"/>
      <c r="AN336" s="564"/>
      <c r="AO336" s="564"/>
    </row>
    <row r="337" spans="2:41" x14ac:dyDescent="0.15">
      <c r="B337" s="565">
        <v>23</v>
      </c>
      <c r="C337" s="564">
        <v>0.98561643835616441</v>
      </c>
      <c r="D337" s="564"/>
      <c r="E337" s="564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  <c r="Y337" s="564"/>
      <c r="Z337" s="564"/>
      <c r="AA337" s="564"/>
      <c r="AB337" s="564"/>
      <c r="AC337" s="564"/>
      <c r="AD337" s="564"/>
      <c r="AE337" s="564"/>
      <c r="AF337" s="564"/>
      <c r="AG337" s="564"/>
      <c r="AH337" s="564"/>
      <c r="AI337" s="564"/>
      <c r="AJ337" s="564"/>
      <c r="AK337" s="564"/>
      <c r="AL337" s="564"/>
      <c r="AM337" s="564"/>
      <c r="AN337" s="564"/>
      <c r="AO337" s="564"/>
    </row>
    <row r="338" spans="2:41" x14ac:dyDescent="0.15">
      <c r="B338" s="565">
        <v>24</v>
      </c>
      <c r="C338" s="564">
        <v>0.99257990867579904</v>
      </c>
      <c r="D338" s="564"/>
      <c r="E338" s="564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  <c r="Y338" s="564"/>
      <c r="Z338" s="564"/>
      <c r="AA338" s="564"/>
      <c r="AB338" s="564"/>
      <c r="AC338" s="564"/>
      <c r="AD338" s="564"/>
      <c r="AE338" s="564"/>
      <c r="AF338" s="564"/>
      <c r="AG338" s="564"/>
      <c r="AH338" s="564"/>
      <c r="AI338" s="564"/>
      <c r="AJ338" s="564"/>
      <c r="AK338" s="564"/>
      <c r="AL338" s="564"/>
      <c r="AM338" s="564"/>
      <c r="AN338" s="564"/>
      <c r="AO338" s="564"/>
    </row>
    <row r="339" spans="2:41" x14ac:dyDescent="0.15">
      <c r="B339" s="565">
        <v>25</v>
      </c>
      <c r="C339" s="564">
        <v>0.99589041095890407</v>
      </c>
      <c r="D339" s="564"/>
      <c r="E339" s="564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  <c r="Y339" s="564"/>
      <c r="Z339" s="564"/>
      <c r="AA339" s="564"/>
      <c r="AB339" s="564"/>
      <c r="AC339" s="564"/>
      <c r="AD339" s="564"/>
      <c r="AE339" s="564"/>
      <c r="AF339" s="564"/>
      <c r="AG339" s="564"/>
      <c r="AH339" s="564"/>
      <c r="AI339" s="564"/>
      <c r="AJ339" s="564"/>
      <c r="AK339" s="564"/>
      <c r="AL339" s="564"/>
      <c r="AM339" s="564"/>
      <c r="AN339" s="564"/>
      <c r="AO339" s="564"/>
    </row>
    <row r="340" spans="2:41" x14ac:dyDescent="0.15">
      <c r="B340" s="565">
        <v>26</v>
      </c>
      <c r="C340" s="564">
        <v>0.99714611872146119</v>
      </c>
      <c r="D340" s="564"/>
      <c r="E340" s="564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  <c r="Y340" s="564"/>
      <c r="Z340" s="564"/>
      <c r="AA340" s="564"/>
      <c r="AB340" s="564"/>
      <c r="AC340" s="564"/>
      <c r="AD340" s="564"/>
      <c r="AE340" s="564"/>
      <c r="AF340" s="564"/>
      <c r="AG340" s="564"/>
      <c r="AH340" s="564"/>
      <c r="AI340" s="564"/>
      <c r="AJ340" s="564"/>
      <c r="AK340" s="564"/>
      <c r="AL340" s="564"/>
      <c r="AM340" s="564"/>
      <c r="AN340" s="564"/>
      <c r="AO340" s="564"/>
    </row>
    <row r="341" spans="2:41" x14ac:dyDescent="0.15">
      <c r="B341" s="565">
        <v>27</v>
      </c>
      <c r="C341" s="564">
        <v>0.99885844748858443</v>
      </c>
      <c r="D341" s="564"/>
      <c r="E341" s="564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  <c r="Y341" s="564"/>
      <c r="Z341" s="564"/>
      <c r="AA341" s="564"/>
      <c r="AB341" s="564"/>
      <c r="AC341" s="564"/>
      <c r="AD341" s="564"/>
      <c r="AE341" s="564"/>
      <c r="AF341" s="564"/>
      <c r="AG341" s="564"/>
      <c r="AH341" s="564"/>
      <c r="AI341" s="564"/>
      <c r="AJ341" s="564"/>
      <c r="AK341" s="564"/>
      <c r="AL341" s="564"/>
      <c r="AM341" s="564"/>
      <c r="AN341" s="564"/>
      <c r="AO341" s="564"/>
    </row>
    <row r="342" spans="2:41" x14ac:dyDescent="0.15">
      <c r="B342" s="565">
        <v>28</v>
      </c>
      <c r="C342" s="564">
        <v>0.99965753424657533</v>
      </c>
      <c r="D342" s="564"/>
      <c r="E342" s="564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  <c r="Y342" s="564"/>
      <c r="Z342" s="564"/>
      <c r="AA342" s="564"/>
      <c r="AB342" s="564"/>
      <c r="AC342" s="564"/>
      <c r="AD342" s="564"/>
      <c r="AE342" s="564"/>
      <c r="AF342" s="564"/>
      <c r="AG342" s="564"/>
      <c r="AH342" s="564"/>
      <c r="AI342" s="564"/>
      <c r="AJ342" s="564"/>
      <c r="AK342" s="564"/>
      <c r="AL342" s="564"/>
      <c r="AM342" s="564"/>
      <c r="AN342" s="564"/>
      <c r="AO342" s="564"/>
    </row>
    <row r="343" spans="2:41" x14ac:dyDescent="0.15">
      <c r="B343" s="565">
        <v>29</v>
      </c>
      <c r="C343" s="564">
        <v>1</v>
      </c>
      <c r="D343" s="564"/>
      <c r="E343" s="564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  <c r="Y343" s="564"/>
      <c r="Z343" s="564"/>
      <c r="AA343" s="564"/>
      <c r="AB343" s="564"/>
      <c r="AC343" s="564"/>
      <c r="AD343" s="564"/>
      <c r="AE343" s="564"/>
      <c r="AF343" s="564"/>
      <c r="AG343" s="564"/>
      <c r="AH343" s="564"/>
      <c r="AI343" s="564"/>
      <c r="AJ343" s="564"/>
      <c r="AK343" s="564"/>
      <c r="AL343" s="564"/>
      <c r="AM343" s="564"/>
      <c r="AN343" s="564"/>
      <c r="AO343" s="564"/>
    </row>
    <row r="344" spans="2:41" x14ac:dyDescent="0.15">
      <c r="B344" s="565">
        <v>30</v>
      </c>
      <c r="C344" s="564">
        <v>1</v>
      </c>
      <c r="D344" s="564"/>
      <c r="E344" s="564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  <c r="Y344" s="564"/>
      <c r="Z344" s="564"/>
      <c r="AA344" s="564"/>
      <c r="AB344" s="564"/>
      <c r="AC344" s="564"/>
      <c r="AD344" s="564"/>
      <c r="AE344" s="564"/>
      <c r="AF344" s="564"/>
      <c r="AG344" s="564"/>
      <c r="AH344" s="564"/>
      <c r="AI344" s="564"/>
      <c r="AJ344" s="564"/>
      <c r="AK344" s="564"/>
      <c r="AL344" s="564"/>
      <c r="AM344" s="564"/>
      <c r="AN344" s="564"/>
      <c r="AO344" s="564"/>
    </row>
    <row r="345" spans="2:41" x14ac:dyDescent="0.15">
      <c r="B345" s="565">
        <v>31</v>
      </c>
      <c r="C345" s="564">
        <v>1</v>
      </c>
      <c r="D345" s="564"/>
      <c r="E345" s="564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  <c r="Y345" s="564"/>
      <c r="Z345" s="564"/>
      <c r="AA345" s="564"/>
      <c r="AB345" s="564"/>
      <c r="AC345" s="564"/>
      <c r="AD345" s="564"/>
      <c r="AE345" s="564"/>
      <c r="AF345" s="564"/>
      <c r="AG345" s="564"/>
      <c r="AH345" s="564"/>
      <c r="AI345" s="564"/>
      <c r="AJ345" s="564"/>
      <c r="AK345" s="564"/>
      <c r="AL345" s="564"/>
      <c r="AM345" s="564"/>
      <c r="AN345" s="564"/>
      <c r="AO345" s="564"/>
    </row>
    <row r="346" spans="2:41" x14ac:dyDescent="0.15">
      <c r="B346" s="565">
        <v>32</v>
      </c>
      <c r="C346" s="564">
        <v>1</v>
      </c>
      <c r="D346" s="564"/>
      <c r="E346" s="564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  <c r="Y346" s="564"/>
      <c r="Z346" s="564"/>
      <c r="AA346" s="564"/>
      <c r="AB346" s="564"/>
      <c r="AC346" s="564"/>
      <c r="AD346" s="564"/>
      <c r="AE346" s="564"/>
      <c r="AF346" s="564"/>
      <c r="AG346" s="564"/>
      <c r="AH346" s="564"/>
      <c r="AI346" s="564"/>
      <c r="AJ346" s="564"/>
      <c r="AK346" s="564"/>
      <c r="AL346" s="564"/>
      <c r="AM346" s="564"/>
      <c r="AN346" s="564"/>
      <c r="AO346" s="564"/>
    </row>
    <row r="347" spans="2:41" x14ac:dyDescent="0.15">
      <c r="B347" s="565">
        <v>33</v>
      </c>
      <c r="C347" s="564">
        <v>1</v>
      </c>
      <c r="D347" s="564"/>
      <c r="E347" s="564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  <c r="Y347" s="564"/>
      <c r="Z347" s="564"/>
      <c r="AA347" s="564"/>
      <c r="AB347" s="564"/>
      <c r="AC347" s="564"/>
      <c r="AD347" s="564"/>
      <c r="AE347" s="564"/>
      <c r="AF347" s="564"/>
      <c r="AG347" s="564"/>
      <c r="AH347" s="564"/>
      <c r="AI347" s="564"/>
      <c r="AJ347" s="564"/>
      <c r="AK347" s="564"/>
      <c r="AL347" s="564"/>
      <c r="AM347" s="564"/>
      <c r="AN347" s="564"/>
      <c r="AO347" s="564"/>
    </row>
    <row r="348" spans="2:41" x14ac:dyDescent="0.15">
      <c r="B348" s="565">
        <v>34</v>
      </c>
      <c r="C348" s="564">
        <v>1</v>
      </c>
      <c r="D348" s="564"/>
      <c r="E348" s="564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  <c r="Y348" s="564"/>
      <c r="Z348" s="564"/>
      <c r="AA348" s="564"/>
      <c r="AB348" s="564"/>
      <c r="AC348" s="564"/>
      <c r="AD348" s="564"/>
      <c r="AE348" s="564"/>
      <c r="AF348" s="564"/>
      <c r="AG348" s="564"/>
      <c r="AH348" s="564"/>
      <c r="AI348" s="564"/>
      <c r="AJ348" s="564"/>
      <c r="AK348" s="564"/>
      <c r="AL348" s="564"/>
      <c r="AM348" s="564"/>
      <c r="AN348" s="564"/>
      <c r="AO348" s="564"/>
    </row>
    <row r="349" spans="2:41" x14ac:dyDescent="0.15">
      <c r="B349" s="565">
        <v>35</v>
      </c>
      <c r="C349" s="564">
        <v>1</v>
      </c>
      <c r="D349" s="564"/>
      <c r="E349" s="564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  <c r="Y349" s="564"/>
      <c r="Z349" s="564"/>
      <c r="AA349" s="564"/>
      <c r="AB349" s="564"/>
      <c r="AC349" s="564"/>
      <c r="AD349" s="564"/>
      <c r="AE349" s="564"/>
      <c r="AF349" s="564"/>
      <c r="AG349" s="564"/>
      <c r="AH349" s="564"/>
      <c r="AI349" s="564"/>
      <c r="AJ349" s="564"/>
      <c r="AK349" s="564"/>
      <c r="AL349" s="564"/>
      <c r="AM349" s="564"/>
      <c r="AN349" s="564"/>
      <c r="AO349" s="564"/>
    </row>
    <row r="350" spans="2:41" x14ac:dyDescent="0.15">
      <c r="B350" s="565">
        <v>36</v>
      </c>
      <c r="C350" s="564">
        <v>1</v>
      </c>
      <c r="D350" s="564"/>
      <c r="E350" s="564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  <c r="Y350" s="564"/>
      <c r="Z350" s="564"/>
      <c r="AA350" s="564"/>
      <c r="AB350" s="564"/>
      <c r="AC350" s="564"/>
      <c r="AD350" s="564"/>
      <c r="AE350" s="564"/>
      <c r="AF350" s="564"/>
      <c r="AG350" s="564"/>
      <c r="AH350" s="564"/>
      <c r="AI350" s="564"/>
      <c r="AJ350" s="564"/>
      <c r="AK350" s="564"/>
      <c r="AL350" s="564"/>
      <c r="AM350" s="564"/>
      <c r="AN350" s="564"/>
      <c r="AO350" s="564"/>
    </row>
    <row r="351" spans="2:41" x14ac:dyDescent="0.15">
      <c r="B351" s="565">
        <v>37</v>
      </c>
      <c r="C351" s="564">
        <v>1</v>
      </c>
      <c r="D351" s="564"/>
      <c r="E351" s="564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  <c r="Y351" s="564"/>
      <c r="Z351" s="564"/>
      <c r="AA351" s="564"/>
      <c r="AB351" s="564"/>
      <c r="AC351" s="564"/>
      <c r="AD351" s="564"/>
      <c r="AE351" s="564"/>
      <c r="AF351" s="564"/>
      <c r="AG351" s="564"/>
      <c r="AH351" s="564"/>
      <c r="AI351" s="564"/>
      <c r="AJ351" s="564"/>
      <c r="AK351" s="564"/>
      <c r="AL351" s="564"/>
      <c r="AM351" s="564"/>
      <c r="AN351" s="564"/>
      <c r="AO351" s="564"/>
    </row>
    <row r="352" spans="2:41" x14ac:dyDescent="0.15">
      <c r="B352" s="565">
        <v>38</v>
      </c>
      <c r="C352" s="564">
        <v>1</v>
      </c>
      <c r="D352" s="564"/>
      <c r="E352" s="564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  <c r="Y352" s="564"/>
      <c r="Z352" s="564"/>
      <c r="AA352" s="564"/>
      <c r="AB352" s="564"/>
      <c r="AC352" s="564"/>
      <c r="AD352" s="564"/>
      <c r="AE352" s="564"/>
      <c r="AF352" s="564"/>
      <c r="AG352" s="564"/>
      <c r="AH352" s="564"/>
      <c r="AI352" s="564"/>
      <c r="AJ352" s="564"/>
      <c r="AK352" s="564"/>
      <c r="AL352" s="564"/>
      <c r="AM352" s="564"/>
      <c r="AN352" s="564"/>
      <c r="AO352" s="564"/>
    </row>
    <row r="353" spans="2:41" x14ac:dyDescent="0.15">
      <c r="B353" s="565">
        <v>39</v>
      </c>
      <c r="C353" s="564">
        <v>1</v>
      </c>
      <c r="D353" s="564"/>
      <c r="E353" s="564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  <c r="Y353" s="564"/>
      <c r="Z353" s="564"/>
      <c r="AA353" s="564"/>
      <c r="AB353" s="564"/>
      <c r="AC353" s="564"/>
      <c r="AD353" s="564"/>
      <c r="AE353" s="564"/>
      <c r="AF353" s="564"/>
      <c r="AG353" s="564"/>
      <c r="AH353" s="564"/>
      <c r="AI353" s="564"/>
      <c r="AJ353" s="564"/>
      <c r="AK353" s="564"/>
      <c r="AL353" s="564"/>
      <c r="AM353" s="564"/>
      <c r="AN353" s="564"/>
      <c r="AO353" s="564"/>
    </row>
    <row r="354" spans="2:41" x14ac:dyDescent="0.15">
      <c r="B354" s="566">
        <v>40</v>
      </c>
      <c r="C354" s="564">
        <v>1</v>
      </c>
      <c r="D354" s="564"/>
      <c r="E354" s="564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  <c r="Y354" s="564"/>
      <c r="Z354" s="564"/>
      <c r="AA354" s="564"/>
      <c r="AB354" s="564"/>
      <c r="AC354" s="564"/>
      <c r="AD354" s="564"/>
      <c r="AE354" s="564"/>
      <c r="AF354" s="564"/>
      <c r="AG354" s="564"/>
      <c r="AH354" s="564"/>
      <c r="AI354" s="564"/>
      <c r="AJ354" s="564"/>
      <c r="AK354" s="564"/>
      <c r="AL354" s="564"/>
      <c r="AM354" s="564"/>
      <c r="AN354" s="564"/>
      <c r="AO354" s="564"/>
    </row>
    <row r="363" spans="2:41" s="561" customFormat="1" ht="14" x14ac:dyDescent="0.15">
      <c r="B363" s="558" t="str" cm="1">
        <f t="array" ref="B363:AO363">TRANSPOSE('Syötä kaupungit KIRJASTOLINKIT!'!$F$1:$F$40)</f>
        <v>MAA 5</v>
      </c>
      <c r="C363" s="562" t="str">
        <v>LAT - Ryga</v>
      </c>
      <c r="D363" s="562">
        <v>0</v>
      </c>
      <c r="E363" s="562">
        <v>0</v>
      </c>
      <c r="F363" s="562">
        <v>0</v>
      </c>
      <c r="G363" s="562">
        <v>0</v>
      </c>
      <c r="H363" s="562">
        <v>0</v>
      </c>
      <c r="I363" s="562">
        <v>0</v>
      </c>
      <c r="J363" s="562">
        <v>0</v>
      </c>
      <c r="K363" s="562">
        <v>0</v>
      </c>
      <c r="L363" s="562">
        <v>0</v>
      </c>
      <c r="M363" s="562">
        <v>0</v>
      </c>
      <c r="N363" s="562">
        <v>0</v>
      </c>
      <c r="O363" s="562">
        <v>0</v>
      </c>
      <c r="P363" s="562">
        <v>0</v>
      </c>
      <c r="Q363" s="562">
        <v>0</v>
      </c>
      <c r="R363" s="562">
        <v>0</v>
      </c>
      <c r="S363" s="562">
        <v>0</v>
      </c>
      <c r="T363" s="562">
        <v>0</v>
      </c>
      <c r="U363" s="562">
        <v>0</v>
      </c>
      <c r="V363" s="562">
        <v>0</v>
      </c>
      <c r="W363" s="562">
        <v>0</v>
      </c>
      <c r="X363" s="562">
        <v>0</v>
      </c>
      <c r="Y363" s="562">
        <v>0</v>
      </c>
      <c r="Z363" s="562">
        <v>0</v>
      </c>
      <c r="AA363" s="562">
        <v>0</v>
      </c>
      <c r="AB363" s="562">
        <v>0</v>
      </c>
      <c r="AC363" s="562">
        <v>0</v>
      </c>
      <c r="AD363" s="562">
        <v>0</v>
      </c>
      <c r="AE363" s="562">
        <v>0</v>
      </c>
      <c r="AF363" s="562">
        <v>0</v>
      </c>
      <c r="AG363" s="562">
        <v>0</v>
      </c>
      <c r="AH363" s="562">
        <v>0</v>
      </c>
      <c r="AI363" s="562">
        <v>0</v>
      </c>
      <c r="AJ363" s="562">
        <v>0</v>
      </c>
      <c r="AK363" s="562">
        <v>0</v>
      </c>
      <c r="AL363" s="562">
        <v>0</v>
      </c>
      <c r="AM363" s="562">
        <v>0</v>
      </c>
      <c r="AN363" s="562">
        <v>0</v>
      </c>
      <c r="AO363" s="562">
        <v>0</v>
      </c>
    </row>
    <row r="364" spans="2:41" x14ac:dyDescent="0.15">
      <c r="B364" s="563">
        <v>-40</v>
      </c>
      <c r="C364" s="564">
        <v>0</v>
      </c>
      <c r="D364" s="564"/>
      <c r="E364" s="564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  <c r="Y364" s="564"/>
      <c r="Z364" s="564"/>
      <c r="AA364" s="564"/>
      <c r="AB364" s="564"/>
      <c r="AC364" s="564"/>
      <c r="AD364" s="564"/>
      <c r="AE364" s="564"/>
      <c r="AF364" s="564"/>
      <c r="AG364" s="564"/>
      <c r="AH364" s="564"/>
      <c r="AI364" s="564"/>
      <c r="AJ364" s="564"/>
      <c r="AK364" s="564"/>
      <c r="AL364" s="564"/>
      <c r="AM364" s="564"/>
      <c r="AN364" s="564"/>
      <c r="AO364" s="564"/>
    </row>
    <row r="365" spans="2:41" x14ac:dyDescent="0.15">
      <c r="B365" s="565">
        <v>-39</v>
      </c>
      <c r="C365" s="564">
        <v>0</v>
      </c>
      <c r="D365" s="564"/>
      <c r="E365" s="564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  <c r="Y365" s="564"/>
      <c r="Z365" s="564"/>
      <c r="AA365" s="564"/>
      <c r="AB365" s="564"/>
      <c r="AC365" s="564"/>
      <c r="AD365" s="564"/>
      <c r="AE365" s="564"/>
      <c r="AF365" s="564"/>
      <c r="AG365" s="564"/>
      <c r="AH365" s="564"/>
      <c r="AI365" s="564"/>
      <c r="AJ365" s="564"/>
      <c r="AK365" s="564"/>
      <c r="AL365" s="564"/>
      <c r="AM365" s="564"/>
      <c r="AN365" s="564"/>
      <c r="AO365" s="564"/>
    </row>
    <row r="366" spans="2:41" x14ac:dyDescent="0.15">
      <c r="B366" s="565">
        <v>-38</v>
      </c>
      <c r="C366" s="564">
        <v>0</v>
      </c>
      <c r="D366" s="564"/>
      <c r="E366" s="564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  <c r="Y366" s="564"/>
      <c r="Z366" s="564"/>
      <c r="AA366" s="564"/>
      <c r="AB366" s="564"/>
      <c r="AC366" s="564"/>
      <c r="AD366" s="564"/>
      <c r="AE366" s="564"/>
      <c r="AF366" s="564"/>
      <c r="AG366" s="564"/>
      <c r="AH366" s="564"/>
      <c r="AI366" s="564"/>
      <c r="AJ366" s="564"/>
      <c r="AK366" s="564"/>
      <c r="AL366" s="564"/>
      <c r="AM366" s="564"/>
      <c r="AN366" s="564"/>
      <c r="AO366" s="564"/>
    </row>
    <row r="367" spans="2:41" x14ac:dyDescent="0.15">
      <c r="B367" s="565">
        <v>-37</v>
      </c>
      <c r="C367" s="564">
        <v>0</v>
      </c>
      <c r="D367" s="564"/>
      <c r="E367" s="564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  <c r="Y367" s="564"/>
      <c r="Z367" s="564"/>
      <c r="AA367" s="564"/>
      <c r="AB367" s="564"/>
      <c r="AC367" s="564"/>
      <c r="AD367" s="564"/>
      <c r="AE367" s="564"/>
      <c r="AF367" s="564"/>
      <c r="AG367" s="564"/>
      <c r="AH367" s="564"/>
      <c r="AI367" s="564"/>
      <c r="AJ367" s="564"/>
      <c r="AK367" s="564"/>
      <c r="AL367" s="564"/>
      <c r="AM367" s="564"/>
      <c r="AN367" s="564"/>
      <c r="AO367" s="564"/>
    </row>
    <row r="368" spans="2:41" x14ac:dyDescent="0.15">
      <c r="B368" s="565">
        <v>-36</v>
      </c>
      <c r="C368" s="564">
        <v>0</v>
      </c>
      <c r="D368" s="564"/>
      <c r="E368" s="564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  <c r="Y368" s="564"/>
      <c r="Z368" s="564"/>
      <c r="AA368" s="564"/>
      <c r="AB368" s="564"/>
      <c r="AC368" s="564"/>
      <c r="AD368" s="564"/>
      <c r="AE368" s="564"/>
      <c r="AF368" s="564"/>
      <c r="AG368" s="564"/>
      <c r="AH368" s="564"/>
      <c r="AI368" s="564"/>
      <c r="AJ368" s="564"/>
      <c r="AK368" s="564"/>
      <c r="AL368" s="564"/>
      <c r="AM368" s="564"/>
      <c r="AN368" s="564"/>
      <c r="AO368" s="564"/>
    </row>
    <row r="369" spans="2:41" x14ac:dyDescent="0.15">
      <c r="B369" s="565">
        <v>-35</v>
      </c>
      <c r="C369" s="564">
        <v>0</v>
      </c>
      <c r="D369" s="564"/>
      <c r="E369" s="564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  <c r="Y369" s="564"/>
      <c r="Z369" s="564"/>
      <c r="AA369" s="564"/>
      <c r="AB369" s="564"/>
      <c r="AC369" s="564"/>
      <c r="AD369" s="564"/>
      <c r="AE369" s="564"/>
      <c r="AF369" s="564"/>
      <c r="AG369" s="564"/>
      <c r="AH369" s="564"/>
      <c r="AI369" s="564"/>
      <c r="AJ369" s="564"/>
      <c r="AK369" s="564"/>
      <c r="AL369" s="564"/>
      <c r="AM369" s="564"/>
      <c r="AN369" s="564"/>
      <c r="AO369" s="564"/>
    </row>
    <row r="370" spans="2:41" x14ac:dyDescent="0.15">
      <c r="B370" s="565">
        <v>-34</v>
      </c>
      <c r="C370" s="564">
        <v>0</v>
      </c>
      <c r="D370" s="564"/>
      <c r="E370" s="564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  <c r="Y370" s="564"/>
      <c r="Z370" s="564"/>
      <c r="AA370" s="564"/>
      <c r="AB370" s="564"/>
      <c r="AC370" s="564"/>
      <c r="AD370" s="564"/>
      <c r="AE370" s="564"/>
      <c r="AF370" s="564"/>
      <c r="AG370" s="564"/>
      <c r="AH370" s="564"/>
      <c r="AI370" s="564"/>
      <c r="AJ370" s="564"/>
      <c r="AK370" s="564"/>
      <c r="AL370" s="564"/>
      <c r="AM370" s="564"/>
      <c r="AN370" s="564"/>
      <c r="AO370" s="564"/>
    </row>
    <row r="371" spans="2:41" x14ac:dyDescent="0.15">
      <c r="B371" s="565">
        <v>-33</v>
      </c>
      <c r="C371" s="564">
        <v>0</v>
      </c>
      <c r="D371" s="564"/>
      <c r="E371" s="564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  <c r="Y371" s="564"/>
      <c r="Z371" s="564"/>
      <c r="AA371" s="564"/>
      <c r="AB371" s="564"/>
      <c r="AC371" s="564"/>
      <c r="AD371" s="564"/>
      <c r="AE371" s="564"/>
      <c r="AF371" s="564"/>
      <c r="AG371" s="564"/>
      <c r="AH371" s="564"/>
      <c r="AI371" s="564"/>
      <c r="AJ371" s="564"/>
      <c r="AK371" s="564"/>
      <c r="AL371" s="564"/>
      <c r="AM371" s="564"/>
      <c r="AN371" s="564"/>
      <c r="AO371" s="564"/>
    </row>
    <row r="372" spans="2:41" x14ac:dyDescent="0.15">
      <c r="B372" s="565">
        <v>-32</v>
      </c>
      <c r="C372" s="564">
        <v>0</v>
      </c>
      <c r="D372" s="564"/>
      <c r="E372" s="564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  <c r="Y372" s="564"/>
      <c r="Z372" s="564"/>
      <c r="AA372" s="564"/>
      <c r="AB372" s="564"/>
      <c r="AC372" s="564"/>
      <c r="AD372" s="564"/>
      <c r="AE372" s="564"/>
      <c r="AF372" s="564"/>
      <c r="AG372" s="564"/>
      <c r="AH372" s="564"/>
      <c r="AI372" s="564"/>
      <c r="AJ372" s="564"/>
      <c r="AK372" s="564"/>
      <c r="AL372" s="564"/>
      <c r="AM372" s="564"/>
      <c r="AN372" s="564"/>
      <c r="AO372" s="564"/>
    </row>
    <row r="373" spans="2:41" x14ac:dyDescent="0.15">
      <c r="B373" s="565">
        <v>-31</v>
      </c>
      <c r="C373" s="564">
        <v>0</v>
      </c>
      <c r="D373" s="564"/>
      <c r="E373" s="564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  <c r="Y373" s="564"/>
      <c r="Z373" s="564"/>
      <c r="AA373" s="564"/>
      <c r="AB373" s="564"/>
      <c r="AC373" s="564"/>
      <c r="AD373" s="564"/>
      <c r="AE373" s="564"/>
      <c r="AF373" s="564"/>
      <c r="AG373" s="564"/>
      <c r="AH373" s="564"/>
      <c r="AI373" s="564"/>
      <c r="AJ373" s="564"/>
      <c r="AK373" s="564"/>
      <c r="AL373" s="564"/>
      <c r="AM373" s="564"/>
      <c r="AN373" s="564"/>
      <c r="AO373" s="564"/>
    </row>
    <row r="374" spans="2:41" x14ac:dyDescent="0.15">
      <c r="B374" s="565">
        <v>-30</v>
      </c>
      <c r="C374" s="564">
        <v>0</v>
      </c>
      <c r="D374" s="564"/>
      <c r="E374" s="564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  <c r="Y374" s="564"/>
      <c r="Z374" s="564"/>
      <c r="AA374" s="564"/>
      <c r="AB374" s="564"/>
      <c r="AC374" s="564"/>
      <c r="AD374" s="564"/>
      <c r="AE374" s="564"/>
      <c r="AF374" s="564"/>
      <c r="AG374" s="564"/>
      <c r="AH374" s="564"/>
      <c r="AI374" s="564"/>
      <c r="AJ374" s="564"/>
      <c r="AK374" s="564"/>
      <c r="AL374" s="564"/>
      <c r="AM374" s="564"/>
      <c r="AN374" s="564"/>
      <c r="AO374" s="564"/>
    </row>
    <row r="375" spans="2:41" x14ac:dyDescent="0.15">
      <c r="B375" s="565">
        <v>-29</v>
      </c>
      <c r="C375" s="564">
        <v>0</v>
      </c>
      <c r="D375" s="564"/>
      <c r="E375" s="564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  <c r="Y375" s="564"/>
      <c r="Z375" s="564"/>
      <c r="AA375" s="564"/>
      <c r="AB375" s="564"/>
      <c r="AC375" s="564"/>
      <c r="AD375" s="564"/>
      <c r="AE375" s="564"/>
      <c r="AF375" s="564"/>
      <c r="AG375" s="564"/>
      <c r="AH375" s="564"/>
      <c r="AI375" s="564"/>
      <c r="AJ375" s="564"/>
      <c r="AK375" s="564"/>
      <c r="AL375" s="564"/>
      <c r="AM375" s="564"/>
      <c r="AN375" s="564"/>
      <c r="AO375" s="564"/>
    </row>
    <row r="376" spans="2:41" x14ac:dyDescent="0.15">
      <c r="B376" s="565">
        <v>-28</v>
      </c>
      <c r="C376" s="564">
        <v>0</v>
      </c>
      <c r="D376" s="564"/>
      <c r="E376" s="564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  <c r="Y376" s="564"/>
      <c r="Z376" s="564"/>
      <c r="AA376" s="564"/>
      <c r="AB376" s="564"/>
      <c r="AC376" s="564"/>
      <c r="AD376" s="564"/>
      <c r="AE376" s="564"/>
      <c r="AF376" s="564"/>
      <c r="AG376" s="564"/>
      <c r="AH376" s="564"/>
      <c r="AI376" s="564"/>
      <c r="AJ376" s="564"/>
      <c r="AK376" s="564"/>
      <c r="AL376" s="564"/>
      <c r="AM376" s="564"/>
      <c r="AN376" s="564"/>
      <c r="AO376" s="564"/>
    </row>
    <row r="377" spans="2:41" x14ac:dyDescent="0.15">
      <c r="B377" s="565">
        <v>-27</v>
      </c>
      <c r="C377" s="564">
        <v>0</v>
      </c>
      <c r="D377" s="564"/>
      <c r="E377" s="564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  <c r="Y377" s="564"/>
      <c r="Z377" s="564"/>
      <c r="AA377" s="564"/>
      <c r="AB377" s="564"/>
      <c r="AC377" s="564"/>
      <c r="AD377" s="564"/>
      <c r="AE377" s="564"/>
      <c r="AF377" s="564"/>
      <c r="AG377" s="564"/>
      <c r="AH377" s="564"/>
      <c r="AI377" s="564"/>
      <c r="AJ377" s="564"/>
      <c r="AK377" s="564"/>
      <c r="AL377" s="564"/>
      <c r="AM377" s="564"/>
      <c r="AN377" s="564"/>
      <c r="AO377" s="564"/>
    </row>
    <row r="378" spans="2:41" x14ac:dyDescent="0.15">
      <c r="B378" s="565">
        <v>-26</v>
      </c>
      <c r="C378" s="564">
        <v>0</v>
      </c>
      <c r="D378" s="564"/>
      <c r="E378" s="564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  <c r="Y378" s="564"/>
      <c r="Z378" s="564"/>
      <c r="AA378" s="564"/>
      <c r="AB378" s="564"/>
      <c r="AC378" s="564"/>
      <c r="AD378" s="564"/>
      <c r="AE378" s="564"/>
      <c r="AF378" s="564"/>
      <c r="AG378" s="564"/>
      <c r="AH378" s="564"/>
      <c r="AI378" s="564"/>
      <c r="AJ378" s="564"/>
      <c r="AK378" s="564"/>
      <c r="AL378" s="564"/>
      <c r="AM378" s="564"/>
      <c r="AN378" s="564"/>
      <c r="AO378" s="564"/>
    </row>
    <row r="379" spans="2:41" x14ac:dyDescent="0.15">
      <c r="B379" s="565">
        <v>-25</v>
      </c>
      <c r="C379" s="564">
        <v>0</v>
      </c>
      <c r="D379" s="564"/>
      <c r="E379" s="564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  <c r="Y379" s="564"/>
      <c r="Z379" s="564"/>
      <c r="AA379" s="564"/>
      <c r="AB379" s="564"/>
      <c r="AC379" s="564"/>
      <c r="AD379" s="564"/>
      <c r="AE379" s="564"/>
      <c r="AF379" s="564"/>
      <c r="AG379" s="564"/>
      <c r="AH379" s="564"/>
      <c r="AI379" s="564"/>
      <c r="AJ379" s="564"/>
      <c r="AK379" s="564"/>
      <c r="AL379" s="564"/>
      <c r="AM379" s="564"/>
      <c r="AN379" s="564"/>
      <c r="AO379" s="564"/>
    </row>
    <row r="380" spans="2:41" x14ac:dyDescent="0.15">
      <c r="B380" s="565">
        <v>-24</v>
      </c>
      <c r="C380" s="564">
        <v>0</v>
      </c>
      <c r="D380" s="564"/>
      <c r="E380" s="564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  <c r="Y380" s="564"/>
      <c r="Z380" s="564"/>
      <c r="AA380" s="564"/>
      <c r="AB380" s="564"/>
      <c r="AC380" s="564"/>
      <c r="AD380" s="564"/>
      <c r="AE380" s="564"/>
      <c r="AF380" s="564"/>
      <c r="AG380" s="564"/>
      <c r="AH380" s="564"/>
      <c r="AI380" s="564"/>
      <c r="AJ380" s="564"/>
      <c r="AK380" s="564"/>
      <c r="AL380" s="564"/>
      <c r="AM380" s="564"/>
      <c r="AN380" s="564"/>
      <c r="AO380" s="564"/>
    </row>
    <row r="381" spans="2:41" x14ac:dyDescent="0.15">
      <c r="B381" s="565">
        <v>-23</v>
      </c>
      <c r="C381" s="564">
        <v>0</v>
      </c>
      <c r="D381" s="564"/>
      <c r="E381" s="564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  <c r="Y381" s="564"/>
      <c r="Z381" s="564"/>
      <c r="AA381" s="564"/>
      <c r="AB381" s="564"/>
      <c r="AC381" s="564"/>
      <c r="AD381" s="564"/>
      <c r="AE381" s="564"/>
      <c r="AF381" s="564"/>
      <c r="AG381" s="564"/>
      <c r="AH381" s="564"/>
      <c r="AI381" s="564"/>
      <c r="AJ381" s="564"/>
      <c r="AK381" s="564"/>
      <c r="AL381" s="564"/>
      <c r="AM381" s="564"/>
      <c r="AN381" s="564"/>
      <c r="AO381" s="564"/>
    </row>
    <row r="382" spans="2:41" x14ac:dyDescent="0.15">
      <c r="B382" s="565">
        <v>-22</v>
      </c>
      <c r="C382" s="564">
        <v>0</v>
      </c>
      <c r="D382" s="564"/>
      <c r="E382" s="564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  <c r="Y382" s="564"/>
      <c r="Z382" s="564"/>
      <c r="AA382" s="564"/>
      <c r="AB382" s="564"/>
      <c r="AC382" s="564"/>
      <c r="AD382" s="564"/>
      <c r="AE382" s="564"/>
      <c r="AF382" s="564"/>
      <c r="AG382" s="564"/>
      <c r="AH382" s="564"/>
      <c r="AI382" s="564"/>
      <c r="AJ382" s="564"/>
      <c r="AK382" s="564"/>
      <c r="AL382" s="564"/>
      <c r="AM382" s="564"/>
      <c r="AN382" s="564"/>
      <c r="AO382" s="564"/>
    </row>
    <row r="383" spans="2:41" x14ac:dyDescent="0.15">
      <c r="B383" s="565">
        <v>-21</v>
      </c>
      <c r="C383" s="564">
        <v>0</v>
      </c>
      <c r="D383" s="564"/>
      <c r="E383" s="564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  <c r="Y383" s="564"/>
      <c r="Z383" s="564"/>
      <c r="AA383" s="564"/>
      <c r="AB383" s="564"/>
      <c r="AC383" s="564"/>
      <c r="AD383" s="564"/>
      <c r="AE383" s="564"/>
      <c r="AF383" s="564"/>
      <c r="AG383" s="564"/>
      <c r="AH383" s="564"/>
      <c r="AI383" s="564"/>
      <c r="AJ383" s="564"/>
      <c r="AK383" s="564"/>
      <c r="AL383" s="564"/>
      <c r="AM383" s="564"/>
      <c r="AN383" s="564"/>
      <c r="AO383" s="564"/>
    </row>
    <row r="384" spans="2:41" x14ac:dyDescent="0.15">
      <c r="B384" s="565">
        <v>-20</v>
      </c>
      <c r="C384" s="564">
        <v>0</v>
      </c>
      <c r="D384" s="564"/>
      <c r="E384" s="564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  <c r="Y384" s="564"/>
      <c r="Z384" s="564"/>
      <c r="AA384" s="564"/>
      <c r="AB384" s="564"/>
      <c r="AC384" s="564"/>
      <c r="AD384" s="564"/>
      <c r="AE384" s="564"/>
      <c r="AF384" s="564"/>
      <c r="AG384" s="564"/>
      <c r="AH384" s="564"/>
      <c r="AI384" s="564"/>
      <c r="AJ384" s="564"/>
      <c r="AK384" s="564"/>
      <c r="AL384" s="564"/>
      <c r="AM384" s="564"/>
      <c r="AN384" s="564"/>
      <c r="AO384" s="564"/>
    </row>
    <row r="385" spans="2:41" x14ac:dyDescent="0.15">
      <c r="B385" s="565">
        <v>-19</v>
      </c>
      <c r="C385" s="564">
        <v>0</v>
      </c>
      <c r="D385" s="564"/>
      <c r="E385" s="564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  <c r="Y385" s="564"/>
      <c r="Z385" s="564"/>
      <c r="AA385" s="564"/>
      <c r="AB385" s="564"/>
      <c r="AC385" s="564"/>
      <c r="AD385" s="564"/>
      <c r="AE385" s="564"/>
      <c r="AF385" s="564"/>
      <c r="AG385" s="564"/>
      <c r="AH385" s="564"/>
      <c r="AI385" s="564"/>
      <c r="AJ385" s="564"/>
      <c r="AK385" s="564"/>
      <c r="AL385" s="564"/>
      <c r="AM385" s="564"/>
      <c r="AN385" s="564"/>
      <c r="AO385" s="564"/>
    </row>
    <row r="386" spans="2:41" x14ac:dyDescent="0.15">
      <c r="B386" s="565">
        <v>-18</v>
      </c>
      <c r="C386" s="564">
        <v>3.4246575342465754E-4</v>
      </c>
      <c r="D386" s="564"/>
      <c r="E386" s="564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  <c r="Y386" s="564"/>
      <c r="Z386" s="564"/>
      <c r="AA386" s="564"/>
      <c r="AB386" s="564"/>
      <c r="AC386" s="564"/>
      <c r="AD386" s="564"/>
      <c r="AE386" s="564"/>
      <c r="AF386" s="564"/>
      <c r="AG386" s="564"/>
      <c r="AH386" s="564"/>
      <c r="AI386" s="564"/>
      <c r="AJ386" s="564"/>
      <c r="AK386" s="564"/>
      <c r="AL386" s="564"/>
      <c r="AM386" s="564"/>
      <c r="AN386" s="564"/>
      <c r="AO386" s="564"/>
    </row>
    <row r="387" spans="2:41" x14ac:dyDescent="0.15">
      <c r="B387" s="565">
        <v>-17</v>
      </c>
      <c r="C387" s="564">
        <v>1.0273972602739725E-3</v>
      </c>
      <c r="D387" s="564"/>
      <c r="E387" s="564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  <c r="Y387" s="564"/>
      <c r="Z387" s="564"/>
      <c r="AA387" s="564"/>
      <c r="AB387" s="564"/>
      <c r="AC387" s="564"/>
      <c r="AD387" s="564"/>
      <c r="AE387" s="564"/>
      <c r="AF387" s="564"/>
      <c r="AG387" s="564"/>
      <c r="AH387" s="564"/>
      <c r="AI387" s="564"/>
      <c r="AJ387" s="564"/>
      <c r="AK387" s="564"/>
      <c r="AL387" s="564"/>
      <c r="AM387" s="564"/>
      <c r="AN387" s="564"/>
      <c r="AO387" s="564"/>
    </row>
    <row r="388" spans="2:41" x14ac:dyDescent="0.15">
      <c r="B388" s="565">
        <v>-16</v>
      </c>
      <c r="C388" s="564">
        <v>2.054794520547945E-3</v>
      </c>
      <c r="D388" s="564"/>
      <c r="E388" s="564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  <c r="Y388" s="564"/>
      <c r="Z388" s="564"/>
      <c r="AA388" s="564"/>
      <c r="AB388" s="564"/>
      <c r="AC388" s="564"/>
      <c r="AD388" s="564"/>
      <c r="AE388" s="564"/>
      <c r="AF388" s="564"/>
      <c r="AG388" s="564"/>
      <c r="AH388" s="564"/>
      <c r="AI388" s="564"/>
      <c r="AJ388" s="564"/>
      <c r="AK388" s="564"/>
      <c r="AL388" s="564"/>
      <c r="AM388" s="564"/>
      <c r="AN388" s="564"/>
      <c r="AO388" s="564"/>
    </row>
    <row r="389" spans="2:41" x14ac:dyDescent="0.15">
      <c r="B389" s="565">
        <v>-15</v>
      </c>
      <c r="C389" s="564">
        <v>3.767123287671233E-3</v>
      </c>
      <c r="D389" s="564"/>
      <c r="E389" s="564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  <c r="Y389" s="564"/>
      <c r="Z389" s="564"/>
      <c r="AA389" s="564"/>
      <c r="AB389" s="564"/>
      <c r="AC389" s="564"/>
      <c r="AD389" s="564"/>
      <c r="AE389" s="564"/>
      <c r="AF389" s="564"/>
      <c r="AG389" s="564"/>
      <c r="AH389" s="564"/>
      <c r="AI389" s="564"/>
      <c r="AJ389" s="564"/>
      <c r="AK389" s="564"/>
      <c r="AL389" s="564"/>
      <c r="AM389" s="564"/>
      <c r="AN389" s="564"/>
      <c r="AO389" s="564"/>
    </row>
    <row r="390" spans="2:41" x14ac:dyDescent="0.15">
      <c r="B390" s="565">
        <v>-14</v>
      </c>
      <c r="C390" s="564">
        <v>4.7945205479452057E-3</v>
      </c>
      <c r="D390" s="564"/>
      <c r="E390" s="564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  <c r="Y390" s="564"/>
      <c r="Z390" s="564"/>
      <c r="AA390" s="564"/>
      <c r="AB390" s="564"/>
      <c r="AC390" s="564"/>
      <c r="AD390" s="564"/>
      <c r="AE390" s="564"/>
      <c r="AF390" s="564"/>
      <c r="AG390" s="564"/>
      <c r="AH390" s="564"/>
      <c r="AI390" s="564"/>
      <c r="AJ390" s="564"/>
      <c r="AK390" s="564"/>
      <c r="AL390" s="564"/>
      <c r="AM390" s="564"/>
      <c r="AN390" s="564"/>
      <c r="AO390" s="564"/>
    </row>
    <row r="391" spans="2:41" x14ac:dyDescent="0.15">
      <c r="B391" s="565">
        <v>-13</v>
      </c>
      <c r="C391" s="564">
        <v>6.735159817351598E-3</v>
      </c>
      <c r="D391" s="564"/>
      <c r="E391" s="564"/>
      <c r="F391" s="564"/>
      <c r="G391" s="564"/>
      <c r="H391" s="564"/>
      <c r="I391" s="564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564"/>
      <c r="W391" s="564"/>
      <c r="X391" s="564"/>
      <c r="Y391" s="564"/>
      <c r="Z391" s="564"/>
      <c r="AA391" s="564"/>
      <c r="AB391" s="564"/>
      <c r="AC391" s="564"/>
      <c r="AD391" s="564"/>
      <c r="AE391" s="564"/>
      <c r="AF391" s="564"/>
      <c r="AG391" s="564"/>
      <c r="AH391" s="564"/>
      <c r="AI391" s="564"/>
      <c r="AJ391" s="564"/>
      <c r="AK391" s="564"/>
      <c r="AL391" s="564"/>
      <c r="AM391" s="564"/>
      <c r="AN391" s="564"/>
      <c r="AO391" s="564"/>
    </row>
    <row r="392" spans="2:41" x14ac:dyDescent="0.15">
      <c r="B392" s="565">
        <v>-12</v>
      </c>
      <c r="C392" s="564">
        <v>9.7031963470319629E-3</v>
      </c>
      <c r="D392" s="564"/>
      <c r="E392" s="564"/>
      <c r="F392" s="564"/>
      <c r="G392" s="564"/>
      <c r="H392" s="564"/>
      <c r="I392" s="564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564"/>
      <c r="W392" s="564"/>
      <c r="X392" s="564"/>
      <c r="Y392" s="564"/>
      <c r="Z392" s="564"/>
      <c r="AA392" s="564"/>
      <c r="AB392" s="564"/>
      <c r="AC392" s="564"/>
      <c r="AD392" s="564"/>
      <c r="AE392" s="564"/>
      <c r="AF392" s="564"/>
      <c r="AG392" s="564"/>
      <c r="AH392" s="564"/>
      <c r="AI392" s="564"/>
      <c r="AJ392" s="564"/>
      <c r="AK392" s="564"/>
      <c r="AL392" s="564"/>
      <c r="AM392" s="564"/>
      <c r="AN392" s="564"/>
      <c r="AO392" s="564"/>
    </row>
    <row r="393" spans="2:41" x14ac:dyDescent="0.15">
      <c r="B393" s="565">
        <v>-11</v>
      </c>
      <c r="C393" s="564">
        <v>1.3356164383561644E-2</v>
      </c>
      <c r="D393" s="564"/>
      <c r="E393" s="564"/>
      <c r="F393" s="564"/>
      <c r="G393" s="564"/>
      <c r="H393" s="564"/>
      <c r="I393" s="564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564"/>
      <c r="W393" s="564"/>
      <c r="X393" s="564"/>
      <c r="Y393" s="564"/>
      <c r="Z393" s="564"/>
      <c r="AA393" s="564"/>
      <c r="AB393" s="564"/>
      <c r="AC393" s="564"/>
      <c r="AD393" s="564"/>
      <c r="AE393" s="564"/>
      <c r="AF393" s="564"/>
      <c r="AG393" s="564"/>
      <c r="AH393" s="564"/>
      <c r="AI393" s="564"/>
      <c r="AJ393" s="564"/>
      <c r="AK393" s="564"/>
      <c r="AL393" s="564"/>
      <c r="AM393" s="564"/>
      <c r="AN393" s="564"/>
      <c r="AO393" s="564"/>
    </row>
    <row r="394" spans="2:41" x14ac:dyDescent="0.15">
      <c r="B394" s="565">
        <v>-10</v>
      </c>
      <c r="C394" s="564">
        <v>1.8036529680365298E-2</v>
      </c>
      <c r="D394" s="564"/>
      <c r="E394" s="564"/>
      <c r="F394" s="564"/>
      <c r="G394" s="564"/>
      <c r="H394" s="564"/>
      <c r="I394" s="564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564"/>
      <c r="W394" s="564"/>
      <c r="X394" s="564"/>
      <c r="Y394" s="564"/>
      <c r="Z394" s="564"/>
      <c r="AA394" s="564"/>
      <c r="AB394" s="564"/>
      <c r="AC394" s="564"/>
      <c r="AD394" s="564"/>
      <c r="AE394" s="564"/>
      <c r="AF394" s="564"/>
      <c r="AG394" s="564"/>
      <c r="AH394" s="564"/>
      <c r="AI394" s="564"/>
      <c r="AJ394" s="564"/>
      <c r="AK394" s="564"/>
      <c r="AL394" s="564"/>
      <c r="AM394" s="564"/>
      <c r="AN394" s="564"/>
      <c r="AO394" s="564"/>
    </row>
    <row r="395" spans="2:41" x14ac:dyDescent="0.15">
      <c r="B395" s="565">
        <v>-9</v>
      </c>
      <c r="C395" s="564">
        <v>2.0547945205479451E-2</v>
      </c>
      <c r="D395" s="564"/>
      <c r="E395" s="564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  <c r="Y395" s="564"/>
      <c r="Z395" s="564"/>
      <c r="AA395" s="564"/>
      <c r="AB395" s="564"/>
      <c r="AC395" s="564"/>
      <c r="AD395" s="564"/>
      <c r="AE395" s="564"/>
      <c r="AF395" s="564"/>
      <c r="AG395" s="564"/>
      <c r="AH395" s="564"/>
      <c r="AI395" s="564"/>
      <c r="AJ395" s="564"/>
      <c r="AK395" s="564"/>
      <c r="AL395" s="564"/>
      <c r="AM395" s="564"/>
      <c r="AN395" s="564"/>
      <c r="AO395" s="564"/>
    </row>
    <row r="396" spans="2:41" x14ac:dyDescent="0.15">
      <c r="B396" s="565">
        <v>-8</v>
      </c>
      <c r="C396" s="564">
        <v>2.5228310502283104E-2</v>
      </c>
      <c r="D396" s="564"/>
      <c r="E396" s="564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564"/>
      <c r="W396" s="564"/>
      <c r="X396" s="564"/>
      <c r="Y396" s="564"/>
      <c r="Z396" s="564"/>
      <c r="AA396" s="564"/>
      <c r="AB396" s="564"/>
      <c r="AC396" s="564"/>
      <c r="AD396" s="564"/>
      <c r="AE396" s="564"/>
      <c r="AF396" s="564"/>
      <c r="AG396" s="564"/>
      <c r="AH396" s="564"/>
      <c r="AI396" s="564"/>
      <c r="AJ396" s="564"/>
      <c r="AK396" s="564"/>
      <c r="AL396" s="564"/>
      <c r="AM396" s="564"/>
      <c r="AN396" s="564"/>
      <c r="AO396" s="564"/>
    </row>
    <row r="397" spans="2:41" x14ac:dyDescent="0.15">
      <c r="B397" s="565">
        <v>-7</v>
      </c>
      <c r="C397" s="564">
        <v>3.4018264840182645E-2</v>
      </c>
      <c r="D397" s="564"/>
      <c r="E397" s="564"/>
      <c r="F397" s="564"/>
      <c r="G397" s="564"/>
      <c r="H397" s="564"/>
      <c r="I397" s="564"/>
      <c r="J397" s="564"/>
      <c r="K397" s="564"/>
      <c r="L397" s="564"/>
      <c r="M397" s="564"/>
      <c r="N397" s="564"/>
      <c r="O397" s="564"/>
      <c r="P397" s="564"/>
      <c r="Q397" s="564"/>
      <c r="R397" s="564"/>
      <c r="S397" s="564"/>
      <c r="T397" s="564"/>
      <c r="U397" s="564"/>
      <c r="V397" s="564"/>
      <c r="W397" s="564"/>
      <c r="X397" s="564"/>
      <c r="Y397" s="564"/>
      <c r="Z397" s="564"/>
      <c r="AA397" s="564"/>
      <c r="AB397" s="564"/>
      <c r="AC397" s="564"/>
      <c r="AD397" s="564"/>
      <c r="AE397" s="564"/>
      <c r="AF397" s="564"/>
      <c r="AG397" s="564"/>
      <c r="AH397" s="564"/>
      <c r="AI397" s="564"/>
      <c r="AJ397" s="564"/>
      <c r="AK397" s="564"/>
      <c r="AL397" s="564"/>
      <c r="AM397" s="564"/>
      <c r="AN397" s="564"/>
      <c r="AO397" s="564"/>
    </row>
    <row r="398" spans="2:41" x14ac:dyDescent="0.15">
      <c r="B398" s="565">
        <v>-6</v>
      </c>
      <c r="C398" s="564">
        <v>4.9086757990867577E-2</v>
      </c>
      <c r="D398" s="564"/>
      <c r="E398" s="564"/>
      <c r="F398" s="564"/>
      <c r="G398" s="564"/>
      <c r="H398" s="564"/>
      <c r="I398" s="564"/>
      <c r="J398" s="564"/>
      <c r="K398" s="564"/>
      <c r="L398" s="564"/>
      <c r="M398" s="564"/>
      <c r="N398" s="564"/>
      <c r="O398" s="564"/>
      <c r="P398" s="564"/>
      <c r="Q398" s="564"/>
      <c r="R398" s="564"/>
      <c r="S398" s="564"/>
      <c r="T398" s="564"/>
      <c r="U398" s="564"/>
      <c r="V398" s="564"/>
      <c r="W398" s="564"/>
      <c r="X398" s="564"/>
      <c r="Y398" s="564"/>
      <c r="Z398" s="564"/>
      <c r="AA398" s="564"/>
      <c r="AB398" s="564"/>
      <c r="AC398" s="564"/>
      <c r="AD398" s="564"/>
      <c r="AE398" s="564"/>
      <c r="AF398" s="564"/>
      <c r="AG398" s="564"/>
      <c r="AH398" s="564"/>
      <c r="AI398" s="564"/>
      <c r="AJ398" s="564"/>
      <c r="AK398" s="564"/>
      <c r="AL398" s="564"/>
      <c r="AM398" s="564"/>
      <c r="AN398" s="564"/>
      <c r="AO398" s="564"/>
    </row>
    <row r="399" spans="2:41" x14ac:dyDescent="0.15">
      <c r="B399" s="565">
        <v>-5</v>
      </c>
      <c r="C399" s="564">
        <v>6.9977168949771684E-2</v>
      </c>
      <c r="D399" s="564"/>
      <c r="E399" s="564"/>
      <c r="F399" s="564"/>
      <c r="G399" s="564"/>
      <c r="H399" s="564"/>
      <c r="I399" s="564"/>
      <c r="J399" s="564"/>
      <c r="K399" s="564"/>
      <c r="L399" s="564"/>
      <c r="M399" s="564"/>
      <c r="N399" s="564"/>
      <c r="O399" s="564"/>
      <c r="P399" s="564"/>
      <c r="Q399" s="564"/>
      <c r="R399" s="564"/>
      <c r="S399" s="564"/>
      <c r="T399" s="564"/>
      <c r="U399" s="564"/>
      <c r="V399" s="564"/>
      <c r="W399" s="564"/>
      <c r="X399" s="564"/>
      <c r="Y399" s="564"/>
      <c r="Z399" s="564"/>
      <c r="AA399" s="564"/>
      <c r="AB399" s="564"/>
      <c r="AC399" s="564"/>
      <c r="AD399" s="564"/>
      <c r="AE399" s="564"/>
      <c r="AF399" s="564"/>
      <c r="AG399" s="564"/>
      <c r="AH399" s="564"/>
      <c r="AI399" s="564"/>
      <c r="AJ399" s="564"/>
      <c r="AK399" s="564"/>
      <c r="AL399" s="564"/>
      <c r="AM399" s="564"/>
      <c r="AN399" s="564"/>
      <c r="AO399" s="564"/>
    </row>
    <row r="400" spans="2:41" x14ac:dyDescent="0.15">
      <c r="B400" s="565">
        <v>-4</v>
      </c>
      <c r="C400" s="564">
        <v>8.3447488584474885E-2</v>
      </c>
      <c r="D400" s="564"/>
      <c r="E400" s="564"/>
      <c r="F400" s="564"/>
      <c r="G400" s="564"/>
      <c r="H400" s="564"/>
      <c r="I400" s="564"/>
      <c r="J400" s="564"/>
      <c r="K400" s="564"/>
      <c r="L400" s="564"/>
      <c r="M400" s="564"/>
      <c r="N400" s="564"/>
      <c r="O400" s="564"/>
      <c r="P400" s="564"/>
      <c r="Q400" s="564"/>
      <c r="R400" s="564"/>
      <c r="S400" s="564"/>
      <c r="T400" s="564"/>
      <c r="U400" s="564"/>
      <c r="V400" s="564"/>
      <c r="W400" s="564"/>
      <c r="X400" s="564"/>
      <c r="Y400" s="564"/>
      <c r="Z400" s="564"/>
      <c r="AA400" s="564"/>
      <c r="AB400" s="564"/>
      <c r="AC400" s="564"/>
      <c r="AD400" s="564"/>
      <c r="AE400" s="564"/>
      <c r="AF400" s="564"/>
      <c r="AG400" s="564"/>
      <c r="AH400" s="564"/>
      <c r="AI400" s="564"/>
      <c r="AJ400" s="564"/>
      <c r="AK400" s="564"/>
      <c r="AL400" s="564"/>
      <c r="AM400" s="564"/>
      <c r="AN400" s="564"/>
      <c r="AO400" s="564"/>
    </row>
    <row r="401" spans="2:41" x14ac:dyDescent="0.15">
      <c r="B401" s="565">
        <v>-3</v>
      </c>
      <c r="C401" s="564">
        <v>0.11529680365296803</v>
      </c>
      <c r="D401" s="564"/>
      <c r="E401" s="564"/>
      <c r="F401" s="564"/>
      <c r="G401" s="564"/>
      <c r="H401" s="564"/>
      <c r="I401" s="564"/>
      <c r="J401" s="564"/>
      <c r="K401" s="564"/>
      <c r="L401" s="564"/>
      <c r="M401" s="564"/>
      <c r="N401" s="564"/>
      <c r="O401" s="564"/>
      <c r="P401" s="564"/>
      <c r="Q401" s="564"/>
      <c r="R401" s="564"/>
      <c r="S401" s="564"/>
      <c r="T401" s="564"/>
      <c r="U401" s="564"/>
      <c r="V401" s="564"/>
      <c r="W401" s="564"/>
      <c r="X401" s="564"/>
      <c r="Y401" s="564"/>
      <c r="Z401" s="564"/>
      <c r="AA401" s="564"/>
      <c r="AB401" s="564"/>
      <c r="AC401" s="564"/>
      <c r="AD401" s="564"/>
      <c r="AE401" s="564"/>
      <c r="AF401" s="564"/>
      <c r="AG401" s="564"/>
      <c r="AH401" s="564"/>
      <c r="AI401" s="564"/>
      <c r="AJ401" s="564"/>
      <c r="AK401" s="564"/>
      <c r="AL401" s="564"/>
      <c r="AM401" s="564"/>
      <c r="AN401" s="564"/>
      <c r="AO401" s="564"/>
    </row>
    <row r="402" spans="2:41" x14ac:dyDescent="0.15">
      <c r="B402" s="565">
        <v>-2</v>
      </c>
      <c r="C402" s="564">
        <v>0.15376712328767123</v>
      </c>
      <c r="D402" s="564"/>
      <c r="E402" s="564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  <c r="Y402" s="564"/>
      <c r="Z402" s="564"/>
      <c r="AA402" s="564"/>
      <c r="AB402" s="564"/>
      <c r="AC402" s="564"/>
      <c r="AD402" s="564"/>
      <c r="AE402" s="564"/>
      <c r="AF402" s="564"/>
      <c r="AG402" s="564"/>
      <c r="AH402" s="564"/>
      <c r="AI402" s="564"/>
      <c r="AJ402" s="564"/>
      <c r="AK402" s="564"/>
      <c r="AL402" s="564"/>
      <c r="AM402" s="564"/>
      <c r="AN402" s="564"/>
      <c r="AO402" s="564"/>
    </row>
    <row r="403" spans="2:41" x14ac:dyDescent="0.15">
      <c r="B403" s="565">
        <v>-1</v>
      </c>
      <c r="C403" s="564">
        <v>0.19121004566210045</v>
      </c>
      <c r="D403" s="564"/>
      <c r="E403" s="564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  <c r="Y403" s="564"/>
      <c r="Z403" s="564"/>
      <c r="AA403" s="564"/>
      <c r="AB403" s="564"/>
      <c r="AC403" s="564"/>
      <c r="AD403" s="564"/>
      <c r="AE403" s="564"/>
      <c r="AF403" s="564"/>
      <c r="AG403" s="564"/>
      <c r="AH403" s="564"/>
      <c r="AI403" s="564"/>
      <c r="AJ403" s="564"/>
      <c r="AK403" s="564"/>
      <c r="AL403" s="564"/>
      <c r="AM403" s="564"/>
      <c r="AN403" s="564"/>
      <c r="AO403" s="564"/>
    </row>
    <row r="404" spans="2:41" x14ac:dyDescent="0.15">
      <c r="B404" s="565">
        <v>0</v>
      </c>
      <c r="C404" s="564">
        <v>0.22979452054794522</v>
      </c>
      <c r="D404" s="564"/>
      <c r="E404" s="564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  <c r="Y404" s="564"/>
      <c r="Z404" s="564"/>
      <c r="AA404" s="564"/>
      <c r="AB404" s="564"/>
      <c r="AC404" s="564"/>
      <c r="AD404" s="564"/>
      <c r="AE404" s="564"/>
      <c r="AF404" s="564"/>
      <c r="AG404" s="564"/>
      <c r="AH404" s="564"/>
      <c r="AI404" s="564"/>
      <c r="AJ404" s="564"/>
      <c r="AK404" s="564"/>
      <c r="AL404" s="564"/>
      <c r="AM404" s="564"/>
      <c r="AN404" s="564"/>
      <c r="AO404" s="564"/>
    </row>
    <row r="405" spans="2:41" x14ac:dyDescent="0.15">
      <c r="B405" s="565">
        <v>1</v>
      </c>
      <c r="C405" s="564">
        <v>0.24520547945205479</v>
      </c>
      <c r="D405" s="564"/>
      <c r="E405" s="564"/>
      <c r="F405" s="564"/>
      <c r="G405" s="564"/>
      <c r="H405" s="564"/>
      <c r="I405" s="564"/>
      <c r="J405" s="564"/>
      <c r="K405" s="564"/>
      <c r="L405" s="564"/>
      <c r="M405" s="564"/>
      <c r="N405" s="564"/>
      <c r="O405" s="564"/>
      <c r="P405" s="564"/>
      <c r="Q405" s="564"/>
      <c r="R405" s="564"/>
      <c r="S405" s="564"/>
      <c r="T405" s="564"/>
      <c r="U405" s="564"/>
      <c r="V405" s="564"/>
      <c r="W405" s="564"/>
      <c r="X405" s="564"/>
      <c r="Y405" s="564"/>
      <c r="Z405" s="564"/>
      <c r="AA405" s="564"/>
      <c r="AB405" s="564"/>
      <c r="AC405" s="564"/>
      <c r="AD405" s="564"/>
      <c r="AE405" s="564"/>
      <c r="AF405" s="564"/>
      <c r="AG405" s="564"/>
      <c r="AH405" s="564"/>
      <c r="AI405" s="564"/>
      <c r="AJ405" s="564"/>
      <c r="AK405" s="564"/>
      <c r="AL405" s="564"/>
      <c r="AM405" s="564"/>
      <c r="AN405" s="564"/>
      <c r="AO405" s="564"/>
    </row>
    <row r="406" spans="2:41" x14ac:dyDescent="0.15">
      <c r="B406" s="565">
        <v>2</v>
      </c>
      <c r="C406" s="564">
        <v>0.27716894977168949</v>
      </c>
      <c r="D406" s="564"/>
      <c r="E406" s="564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  <c r="Y406" s="564"/>
      <c r="Z406" s="564"/>
      <c r="AA406" s="564"/>
      <c r="AB406" s="564"/>
      <c r="AC406" s="564"/>
      <c r="AD406" s="564"/>
      <c r="AE406" s="564"/>
      <c r="AF406" s="564"/>
      <c r="AG406" s="564"/>
      <c r="AH406" s="564"/>
      <c r="AI406" s="564"/>
      <c r="AJ406" s="564"/>
      <c r="AK406" s="564"/>
      <c r="AL406" s="564"/>
      <c r="AM406" s="564"/>
      <c r="AN406" s="564"/>
      <c r="AO406" s="564"/>
    </row>
    <row r="407" spans="2:41" x14ac:dyDescent="0.15">
      <c r="B407" s="565">
        <v>3</v>
      </c>
      <c r="C407" s="564">
        <v>0.31324200913242012</v>
      </c>
      <c r="D407" s="564"/>
      <c r="E407" s="564"/>
      <c r="F407" s="564"/>
      <c r="G407" s="564"/>
      <c r="H407" s="564"/>
      <c r="I407" s="564"/>
      <c r="J407" s="564"/>
      <c r="K407" s="564"/>
      <c r="L407" s="564"/>
      <c r="M407" s="564"/>
      <c r="N407" s="564"/>
      <c r="O407" s="564"/>
      <c r="P407" s="564"/>
      <c r="Q407" s="564"/>
      <c r="R407" s="564"/>
      <c r="S407" s="564"/>
      <c r="T407" s="564"/>
      <c r="U407" s="564"/>
      <c r="V407" s="564"/>
      <c r="W407" s="564"/>
      <c r="X407" s="564"/>
      <c r="Y407" s="564"/>
      <c r="Z407" s="564"/>
      <c r="AA407" s="564"/>
      <c r="AB407" s="564"/>
      <c r="AC407" s="564"/>
      <c r="AD407" s="564"/>
      <c r="AE407" s="564"/>
      <c r="AF407" s="564"/>
      <c r="AG407" s="564"/>
      <c r="AH407" s="564"/>
      <c r="AI407" s="564"/>
      <c r="AJ407" s="564"/>
      <c r="AK407" s="564"/>
      <c r="AL407" s="564"/>
      <c r="AM407" s="564"/>
      <c r="AN407" s="564"/>
      <c r="AO407" s="564"/>
    </row>
    <row r="408" spans="2:41" x14ac:dyDescent="0.15">
      <c r="B408" s="565">
        <v>4</v>
      </c>
      <c r="C408" s="564">
        <v>0.3476027397260274</v>
      </c>
      <c r="D408" s="564"/>
      <c r="E408" s="564"/>
      <c r="F408" s="564"/>
      <c r="G408" s="564"/>
      <c r="H408" s="564"/>
      <c r="I408" s="564"/>
      <c r="J408" s="564"/>
      <c r="K408" s="564"/>
      <c r="L408" s="564"/>
      <c r="M408" s="564"/>
      <c r="N408" s="564"/>
      <c r="O408" s="564"/>
      <c r="P408" s="564"/>
      <c r="Q408" s="564"/>
      <c r="R408" s="564"/>
      <c r="S408" s="564"/>
      <c r="T408" s="564"/>
      <c r="U408" s="564"/>
      <c r="V408" s="564"/>
      <c r="W408" s="564"/>
      <c r="X408" s="564"/>
      <c r="Y408" s="564"/>
      <c r="Z408" s="564"/>
      <c r="AA408" s="564"/>
      <c r="AB408" s="564"/>
      <c r="AC408" s="564"/>
      <c r="AD408" s="564"/>
      <c r="AE408" s="564"/>
      <c r="AF408" s="564"/>
      <c r="AG408" s="564"/>
      <c r="AH408" s="564"/>
      <c r="AI408" s="564"/>
      <c r="AJ408" s="564"/>
      <c r="AK408" s="564"/>
      <c r="AL408" s="564"/>
      <c r="AM408" s="564"/>
      <c r="AN408" s="564"/>
      <c r="AO408" s="564"/>
    </row>
    <row r="409" spans="2:41" x14ac:dyDescent="0.15">
      <c r="B409" s="565">
        <v>5</v>
      </c>
      <c r="C409" s="564">
        <v>0.38367579908675797</v>
      </c>
      <c r="D409" s="564"/>
      <c r="E409" s="564"/>
      <c r="F409" s="564"/>
      <c r="G409" s="564"/>
      <c r="H409" s="564"/>
      <c r="I409" s="564"/>
      <c r="J409" s="564"/>
      <c r="K409" s="564"/>
      <c r="L409" s="564"/>
      <c r="M409" s="564"/>
      <c r="N409" s="564"/>
      <c r="O409" s="564"/>
      <c r="P409" s="564"/>
      <c r="Q409" s="564"/>
      <c r="R409" s="564"/>
      <c r="S409" s="564"/>
      <c r="T409" s="564"/>
      <c r="U409" s="564"/>
      <c r="V409" s="564"/>
      <c r="W409" s="564"/>
      <c r="X409" s="564"/>
      <c r="Y409" s="564"/>
      <c r="Z409" s="564"/>
      <c r="AA409" s="564"/>
      <c r="AB409" s="564"/>
      <c r="AC409" s="564"/>
      <c r="AD409" s="564"/>
      <c r="AE409" s="564"/>
      <c r="AF409" s="564"/>
      <c r="AG409" s="564"/>
      <c r="AH409" s="564"/>
      <c r="AI409" s="564"/>
      <c r="AJ409" s="564"/>
      <c r="AK409" s="564"/>
      <c r="AL409" s="564"/>
      <c r="AM409" s="564"/>
      <c r="AN409" s="564"/>
      <c r="AO409" s="564"/>
    </row>
    <row r="410" spans="2:41" x14ac:dyDescent="0.15">
      <c r="B410" s="565">
        <v>6</v>
      </c>
      <c r="C410" s="564">
        <v>0.40742009132420093</v>
      </c>
      <c r="D410" s="564"/>
      <c r="E410" s="564"/>
      <c r="F410" s="564"/>
      <c r="G410" s="564"/>
      <c r="H410" s="564"/>
      <c r="I410" s="564"/>
      <c r="J410" s="564"/>
      <c r="K410" s="564"/>
      <c r="L410" s="564"/>
      <c r="M410" s="564"/>
      <c r="N410" s="564"/>
      <c r="O410" s="564"/>
      <c r="P410" s="564"/>
      <c r="Q410" s="564"/>
      <c r="R410" s="564"/>
      <c r="S410" s="564"/>
      <c r="T410" s="564"/>
      <c r="U410" s="564"/>
      <c r="V410" s="564"/>
      <c r="W410" s="564"/>
      <c r="X410" s="564"/>
      <c r="Y410" s="564"/>
      <c r="Z410" s="564"/>
      <c r="AA410" s="564"/>
      <c r="AB410" s="564"/>
      <c r="AC410" s="564"/>
      <c r="AD410" s="564"/>
      <c r="AE410" s="564"/>
      <c r="AF410" s="564"/>
      <c r="AG410" s="564"/>
      <c r="AH410" s="564"/>
      <c r="AI410" s="564"/>
      <c r="AJ410" s="564"/>
      <c r="AK410" s="564"/>
      <c r="AL410" s="564"/>
      <c r="AM410" s="564"/>
      <c r="AN410" s="564"/>
      <c r="AO410" s="564"/>
    </row>
    <row r="411" spans="2:41" x14ac:dyDescent="0.15">
      <c r="B411" s="565">
        <v>7</v>
      </c>
      <c r="C411" s="564">
        <v>0.4480593607305936</v>
      </c>
      <c r="D411" s="564"/>
      <c r="E411" s="564"/>
      <c r="F411" s="564"/>
      <c r="G411" s="564"/>
      <c r="H411" s="564"/>
      <c r="I411" s="564"/>
      <c r="J411" s="564"/>
      <c r="K411" s="564"/>
      <c r="L411" s="564"/>
      <c r="M411" s="564"/>
      <c r="N411" s="564"/>
      <c r="O411" s="564"/>
      <c r="P411" s="564"/>
      <c r="Q411" s="564"/>
      <c r="R411" s="564"/>
      <c r="S411" s="564"/>
      <c r="T411" s="564"/>
      <c r="U411" s="564"/>
      <c r="V411" s="564"/>
      <c r="W411" s="564"/>
      <c r="X411" s="564"/>
      <c r="Y411" s="564"/>
      <c r="Z411" s="564"/>
      <c r="AA411" s="564"/>
      <c r="AB411" s="564"/>
      <c r="AC411" s="564"/>
      <c r="AD411" s="564"/>
      <c r="AE411" s="564"/>
      <c r="AF411" s="564"/>
      <c r="AG411" s="564"/>
      <c r="AH411" s="564"/>
      <c r="AI411" s="564"/>
      <c r="AJ411" s="564"/>
      <c r="AK411" s="564"/>
      <c r="AL411" s="564"/>
      <c r="AM411" s="564"/>
      <c r="AN411" s="564"/>
      <c r="AO411" s="564"/>
    </row>
    <row r="412" spans="2:41" x14ac:dyDescent="0.15">
      <c r="B412" s="565">
        <v>8</v>
      </c>
      <c r="C412" s="564">
        <v>0.48413242009132418</v>
      </c>
      <c r="D412" s="564"/>
      <c r="E412" s="564"/>
      <c r="F412" s="564"/>
      <c r="G412" s="564"/>
      <c r="H412" s="564"/>
      <c r="I412" s="564"/>
      <c r="J412" s="564"/>
      <c r="K412" s="564"/>
      <c r="L412" s="564"/>
      <c r="M412" s="564"/>
      <c r="N412" s="564"/>
      <c r="O412" s="564"/>
      <c r="P412" s="564"/>
      <c r="Q412" s="564"/>
      <c r="R412" s="564"/>
      <c r="S412" s="564"/>
      <c r="T412" s="564"/>
      <c r="U412" s="564"/>
      <c r="V412" s="564"/>
      <c r="W412" s="564"/>
      <c r="X412" s="564"/>
      <c r="Y412" s="564"/>
      <c r="Z412" s="564"/>
      <c r="AA412" s="564"/>
      <c r="AB412" s="564"/>
      <c r="AC412" s="564"/>
      <c r="AD412" s="564"/>
      <c r="AE412" s="564"/>
      <c r="AF412" s="564"/>
      <c r="AG412" s="564"/>
      <c r="AH412" s="564"/>
      <c r="AI412" s="564"/>
      <c r="AJ412" s="564"/>
      <c r="AK412" s="564"/>
      <c r="AL412" s="564"/>
      <c r="AM412" s="564"/>
      <c r="AN412" s="564"/>
      <c r="AO412" s="564"/>
    </row>
    <row r="413" spans="2:41" x14ac:dyDescent="0.15">
      <c r="B413" s="565">
        <v>9</v>
      </c>
      <c r="C413" s="564">
        <v>0.52465753424657535</v>
      </c>
      <c r="D413" s="564"/>
      <c r="E413" s="564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564"/>
      <c r="T413" s="564"/>
      <c r="U413" s="564"/>
      <c r="V413" s="564"/>
      <c r="W413" s="564"/>
      <c r="X413" s="564"/>
      <c r="Y413" s="564"/>
      <c r="Z413" s="564"/>
      <c r="AA413" s="564"/>
      <c r="AB413" s="564"/>
      <c r="AC413" s="564"/>
      <c r="AD413" s="564"/>
      <c r="AE413" s="564"/>
      <c r="AF413" s="564"/>
      <c r="AG413" s="564"/>
      <c r="AH413" s="564"/>
      <c r="AI413" s="564"/>
      <c r="AJ413" s="564"/>
      <c r="AK413" s="564"/>
      <c r="AL413" s="564"/>
      <c r="AM413" s="564"/>
      <c r="AN413" s="564"/>
      <c r="AO413" s="564"/>
    </row>
    <row r="414" spans="2:41" x14ac:dyDescent="0.15">
      <c r="B414" s="565">
        <v>10</v>
      </c>
      <c r="C414" s="564">
        <v>0.5639269406392694</v>
      </c>
      <c r="D414" s="564"/>
      <c r="E414" s="564"/>
      <c r="F414" s="564"/>
      <c r="G414" s="564"/>
      <c r="H414" s="564"/>
      <c r="I414" s="564"/>
      <c r="J414" s="564"/>
      <c r="K414" s="564"/>
      <c r="L414" s="564"/>
      <c r="M414" s="564"/>
      <c r="N414" s="564"/>
      <c r="O414" s="564"/>
      <c r="P414" s="564"/>
      <c r="Q414" s="564"/>
      <c r="R414" s="564"/>
      <c r="S414" s="564"/>
      <c r="T414" s="564"/>
      <c r="U414" s="564"/>
      <c r="V414" s="564"/>
      <c r="W414" s="564"/>
      <c r="X414" s="564"/>
      <c r="Y414" s="564"/>
      <c r="Z414" s="564"/>
      <c r="AA414" s="564"/>
      <c r="AB414" s="564"/>
      <c r="AC414" s="564"/>
      <c r="AD414" s="564"/>
      <c r="AE414" s="564"/>
      <c r="AF414" s="564"/>
      <c r="AG414" s="564"/>
      <c r="AH414" s="564"/>
      <c r="AI414" s="564"/>
      <c r="AJ414" s="564"/>
      <c r="AK414" s="564"/>
      <c r="AL414" s="564"/>
      <c r="AM414" s="564"/>
      <c r="AN414" s="564"/>
      <c r="AO414" s="564"/>
    </row>
    <row r="415" spans="2:41" x14ac:dyDescent="0.15">
      <c r="B415" s="565">
        <v>11</v>
      </c>
      <c r="C415" s="564">
        <v>0.58424657534246571</v>
      </c>
      <c r="D415" s="564"/>
      <c r="E415" s="564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  <c r="T415" s="564"/>
      <c r="U415" s="564"/>
      <c r="V415" s="564"/>
      <c r="W415" s="564"/>
      <c r="X415" s="564"/>
      <c r="Y415" s="564"/>
      <c r="Z415" s="564"/>
      <c r="AA415" s="564"/>
      <c r="AB415" s="564"/>
      <c r="AC415" s="564"/>
      <c r="AD415" s="564"/>
      <c r="AE415" s="564"/>
      <c r="AF415" s="564"/>
      <c r="AG415" s="564"/>
      <c r="AH415" s="564"/>
      <c r="AI415" s="564"/>
      <c r="AJ415" s="564"/>
      <c r="AK415" s="564"/>
      <c r="AL415" s="564"/>
      <c r="AM415" s="564"/>
      <c r="AN415" s="564"/>
      <c r="AO415" s="564"/>
    </row>
    <row r="416" spans="2:41" x14ac:dyDescent="0.15">
      <c r="B416" s="565">
        <v>12</v>
      </c>
      <c r="C416" s="564">
        <v>0.62785388127853881</v>
      </c>
      <c r="D416" s="564"/>
      <c r="E416" s="564"/>
      <c r="F416" s="564"/>
      <c r="G416" s="564"/>
      <c r="H416" s="564"/>
      <c r="I416" s="564"/>
      <c r="J416" s="564"/>
      <c r="K416" s="564"/>
      <c r="L416" s="564"/>
      <c r="M416" s="564"/>
      <c r="N416" s="564"/>
      <c r="O416" s="564"/>
      <c r="P416" s="564"/>
      <c r="Q416" s="564"/>
      <c r="R416" s="564"/>
      <c r="S416" s="564"/>
      <c r="T416" s="564"/>
      <c r="U416" s="564"/>
      <c r="V416" s="564"/>
      <c r="W416" s="564"/>
      <c r="X416" s="564"/>
      <c r="Y416" s="564"/>
      <c r="Z416" s="564"/>
      <c r="AA416" s="564"/>
      <c r="AB416" s="564"/>
      <c r="AC416" s="564"/>
      <c r="AD416" s="564"/>
      <c r="AE416" s="564"/>
      <c r="AF416" s="564"/>
      <c r="AG416" s="564"/>
      <c r="AH416" s="564"/>
      <c r="AI416" s="564"/>
      <c r="AJ416" s="564"/>
      <c r="AK416" s="564"/>
      <c r="AL416" s="564"/>
      <c r="AM416" s="564"/>
      <c r="AN416" s="564"/>
      <c r="AO416" s="564"/>
    </row>
    <row r="417" spans="2:41" x14ac:dyDescent="0.15">
      <c r="B417" s="565">
        <v>13</v>
      </c>
      <c r="C417" s="564">
        <v>0.66997716894977166</v>
      </c>
      <c r="D417" s="564"/>
      <c r="E417" s="564"/>
      <c r="F417" s="564"/>
      <c r="G417" s="564"/>
      <c r="H417" s="564"/>
      <c r="I417" s="564"/>
      <c r="J417" s="564"/>
      <c r="K417" s="564"/>
      <c r="L417" s="564"/>
      <c r="M417" s="564"/>
      <c r="N417" s="564"/>
      <c r="O417" s="564"/>
      <c r="P417" s="564"/>
      <c r="Q417" s="564"/>
      <c r="R417" s="564"/>
      <c r="S417" s="564"/>
      <c r="T417" s="564"/>
      <c r="U417" s="564"/>
      <c r="V417" s="564"/>
      <c r="W417" s="564"/>
      <c r="X417" s="564"/>
      <c r="Y417" s="564"/>
      <c r="Z417" s="564"/>
      <c r="AA417" s="564"/>
      <c r="AB417" s="564"/>
      <c r="AC417" s="564"/>
      <c r="AD417" s="564"/>
      <c r="AE417" s="564"/>
      <c r="AF417" s="564"/>
      <c r="AG417" s="564"/>
      <c r="AH417" s="564"/>
      <c r="AI417" s="564"/>
      <c r="AJ417" s="564"/>
      <c r="AK417" s="564"/>
      <c r="AL417" s="564"/>
      <c r="AM417" s="564"/>
      <c r="AN417" s="564"/>
      <c r="AO417" s="564"/>
    </row>
    <row r="418" spans="2:41" x14ac:dyDescent="0.15">
      <c r="B418" s="565">
        <v>14</v>
      </c>
      <c r="C418" s="564">
        <v>0.7179223744292238</v>
      </c>
      <c r="D418" s="564"/>
      <c r="E418" s="564"/>
      <c r="F418" s="564"/>
      <c r="G418" s="564"/>
      <c r="H418" s="564"/>
      <c r="I418" s="564"/>
      <c r="J418" s="564"/>
      <c r="K418" s="564"/>
      <c r="L418" s="564"/>
      <c r="M418" s="564"/>
      <c r="N418" s="564"/>
      <c r="O418" s="564"/>
      <c r="P418" s="564"/>
      <c r="Q418" s="564"/>
      <c r="R418" s="564"/>
      <c r="S418" s="564"/>
      <c r="T418" s="564"/>
      <c r="U418" s="564"/>
      <c r="V418" s="564"/>
      <c r="W418" s="564"/>
      <c r="X418" s="564"/>
      <c r="Y418" s="564"/>
      <c r="Z418" s="564"/>
      <c r="AA418" s="564"/>
      <c r="AB418" s="564"/>
      <c r="AC418" s="564"/>
      <c r="AD418" s="564"/>
      <c r="AE418" s="564"/>
      <c r="AF418" s="564"/>
      <c r="AG418" s="564"/>
      <c r="AH418" s="564"/>
      <c r="AI418" s="564"/>
      <c r="AJ418" s="564"/>
      <c r="AK418" s="564"/>
      <c r="AL418" s="564"/>
      <c r="AM418" s="564"/>
      <c r="AN418" s="564"/>
      <c r="AO418" s="564"/>
    </row>
    <row r="419" spans="2:41" x14ac:dyDescent="0.15">
      <c r="B419" s="565">
        <v>15</v>
      </c>
      <c r="C419" s="564">
        <v>0.76210045662100456</v>
      </c>
      <c r="D419" s="564"/>
      <c r="E419" s="564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  <c r="Y419" s="564"/>
      <c r="Z419" s="564"/>
      <c r="AA419" s="564"/>
      <c r="AB419" s="564"/>
      <c r="AC419" s="564"/>
      <c r="AD419" s="564"/>
      <c r="AE419" s="564"/>
      <c r="AF419" s="564"/>
      <c r="AG419" s="564"/>
      <c r="AH419" s="564"/>
      <c r="AI419" s="564"/>
      <c r="AJ419" s="564"/>
      <c r="AK419" s="564"/>
      <c r="AL419" s="564"/>
      <c r="AM419" s="564"/>
      <c r="AN419" s="564"/>
      <c r="AO419" s="564"/>
    </row>
    <row r="420" spans="2:41" x14ac:dyDescent="0.15">
      <c r="B420" s="565">
        <v>16</v>
      </c>
      <c r="C420" s="564">
        <v>0.78047945205479452</v>
      </c>
      <c r="D420" s="564"/>
      <c r="E420" s="564"/>
      <c r="F420" s="564"/>
      <c r="G420" s="564"/>
      <c r="H420" s="564"/>
      <c r="I420" s="564"/>
      <c r="J420" s="564"/>
      <c r="K420" s="564"/>
      <c r="L420" s="564"/>
      <c r="M420" s="564"/>
      <c r="N420" s="564"/>
      <c r="O420" s="564"/>
      <c r="P420" s="564"/>
      <c r="Q420" s="564"/>
      <c r="R420" s="564"/>
      <c r="S420" s="564"/>
      <c r="T420" s="564"/>
      <c r="U420" s="564"/>
      <c r="V420" s="564"/>
      <c r="W420" s="564"/>
      <c r="X420" s="564"/>
      <c r="Y420" s="564"/>
      <c r="Z420" s="564"/>
      <c r="AA420" s="564"/>
      <c r="AB420" s="564"/>
      <c r="AC420" s="564"/>
      <c r="AD420" s="564"/>
      <c r="AE420" s="564"/>
      <c r="AF420" s="564"/>
      <c r="AG420" s="564"/>
      <c r="AH420" s="564"/>
      <c r="AI420" s="564"/>
      <c r="AJ420" s="564"/>
      <c r="AK420" s="564"/>
      <c r="AL420" s="564"/>
      <c r="AM420" s="564"/>
      <c r="AN420" s="564"/>
      <c r="AO420" s="564"/>
    </row>
    <row r="421" spans="2:41" x14ac:dyDescent="0.15">
      <c r="B421" s="565">
        <v>17</v>
      </c>
      <c r="C421" s="564">
        <v>0.82351598173515983</v>
      </c>
      <c r="D421" s="564"/>
      <c r="E421" s="564"/>
      <c r="F421" s="564"/>
      <c r="G421" s="564"/>
      <c r="H421" s="564"/>
      <c r="I421" s="564"/>
      <c r="J421" s="564"/>
      <c r="K421" s="564"/>
      <c r="L421" s="564"/>
      <c r="M421" s="564"/>
      <c r="N421" s="564"/>
      <c r="O421" s="564"/>
      <c r="P421" s="564"/>
      <c r="Q421" s="564"/>
      <c r="R421" s="564"/>
      <c r="S421" s="564"/>
      <c r="T421" s="564"/>
      <c r="U421" s="564"/>
      <c r="V421" s="564"/>
      <c r="W421" s="564"/>
      <c r="X421" s="564"/>
      <c r="Y421" s="564"/>
      <c r="Z421" s="564"/>
      <c r="AA421" s="564"/>
      <c r="AB421" s="564"/>
      <c r="AC421" s="564"/>
      <c r="AD421" s="564"/>
      <c r="AE421" s="564"/>
      <c r="AF421" s="564"/>
      <c r="AG421" s="564"/>
      <c r="AH421" s="564"/>
      <c r="AI421" s="564"/>
      <c r="AJ421" s="564"/>
      <c r="AK421" s="564"/>
      <c r="AL421" s="564"/>
      <c r="AM421" s="564"/>
      <c r="AN421" s="564"/>
      <c r="AO421" s="564"/>
    </row>
    <row r="422" spans="2:41" x14ac:dyDescent="0.15">
      <c r="B422" s="565">
        <v>18</v>
      </c>
      <c r="C422" s="564">
        <v>0.86461187214611868</v>
      </c>
      <c r="D422" s="564"/>
      <c r="E422" s="564"/>
      <c r="F422" s="564"/>
      <c r="G422" s="564"/>
      <c r="H422" s="564"/>
      <c r="I422" s="564"/>
      <c r="J422" s="564"/>
      <c r="K422" s="564"/>
      <c r="L422" s="564"/>
      <c r="M422" s="564"/>
      <c r="N422" s="564"/>
      <c r="O422" s="564"/>
      <c r="P422" s="564"/>
      <c r="Q422" s="564"/>
      <c r="R422" s="564"/>
      <c r="S422" s="564"/>
      <c r="T422" s="564"/>
      <c r="U422" s="564"/>
      <c r="V422" s="564"/>
      <c r="W422" s="564"/>
      <c r="X422" s="564"/>
      <c r="Y422" s="564"/>
      <c r="Z422" s="564"/>
      <c r="AA422" s="564"/>
      <c r="AB422" s="564"/>
      <c r="AC422" s="564"/>
      <c r="AD422" s="564"/>
      <c r="AE422" s="564"/>
      <c r="AF422" s="564"/>
      <c r="AG422" s="564"/>
      <c r="AH422" s="564"/>
      <c r="AI422" s="564"/>
      <c r="AJ422" s="564"/>
      <c r="AK422" s="564"/>
      <c r="AL422" s="564"/>
      <c r="AM422" s="564"/>
      <c r="AN422" s="564"/>
      <c r="AO422" s="564"/>
    </row>
    <row r="423" spans="2:41" x14ac:dyDescent="0.15">
      <c r="B423" s="565">
        <v>19</v>
      </c>
      <c r="C423" s="564">
        <v>0.89452054794520552</v>
      </c>
      <c r="D423" s="564"/>
      <c r="E423" s="564"/>
      <c r="F423" s="564"/>
      <c r="G423" s="564"/>
      <c r="H423" s="564"/>
      <c r="I423" s="564"/>
      <c r="J423" s="564"/>
      <c r="K423" s="564"/>
      <c r="L423" s="564"/>
      <c r="M423" s="564"/>
      <c r="N423" s="564"/>
      <c r="O423" s="564"/>
      <c r="P423" s="564"/>
      <c r="Q423" s="564"/>
      <c r="R423" s="564"/>
      <c r="S423" s="564"/>
      <c r="T423" s="564"/>
      <c r="U423" s="564"/>
      <c r="V423" s="564"/>
      <c r="W423" s="564"/>
      <c r="X423" s="564"/>
      <c r="Y423" s="564"/>
      <c r="Z423" s="564"/>
      <c r="AA423" s="564"/>
      <c r="AB423" s="564"/>
      <c r="AC423" s="564"/>
      <c r="AD423" s="564"/>
      <c r="AE423" s="564"/>
      <c r="AF423" s="564"/>
      <c r="AG423" s="564"/>
      <c r="AH423" s="564"/>
      <c r="AI423" s="564"/>
      <c r="AJ423" s="564"/>
      <c r="AK423" s="564"/>
      <c r="AL423" s="564"/>
      <c r="AM423" s="564"/>
      <c r="AN423" s="564"/>
      <c r="AO423" s="564"/>
    </row>
    <row r="424" spans="2:41" x14ac:dyDescent="0.15">
      <c r="B424" s="565">
        <v>20</v>
      </c>
      <c r="C424" s="564">
        <v>0.92123287671232879</v>
      </c>
      <c r="D424" s="564"/>
      <c r="E424" s="564"/>
      <c r="F424" s="564"/>
      <c r="G424" s="564"/>
      <c r="H424" s="564"/>
      <c r="I424" s="564"/>
      <c r="J424" s="564"/>
      <c r="K424" s="564"/>
      <c r="L424" s="564"/>
      <c r="M424" s="564"/>
      <c r="N424" s="564"/>
      <c r="O424" s="564"/>
      <c r="P424" s="564"/>
      <c r="Q424" s="564"/>
      <c r="R424" s="564"/>
      <c r="S424" s="564"/>
      <c r="T424" s="564"/>
      <c r="U424" s="564"/>
      <c r="V424" s="564"/>
      <c r="W424" s="564"/>
      <c r="X424" s="564"/>
      <c r="Y424" s="564"/>
      <c r="Z424" s="564"/>
      <c r="AA424" s="564"/>
      <c r="AB424" s="564"/>
      <c r="AC424" s="564"/>
      <c r="AD424" s="564"/>
      <c r="AE424" s="564"/>
      <c r="AF424" s="564"/>
      <c r="AG424" s="564"/>
      <c r="AH424" s="564"/>
      <c r="AI424" s="564"/>
      <c r="AJ424" s="564"/>
      <c r="AK424" s="564"/>
      <c r="AL424" s="564"/>
      <c r="AM424" s="564"/>
      <c r="AN424" s="564"/>
      <c r="AO424" s="564"/>
    </row>
    <row r="425" spans="2:41" x14ac:dyDescent="0.15">
      <c r="B425" s="565">
        <v>21</v>
      </c>
      <c r="C425" s="564">
        <v>0.93287671232876712</v>
      </c>
      <c r="D425" s="564"/>
      <c r="E425" s="564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564"/>
      <c r="T425" s="564"/>
      <c r="U425" s="564"/>
      <c r="V425" s="564"/>
      <c r="W425" s="564"/>
      <c r="X425" s="564"/>
      <c r="Y425" s="564"/>
      <c r="Z425" s="564"/>
      <c r="AA425" s="564"/>
      <c r="AB425" s="564"/>
      <c r="AC425" s="564"/>
      <c r="AD425" s="564"/>
      <c r="AE425" s="564"/>
      <c r="AF425" s="564"/>
      <c r="AG425" s="564"/>
      <c r="AH425" s="564"/>
      <c r="AI425" s="564"/>
      <c r="AJ425" s="564"/>
      <c r="AK425" s="564"/>
      <c r="AL425" s="564"/>
      <c r="AM425" s="564"/>
      <c r="AN425" s="564"/>
      <c r="AO425" s="564"/>
    </row>
    <row r="426" spans="2:41" x14ac:dyDescent="0.15">
      <c r="B426" s="565">
        <v>22</v>
      </c>
      <c r="C426" s="564">
        <v>0.95091324200913241</v>
      </c>
      <c r="D426" s="564"/>
      <c r="E426" s="564"/>
      <c r="F426" s="564"/>
      <c r="G426" s="564"/>
      <c r="H426" s="564"/>
      <c r="I426" s="564"/>
      <c r="J426" s="564"/>
      <c r="K426" s="564"/>
      <c r="L426" s="564"/>
      <c r="M426" s="564"/>
      <c r="N426" s="564"/>
      <c r="O426" s="564"/>
      <c r="P426" s="564"/>
      <c r="Q426" s="564"/>
      <c r="R426" s="564"/>
      <c r="S426" s="564"/>
      <c r="T426" s="564"/>
      <c r="U426" s="564"/>
      <c r="V426" s="564"/>
      <c r="W426" s="564"/>
      <c r="X426" s="564"/>
      <c r="Y426" s="564"/>
      <c r="Z426" s="564"/>
      <c r="AA426" s="564"/>
      <c r="AB426" s="564"/>
      <c r="AC426" s="564"/>
      <c r="AD426" s="564"/>
      <c r="AE426" s="564"/>
      <c r="AF426" s="564"/>
      <c r="AG426" s="564"/>
      <c r="AH426" s="564"/>
      <c r="AI426" s="564"/>
      <c r="AJ426" s="564"/>
      <c r="AK426" s="564"/>
      <c r="AL426" s="564"/>
      <c r="AM426" s="564"/>
      <c r="AN426" s="564"/>
      <c r="AO426" s="564"/>
    </row>
    <row r="427" spans="2:41" x14ac:dyDescent="0.15">
      <c r="B427" s="565">
        <v>23</v>
      </c>
      <c r="C427" s="564">
        <v>0.9671232876712329</v>
      </c>
      <c r="D427" s="564"/>
      <c r="E427" s="564"/>
      <c r="F427" s="564"/>
      <c r="G427" s="564"/>
      <c r="H427" s="564"/>
      <c r="I427" s="564"/>
      <c r="J427" s="564"/>
      <c r="K427" s="564"/>
      <c r="L427" s="564"/>
      <c r="M427" s="564"/>
      <c r="N427" s="564"/>
      <c r="O427" s="564"/>
      <c r="P427" s="564"/>
      <c r="Q427" s="564"/>
      <c r="R427" s="564"/>
      <c r="S427" s="564"/>
      <c r="T427" s="564"/>
      <c r="U427" s="564"/>
      <c r="V427" s="564"/>
      <c r="W427" s="564"/>
      <c r="X427" s="564"/>
      <c r="Y427" s="564"/>
      <c r="Z427" s="564"/>
      <c r="AA427" s="564"/>
      <c r="AB427" s="564"/>
      <c r="AC427" s="564"/>
      <c r="AD427" s="564"/>
      <c r="AE427" s="564"/>
      <c r="AF427" s="564"/>
      <c r="AG427" s="564"/>
      <c r="AH427" s="564"/>
      <c r="AI427" s="564"/>
      <c r="AJ427" s="564"/>
      <c r="AK427" s="564"/>
      <c r="AL427" s="564"/>
      <c r="AM427" s="564"/>
      <c r="AN427" s="564"/>
      <c r="AO427" s="564"/>
    </row>
    <row r="428" spans="2:41" x14ac:dyDescent="0.15">
      <c r="B428" s="565">
        <v>24</v>
      </c>
      <c r="C428" s="564">
        <v>0.97819634703196345</v>
      </c>
      <c r="D428" s="564"/>
      <c r="E428" s="564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  <c r="Y428" s="564"/>
      <c r="Z428" s="564"/>
      <c r="AA428" s="564"/>
      <c r="AB428" s="564"/>
      <c r="AC428" s="564"/>
      <c r="AD428" s="564"/>
      <c r="AE428" s="564"/>
      <c r="AF428" s="564"/>
      <c r="AG428" s="564"/>
      <c r="AH428" s="564"/>
      <c r="AI428" s="564"/>
      <c r="AJ428" s="564"/>
      <c r="AK428" s="564"/>
      <c r="AL428" s="564"/>
      <c r="AM428" s="564"/>
      <c r="AN428" s="564"/>
      <c r="AO428" s="564"/>
    </row>
    <row r="429" spans="2:41" x14ac:dyDescent="0.15">
      <c r="B429" s="565">
        <v>25</v>
      </c>
      <c r="C429" s="564">
        <v>0.98732876712328765</v>
      </c>
      <c r="D429" s="564"/>
      <c r="E429" s="564"/>
      <c r="F429" s="564"/>
      <c r="G429" s="564"/>
      <c r="H429" s="564"/>
      <c r="I429" s="564"/>
      <c r="J429" s="564"/>
      <c r="K429" s="564"/>
      <c r="L429" s="564"/>
      <c r="M429" s="564"/>
      <c r="N429" s="564"/>
      <c r="O429" s="564"/>
      <c r="P429" s="564"/>
      <c r="Q429" s="564"/>
      <c r="R429" s="564"/>
      <c r="S429" s="564"/>
      <c r="T429" s="564"/>
      <c r="U429" s="564"/>
      <c r="V429" s="564"/>
      <c r="W429" s="564"/>
      <c r="X429" s="564"/>
      <c r="Y429" s="564"/>
      <c r="Z429" s="564"/>
      <c r="AA429" s="564"/>
      <c r="AB429" s="564"/>
      <c r="AC429" s="564"/>
      <c r="AD429" s="564"/>
      <c r="AE429" s="564"/>
      <c r="AF429" s="564"/>
      <c r="AG429" s="564"/>
      <c r="AH429" s="564"/>
      <c r="AI429" s="564"/>
      <c r="AJ429" s="564"/>
      <c r="AK429" s="564"/>
      <c r="AL429" s="564"/>
      <c r="AM429" s="564"/>
      <c r="AN429" s="564"/>
      <c r="AO429" s="564"/>
    </row>
    <row r="430" spans="2:41" x14ac:dyDescent="0.15">
      <c r="B430" s="565">
        <v>26</v>
      </c>
      <c r="C430" s="564">
        <v>0.99018264840182646</v>
      </c>
      <c r="D430" s="564"/>
      <c r="E430" s="564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  <c r="Y430" s="564"/>
      <c r="Z430" s="564"/>
      <c r="AA430" s="564"/>
      <c r="AB430" s="564"/>
      <c r="AC430" s="564"/>
      <c r="AD430" s="564"/>
      <c r="AE430" s="564"/>
      <c r="AF430" s="564"/>
      <c r="AG430" s="564"/>
      <c r="AH430" s="564"/>
      <c r="AI430" s="564"/>
      <c r="AJ430" s="564"/>
      <c r="AK430" s="564"/>
      <c r="AL430" s="564"/>
      <c r="AM430" s="564"/>
      <c r="AN430" s="564"/>
      <c r="AO430" s="564"/>
    </row>
    <row r="431" spans="2:41" x14ac:dyDescent="0.15">
      <c r="B431" s="565">
        <v>27</v>
      </c>
      <c r="C431" s="564">
        <v>0.99543378995433784</v>
      </c>
      <c r="D431" s="564"/>
      <c r="E431" s="564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  <c r="T431" s="564"/>
      <c r="U431" s="564"/>
      <c r="V431" s="564"/>
      <c r="W431" s="564"/>
      <c r="X431" s="564"/>
      <c r="Y431" s="564"/>
      <c r="Z431" s="564"/>
      <c r="AA431" s="564"/>
      <c r="AB431" s="564"/>
      <c r="AC431" s="564"/>
      <c r="AD431" s="564"/>
      <c r="AE431" s="564"/>
      <c r="AF431" s="564"/>
      <c r="AG431" s="564"/>
      <c r="AH431" s="564"/>
      <c r="AI431" s="564"/>
      <c r="AJ431" s="564"/>
      <c r="AK431" s="564"/>
      <c r="AL431" s="564"/>
      <c r="AM431" s="564"/>
      <c r="AN431" s="564"/>
      <c r="AO431" s="564"/>
    </row>
    <row r="432" spans="2:41" x14ac:dyDescent="0.15">
      <c r="B432" s="565">
        <v>28</v>
      </c>
      <c r="C432" s="564">
        <v>0.99760273972602742</v>
      </c>
      <c r="D432" s="564"/>
      <c r="E432" s="564"/>
      <c r="F432" s="564"/>
      <c r="G432" s="564"/>
      <c r="H432" s="564"/>
      <c r="I432" s="564"/>
      <c r="J432" s="564"/>
      <c r="K432" s="564"/>
      <c r="L432" s="564"/>
      <c r="M432" s="564"/>
      <c r="N432" s="564"/>
      <c r="O432" s="564"/>
      <c r="P432" s="564"/>
      <c r="Q432" s="564"/>
      <c r="R432" s="564"/>
      <c r="S432" s="564"/>
      <c r="T432" s="564"/>
      <c r="U432" s="564"/>
      <c r="V432" s="564"/>
      <c r="W432" s="564"/>
      <c r="X432" s="564"/>
      <c r="Y432" s="564"/>
      <c r="Z432" s="564"/>
      <c r="AA432" s="564"/>
      <c r="AB432" s="564"/>
      <c r="AC432" s="564"/>
      <c r="AD432" s="564"/>
      <c r="AE432" s="564"/>
      <c r="AF432" s="564"/>
      <c r="AG432" s="564"/>
      <c r="AH432" s="564"/>
      <c r="AI432" s="564"/>
      <c r="AJ432" s="564"/>
      <c r="AK432" s="564"/>
      <c r="AL432" s="564"/>
      <c r="AM432" s="564"/>
      <c r="AN432" s="564"/>
      <c r="AO432" s="564"/>
    </row>
    <row r="433" spans="2:41" x14ac:dyDescent="0.15">
      <c r="B433" s="565">
        <v>29</v>
      </c>
      <c r="C433" s="564">
        <v>0.9992009132420091</v>
      </c>
      <c r="D433" s="564"/>
      <c r="E433" s="564"/>
      <c r="F433" s="564"/>
      <c r="G433" s="564"/>
      <c r="H433" s="564"/>
      <c r="I433" s="564"/>
      <c r="J433" s="564"/>
      <c r="K433" s="564"/>
      <c r="L433" s="564"/>
      <c r="M433" s="564"/>
      <c r="N433" s="564"/>
      <c r="O433" s="564"/>
      <c r="P433" s="564"/>
      <c r="Q433" s="564"/>
      <c r="R433" s="564"/>
      <c r="S433" s="564"/>
      <c r="T433" s="564"/>
      <c r="U433" s="564"/>
      <c r="V433" s="564"/>
      <c r="W433" s="564"/>
      <c r="X433" s="564"/>
      <c r="Y433" s="564"/>
      <c r="Z433" s="564"/>
      <c r="AA433" s="564"/>
      <c r="AB433" s="564"/>
      <c r="AC433" s="564"/>
      <c r="AD433" s="564"/>
      <c r="AE433" s="564"/>
      <c r="AF433" s="564"/>
      <c r="AG433" s="564"/>
      <c r="AH433" s="564"/>
      <c r="AI433" s="564"/>
      <c r="AJ433" s="564"/>
      <c r="AK433" s="564"/>
      <c r="AL433" s="564"/>
      <c r="AM433" s="564"/>
      <c r="AN433" s="564"/>
      <c r="AO433" s="564"/>
    </row>
    <row r="434" spans="2:41" x14ac:dyDescent="0.15">
      <c r="B434" s="565">
        <v>30</v>
      </c>
      <c r="C434" s="564">
        <v>1</v>
      </c>
      <c r="D434" s="564"/>
      <c r="E434" s="564"/>
      <c r="F434" s="564"/>
      <c r="G434" s="564"/>
      <c r="H434" s="564"/>
      <c r="I434" s="564"/>
      <c r="J434" s="564"/>
      <c r="K434" s="564"/>
      <c r="L434" s="564"/>
      <c r="M434" s="564"/>
      <c r="N434" s="564"/>
      <c r="O434" s="564"/>
      <c r="P434" s="564"/>
      <c r="Q434" s="564"/>
      <c r="R434" s="564"/>
      <c r="S434" s="564"/>
      <c r="T434" s="564"/>
      <c r="U434" s="564"/>
      <c r="V434" s="564"/>
      <c r="W434" s="564"/>
      <c r="X434" s="564"/>
      <c r="Y434" s="564"/>
      <c r="Z434" s="564"/>
      <c r="AA434" s="564"/>
      <c r="AB434" s="564"/>
      <c r="AC434" s="564"/>
      <c r="AD434" s="564"/>
      <c r="AE434" s="564"/>
      <c r="AF434" s="564"/>
      <c r="AG434" s="564"/>
      <c r="AH434" s="564"/>
      <c r="AI434" s="564"/>
      <c r="AJ434" s="564"/>
      <c r="AK434" s="564"/>
      <c r="AL434" s="564"/>
      <c r="AM434" s="564"/>
      <c r="AN434" s="564"/>
      <c r="AO434" s="564"/>
    </row>
    <row r="435" spans="2:41" x14ac:dyDescent="0.15">
      <c r="B435" s="565">
        <v>31</v>
      </c>
      <c r="C435" s="564">
        <v>1</v>
      </c>
      <c r="D435" s="564"/>
      <c r="E435" s="564"/>
      <c r="F435" s="564"/>
      <c r="G435" s="564"/>
      <c r="H435" s="564"/>
      <c r="I435" s="564"/>
      <c r="J435" s="564"/>
      <c r="K435" s="564"/>
      <c r="L435" s="564"/>
      <c r="M435" s="564"/>
      <c r="N435" s="564"/>
      <c r="O435" s="564"/>
      <c r="P435" s="564"/>
      <c r="Q435" s="564"/>
      <c r="R435" s="564"/>
      <c r="S435" s="564"/>
      <c r="T435" s="564"/>
      <c r="U435" s="564"/>
      <c r="V435" s="564"/>
      <c r="W435" s="564"/>
      <c r="X435" s="564"/>
      <c r="Y435" s="564"/>
      <c r="Z435" s="564"/>
      <c r="AA435" s="564"/>
      <c r="AB435" s="564"/>
      <c r="AC435" s="564"/>
      <c r="AD435" s="564"/>
      <c r="AE435" s="564"/>
      <c r="AF435" s="564"/>
      <c r="AG435" s="564"/>
      <c r="AH435" s="564"/>
      <c r="AI435" s="564"/>
      <c r="AJ435" s="564"/>
      <c r="AK435" s="564"/>
      <c r="AL435" s="564"/>
      <c r="AM435" s="564"/>
      <c r="AN435" s="564"/>
      <c r="AO435" s="564"/>
    </row>
    <row r="436" spans="2:41" x14ac:dyDescent="0.15">
      <c r="B436" s="565">
        <v>32</v>
      </c>
      <c r="C436" s="564">
        <v>1</v>
      </c>
      <c r="D436" s="564"/>
      <c r="E436" s="564"/>
      <c r="F436" s="564"/>
      <c r="G436" s="564"/>
      <c r="H436" s="564"/>
      <c r="I436" s="564"/>
      <c r="J436" s="564"/>
      <c r="K436" s="564"/>
      <c r="L436" s="564"/>
      <c r="M436" s="564"/>
      <c r="N436" s="564"/>
      <c r="O436" s="564"/>
      <c r="P436" s="564"/>
      <c r="Q436" s="564"/>
      <c r="R436" s="564"/>
      <c r="S436" s="564"/>
      <c r="T436" s="564"/>
      <c r="U436" s="564"/>
      <c r="V436" s="564"/>
      <c r="W436" s="564"/>
      <c r="X436" s="564"/>
      <c r="Y436" s="564"/>
      <c r="Z436" s="564"/>
      <c r="AA436" s="564"/>
      <c r="AB436" s="564"/>
      <c r="AC436" s="564"/>
      <c r="AD436" s="564"/>
      <c r="AE436" s="564"/>
      <c r="AF436" s="564"/>
      <c r="AG436" s="564"/>
      <c r="AH436" s="564"/>
      <c r="AI436" s="564"/>
      <c r="AJ436" s="564"/>
      <c r="AK436" s="564"/>
      <c r="AL436" s="564"/>
      <c r="AM436" s="564"/>
      <c r="AN436" s="564"/>
      <c r="AO436" s="564"/>
    </row>
    <row r="437" spans="2:41" x14ac:dyDescent="0.15">
      <c r="B437" s="565">
        <v>33</v>
      </c>
      <c r="C437" s="564">
        <v>1</v>
      </c>
      <c r="D437" s="564"/>
      <c r="E437" s="564"/>
      <c r="F437" s="564"/>
      <c r="G437" s="564"/>
      <c r="H437" s="564"/>
      <c r="I437" s="564"/>
      <c r="J437" s="564"/>
      <c r="K437" s="564"/>
      <c r="L437" s="564"/>
      <c r="M437" s="564"/>
      <c r="N437" s="564"/>
      <c r="O437" s="564"/>
      <c r="P437" s="564"/>
      <c r="Q437" s="564"/>
      <c r="R437" s="564"/>
      <c r="S437" s="564"/>
      <c r="T437" s="564"/>
      <c r="U437" s="564"/>
      <c r="V437" s="564"/>
      <c r="W437" s="564"/>
      <c r="X437" s="564"/>
      <c r="Y437" s="564"/>
      <c r="Z437" s="564"/>
      <c r="AA437" s="564"/>
      <c r="AB437" s="564"/>
      <c r="AC437" s="564"/>
      <c r="AD437" s="564"/>
      <c r="AE437" s="564"/>
      <c r="AF437" s="564"/>
      <c r="AG437" s="564"/>
      <c r="AH437" s="564"/>
      <c r="AI437" s="564"/>
      <c r="AJ437" s="564"/>
      <c r="AK437" s="564"/>
      <c r="AL437" s="564"/>
      <c r="AM437" s="564"/>
      <c r="AN437" s="564"/>
      <c r="AO437" s="564"/>
    </row>
    <row r="438" spans="2:41" x14ac:dyDescent="0.15">
      <c r="B438" s="565">
        <v>34</v>
      </c>
      <c r="C438" s="564">
        <v>1</v>
      </c>
      <c r="D438" s="564"/>
      <c r="E438" s="564"/>
      <c r="F438" s="564"/>
      <c r="G438" s="564"/>
      <c r="H438" s="564"/>
      <c r="I438" s="564"/>
      <c r="J438" s="564"/>
      <c r="K438" s="564"/>
      <c r="L438" s="564"/>
      <c r="M438" s="564"/>
      <c r="N438" s="564"/>
      <c r="O438" s="564"/>
      <c r="P438" s="564"/>
      <c r="Q438" s="564"/>
      <c r="R438" s="564"/>
      <c r="S438" s="564"/>
      <c r="T438" s="564"/>
      <c r="U438" s="564"/>
      <c r="V438" s="564"/>
      <c r="W438" s="564"/>
      <c r="X438" s="564"/>
      <c r="Y438" s="564"/>
      <c r="Z438" s="564"/>
      <c r="AA438" s="564"/>
      <c r="AB438" s="564"/>
      <c r="AC438" s="564"/>
      <c r="AD438" s="564"/>
      <c r="AE438" s="564"/>
      <c r="AF438" s="564"/>
      <c r="AG438" s="564"/>
      <c r="AH438" s="564"/>
      <c r="AI438" s="564"/>
      <c r="AJ438" s="564"/>
      <c r="AK438" s="564"/>
      <c r="AL438" s="564"/>
      <c r="AM438" s="564"/>
      <c r="AN438" s="564"/>
      <c r="AO438" s="564"/>
    </row>
    <row r="439" spans="2:41" x14ac:dyDescent="0.15">
      <c r="B439" s="565">
        <v>35</v>
      </c>
      <c r="C439" s="564">
        <v>1</v>
      </c>
      <c r="D439" s="564"/>
      <c r="E439" s="564"/>
      <c r="F439" s="564"/>
      <c r="G439" s="564"/>
      <c r="H439" s="564"/>
      <c r="I439" s="564"/>
      <c r="J439" s="564"/>
      <c r="K439" s="564"/>
      <c r="L439" s="564"/>
      <c r="M439" s="564"/>
      <c r="N439" s="564"/>
      <c r="O439" s="564"/>
      <c r="P439" s="564"/>
      <c r="Q439" s="564"/>
      <c r="R439" s="564"/>
      <c r="S439" s="564"/>
      <c r="T439" s="564"/>
      <c r="U439" s="564"/>
      <c r="V439" s="564"/>
      <c r="W439" s="564"/>
      <c r="X439" s="564"/>
      <c r="Y439" s="564"/>
      <c r="Z439" s="564"/>
      <c r="AA439" s="564"/>
      <c r="AB439" s="564"/>
      <c r="AC439" s="564"/>
      <c r="AD439" s="564"/>
      <c r="AE439" s="564"/>
      <c r="AF439" s="564"/>
      <c r="AG439" s="564"/>
      <c r="AH439" s="564"/>
      <c r="AI439" s="564"/>
      <c r="AJ439" s="564"/>
      <c r="AK439" s="564"/>
      <c r="AL439" s="564"/>
      <c r="AM439" s="564"/>
      <c r="AN439" s="564"/>
      <c r="AO439" s="564"/>
    </row>
    <row r="440" spans="2:41" x14ac:dyDescent="0.15">
      <c r="B440" s="565">
        <v>36</v>
      </c>
      <c r="C440" s="564">
        <v>1</v>
      </c>
      <c r="D440" s="564"/>
      <c r="E440" s="564"/>
      <c r="F440" s="564"/>
      <c r="G440" s="564"/>
      <c r="H440" s="564"/>
      <c r="I440" s="564"/>
      <c r="J440" s="564"/>
      <c r="K440" s="564"/>
      <c r="L440" s="564"/>
      <c r="M440" s="564"/>
      <c r="N440" s="564"/>
      <c r="O440" s="564"/>
      <c r="P440" s="564"/>
      <c r="Q440" s="564"/>
      <c r="R440" s="564"/>
      <c r="S440" s="564"/>
      <c r="T440" s="564"/>
      <c r="U440" s="564"/>
      <c r="V440" s="564"/>
      <c r="W440" s="564"/>
      <c r="X440" s="564"/>
      <c r="Y440" s="564"/>
      <c r="Z440" s="564"/>
      <c r="AA440" s="564"/>
      <c r="AB440" s="564"/>
      <c r="AC440" s="564"/>
      <c r="AD440" s="564"/>
      <c r="AE440" s="564"/>
      <c r="AF440" s="564"/>
      <c r="AG440" s="564"/>
      <c r="AH440" s="564"/>
      <c r="AI440" s="564"/>
      <c r="AJ440" s="564"/>
      <c r="AK440" s="564"/>
      <c r="AL440" s="564"/>
      <c r="AM440" s="564"/>
      <c r="AN440" s="564"/>
      <c r="AO440" s="564"/>
    </row>
    <row r="441" spans="2:41" x14ac:dyDescent="0.15">
      <c r="B441" s="565">
        <v>37</v>
      </c>
      <c r="C441" s="564">
        <v>1</v>
      </c>
      <c r="D441" s="564"/>
      <c r="E441" s="564"/>
      <c r="F441" s="564"/>
      <c r="G441" s="564"/>
      <c r="H441" s="564"/>
      <c r="I441" s="564"/>
      <c r="J441" s="564"/>
      <c r="K441" s="564"/>
      <c r="L441" s="564"/>
      <c r="M441" s="564"/>
      <c r="N441" s="564"/>
      <c r="O441" s="564"/>
      <c r="P441" s="564"/>
      <c r="Q441" s="564"/>
      <c r="R441" s="564"/>
      <c r="S441" s="564"/>
      <c r="T441" s="564"/>
      <c r="U441" s="564"/>
      <c r="V441" s="564"/>
      <c r="W441" s="564"/>
      <c r="X441" s="564"/>
      <c r="Y441" s="564"/>
      <c r="Z441" s="564"/>
      <c r="AA441" s="564"/>
      <c r="AB441" s="564"/>
      <c r="AC441" s="564"/>
      <c r="AD441" s="564"/>
      <c r="AE441" s="564"/>
      <c r="AF441" s="564"/>
      <c r="AG441" s="564"/>
      <c r="AH441" s="564"/>
      <c r="AI441" s="564"/>
      <c r="AJ441" s="564"/>
      <c r="AK441" s="564"/>
      <c r="AL441" s="564"/>
      <c r="AM441" s="564"/>
      <c r="AN441" s="564"/>
      <c r="AO441" s="564"/>
    </row>
    <row r="442" spans="2:41" x14ac:dyDescent="0.15">
      <c r="B442" s="565">
        <v>38</v>
      </c>
      <c r="C442" s="564">
        <v>1</v>
      </c>
      <c r="D442" s="564"/>
      <c r="E442" s="564"/>
      <c r="F442" s="564"/>
      <c r="G442" s="564"/>
      <c r="H442" s="564"/>
      <c r="I442" s="564"/>
      <c r="J442" s="564"/>
      <c r="K442" s="564"/>
      <c r="L442" s="564"/>
      <c r="M442" s="564"/>
      <c r="N442" s="564"/>
      <c r="O442" s="564"/>
      <c r="P442" s="564"/>
      <c r="Q442" s="564"/>
      <c r="R442" s="564"/>
      <c r="S442" s="564"/>
      <c r="T442" s="564"/>
      <c r="U442" s="564"/>
      <c r="V442" s="564"/>
      <c r="W442" s="564"/>
      <c r="X442" s="564"/>
      <c r="Y442" s="564"/>
      <c r="Z442" s="564"/>
      <c r="AA442" s="564"/>
      <c r="AB442" s="564"/>
      <c r="AC442" s="564"/>
      <c r="AD442" s="564"/>
      <c r="AE442" s="564"/>
      <c r="AF442" s="564"/>
      <c r="AG442" s="564"/>
      <c r="AH442" s="564"/>
      <c r="AI442" s="564"/>
      <c r="AJ442" s="564"/>
      <c r="AK442" s="564"/>
      <c r="AL442" s="564"/>
      <c r="AM442" s="564"/>
      <c r="AN442" s="564"/>
      <c r="AO442" s="564"/>
    </row>
    <row r="443" spans="2:41" x14ac:dyDescent="0.15">
      <c r="B443" s="565">
        <v>39</v>
      </c>
      <c r="C443" s="564">
        <v>1</v>
      </c>
      <c r="D443" s="564"/>
      <c r="E443" s="564"/>
      <c r="F443" s="564"/>
      <c r="G443" s="564"/>
      <c r="H443" s="564"/>
      <c r="I443" s="564"/>
      <c r="J443" s="564"/>
      <c r="K443" s="564"/>
      <c r="L443" s="564"/>
      <c r="M443" s="564"/>
      <c r="N443" s="564"/>
      <c r="O443" s="564"/>
      <c r="P443" s="564"/>
      <c r="Q443" s="564"/>
      <c r="R443" s="564"/>
      <c r="S443" s="564"/>
      <c r="T443" s="564"/>
      <c r="U443" s="564"/>
      <c r="V443" s="564"/>
      <c r="W443" s="564"/>
      <c r="X443" s="564"/>
      <c r="Y443" s="564"/>
      <c r="Z443" s="564"/>
      <c r="AA443" s="564"/>
      <c r="AB443" s="564"/>
      <c r="AC443" s="564"/>
      <c r="AD443" s="564"/>
      <c r="AE443" s="564"/>
      <c r="AF443" s="564"/>
      <c r="AG443" s="564"/>
      <c r="AH443" s="564"/>
      <c r="AI443" s="564"/>
      <c r="AJ443" s="564"/>
      <c r="AK443" s="564"/>
      <c r="AL443" s="564"/>
      <c r="AM443" s="564"/>
      <c r="AN443" s="564"/>
      <c r="AO443" s="564"/>
    </row>
    <row r="444" spans="2:41" x14ac:dyDescent="0.15">
      <c r="B444" s="566">
        <v>40</v>
      </c>
      <c r="C444" s="564">
        <v>1</v>
      </c>
      <c r="D444" s="564"/>
      <c r="E444" s="564"/>
      <c r="F444" s="564"/>
      <c r="G444" s="564"/>
      <c r="H444" s="564"/>
      <c r="I444" s="564"/>
      <c r="J444" s="564"/>
      <c r="K444" s="564"/>
      <c r="L444" s="564"/>
      <c r="M444" s="564"/>
      <c r="N444" s="564"/>
      <c r="O444" s="564"/>
      <c r="P444" s="564"/>
      <c r="Q444" s="564"/>
      <c r="R444" s="564"/>
      <c r="S444" s="564"/>
      <c r="T444" s="564"/>
      <c r="U444" s="564"/>
      <c r="V444" s="564"/>
      <c r="W444" s="564"/>
      <c r="X444" s="564"/>
      <c r="Y444" s="564"/>
      <c r="Z444" s="564"/>
      <c r="AA444" s="564"/>
      <c r="AB444" s="564"/>
      <c r="AC444" s="564"/>
      <c r="AD444" s="564"/>
      <c r="AE444" s="564"/>
      <c r="AF444" s="564"/>
      <c r="AG444" s="564"/>
      <c r="AH444" s="564"/>
      <c r="AI444" s="564"/>
      <c r="AJ444" s="564"/>
      <c r="AK444" s="564"/>
      <c r="AL444" s="564"/>
      <c r="AM444" s="564"/>
      <c r="AN444" s="564"/>
      <c r="AO444" s="564"/>
    </row>
    <row r="453" spans="2:41" s="561" customFormat="1" ht="14" x14ac:dyDescent="0.15">
      <c r="B453" s="558" t="str" cm="1">
        <f t="array" ref="B453:AO453">TRANSPOSE('Syötä kaupungit KIRJASTOLINKIT!'!$G$1:$G$40)</f>
        <v>MAA 6</v>
      </c>
      <c r="C453" s="562" t="str">
        <v>LTU - Wilno</v>
      </c>
      <c r="D453" s="562">
        <v>0</v>
      </c>
      <c r="E453" s="562">
        <v>0</v>
      </c>
      <c r="F453" s="562">
        <v>0</v>
      </c>
      <c r="G453" s="562">
        <v>0</v>
      </c>
      <c r="H453" s="562">
        <v>0</v>
      </c>
      <c r="I453" s="562">
        <v>0</v>
      </c>
      <c r="J453" s="562">
        <v>0</v>
      </c>
      <c r="K453" s="562">
        <v>0</v>
      </c>
      <c r="L453" s="562">
        <v>0</v>
      </c>
      <c r="M453" s="562">
        <v>0</v>
      </c>
      <c r="N453" s="562">
        <v>0</v>
      </c>
      <c r="O453" s="562">
        <v>0</v>
      </c>
      <c r="P453" s="562">
        <v>0</v>
      </c>
      <c r="Q453" s="562">
        <v>0</v>
      </c>
      <c r="R453" s="562">
        <v>0</v>
      </c>
      <c r="S453" s="562">
        <v>0</v>
      </c>
      <c r="T453" s="562">
        <v>0</v>
      </c>
      <c r="U453" s="562">
        <v>0</v>
      </c>
      <c r="V453" s="562">
        <v>0</v>
      </c>
      <c r="W453" s="562">
        <v>0</v>
      </c>
      <c r="X453" s="562">
        <v>0</v>
      </c>
      <c r="Y453" s="562">
        <v>0</v>
      </c>
      <c r="Z453" s="562">
        <v>0</v>
      </c>
      <c r="AA453" s="562">
        <v>0</v>
      </c>
      <c r="AB453" s="562">
        <v>0</v>
      </c>
      <c r="AC453" s="562">
        <v>0</v>
      </c>
      <c r="AD453" s="562">
        <v>0</v>
      </c>
      <c r="AE453" s="562">
        <v>0</v>
      </c>
      <c r="AF453" s="562">
        <v>0</v>
      </c>
      <c r="AG453" s="562">
        <v>0</v>
      </c>
      <c r="AH453" s="562">
        <v>0</v>
      </c>
      <c r="AI453" s="562">
        <v>0</v>
      </c>
      <c r="AJ453" s="562">
        <v>0</v>
      </c>
      <c r="AK453" s="562">
        <v>0</v>
      </c>
      <c r="AL453" s="562">
        <v>0</v>
      </c>
      <c r="AM453" s="562">
        <v>0</v>
      </c>
      <c r="AN453" s="562">
        <v>0</v>
      </c>
      <c r="AO453" s="562">
        <v>0</v>
      </c>
    </row>
    <row r="454" spans="2:41" x14ac:dyDescent="0.15">
      <c r="B454" s="563">
        <v>-40</v>
      </c>
      <c r="C454" s="564">
        <v>0</v>
      </c>
      <c r="D454" s="564"/>
      <c r="E454" s="564"/>
      <c r="F454" s="564"/>
      <c r="G454" s="564"/>
      <c r="H454" s="564"/>
      <c r="I454" s="564"/>
      <c r="J454" s="564"/>
      <c r="K454" s="564"/>
      <c r="L454" s="564"/>
      <c r="M454" s="564"/>
      <c r="N454" s="564"/>
      <c r="O454" s="564"/>
      <c r="P454" s="564"/>
      <c r="Q454" s="564"/>
      <c r="R454" s="564"/>
      <c r="S454" s="564"/>
      <c r="T454" s="564"/>
      <c r="U454" s="564"/>
      <c r="V454" s="564"/>
      <c r="W454" s="564"/>
      <c r="X454" s="564"/>
      <c r="Y454" s="564"/>
      <c r="Z454" s="564"/>
      <c r="AA454" s="564"/>
      <c r="AB454" s="564"/>
      <c r="AC454" s="564"/>
      <c r="AD454" s="564"/>
      <c r="AE454" s="564"/>
      <c r="AF454" s="564"/>
      <c r="AG454" s="564"/>
      <c r="AH454" s="564"/>
      <c r="AI454" s="564"/>
      <c r="AJ454" s="564"/>
      <c r="AK454" s="564"/>
      <c r="AL454" s="564"/>
      <c r="AM454" s="564"/>
      <c r="AN454" s="564"/>
      <c r="AO454" s="564"/>
    </row>
    <row r="455" spans="2:41" x14ac:dyDescent="0.15">
      <c r="B455" s="565">
        <v>-39</v>
      </c>
      <c r="C455" s="564">
        <v>0</v>
      </c>
      <c r="D455" s="564"/>
      <c r="E455" s="564"/>
      <c r="F455" s="564"/>
      <c r="G455" s="564"/>
      <c r="H455" s="564"/>
      <c r="I455" s="564"/>
      <c r="J455" s="564"/>
      <c r="K455" s="564"/>
      <c r="L455" s="564"/>
      <c r="M455" s="564"/>
      <c r="N455" s="564"/>
      <c r="O455" s="564"/>
      <c r="P455" s="564"/>
      <c r="Q455" s="564"/>
      <c r="R455" s="564"/>
      <c r="S455" s="564"/>
      <c r="T455" s="564"/>
      <c r="U455" s="564"/>
      <c r="V455" s="564"/>
      <c r="W455" s="564"/>
      <c r="X455" s="564"/>
      <c r="Y455" s="564"/>
      <c r="Z455" s="564"/>
      <c r="AA455" s="564"/>
      <c r="AB455" s="564"/>
      <c r="AC455" s="564"/>
      <c r="AD455" s="564"/>
      <c r="AE455" s="564"/>
      <c r="AF455" s="564"/>
      <c r="AG455" s="564"/>
      <c r="AH455" s="564"/>
      <c r="AI455" s="564"/>
      <c r="AJ455" s="564"/>
      <c r="AK455" s="564"/>
      <c r="AL455" s="564"/>
      <c r="AM455" s="564"/>
      <c r="AN455" s="564"/>
      <c r="AO455" s="564"/>
    </row>
    <row r="456" spans="2:41" x14ac:dyDescent="0.15">
      <c r="B456" s="565">
        <v>-38</v>
      </c>
      <c r="C456" s="564">
        <v>0</v>
      </c>
      <c r="D456" s="564"/>
      <c r="E456" s="564"/>
      <c r="F456" s="564"/>
      <c r="G456" s="564"/>
      <c r="H456" s="564"/>
      <c r="I456" s="564"/>
      <c r="J456" s="564"/>
      <c r="K456" s="564"/>
      <c r="L456" s="564"/>
      <c r="M456" s="564"/>
      <c r="N456" s="564"/>
      <c r="O456" s="564"/>
      <c r="P456" s="564"/>
      <c r="Q456" s="564"/>
      <c r="R456" s="564"/>
      <c r="S456" s="564"/>
      <c r="T456" s="564"/>
      <c r="U456" s="564"/>
      <c r="V456" s="564"/>
      <c r="W456" s="564"/>
      <c r="X456" s="564"/>
      <c r="Y456" s="564"/>
      <c r="Z456" s="564"/>
      <c r="AA456" s="564"/>
      <c r="AB456" s="564"/>
      <c r="AC456" s="564"/>
      <c r="AD456" s="564"/>
      <c r="AE456" s="564"/>
      <c r="AF456" s="564"/>
      <c r="AG456" s="564"/>
      <c r="AH456" s="564"/>
      <c r="AI456" s="564"/>
      <c r="AJ456" s="564"/>
      <c r="AK456" s="564"/>
      <c r="AL456" s="564"/>
      <c r="AM456" s="564"/>
      <c r="AN456" s="564"/>
      <c r="AO456" s="564"/>
    </row>
    <row r="457" spans="2:41" x14ac:dyDescent="0.15">
      <c r="B457" s="565">
        <v>-37</v>
      </c>
      <c r="C457" s="564">
        <v>0</v>
      </c>
      <c r="D457" s="564"/>
      <c r="E457" s="564"/>
      <c r="F457" s="564"/>
      <c r="G457" s="564"/>
      <c r="H457" s="564"/>
      <c r="I457" s="564"/>
      <c r="J457" s="564"/>
      <c r="K457" s="564"/>
      <c r="L457" s="564"/>
      <c r="M457" s="564"/>
      <c r="N457" s="564"/>
      <c r="O457" s="564"/>
      <c r="P457" s="564"/>
      <c r="Q457" s="564"/>
      <c r="R457" s="564"/>
      <c r="S457" s="564"/>
      <c r="T457" s="564"/>
      <c r="U457" s="564"/>
      <c r="V457" s="564"/>
      <c r="W457" s="564"/>
      <c r="X457" s="564"/>
      <c r="Y457" s="564"/>
      <c r="Z457" s="564"/>
      <c r="AA457" s="564"/>
      <c r="AB457" s="564"/>
      <c r="AC457" s="564"/>
      <c r="AD457" s="564"/>
      <c r="AE457" s="564"/>
      <c r="AF457" s="564"/>
      <c r="AG457" s="564"/>
      <c r="AH457" s="564"/>
      <c r="AI457" s="564"/>
      <c r="AJ457" s="564"/>
      <c r="AK457" s="564"/>
      <c r="AL457" s="564"/>
      <c r="AM457" s="564"/>
      <c r="AN457" s="564"/>
      <c r="AO457" s="564"/>
    </row>
    <row r="458" spans="2:41" x14ac:dyDescent="0.15">
      <c r="B458" s="565">
        <v>-36</v>
      </c>
      <c r="C458" s="564">
        <v>0</v>
      </c>
      <c r="D458" s="564"/>
      <c r="E458" s="564"/>
      <c r="F458" s="564"/>
      <c r="G458" s="564"/>
      <c r="H458" s="564"/>
      <c r="I458" s="564"/>
      <c r="J458" s="564"/>
      <c r="K458" s="564"/>
      <c r="L458" s="564"/>
      <c r="M458" s="564"/>
      <c r="N458" s="564"/>
      <c r="O458" s="564"/>
      <c r="P458" s="564"/>
      <c r="Q458" s="564"/>
      <c r="R458" s="564"/>
      <c r="S458" s="564"/>
      <c r="T458" s="564"/>
      <c r="U458" s="564"/>
      <c r="V458" s="564"/>
      <c r="W458" s="564"/>
      <c r="X458" s="564"/>
      <c r="Y458" s="564"/>
      <c r="Z458" s="564"/>
      <c r="AA458" s="564"/>
      <c r="AB458" s="564"/>
      <c r="AC458" s="564"/>
      <c r="AD458" s="564"/>
      <c r="AE458" s="564"/>
      <c r="AF458" s="564"/>
      <c r="AG458" s="564"/>
      <c r="AH458" s="564"/>
      <c r="AI458" s="564"/>
      <c r="AJ458" s="564"/>
      <c r="AK458" s="564"/>
      <c r="AL458" s="564"/>
      <c r="AM458" s="564"/>
      <c r="AN458" s="564"/>
      <c r="AO458" s="564"/>
    </row>
    <row r="459" spans="2:41" x14ac:dyDescent="0.15">
      <c r="B459" s="565">
        <v>-35</v>
      </c>
      <c r="C459" s="564">
        <v>0</v>
      </c>
      <c r="D459" s="564"/>
      <c r="E459" s="564"/>
      <c r="F459" s="564"/>
      <c r="G459" s="564"/>
      <c r="H459" s="564"/>
      <c r="I459" s="564"/>
      <c r="J459" s="564"/>
      <c r="K459" s="564"/>
      <c r="L459" s="564"/>
      <c r="M459" s="564"/>
      <c r="N459" s="564"/>
      <c r="O459" s="564"/>
      <c r="P459" s="564"/>
      <c r="Q459" s="564"/>
      <c r="R459" s="564"/>
      <c r="S459" s="564"/>
      <c r="T459" s="564"/>
      <c r="U459" s="564"/>
      <c r="V459" s="564"/>
      <c r="W459" s="564"/>
      <c r="X459" s="564"/>
      <c r="Y459" s="564"/>
      <c r="Z459" s="564"/>
      <c r="AA459" s="564"/>
      <c r="AB459" s="564"/>
      <c r="AC459" s="564"/>
      <c r="AD459" s="564"/>
      <c r="AE459" s="564"/>
      <c r="AF459" s="564"/>
      <c r="AG459" s="564"/>
      <c r="AH459" s="564"/>
      <c r="AI459" s="564"/>
      <c r="AJ459" s="564"/>
      <c r="AK459" s="564"/>
      <c r="AL459" s="564"/>
      <c r="AM459" s="564"/>
      <c r="AN459" s="564"/>
      <c r="AO459" s="564"/>
    </row>
    <row r="460" spans="2:41" x14ac:dyDescent="0.15">
      <c r="B460" s="565">
        <v>-34</v>
      </c>
      <c r="C460" s="564">
        <v>0</v>
      </c>
      <c r="D460" s="564"/>
      <c r="E460" s="564"/>
      <c r="F460" s="564"/>
      <c r="G460" s="564"/>
      <c r="H460" s="564"/>
      <c r="I460" s="564"/>
      <c r="J460" s="564"/>
      <c r="K460" s="564"/>
      <c r="L460" s="564"/>
      <c r="M460" s="564"/>
      <c r="N460" s="564"/>
      <c r="O460" s="564"/>
      <c r="P460" s="564"/>
      <c r="Q460" s="564"/>
      <c r="R460" s="564"/>
      <c r="S460" s="564"/>
      <c r="T460" s="564"/>
      <c r="U460" s="564"/>
      <c r="V460" s="564"/>
      <c r="W460" s="564"/>
      <c r="X460" s="564"/>
      <c r="Y460" s="564"/>
      <c r="Z460" s="564"/>
      <c r="AA460" s="564"/>
      <c r="AB460" s="564"/>
      <c r="AC460" s="564"/>
      <c r="AD460" s="564"/>
      <c r="AE460" s="564"/>
      <c r="AF460" s="564"/>
      <c r="AG460" s="564"/>
      <c r="AH460" s="564"/>
      <c r="AI460" s="564"/>
      <c r="AJ460" s="564"/>
      <c r="AK460" s="564"/>
      <c r="AL460" s="564"/>
      <c r="AM460" s="564"/>
      <c r="AN460" s="564"/>
      <c r="AO460" s="564"/>
    </row>
    <row r="461" spans="2:41" x14ac:dyDescent="0.15">
      <c r="B461" s="565">
        <v>-33</v>
      </c>
      <c r="C461" s="564">
        <v>0</v>
      </c>
      <c r="D461" s="564"/>
      <c r="E461" s="564"/>
      <c r="F461" s="564"/>
      <c r="G461" s="564"/>
      <c r="H461" s="564"/>
      <c r="I461" s="564"/>
      <c r="J461" s="564"/>
      <c r="K461" s="564"/>
      <c r="L461" s="564"/>
      <c r="M461" s="564"/>
      <c r="N461" s="564"/>
      <c r="O461" s="564"/>
      <c r="P461" s="564"/>
      <c r="Q461" s="564"/>
      <c r="R461" s="564"/>
      <c r="S461" s="564"/>
      <c r="T461" s="564"/>
      <c r="U461" s="564"/>
      <c r="V461" s="564"/>
      <c r="W461" s="564"/>
      <c r="X461" s="564"/>
      <c r="Y461" s="564"/>
      <c r="Z461" s="564"/>
      <c r="AA461" s="564"/>
      <c r="AB461" s="564"/>
      <c r="AC461" s="564"/>
      <c r="AD461" s="564"/>
      <c r="AE461" s="564"/>
      <c r="AF461" s="564"/>
      <c r="AG461" s="564"/>
      <c r="AH461" s="564"/>
      <c r="AI461" s="564"/>
      <c r="AJ461" s="564"/>
      <c r="AK461" s="564"/>
      <c r="AL461" s="564"/>
      <c r="AM461" s="564"/>
      <c r="AN461" s="564"/>
      <c r="AO461" s="564"/>
    </row>
    <row r="462" spans="2:41" x14ac:dyDescent="0.15">
      <c r="B462" s="565">
        <v>-32</v>
      </c>
      <c r="C462" s="564">
        <v>0</v>
      </c>
      <c r="D462" s="564"/>
      <c r="E462" s="564"/>
      <c r="F462" s="564"/>
      <c r="G462" s="564"/>
      <c r="H462" s="564"/>
      <c r="I462" s="564"/>
      <c r="J462" s="564"/>
      <c r="K462" s="564"/>
      <c r="L462" s="564"/>
      <c r="M462" s="564"/>
      <c r="N462" s="564"/>
      <c r="O462" s="564"/>
      <c r="P462" s="564"/>
      <c r="Q462" s="564"/>
      <c r="R462" s="564"/>
      <c r="S462" s="564"/>
      <c r="T462" s="564"/>
      <c r="U462" s="564"/>
      <c r="V462" s="564"/>
      <c r="W462" s="564"/>
      <c r="X462" s="564"/>
      <c r="Y462" s="564"/>
      <c r="Z462" s="564"/>
      <c r="AA462" s="564"/>
      <c r="AB462" s="564"/>
      <c r="AC462" s="564"/>
      <c r="AD462" s="564"/>
      <c r="AE462" s="564"/>
      <c r="AF462" s="564"/>
      <c r="AG462" s="564"/>
      <c r="AH462" s="564"/>
      <c r="AI462" s="564"/>
      <c r="AJ462" s="564"/>
      <c r="AK462" s="564"/>
      <c r="AL462" s="564"/>
      <c r="AM462" s="564"/>
      <c r="AN462" s="564"/>
      <c r="AO462" s="564"/>
    </row>
    <row r="463" spans="2:41" x14ac:dyDescent="0.15">
      <c r="B463" s="565">
        <v>-31</v>
      </c>
      <c r="C463" s="564">
        <v>0</v>
      </c>
      <c r="D463" s="564"/>
      <c r="E463" s="564"/>
      <c r="F463" s="564"/>
      <c r="G463" s="564"/>
      <c r="H463" s="564"/>
      <c r="I463" s="564"/>
      <c r="J463" s="564"/>
      <c r="K463" s="564"/>
      <c r="L463" s="564"/>
      <c r="M463" s="564"/>
      <c r="N463" s="564"/>
      <c r="O463" s="564"/>
      <c r="P463" s="564"/>
      <c r="Q463" s="564"/>
      <c r="R463" s="564"/>
      <c r="S463" s="564"/>
      <c r="T463" s="564"/>
      <c r="U463" s="564"/>
      <c r="V463" s="564"/>
      <c r="W463" s="564"/>
      <c r="X463" s="564"/>
      <c r="Y463" s="564"/>
      <c r="Z463" s="564"/>
      <c r="AA463" s="564"/>
      <c r="AB463" s="564"/>
      <c r="AC463" s="564"/>
      <c r="AD463" s="564"/>
      <c r="AE463" s="564"/>
      <c r="AF463" s="564"/>
      <c r="AG463" s="564"/>
      <c r="AH463" s="564"/>
      <c r="AI463" s="564"/>
      <c r="AJ463" s="564"/>
      <c r="AK463" s="564"/>
      <c r="AL463" s="564"/>
      <c r="AM463" s="564"/>
      <c r="AN463" s="564"/>
      <c r="AO463" s="564"/>
    </row>
    <row r="464" spans="2:41" x14ac:dyDescent="0.15">
      <c r="B464" s="565">
        <v>-30</v>
      </c>
      <c r="C464" s="564">
        <v>0</v>
      </c>
      <c r="D464" s="564"/>
      <c r="E464" s="564"/>
      <c r="F464" s="564"/>
      <c r="G464" s="564"/>
      <c r="H464" s="564"/>
      <c r="I464" s="564"/>
      <c r="J464" s="564"/>
      <c r="K464" s="564"/>
      <c r="L464" s="564"/>
      <c r="M464" s="564"/>
      <c r="N464" s="564"/>
      <c r="O464" s="564"/>
      <c r="P464" s="564"/>
      <c r="Q464" s="564"/>
      <c r="R464" s="564"/>
      <c r="S464" s="564"/>
      <c r="T464" s="564"/>
      <c r="U464" s="564"/>
      <c r="V464" s="564"/>
      <c r="W464" s="564"/>
      <c r="X464" s="564"/>
      <c r="Y464" s="564"/>
      <c r="Z464" s="564"/>
      <c r="AA464" s="564"/>
      <c r="AB464" s="564"/>
      <c r="AC464" s="564"/>
      <c r="AD464" s="564"/>
      <c r="AE464" s="564"/>
      <c r="AF464" s="564"/>
      <c r="AG464" s="564"/>
      <c r="AH464" s="564"/>
      <c r="AI464" s="564"/>
      <c r="AJ464" s="564"/>
      <c r="AK464" s="564"/>
      <c r="AL464" s="564"/>
      <c r="AM464" s="564"/>
      <c r="AN464" s="564"/>
      <c r="AO464" s="564"/>
    </row>
    <row r="465" spans="2:41" x14ac:dyDescent="0.15">
      <c r="B465" s="565">
        <v>-29</v>
      </c>
      <c r="C465" s="564">
        <v>0</v>
      </c>
      <c r="D465" s="564"/>
      <c r="E465" s="564"/>
      <c r="F465" s="564"/>
      <c r="G465" s="564"/>
      <c r="H465" s="564"/>
      <c r="I465" s="564"/>
      <c r="J465" s="564"/>
      <c r="K465" s="564"/>
      <c r="L465" s="564"/>
      <c r="M465" s="564"/>
      <c r="N465" s="564"/>
      <c r="O465" s="564"/>
      <c r="P465" s="564"/>
      <c r="Q465" s="564"/>
      <c r="R465" s="564"/>
      <c r="S465" s="564"/>
      <c r="T465" s="564"/>
      <c r="U465" s="564"/>
      <c r="V465" s="564"/>
      <c r="W465" s="564"/>
      <c r="X465" s="564"/>
      <c r="Y465" s="564"/>
      <c r="Z465" s="564"/>
      <c r="AA465" s="564"/>
      <c r="AB465" s="564"/>
      <c r="AC465" s="564"/>
      <c r="AD465" s="564"/>
      <c r="AE465" s="564"/>
      <c r="AF465" s="564"/>
      <c r="AG465" s="564"/>
      <c r="AH465" s="564"/>
      <c r="AI465" s="564"/>
      <c r="AJ465" s="564"/>
      <c r="AK465" s="564"/>
      <c r="AL465" s="564"/>
      <c r="AM465" s="564"/>
      <c r="AN465" s="564"/>
      <c r="AO465" s="564"/>
    </row>
    <row r="466" spans="2:41" x14ac:dyDescent="0.15">
      <c r="B466" s="565">
        <v>-28</v>
      </c>
      <c r="C466" s="564">
        <v>0</v>
      </c>
      <c r="D466" s="564"/>
      <c r="E466" s="564"/>
      <c r="F466" s="564"/>
      <c r="G466" s="564"/>
      <c r="H466" s="564"/>
      <c r="I466" s="564"/>
      <c r="J466" s="564"/>
      <c r="K466" s="564"/>
      <c r="L466" s="564"/>
      <c r="M466" s="564"/>
      <c r="N466" s="564"/>
      <c r="O466" s="564"/>
      <c r="P466" s="564"/>
      <c r="Q466" s="564"/>
      <c r="R466" s="564"/>
      <c r="S466" s="564"/>
      <c r="T466" s="564"/>
      <c r="U466" s="564"/>
      <c r="V466" s="564"/>
      <c r="W466" s="564"/>
      <c r="X466" s="564"/>
      <c r="Y466" s="564"/>
      <c r="Z466" s="564"/>
      <c r="AA466" s="564"/>
      <c r="AB466" s="564"/>
      <c r="AC466" s="564"/>
      <c r="AD466" s="564"/>
      <c r="AE466" s="564"/>
      <c r="AF466" s="564"/>
      <c r="AG466" s="564"/>
      <c r="AH466" s="564"/>
      <c r="AI466" s="564"/>
      <c r="AJ466" s="564"/>
      <c r="AK466" s="564"/>
      <c r="AL466" s="564"/>
      <c r="AM466" s="564"/>
      <c r="AN466" s="564"/>
      <c r="AO466" s="564"/>
    </row>
    <row r="467" spans="2:41" x14ac:dyDescent="0.15">
      <c r="B467" s="565">
        <v>-27</v>
      </c>
      <c r="C467" s="564">
        <v>0</v>
      </c>
      <c r="D467" s="564"/>
      <c r="E467" s="564"/>
      <c r="F467" s="564"/>
      <c r="G467" s="564"/>
      <c r="H467" s="564"/>
      <c r="I467" s="564"/>
      <c r="J467" s="564"/>
      <c r="K467" s="564"/>
      <c r="L467" s="564"/>
      <c r="M467" s="564"/>
      <c r="N467" s="564"/>
      <c r="O467" s="564"/>
      <c r="P467" s="564"/>
      <c r="Q467" s="564"/>
      <c r="R467" s="564"/>
      <c r="S467" s="564"/>
      <c r="T467" s="564"/>
      <c r="U467" s="564"/>
      <c r="V467" s="564"/>
      <c r="W467" s="564"/>
      <c r="X467" s="564"/>
      <c r="Y467" s="564"/>
      <c r="Z467" s="564"/>
      <c r="AA467" s="564"/>
      <c r="AB467" s="564"/>
      <c r="AC467" s="564"/>
      <c r="AD467" s="564"/>
      <c r="AE467" s="564"/>
      <c r="AF467" s="564"/>
      <c r="AG467" s="564"/>
      <c r="AH467" s="564"/>
      <c r="AI467" s="564"/>
      <c r="AJ467" s="564"/>
      <c r="AK467" s="564"/>
      <c r="AL467" s="564"/>
      <c r="AM467" s="564"/>
      <c r="AN467" s="564"/>
      <c r="AO467" s="564"/>
    </row>
    <row r="468" spans="2:41" x14ac:dyDescent="0.15">
      <c r="B468" s="565">
        <v>-26</v>
      </c>
      <c r="C468" s="564">
        <v>0</v>
      </c>
      <c r="D468" s="564"/>
      <c r="E468" s="564"/>
      <c r="F468" s="564"/>
      <c r="G468" s="564"/>
      <c r="H468" s="564"/>
      <c r="I468" s="564"/>
      <c r="J468" s="564"/>
      <c r="K468" s="564"/>
      <c r="L468" s="564"/>
      <c r="M468" s="564"/>
      <c r="N468" s="564"/>
      <c r="O468" s="564"/>
      <c r="P468" s="564"/>
      <c r="Q468" s="564"/>
      <c r="R468" s="564"/>
      <c r="S468" s="564"/>
      <c r="T468" s="564"/>
      <c r="U468" s="564"/>
      <c r="V468" s="564"/>
      <c r="W468" s="564"/>
      <c r="X468" s="564"/>
      <c r="Y468" s="564"/>
      <c r="Z468" s="564"/>
      <c r="AA468" s="564"/>
      <c r="AB468" s="564"/>
      <c r="AC468" s="564"/>
      <c r="AD468" s="564"/>
      <c r="AE468" s="564"/>
      <c r="AF468" s="564"/>
      <c r="AG468" s="564"/>
      <c r="AH468" s="564"/>
      <c r="AI468" s="564"/>
      <c r="AJ468" s="564"/>
      <c r="AK468" s="564"/>
      <c r="AL468" s="564"/>
      <c r="AM468" s="564"/>
      <c r="AN468" s="564"/>
      <c r="AO468" s="564"/>
    </row>
    <row r="469" spans="2:41" x14ac:dyDescent="0.15">
      <c r="B469" s="565">
        <v>-25</v>
      </c>
      <c r="C469" s="564">
        <v>0</v>
      </c>
      <c r="D469" s="564"/>
      <c r="E469" s="564"/>
      <c r="F469" s="564"/>
      <c r="G469" s="564"/>
      <c r="H469" s="564"/>
      <c r="I469" s="564"/>
      <c r="J469" s="564"/>
      <c r="K469" s="564"/>
      <c r="L469" s="564"/>
      <c r="M469" s="564"/>
      <c r="N469" s="564"/>
      <c r="O469" s="564"/>
      <c r="P469" s="564"/>
      <c r="Q469" s="564"/>
      <c r="R469" s="564"/>
      <c r="S469" s="564"/>
      <c r="T469" s="564"/>
      <c r="U469" s="564"/>
      <c r="V469" s="564"/>
      <c r="W469" s="564"/>
      <c r="X469" s="564"/>
      <c r="Y469" s="564"/>
      <c r="Z469" s="564"/>
      <c r="AA469" s="564"/>
      <c r="AB469" s="564"/>
      <c r="AC469" s="564"/>
      <c r="AD469" s="564"/>
      <c r="AE469" s="564"/>
      <c r="AF469" s="564"/>
      <c r="AG469" s="564"/>
      <c r="AH469" s="564"/>
      <c r="AI469" s="564"/>
      <c r="AJ469" s="564"/>
      <c r="AK469" s="564"/>
      <c r="AL469" s="564"/>
      <c r="AM469" s="564"/>
      <c r="AN469" s="564"/>
      <c r="AO469" s="564"/>
    </row>
    <row r="470" spans="2:41" x14ac:dyDescent="0.15">
      <c r="B470" s="565">
        <v>-24</v>
      </c>
      <c r="C470" s="564">
        <v>0</v>
      </c>
      <c r="D470" s="564"/>
      <c r="E470" s="564"/>
      <c r="F470" s="564"/>
      <c r="G470" s="564"/>
      <c r="H470" s="564"/>
      <c r="I470" s="564"/>
      <c r="J470" s="564"/>
      <c r="K470" s="564"/>
      <c r="L470" s="564"/>
      <c r="M470" s="564"/>
      <c r="N470" s="564"/>
      <c r="O470" s="564"/>
      <c r="P470" s="564"/>
      <c r="Q470" s="564"/>
      <c r="R470" s="564"/>
      <c r="S470" s="564"/>
      <c r="T470" s="564"/>
      <c r="U470" s="564"/>
      <c r="V470" s="564"/>
      <c r="W470" s="564"/>
      <c r="X470" s="564"/>
      <c r="Y470" s="564"/>
      <c r="Z470" s="564"/>
      <c r="AA470" s="564"/>
      <c r="AB470" s="564"/>
      <c r="AC470" s="564"/>
      <c r="AD470" s="564"/>
      <c r="AE470" s="564"/>
      <c r="AF470" s="564"/>
      <c r="AG470" s="564"/>
      <c r="AH470" s="564"/>
      <c r="AI470" s="564"/>
      <c r="AJ470" s="564"/>
      <c r="AK470" s="564"/>
      <c r="AL470" s="564"/>
      <c r="AM470" s="564"/>
      <c r="AN470" s="564"/>
      <c r="AO470" s="564"/>
    </row>
    <row r="471" spans="2:41" x14ac:dyDescent="0.15">
      <c r="B471" s="565">
        <v>-23</v>
      </c>
      <c r="C471" s="564">
        <v>0</v>
      </c>
      <c r="D471" s="564"/>
      <c r="E471" s="564"/>
      <c r="F471" s="564"/>
      <c r="G471" s="564"/>
      <c r="H471" s="564"/>
      <c r="I471" s="564"/>
      <c r="J471" s="564"/>
      <c r="K471" s="564"/>
      <c r="L471" s="564"/>
      <c r="M471" s="564"/>
      <c r="N471" s="564"/>
      <c r="O471" s="564"/>
      <c r="P471" s="564"/>
      <c r="Q471" s="564"/>
      <c r="R471" s="564"/>
      <c r="S471" s="564"/>
      <c r="T471" s="564"/>
      <c r="U471" s="564"/>
      <c r="V471" s="564"/>
      <c r="W471" s="564"/>
      <c r="X471" s="564"/>
      <c r="Y471" s="564"/>
      <c r="Z471" s="564"/>
      <c r="AA471" s="564"/>
      <c r="AB471" s="564"/>
      <c r="AC471" s="564"/>
      <c r="AD471" s="564"/>
      <c r="AE471" s="564"/>
      <c r="AF471" s="564"/>
      <c r="AG471" s="564"/>
      <c r="AH471" s="564"/>
      <c r="AI471" s="564"/>
      <c r="AJ471" s="564"/>
      <c r="AK471" s="564"/>
      <c r="AL471" s="564"/>
      <c r="AM471" s="564"/>
      <c r="AN471" s="564"/>
      <c r="AO471" s="564"/>
    </row>
    <row r="472" spans="2:41" x14ac:dyDescent="0.15">
      <c r="B472" s="565">
        <v>-22</v>
      </c>
      <c r="C472" s="564">
        <v>0</v>
      </c>
      <c r="D472" s="564"/>
      <c r="E472" s="564"/>
      <c r="F472" s="564"/>
      <c r="G472" s="564"/>
      <c r="H472" s="564"/>
      <c r="I472" s="564"/>
      <c r="J472" s="564"/>
      <c r="K472" s="564"/>
      <c r="L472" s="564"/>
      <c r="M472" s="564"/>
      <c r="N472" s="564"/>
      <c r="O472" s="564"/>
      <c r="P472" s="564"/>
      <c r="Q472" s="564"/>
      <c r="R472" s="564"/>
      <c r="S472" s="564"/>
      <c r="T472" s="564"/>
      <c r="U472" s="564"/>
      <c r="V472" s="564"/>
      <c r="W472" s="564"/>
      <c r="X472" s="564"/>
      <c r="Y472" s="564"/>
      <c r="Z472" s="564"/>
      <c r="AA472" s="564"/>
      <c r="AB472" s="564"/>
      <c r="AC472" s="564"/>
      <c r="AD472" s="564"/>
      <c r="AE472" s="564"/>
      <c r="AF472" s="564"/>
      <c r="AG472" s="564"/>
      <c r="AH472" s="564"/>
      <c r="AI472" s="564"/>
      <c r="AJ472" s="564"/>
      <c r="AK472" s="564"/>
      <c r="AL472" s="564"/>
      <c r="AM472" s="564"/>
      <c r="AN472" s="564"/>
      <c r="AO472" s="564"/>
    </row>
    <row r="473" spans="2:41" x14ac:dyDescent="0.15">
      <c r="B473" s="565">
        <v>-21</v>
      </c>
      <c r="C473" s="564">
        <v>0</v>
      </c>
      <c r="D473" s="564"/>
      <c r="E473" s="564"/>
      <c r="F473" s="564"/>
      <c r="G473" s="564"/>
      <c r="H473" s="564"/>
      <c r="I473" s="564"/>
      <c r="J473" s="564"/>
      <c r="K473" s="564"/>
      <c r="L473" s="564"/>
      <c r="M473" s="564"/>
      <c r="N473" s="564"/>
      <c r="O473" s="564"/>
      <c r="P473" s="564"/>
      <c r="Q473" s="564"/>
      <c r="R473" s="564"/>
      <c r="S473" s="564"/>
      <c r="T473" s="564"/>
      <c r="U473" s="564"/>
      <c r="V473" s="564"/>
      <c r="W473" s="564"/>
      <c r="X473" s="564"/>
      <c r="Y473" s="564"/>
      <c r="Z473" s="564"/>
      <c r="AA473" s="564"/>
      <c r="AB473" s="564"/>
      <c r="AC473" s="564"/>
      <c r="AD473" s="564"/>
      <c r="AE473" s="564"/>
      <c r="AF473" s="564"/>
      <c r="AG473" s="564"/>
      <c r="AH473" s="564"/>
      <c r="AI473" s="564"/>
      <c r="AJ473" s="564"/>
      <c r="AK473" s="564"/>
      <c r="AL473" s="564"/>
      <c r="AM473" s="564"/>
      <c r="AN473" s="564"/>
      <c r="AO473" s="564"/>
    </row>
    <row r="474" spans="2:41" x14ac:dyDescent="0.15">
      <c r="B474" s="565">
        <v>-20</v>
      </c>
      <c r="C474" s="564">
        <v>0</v>
      </c>
      <c r="D474" s="564"/>
      <c r="E474" s="564"/>
      <c r="F474" s="564"/>
      <c r="G474" s="564"/>
      <c r="H474" s="564"/>
      <c r="I474" s="564"/>
      <c r="J474" s="564"/>
      <c r="K474" s="564"/>
      <c r="L474" s="564"/>
      <c r="M474" s="564"/>
      <c r="N474" s="564"/>
      <c r="O474" s="564"/>
      <c r="P474" s="564"/>
      <c r="Q474" s="564"/>
      <c r="R474" s="564"/>
      <c r="S474" s="564"/>
      <c r="T474" s="564"/>
      <c r="U474" s="564"/>
      <c r="V474" s="564"/>
      <c r="W474" s="564"/>
      <c r="X474" s="564"/>
      <c r="Y474" s="564"/>
      <c r="Z474" s="564"/>
      <c r="AA474" s="564"/>
      <c r="AB474" s="564"/>
      <c r="AC474" s="564"/>
      <c r="AD474" s="564"/>
      <c r="AE474" s="564"/>
      <c r="AF474" s="564"/>
      <c r="AG474" s="564"/>
      <c r="AH474" s="564"/>
      <c r="AI474" s="564"/>
      <c r="AJ474" s="564"/>
      <c r="AK474" s="564"/>
      <c r="AL474" s="564"/>
      <c r="AM474" s="564"/>
      <c r="AN474" s="564"/>
      <c r="AO474" s="564"/>
    </row>
    <row r="475" spans="2:41" x14ac:dyDescent="0.15">
      <c r="B475" s="565">
        <v>-19</v>
      </c>
      <c r="C475" s="564">
        <v>0</v>
      </c>
      <c r="D475" s="564"/>
      <c r="E475" s="564"/>
      <c r="F475" s="564"/>
      <c r="G475" s="564"/>
      <c r="H475" s="564"/>
      <c r="I475" s="564"/>
      <c r="J475" s="564"/>
      <c r="K475" s="564"/>
      <c r="L475" s="564"/>
      <c r="M475" s="564"/>
      <c r="N475" s="564"/>
      <c r="O475" s="564"/>
      <c r="P475" s="564"/>
      <c r="Q475" s="564"/>
      <c r="R475" s="564"/>
      <c r="S475" s="564"/>
      <c r="T475" s="564"/>
      <c r="U475" s="564"/>
      <c r="V475" s="564"/>
      <c r="W475" s="564"/>
      <c r="X475" s="564"/>
      <c r="Y475" s="564"/>
      <c r="Z475" s="564"/>
      <c r="AA475" s="564"/>
      <c r="AB475" s="564"/>
      <c r="AC475" s="564"/>
      <c r="AD475" s="564"/>
      <c r="AE475" s="564"/>
      <c r="AF475" s="564"/>
      <c r="AG475" s="564"/>
      <c r="AH475" s="564"/>
      <c r="AI475" s="564"/>
      <c r="AJ475" s="564"/>
      <c r="AK475" s="564"/>
      <c r="AL475" s="564"/>
      <c r="AM475" s="564"/>
      <c r="AN475" s="564"/>
      <c r="AO475" s="564"/>
    </row>
    <row r="476" spans="2:41" x14ac:dyDescent="0.15">
      <c r="B476" s="565">
        <v>-18</v>
      </c>
      <c r="C476" s="564">
        <v>0</v>
      </c>
      <c r="D476" s="564"/>
      <c r="E476" s="564"/>
      <c r="F476" s="564"/>
      <c r="G476" s="564"/>
      <c r="H476" s="564"/>
      <c r="I476" s="564"/>
      <c r="J476" s="564"/>
      <c r="K476" s="564"/>
      <c r="L476" s="564"/>
      <c r="M476" s="564"/>
      <c r="N476" s="564"/>
      <c r="O476" s="564"/>
      <c r="P476" s="564"/>
      <c r="Q476" s="564"/>
      <c r="R476" s="564"/>
      <c r="S476" s="564"/>
      <c r="T476" s="564"/>
      <c r="U476" s="564"/>
      <c r="V476" s="564"/>
      <c r="W476" s="564"/>
      <c r="X476" s="564"/>
      <c r="Y476" s="564"/>
      <c r="Z476" s="564"/>
      <c r="AA476" s="564"/>
      <c r="AB476" s="564"/>
      <c r="AC476" s="564"/>
      <c r="AD476" s="564"/>
      <c r="AE476" s="564"/>
      <c r="AF476" s="564"/>
      <c r="AG476" s="564"/>
      <c r="AH476" s="564"/>
      <c r="AI476" s="564"/>
      <c r="AJ476" s="564"/>
      <c r="AK476" s="564"/>
      <c r="AL476" s="564"/>
      <c r="AM476" s="564"/>
      <c r="AN476" s="564"/>
      <c r="AO476" s="564"/>
    </row>
    <row r="477" spans="2:41" x14ac:dyDescent="0.15">
      <c r="B477" s="565">
        <v>-17</v>
      </c>
      <c r="C477" s="564">
        <v>0</v>
      </c>
      <c r="D477" s="564"/>
      <c r="E477" s="564"/>
      <c r="F477" s="564"/>
      <c r="G477" s="564"/>
      <c r="H477" s="564"/>
      <c r="I477" s="564"/>
      <c r="J477" s="564"/>
      <c r="K477" s="564"/>
      <c r="L477" s="564"/>
      <c r="M477" s="564"/>
      <c r="N477" s="564"/>
      <c r="O477" s="564"/>
      <c r="P477" s="564"/>
      <c r="Q477" s="564"/>
      <c r="R477" s="564"/>
      <c r="S477" s="564"/>
      <c r="T477" s="564"/>
      <c r="U477" s="564"/>
      <c r="V477" s="564"/>
      <c r="W477" s="564"/>
      <c r="X477" s="564"/>
      <c r="Y477" s="564"/>
      <c r="Z477" s="564"/>
      <c r="AA477" s="564"/>
      <c r="AB477" s="564"/>
      <c r="AC477" s="564"/>
      <c r="AD477" s="564"/>
      <c r="AE477" s="564"/>
      <c r="AF477" s="564"/>
      <c r="AG477" s="564"/>
      <c r="AH477" s="564"/>
      <c r="AI477" s="564"/>
      <c r="AJ477" s="564"/>
      <c r="AK477" s="564"/>
      <c r="AL477" s="564"/>
      <c r="AM477" s="564"/>
      <c r="AN477" s="564"/>
      <c r="AO477" s="564"/>
    </row>
    <row r="478" spans="2:41" x14ac:dyDescent="0.15">
      <c r="B478" s="565">
        <v>-16</v>
      </c>
      <c r="C478" s="564">
        <v>0</v>
      </c>
      <c r="D478" s="564"/>
      <c r="E478" s="564"/>
      <c r="F478" s="564"/>
      <c r="G478" s="564"/>
      <c r="H478" s="564"/>
      <c r="I478" s="564"/>
      <c r="J478" s="564"/>
      <c r="K478" s="564"/>
      <c r="L478" s="564"/>
      <c r="M478" s="564"/>
      <c r="N478" s="564"/>
      <c r="O478" s="564"/>
      <c r="P478" s="564"/>
      <c r="Q478" s="564"/>
      <c r="R478" s="564"/>
      <c r="S478" s="564"/>
      <c r="T478" s="564"/>
      <c r="U478" s="564"/>
      <c r="V478" s="564"/>
      <c r="W478" s="564"/>
      <c r="X478" s="564"/>
      <c r="Y478" s="564"/>
      <c r="Z478" s="564"/>
      <c r="AA478" s="564"/>
      <c r="AB478" s="564"/>
      <c r="AC478" s="564"/>
      <c r="AD478" s="564"/>
      <c r="AE478" s="564"/>
      <c r="AF478" s="564"/>
      <c r="AG478" s="564"/>
      <c r="AH478" s="564"/>
      <c r="AI478" s="564"/>
      <c r="AJ478" s="564"/>
      <c r="AK478" s="564"/>
      <c r="AL478" s="564"/>
      <c r="AM478" s="564"/>
      <c r="AN478" s="564"/>
      <c r="AO478" s="564"/>
    </row>
    <row r="479" spans="2:41" x14ac:dyDescent="0.15">
      <c r="B479" s="565">
        <v>-15</v>
      </c>
      <c r="C479" s="564">
        <v>1.1415525114155251E-4</v>
      </c>
      <c r="D479" s="564"/>
      <c r="E479" s="564"/>
      <c r="F479" s="564"/>
      <c r="G479" s="564"/>
      <c r="H479" s="564"/>
      <c r="I479" s="564"/>
      <c r="J479" s="564"/>
      <c r="K479" s="564"/>
      <c r="L479" s="564"/>
      <c r="M479" s="564"/>
      <c r="N479" s="564"/>
      <c r="O479" s="564"/>
      <c r="P479" s="564"/>
      <c r="Q479" s="564"/>
      <c r="R479" s="564"/>
      <c r="S479" s="564"/>
      <c r="T479" s="564"/>
      <c r="U479" s="564"/>
      <c r="V479" s="564"/>
      <c r="W479" s="564"/>
      <c r="X479" s="564"/>
      <c r="Y479" s="564"/>
      <c r="Z479" s="564"/>
      <c r="AA479" s="564"/>
      <c r="AB479" s="564"/>
      <c r="AC479" s="564"/>
      <c r="AD479" s="564"/>
      <c r="AE479" s="564"/>
      <c r="AF479" s="564"/>
      <c r="AG479" s="564"/>
      <c r="AH479" s="564"/>
      <c r="AI479" s="564"/>
      <c r="AJ479" s="564"/>
      <c r="AK479" s="564"/>
      <c r="AL479" s="564"/>
      <c r="AM479" s="564"/>
      <c r="AN479" s="564"/>
      <c r="AO479" s="564"/>
    </row>
    <row r="480" spans="2:41" x14ac:dyDescent="0.15">
      <c r="B480" s="565">
        <v>-14</v>
      </c>
      <c r="C480" s="564">
        <v>6.8493150684931507E-4</v>
      </c>
      <c r="D480" s="564"/>
      <c r="E480" s="564"/>
      <c r="F480" s="564"/>
      <c r="G480" s="564"/>
      <c r="H480" s="564"/>
      <c r="I480" s="564"/>
      <c r="J480" s="564"/>
      <c r="K480" s="564"/>
      <c r="L480" s="564"/>
      <c r="M480" s="564"/>
      <c r="N480" s="564"/>
      <c r="O480" s="564"/>
      <c r="P480" s="564"/>
      <c r="Q480" s="564"/>
      <c r="R480" s="564"/>
      <c r="S480" s="564"/>
      <c r="T480" s="564"/>
      <c r="U480" s="564"/>
      <c r="V480" s="564"/>
      <c r="W480" s="564"/>
      <c r="X480" s="564"/>
      <c r="Y480" s="564"/>
      <c r="Z480" s="564"/>
      <c r="AA480" s="564"/>
      <c r="AB480" s="564"/>
      <c r="AC480" s="564"/>
      <c r="AD480" s="564"/>
      <c r="AE480" s="564"/>
      <c r="AF480" s="564"/>
      <c r="AG480" s="564"/>
      <c r="AH480" s="564"/>
      <c r="AI480" s="564"/>
      <c r="AJ480" s="564"/>
      <c r="AK480" s="564"/>
      <c r="AL480" s="564"/>
      <c r="AM480" s="564"/>
      <c r="AN480" s="564"/>
      <c r="AO480" s="564"/>
    </row>
    <row r="481" spans="2:41" x14ac:dyDescent="0.15">
      <c r="B481" s="565">
        <v>-13</v>
      </c>
      <c r="C481" s="564">
        <v>1.5981735159817352E-3</v>
      </c>
      <c r="D481" s="564"/>
      <c r="E481" s="564"/>
      <c r="F481" s="564"/>
      <c r="G481" s="564"/>
      <c r="H481" s="564"/>
      <c r="I481" s="564"/>
      <c r="J481" s="564"/>
      <c r="K481" s="564"/>
      <c r="L481" s="564"/>
      <c r="M481" s="564"/>
      <c r="N481" s="564"/>
      <c r="O481" s="564"/>
      <c r="P481" s="564"/>
      <c r="Q481" s="564"/>
      <c r="R481" s="564"/>
      <c r="S481" s="564"/>
      <c r="T481" s="564"/>
      <c r="U481" s="564"/>
      <c r="V481" s="564"/>
      <c r="W481" s="564"/>
      <c r="X481" s="564"/>
      <c r="Y481" s="564"/>
      <c r="Z481" s="564"/>
      <c r="AA481" s="564"/>
      <c r="AB481" s="564"/>
      <c r="AC481" s="564"/>
      <c r="AD481" s="564"/>
      <c r="AE481" s="564"/>
      <c r="AF481" s="564"/>
      <c r="AG481" s="564"/>
      <c r="AH481" s="564"/>
      <c r="AI481" s="564"/>
      <c r="AJ481" s="564"/>
      <c r="AK481" s="564"/>
      <c r="AL481" s="564"/>
      <c r="AM481" s="564"/>
      <c r="AN481" s="564"/>
      <c r="AO481" s="564"/>
    </row>
    <row r="482" spans="2:41" x14ac:dyDescent="0.15">
      <c r="B482" s="565">
        <v>-12</v>
      </c>
      <c r="C482" s="564">
        <v>3.767123287671233E-3</v>
      </c>
      <c r="D482" s="564"/>
      <c r="E482" s="564"/>
      <c r="F482" s="564"/>
      <c r="G482" s="564"/>
      <c r="H482" s="564"/>
      <c r="I482" s="564"/>
      <c r="J482" s="564"/>
      <c r="K482" s="564"/>
      <c r="L482" s="564"/>
      <c r="M482" s="564"/>
      <c r="N482" s="564"/>
      <c r="O482" s="564"/>
      <c r="P482" s="564"/>
      <c r="Q482" s="564"/>
      <c r="R482" s="564"/>
      <c r="S482" s="564"/>
      <c r="T482" s="564"/>
      <c r="U482" s="564"/>
      <c r="V482" s="564"/>
      <c r="W482" s="564"/>
      <c r="X482" s="564"/>
      <c r="Y482" s="564"/>
      <c r="Z482" s="564"/>
      <c r="AA482" s="564"/>
      <c r="AB482" s="564"/>
      <c r="AC482" s="564"/>
      <c r="AD482" s="564"/>
      <c r="AE482" s="564"/>
      <c r="AF482" s="564"/>
      <c r="AG482" s="564"/>
      <c r="AH482" s="564"/>
      <c r="AI482" s="564"/>
      <c r="AJ482" s="564"/>
      <c r="AK482" s="564"/>
      <c r="AL482" s="564"/>
      <c r="AM482" s="564"/>
      <c r="AN482" s="564"/>
      <c r="AO482" s="564"/>
    </row>
    <row r="483" spans="2:41" x14ac:dyDescent="0.15">
      <c r="B483" s="565">
        <v>-11</v>
      </c>
      <c r="C483" s="564">
        <v>5.4794520547945206E-3</v>
      </c>
      <c r="D483" s="564"/>
      <c r="E483" s="564"/>
      <c r="F483" s="564"/>
      <c r="G483" s="564"/>
      <c r="H483" s="564"/>
      <c r="I483" s="564"/>
      <c r="J483" s="564"/>
      <c r="K483" s="564"/>
      <c r="L483" s="564"/>
      <c r="M483" s="564"/>
      <c r="N483" s="564"/>
      <c r="O483" s="564"/>
      <c r="P483" s="564"/>
      <c r="Q483" s="564"/>
      <c r="R483" s="564"/>
      <c r="S483" s="564"/>
      <c r="T483" s="564"/>
      <c r="U483" s="564"/>
      <c r="V483" s="564"/>
      <c r="W483" s="564"/>
      <c r="X483" s="564"/>
      <c r="Y483" s="564"/>
      <c r="Z483" s="564"/>
      <c r="AA483" s="564"/>
      <c r="AB483" s="564"/>
      <c r="AC483" s="564"/>
      <c r="AD483" s="564"/>
      <c r="AE483" s="564"/>
      <c r="AF483" s="564"/>
      <c r="AG483" s="564"/>
      <c r="AH483" s="564"/>
      <c r="AI483" s="564"/>
      <c r="AJ483" s="564"/>
      <c r="AK483" s="564"/>
      <c r="AL483" s="564"/>
      <c r="AM483" s="564"/>
      <c r="AN483" s="564"/>
      <c r="AO483" s="564"/>
    </row>
    <row r="484" spans="2:41" x14ac:dyDescent="0.15">
      <c r="B484" s="565">
        <v>-10</v>
      </c>
      <c r="C484" s="564">
        <v>8.1050228310502286E-3</v>
      </c>
      <c r="D484" s="564"/>
      <c r="E484" s="564"/>
      <c r="F484" s="564"/>
      <c r="G484" s="564"/>
      <c r="H484" s="564"/>
      <c r="I484" s="564"/>
      <c r="J484" s="564"/>
      <c r="K484" s="564"/>
      <c r="L484" s="564"/>
      <c r="M484" s="564"/>
      <c r="N484" s="564"/>
      <c r="O484" s="564"/>
      <c r="P484" s="564"/>
      <c r="Q484" s="564"/>
      <c r="R484" s="564"/>
      <c r="S484" s="564"/>
      <c r="T484" s="564"/>
      <c r="U484" s="564"/>
      <c r="V484" s="564"/>
      <c r="W484" s="564"/>
      <c r="X484" s="564"/>
      <c r="Y484" s="564"/>
      <c r="Z484" s="564"/>
      <c r="AA484" s="564"/>
      <c r="AB484" s="564"/>
      <c r="AC484" s="564"/>
      <c r="AD484" s="564"/>
      <c r="AE484" s="564"/>
      <c r="AF484" s="564"/>
      <c r="AG484" s="564"/>
      <c r="AH484" s="564"/>
      <c r="AI484" s="564"/>
      <c r="AJ484" s="564"/>
      <c r="AK484" s="564"/>
      <c r="AL484" s="564"/>
      <c r="AM484" s="564"/>
      <c r="AN484" s="564"/>
      <c r="AO484" s="564"/>
    </row>
    <row r="485" spans="2:41" x14ac:dyDescent="0.15">
      <c r="B485" s="565">
        <v>-9</v>
      </c>
      <c r="C485" s="564">
        <v>9.2465753424657536E-3</v>
      </c>
      <c r="D485" s="564"/>
      <c r="E485" s="564"/>
      <c r="F485" s="564"/>
      <c r="G485" s="564"/>
      <c r="H485" s="564"/>
      <c r="I485" s="564"/>
      <c r="J485" s="564"/>
      <c r="K485" s="564"/>
      <c r="L485" s="564"/>
      <c r="M485" s="564"/>
      <c r="N485" s="564"/>
      <c r="O485" s="564"/>
      <c r="P485" s="564"/>
      <c r="Q485" s="564"/>
      <c r="R485" s="564"/>
      <c r="S485" s="564"/>
      <c r="T485" s="564"/>
      <c r="U485" s="564"/>
      <c r="V485" s="564"/>
      <c r="W485" s="564"/>
      <c r="X485" s="564"/>
      <c r="Y485" s="564"/>
      <c r="Z485" s="564"/>
      <c r="AA485" s="564"/>
      <c r="AB485" s="564"/>
      <c r="AC485" s="564"/>
      <c r="AD485" s="564"/>
      <c r="AE485" s="564"/>
      <c r="AF485" s="564"/>
      <c r="AG485" s="564"/>
      <c r="AH485" s="564"/>
      <c r="AI485" s="564"/>
      <c r="AJ485" s="564"/>
      <c r="AK485" s="564"/>
      <c r="AL485" s="564"/>
      <c r="AM485" s="564"/>
      <c r="AN485" s="564"/>
      <c r="AO485" s="564"/>
    </row>
    <row r="486" spans="2:41" x14ac:dyDescent="0.15">
      <c r="B486" s="565">
        <v>-8</v>
      </c>
      <c r="C486" s="564">
        <v>1.2785388127853882E-2</v>
      </c>
      <c r="D486" s="564"/>
      <c r="E486" s="564"/>
      <c r="F486" s="564"/>
      <c r="G486" s="564"/>
      <c r="H486" s="564"/>
      <c r="I486" s="564"/>
      <c r="J486" s="564"/>
      <c r="K486" s="564"/>
      <c r="L486" s="564"/>
      <c r="M486" s="564"/>
      <c r="N486" s="564"/>
      <c r="O486" s="564"/>
      <c r="P486" s="564"/>
      <c r="Q486" s="564"/>
      <c r="R486" s="564"/>
      <c r="S486" s="564"/>
      <c r="T486" s="564"/>
      <c r="U486" s="564"/>
      <c r="V486" s="564"/>
      <c r="W486" s="564"/>
      <c r="X486" s="564"/>
      <c r="Y486" s="564"/>
      <c r="Z486" s="564"/>
      <c r="AA486" s="564"/>
      <c r="AB486" s="564"/>
      <c r="AC486" s="564"/>
      <c r="AD486" s="564"/>
      <c r="AE486" s="564"/>
      <c r="AF486" s="564"/>
      <c r="AG486" s="564"/>
      <c r="AH486" s="564"/>
      <c r="AI486" s="564"/>
      <c r="AJ486" s="564"/>
      <c r="AK486" s="564"/>
      <c r="AL486" s="564"/>
      <c r="AM486" s="564"/>
      <c r="AN486" s="564"/>
      <c r="AO486" s="564"/>
    </row>
    <row r="487" spans="2:41" x14ac:dyDescent="0.15">
      <c r="B487" s="565">
        <v>-7</v>
      </c>
      <c r="C487" s="564">
        <v>1.6552511415525113E-2</v>
      </c>
      <c r="D487" s="564"/>
      <c r="E487" s="564"/>
      <c r="F487" s="564"/>
      <c r="G487" s="564"/>
      <c r="H487" s="564"/>
      <c r="I487" s="564"/>
      <c r="J487" s="564"/>
      <c r="K487" s="564"/>
      <c r="L487" s="564"/>
      <c r="M487" s="564"/>
      <c r="N487" s="564"/>
      <c r="O487" s="564"/>
      <c r="P487" s="564"/>
      <c r="Q487" s="564"/>
      <c r="R487" s="564"/>
      <c r="S487" s="564"/>
      <c r="T487" s="564"/>
      <c r="U487" s="564"/>
      <c r="V487" s="564"/>
      <c r="W487" s="564"/>
      <c r="X487" s="564"/>
      <c r="Y487" s="564"/>
      <c r="Z487" s="564"/>
      <c r="AA487" s="564"/>
      <c r="AB487" s="564"/>
      <c r="AC487" s="564"/>
      <c r="AD487" s="564"/>
      <c r="AE487" s="564"/>
      <c r="AF487" s="564"/>
      <c r="AG487" s="564"/>
      <c r="AH487" s="564"/>
      <c r="AI487" s="564"/>
      <c r="AJ487" s="564"/>
      <c r="AK487" s="564"/>
      <c r="AL487" s="564"/>
      <c r="AM487" s="564"/>
      <c r="AN487" s="564"/>
      <c r="AO487" s="564"/>
    </row>
    <row r="488" spans="2:41" x14ac:dyDescent="0.15">
      <c r="B488" s="565">
        <v>-6</v>
      </c>
      <c r="C488" s="564">
        <v>2.1803652968036529E-2</v>
      </c>
      <c r="D488" s="564"/>
      <c r="E488" s="564"/>
      <c r="F488" s="564"/>
      <c r="G488" s="564"/>
      <c r="H488" s="564"/>
      <c r="I488" s="564"/>
      <c r="J488" s="564"/>
      <c r="K488" s="564"/>
      <c r="L488" s="564"/>
      <c r="M488" s="564"/>
      <c r="N488" s="564"/>
      <c r="O488" s="564"/>
      <c r="P488" s="564"/>
      <c r="Q488" s="564"/>
      <c r="R488" s="564"/>
      <c r="S488" s="564"/>
      <c r="T488" s="564"/>
      <c r="U488" s="564"/>
      <c r="V488" s="564"/>
      <c r="W488" s="564"/>
      <c r="X488" s="564"/>
      <c r="Y488" s="564"/>
      <c r="Z488" s="564"/>
      <c r="AA488" s="564"/>
      <c r="AB488" s="564"/>
      <c r="AC488" s="564"/>
      <c r="AD488" s="564"/>
      <c r="AE488" s="564"/>
      <c r="AF488" s="564"/>
      <c r="AG488" s="564"/>
      <c r="AH488" s="564"/>
      <c r="AI488" s="564"/>
      <c r="AJ488" s="564"/>
      <c r="AK488" s="564"/>
      <c r="AL488" s="564"/>
      <c r="AM488" s="564"/>
      <c r="AN488" s="564"/>
      <c r="AO488" s="564"/>
    </row>
    <row r="489" spans="2:41" x14ac:dyDescent="0.15">
      <c r="B489" s="565">
        <v>-5</v>
      </c>
      <c r="C489" s="564">
        <v>2.8767123287671233E-2</v>
      </c>
      <c r="D489" s="564"/>
      <c r="E489" s="564"/>
      <c r="F489" s="564"/>
      <c r="G489" s="564"/>
      <c r="H489" s="564"/>
      <c r="I489" s="564"/>
      <c r="J489" s="564"/>
      <c r="K489" s="564"/>
      <c r="L489" s="564"/>
      <c r="M489" s="564"/>
      <c r="N489" s="564"/>
      <c r="O489" s="564"/>
      <c r="P489" s="564"/>
      <c r="Q489" s="564"/>
      <c r="R489" s="564"/>
      <c r="S489" s="564"/>
      <c r="T489" s="564"/>
      <c r="U489" s="564"/>
      <c r="V489" s="564"/>
      <c r="W489" s="564"/>
      <c r="X489" s="564"/>
      <c r="Y489" s="564"/>
      <c r="Z489" s="564"/>
      <c r="AA489" s="564"/>
      <c r="AB489" s="564"/>
      <c r="AC489" s="564"/>
      <c r="AD489" s="564"/>
      <c r="AE489" s="564"/>
      <c r="AF489" s="564"/>
      <c r="AG489" s="564"/>
      <c r="AH489" s="564"/>
      <c r="AI489" s="564"/>
      <c r="AJ489" s="564"/>
      <c r="AK489" s="564"/>
      <c r="AL489" s="564"/>
      <c r="AM489" s="564"/>
      <c r="AN489" s="564"/>
      <c r="AO489" s="564"/>
    </row>
    <row r="490" spans="2:41" x14ac:dyDescent="0.15">
      <c r="B490" s="565">
        <v>-4</v>
      </c>
      <c r="C490" s="564">
        <v>3.515981735159817E-2</v>
      </c>
      <c r="D490" s="564"/>
      <c r="E490" s="564"/>
      <c r="F490" s="564"/>
      <c r="G490" s="564"/>
      <c r="H490" s="564"/>
      <c r="I490" s="564"/>
      <c r="J490" s="564"/>
      <c r="K490" s="564"/>
      <c r="L490" s="564"/>
      <c r="M490" s="564"/>
      <c r="N490" s="564"/>
      <c r="O490" s="564"/>
      <c r="P490" s="564"/>
      <c r="Q490" s="564"/>
      <c r="R490" s="564"/>
      <c r="S490" s="564"/>
      <c r="T490" s="564"/>
      <c r="U490" s="564"/>
      <c r="V490" s="564"/>
      <c r="W490" s="564"/>
      <c r="X490" s="564"/>
      <c r="Y490" s="564"/>
      <c r="Z490" s="564"/>
      <c r="AA490" s="564"/>
      <c r="AB490" s="564"/>
      <c r="AC490" s="564"/>
      <c r="AD490" s="564"/>
      <c r="AE490" s="564"/>
      <c r="AF490" s="564"/>
      <c r="AG490" s="564"/>
      <c r="AH490" s="564"/>
      <c r="AI490" s="564"/>
      <c r="AJ490" s="564"/>
      <c r="AK490" s="564"/>
      <c r="AL490" s="564"/>
      <c r="AM490" s="564"/>
      <c r="AN490" s="564"/>
      <c r="AO490" s="564"/>
    </row>
    <row r="491" spans="2:41" x14ac:dyDescent="0.15">
      <c r="B491" s="565">
        <v>-3</v>
      </c>
      <c r="C491" s="564">
        <v>4.8858447488584478E-2</v>
      </c>
      <c r="D491" s="564"/>
      <c r="E491" s="564"/>
      <c r="F491" s="564"/>
      <c r="G491" s="564"/>
      <c r="H491" s="564"/>
      <c r="I491" s="564"/>
      <c r="J491" s="564"/>
      <c r="K491" s="564"/>
      <c r="L491" s="564"/>
      <c r="M491" s="564"/>
      <c r="N491" s="564"/>
      <c r="O491" s="564"/>
      <c r="P491" s="564"/>
      <c r="Q491" s="564"/>
      <c r="R491" s="564"/>
      <c r="S491" s="564"/>
      <c r="T491" s="564"/>
      <c r="U491" s="564"/>
      <c r="V491" s="564"/>
      <c r="W491" s="564"/>
      <c r="X491" s="564"/>
      <c r="Y491" s="564"/>
      <c r="Z491" s="564"/>
      <c r="AA491" s="564"/>
      <c r="AB491" s="564"/>
      <c r="AC491" s="564"/>
      <c r="AD491" s="564"/>
      <c r="AE491" s="564"/>
      <c r="AF491" s="564"/>
      <c r="AG491" s="564"/>
      <c r="AH491" s="564"/>
      <c r="AI491" s="564"/>
      <c r="AJ491" s="564"/>
      <c r="AK491" s="564"/>
      <c r="AL491" s="564"/>
      <c r="AM491" s="564"/>
      <c r="AN491" s="564"/>
      <c r="AO491" s="564"/>
    </row>
    <row r="492" spans="2:41" x14ac:dyDescent="0.15">
      <c r="B492" s="565">
        <v>-2</v>
      </c>
      <c r="C492" s="564">
        <v>6.632420091324201E-2</v>
      </c>
      <c r="D492" s="564"/>
      <c r="E492" s="564"/>
      <c r="F492" s="564"/>
      <c r="G492" s="564"/>
      <c r="H492" s="564"/>
      <c r="I492" s="564"/>
      <c r="J492" s="564"/>
      <c r="K492" s="564"/>
      <c r="L492" s="564"/>
      <c r="M492" s="564"/>
      <c r="N492" s="564"/>
      <c r="O492" s="564"/>
      <c r="P492" s="564"/>
      <c r="Q492" s="564"/>
      <c r="R492" s="564"/>
      <c r="S492" s="564"/>
      <c r="T492" s="564"/>
      <c r="U492" s="564"/>
      <c r="V492" s="564"/>
      <c r="W492" s="564"/>
      <c r="X492" s="564"/>
      <c r="Y492" s="564"/>
      <c r="Z492" s="564"/>
      <c r="AA492" s="564"/>
      <c r="AB492" s="564"/>
      <c r="AC492" s="564"/>
      <c r="AD492" s="564"/>
      <c r="AE492" s="564"/>
      <c r="AF492" s="564"/>
      <c r="AG492" s="564"/>
      <c r="AH492" s="564"/>
      <c r="AI492" s="564"/>
      <c r="AJ492" s="564"/>
      <c r="AK492" s="564"/>
      <c r="AL492" s="564"/>
      <c r="AM492" s="564"/>
      <c r="AN492" s="564"/>
      <c r="AO492" s="564"/>
    </row>
    <row r="493" spans="2:41" x14ac:dyDescent="0.15">
      <c r="B493" s="565">
        <v>-1</v>
      </c>
      <c r="C493" s="564">
        <v>0.10091324200913242</v>
      </c>
      <c r="D493" s="564"/>
      <c r="E493" s="564"/>
      <c r="F493" s="564"/>
      <c r="G493" s="564"/>
      <c r="H493" s="564"/>
      <c r="I493" s="564"/>
      <c r="J493" s="564"/>
      <c r="K493" s="564"/>
      <c r="L493" s="564"/>
      <c r="M493" s="564"/>
      <c r="N493" s="564"/>
      <c r="O493" s="564"/>
      <c r="P493" s="564"/>
      <c r="Q493" s="564"/>
      <c r="R493" s="564"/>
      <c r="S493" s="564"/>
      <c r="T493" s="564"/>
      <c r="U493" s="564"/>
      <c r="V493" s="564"/>
      <c r="W493" s="564"/>
      <c r="X493" s="564"/>
      <c r="Y493" s="564"/>
      <c r="Z493" s="564"/>
      <c r="AA493" s="564"/>
      <c r="AB493" s="564"/>
      <c r="AC493" s="564"/>
      <c r="AD493" s="564"/>
      <c r="AE493" s="564"/>
      <c r="AF493" s="564"/>
      <c r="AG493" s="564"/>
      <c r="AH493" s="564"/>
      <c r="AI493" s="564"/>
      <c r="AJ493" s="564"/>
      <c r="AK493" s="564"/>
      <c r="AL493" s="564"/>
      <c r="AM493" s="564"/>
      <c r="AN493" s="564"/>
      <c r="AO493" s="564"/>
    </row>
    <row r="494" spans="2:41" x14ac:dyDescent="0.15">
      <c r="B494" s="565">
        <v>0</v>
      </c>
      <c r="C494" s="564">
        <v>0.13904109589041097</v>
      </c>
      <c r="D494" s="564"/>
      <c r="E494" s="564"/>
      <c r="F494" s="564"/>
      <c r="G494" s="564"/>
      <c r="H494" s="564"/>
      <c r="I494" s="564"/>
      <c r="J494" s="564"/>
      <c r="K494" s="564"/>
      <c r="L494" s="564"/>
      <c r="M494" s="564"/>
      <c r="N494" s="564"/>
      <c r="O494" s="564"/>
      <c r="P494" s="564"/>
      <c r="Q494" s="564"/>
      <c r="R494" s="564"/>
      <c r="S494" s="564"/>
      <c r="T494" s="564"/>
      <c r="U494" s="564"/>
      <c r="V494" s="564"/>
      <c r="W494" s="564"/>
      <c r="X494" s="564"/>
      <c r="Y494" s="564"/>
      <c r="Z494" s="564"/>
      <c r="AA494" s="564"/>
      <c r="AB494" s="564"/>
      <c r="AC494" s="564"/>
      <c r="AD494" s="564"/>
      <c r="AE494" s="564"/>
      <c r="AF494" s="564"/>
      <c r="AG494" s="564"/>
      <c r="AH494" s="564"/>
      <c r="AI494" s="564"/>
      <c r="AJ494" s="564"/>
      <c r="AK494" s="564"/>
      <c r="AL494" s="564"/>
      <c r="AM494" s="564"/>
      <c r="AN494" s="564"/>
      <c r="AO494" s="564"/>
    </row>
    <row r="495" spans="2:41" x14ac:dyDescent="0.15">
      <c r="B495" s="565">
        <v>1</v>
      </c>
      <c r="C495" s="564">
        <v>0.16232876712328767</v>
      </c>
      <c r="D495" s="564"/>
      <c r="E495" s="564"/>
      <c r="F495" s="564"/>
      <c r="G495" s="564"/>
      <c r="H495" s="564"/>
      <c r="I495" s="564"/>
      <c r="J495" s="564"/>
      <c r="K495" s="564"/>
      <c r="L495" s="564"/>
      <c r="M495" s="564"/>
      <c r="N495" s="564"/>
      <c r="O495" s="564"/>
      <c r="P495" s="564"/>
      <c r="Q495" s="564"/>
      <c r="R495" s="564"/>
      <c r="S495" s="564"/>
      <c r="T495" s="564"/>
      <c r="U495" s="564"/>
      <c r="V495" s="564"/>
      <c r="W495" s="564"/>
      <c r="X495" s="564"/>
      <c r="Y495" s="564"/>
      <c r="Z495" s="564"/>
      <c r="AA495" s="564"/>
      <c r="AB495" s="564"/>
      <c r="AC495" s="564"/>
      <c r="AD495" s="564"/>
      <c r="AE495" s="564"/>
      <c r="AF495" s="564"/>
      <c r="AG495" s="564"/>
      <c r="AH495" s="564"/>
      <c r="AI495" s="564"/>
      <c r="AJ495" s="564"/>
      <c r="AK495" s="564"/>
      <c r="AL495" s="564"/>
      <c r="AM495" s="564"/>
      <c r="AN495" s="564"/>
      <c r="AO495" s="564"/>
    </row>
    <row r="496" spans="2:41" x14ac:dyDescent="0.15">
      <c r="B496" s="565">
        <v>2</v>
      </c>
      <c r="C496" s="564">
        <v>0.1980593607305936</v>
      </c>
      <c r="D496" s="564"/>
      <c r="E496" s="564"/>
      <c r="F496" s="564"/>
      <c r="G496" s="564"/>
      <c r="H496" s="564"/>
      <c r="I496" s="564"/>
      <c r="J496" s="564"/>
      <c r="K496" s="564"/>
      <c r="L496" s="564"/>
      <c r="M496" s="564"/>
      <c r="N496" s="564"/>
      <c r="O496" s="564"/>
      <c r="P496" s="564"/>
      <c r="Q496" s="564"/>
      <c r="R496" s="564"/>
      <c r="S496" s="564"/>
      <c r="T496" s="564"/>
      <c r="U496" s="564"/>
      <c r="V496" s="564"/>
      <c r="W496" s="564"/>
      <c r="X496" s="564"/>
      <c r="Y496" s="564"/>
      <c r="Z496" s="564"/>
      <c r="AA496" s="564"/>
      <c r="AB496" s="564"/>
      <c r="AC496" s="564"/>
      <c r="AD496" s="564"/>
      <c r="AE496" s="564"/>
      <c r="AF496" s="564"/>
      <c r="AG496" s="564"/>
      <c r="AH496" s="564"/>
      <c r="AI496" s="564"/>
      <c r="AJ496" s="564"/>
      <c r="AK496" s="564"/>
      <c r="AL496" s="564"/>
      <c r="AM496" s="564"/>
      <c r="AN496" s="564"/>
      <c r="AO496" s="564"/>
    </row>
    <row r="497" spans="2:41" x14ac:dyDescent="0.15">
      <c r="B497" s="565">
        <v>3</v>
      </c>
      <c r="C497" s="564">
        <v>0.24200913242009131</v>
      </c>
      <c r="D497" s="564"/>
      <c r="E497" s="564"/>
      <c r="F497" s="564"/>
      <c r="G497" s="564"/>
      <c r="H497" s="564"/>
      <c r="I497" s="564"/>
      <c r="J497" s="564"/>
      <c r="K497" s="564"/>
      <c r="L497" s="564"/>
      <c r="M497" s="564"/>
      <c r="N497" s="564"/>
      <c r="O497" s="564"/>
      <c r="P497" s="564"/>
      <c r="Q497" s="564"/>
      <c r="R497" s="564"/>
      <c r="S497" s="564"/>
      <c r="T497" s="564"/>
      <c r="U497" s="564"/>
      <c r="V497" s="564"/>
      <c r="W497" s="564"/>
      <c r="X497" s="564"/>
      <c r="Y497" s="564"/>
      <c r="Z497" s="564"/>
      <c r="AA497" s="564"/>
      <c r="AB497" s="564"/>
      <c r="AC497" s="564"/>
      <c r="AD497" s="564"/>
      <c r="AE497" s="564"/>
      <c r="AF497" s="564"/>
      <c r="AG497" s="564"/>
      <c r="AH497" s="564"/>
      <c r="AI497" s="564"/>
      <c r="AJ497" s="564"/>
      <c r="AK497" s="564"/>
      <c r="AL497" s="564"/>
      <c r="AM497" s="564"/>
      <c r="AN497" s="564"/>
      <c r="AO497" s="564"/>
    </row>
    <row r="498" spans="2:41" x14ac:dyDescent="0.15">
      <c r="B498" s="565">
        <v>4</v>
      </c>
      <c r="C498" s="564">
        <v>0.29486301369863016</v>
      </c>
      <c r="D498" s="564"/>
      <c r="E498" s="564"/>
      <c r="F498" s="564"/>
      <c r="G498" s="564"/>
      <c r="H498" s="564"/>
      <c r="I498" s="564"/>
      <c r="J498" s="564"/>
      <c r="K498" s="564"/>
      <c r="L498" s="564"/>
      <c r="M498" s="564"/>
      <c r="N498" s="564"/>
      <c r="O498" s="564"/>
      <c r="P498" s="564"/>
      <c r="Q498" s="564"/>
      <c r="R498" s="564"/>
      <c r="S498" s="564"/>
      <c r="T498" s="564"/>
      <c r="U498" s="564"/>
      <c r="V498" s="564"/>
      <c r="W498" s="564"/>
      <c r="X498" s="564"/>
      <c r="Y498" s="564"/>
      <c r="Z498" s="564"/>
      <c r="AA498" s="564"/>
      <c r="AB498" s="564"/>
      <c r="AC498" s="564"/>
      <c r="AD498" s="564"/>
      <c r="AE498" s="564"/>
      <c r="AF498" s="564"/>
      <c r="AG498" s="564"/>
      <c r="AH498" s="564"/>
      <c r="AI498" s="564"/>
      <c r="AJ498" s="564"/>
      <c r="AK498" s="564"/>
      <c r="AL498" s="564"/>
      <c r="AM498" s="564"/>
      <c r="AN498" s="564"/>
      <c r="AO498" s="564"/>
    </row>
    <row r="499" spans="2:41" x14ac:dyDescent="0.15">
      <c r="B499" s="565">
        <v>5</v>
      </c>
      <c r="C499" s="564">
        <v>0.34166666666666667</v>
      </c>
      <c r="D499" s="564"/>
      <c r="E499" s="564"/>
      <c r="F499" s="564"/>
      <c r="G499" s="564"/>
      <c r="H499" s="564"/>
      <c r="I499" s="564"/>
      <c r="J499" s="564"/>
      <c r="K499" s="564"/>
      <c r="L499" s="564"/>
      <c r="M499" s="564"/>
      <c r="N499" s="564"/>
      <c r="O499" s="564"/>
      <c r="P499" s="564"/>
      <c r="Q499" s="564"/>
      <c r="R499" s="564"/>
      <c r="S499" s="564"/>
      <c r="T499" s="564"/>
      <c r="U499" s="564"/>
      <c r="V499" s="564"/>
      <c r="W499" s="564"/>
      <c r="X499" s="564"/>
      <c r="Y499" s="564"/>
      <c r="Z499" s="564"/>
      <c r="AA499" s="564"/>
      <c r="AB499" s="564"/>
      <c r="AC499" s="564"/>
      <c r="AD499" s="564"/>
      <c r="AE499" s="564"/>
      <c r="AF499" s="564"/>
      <c r="AG499" s="564"/>
      <c r="AH499" s="564"/>
      <c r="AI499" s="564"/>
      <c r="AJ499" s="564"/>
      <c r="AK499" s="564"/>
      <c r="AL499" s="564"/>
      <c r="AM499" s="564"/>
      <c r="AN499" s="564"/>
      <c r="AO499" s="564"/>
    </row>
    <row r="500" spans="2:41" x14ac:dyDescent="0.15">
      <c r="B500" s="565">
        <v>6</v>
      </c>
      <c r="C500" s="564">
        <v>0.36552511415525113</v>
      </c>
      <c r="D500" s="564"/>
      <c r="E500" s="564"/>
      <c r="F500" s="564"/>
      <c r="G500" s="564"/>
      <c r="H500" s="564"/>
      <c r="I500" s="564"/>
      <c r="J500" s="564"/>
      <c r="K500" s="564"/>
      <c r="L500" s="564"/>
      <c r="M500" s="564"/>
      <c r="N500" s="564"/>
      <c r="O500" s="564"/>
      <c r="P500" s="564"/>
      <c r="Q500" s="564"/>
      <c r="R500" s="564"/>
      <c r="S500" s="564"/>
      <c r="T500" s="564"/>
      <c r="U500" s="564"/>
      <c r="V500" s="564"/>
      <c r="W500" s="564"/>
      <c r="X500" s="564"/>
      <c r="Y500" s="564"/>
      <c r="Z500" s="564"/>
      <c r="AA500" s="564"/>
      <c r="AB500" s="564"/>
      <c r="AC500" s="564"/>
      <c r="AD500" s="564"/>
      <c r="AE500" s="564"/>
      <c r="AF500" s="564"/>
      <c r="AG500" s="564"/>
      <c r="AH500" s="564"/>
      <c r="AI500" s="564"/>
      <c r="AJ500" s="564"/>
      <c r="AK500" s="564"/>
      <c r="AL500" s="564"/>
      <c r="AM500" s="564"/>
      <c r="AN500" s="564"/>
      <c r="AO500" s="564"/>
    </row>
    <row r="501" spans="2:41" x14ac:dyDescent="0.15">
      <c r="B501" s="565">
        <v>7</v>
      </c>
      <c r="C501" s="564">
        <v>0.41495433789954339</v>
      </c>
      <c r="D501" s="564"/>
      <c r="E501" s="564"/>
      <c r="F501" s="564"/>
      <c r="G501" s="564"/>
      <c r="H501" s="564"/>
      <c r="I501" s="564"/>
      <c r="J501" s="564"/>
      <c r="K501" s="564"/>
      <c r="L501" s="564"/>
      <c r="M501" s="564"/>
      <c r="N501" s="564"/>
      <c r="O501" s="564"/>
      <c r="P501" s="564"/>
      <c r="Q501" s="564"/>
      <c r="R501" s="564"/>
      <c r="S501" s="564"/>
      <c r="T501" s="564"/>
      <c r="U501" s="564"/>
      <c r="V501" s="564"/>
      <c r="W501" s="564"/>
      <c r="X501" s="564"/>
      <c r="Y501" s="564"/>
      <c r="Z501" s="564"/>
      <c r="AA501" s="564"/>
      <c r="AB501" s="564"/>
      <c r="AC501" s="564"/>
      <c r="AD501" s="564"/>
      <c r="AE501" s="564"/>
      <c r="AF501" s="564"/>
      <c r="AG501" s="564"/>
      <c r="AH501" s="564"/>
      <c r="AI501" s="564"/>
      <c r="AJ501" s="564"/>
      <c r="AK501" s="564"/>
      <c r="AL501" s="564"/>
      <c r="AM501" s="564"/>
      <c r="AN501" s="564"/>
      <c r="AO501" s="564"/>
    </row>
    <row r="502" spans="2:41" x14ac:dyDescent="0.15">
      <c r="B502" s="565">
        <v>8</v>
      </c>
      <c r="C502" s="564">
        <v>0.45878995433789954</v>
      </c>
      <c r="D502" s="564"/>
      <c r="E502" s="564"/>
      <c r="F502" s="564"/>
      <c r="G502" s="564"/>
      <c r="H502" s="564"/>
      <c r="I502" s="564"/>
      <c r="J502" s="564"/>
      <c r="K502" s="564"/>
      <c r="L502" s="564"/>
      <c r="M502" s="564"/>
      <c r="N502" s="564"/>
      <c r="O502" s="564"/>
      <c r="P502" s="564"/>
      <c r="Q502" s="564"/>
      <c r="R502" s="564"/>
      <c r="S502" s="564"/>
      <c r="T502" s="564"/>
      <c r="U502" s="564"/>
      <c r="V502" s="564"/>
      <c r="W502" s="564"/>
      <c r="X502" s="564"/>
      <c r="Y502" s="564"/>
      <c r="Z502" s="564"/>
      <c r="AA502" s="564"/>
      <c r="AB502" s="564"/>
      <c r="AC502" s="564"/>
      <c r="AD502" s="564"/>
      <c r="AE502" s="564"/>
      <c r="AF502" s="564"/>
      <c r="AG502" s="564"/>
      <c r="AH502" s="564"/>
      <c r="AI502" s="564"/>
      <c r="AJ502" s="564"/>
      <c r="AK502" s="564"/>
      <c r="AL502" s="564"/>
      <c r="AM502" s="564"/>
      <c r="AN502" s="564"/>
      <c r="AO502" s="564"/>
    </row>
    <row r="503" spans="2:41" x14ac:dyDescent="0.15">
      <c r="B503" s="565">
        <v>9</v>
      </c>
      <c r="C503" s="564">
        <v>0.50376712328767126</v>
      </c>
      <c r="D503" s="564"/>
      <c r="E503" s="564"/>
      <c r="F503" s="564"/>
      <c r="G503" s="564"/>
      <c r="H503" s="564"/>
      <c r="I503" s="564"/>
      <c r="J503" s="564"/>
      <c r="K503" s="564"/>
      <c r="L503" s="564"/>
      <c r="M503" s="564"/>
      <c r="N503" s="564"/>
      <c r="O503" s="564"/>
      <c r="P503" s="564"/>
      <c r="Q503" s="564"/>
      <c r="R503" s="564"/>
      <c r="S503" s="564"/>
      <c r="T503" s="564"/>
      <c r="U503" s="564"/>
      <c r="V503" s="564"/>
      <c r="W503" s="564"/>
      <c r="X503" s="564"/>
      <c r="Y503" s="564"/>
      <c r="Z503" s="564"/>
      <c r="AA503" s="564"/>
      <c r="AB503" s="564"/>
      <c r="AC503" s="564"/>
      <c r="AD503" s="564"/>
      <c r="AE503" s="564"/>
      <c r="AF503" s="564"/>
      <c r="AG503" s="564"/>
      <c r="AH503" s="564"/>
      <c r="AI503" s="564"/>
      <c r="AJ503" s="564"/>
      <c r="AK503" s="564"/>
      <c r="AL503" s="564"/>
      <c r="AM503" s="564"/>
      <c r="AN503" s="564"/>
      <c r="AO503" s="564"/>
    </row>
    <row r="504" spans="2:41" x14ac:dyDescent="0.15">
      <c r="B504" s="565">
        <v>10</v>
      </c>
      <c r="C504" s="564">
        <v>0.54908675799086759</v>
      </c>
      <c r="D504" s="564"/>
      <c r="E504" s="564"/>
      <c r="F504" s="564"/>
      <c r="G504" s="564"/>
      <c r="H504" s="564"/>
      <c r="I504" s="564"/>
      <c r="J504" s="564"/>
      <c r="K504" s="564"/>
      <c r="L504" s="564"/>
      <c r="M504" s="564"/>
      <c r="N504" s="564"/>
      <c r="O504" s="564"/>
      <c r="P504" s="564"/>
      <c r="Q504" s="564"/>
      <c r="R504" s="564"/>
      <c r="S504" s="564"/>
      <c r="T504" s="564"/>
      <c r="U504" s="564"/>
      <c r="V504" s="564"/>
      <c r="W504" s="564"/>
      <c r="X504" s="564"/>
      <c r="Y504" s="564"/>
      <c r="Z504" s="564"/>
      <c r="AA504" s="564"/>
      <c r="AB504" s="564"/>
      <c r="AC504" s="564"/>
      <c r="AD504" s="564"/>
      <c r="AE504" s="564"/>
      <c r="AF504" s="564"/>
      <c r="AG504" s="564"/>
      <c r="AH504" s="564"/>
      <c r="AI504" s="564"/>
      <c r="AJ504" s="564"/>
      <c r="AK504" s="564"/>
      <c r="AL504" s="564"/>
      <c r="AM504" s="564"/>
      <c r="AN504" s="564"/>
      <c r="AO504" s="564"/>
    </row>
    <row r="505" spans="2:41" x14ac:dyDescent="0.15">
      <c r="B505" s="565">
        <v>11</v>
      </c>
      <c r="C505" s="564">
        <v>0.57066210045662102</v>
      </c>
      <c r="D505" s="564"/>
      <c r="E505" s="564"/>
      <c r="F505" s="564"/>
      <c r="G505" s="564"/>
      <c r="H505" s="564"/>
      <c r="I505" s="564"/>
      <c r="J505" s="564"/>
      <c r="K505" s="564"/>
      <c r="L505" s="564"/>
      <c r="M505" s="564"/>
      <c r="N505" s="564"/>
      <c r="O505" s="564"/>
      <c r="P505" s="564"/>
      <c r="Q505" s="564"/>
      <c r="R505" s="564"/>
      <c r="S505" s="564"/>
      <c r="T505" s="564"/>
      <c r="U505" s="564"/>
      <c r="V505" s="564"/>
      <c r="W505" s="564"/>
      <c r="X505" s="564"/>
      <c r="Y505" s="564"/>
      <c r="Z505" s="564"/>
      <c r="AA505" s="564"/>
      <c r="AB505" s="564"/>
      <c r="AC505" s="564"/>
      <c r="AD505" s="564"/>
      <c r="AE505" s="564"/>
      <c r="AF505" s="564"/>
      <c r="AG505" s="564"/>
      <c r="AH505" s="564"/>
      <c r="AI505" s="564"/>
      <c r="AJ505" s="564"/>
      <c r="AK505" s="564"/>
      <c r="AL505" s="564"/>
      <c r="AM505" s="564"/>
      <c r="AN505" s="564"/>
      <c r="AO505" s="564"/>
    </row>
    <row r="506" spans="2:41" x14ac:dyDescent="0.15">
      <c r="B506" s="565">
        <v>12</v>
      </c>
      <c r="C506" s="564">
        <v>0.61963470319634706</v>
      </c>
      <c r="D506" s="564"/>
      <c r="E506" s="564"/>
      <c r="F506" s="564"/>
      <c r="G506" s="564"/>
      <c r="H506" s="564"/>
      <c r="I506" s="564"/>
      <c r="J506" s="564"/>
      <c r="K506" s="564"/>
      <c r="L506" s="564"/>
      <c r="M506" s="564"/>
      <c r="N506" s="564"/>
      <c r="O506" s="564"/>
      <c r="P506" s="564"/>
      <c r="Q506" s="564"/>
      <c r="R506" s="564"/>
      <c r="S506" s="564"/>
      <c r="T506" s="564"/>
      <c r="U506" s="564"/>
      <c r="V506" s="564"/>
      <c r="W506" s="564"/>
      <c r="X506" s="564"/>
      <c r="Y506" s="564"/>
      <c r="Z506" s="564"/>
      <c r="AA506" s="564"/>
      <c r="AB506" s="564"/>
      <c r="AC506" s="564"/>
      <c r="AD506" s="564"/>
      <c r="AE506" s="564"/>
      <c r="AF506" s="564"/>
      <c r="AG506" s="564"/>
      <c r="AH506" s="564"/>
      <c r="AI506" s="564"/>
      <c r="AJ506" s="564"/>
      <c r="AK506" s="564"/>
      <c r="AL506" s="564"/>
      <c r="AM506" s="564"/>
      <c r="AN506" s="564"/>
      <c r="AO506" s="564"/>
    </row>
    <row r="507" spans="2:41" x14ac:dyDescent="0.15">
      <c r="B507" s="565">
        <v>13</v>
      </c>
      <c r="C507" s="564">
        <v>0.67043378995433789</v>
      </c>
      <c r="D507" s="564"/>
      <c r="E507" s="564"/>
      <c r="F507" s="564"/>
      <c r="G507" s="564"/>
      <c r="H507" s="564"/>
      <c r="I507" s="564"/>
      <c r="J507" s="564"/>
      <c r="K507" s="564"/>
      <c r="L507" s="564"/>
      <c r="M507" s="564"/>
      <c r="N507" s="564"/>
      <c r="O507" s="564"/>
      <c r="P507" s="564"/>
      <c r="Q507" s="564"/>
      <c r="R507" s="564"/>
      <c r="S507" s="564"/>
      <c r="T507" s="564"/>
      <c r="U507" s="564"/>
      <c r="V507" s="564"/>
      <c r="W507" s="564"/>
      <c r="X507" s="564"/>
      <c r="Y507" s="564"/>
      <c r="Z507" s="564"/>
      <c r="AA507" s="564"/>
      <c r="AB507" s="564"/>
      <c r="AC507" s="564"/>
      <c r="AD507" s="564"/>
      <c r="AE507" s="564"/>
      <c r="AF507" s="564"/>
      <c r="AG507" s="564"/>
      <c r="AH507" s="564"/>
      <c r="AI507" s="564"/>
      <c r="AJ507" s="564"/>
      <c r="AK507" s="564"/>
      <c r="AL507" s="564"/>
      <c r="AM507" s="564"/>
      <c r="AN507" s="564"/>
      <c r="AO507" s="564"/>
    </row>
    <row r="508" spans="2:41" x14ac:dyDescent="0.15">
      <c r="B508" s="565">
        <v>14</v>
      </c>
      <c r="C508" s="564">
        <v>0.72328767123287674</v>
      </c>
      <c r="D508" s="564"/>
      <c r="E508" s="564"/>
      <c r="F508" s="564"/>
      <c r="G508" s="564"/>
      <c r="H508" s="564"/>
      <c r="I508" s="564"/>
      <c r="J508" s="564"/>
      <c r="K508" s="564"/>
      <c r="L508" s="564"/>
      <c r="M508" s="564"/>
      <c r="N508" s="564"/>
      <c r="O508" s="564"/>
      <c r="P508" s="564"/>
      <c r="Q508" s="564"/>
      <c r="R508" s="564"/>
      <c r="S508" s="564"/>
      <c r="T508" s="564"/>
      <c r="U508" s="564"/>
      <c r="V508" s="564"/>
      <c r="W508" s="564"/>
      <c r="X508" s="564"/>
      <c r="Y508" s="564"/>
      <c r="Z508" s="564"/>
      <c r="AA508" s="564"/>
      <c r="AB508" s="564"/>
      <c r="AC508" s="564"/>
      <c r="AD508" s="564"/>
      <c r="AE508" s="564"/>
      <c r="AF508" s="564"/>
      <c r="AG508" s="564"/>
      <c r="AH508" s="564"/>
      <c r="AI508" s="564"/>
      <c r="AJ508" s="564"/>
      <c r="AK508" s="564"/>
      <c r="AL508" s="564"/>
      <c r="AM508" s="564"/>
      <c r="AN508" s="564"/>
      <c r="AO508" s="564"/>
    </row>
    <row r="509" spans="2:41" x14ac:dyDescent="0.15">
      <c r="B509" s="565">
        <v>15</v>
      </c>
      <c r="C509" s="564">
        <v>0.77203196347031966</v>
      </c>
      <c r="D509" s="564"/>
      <c r="E509" s="564"/>
      <c r="F509" s="564"/>
      <c r="G509" s="564"/>
      <c r="H509" s="564"/>
      <c r="I509" s="564"/>
      <c r="J509" s="564"/>
      <c r="K509" s="564"/>
      <c r="L509" s="564"/>
      <c r="M509" s="564"/>
      <c r="N509" s="564"/>
      <c r="O509" s="564"/>
      <c r="P509" s="564"/>
      <c r="Q509" s="564"/>
      <c r="R509" s="564"/>
      <c r="S509" s="564"/>
      <c r="T509" s="564"/>
      <c r="U509" s="564"/>
      <c r="V509" s="564"/>
      <c r="W509" s="564"/>
      <c r="X509" s="564"/>
      <c r="Y509" s="564"/>
      <c r="Z509" s="564"/>
      <c r="AA509" s="564"/>
      <c r="AB509" s="564"/>
      <c r="AC509" s="564"/>
      <c r="AD509" s="564"/>
      <c r="AE509" s="564"/>
      <c r="AF509" s="564"/>
      <c r="AG509" s="564"/>
      <c r="AH509" s="564"/>
      <c r="AI509" s="564"/>
      <c r="AJ509" s="564"/>
      <c r="AK509" s="564"/>
      <c r="AL509" s="564"/>
      <c r="AM509" s="564"/>
      <c r="AN509" s="564"/>
      <c r="AO509" s="564"/>
    </row>
    <row r="510" spans="2:41" x14ac:dyDescent="0.15">
      <c r="B510" s="565">
        <v>16</v>
      </c>
      <c r="C510" s="564">
        <v>0.79349315068493154</v>
      </c>
      <c r="D510" s="564"/>
      <c r="E510" s="564"/>
      <c r="F510" s="564"/>
      <c r="G510" s="564"/>
      <c r="H510" s="564"/>
      <c r="I510" s="564"/>
      <c r="J510" s="564"/>
      <c r="K510" s="564"/>
      <c r="L510" s="564"/>
      <c r="M510" s="564"/>
      <c r="N510" s="564"/>
      <c r="O510" s="564"/>
      <c r="P510" s="564"/>
      <c r="Q510" s="564"/>
      <c r="R510" s="564"/>
      <c r="S510" s="564"/>
      <c r="T510" s="564"/>
      <c r="U510" s="564"/>
      <c r="V510" s="564"/>
      <c r="W510" s="564"/>
      <c r="X510" s="564"/>
      <c r="Y510" s="564"/>
      <c r="Z510" s="564"/>
      <c r="AA510" s="564"/>
      <c r="AB510" s="564"/>
      <c r="AC510" s="564"/>
      <c r="AD510" s="564"/>
      <c r="AE510" s="564"/>
      <c r="AF510" s="564"/>
      <c r="AG510" s="564"/>
      <c r="AH510" s="564"/>
      <c r="AI510" s="564"/>
      <c r="AJ510" s="564"/>
      <c r="AK510" s="564"/>
      <c r="AL510" s="564"/>
      <c r="AM510" s="564"/>
      <c r="AN510" s="564"/>
      <c r="AO510" s="564"/>
    </row>
    <row r="511" spans="2:41" x14ac:dyDescent="0.15">
      <c r="B511" s="565">
        <v>17</v>
      </c>
      <c r="C511" s="564">
        <v>0.83253424657534247</v>
      </c>
      <c r="D511" s="564"/>
      <c r="E511" s="564"/>
      <c r="F511" s="564"/>
      <c r="G511" s="564"/>
      <c r="H511" s="564"/>
      <c r="I511" s="564"/>
      <c r="J511" s="564"/>
      <c r="K511" s="564"/>
      <c r="L511" s="564"/>
      <c r="M511" s="564"/>
      <c r="N511" s="564"/>
      <c r="O511" s="564"/>
      <c r="P511" s="564"/>
      <c r="Q511" s="564"/>
      <c r="R511" s="564"/>
      <c r="S511" s="564"/>
      <c r="T511" s="564"/>
      <c r="U511" s="564"/>
      <c r="V511" s="564"/>
      <c r="W511" s="564"/>
      <c r="X511" s="564"/>
      <c r="Y511" s="564"/>
      <c r="Z511" s="564"/>
      <c r="AA511" s="564"/>
      <c r="AB511" s="564"/>
      <c r="AC511" s="564"/>
      <c r="AD511" s="564"/>
      <c r="AE511" s="564"/>
      <c r="AF511" s="564"/>
      <c r="AG511" s="564"/>
      <c r="AH511" s="564"/>
      <c r="AI511" s="564"/>
      <c r="AJ511" s="564"/>
      <c r="AK511" s="564"/>
      <c r="AL511" s="564"/>
      <c r="AM511" s="564"/>
      <c r="AN511" s="564"/>
      <c r="AO511" s="564"/>
    </row>
    <row r="512" spans="2:41" x14ac:dyDescent="0.15">
      <c r="B512" s="565">
        <v>18</v>
      </c>
      <c r="C512" s="564">
        <v>0.86906392694063928</v>
      </c>
      <c r="D512" s="564"/>
      <c r="E512" s="564"/>
      <c r="F512" s="564"/>
      <c r="G512" s="564"/>
      <c r="H512" s="564"/>
      <c r="I512" s="564"/>
      <c r="J512" s="564"/>
      <c r="K512" s="564"/>
      <c r="L512" s="564"/>
      <c r="M512" s="564"/>
      <c r="N512" s="564"/>
      <c r="O512" s="564"/>
      <c r="P512" s="564"/>
      <c r="Q512" s="564"/>
      <c r="R512" s="564"/>
      <c r="S512" s="564"/>
      <c r="T512" s="564"/>
      <c r="U512" s="564"/>
      <c r="V512" s="564"/>
      <c r="W512" s="564"/>
      <c r="X512" s="564"/>
      <c r="Y512" s="564"/>
      <c r="Z512" s="564"/>
      <c r="AA512" s="564"/>
      <c r="AB512" s="564"/>
      <c r="AC512" s="564"/>
      <c r="AD512" s="564"/>
      <c r="AE512" s="564"/>
      <c r="AF512" s="564"/>
      <c r="AG512" s="564"/>
      <c r="AH512" s="564"/>
      <c r="AI512" s="564"/>
      <c r="AJ512" s="564"/>
      <c r="AK512" s="564"/>
      <c r="AL512" s="564"/>
      <c r="AM512" s="564"/>
      <c r="AN512" s="564"/>
      <c r="AO512" s="564"/>
    </row>
    <row r="513" spans="2:41" x14ac:dyDescent="0.15">
      <c r="B513" s="565">
        <v>19</v>
      </c>
      <c r="C513" s="564">
        <v>0.9031963470319635</v>
      </c>
      <c r="D513" s="564"/>
      <c r="E513" s="564"/>
      <c r="F513" s="564"/>
      <c r="G513" s="564"/>
      <c r="H513" s="564"/>
      <c r="I513" s="564"/>
      <c r="J513" s="564"/>
      <c r="K513" s="564"/>
      <c r="L513" s="564"/>
      <c r="M513" s="564"/>
      <c r="N513" s="564"/>
      <c r="O513" s="564"/>
      <c r="P513" s="564"/>
      <c r="Q513" s="564"/>
      <c r="R513" s="564"/>
      <c r="S513" s="564"/>
      <c r="T513" s="564"/>
      <c r="U513" s="564"/>
      <c r="V513" s="564"/>
      <c r="W513" s="564"/>
      <c r="X513" s="564"/>
      <c r="Y513" s="564"/>
      <c r="Z513" s="564"/>
      <c r="AA513" s="564"/>
      <c r="AB513" s="564"/>
      <c r="AC513" s="564"/>
      <c r="AD513" s="564"/>
      <c r="AE513" s="564"/>
      <c r="AF513" s="564"/>
      <c r="AG513" s="564"/>
      <c r="AH513" s="564"/>
      <c r="AI513" s="564"/>
      <c r="AJ513" s="564"/>
      <c r="AK513" s="564"/>
      <c r="AL513" s="564"/>
      <c r="AM513" s="564"/>
      <c r="AN513" s="564"/>
      <c r="AO513" s="564"/>
    </row>
    <row r="514" spans="2:41" x14ac:dyDescent="0.15">
      <c r="B514" s="565">
        <v>20</v>
      </c>
      <c r="C514" s="564">
        <v>0.92842465753424652</v>
      </c>
      <c r="D514" s="564"/>
      <c r="E514" s="564"/>
      <c r="F514" s="564"/>
      <c r="G514" s="564"/>
      <c r="H514" s="564"/>
      <c r="I514" s="564"/>
      <c r="J514" s="564"/>
      <c r="K514" s="564"/>
      <c r="L514" s="564"/>
      <c r="M514" s="564"/>
      <c r="N514" s="564"/>
      <c r="O514" s="564"/>
      <c r="P514" s="564"/>
      <c r="Q514" s="564"/>
      <c r="R514" s="564"/>
      <c r="S514" s="564"/>
      <c r="T514" s="564"/>
      <c r="U514" s="564"/>
      <c r="V514" s="564"/>
      <c r="W514" s="564"/>
      <c r="X514" s="564"/>
      <c r="Y514" s="564"/>
      <c r="Z514" s="564"/>
      <c r="AA514" s="564"/>
      <c r="AB514" s="564"/>
      <c r="AC514" s="564"/>
      <c r="AD514" s="564"/>
      <c r="AE514" s="564"/>
      <c r="AF514" s="564"/>
      <c r="AG514" s="564"/>
      <c r="AH514" s="564"/>
      <c r="AI514" s="564"/>
      <c r="AJ514" s="564"/>
      <c r="AK514" s="564"/>
      <c r="AL514" s="564"/>
      <c r="AM514" s="564"/>
      <c r="AN514" s="564"/>
      <c r="AO514" s="564"/>
    </row>
    <row r="515" spans="2:41" x14ac:dyDescent="0.15">
      <c r="B515" s="565">
        <v>21</v>
      </c>
      <c r="C515" s="564">
        <v>0.9397260273972603</v>
      </c>
      <c r="D515" s="564"/>
      <c r="E515" s="564"/>
      <c r="F515" s="564"/>
      <c r="G515" s="564"/>
      <c r="H515" s="564"/>
      <c r="I515" s="564"/>
      <c r="J515" s="564"/>
      <c r="K515" s="564"/>
      <c r="L515" s="564"/>
      <c r="M515" s="564"/>
      <c r="N515" s="564"/>
      <c r="O515" s="564"/>
      <c r="P515" s="564"/>
      <c r="Q515" s="564"/>
      <c r="R515" s="564"/>
      <c r="S515" s="564"/>
      <c r="T515" s="564"/>
      <c r="U515" s="564"/>
      <c r="V515" s="564"/>
      <c r="W515" s="564"/>
      <c r="X515" s="564"/>
      <c r="Y515" s="564"/>
      <c r="Z515" s="564"/>
      <c r="AA515" s="564"/>
      <c r="AB515" s="564"/>
      <c r="AC515" s="564"/>
      <c r="AD515" s="564"/>
      <c r="AE515" s="564"/>
      <c r="AF515" s="564"/>
      <c r="AG515" s="564"/>
      <c r="AH515" s="564"/>
      <c r="AI515" s="564"/>
      <c r="AJ515" s="564"/>
      <c r="AK515" s="564"/>
      <c r="AL515" s="564"/>
      <c r="AM515" s="564"/>
      <c r="AN515" s="564"/>
      <c r="AO515" s="564"/>
    </row>
    <row r="516" spans="2:41" x14ac:dyDescent="0.15">
      <c r="B516" s="565">
        <v>22</v>
      </c>
      <c r="C516" s="564">
        <v>0.95684931506849313</v>
      </c>
      <c r="D516" s="564"/>
      <c r="E516" s="564"/>
      <c r="F516" s="564"/>
      <c r="G516" s="564"/>
      <c r="H516" s="564"/>
      <c r="I516" s="564"/>
      <c r="J516" s="564"/>
      <c r="K516" s="564"/>
      <c r="L516" s="564"/>
      <c r="M516" s="564"/>
      <c r="N516" s="564"/>
      <c r="O516" s="564"/>
      <c r="P516" s="564"/>
      <c r="Q516" s="564"/>
      <c r="R516" s="564"/>
      <c r="S516" s="564"/>
      <c r="T516" s="564"/>
      <c r="U516" s="564"/>
      <c r="V516" s="564"/>
      <c r="W516" s="564"/>
      <c r="X516" s="564"/>
      <c r="Y516" s="564"/>
      <c r="Z516" s="564"/>
      <c r="AA516" s="564"/>
      <c r="AB516" s="564"/>
      <c r="AC516" s="564"/>
      <c r="AD516" s="564"/>
      <c r="AE516" s="564"/>
      <c r="AF516" s="564"/>
      <c r="AG516" s="564"/>
      <c r="AH516" s="564"/>
      <c r="AI516" s="564"/>
      <c r="AJ516" s="564"/>
      <c r="AK516" s="564"/>
      <c r="AL516" s="564"/>
      <c r="AM516" s="564"/>
      <c r="AN516" s="564"/>
      <c r="AO516" s="564"/>
    </row>
    <row r="517" spans="2:41" x14ac:dyDescent="0.15">
      <c r="B517" s="565">
        <v>23</v>
      </c>
      <c r="C517" s="564">
        <v>0.96986301369863015</v>
      </c>
      <c r="D517" s="564"/>
      <c r="E517" s="564"/>
      <c r="F517" s="564"/>
      <c r="G517" s="564"/>
      <c r="H517" s="564"/>
      <c r="I517" s="564"/>
      <c r="J517" s="564"/>
      <c r="K517" s="564"/>
      <c r="L517" s="564"/>
      <c r="M517" s="564"/>
      <c r="N517" s="564"/>
      <c r="O517" s="564"/>
      <c r="P517" s="564"/>
      <c r="Q517" s="564"/>
      <c r="R517" s="564"/>
      <c r="S517" s="564"/>
      <c r="T517" s="564"/>
      <c r="U517" s="564"/>
      <c r="V517" s="564"/>
      <c r="W517" s="564"/>
      <c r="X517" s="564"/>
      <c r="Y517" s="564"/>
      <c r="Z517" s="564"/>
      <c r="AA517" s="564"/>
      <c r="AB517" s="564"/>
      <c r="AC517" s="564"/>
      <c r="AD517" s="564"/>
      <c r="AE517" s="564"/>
      <c r="AF517" s="564"/>
      <c r="AG517" s="564"/>
      <c r="AH517" s="564"/>
      <c r="AI517" s="564"/>
      <c r="AJ517" s="564"/>
      <c r="AK517" s="564"/>
      <c r="AL517" s="564"/>
      <c r="AM517" s="564"/>
      <c r="AN517" s="564"/>
      <c r="AO517" s="564"/>
    </row>
    <row r="518" spans="2:41" x14ac:dyDescent="0.15">
      <c r="B518" s="565">
        <v>24</v>
      </c>
      <c r="C518" s="564">
        <v>0.98036529680365292</v>
      </c>
      <c r="D518" s="564"/>
      <c r="E518" s="564"/>
      <c r="F518" s="564"/>
      <c r="G518" s="564"/>
      <c r="H518" s="564"/>
      <c r="I518" s="564"/>
      <c r="J518" s="564"/>
      <c r="K518" s="564"/>
      <c r="L518" s="564"/>
      <c r="M518" s="564"/>
      <c r="N518" s="564"/>
      <c r="O518" s="564"/>
      <c r="P518" s="564"/>
      <c r="Q518" s="564"/>
      <c r="R518" s="564"/>
      <c r="S518" s="564"/>
      <c r="T518" s="564"/>
      <c r="U518" s="564"/>
      <c r="V518" s="564"/>
      <c r="W518" s="564"/>
      <c r="X518" s="564"/>
      <c r="Y518" s="564"/>
      <c r="Z518" s="564"/>
      <c r="AA518" s="564"/>
      <c r="AB518" s="564"/>
      <c r="AC518" s="564"/>
      <c r="AD518" s="564"/>
      <c r="AE518" s="564"/>
      <c r="AF518" s="564"/>
      <c r="AG518" s="564"/>
      <c r="AH518" s="564"/>
      <c r="AI518" s="564"/>
      <c r="AJ518" s="564"/>
      <c r="AK518" s="564"/>
      <c r="AL518" s="564"/>
      <c r="AM518" s="564"/>
      <c r="AN518" s="564"/>
      <c r="AO518" s="564"/>
    </row>
    <row r="519" spans="2:41" x14ac:dyDescent="0.15">
      <c r="B519" s="565">
        <v>25</v>
      </c>
      <c r="C519" s="564">
        <v>0.98710045662100454</v>
      </c>
      <c r="D519" s="564"/>
      <c r="E519" s="564"/>
      <c r="F519" s="564"/>
      <c r="G519" s="564"/>
      <c r="H519" s="564"/>
      <c r="I519" s="564"/>
      <c r="J519" s="564"/>
      <c r="K519" s="564"/>
      <c r="L519" s="564"/>
      <c r="M519" s="564"/>
      <c r="N519" s="564"/>
      <c r="O519" s="564"/>
      <c r="P519" s="564"/>
      <c r="Q519" s="564"/>
      <c r="R519" s="564"/>
      <c r="S519" s="564"/>
      <c r="T519" s="564"/>
      <c r="U519" s="564"/>
      <c r="V519" s="564"/>
      <c r="W519" s="564"/>
      <c r="X519" s="564"/>
      <c r="Y519" s="564"/>
      <c r="Z519" s="564"/>
      <c r="AA519" s="564"/>
      <c r="AB519" s="564"/>
      <c r="AC519" s="564"/>
      <c r="AD519" s="564"/>
      <c r="AE519" s="564"/>
      <c r="AF519" s="564"/>
      <c r="AG519" s="564"/>
      <c r="AH519" s="564"/>
      <c r="AI519" s="564"/>
      <c r="AJ519" s="564"/>
      <c r="AK519" s="564"/>
      <c r="AL519" s="564"/>
      <c r="AM519" s="564"/>
      <c r="AN519" s="564"/>
      <c r="AO519" s="564"/>
    </row>
    <row r="520" spans="2:41" x14ac:dyDescent="0.15">
      <c r="B520" s="565">
        <v>26</v>
      </c>
      <c r="C520" s="564">
        <v>0.99075342465753424</v>
      </c>
      <c r="D520" s="564"/>
      <c r="E520" s="564"/>
      <c r="F520" s="564"/>
      <c r="G520" s="564"/>
      <c r="H520" s="564"/>
      <c r="I520" s="564"/>
      <c r="J520" s="564"/>
      <c r="K520" s="564"/>
      <c r="L520" s="564"/>
      <c r="M520" s="564"/>
      <c r="N520" s="564"/>
      <c r="O520" s="564"/>
      <c r="P520" s="564"/>
      <c r="Q520" s="564"/>
      <c r="R520" s="564"/>
      <c r="S520" s="564"/>
      <c r="T520" s="564"/>
      <c r="U520" s="564"/>
      <c r="V520" s="564"/>
      <c r="W520" s="564"/>
      <c r="X520" s="564"/>
      <c r="Y520" s="564"/>
      <c r="Z520" s="564"/>
      <c r="AA520" s="564"/>
      <c r="AB520" s="564"/>
      <c r="AC520" s="564"/>
      <c r="AD520" s="564"/>
      <c r="AE520" s="564"/>
      <c r="AF520" s="564"/>
      <c r="AG520" s="564"/>
      <c r="AH520" s="564"/>
      <c r="AI520" s="564"/>
      <c r="AJ520" s="564"/>
      <c r="AK520" s="564"/>
      <c r="AL520" s="564"/>
      <c r="AM520" s="564"/>
      <c r="AN520" s="564"/>
      <c r="AO520" s="564"/>
    </row>
    <row r="521" spans="2:41" x14ac:dyDescent="0.15">
      <c r="B521" s="565">
        <v>27</v>
      </c>
      <c r="C521" s="564">
        <v>0.99429223744292239</v>
      </c>
      <c r="D521" s="564"/>
      <c r="E521" s="564"/>
      <c r="F521" s="564"/>
      <c r="G521" s="564"/>
      <c r="H521" s="564"/>
      <c r="I521" s="564"/>
      <c r="J521" s="564"/>
      <c r="K521" s="564"/>
      <c r="L521" s="564"/>
      <c r="M521" s="564"/>
      <c r="N521" s="564"/>
      <c r="O521" s="564"/>
      <c r="P521" s="564"/>
      <c r="Q521" s="564"/>
      <c r="R521" s="564"/>
      <c r="S521" s="564"/>
      <c r="T521" s="564"/>
      <c r="U521" s="564"/>
      <c r="V521" s="564"/>
      <c r="W521" s="564"/>
      <c r="X521" s="564"/>
      <c r="Y521" s="564"/>
      <c r="Z521" s="564"/>
      <c r="AA521" s="564"/>
      <c r="AB521" s="564"/>
      <c r="AC521" s="564"/>
      <c r="AD521" s="564"/>
      <c r="AE521" s="564"/>
      <c r="AF521" s="564"/>
      <c r="AG521" s="564"/>
      <c r="AH521" s="564"/>
      <c r="AI521" s="564"/>
      <c r="AJ521" s="564"/>
      <c r="AK521" s="564"/>
      <c r="AL521" s="564"/>
      <c r="AM521" s="564"/>
      <c r="AN521" s="564"/>
      <c r="AO521" s="564"/>
    </row>
    <row r="522" spans="2:41" x14ac:dyDescent="0.15">
      <c r="B522" s="565">
        <v>28</v>
      </c>
      <c r="C522" s="564">
        <v>0.99657534246575341</v>
      </c>
      <c r="D522" s="564"/>
      <c r="E522" s="564"/>
      <c r="F522" s="564"/>
      <c r="G522" s="564"/>
      <c r="H522" s="564"/>
      <c r="I522" s="564"/>
      <c r="J522" s="564"/>
      <c r="K522" s="564"/>
      <c r="L522" s="564"/>
      <c r="M522" s="564"/>
      <c r="N522" s="564"/>
      <c r="O522" s="564"/>
      <c r="P522" s="564"/>
      <c r="Q522" s="564"/>
      <c r="R522" s="564"/>
      <c r="S522" s="564"/>
      <c r="T522" s="564"/>
      <c r="U522" s="564"/>
      <c r="V522" s="564"/>
      <c r="W522" s="564"/>
      <c r="X522" s="564"/>
      <c r="Y522" s="564"/>
      <c r="Z522" s="564"/>
      <c r="AA522" s="564"/>
      <c r="AB522" s="564"/>
      <c r="AC522" s="564"/>
      <c r="AD522" s="564"/>
      <c r="AE522" s="564"/>
      <c r="AF522" s="564"/>
      <c r="AG522" s="564"/>
      <c r="AH522" s="564"/>
      <c r="AI522" s="564"/>
      <c r="AJ522" s="564"/>
      <c r="AK522" s="564"/>
      <c r="AL522" s="564"/>
      <c r="AM522" s="564"/>
      <c r="AN522" s="564"/>
      <c r="AO522" s="564"/>
    </row>
    <row r="523" spans="2:41" x14ac:dyDescent="0.15">
      <c r="B523" s="565">
        <v>29</v>
      </c>
      <c r="C523" s="564">
        <v>0.99885844748858443</v>
      </c>
      <c r="D523" s="564"/>
      <c r="E523" s="564"/>
      <c r="F523" s="564"/>
      <c r="G523" s="564"/>
      <c r="H523" s="564"/>
      <c r="I523" s="564"/>
      <c r="J523" s="564"/>
      <c r="K523" s="564"/>
      <c r="L523" s="564"/>
      <c r="M523" s="564"/>
      <c r="N523" s="564"/>
      <c r="O523" s="564"/>
      <c r="P523" s="564"/>
      <c r="Q523" s="564"/>
      <c r="R523" s="564"/>
      <c r="S523" s="564"/>
      <c r="T523" s="564"/>
      <c r="U523" s="564"/>
      <c r="V523" s="564"/>
      <c r="W523" s="564"/>
      <c r="X523" s="564"/>
      <c r="Y523" s="564"/>
      <c r="Z523" s="564"/>
      <c r="AA523" s="564"/>
      <c r="AB523" s="564"/>
      <c r="AC523" s="564"/>
      <c r="AD523" s="564"/>
      <c r="AE523" s="564"/>
      <c r="AF523" s="564"/>
      <c r="AG523" s="564"/>
      <c r="AH523" s="564"/>
      <c r="AI523" s="564"/>
      <c r="AJ523" s="564"/>
      <c r="AK523" s="564"/>
      <c r="AL523" s="564"/>
      <c r="AM523" s="564"/>
      <c r="AN523" s="564"/>
      <c r="AO523" s="564"/>
    </row>
    <row r="524" spans="2:41" x14ac:dyDescent="0.15">
      <c r="B524" s="565">
        <v>30</v>
      </c>
      <c r="C524" s="564">
        <v>0.99988584474885844</v>
      </c>
      <c r="D524" s="564"/>
      <c r="E524" s="564"/>
      <c r="F524" s="564"/>
      <c r="G524" s="564"/>
      <c r="H524" s="564"/>
      <c r="I524" s="564"/>
      <c r="J524" s="564"/>
      <c r="K524" s="564"/>
      <c r="L524" s="564"/>
      <c r="M524" s="564"/>
      <c r="N524" s="564"/>
      <c r="O524" s="564"/>
      <c r="P524" s="564"/>
      <c r="Q524" s="564"/>
      <c r="R524" s="564"/>
      <c r="S524" s="564"/>
      <c r="T524" s="564"/>
      <c r="U524" s="564"/>
      <c r="V524" s="564"/>
      <c r="W524" s="564"/>
      <c r="X524" s="564"/>
      <c r="Y524" s="564"/>
      <c r="Z524" s="564"/>
      <c r="AA524" s="564"/>
      <c r="AB524" s="564"/>
      <c r="AC524" s="564"/>
      <c r="AD524" s="564"/>
      <c r="AE524" s="564"/>
      <c r="AF524" s="564"/>
      <c r="AG524" s="564"/>
      <c r="AH524" s="564"/>
      <c r="AI524" s="564"/>
      <c r="AJ524" s="564"/>
      <c r="AK524" s="564"/>
      <c r="AL524" s="564"/>
      <c r="AM524" s="564"/>
      <c r="AN524" s="564"/>
      <c r="AO524" s="564"/>
    </row>
    <row r="525" spans="2:41" x14ac:dyDescent="0.15">
      <c r="B525" s="565">
        <v>31</v>
      </c>
      <c r="C525" s="564">
        <v>1</v>
      </c>
      <c r="D525" s="564"/>
      <c r="E525" s="564"/>
      <c r="F525" s="564"/>
      <c r="G525" s="564"/>
      <c r="H525" s="564"/>
      <c r="I525" s="564"/>
      <c r="J525" s="564"/>
      <c r="K525" s="564"/>
      <c r="L525" s="564"/>
      <c r="M525" s="564"/>
      <c r="N525" s="564"/>
      <c r="O525" s="564"/>
      <c r="P525" s="564"/>
      <c r="Q525" s="564"/>
      <c r="R525" s="564"/>
      <c r="S525" s="564"/>
      <c r="T525" s="564"/>
      <c r="U525" s="564"/>
      <c r="V525" s="564"/>
      <c r="W525" s="564"/>
      <c r="X525" s="564"/>
      <c r="Y525" s="564"/>
      <c r="Z525" s="564"/>
      <c r="AA525" s="564"/>
      <c r="AB525" s="564"/>
      <c r="AC525" s="564"/>
      <c r="AD525" s="564"/>
      <c r="AE525" s="564"/>
      <c r="AF525" s="564"/>
      <c r="AG525" s="564"/>
      <c r="AH525" s="564"/>
      <c r="AI525" s="564"/>
      <c r="AJ525" s="564"/>
      <c r="AK525" s="564"/>
      <c r="AL525" s="564"/>
      <c r="AM525" s="564"/>
      <c r="AN525" s="564"/>
      <c r="AO525" s="564"/>
    </row>
    <row r="526" spans="2:41" x14ac:dyDescent="0.15">
      <c r="B526" s="565">
        <v>32</v>
      </c>
      <c r="C526" s="564">
        <v>1</v>
      </c>
      <c r="D526" s="564"/>
      <c r="E526" s="564"/>
      <c r="F526" s="564"/>
      <c r="G526" s="564"/>
      <c r="H526" s="564"/>
      <c r="I526" s="564"/>
      <c r="J526" s="564"/>
      <c r="K526" s="564"/>
      <c r="L526" s="564"/>
      <c r="M526" s="564"/>
      <c r="N526" s="564"/>
      <c r="O526" s="564"/>
      <c r="P526" s="564"/>
      <c r="Q526" s="564"/>
      <c r="R526" s="564"/>
      <c r="S526" s="564"/>
      <c r="T526" s="564"/>
      <c r="U526" s="564"/>
      <c r="V526" s="564"/>
      <c r="W526" s="564"/>
      <c r="X526" s="564"/>
      <c r="Y526" s="564"/>
      <c r="Z526" s="564"/>
      <c r="AA526" s="564"/>
      <c r="AB526" s="564"/>
      <c r="AC526" s="564"/>
      <c r="AD526" s="564"/>
      <c r="AE526" s="564"/>
      <c r="AF526" s="564"/>
      <c r="AG526" s="564"/>
      <c r="AH526" s="564"/>
      <c r="AI526" s="564"/>
      <c r="AJ526" s="564"/>
      <c r="AK526" s="564"/>
      <c r="AL526" s="564"/>
      <c r="AM526" s="564"/>
      <c r="AN526" s="564"/>
      <c r="AO526" s="564"/>
    </row>
    <row r="527" spans="2:41" x14ac:dyDescent="0.15">
      <c r="B527" s="565">
        <v>33</v>
      </c>
      <c r="C527" s="564">
        <v>1</v>
      </c>
      <c r="D527" s="564"/>
      <c r="E527" s="564"/>
      <c r="F527" s="564"/>
      <c r="G527" s="564"/>
      <c r="H527" s="564"/>
      <c r="I527" s="564"/>
      <c r="J527" s="564"/>
      <c r="K527" s="564"/>
      <c r="L527" s="564"/>
      <c r="M527" s="564"/>
      <c r="N527" s="564"/>
      <c r="O527" s="564"/>
      <c r="P527" s="564"/>
      <c r="Q527" s="564"/>
      <c r="R527" s="564"/>
      <c r="S527" s="564"/>
      <c r="T527" s="564"/>
      <c r="U527" s="564"/>
      <c r="V527" s="564"/>
      <c r="W527" s="564"/>
      <c r="X527" s="564"/>
      <c r="Y527" s="564"/>
      <c r="Z527" s="564"/>
      <c r="AA527" s="564"/>
      <c r="AB527" s="564"/>
      <c r="AC527" s="564"/>
      <c r="AD527" s="564"/>
      <c r="AE527" s="564"/>
      <c r="AF527" s="564"/>
      <c r="AG527" s="564"/>
      <c r="AH527" s="564"/>
      <c r="AI527" s="564"/>
      <c r="AJ527" s="564"/>
      <c r="AK527" s="564"/>
      <c r="AL527" s="564"/>
      <c r="AM527" s="564"/>
      <c r="AN527" s="564"/>
      <c r="AO527" s="564"/>
    </row>
    <row r="528" spans="2:41" x14ac:dyDescent="0.15">
      <c r="B528" s="565">
        <v>34</v>
      </c>
      <c r="C528" s="564">
        <v>1</v>
      </c>
      <c r="D528" s="564"/>
      <c r="E528" s="564"/>
      <c r="F528" s="564"/>
      <c r="G528" s="564"/>
      <c r="H528" s="564"/>
      <c r="I528" s="564"/>
      <c r="J528" s="564"/>
      <c r="K528" s="564"/>
      <c r="L528" s="564"/>
      <c r="M528" s="564"/>
      <c r="N528" s="564"/>
      <c r="O528" s="564"/>
      <c r="P528" s="564"/>
      <c r="Q528" s="564"/>
      <c r="R528" s="564"/>
      <c r="S528" s="564"/>
      <c r="T528" s="564"/>
      <c r="U528" s="564"/>
      <c r="V528" s="564"/>
      <c r="W528" s="564"/>
      <c r="X528" s="564"/>
      <c r="Y528" s="564"/>
      <c r="Z528" s="564"/>
      <c r="AA528" s="564"/>
      <c r="AB528" s="564"/>
      <c r="AC528" s="564"/>
      <c r="AD528" s="564"/>
      <c r="AE528" s="564"/>
      <c r="AF528" s="564"/>
      <c r="AG528" s="564"/>
      <c r="AH528" s="564"/>
      <c r="AI528" s="564"/>
      <c r="AJ528" s="564"/>
      <c r="AK528" s="564"/>
      <c r="AL528" s="564"/>
      <c r="AM528" s="564"/>
      <c r="AN528" s="564"/>
      <c r="AO528" s="564"/>
    </row>
    <row r="529" spans="2:41" x14ac:dyDescent="0.15">
      <c r="B529" s="565">
        <v>35</v>
      </c>
      <c r="C529" s="564">
        <v>1</v>
      </c>
      <c r="D529" s="564"/>
      <c r="E529" s="564"/>
      <c r="F529" s="564"/>
      <c r="G529" s="564"/>
      <c r="H529" s="564"/>
      <c r="I529" s="564"/>
      <c r="J529" s="564"/>
      <c r="K529" s="564"/>
      <c r="L529" s="564"/>
      <c r="M529" s="564"/>
      <c r="N529" s="564"/>
      <c r="O529" s="564"/>
      <c r="P529" s="564"/>
      <c r="Q529" s="564"/>
      <c r="R529" s="564"/>
      <c r="S529" s="564"/>
      <c r="T529" s="564"/>
      <c r="U529" s="564"/>
      <c r="V529" s="564"/>
      <c r="W529" s="564"/>
      <c r="X529" s="564"/>
      <c r="Y529" s="564"/>
      <c r="Z529" s="564"/>
      <c r="AA529" s="564"/>
      <c r="AB529" s="564"/>
      <c r="AC529" s="564"/>
      <c r="AD529" s="564"/>
      <c r="AE529" s="564"/>
      <c r="AF529" s="564"/>
      <c r="AG529" s="564"/>
      <c r="AH529" s="564"/>
      <c r="AI529" s="564"/>
      <c r="AJ529" s="564"/>
      <c r="AK529" s="564"/>
      <c r="AL529" s="564"/>
      <c r="AM529" s="564"/>
      <c r="AN529" s="564"/>
      <c r="AO529" s="564"/>
    </row>
    <row r="530" spans="2:41" x14ac:dyDescent="0.15">
      <c r="B530" s="565">
        <v>36</v>
      </c>
      <c r="C530" s="564">
        <v>1</v>
      </c>
      <c r="D530" s="564"/>
      <c r="E530" s="564"/>
      <c r="F530" s="564"/>
      <c r="G530" s="564"/>
      <c r="H530" s="564"/>
      <c r="I530" s="564"/>
      <c r="J530" s="564"/>
      <c r="K530" s="564"/>
      <c r="L530" s="564"/>
      <c r="M530" s="564"/>
      <c r="N530" s="564"/>
      <c r="O530" s="564"/>
      <c r="P530" s="564"/>
      <c r="Q530" s="564"/>
      <c r="R530" s="564"/>
      <c r="S530" s="564"/>
      <c r="T530" s="564"/>
      <c r="U530" s="564"/>
      <c r="V530" s="564"/>
      <c r="W530" s="564"/>
      <c r="X530" s="564"/>
      <c r="Y530" s="564"/>
      <c r="Z530" s="564"/>
      <c r="AA530" s="564"/>
      <c r="AB530" s="564"/>
      <c r="AC530" s="564"/>
      <c r="AD530" s="564"/>
      <c r="AE530" s="564"/>
      <c r="AF530" s="564"/>
      <c r="AG530" s="564"/>
      <c r="AH530" s="564"/>
      <c r="AI530" s="564"/>
      <c r="AJ530" s="564"/>
      <c r="AK530" s="564"/>
      <c r="AL530" s="564"/>
      <c r="AM530" s="564"/>
      <c r="AN530" s="564"/>
      <c r="AO530" s="564"/>
    </row>
    <row r="531" spans="2:41" x14ac:dyDescent="0.15">
      <c r="B531" s="565">
        <v>37</v>
      </c>
      <c r="C531" s="564">
        <v>1</v>
      </c>
      <c r="D531" s="564"/>
      <c r="E531" s="564"/>
      <c r="F531" s="564"/>
      <c r="G531" s="564"/>
      <c r="H531" s="564"/>
      <c r="I531" s="564"/>
      <c r="J531" s="564"/>
      <c r="K531" s="564"/>
      <c r="L531" s="564"/>
      <c r="M531" s="564"/>
      <c r="N531" s="564"/>
      <c r="O531" s="564"/>
      <c r="P531" s="564"/>
      <c r="Q531" s="564"/>
      <c r="R531" s="564"/>
      <c r="S531" s="564"/>
      <c r="T531" s="564"/>
      <c r="U531" s="564"/>
      <c r="V531" s="564"/>
      <c r="W531" s="564"/>
      <c r="X531" s="564"/>
      <c r="Y531" s="564"/>
      <c r="Z531" s="564"/>
      <c r="AA531" s="564"/>
      <c r="AB531" s="564"/>
      <c r="AC531" s="564"/>
      <c r="AD531" s="564"/>
      <c r="AE531" s="564"/>
      <c r="AF531" s="564"/>
      <c r="AG531" s="564"/>
      <c r="AH531" s="564"/>
      <c r="AI531" s="564"/>
      <c r="AJ531" s="564"/>
      <c r="AK531" s="564"/>
      <c r="AL531" s="564"/>
      <c r="AM531" s="564"/>
      <c r="AN531" s="564"/>
      <c r="AO531" s="564"/>
    </row>
    <row r="532" spans="2:41" x14ac:dyDescent="0.15">
      <c r="B532" s="565">
        <v>38</v>
      </c>
      <c r="C532" s="564">
        <v>1</v>
      </c>
      <c r="D532" s="564"/>
      <c r="E532" s="564"/>
      <c r="F532" s="564"/>
      <c r="G532" s="564"/>
      <c r="H532" s="564"/>
      <c r="I532" s="564"/>
      <c r="J532" s="564"/>
      <c r="K532" s="564"/>
      <c r="L532" s="564"/>
      <c r="M532" s="564"/>
      <c r="N532" s="564"/>
      <c r="O532" s="564"/>
      <c r="P532" s="564"/>
      <c r="Q532" s="564"/>
      <c r="R532" s="564"/>
      <c r="S532" s="564"/>
      <c r="T532" s="564"/>
      <c r="U532" s="564"/>
      <c r="V532" s="564"/>
      <c r="W532" s="564"/>
      <c r="X532" s="564"/>
      <c r="Y532" s="564"/>
      <c r="Z532" s="564"/>
      <c r="AA532" s="564"/>
      <c r="AB532" s="564"/>
      <c r="AC532" s="564"/>
      <c r="AD532" s="564"/>
      <c r="AE532" s="564"/>
      <c r="AF532" s="564"/>
      <c r="AG532" s="564"/>
      <c r="AH532" s="564"/>
      <c r="AI532" s="564"/>
      <c r="AJ532" s="564"/>
      <c r="AK532" s="564"/>
      <c r="AL532" s="564"/>
      <c r="AM532" s="564"/>
      <c r="AN532" s="564"/>
      <c r="AO532" s="564"/>
    </row>
    <row r="533" spans="2:41" x14ac:dyDescent="0.15">
      <c r="B533" s="565">
        <v>39</v>
      </c>
      <c r="C533" s="564">
        <v>1</v>
      </c>
      <c r="D533" s="564"/>
      <c r="E533" s="564"/>
      <c r="F533" s="564"/>
      <c r="G533" s="564"/>
      <c r="H533" s="564"/>
      <c r="I533" s="564"/>
      <c r="J533" s="564"/>
      <c r="K533" s="564"/>
      <c r="L533" s="564"/>
      <c r="M533" s="564"/>
      <c r="N533" s="564"/>
      <c r="O533" s="564"/>
      <c r="P533" s="564"/>
      <c r="Q533" s="564"/>
      <c r="R533" s="564"/>
      <c r="S533" s="564"/>
      <c r="T533" s="564"/>
      <c r="U533" s="564"/>
      <c r="V533" s="564"/>
      <c r="W533" s="564"/>
      <c r="X533" s="564"/>
      <c r="Y533" s="564"/>
      <c r="Z533" s="564"/>
      <c r="AA533" s="564"/>
      <c r="AB533" s="564"/>
      <c r="AC533" s="564"/>
      <c r="AD533" s="564"/>
      <c r="AE533" s="564"/>
      <c r="AF533" s="564"/>
      <c r="AG533" s="564"/>
      <c r="AH533" s="564"/>
      <c r="AI533" s="564"/>
      <c r="AJ533" s="564"/>
      <c r="AK533" s="564"/>
      <c r="AL533" s="564"/>
      <c r="AM533" s="564"/>
      <c r="AN533" s="564"/>
      <c r="AO533" s="564"/>
    </row>
    <row r="534" spans="2:41" x14ac:dyDescent="0.15">
      <c r="B534" s="566">
        <v>40</v>
      </c>
      <c r="C534" s="564">
        <v>1</v>
      </c>
      <c r="D534" s="564"/>
      <c r="E534" s="564"/>
      <c r="F534" s="564"/>
      <c r="G534" s="564"/>
      <c r="H534" s="564"/>
      <c r="I534" s="564"/>
      <c r="J534" s="564"/>
      <c r="K534" s="564"/>
      <c r="L534" s="564"/>
      <c r="M534" s="564"/>
      <c r="N534" s="564"/>
      <c r="O534" s="564"/>
      <c r="P534" s="564"/>
      <c r="Q534" s="564"/>
      <c r="R534" s="564"/>
      <c r="S534" s="564"/>
      <c r="T534" s="564"/>
      <c r="U534" s="564"/>
      <c r="V534" s="564"/>
      <c r="W534" s="564"/>
      <c r="X534" s="564"/>
      <c r="Y534" s="564"/>
      <c r="Z534" s="564"/>
      <c r="AA534" s="564"/>
      <c r="AB534" s="564"/>
      <c r="AC534" s="564"/>
      <c r="AD534" s="564"/>
      <c r="AE534" s="564"/>
      <c r="AF534" s="564"/>
      <c r="AG534" s="564"/>
      <c r="AH534" s="564"/>
      <c r="AI534" s="564"/>
      <c r="AJ534" s="564"/>
      <c r="AK534" s="564"/>
      <c r="AL534" s="564"/>
      <c r="AM534" s="564"/>
      <c r="AN534" s="564"/>
      <c r="AO534" s="564"/>
    </row>
    <row r="543" spans="2:41" s="561" customFormat="1" ht="28" x14ac:dyDescent="0.15">
      <c r="B543" s="558" t="str" cm="1">
        <f t="array" ref="B543:AO543">TRANSPOSE('Syötä kaupungit KIRJASTOLINKIT!'!$H$1:$H$40)</f>
        <v>MAA 7</v>
      </c>
      <c r="C543" s="562" t="str">
        <v>POL - Warszawa</v>
      </c>
      <c r="D543" s="562">
        <v>0</v>
      </c>
      <c r="E543" s="562">
        <v>0</v>
      </c>
      <c r="F543" s="562">
        <v>0</v>
      </c>
      <c r="G543" s="562">
        <v>0</v>
      </c>
      <c r="H543" s="562">
        <v>0</v>
      </c>
      <c r="I543" s="562">
        <v>0</v>
      </c>
      <c r="J543" s="562">
        <v>0</v>
      </c>
      <c r="K543" s="562">
        <v>0</v>
      </c>
      <c r="L543" s="562">
        <v>0</v>
      </c>
      <c r="M543" s="562">
        <v>0</v>
      </c>
      <c r="N543" s="562">
        <v>0</v>
      </c>
      <c r="O543" s="562">
        <v>0</v>
      </c>
      <c r="P543" s="562">
        <v>0</v>
      </c>
      <c r="Q543" s="562">
        <v>0</v>
      </c>
      <c r="R543" s="562">
        <v>0</v>
      </c>
      <c r="S543" s="562">
        <v>0</v>
      </c>
      <c r="T543" s="562">
        <v>0</v>
      </c>
      <c r="U543" s="562">
        <v>0</v>
      </c>
      <c r="V543" s="562">
        <v>0</v>
      </c>
      <c r="W543" s="562">
        <v>0</v>
      </c>
      <c r="X543" s="562">
        <v>0</v>
      </c>
      <c r="Y543" s="562">
        <v>0</v>
      </c>
      <c r="Z543" s="562">
        <v>0</v>
      </c>
      <c r="AA543" s="562">
        <v>0</v>
      </c>
      <c r="AB543" s="562">
        <v>0</v>
      </c>
      <c r="AC543" s="562">
        <v>0</v>
      </c>
      <c r="AD543" s="562">
        <v>0</v>
      </c>
      <c r="AE543" s="562">
        <v>0</v>
      </c>
      <c r="AF543" s="562">
        <v>0</v>
      </c>
      <c r="AG543" s="562">
        <v>0</v>
      </c>
      <c r="AH543" s="562">
        <v>0</v>
      </c>
      <c r="AI543" s="562">
        <v>0</v>
      </c>
      <c r="AJ543" s="562">
        <v>0</v>
      </c>
      <c r="AK543" s="562">
        <v>0</v>
      </c>
      <c r="AL543" s="562">
        <v>0</v>
      </c>
      <c r="AM543" s="562">
        <v>0</v>
      </c>
      <c r="AN543" s="562">
        <v>0</v>
      </c>
      <c r="AO543" s="562">
        <v>0</v>
      </c>
    </row>
    <row r="544" spans="2:41" x14ac:dyDescent="0.15">
      <c r="B544" s="563">
        <v>-40</v>
      </c>
      <c r="C544" s="564">
        <v>0</v>
      </c>
      <c r="D544" s="564"/>
      <c r="E544" s="564"/>
      <c r="F544" s="564"/>
      <c r="G544" s="564"/>
      <c r="H544" s="564"/>
      <c r="I544" s="564"/>
      <c r="J544" s="564"/>
      <c r="K544" s="564"/>
      <c r="L544" s="564"/>
      <c r="M544" s="564"/>
      <c r="N544" s="564"/>
      <c r="O544" s="564"/>
      <c r="P544" s="564"/>
      <c r="Q544" s="564"/>
      <c r="R544" s="564"/>
      <c r="S544" s="564"/>
      <c r="T544" s="564"/>
      <c r="U544" s="564"/>
      <c r="V544" s="564"/>
      <c r="W544" s="564"/>
      <c r="X544" s="564"/>
      <c r="Y544" s="564"/>
      <c r="Z544" s="564"/>
      <c r="AA544" s="564"/>
      <c r="AB544" s="564"/>
      <c r="AC544" s="564"/>
      <c r="AD544" s="564"/>
      <c r="AE544" s="564"/>
      <c r="AF544" s="564"/>
      <c r="AG544" s="564"/>
      <c r="AH544" s="564"/>
      <c r="AI544" s="564"/>
      <c r="AJ544" s="564"/>
      <c r="AK544" s="564"/>
      <c r="AL544" s="564"/>
      <c r="AM544" s="564"/>
      <c r="AN544" s="564"/>
      <c r="AO544" s="564"/>
    </row>
    <row r="545" spans="2:41" x14ac:dyDescent="0.15">
      <c r="B545" s="565">
        <v>-39</v>
      </c>
      <c r="C545" s="564">
        <v>0</v>
      </c>
      <c r="D545" s="564"/>
      <c r="E545" s="564"/>
      <c r="F545" s="564"/>
      <c r="G545" s="564"/>
      <c r="H545" s="564"/>
      <c r="I545" s="564"/>
      <c r="J545" s="564"/>
      <c r="K545" s="564"/>
      <c r="L545" s="564"/>
      <c r="M545" s="564"/>
      <c r="N545" s="564"/>
      <c r="O545" s="564"/>
      <c r="P545" s="564"/>
      <c r="Q545" s="564"/>
      <c r="R545" s="564"/>
      <c r="S545" s="564"/>
      <c r="T545" s="564"/>
      <c r="U545" s="564"/>
      <c r="V545" s="564"/>
      <c r="W545" s="564"/>
      <c r="X545" s="564"/>
      <c r="Y545" s="564"/>
      <c r="Z545" s="564"/>
      <c r="AA545" s="564"/>
      <c r="AB545" s="564"/>
      <c r="AC545" s="564"/>
      <c r="AD545" s="564"/>
      <c r="AE545" s="564"/>
      <c r="AF545" s="564"/>
      <c r="AG545" s="564"/>
      <c r="AH545" s="564"/>
      <c r="AI545" s="564"/>
      <c r="AJ545" s="564"/>
      <c r="AK545" s="564"/>
      <c r="AL545" s="564"/>
      <c r="AM545" s="564"/>
      <c r="AN545" s="564"/>
      <c r="AO545" s="564"/>
    </row>
    <row r="546" spans="2:41" x14ac:dyDescent="0.15">
      <c r="B546" s="565">
        <v>-38</v>
      </c>
      <c r="C546" s="564">
        <v>0</v>
      </c>
      <c r="D546" s="564"/>
      <c r="E546" s="564"/>
      <c r="F546" s="564"/>
      <c r="G546" s="564"/>
      <c r="H546" s="564"/>
      <c r="I546" s="564"/>
      <c r="J546" s="564"/>
      <c r="K546" s="564"/>
      <c r="L546" s="564"/>
      <c r="M546" s="564"/>
      <c r="N546" s="564"/>
      <c r="O546" s="564"/>
      <c r="P546" s="564"/>
      <c r="Q546" s="564"/>
      <c r="R546" s="564"/>
      <c r="S546" s="564"/>
      <c r="T546" s="564"/>
      <c r="U546" s="564"/>
      <c r="V546" s="564"/>
      <c r="W546" s="564"/>
      <c r="X546" s="564"/>
      <c r="Y546" s="564"/>
      <c r="Z546" s="564"/>
      <c r="AA546" s="564"/>
      <c r="AB546" s="564"/>
      <c r="AC546" s="564"/>
      <c r="AD546" s="564"/>
      <c r="AE546" s="564"/>
      <c r="AF546" s="564"/>
      <c r="AG546" s="564"/>
      <c r="AH546" s="564"/>
      <c r="AI546" s="564"/>
      <c r="AJ546" s="564"/>
      <c r="AK546" s="564"/>
      <c r="AL546" s="564"/>
      <c r="AM546" s="564"/>
      <c r="AN546" s="564"/>
      <c r="AO546" s="564"/>
    </row>
    <row r="547" spans="2:41" x14ac:dyDescent="0.15">
      <c r="B547" s="565">
        <v>-37</v>
      </c>
      <c r="C547" s="564">
        <v>0</v>
      </c>
      <c r="D547" s="564"/>
      <c r="E547" s="564"/>
      <c r="F547" s="564"/>
      <c r="G547" s="564"/>
      <c r="H547" s="564"/>
      <c r="I547" s="564"/>
      <c r="J547" s="564"/>
      <c r="K547" s="564"/>
      <c r="L547" s="564"/>
      <c r="M547" s="564"/>
      <c r="N547" s="564"/>
      <c r="O547" s="564"/>
      <c r="P547" s="564"/>
      <c r="Q547" s="564"/>
      <c r="R547" s="564"/>
      <c r="S547" s="564"/>
      <c r="T547" s="564"/>
      <c r="U547" s="564"/>
      <c r="V547" s="564"/>
      <c r="W547" s="564"/>
      <c r="X547" s="564"/>
      <c r="Y547" s="564"/>
      <c r="Z547" s="564"/>
      <c r="AA547" s="564"/>
      <c r="AB547" s="564"/>
      <c r="AC547" s="564"/>
      <c r="AD547" s="564"/>
      <c r="AE547" s="564"/>
      <c r="AF547" s="564"/>
      <c r="AG547" s="564"/>
      <c r="AH547" s="564"/>
      <c r="AI547" s="564"/>
      <c r="AJ547" s="564"/>
      <c r="AK547" s="564"/>
      <c r="AL547" s="564"/>
      <c r="AM547" s="564"/>
      <c r="AN547" s="564"/>
      <c r="AO547" s="564"/>
    </row>
    <row r="548" spans="2:41" x14ac:dyDescent="0.15">
      <c r="B548" s="565">
        <v>-36</v>
      </c>
      <c r="C548" s="564">
        <v>0</v>
      </c>
      <c r="D548" s="564"/>
      <c r="E548" s="564"/>
      <c r="F548" s="564"/>
      <c r="G548" s="564"/>
      <c r="H548" s="564"/>
      <c r="I548" s="564"/>
      <c r="J548" s="564"/>
      <c r="K548" s="564"/>
      <c r="L548" s="564"/>
      <c r="M548" s="564"/>
      <c r="N548" s="564"/>
      <c r="O548" s="564"/>
      <c r="P548" s="564"/>
      <c r="Q548" s="564"/>
      <c r="R548" s="564"/>
      <c r="S548" s="564"/>
      <c r="T548" s="564"/>
      <c r="U548" s="564"/>
      <c r="V548" s="564"/>
      <c r="W548" s="564"/>
      <c r="X548" s="564"/>
      <c r="Y548" s="564"/>
      <c r="Z548" s="564"/>
      <c r="AA548" s="564"/>
      <c r="AB548" s="564"/>
      <c r="AC548" s="564"/>
      <c r="AD548" s="564"/>
      <c r="AE548" s="564"/>
      <c r="AF548" s="564"/>
      <c r="AG548" s="564"/>
      <c r="AH548" s="564"/>
      <c r="AI548" s="564"/>
      <c r="AJ548" s="564"/>
      <c r="AK548" s="564"/>
      <c r="AL548" s="564"/>
      <c r="AM548" s="564"/>
      <c r="AN548" s="564"/>
      <c r="AO548" s="564"/>
    </row>
    <row r="549" spans="2:41" x14ac:dyDescent="0.15">
      <c r="B549" s="565">
        <v>-35</v>
      </c>
      <c r="C549" s="564">
        <v>0</v>
      </c>
      <c r="D549" s="564"/>
      <c r="E549" s="564"/>
      <c r="F549" s="564"/>
      <c r="G549" s="564"/>
      <c r="H549" s="564"/>
      <c r="I549" s="564"/>
      <c r="J549" s="564"/>
      <c r="K549" s="564"/>
      <c r="L549" s="564"/>
      <c r="M549" s="564"/>
      <c r="N549" s="564"/>
      <c r="O549" s="564"/>
      <c r="P549" s="564"/>
      <c r="Q549" s="564"/>
      <c r="R549" s="564"/>
      <c r="S549" s="564"/>
      <c r="T549" s="564"/>
      <c r="U549" s="564"/>
      <c r="V549" s="564"/>
      <c r="W549" s="564"/>
      <c r="X549" s="564"/>
      <c r="Y549" s="564"/>
      <c r="Z549" s="564"/>
      <c r="AA549" s="564"/>
      <c r="AB549" s="564"/>
      <c r="AC549" s="564"/>
      <c r="AD549" s="564"/>
      <c r="AE549" s="564"/>
      <c r="AF549" s="564"/>
      <c r="AG549" s="564"/>
      <c r="AH549" s="564"/>
      <c r="AI549" s="564"/>
      <c r="AJ549" s="564"/>
      <c r="AK549" s="564"/>
      <c r="AL549" s="564"/>
      <c r="AM549" s="564"/>
      <c r="AN549" s="564"/>
      <c r="AO549" s="564"/>
    </row>
    <row r="550" spans="2:41" x14ac:dyDescent="0.15">
      <c r="B550" s="565">
        <v>-34</v>
      </c>
      <c r="C550" s="564">
        <v>0</v>
      </c>
      <c r="D550" s="564"/>
      <c r="E550" s="564"/>
      <c r="F550" s="564"/>
      <c r="G550" s="564"/>
      <c r="H550" s="564"/>
      <c r="I550" s="564"/>
      <c r="J550" s="564"/>
      <c r="K550" s="564"/>
      <c r="L550" s="564"/>
      <c r="M550" s="564"/>
      <c r="N550" s="564"/>
      <c r="O550" s="564"/>
      <c r="P550" s="564"/>
      <c r="Q550" s="564"/>
      <c r="R550" s="564"/>
      <c r="S550" s="564"/>
      <c r="T550" s="564"/>
      <c r="U550" s="564"/>
      <c r="V550" s="564"/>
      <c r="W550" s="564"/>
      <c r="X550" s="564"/>
      <c r="Y550" s="564"/>
      <c r="Z550" s="564"/>
      <c r="AA550" s="564"/>
      <c r="AB550" s="564"/>
      <c r="AC550" s="564"/>
      <c r="AD550" s="564"/>
      <c r="AE550" s="564"/>
      <c r="AF550" s="564"/>
      <c r="AG550" s="564"/>
      <c r="AH550" s="564"/>
      <c r="AI550" s="564"/>
      <c r="AJ550" s="564"/>
      <c r="AK550" s="564"/>
      <c r="AL550" s="564"/>
      <c r="AM550" s="564"/>
      <c r="AN550" s="564"/>
      <c r="AO550" s="564"/>
    </row>
    <row r="551" spans="2:41" x14ac:dyDescent="0.15">
      <c r="B551" s="565">
        <v>-33</v>
      </c>
      <c r="C551" s="564">
        <v>0</v>
      </c>
      <c r="D551" s="564"/>
      <c r="E551" s="564"/>
      <c r="F551" s="564"/>
      <c r="G551" s="564"/>
      <c r="H551" s="564"/>
      <c r="I551" s="564"/>
      <c r="J551" s="564"/>
      <c r="K551" s="564"/>
      <c r="L551" s="564"/>
      <c r="M551" s="564"/>
      <c r="N551" s="564"/>
      <c r="O551" s="564"/>
      <c r="P551" s="564"/>
      <c r="Q551" s="564"/>
      <c r="R551" s="564"/>
      <c r="S551" s="564"/>
      <c r="T551" s="564"/>
      <c r="U551" s="564"/>
      <c r="V551" s="564"/>
      <c r="W551" s="564"/>
      <c r="X551" s="564"/>
      <c r="Y551" s="564"/>
      <c r="Z551" s="564"/>
      <c r="AA551" s="564"/>
      <c r="AB551" s="564"/>
      <c r="AC551" s="564"/>
      <c r="AD551" s="564"/>
      <c r="AE551" s="564"/>
      <c r="AF551" s="564"/>
      <c r="AG551" s="564"/>
      <c r="AH551" s="564"/>
      <c r="AI551" s="564"/>
      <c r="AJ551" s="564"/>
      <c r="AK551" s="564"/>
      <c r="AL551" s="564"/>
      <c r="AM551" s="564"/>
      <c r="AN551" s="564"/>
      <c r="AO551" s="564"/>
    </row>
    <row r="552" spans="2:41" x14ac:dyDescent="0.15">
      <c r="B552" s="565">
        <v>-32</v>
      </c>
      <c r="C552" s="564">
        <v>0</v>
      </c>
      <c r="D552" s="564"/>
      <c r="E552" s="564"/>
      <c r="F552" s="564"/>
      <c r="G552" s="564"/>
      <c r="H552" s="564"/>
      <c r="I552" s="564"/>
      <c r="J552" s="564"/>
      <c r="K552" s="564"/>
      <c r="L552" s="564"/>
      <c r="M552" s="564"/>
      <c r="N552" s="564"/>
      <c r="O552" s="564"/>
      <c r="P552" s="564"/>
      <c r="Q552" s="564"/>
      <c r="R552" s="564"/>
      <c r="S552" s="564"/>
      <c r="T552" s="564"/>
      <c r="U552" s="564"/>
      <c r="V552" s="564"/>
      <c r="W552" s="564"/>
      <c r="X552" s="564"/>
      <c r="Y552" s="564"/>
      <c r="Z552" s="564"/>
      <c r="AA552" s="564"/>
      <c r="AB552" s="564"/>
      <c r="AC552" s="564"/>
      <c r="AD552" s="564"/>
      <c r="AE552" s="564"/>
      <c r="AF552" s="564"/>
      <c r="AG552" s="564"/>
      <c r="AH552" s="564"/>
      <c r="AI552" s="564"/>
      <c r="AJ552" s="564"/>
      <c r="AK552" s="564"/>
      <c r="AL552" s="564"/>
      <c r="AM552" s="564"/>
      <c r="AN552" s="564"/>
      <c r="AO552" s="564"/>
    </row>
    <row r="553" spans="2:41" x14ac:dyDescent="0.15">
      <c r="B553" s="565">
        <v>-31</v>
      </c>
      <c r="C553" s="564">
        <v>0</v>
      </c>
      <c r="D553" s="564"/>
      <c r="E553" s="564"/>
      <c r="F553" s="564"/>
      <c r="G553" s="564"/>
      <c r="H553" s="564"/>
      <c r="I553" s="564"/>
      <c r="J553" s="564"/>
      <c r="K553" s="564"/>
      <c r="L553" s="564"/>
      <c r="M553" s="564"/>
      <c r="N553" s="564"/>
      <c r="O553" s="564"/>
      <c r="P553" s="564"/>
      <c r="Q553" s="564"/>
      <c r="R553" s="564"/>
      <c r="S553" s="564"/>
      <c r="T553" s="564"/>
      <c r="U553" s="564"/>
      <c r="V553" s="564"/>
      <c r="W553" s="564"/>
      <c r="X553" s="564"/>
      <c r="Y553" s="564"/>
      <c r="Z553" s="564"/>
      <c r="AA553" s="564"/>
      <c r="AB553" s="564"/>
      <c r="AC553" s="564"/>
      <c r="AD553" s="564"/>
      <c r="AE553" s="564"/>
      <c r="AF553" s="564"/>
      <c r="AG553" s="564"/>
      <c r="AH553" s="564"/>
      <c r="AI553" s="564"/>
      <c r="AJ553" s="564"/>
      <c r="AK553" s="564"/>
      <c r="AL553" s="564"/>
      <c r="AM553" s="564"/>
      <c r="AN553" s="564"/>
      <c r="AO553" s="564"/>
    </row>
    <row r="554" spans="2:41" x14ac:dyDescent="0.15">
      <c r="B554" s="565">
        <v>-30</v>
      </c>
      <c r="C554" s="564">
        <v>0</v>
      </c>
      <c r="D554" s="564"/>
      <c r="E554" s="564"/>
      <c r="F554" s="564"/>
      <c r="G554" s="564"/>
      <c r="H554" s="564"/>
      <c r="I554" s="564"/>
      <c r="J554" s="564"/>
      <c r="K554" s="564"/>
      <c r="L554" s="564"/>
      <c r="M554" s="564"/>
      <c r="N554" s="564"/>
      <c r="O554" s="564"/>
      <c r="P554" s="564"/>
      <c r="Q554" s="564"/>
      <c r="R554" s="564"/>
      <c r="S554" s="564"/>
      <c r="T554" s="564"/>
      <c r="U554" s="564"/>
      <c r="V554" s="564"/>
      <c r="W554" s="564"/>
      <c r="X554" s="564"/>
      <c r="Y554" s="564"/>
      <c r="Z554" s="564"/>
      <c r="AA554" s="564"/>
      <c r="AB554" s="564"/>
      <c r="AC554" s="564"/>
      <c r="AD554" s="564"/>
      <c r="AE554" s="564"/>
      <c r="AF554" s="564"/>
      <c r="AG554" s="564"/>
      <c r="AH554" s="564"/>
      <c r="AI554" s="564"/>
      <c r="AJ554" s="564"/>
      <c r="AK554" s="564"/>
      <c r="AL554" s="564"/>
      <c r="AM554" s="564"/>
      <c r="AN554" s="564"/>
      <c r="AO554" s="564"/>
    </row>
    <row r="555" spans="2:41" x14ac:dyDescent="0.15">
      <c r="B555" s="565">
        <v>-29</v>
      </c>
      <c r="C555" s="564">
        <v>0</v>
      </c>
      <c r="D555" s="564"/>
      <c r="E555" s="564"/>
      <c r="F555" s="564"/>
      <c r="G555" s="564"/>
      <c r="H555" s="564"/>
      <c r="I555" s="564"/>
      <c r="J555" s="564"/>
      <c r="K555" s="564"/>
      <c r="L555" s="564"/>
      <c r="M555" s="564"/>
      <c r="N555" s="564"/>
      <c r="O555" s="564"/>
      <c r="P555" s="564"/>
      <c r="Q555" s="564"/>
      <c r="R555" s="564"/>
      <c r="S555" s="564"/>
      <c r="T555" s="564"/>
      <c r="U555" s="564"/>
      <c r="V555" s="564"/>
      <c r="W555" s="564"/>
      <c r="X555" s="564"/>
      <c r="Y555" s="564"/>
      <c r="Z555" s="564"/>
      <c r="AA555" s="564"/>
      <c r="AB555" s="564"/>
      <c r="AC555" s="564"/>
      <c r="AD555" s="564"/>
      <c r="AE555" s="564"/>
      <c r="AF555" s="564"/>
      <c r="AG555" s="564"/>
      <c r="AH555" s="564"/>
      <c r="AI555" s="564"/>
      <c r="AJ555" s="564"/>
      <c r="AK555" s="564"/>
      <c r="AL555" s="564"/>
      <c r="AM555" s="564"/>
      <c r="AN555" s="564"/>
      <c r="AO555" s="564"/>
    </row>
    <row r="556" spans="2:41" x14ac:dyDescent="0.15">
      <c r="B556" s="565">
        <v>-28</v>
      </c>
      <c r="C556" s="564">
        <v>0</v>
      </c>
      <c r="D556" s="564"/>
      <c r="E556" s="564"/>
      <c r="F556" s="564"/>
      <c r="G556" s="564"/>
      <c r="H556" s="564"/>
      <c r="I556" s="564"/>
      <c r="J556" s="564"/>
      <c r="K556" s="564"/>
      <c r="L556" s="564"/>
      <c r="M556" s="564"/>
      <c r="N556" s="564"/>
      <c r="O556" s="564"/>
      <c r="P556" s="564"/>
      <c r="Q556" s="564"/>
      <c r="R556" s="564"/>
      <c r="S556" s="564"/>
      <c r="T556" s="564"/>
      <c r="U556" s="564"/>
      <c r="V556" s="564"/>
      <c r="W556" s="564"/>
      <c r="X556" s="564"/>
      <c r="Y556" s="564"/>
      <c r="Z556" s="564"/>
      <c r="AA556" s="564"/>
      <c r="AB556" s="564"/>
      <c r="AC556" s="564"/>
      <c r="AD556" s="564"/>
      <c r="AE556" s="564"/>
      <c r="AF556" s="564"/>
      <c r="AG556" s="564"/>
      <c r="AH556" s="564"/>
      <c r="AI556" s="564"/>
      <c r="AJ556" s="564"/>
      <c r="AK556" s="564"/>
      <c r="AL556" s="564"/>
      <c r="AM556" s="564"/>
      <c r="AN556" s="564"/>
      <c r="AO556" s="564"/>
    </row>
    <row r="557" spans="2:41" x14ac:dyDescent="0.15">
      <c r="B557" s="565">
        <v>-27</v>
      </c>
      <c r="C557" s="564">
        <v>0</v>
      </c>
      <c r="D557" s="564"/>
      <c r="E557" s="564"/>
      <c r="F557" s="564"/>
      <c r="G557" s="564"/>
      <c r="H557" s="564"/>
      <c r="I557" s="564"/>
      <c r="J557" s="564"/>
      <c r="K557" s="564"/>
      <c r="L557" s="564"/>
      <c r="M557" s="564"/>
      <c r="N557" s="564"/>
      <c r="O557" s="564"/>
      <c r="P557" s="564"/>
      <c r="Q557" s="564"/>
      <c r="R557" s="564"/>
      <c r="S557" s="564"/>
      <c r="T557" s="564"/>
      <c r="U557" s="564"/>
      <c r="V557" s="564"/>
      <c r="W557" s="564"/>
      <c r="X557" s="564"/>
      <c r="Y557" s="564"/>
      <c r="Z557" s="564"/>
      <c r="AA557" s="564"/>
      <c r="AB557" s="564"/>
      <c r="AC557" s="564"/>
      <c r="AD557" s="564"/>
      <c r="AE557" s="564"/>
      <c r="AF557" s="564"/>
      <c r="AG557" s="564"/>
      <c r="AH557" s="564"/>
      <c r="AI557" s="564"/>
      <c r="AJ557" s="564"/>
      <c r="AK557" s="564"/>
      <c r="AL557" s="564"/>
      <c r="AM557" s="564"/>
      <c r="AN557" s="564"/>
      <c r="AO557" s="564"/>
    </row>
    <row r="558" spans="2:41" x14ac:dyDescent="0.15">
      <c r="B558" s="565">
        <v>-26</v>
      </c>
      <c r="C558" s="564">
        <v>0</v>
      </c>
      <c r="D558" s="564"/>
      <c r="E558" s="564"/>
      <c r="F558" s="564"/>
      <c r="G558" s="564"/>
      <c r="H558" s="564"/>
      <c r="I558" s="564"/>
      <c r="J558" s="564"/>
      <c r="K558" s="564"/>
      <c r="L558" s="564"/>
      <c r="M558" s="564"/>
      <c r="N558" s="564"/>
      <c r="O558" s="564"/>
      <c r="P558" s="564"/>
      <c r="Q558" s="564"/>
      <c r="R558" s="564"/>
      <c r="S558" s="564"/>
      <c r="T558" s="564"/>
      <c r="U558" s="564"/>
      <c r="V558" s="564"/>
      <c r="W558" s="564"/>
      <c r="X558" s="564"/>
      <c r="Y558" s="564"/>
      <c r="Z558" s="564"/>
      <c r="AA558" s="564"/>
      <c r="AB558" s="564"/>
      <c r="AC558" s="564"/>
      <c r="AD558" s="564"/>
      <c r="AE558" s="564"/>
      <c r="AF558" s="564"/>
      <c r="AG558" s="564"/>
      <c r="AH558" s="564"/>
      <c r="AI558" s="564"/>
      <c r="AJ558" s="564"/>
      <c r="AK558" s="564"/>
      <c r="AL558" s="564"/>
      <c r="AM558" s="564"/>
      <c r="AN558" s="564"/>
      <c r="AO558" s="564"/>
    </row>
    <row r="559" spans="2:41" x14ac:dyDescent="0.15">
      <c r="B559" s="565">
        <v>-25</v>
      </c>
      <c r="C559" s="564">
        <v>0</v>
      </c>
      <c r="D559" s="564"/>
      <c r="E559" s="564"/>
      <c r="F559" s="564"/>
      <c r="G559" s="564"/>
      <c r="H559" s="564"/>
      <c r="I559" s="564"/>
      <c r="J559" s="564"/>
      <c r="K559" s="564"/>
      <c r="L559" s="564"/>
      <c r="M559" s="564"/>
      <c r="N559" s="564"/>
      <c r="O559" s="564"/>
      <c r="P559" s="564"/>
      <c r="Q559" s="564"/>
      <c r="R559" s="564"/>
      <c r="S559" s="564"/>
      <c r="T559" s="564"/>
      <c r="U559" s="564"/>
      <c r="V559" s="564"/>
      <c r="W559" s="564"/>
      <c r="X559" s="564"/>
      <c r="Y559" s="564"/>
      <c r="Z559" s="564"/>
      <c r="AA559" s="564"/>
      <c r="AB559" s="564"/>
      <c r="AC559" s="564"/>
      <c r="AD559" s="564"/>
      <c r="AE559" s="564"/>
      <c r="AF559" s="564"/>
      <c r="AG559" s="564"/>
      <c r="AH559" s="564"/>
      <c r="AI559" s="564"/>
      <c r="AJ559" s="564"/>
      <c r="AK559" s="564"/>
      <c r="AL559" s="564"/>
      <c r="AM559" s="564"/>
      <c r="AN559" s="564"/>
      <c r="AO559" s="564"/>
    </row>
    <row r="560" spans="2:41" x14ac:dyDescent="0.15">
      <c r="B560" s="565">
        <v>-24</v>
      </c>
      <c r="C560" s="564">
        <v>0</v>
      </c>
      <c r="D560" s="564"/>
      <c r="E560" s="564"/>
      <c r="F560" s="564"/>
      <c r="G560" s="564"/>
      <c r="H560" s="564"/>
      <c r="I560" s="564"/>
      <c r="J560" s="564"/>
      <c r="K560" s="564"/>
      <c r="L560" s="564"/>
      <c r="M560" s="564"/>
      <c r="N560" s="564"/>
      <c r="O560" s="564"/>
      <c r="P560" s="564"/>
      <c r="Q560" s="564"/>
      <c r="R560" s="564"/>
      <c r="S560" s="564"/>
      <c r="T560" s="564"/>
      <c r="U560" s="564"/>
      <c r="V560" s="564"/>
      <c r="W560" s="564"/>
      <c r="X560" s="564"/>
      <c r="Y560" s="564"/>
      <c r="Z560" s="564"/>
      <c r="AA560" s="564"/>
      <c r="AB560" s="564"/>
      <c r="AC560" s="564"/>
      <c r="AD560" s="564"/>
      <c r="AE560" s="564"/>
      <c r="AF560" s="564"/>
      <c r="AG560" s="564"/>
      <c r="AH560" s="564"/>
      <c r="AI560" s="564"/>
      <c r="AJ560" s="564"/>
      <c r="AK560" s="564"/>
      <c r="AL560" s="564"/>
      <c r="AM560" s="564"/>
      <c r="AN560" s="564"/>
      <c r="AO560" s="564"/>
    </row>
    <row r="561" spans="2:41" x14ac:dyDescent="0.15">
      <c r="B561" s="565">
        <v>-23</v>
      </c>
      <c r="C561" s="564">
        <v>0</v>
      </c>
      <c r="D561" s="564"/>
      <c r="E561" s="564"/>
      <c r="F561" s="564"/>
      <c r="G561" s="564"/>
      <c r="H561" s="564"/>
      <c r="I561" s="564"/>
      <c r="J561" s="564"/>
      <c r="K561" s="564"/>
      <c r="L561" s="564"/>
      <c r="M561" s="564"/>
      <c r="N561" s="564"/>
      <c r="O561" s="564"/>
      <c r="P561" s="564"/>
      <c r="Q561" s="564"/>
      <c r="R561" s="564"/>
      <c r="S561" s="564"/>
      <c r="T561" s="564"/>
      <c r="U561" s="564"/>
      <c r="V561" s="564"/>
      <c r="W561" s="564"/>
      <c r="X561" s="564"/>
      <c r="Y561" s="564"/>
      <c r="Z561" s="564"/>
      <c r="AA561" s="564"/>
      <c r="AB561" s="564"/>
      <c r="AC561" s="564"/>
      <c r="AD561" s="564"/>
      <c r="AE561" s="564"/>
      <c r="AF561" s="564"/>
      <c r="AG561" s="564"/>
      <c r="AH561" s="564"/>
      <c r="AI561" s="564"/>
      <c r="AJ561" s="564"/>
      <c r="AK561" s="564"/>
      <c r="AL561" s="564"/>
      <c r="AM561" s="564"/>
      <c r="AN561" s="564"/>
      <c r="AO561" s="564"/>
    </row>
    <row r="562" spans="2:41" x14ac:dyDescent="0.15">
      <c r="B562" s="565">
        <v>-22</v>
      </c>
      <c r="C562" s="564">
        <v>0</v>
      </c>
      <c r="D562" s="564"/>
      <c r="E562" s="564"/>
      <c r="F562" s="564"/>
      <c r="G562" s="564"/>
      <c r="H562" s="564"/>
      <c r="I562" s="564"/>
      <c r="J562" s="564"/>
      <c r="K562" s="564"/>
      <c r="L562" s="564"/>
      <c r="M562" s="564"/>
      <c r="N562" s="564"/>
      <c r="O562" s="564"/>
      <c r="P562" s="564"/>
      <c r="Q562" s="564"/>
      <c r="R562" s="564"/>
      <c r="S562" s="564"/>
      <c r="T562" s="564"/>
      <c r="U562" s="564"/>
      <c r="V562" s="564"/>
      <c r="W562" s="564"/>
      <c r="X562" s="564"/>
      <c r="Y562" s="564"/>
      <c r="Z562" s="564"/>
      <c r="AA562" s="564"/>
      <c r="AB562" s="564"/>
      <c r="AC562" s="564"/>
      <c r="AD562" s="564"/>
      <c r="AE562" s="564"/>
      <c r="AF562" s="564"/>
      <c r="AG562" s="564"/>
      <c r="AH562" s="564"/>
      <c r="AI562" s="564"/>
      <c r="AJ562" s="564"/>
      <c r="AK562" s="564"/>
      <c r="AL562" s="564"/>
      <c r="AM562" s="564"/>
      <c r="AN562" s="564"/>
      <c r="AO562" s="564"/>
    </row>
    <row r="563" spans="2:41" x14ac:dyDescent="0.15">
      <c r="B563" s="565">
        <v>-21</v>
      </c>
      <c r="C563" s="564">
        <v>0</v>
      </c>
      <c r="D563" s="564"/>
      <c r="E563" s="564"/>
      <c r="F563" s="564"/>
      <c r="G563" s="564"/>
      <c r="H563" s="564"/>
      <c r="I563" s="564"/>
      <c r="J563" s="564"/>
      <c r="K563" s="564"/>
      <c r="L563" s="564"/>
      <c r="M563" s="564"/>
      <c r="N563" s="564"/>
      <c r="O563" s="564"/>
      <c r="P563" s="564"/>
      <c r="Q563" s="564"/>
      <c r="R563" s="564"/>
      <c r="S563" s="564"/>
      <c r="T563" s="564"/>
      <c r="U563" s="564"/>
      <c r="V563" s="564"/>
      <c r="W563" s="564"/>
      <c r="X563" s="564"/>
      <c r="Y563" s="564"/>
      <c r="Z563" s="564"/>
      <c r="AA563" s="564"/>
      <c r="AB563" s="564"/>
      <c r="AC563" s="564"/>
      <c r="AD563" s="564"/>
      <c r="AE563" s="564"/>
      <c r="AF563" s="564"/>
      <c r="AG563" s="564"/>
      <c r="AH563" s="564"/>
      <c r="AI563" s="564"/>
      <c r="AJ563" s="564"/>
      <c r="AK563" s="564"/>
      <c r="AL563" s="564"/>
      <c r="AM563" s="564"/>
      <c r="AN563" s="564"/>
      <c r="AO563" s="564"/>
    </row>
    <row r="564" spans="2:41" x14ac:dyDescent="0.15">
      <c r="B564" s="565">
        <v>-20</v>
      </c>
      <c r="C564" s="564">
        <v>0</v>
      </c>
      <c r="D564" s="564"/>
      <c r="E564" s="564"/>
      <c r="F564" s="564"/>
      <c r="G564" s="564"/>
      <c r="H564" s="564"/>
      <c r="I564" s="564"/>
      <c r="J564" s="564"/>
      <c r="K564" s="564"/>
      <c r="L564" s="564"/>
      <c r="M564" s="564"/>
      <c r="N564" s="564"/>
      <c r="O564" s="564"/>
      <c r="P564" s="564"/>
      <c r="Q564" s="564"/>
      <c r="R564" s="564"/>
      <c r="S564" s="564"/>
      <c r="T564" s="564"/>
      <c r="U564" s="564"/>
      <c r="V564" s="564"/>
      <c r="W564" s="564"/>
      <c r="X564" s="564"/>
      <c r="Y564" s="564"/>
      <c r="Z564" s="564"/>
      <c r="AA564" s="564"/>
      <c r="AB564" s="564"/>
      <c r="AC564" s="564"/>
      <c r="AD564" s="564"/>
      <c r="AE564" s="564"/>
      <c r="AF564" s="564"/>
      <c r="AG564" s="564"/>
      <c r="AH564" s="564"/>
      <c r="AI564" s="564"/>
      <c r="AJ564" s="564"/>
      <c r="AK564" s="564"/>
      <c r="AL564" s="564"/>
      <c r="AM564" s="564"/>
      <c r="AN564" s="564"/>
      <c r="AO564" s="564"/>
    </row>
    <row r="565" spans="2:41" x14ac:dyDescent="0.15">
      <c r="B565" s="565">
        <v>-19</v>
      </c>
      <c r="C565" s="564">
        <v>0</v>
      </c>
      <c r="D565" s="564"/>
      <c r="E565" s="564"/>
      <c r="F565" s="564"/>
      <c r="G565" s="564"/>
      <c r="H565" s="564"/>
      <c r="I565" s="564"/>
      <c r="J565" s="564"/>
      <c r="K565" s="564"/>
      <c r="L565" s="564"/>
      <c r="M565" s="564"/>
      <c r="N565" s="564"/>
      <c r="O565" s="564"/>
      <c r="P565" s="564"/>
      <c r="Q565" s="564"/>
      <c r="R565" s="564"/>
      <c r="S565" s="564"/>
      <c r="T565" s="564"/>
      <c r="U565" s="564"/>
      <c r="V565" s="564"/>
      <c r="W565" s="564"/>
      <c r="X565" s="564"/>
      <c r="Y565" s="564"/>
      <c r="Z565" s="564"/>
      <c r="AA565" s="564"/>
      <c r="AB565" s="564"/>
      <c r="AC565" s="564"/>
      <c r="AD565" s="564"/>
      <c r="AE565" s="564"/>
      <c r="AF565" s="564"/>
      <c r="AG565" s="564"/>
      <c r="AH565" s="564"/>
      <c r="AI565" s="564"/>
      <c r="AJ565" s="564"/>
      <c r="AK565" s="564"/>
      <c r="AL565" s="564"/>
      <c r="AM565" s="564"/>
      <c r="AN565" s="564"/>
      <c r="AO565" s="564"/>
    </row>
    <row r="566" spans="2:41" x14ac:dyDescent="0.15">
      <c r="B566" s="565">
        <v>-18</v>
      </c>
      <c r="C566" s="564">
        <v>0</v>
      </c>
      <c r="D566" s="564"/>
      <c r="E566" s="564"/>
      <c r="F566" s="564"/>
      <c r="G566" s="564"/>
      <c r="H566" s="564"/>
      <c r="I566" s="564"/>
      <c r="J566" s="564"/>
      <c r="K566" s="564"/>
      <c r="L566" s="564"/>
      <c r="M566" s="564"/>
      <c r="N566" s="564"/>
      <c r="O566" s="564"/>
      <c r="P566" s="564"/>
      <c r="Q566" s="564"/>
      <c r="R566" s="564"/>
      <c r="S566" s="564"/>
      <c r="T566" s="564"/>
      <c r="U566" s="564"/>
      <c r="V566" s="564"/>
      <c r="W566" s="564"/>
      <c r="X566" s="564"/>
      <c r="Y566" s="564"/>
      <c r="Z566" s="564"/>
      <c r="AA566" s="564"/>
      <c r="AB566" s="564"/>
      <c r="AC566" s="564"/>
      <c r="AD566" s="564"/>
      <c r="AE566" s="564"/>
      <c r="AF566" s="564"/>
      <c r="AG566" s="564"/>
      <c r="AH566" s="564"/>
      <c r="AI566" s="564"/>
      <c r="AJ566" s="564"/>
      <c r="AK566" s="564"/>
      <c r="AL566" s="564"/>
      <c r="AM566" s="564"/>
      <c r="AN566" s="564"/>
      <c r="AO566" s="564"/>
    </row>
    <row r="567" spans="2:41" x14ac:dyDescent="0.15">
      <c r="B567" s="565">
        <v>-17</v>
      </c>
      <c r="C567" s="564">
        <v>0</v>
      </c>
      <c r="D567" s="564"/>
      <c r="E567" s="564"/>
      <c r="F567" s="564"/>
      <c r="G567" s="564"/>
      <c r="H567" s="564"/>
      <c r="I567" s="564"/>
      <c r="J567" s="564"/>
      <c r="K567" s="564"/>
      <c r="L567" s="564"/>
      <c r="M567" s="564"/>
      <c r="N567" s="564"/>
      <c r="O567" s="564"/>
      <c r="P567" s="564"/>
      <c r="Q567" s="564"/>
      <c r="R567" s="564"/>
      <c r="S567" s="564"/>
      <c r="T567" s="564"/>
      <c r="U567" s="564"/>
      <c r="V567" s="564"/>
      <c r="W567" s="564"/>
      <c r="X567" s="564"/>
      <c r="Y567" s="564"/>
      <c r="Z567" s="564"/>
      <c r="AA567" s="564"/>
      <c r="AB567" s="564"/>
      <c r="AC567" s="564"/>
      <c r="AD567" s="564"/>
      <c r="AE567" s="564"/>
      <c r="AF567" s="564"/>
      <c r="AG567" s="564"/>
      <c r="AH567" s="564"/>
      <c r="AI567" s="564"/>
      <c r="AJ567" s="564"/>
      <c r="AK567" s="564"/>
      <c r="AL567" s="564"/>
      <c r="AM567" s="564"/>
      <c r="AN567" s="564"/>
      <c r="AO567" s="564"/>
    </row>
    <row r="568" spans="2:41" x14ac:dyDescent="0.15">
      <c r="B568" s="565">
        <v>-16</v>
      </c>
      <c r="C568" s="564">
        <v>0</v>
      </c>
      <c r="D568" s="564"/>
      <c r="E568" s="564"/>
      <c r="F568" s="564"/>
      <c r="G568" s="564"/>
      <c r="H568" s="564"/>
      <c r="I568" s="564"/>
      <c r="J568" s="564"/>
      <c r="K568" s="564"/>
      <c r="L568" s="564"/>
      <c r="M568" s="564"/>
      <c r="N568" s="564"/>
      <c r="O568" s="564"/>
      <c r="P568" s="564"/>
      <c r="Q568" s="564"/>
      <c r="R568" s="564"/>
      <c r="S568" s="564"/>
      <c r="T568" s="564"/>
      <c r="U568" s="564"/>
      <c r="V568" s="564"/>
      <c r="W568" s="564"/>
      <c r="X568" s="564"/>
      <c r="Y568" s="564"/>
      <c r="Z568" s="564"/>
      <c r="AA568" s="564"/>
      <c r="AB568" s="564"/>
      <c r="AC568" s="564"/>
      <c r="AD568" s="564"/>
      <c r="AE568" s="564"/>
      <c r="AF568" s="564"/>
      <c r="AG568" s="564"/>
      <c r="AH568" s="564"/>
      <c r="AI568" s="564"/>
      <c r="AJ568" s="564"/>
      <c r="AK568" s="564"/>
      <c r="AL568" s="564"/>
      <c r="AM568" s="564"/>
      <c r="AN568" s="564"/>
      <c r="AO568" s="564"/>
    </row>
    <row r="569" spans="2:41" x14ac:dyDescent="0.15">
      <c r="B569" s="565">
        <v>-15</v>
      </c>
      <c r="C569" s="564">
        <v>0</v>
      </c>
      <c r="D569" s="564"/>
      <c r="E569" s="564"/>
      <c r="F569" s="564"/>
      <c r="G569" s="564"/>
      <c r="H569" s="564"/>
      <c r="I569" s="564"/>
      <c r="J569" s="564"/>
      <c r="K569" s="564"/>
      <c r="L569" s="564"/>
      <c r="M569" s="564"/>
      <c r="N569" s="564"/>
      <c r="O569" s="564"/>
      <c r="P569" s="564"/>
      <c r="Q569" s="564"/>
      <c r="R569" s="564"/>
      <c r="S569" s="564"/>
      <c r="T569" s="564"/>
      <c r="U569" s="564"/>
      <c r="V569" s="564"/>
      <c r="W569" s="564"/>
      <c r="X569" s="564"/>
      <c r="Y569" s="564"/>
      <c r="Z569" s="564"/>
      <c r="AA569" s="564"/>
      <c r="AB569" s="564"/>
      <c r="AC569" s="564"/>
      <c r="AD569" s="564"/>
      <c r="AE569" s="564"/>
      <c r="AF569" s="564"/>
      <c r="AG569" s="564"/>
      <c r="AH569" s="564"/>
      <c r="AI569" s="564"/>
      <c r="AJ569" s="564"/>
      <c r="AK569" s="564"/>
      <c r="AL569" s="564"/>
      <c r="AM569" s="564"/>
      <c r="AN569" s="564"/>
      <c r="AO569" s="564"/>
    </row>
    <row r="570" spans="2:41" x14ac:dyDescent="0.15">
      <c r="B570" s="565">
        <v>-14</v>
      </c>
      <c r="C570" s="564">
        <v>0</v>
      </c>
      <c r="D570" s="564"/>
      <c r="E570" s="564"/>
      <c r="F570" s="564"/>
      <c r="G570" s="564"/>
      <c r="H570" s="564"/>
      <c r="I570" s="564"/>
      <c r="J570" s="564"/>
      <c r="K570" s="564"/>
      <c r="L570" s="564"/>
      <c r="M570" s="564"/>
      <c r="N570" s="564"/>
      <c r="O570" s="564"/>
      <c r="P570" s="564"/>
      <c r="Q570" s="564"/>
      <c r="R570" s="564"/>
      <c r="S570" s="564"/>
      <c r="T570" s="564"/>
      <c r="U570" s="564"/>
      <c r="V570" s="564"/>
      <c r="W570" s="564"/>
      <c r="X570" s="564"/>
      <c r="Y570" s="564"/>
      <c r="Z570" s="564"/>
      <c r="AA570" s="564"/>
      <c r="AB570" s="564"/>
      <c r="AC570" s="564"/>
      <c r="AD570" s="564"/>
      <c r="AE570" s="564"/>
      <c r="AF570" s="564"/>
      <c r="AG570" s="564"/>
      <c r="AH570" s="564"/>
      <c r="AI570" s="564"/>
      <c r="AJ570" s="564"/>
      <c r="AK570" s="564"/>
      <c r="AL570" s="564"/>
      <c r="AM570" s="564"/>
      <c r="AN570" s="564"/>
      <c r="AO570" s="564"/>
    </row>
    <row r="571" spans="2:41" x14ac:dyDescent="0.15">
      <c r="B571" s="565">
        <v>-13</v>
      </c>
      <c r="C571" s="564">
        <v>0</v>
      </c>
      <c r="D571" s="564"/>
      <c r="E571" s="564"/>
      <c r="F571" s="564"/>
      <c r="G571" s="564"/>
      <c r="H571" s="564"/>
      <c r="I571" s="564"/>
      <c r="J571" s="564"/>
      <c r="K571" s="564"/>
      <c r="L571" s="564"/>
      <c r="M571" s="564"/>
      <c r="N571" s="564"/>
      <c r="O571" s="564"/>
      <c r="P571" s="564"/>
      <c r="Q571" s="564"/>
      <c r="R571" s="564"/>
      <c r="S571" s="564"/>
      <c r="T571" s="564"/>
      <c r="U571" s="564"/>
      <c r="V571" s="564"/>
      <c r="W571" s="564"/>
      <c r="X571" s="564"/>
      <c r="Y571" s="564"/>
      <c r="Z571" s="564"/>
      <c r="AA571" s="564"/>
      <c r="AB571" s="564"/>
      <c r="AC571" s="564"/>
      <c r="AD571" s="564"/>
      <c r="AE571" s="564"/>
      <c r="AF571" s="564"/>
      <c r="AG571" s="564"/>
      <c r="AH571" s="564"/>
      <c r="AI571" s="564"/>
      <c r="AJ571" s="564"/>
      <c r="AK571" s="564"/>
      <c r="AL571" s="564"/>
      <c r="AM571" s="564"/>
      <c r="AN571" s="564"/>
      <c r="AO571" s="564"/>
    </row>
    <row r="572" spans="2:41" x14ac:dyDescent="0.15">
      <c r="B572" s="565">
        <v>-12</v>
      </c>
      <c r="C572" s="564">
        <v>0</v>
      </c>
      <c r="D572" s="564"/>
      <c r="E572" s="564"/>
      <c r="F572" s="564"/>
      <c r="G572" s="564"/>
      <c r="H572" s="564"/>
      <c r="I572" s="564"/>
      <c r="J572" s="564"/>
      <c r="K572" s="564"/>
      <c r="L572" s="564"/>
      <c r="M572" s="564"/>
      <c r="N572" s="564"/>
      <c r="O572" s="564"/>
      <c r="P572" s="564"/>
      <c r="Q572" s="564"/>
      <c r="R572" s="564"/>
      <c r="S572" s="564"/>
      <c r="T572" s="564"/>
      <c r="U572" s="564"/>
      <c r="V572" s="564"/>
      <c r="W572" s="564"/>
      <c r="X572" s="564"/>
      <c r="Y572" s="564"/>
      <c r="Z572" s="564"/>
      <c r="AA572" s="564"/>
      <c r="AB572" s="564"/>
      <c r="AC572" s="564"/>
      <c r="AD572" s="564"/>
      <c r="AE572" s="564"/>
      <c r="AF572" s="564"/>
      <c r="AG572" s="564"/>
      <c r="AH572" s="564"/>
      <c r="AI572" s="564"/>
      <c r="AJ572" s="564"/>
      <c r="AK572" s="564"/>
      <c r="AL572" s="564"/>
      <c r="AM572" s="564"/>
      <c r="AN572" s="564"/>
      <c r="AO572" s="564"/>
    </row>
    <row r="573" spans="2:41" x14ac:dyDescent="0.15">
      <c r="B573" s="565">
        <v>-11</v>
      </c>
      <c r="C573" s="564">
        <v>1.2557077625570776E-3</v>
      </c>
      <c r="D573" s="564"/>
      <c r="E573" s="564"/>
      <c r="F573" s="564"/>
      <c r="G573" s="564"/>
      <c r="H573" s="564"/>
      <c r="I573" s="564"/>
      <c r="J573" s="564"/>
      <c r="K573" s="564"/>
      <c r="L573" s="564"/>
      <c r="M573" s="564"/>
      <c r="N573" s="564"/>
      <c r="O573" s="564"/>
      <c r="P573" s="564"/>
      <c r="Q573" s="564"/>
      <c r="R573" s="564"/>
      <c r="S573" s="564"/>
      <c r="T573" s="564"/>
      <c r="U573" s="564"/>
      <c r="V573" s="564"/>
      <c r="W573" s="564"/>
      <c r="X573" s="564"/>
      <c r="Y573" s="564"/>
      <c r="Z573" s="564"/>
      <c r="AA573" s="564"/>
      <c r="AB573" s="564"/>
      <c r="AC573" s="564"/>
      <c r="AD573" s="564"/>
      <c r="AE573" s="564"/>
      <c r="AF573" s="564"/>
      <c r="AG573" s="564"/>
      <c r="AH573" s="564"/>
      <c r="AI573" s="564"/>
      <c r="AJ573" s="564"/>
      <c r="AK573" s="564"/>
      <c r="AL573" s="564"/>
      <c r="AM573" s="564"/>
      <c r="AN573" s="564"/>
      <c r="AO573" s="564"/>
    </row>
    <row r="574" spans="2:41" x14ac:dyDescent="0.15">
      <c r="B574" s="565">
        <v>-10</v>
      </c>
      <c r="C574" s="564">
        <v>3.6529680365296802E-3</v>
      </c>
      <c r="D574" s="564"/>
      <c r="E574" s="564"/>
      <c r="F574" s="564"/>
      <c r="G574" s="564"/>
      <c r="H574" s="564"/>
      <c r="I574" s="564"/>
      <c r="J574" s="564"/>
      <c r="K574" s="564"/>
      <c r="L574" s="564"/>
      <c r="M574" s="564"/>
      <c r="N574" s="564"/>
      <c r="O574" s="564"/>
      <c r="P574" s="564"/>
      <c r="Q574" s="564"/>
      <c r="R574" s="564"/>
      <c r="S574" s="564"/>
      <c r="T574" s="564"/>
      <c r="U574" s="564"/>
      <c r="V574" s="564"/>
      <c r="W574" s="564"/>
      <c r="X574" s="564"/>
      <c r="Y574" s="564"/>
      <c r="Z574" s="564"/>
      <c r="AA574" s="564"/>
      <c r="AB574" s="564"/>
      <c r="AC574" s="564"/>
      <c r="AD574" s="564"/>
      <c r="AE574" s="564"/>
      <c r="AF574" s="564"/>
      <c r="AG574" s="564"/>
      <c r="AH574" s="564"/>
      <c r="AI574" s="564"/>
      <c r="AJ574" s="564"/>
      <c r="AK574" s="564"/>
      <c r="AL574" s="564"/>
      <c r="AM574" s="564"/>
      <c r="AN574" s="564"/>
      <c r="AO574" s="564"/>
    </row>
    <row r="575" spans="2:41" x14ac:dyDescent="0.15">
      <c r="B575" s="565">
        <v>-9</v>
      </c>
      <c r="C575" s="564">
        <v>4.7945205479452057E-3</v>
      </c>
      <c r="D575" s="564"/>
      <c r="E575" s="564"/>
      <c r="F575" s="564"/>
      <c r="G575" s="564"/>
      <c r="H575" s="564"/>
      <c r="I575" s="564"/>
      <c r="J575" s="564"/>
      <c r="K575" s="564"/>
      <c r="L575" s="564"/>
      <c r="M575" s="564"/>
      <c r="N575" s="564"/>
      <c r="O575" s="564"/>
      <c r="P575" s="564"/>
      <c r="Q575" s="564"/>
      <c r="R575" s="564"/>
      <c r="S575" s="564"/>
      <c r="T575" s="564"/>
      <c r="U575" s="564"/>
      <c r="V575" s="564"/>
      <c r="W575" s="564"/>
      <c r="X575" s="564"/>
      <c r="Y575" s="564"/>
      <c r="Z575" s="564"/>
      <c r="AA575" s="564"/>
      <c r="AB575" s="564"/>
      <c r="AC575" s="564"/>
      <c r="AD575" s="564"/>
      <c r="AE575" s="564"/>
      <c r="AF575" s="564"/>
      <c r="AG575" s="564"/>
      <c r="AH575" s="564"/>
      <c r="AI575" s="564"/>
      <c r="AJ575" s="564"/>
      <c r="AK575" s="564"/>
      <c r="AL575" s="564"/>
      <c r="AM575" s="564"/>
      <c r="AN575" s="564"/>
      <c r="AO575" s="564"/>
    </row>
    <row r="576" spans="2:41" x14ac:dyDescent="0.15">
      <c r="B576" s="565">
        <v>-8</v>
      </c>
      <c r="C576" s="564">
        <v>9.0182648401826489E-3</v>
      </c>
      <c r="D576" s="564"/>
      <c r="E576" s="564"/>
      <c r="F576" s="564"/>
      <c r="G576" s="564"/>
      <c r="H576" s="564"/>
      <c r="I576" s="564"/>
      <c r="J576" s="564"/>
      <c r="K576" s="564"/>
      <c r="L576" s="564"/>
      <c r="M576" s="564"/>
      <c r="N576" s="564"/>
      <c r="O576" s="564"/>
      <c r="P576" s="564"/>
      <c r="Q576" s="564"/>
      <c r="R576" s="564"/>
      <c r="S576" s="564"/>
      <c r="T576" s="564"/>
      <c r="U576" s="564"/>
      <c r="V576" s="564"/>
      <c r="W576" s="564"/>
      <c r="X576" s="564"/>
      <c r="Y576" s="564"/>
      <c r="Z576" s="564"/>
      <c r="AA576" s="564"/>
      <c r="AB576" s="564"/>
      <c r="AC576" s="564"/>
      <c r="AD576" s="564"/>
      <c r="AE576" s="564"/>
      <c r="AF576" s="564"/>
      <c r="AG576" s="564"/>
      <c r="AH576" s="564"/>
      <c r="AI576" s="564"/>
      <c r="AJ576" s="564"/>
      <c r="AK576" s="564"/>
      <c r="AL576" s="564"/>
      <c r="AM576" s="564"/>
      <c r="AN576" s="564"/>
      <c r="AO576" s="564"/>
    </row>
    <row r="577" spans="2:41" x14ac:dyDescent="0.15">
      <c r="B577" s="565">
        <v>-7</v>
      </c>
      <c r="C577" s="564">
        <v>1.3356164383561644E-2</v>
      </c>
      <c r="D577" s="564"/>
      <c r="E577" s="564"/>
      <c r="F577" s="564"/>
      <c r="G577" s="564"/>
      <c r="H577" s="564"/>
      <c r="I577" s="564"/>
      <c r="J577" s="564"/>
      <c r="K577" s="564"/>
      <c r="L577" s="564"/>
      <c r="M577" s="564"/>
      <c r="N577" s="564"/>
      <c r="O577" s="564"/>
      <c r="P577" s="564"/>
      <c r="Q577" s="564"/>
      <c r="R577" s="564"/>
      <c r="S577" s="564"/>
      <c r="T577" s="564"/>
      <c r="U577" s="564"/>
      <c r="V577" s="564"/>
      <c r="W577" s="564"/>
      <c r="X577" s="564"/>
      <c r="Y577" s="564"/>
      <c r="Z577" s="564"/>
      <c r="AA577" s="564"/>
      <c r="AB577" s="564"/>
      <c r="AC577" s="564"/>
      <c r="AD577" s="564"/>
      <c r="AE577" s="564"/>
      <c r="AF577" s="564"/>
      <c r="AG577" s="564"/>
      <c r="AH577" s="564"/>
      <c r="AI577" s="564"/>
      <c r="AJ577" s="564"/>
      <c r="AK577" s="564"/>
      <c r="AL577" s="564"/>
      <c r="AM577" s="564"/>
      <c r="AN577" s="564"/>
      <c r="AO577" s="564"/>
    </row>
    <row r="578" spans="2:41" x14ac:dyDescent="0.15">
      <c r="B578" s="565">
        <v>-6</v>
      </c>
      <c r="C578" s="564">
        <v>2.2716894977168951E-2</v>
      </c>
      <c r="D578" s="564"/>
      <c r="E578" s="564"/>
      <c r="F578" s="564"/>
      <c r="G578" s="564"/>
      <c r="H578" s="564"/>
      <c r="I578" s="564"/>
      <c r="J578" s="564"/>
      <c r="K578" s="564"/>
      <c r="L578" s="564"/>
      <c r="M578" s="564"/>
      <c r="N578" s="564"/>
      <c r="O578" s="564"/>
      <c r="P578" s="564"/>
      <c r="Q578" s="564"/>
      <c r="R578" s="564"/>
      <c r="S578" s="564"/>
      <c r="T578" s="564"/>
      <c r="U578" s="564"/>
      <c r="V578" s="564"/>
      <c r="W578" s="564"/>
      <c r="X578" s="564"/>
      <c r="Y578" s="564"/>
      <c r="Z578" s="564"/>
      <c r="AA578" s="564"/>
      <c r="AB578" s="564"/>
      <c r="AC578" s="564"/>
      <c r="AD578" s="564"/>
      <c r="AE578" s="564"/>
      <c r="AF578" s="564"/>
      <c r="AG578" s="564"/>
      <c r="AH578" s="564"/>
      <c r="AI578" s="564"/>
      <c r="AJ578" s="564"/>
      <c r="AK578" s="564"/>
      <c r="AL578" s="564"/>
      <c r="AM578" s="564"/>
      <c r="AN578" s="564"/>
      <c r="AO578" s="564"/>
    </row>
    <row r="579" spans="2:41" x14ac:dyDescent="0.15">
      <c r="B579" s="565">
        <v>-5</v>
      </c>
      <c r="C579" s="564">
        <v>4.1894977168949771E-2</v>
      </c>
      <c r="D579" s="564"/>
      <c r="E579" s="564"/>
      <c r="F579" s="564"/>
      <c r="G579" s="564"/>
      <c r="H579" s="564"/>
      <c r="I579" s="564"/>
      <c r="J579" s="564"/>
      <c r="K579" s="564"/>
      <c r="L579" s="564"/>
      <c r="M579" s="564"/>
      <c r="N579" s="564"/>
      <c r="O579" s="564"/>
      <c r="P579" s="564"/>
      <c r="Q579" s="564"/>
      <c r="R579" s="564"/>
      <c r="S579" s="564"/>
      <c r="T579" s="564"/>
      <c r="U579" s="564"/>
      <c r="V579" s="564"/>
      <c r="W579" s="564"/>
      <c r="X579" s="564"/>
      <c r="Y579" s="564"/>
      <c r="Z579" s="564"/>
      <c r="AA579" s="564"/>
      <c r="AB579" s="564"/>
      <c r="AC579" s="564"/>
      <c r="AD579" s="564"/>
      <c r="AE579" s="564"/>
      <c r="AF579" s="564"/>
      <c r="AG579" s="564"/>
      <c r="AH579" s="564"/>
      <c r="AI579" s="564"/>
      <c r="AJ579" s="564"/>
      <c r="AK579" s="564"/>
      <c r="AL579" s="564"/>
      <c r="AM579" s="564"/>
      <c r="AN579" s="564"/>
      <c r="AO579" s="564"/>
    </row>
    <row r="580" spans="2:41" x14ac:dyDescent="0.15">
      <c r="B580" s="565">
        <v>-4</v>
      </c>
      <c r="C580" s="564">
        <v>4.942922374429224E-2</v>
      </c>
      <c r="D580" s="564"/>
      <c r="E580" s="564"/>
      <c r="F580" s="564"/>
      <c r="G580" s="564"/>
      <c r="H580" s="564"/>
      <c r="I580" s="564"/>
      <c r="J580" s="564"/>
      <c r="K580" s="564"/>
      <c r="L580" s="564"/>
      <c r="M580" s="564"/>
      <c r="N580" s="564"/>
      <c r="O580" s="564"/>
      <c r="P580" s="564"/>
      <c r="Q580" s="564"/>
      <c r="R580" s="564"/>
      <c r="S580" s="564"/>
      <c r="T580" s="564"/>
      <c r="U580" s="564"/>
      <c r="V580" s="564"/>
      <c r="W580" s="564"/>
      <c r="X580" s="564"/>
      <c r="Y580" s="564"/>
      <c r="Z580" s="564"/>
      <c r="AA580" s="564"/>
      <c r="AB580" s="564"/>
      <c r="AC580" s="564"/>
      <c r="AD580" s="564"/>
      <c r="AE580" s="564"/>
      <c r="AF580" s="564"/>
      <c r="AG580" s="564"/>
      <c r="AH580" s="564"/>
      <c r="AI580" s="564"/>
      <c r="AJ580" s="564"/>
      <c r="AK580" s="564"/>
      <c r="AL580" s="564"/>
      <c r="AM580" s="564"/>
      <c r="AN580" s="564"/>
      <c r="AO580" s="564"/>
    </row>
    <row r="581" spans="2:41" x14ac:dyDescent="0.15">
      <c r="B581" s="565">
        <v>-3</v>
      </c>
      <c r="C581" s="564">
        <v>7.8538812785388129E-2</v>
      </c>
      <c r="D581" s="564"/>
      <c r="E581" s="564"/>
      <c r="F581" s="564"/>
      <c r="G581" s="564"/>
      <c r="H581" s="564"/>
      <c r="I581" s="564"/>
      <c r="J581" s="564"/>
      <c r="K581" s="564"/>
      <c r="L581" s="564"/>
      <c r="M581" s="564"/>
      <c r="N581" s="564"/>
      <c r="O581" s="564"/>
      <c r="P581" s="564"/>
      <c r="Q581" s="564"/>
      <c r="R581" s="564"/>
      <c r="S581" s="564"/>
      <c r="T581" s="564"/>
      <c r="U581" s="564"/>
      <c r="V581" s="564"/>
      <c r="W581" s="564"/>
      <c r="X581" s="564"/>
      <c r="Y581" s="564"/>
      <c r="Z581" s="564"/>
      <c r="AA581" s="564"/>
      <c r="AB581" s="564"/>
      <c r="AC581" s="564"/>
      <c r="AD581" s="564"/>
      <c r="AE581" s="564"/>
      <c r="AF581" s="564"/>
      <c r="AG581" s="564"/>
      <c r="AH581" s="564"/>
      <c r="AI581" s="564"/>
      <c r="AJ581" s="564"/>
      <c r="AK581" s="564"/>
      <c r="AL581" s="564"/>
      <c r="AM581" s="564"/>
      <c r="AN581" s="564"/>
      <c r="AO581" s="564"/>
    </row>
    <row r="582" spans="2:41" x14ac:dyDescent="0.15">
      <c r="B582" s="565">
        <v>-2</v>
      </c>
      <c r="C582" s="564">
        <v>0.11723744292237442</v>
      </c>
      <c r="D582" s="564"/>
      <c r="E582" s="564"/>
      <c r="F582" s="564"/>
      <c r="G582" s="564"/>
      <c r="H582" s="564"/>
      <c r="I582" s="564"/>
      <c r="J582" s="564"/>
      <c r="K582" s="564"/>
      <c r="L582" s="564"/>
      <c r="M582" s="564"/>
      <c r="N582" s="564"/>
      <c r="O582" s="564"/>
      <c r="P582" s="564"/>
      <c r="Q582" s="564"/>
      <c r="R582" s="564"/>
      <c r="S582" s="564"/>
      <c r="T582" s="564"/>
      <c r="U582" s="564"/>
      <c r="V582" s="564"/>
      <c r="W582" s="564"/>
      <c r="X582" s="564"/>
      <c r="Y582" s="564"/>
      <c r="Z582" s="564"/>
      <c r="AA582" s="564"/>
      <c r="AB582" s="564"/>
      <c r="AC582" s="564"/>
      <c r="AD582" s="564"/>
      <c r="AE582" s="564"/>
      <c r="AF582" s="564"/>
      <c r="AG582" s="564"/>
      <c r="AH582" s="564"/>
      <c r="AI582" s="564"/>
      <c r="AJ582" s="564"/>
      <c r="AK582" s="564"/>
      <c r="AL582" s="564"/>
      <c r="AM582" s="564"/>
      <c r="AN582" s="564"/>
      <c r="AO582" s="564"/>
    </row>
    <row r="583" spans="2:41" x14ac:dyDescent="0.15">
      <c r="B583" s="565">
        <v>-1</v>
      </c>
      <c r="C583" s="564">
        <v>0.15570776255707763</v>
      </c>
      <c r="D583" s="564"/>
      <c r="E583" s="564"/>
      <c r="F583" s="564"/>
      <c r="G583" s="564"/>
      <c r="H583" s="564"/>
      <c r="I583" s="564"/>
      <c r="J583" s="564"/>
      <c r="K583" s="564"/>
      <c r="L583" s="564"/>
      <c r="M583" s="564"/>
      <c r="N583" s="564"/>
      <c r="O583" s="564"/>
      <c r="P583" s="564"/>
      <c r="Q583" s="564"/>
      <c r="R583" s="564"/>
      <c r="S583" s="564"/>
      <c r="T583" s="564"/>
      <c r="U583" s="564"/>
      <c r="V583" s="564"/>
      <c r="W583" s="564"/>
      <c r="X583" s="564"/>
      <c r="Y583" s="564"/>
      <c r="Z583" s="564"/>
      <c r="AA583" s="564"/>
      <c r="AB583" s="564"/>
      <c r="AC583" s="564"/>
      <c r="AD583" s="564"/>
      <c r="AE583" s="564"/>
      <c r="AF583" s="564"/>
      <c r="AG583" s="564"/>
      <c r="AH583" s="564"/>
      <c r="AI583" s="564"/>
      <c r="AJ583" s="564"/>
      <c r="AK583" s="564"/>
      <c r="AL583" s="564"/>
      <c r="AM583" s="564"/>
      <c r="AN583" s="564"/>
      <c r="AO583" s="564"/>
    </row>
    <row r="584" spans="2:41" x14ac:dyDescent="0.15">
      <c r="B584" s="565">
        <v>0</v>
      </c>
      <c r="C584" s="564">
        <v>0.20273972602739726</v>
      </c>
      <c r="D584" s="564"/>
      <c r="E584" s="564"/>
      <c r="F584" s="564"/>
      <c r="G584" s="564"/>
      <c r="H584" s="564"/>
      <c r="I584" s="564"/>
      <c r="J584" s="564"/>
      <c r="K584" s="564"/>
      <c r="L584" s="564"/>
      <c r="M584" s="564"/>
      <c r="N584" s="564"/>
      <c r="O584" s="564"/>
      <c r="P584" s="564"/>
      <c r="Q584" s="564"/>
      <c r="R584" s="564"/>
      <c r="S584" s="564"/>
      <c r="T584" s="564"/>
      <c r="U584" s="564"/>
      <c r="V584" s="564"/>
      <c r="W584" s="564"/>
      <c r="X584" s="564"/>
      <c r="Y584" s="564"/>
      <c r="Z584" s="564"/>
      <c r="AA584" s="564"/>
      <c r="AB584" s="564"/>
      <c r="AC584" s="564"/>
      <c r="AD584" s="564"/>
      <c r="AE584" s="564"/>
      <c r="AF584" s="564"/>
      <c r="AG584" s="564"/>
      <c r="AH584" s="564"/>
      <c r="AI584" s="564"/>
      <c r="AJ584" s="564"/>
      <c r="AK584" s="564"/>
      <c r="AL584" s="564"/>
      <c r="AM584" s="564"/>
      <c r="AN584" s="564"/>
      <c r="AO584" s="564"/>
    </row>
    <row r="585" spans="2:41" x14ac:dyDescent="0.15">
      <c r="B585" s="565">
        <v>1</v>
      </c>
      <c r="C585" s="564">
        <v>0.23378995433789954</v>
      </c>
      <c r="D585" s="564"/>
      <c r="E585" s="564"/>
      <c r="F585" s="564"/>
      <c r="G585" s="564"/>
      <c r="H585" s="564"/>
      <c r="I585" s="564"/>
      <c r="J585" s="564"/>
      <c r="K585" s="564"/>
      <c r="L585" s="564"/>
      <c r="M585" s="564"/>
      <c r="N585" s="564"/>
      <c r="O585" s="564"/>
      <c r="P585" s="564"/>
      <c r="Q585" s="564"/>
      <c r="R585" s="564"/>
      <c r="S585" s="564"/>
      <c r="T585" s="564"/>
      <c r="U585" s="564"/>
      <c r="V585" s="564"/>
      <c r="W585" s="564"/>
      <c r="X585" s="564"/>
      <c r="Y585" s="564"/>
      <c r="Z585" s="564"/>
      <c r="AA585" s="564"/>
      <c r="AB585" s="564"/>
      <c r="AC585" s="564"/>
      <c r="AD585" s="564"/>
      <c r="AE585" s="564"/>
      <c r="AF585" s="564"/>
      <c r="AG585" s="564"/>
      <c r="AH585" s="564"/>
      <c r="AI585" s="564"/>
      <c r="AJ585" s="564"/>
      <c r="AK585" s="564"/>
      <c r="AL585" s="564"/>
      <c r="AM585" s="564"/>
      <c r="AN585" s="564"/>
      <c r="AO585" s="564"/>
    </row>
    <row r="586" spans="2:41" x14ac:dyDescent="0.15">
      <c r="B586" s="565">
        <v>2</v>
      </c>
      <c r="C586" s="564">
        <v>0.29497716894977166</v>
      </c>
      <c r="D586" s="564"/>
      <c r="E586" s="564"/>
      <c r="F586" s="564"/>
      <c r="G586" s="564"/>
      <c r="H586" s="564"/>
      <c r="I586" s="564"/>
      <c r="J586" s="564"/>
      <c r="K586" s="564"/>
      <c r="L586" s="564"/>
      <c r="M586" s="564"/>
      <c r="N586" s="564"/>
      <c r="O586" s="564"/>
      <c r="P586" s="564"/>
      <c r="Q586" s="564"/>
      <c r="R586" s="564"/>
      <c r="S586" s="564"/>
      <c r="T586" s="564"/>
      <c r="U586" s="564"/>
      <c r="V586" s="564"/>
      <c r="W586" s="564"/>
      <c r="X586" s="564"/>
      <c r="Y586" s="564"/>
      <c r="Z586" s="564"/>
      <c r="AA586" s="564"/>
      <c r="AB586" s="564"/>
      <c r="AC586" s="564"/>
      <c r="AD586" s="564"/>
      <c r="AE586" s="564"/>
      <c r="AF586" s="564"/>
      <c r="AG586" s="564"/>
      <c r="AH586" s="564"/>
      <c r="AI586" s="564"/>
      <c r="AJ586" s="564"/>
      <c r="AK586" s="564"/>
      <c r="AL586" s="564"/>
      <c r="AM586" s="564"/>
      <c r="AN586" s="564"/>
      <c r="AO586" s="564"/>
    </row>
    <row r="587" spans="2:41" x14ac:dyDescent="0.15">
      <c r="B587" s="565">
        <v>3</v>
      </c>
      <c r="C587" s="564">
        <v>0.35856164383561645</v>
      </c>
      <c r="D587" s="564"/>
      <c r="E587" s="564"/>
      <c r="F587" s="564"/>
      <c r="G587" s="564"/>
      <c r="H587" s="564"/>
      <c r="I587" s="564"/>
      <c r="J587" s="564"/>
      <c r="K587" s="564"/>
      <c r="L587" s="564"/>
      <c r="M587" s="564"/>
      <c r="N587" s="564"/>
      <c r="O587" s="564"/>
      <c r="P587" s="564"/>
      <c r="Q587" s="564"/>
      <c r="R587" s="564"/>
      <c r="S587" s="564"/>
      <c r="T587" s="564"/>
      <c r="U587" s="564"/>
      <c r="V587" s="564"/>
      <c r="W587" s="564"/>
      <c r="X587" s="564"/>
      <c r="Y587" s="564"/>
      <c r="Z587" s="564"/>
      <c r="AA587" s="564"/>
      <c r="AB587" s="564"/>
      <c r="AC587" s="564"/>
      <c r="AD587" s="564"/>
      <c r="AE587" s="564"/>
      <c r="AF587" s="564"/>
      <c r="AG587" s="564"/>
      <c r="AH587" s="564"/>
      <c r="AI587" s="564"/>
      <c r="AJ587" s="564"/>
      <c r="AK587" s="564"/>
      <c r="AL587" s="564"/>
      <c r="AM587" s="564"/>
      <c r="AN587" s="564"/>
      <c r="AO587" s="564"/>
    </row>
    <row r="588" spans="2:41" x14ac:dyDescent="0.15">
      <c r="B588" s="565">
        <v>4</v>
      </c>
      <c r="C588" s="564">
        <v>0.41586757990867579</v>
      </c>
      <c r="D588" s="564"/>
      <c r="E588" s="564"/>
      <c r="F588" s="564"/>
      <c r="G588" s="564"/>
      <c r="H588" s="564"/>
      <c r="I588" s="564"/>
      <c r="J588" s="564"/>
      <c r="K588" s="564"/>
      <c r="L588" s="564"/>
      <c r="M588" s="564"/>
      <c r="N588" s="564"/>
      <c r="O588" s="564"/>
      <c r="P588" s="564"/>
      <c r="Q588" s="564"/>
      <c r="R588" s="564"/>
      <c r="S588" s="564"/>
      <c r="T588" s="564"/>
      <c r="U588" s="564"/>
      <c r="V588" s="564"/>
      <c r="W588" s="564"/>
      <c r="X588" s="564"/>
      <c r="Y588" s="564"/>
      <c r="Z588" s="564"/>
      <c r="AA588" s="564"/>
      <c r="AB588" s="564"/>
      <c r="AC588" s="564"/>
      <c r="AD588" s="564"/>
      <c r="AE588" s="564"/>
      <c r="AF588" s="564"/>
      <c r="AG588" s="564"/>
      <c r="AH588" s="564"/>
      <c r="AI588" s="564"/>
      <c r="AJ588" s="564"/>
      <c r="AK588" s="564"/>
      <c r="AL588" s="564"/>
      <c r="AM588" s="564"/>
      <c r="AN588" s="564"/>
      <c r="AO588" s="564"/>
    </row>
    <row r="589" spans="2:41" x14ac:dyDescent="0.15">
      <c r="B589" s="565">
        <v>5</v>
      </c>
      <c r="C589" s="564">
        <v>0.48139269406392693</v>
      </c>
      <c r="D589" s="564"/>
      <c r="E589" s="564"/>
      <c r="F589" s="564"/>
      <c r="G589" s="564"/>
      <c r="H589" s="564"/>
      <c r="I589" s="564"/>
      <c r="J589" s="564"/>
      <c r="K589" s="564"/>
      <c r="L589" s="564"/>
      <c r="M589" s="564"/>
      <c r="N589" s="564"/>
      <c r="O589" s="564"/>
      <c r="P589" s="564"/>
      <c r="Q589" s="564"/>
      <c r="R589" s="564"/>
      <c r="S589" s="564"/>
      <c r="T589" s="564"/>
      <c r="U589" s="564"/>
      <c r="V589" s="564"/>
      <c r="W589" s="564"/>
      <c r="X589" s="564"/>
      <c r="Y589" s="564"/>
      <c r="Z589" s="564"/>
      <c r="AA589" s="564"/>
      <c r="AB589" s="564"/>
      <c r="AC589" s="564"/>
      <c r="AD589" s="564"/>
      <c r="AE589" s="564"/>
      <c r="AF589" s="564"/>
      <c r="AG589" s="564"/>
      <c r="AH589" s="564"/>
      <c r="AI589" s="564"/>
      <c r="AJ589" s="564"/>
      <c r="AK589" s="564"/>
      <c r="AL589" s="564"/>
      <c r="AM589" s="564"/>
      <c r="AN589" s="564"/>
      <c r="AO589" s="564"/>
    </row>
    <row r="590" spans="2:41" x14ac:dyDescent="0.15">
      <c r="B590" s="565">
        <v>6</v>
      </c>
      <c r="C590" s="564">
        <v>0.51940639269406397</v>
      </c>
      <c r="D590" s="564"/>
      <c r="E590" s="564"/>
      <c r="F590" s="564"/>
      <c r="G590" s="564"/>
      <c r="H590" s="564"/>
      <c r="I590" s="564"/>
      <c r="J590" s="564"/>
      <c r="K590" s="564"/>
      <c r="L590" s="564"/>
      <c r="M590" s="564"/>
      <c r="N590" s="564"/>
      <c r="O590" s="564"/>
      <c r="P590" s="564"/>
      <c r="Q590" s="564"/>
      <c r="R590" s="564"/>
      <c r="S590" s="564"/>
      <c r="T590" s="564"/>
      <c r="U590" s="564"/>
      <c r="V590" s="564"/>
      <c r="W590" s="564"/>
      <c r="X590" s="564"/>
      <c r="Y590" s="564"/>
      <c r="Z590" s="564"/>
      <c r="AA590" s="564"/>
      <c r="AB590" s="564"/>
      <c r="AC590" s="564"/>
      <c r="AD590" s="564"/>
      <c r="AE590" s="564"/>
      <c r="AF590" s="564"/>
      <c r="AG590" s="564"/>
      <c r="AH590" s="564"/>
      <c r="AI590" s="564"/>
      <c r="AJ590" s="564"/>
      <c r="AK590" s="564"/>
      <c r="AL590" s="564"/>
      <c r="AM590" s="564"/>
      <c r="AN590" s="564"/>
      <c r="AO590" s="564"/>
    </row>
    <row r="591" spans="2:41" x14ac:dyDescent="0.15">
      <c r="B591" s="565">
        <v>7</v>
      </c>
      <c r="C591" s="564">
        <v>0.59178082191780823</v>
      </c>
      <c r="D591" s="564"/>
      <c r="E591" s="564"/>
      <c r="F591" s="564"/>
      <c r="G591" s="564"/>
      <c r="H591" s="564"/>
      <c r="I591" s="564"/>
      <c r="J591" s="564"/>
      <c r="K591" s="564"/>
      <c r="L591" s="564"/>
      <c r="M591" s="564"/>
      <c r="N591" s="564"/>
      <c r="O591" s="564"/>
      <c r="P591" s="564"/>
      <c r="Q591" s="564"/>
      <c r="R591" s="564"/>
      <c r="S591" s="564"/>
      <c r="T591" s="564"/>
      <c r="U591" s="564"/>
      <c r="V591" s="564"/>
      <c r="W591" s="564"/>
      <c r="X591" s="564"/>
      <c r="Y591" s="564"/>
      <c r="Z591" s="564"/>
      <c r="AA591" s="564"/>
      <c r="AB591" s="564"/>
      <c r="AC591" s="564"/>
      <c r="AD591" s="564"/>
      <c r="AE591" s="564"/>
      <c r="AF591" s="564"/>
      <c r="AG591" s="564"/>
      <c r="AH591" s="564"/>
      <c r="AI591" s="564"/>
      <c r="AJ591" s="564"/>
      <c r="AK591" s="564"/>
      <c r="AL591" s="564"/>
      <c r="AM591" s="564"/>
      <c r="AN591" s="564"/>
      <c r="AO591" s="564"/>
    </row>
    <row r="592" spans="2:41" x14ac:dyDescent="0.15">
      <c r="B592" s="565">
        <v>8</v>
      </c>
      <c r="C592" s="564">
        <v>0.66038812785388123</v>
      </c>
      <c r="D592" s="564"/>
      <c r="E592" s="564"/>
      <c r="F592" s="564"/>
      <c r="G592" s="564"/>
      <c r="H592" s="564"/>
      <c r="I592" s="564"/>
      <c r="J592" s="564"/>
      <c r="K592" s="564"/>
      <c r="L592" s="564"/>
      <c r="M592" s="564"/>
      <c r="N592" s="564"/>
      <c r="O592" s="564"/>
      <c r="P592" s="564"/>
      <c r="Q592" s="564"/>
      <c r="R592" s="564"/>
      <c r="S592" s="564"/>
      <c r="T592" s="564"/>
      <c r="U592" s="564"/>
      <c r="V592" s="564"/>
      <c r="W592" s="564"/>
      <c r="X592" s="564"/>
      <c r="Y592" s="564"/>
      <c r="Z592" s="564"/>
      <c r="AA592" s="564"/>
      <c r="AB592" s="564"/>
      <c r="AC592" s="564"/>
      <c r="AD592" s="564"/>
      <c r="AE592" s="564"/>
      <c r="AF592" s="564"/>
      <c r="AG592" s="564"/>
      <c r="AH592" s="564"/>
      <c r="AI592" s="564"/>
      <c r="AJ592" s="564"/>
      <c r="AK592" s="564"/>
      <c r="AL592" s="564"/>
      <c r="AM592" s="564"/>
      <c r="AN592" s="564"/>
      <c r="AO592" s="564"/>
    </row>
    <row r="593" spans="2:41" x14ac:dyDescent="0.15">
      <c r="B593" s="565">
        <v>9</v>
      </c>
      <c r="C593" s="564">
        <v>0.73002283105022836</v>
      </c>
      <c r="D593" s="564"/>
      <c r="E593" s="564"/>
      <c r="F593" s="564"/>
      <c r="G593" s="564"/>
      <c r="H593" s="564"/>
      <c r="I593" s="564"/>
      <c r="J593" s="564"/>
      <c r="K593" s="564"/>
      <c r="L593" s="564"/>
      <c r="M593" s="564"/>
      <c r="N593" s="564"/>
      <c r="O593" s="564"/>
      <c r="P593" s="564"/>
      <c r="Q593" s="564"/>
      <c r="R593" s="564"/>
      <c r="S593" s="564"/>
      <c r="T593" s="564"/>
      <c r="U593" s="564"/>
      <c r="V593" s="564"/>
      <c r="W593" s="564"/>
      <c r="X593" s="564"/>
      <c r="Y593" s="564"/>
      <c r="Z593" s="564"/>
      <c r="AA593" s="564"/>
      <c r="AB593" s="564"/>
      <c r="AC593" s="564"/>
      <c r="AD593" s="564"/>
      <c r="AE593" s="564"/>
      <c r="AF593" s="564"/>
      <c r="AG593" s="564"/>
      <c r="AH593" s="564"/>
      <c r="AI593" s="564"/>
      <c r="AJ593" s="564"/>
      <c r="AK593" s="564"/>
      <c r="AL593" s="564"/>
      <c r="AM593" s="564"/>
      <c r="AN593" s="564"/>
      <c r="AO593" s="564"/>
    </row>
    <row r="594" spans="2:41" x14ac:dyDescent="0.15">
      <c r="B594" s="565">
        <v>10</v>
      </c>
      <c r="C594" s="564">
        <v>0.79885844748858448</v>
      </c>
      <c r="D594" s="564"/>
      <c r="E594" s="564"/>
      <c r="F594" s="564"/>
      <c r="G594" s="564"/>
      <c r="H594" s="564"/>
      <c r="I594" s="564"/>
      <c r="J594" s="564"/>
      <c r="K594" s="564"/>
      <c r="L594" s="564"/>
      <c r="M594" s="564"/>
      <c r="N594" s="564"/>
      <c r="O594" s="564"/>
      <c r="P594" s="564"/>
      <c r="Q594" s="564"/>
      <c r="R594" s="564"/>
      <c r="S594" s="564"/>
      <c r="T594" s="564"/>
      <c r="U594" s="564"/>
      <c r="V594" s="564"/>
      <c r="W594" s="564"/>
      <c r="X594" s="564"/>
      <c r="Y594" s="564"/>
      <c r="Z594" s="564"/>
      <c r="AA594" s="564"/>
      <c r="AB594" s="564"/>
      <c r="AC594" s="564"/>
      <c r="AD594" s="564"/>
      <c r="AE594" s="564"/>
      <c r="AF594" s="564"/>
      <c r="AG594" s="564"/>
      <c r="AH594" s="564"/>
      <c r="AI594" s="564"/>
      <c r="AJ594" s="564"/>
      <c r="AK594" s="564"/>
      <c r="AL594" s="564"/>
      <c r="AM594" s="564"/>
      <c r="AN594" s="564"/>
      <c r="AO594" s="564"/>
    </row>
    <row r="595" spans="2:41" x14ac:dyDescent="0.15">
      <c r="B595" s="565">
        <v>11</v>
      </c>
      <c r="C595" s="564">
        <v>0.8348173515981735</v>
      </c>
      <c r="D595" s="564"/>
      <c r="E595" s="564"/>
      <c r="F595" s="564"/>
      <c r="G595" s="564"/>
      <c r="H595" s="564"/>
      <c r="I595" s="564"/>
      <c r="J595" s="564"/>
      <c r="K595" s="564"/>
      <c r="L595" s="564"/>
      <c r="M595" s="564"/>
      <c r="N595" s="564"/>
      <c r="O595" s="564"/>
      <c r="P595" s="564"/>
      <c r="Q595" s="564"/>
      <c r="R595" s="564"/>
      <c r="S595" s="564"/>
      <c r="T595" s="564"/>
      <c r="U595" s="564"/>
      <c r="V595" s="564"/>
      <c r="W595" s="564"/>
      <c r="X595" s="564"/>
      <c r="Y595" s="564"/>
      <c r="Z595" s="564"/>
      <c r="AA595" s="564"/>
      <c r="AB595" s="564"/>
      <c r="AC595" s="564"/>
      <c r="AD595" s="564"/>
      <c r="AE595" s="564"/>
      <c r="AF595" s="564"/>
      <c r="AG595" s="564"/>
      <c r="AH595" s="564"/>
      <c r="AI595" s="564"/>
      <c r="AJ595" s="564"/>
      <c r="AK595" s="564"/>
      <c r="AL595" s="564"/>
      <c r="AM595" s="564"/>
      <c r="AN595" s="564"/>
      <c r="AO595" s="564"/>
    </row>
    <row r="596" spans="2:41" x14ac:dyDescent="0.15">
      <c r="B596" s="565">
        <v>12</v>
      </c>
      <c r="C596" s="564">
        <v>0.89908675799086757</v>
      </c>
      <c r="D596" s="564"/>
      <c r="E596" s="564"/>
      <c r="F596" s="564"/>
      <c r="G596" s="564"/>
      <c r="H596" s="564"/>
      <c r="I596" s="564"/>
      <c r="J596" s="564"/>
      <c r="K596" s="564"/>
      <c r="L596" s="564"/>
      <c r="M596" s="564"/>
      <c r="N596" s="564"/>
      <c r="O596" s="564"/>
      <c r="P596" s="564"/>
      <c r="Q596" s="564"/>
      <c r="R596" s="564"/>
      <c r="S596" s="564"/>
      <c r="T596" s="564"/>
      <c r="U596" s="564"/>
      <c r="V596" s="564"/>
      <c r="W596" s="564"/>
      <c r="X596" s="564"/>
      <c r="Y596" s="564"/>
      <c r="Z596" s="564"/>
      <c r="AA596" s="564"/>
      <c r="AB596" s="564"/>
      <c r="AC596" s="564"/>
      <c r="AD596" s="564"/>
      <c r="AE596" s="564"/>
      <c r="AF596" s="564"/>
      <c r="AG596" s="564"/>
      <c r="AH596" s="564"/>
      <c r="AI596" s="564"/>
      <c r="AJ596" s="564"/>
      <c r="AK596" s="564"/>
      <c r="AL596" s="564"/>
      <c r="AM596" s="564"/>
      <c r="AN596" s="564"/>
      <c r="AO596" s="564"/>
    </row>
    <row r="597" spans="2:41" x14ac:dyDescent="0.15">
      <c r="B597" s="565">
        <v>13</v>
      </c>
      <c r="C597" s="564">
        <v>0.94417808219178079</v>
      </c>
      <c r="D597" s="564"/>
      <c r="E597" s="564"/>
      <c r="F597" s="564"/>
      <c r="G597" s="564"/>
      <c r="H597" s="564"/>
      <c r="I597" s="564"/>
      <c r="J597" s="564"/>
      <c r="K597" s="564"/>
      <c r="L597" s="564"/>
      <c r="M597" s="564"/>
      <c r="N597" s="564"/>
      <c r="O597" s="564"/>
      <c r="P597" s="564"/>
      <c r="Q597" s="564"/>
      <c r="R597" s="564"/>
      <c r="S597" s="564"/>
      <c r="T597" s="564"/>
      <c r="U597" s="564"/>
      <c r="V597" s="564"/>
      <c r="W597" s="564"/>
      <c r="X597" s="564"/>
      <c r="Y597" s="564"/>
      <c r="Z597" s="564"/>
      <c r="AA597" s="564"/>
      <c r="AB597" s="564"/>
      <c r="AC597" s="564"/>
      <c r="AD597" s="564"/>
      <c r="AE597" s="564"/>
      <c r="AF597" s="564"/>
      <c r="AG597" s="564"/>
      <c r="AH597" s="564"/>
      <c r="AI597" s="564"/>
      <c r="AJ597" s="564"/>
      <c r="AK597" s="564"/>
      <c r="AL597" s="564"/>
      <c r="AM597" s="564"/>
      <c r="AN597" s="564"/>
      <c r="AO597" s="564"/>
    </row>
    <row r="598" spans="2:41" x14ac:dyDescent="0.15">
      <c r="B598" s="565">
        <v>14</v>
      </c>
      <c r="C598" s="564">
        <v>0.97648401826484021</v>
      </c>
      <c r="D598" s="564"/>
      <c r="E598" s="564"/>
      <c r="F598" s="564"/>
      <c r="G598" s="564"/>
      <c r="H598" s="564"/>
      <c r="I598" s="564"/>
      <c r="J598" s="564"/>
      <c r="K598" s="564"/>
      <c r="L598" s="564"/>
      <c r="M598" s="564"/>
      <c r="N598" s="564"/>
      <c r="O598" s="564"/>
      <c r="P598" s="564"/>
      <c r="Q598" s="564"/>
      <c r="R598" s="564"/>
      <c r="S598" s="564"/>
      <c r="T598" s="564"/>
      <c r="U598" s="564"/>
      <c r="V598" s="564"/>
      <c r="W598" s="564"/>
      <c r="X598" s="564"/>
      <c r="Y598" s="564"/>
      <c r="Z598" s="564"/>
      <c r="AA598" s="564"/>
      <c r="AB598" s="564"/>
      <c r="AC598" s="564"/>
      <c r="AD598" s="564"/>
      <c r="AE598" s="564"/>
      <c r="AF598" s="564"/>
      <c r="AG598" s="564"/>
      <c r="AH598" s="564"/>
      <c r="AI598" s="564"/>
      <c r="AJ598" s="564"/>
      <c r="AK598" s="564"/>
      <c r="AL598" s="564"/>
      <c r="AM598" s="564"/>
      <c r="AN598" s="564"/>
      <c r="AO598" s="564"/>
    </row>
    <row r="599" spans="2:41" x14ac:dyDescent="0.15">
      <c r="B599" s="565">
        <v>15</v>
      </c>
      <c r="C599" s="564">
        <v>0.99235159817351604</v>
      </c>
      <c r="D599" s="564"/>
      <c r="E599" s="564"/>
      <c r="F599" s="564"/>
      <c r="G599" s="564"/>
      <c r="H599" s="564"/>
      <c r="I599" s="564"/>
      <c r="J599" s="564"/>
      <c r="K599" s="564"/>
      <c r="L599" s="564"/>
      <c r="M599" s="564"/>
      <c r="N599" s="564"/>
      <c r="O599" s="564"/>
      <c r="P599" s="564"/>
      <c r="Q599" s="564"/>
      <c r="R599" s="564"/>
      <c r="S599" s="564"/>
      <c r="T599" s="564"/>
      <c r="U599" s="564"/>
      <c r="V599" s="564"/>
      <c r="W599" s="564"/>
      <c r="X599" s="564"/>
      <c r="Y599" s="564"/>
      <c r="Z599" s="564"/>
      <c r="AA599" s="564"/>
      <c r="AB599" s="564"/>
      <c r="AC599" s="564"/>
      <c r="AD599" s="564"/>
      <c r="AE599" s="564"/>
      <c r="AF599" s="564"/>
      <c r="AG599" s="564"/>
      <c r="AH599" s="564"/>
      <c r="AI599" s="564"/>
      <c r="AJ599" s="564"/>
      <c r="AK599" s="564"/>
      <c r="AL599" s="564"/>
      <c r="AM599" s="564"/>
      <c r="AN599" s="564"/>
      <c r="AO599" s="564"/>
    </row>
    <row r="600" spans="2:41" x14ac:dyDescent="0.15">
      <c r="B600" s="565">
        <v>16</v>
      </c>
      <c r="C600" s="564">
        <v>0.99509132420091329</v>
      </c>
      <c r="D600" s="564"/>
      <c r="E600" s="564"/>
      <c r="F600" s="564"/>
      <c r="G600" s="564"/>
      <c r="H600" s="564"/>
      <c r="I600" s="564"/>
      <c r="J600" s="564"/>
      <c r="K600" s="564"/>
      <c r="L600" s="564"/>
      <c r="M600" s="564"/>
      <c r="N600" s="564"/>
      <c r="O600" s="564"/>
      <c r="P600" s="564"/>
      <c r="Q600" s="564"/>
      <c r="R600" s="564"/>
      <c r="S600" s="564"/>
      <c r="T600" s="564"/>
      <c r="U600" s="564"/>
      <c r="V600" s="564"/>
      <c r="W600" s="564"/>
      <c r="X600" s="564"/>
      <c r="Y600" s="564"/>
      <c r="Z600" s="564"/>
      <c r="AA600" s="564"/>
      <c r="AB600" s="564"/>
      <c r="AC600" s="564"/>
      <c r="AD600" s="564"/>
      <c r="AE600" s="564"/>
      <c r="AF600" s="564"/>
      <c r="AG600" s="564"/>
      <c r="AH600" s="564"/>
      <c r="AI600" s="564"/>
      <c r="AJ600" s="564"/>
      <c r="AK600" s="564"/>
      <c r="AL600" s="564"/>
      <c r="AM600" s="564"/>
      <c r="AN600" s="564"/>
      <c r="AO600" s="564"/>
    </row>
    <row r="601" spans="2:41" x14ac:dyDescent="0.15">
      <c r="B601" s="565">
        <v>17</v>
      </c>
      <c r="C601" s="564">
        <v>0.99840182648401832</v>
      </c>
      <c r="D601" s="564"/>
      <c r="E601" s="564"/>
      <c r="F601" s="564"/>
      <c r="G601" s="564"/>
      <c r="H601" s="564"/>
      <c r="I601" s="564"/>
      <c r="J601" s="564"/>
      <c r="K601" s="564"/>
      <c r="L601" s="564"/>
      <c r="M601" s="564"/>
      <c r="N601" s="564"/>
      <c r="O601" s="564"/>
      <c r="P601" s="564"/>
      <c r="Q601" s="564"/>
      <c r="R601" s="564"/>
      <c r="S601" s="564"/>
      <c r="T601" s="564"/>
      <c r="U601" s="564"/>
      <c r="V601" s="564"/>
      <c r="W601" s="564"/>
      <c r="X601" s="564"/>
      <c r="Y601" s="564"/>
      <c r="Z601" s="564"/>
      <c r="AA601" s="564"/>
      <c r="AB601" s="564"/>
      <c r="AC601" s="564"/>
      <c r="AD601" s="564"/>
      <c r="AE601" s="564"/>
      <c r="AF601" s="564"/>
      <c r="AG601" s="564"/>
      <c r="AH601" s="564"/>
      <c r="AI601" s="564"/>
      <c r="AJ601" s="564"/>
      <c r="AK601" s="564"/>
      <c r="AL601" s="564"/>
      <c r="AM601" s="564"/>
      <c r="AN601" s="564"/>
      <c r="AO601" s="564"/>
    </row>
    <row r="602" spans="2:41" x14ac:dyDescent="0.15">
      <c r="B602" s="565">
        <v>18</v>
      </c>
      <c r="C602" s="564">
        <v>1</v>
      </c>
      <c r="D602" s="564"/>
      <c r="E602" s="564"/>
      <c r="F602" s="564"/>
      <c r="G602" s="564"/>
      <c r="H602" s="564"/>
      <c r="I602" s="564"/>
      <c r="J602" s="564"/>
      <c r="K602" s="564"/>
      <c r="L602" s="564"/>
      <c r="M602" s="564"/>
      <c r="N602" s="564"/>
      <c r="O602" s="564"/>
      <c r="P602" s="564"/>
      <c r="Q602" s="564"/>
      <c r="R602" s="564"/>
      <c r="S602" s="564"/>
      <c r="T602" s="564"/>
      <c r="U602" s="564"/>
      <c r="V602" s="564"/>
      <c r="W602" s="564"/>
      <c r="X602" s="564"/>
      <c r="Y602" s="564"/>
      <c r="Z602" s="564"/>
      <c r="AA602" s="564"/>
      <c r="AB602" s="564"/>
      <c r="AC602" s="564"/>
      <c r="AD602" s="564"/>
      <c r="AE602" s="564"/>
      <c r="AF602" s="564"/>
      <c r="AG602" s="564"/>
      <c r="AH602" s="564"/>
      <c r="AI602" s="564"/>
      <c r="AJ602" s="564"/>
      <c r="AK602" s="564"/>
      <c r="AL602" s="564"/>
      <c r="AM602" s="564"/>
      <c r="AN602" s="564"/>
      <c r="AO602" s="564"/>
    </row>
    <row r="603" spans="2:41" x14ac:dyDescent="0.15">
      <c r="B603" s="565">
        <v>19</v>
      </c>
      <c r="C603" s="564">
        <v>1</v>
      </c>
      <c r="D603" s="564"/>
      <c r="E603" s="564"/>
      <c r="F603" s="564"/>
      <c r="G603" s="564"/>
      <c r="H603" s="564"/>
      <c r="I603" s="564"/>
      <c r="J603" s="564"/>
      <c r="K603" s="564"/>
      <c r="L603" s="564"/>
      <c r="M603" s="564"/>
      <c r="N603" s="564"/>
      <c r="O603" s="564"/>
      <c r="P603" s="564"/>
      <c r="Q603" s="564"/>
      <c r="R603" s="564"/>
      <c r="S603" s="564"/>
      <c r="T603" s="564"/>
      <c r="U603" s="564"/>
      <c r="V603" s="564"/>
      <c r="W603" s="564"/>
      <c r="X603" s="564"/>
      <c r="Y603" s="564"/>
      <c r="Z603" s="564"/>
      <c r="AA603" s="564"/>
      <c r="AB603" s="564"/>
      <c r="AC603" s="564"/>
      <c r="AD603" s="564"/>
      <c r="AE603" s="564"/>
      <c r="AF603" s="564"/>
      <c r="AG603" s="564"/>
      <c r="AH603" s="564"/>
      <c r="AI603" s="564"/>
      <c r="AJ603" s="564"/>
      <c r="AK603" s="564"/>
      <c r="AL603" s="564"/>
      <c r="AM603" s="564"/>
      <c r="AN603" s="564"/>
      <c r="AO603" s="564"/>
    </row>
    <row r="604" spans="2:41" x14ac:dyDescent="0.15">
      <c r="B604" s="565">
        <v>20</v>
      </c>
      <c r="C604" s="564">
        <v>1</v>
      </c>
      <c r="D604" s="564"/>
      <c r="E604" s="564"/>
      <c r="F604" s="564"/>
      <c r="G604" s="564"/>
      <c r="H604" s="564"/>
      <c r="I604" s="564"/>
      <c r="J604" s="564"/>
      <c r="K604" s="564"/>
      <c r="L604" s="564"/>
      <c r="M604" s="564"/>
      <c r="N604" s="564"/>
      <c r="O604" s="564"/>
      <c r="P604" s="564"/>
      <c r="Q604" s="564"/>
      <c r="R604" s="564"/>
      <c r="S604" s="564"/>
      <c r="T604" s="564"/>
      <c r="U604" s="564"/>
      <c r="V604" s="564"/>
      <c r="W604" s="564"/>
      <c r="X604" s="564"/>
      <c r="Y604" s="564"/>
      <c r="Z604" s="564"/>
      <c r="AA604" s="564"/>
      <c r="AB604" s="564"/>
      <c r="AC604" s="564"/>
      <c r="AD604" s="564"/>
      <c r="AE604" s="564"/>
      <c r="AF604" s="564"/>
      <c r="AG604" s="564"/>
      <c r="AH604" s="564"/>
      <c r="AI604" s="564"/>
      <c r="AJ604" s="564"/>
      <c r="AK604" s="564"/>
      <c r="AL604" s="564"/>
      <c r="AM604" s="564"/>
      <c r="AN604" s="564"/>
      <c r="AO604" s="564"/>
    </row>
    <row r="605" spans="2:41" x14ac:dyDescent="0.15">
      <c r="B605" s="565">
        <v>21</v>
      </c>
      <c r="C605" s="564">
        <v>1</v>
      </c>
      <c r="D605" s="564"/>
      <c r="E605" s="564"/>
      <c r="F605" s="564"/>
      <c r="G605" s="564"/>
      <c r="H605" s="564"/>
      <c r="I605" s="564"/>
      <c r="J605" s="564"/>
      <c r="K605" s="564"/>
      <c r="L605" s="564"/>
      <c r="M605" s="564"/>
      <c r="N605" s="564"/>
      <c r="O605" s="564"/>
      <c r="P605" s="564"/>
      <c r="Q605" s="564"/>
      <c r="R605" s="564"/>
      <c r="S605" s="564"/>
      <c r="T605" s="564"/>
      <c r="U605" s="564"/>
      <c r="V605" s="564"/>
      <c r="W605" s="564"/>
      <c r="X605" s="564"/>
      <c r="Y605" s="564"/>
      <c r="Z605" s="564"/>
      <c r="AA605" s="564"/>
      <c r="AB605" s="564"/>
      <c r="AC605" s="564"/>
      <c r="AD605" s="564"/>
      <c r="AE605" s="564"/>
      <c r="AF605" s="564"/>
      <c r="AG605" s="564"/>
      <c r="AH605" s="564"/>
      <c r="AI605" s="564"/>
      <c r="AJ605" s="564"/>
      <c r="AK605" s="564"/>
      <c r="AL605" s="564"/>
      <c r="AM605" s="564"/>
      <c r="AN605" s="564"/>
      <c r="AO605" s="564"/>
    </row>
    <row r="606" spans="2:41" x14ac:dyDescent="0.15">
      <c r="B606" s="565">
        <v>22</v>
      </c>
      <c r="C606" s="564">
        <v>1</v>
      </c>
      <c r="D606" s="564"/>
      <c r="E606" s="564"/>
      <c r="F606" s="564"/>
      <c r="G606" s="564"/>
      <c r="H606" s="564"/>
      <c r="I606" s="564"/>
      <c r="J606" s="564"/>
      <c r="K606" s="564"/>
      <c r="L606" s="564"/>
      <c r="M606" s="564"/>
      <c r="N606" s="564"/>
      <c r="O606" s="564"/>
      <c r="P606" s="564"/>
      <c r="Q606" s="564"/>
      <c r="R606" s="564"/>
      <c r="S606" s="564"/>
      <c r="T606" s="564"/>
      <c r="U606" s="564"/>
      <c r="V606" s="564"/>
      <c r="W606" s="564"/>
      <c r="X606" s="564"/>
      <c r="Y606" s="564"/>
      <c r="Z606" s="564"/>
      <c r="AA606" s="564"/>
      <c r="AB606" s="564"/>
      <c r="AC606" s="564"/>
      <c r="AD606" s="564"/>
      <c r="AE606" s="564"/>
      <c r="AF606" s="564"/>
      <c r="AG606" s="564"/>
      <c r="AH606" s="564"/>
      <c r="AI606" s="564"/>
      <c r="AJ606" s="564"/>
      <c r="AK606" s="564"/>
      <c r="AL606" s="564"/>
      <c r="AM606" s="564"/>
      <c r="AN606" s="564"/>
      <c r="AO606" s="564"/>
    </row>
    <row r="607" spans="2:41" x14ac:dyDescent="0.15">
      <c r="B607" s="565">
        <v>23</v>
      </c>
      <c r="C607" s="564">
        <v>1</v>
      </c>
      <c r="D607" s="564"/>
      <c r="E607" s="564"/>
      <c r="F607" s="564"/>
      <c r="G607" s="564"/>
      <c r="H607" s="564"/>
      <c r="I607" s="564"/>
      <c r="J607" s="564"/>
      <c r="K607" s="564"/>
      <c r="L607" s="564"/>
      <c r="M607" s="564"/>
      <c r="N607" s="564"/>
      <c r="O607" s="564"/>
      <c r="P607" s="564"/>
      <c r="Q607" s="564"/>
      <c r="R607" s="564"/>
      <c r="S607" s="564"/>
      <c r="T607" s="564"/>
      <c r="U607" s="564"/>
      <c r="V607" s="564"/>
      <c r="W607" s="564"/>
      <c r="X607" s="564"/>
      <c r="Y607" s="564"/>
      <c r="Z607" s="564"/>
      <c r="AA607" s="564"/>
      <c r="AB607" s="564"/>
      <c r="AC607" s="564"/>
      <c r="AD607" s="564"/>
      <c r="AE607" s="564"/>
      <c r="AF607" s="564"/>
      <c r="AG607" s="564"/>
      <c r="AH607" s="564"/>
      <c r="AI607" s="564"/>
      <c r="AJ607" s="564"/>
      <c r="AK607" s="564"/>
      <c r="AL607" s="564"/>
      <c r="AM607" s="564"/>
      <c r="AN607" s="564"/>
      <c r="AO607" s="564"/>
    </row>
    <row r="608" spans="2:41" x14ac:dyDescent="0.15">
      <c r="B608" s="565">
        <v>24</v>
      </c>
      <c r="C608" s="564">
        <v>1</v>
      </c>
      <c r="D608" s="564"/>
      <c r="E608" s="564"/>
      <c r="F608" s="564"/>
      <c r="G608" s="564"/>
      <c r="H608" s="564"/>
      <c r="I608" s="564"/>
      <c r="J608" s="564"/>
      <c r="K608" s="564"/>
      <c r="L608" s="564"/>
      <c r="M608" s="564"/>
      <c r="N608" s="564"/>
      <c r="O608" s="564"/>
      <c r="P608" s="564"/>
      <c r="Q608" s="564"/>
      <c r="R608" s="564"/>
      <c r="S608" s="564"/>
      <c r="T608" s="564"/>
      <c r="U608" s="564"/>
      <c r="V608" s="564"/>
      <c r="W608" s="564"/>
      <c r="X608" s="564"/>
      <c r="Y608" s="564"/>
      <c r="Z608" s="564"/>
      <c r="AA608" s="564"/>
      <c r="AB608" s="564"/>
      <c r="AC608" s="564"/>
      <c r="AD608" s="564"/>
      <c r="AE608" s="564"/>
      <c r="AF608" s="564"/>
      <c r="AG608" s="564"/>
      <c r="AH608" s="564"/>
      <c r="AI608" s="564"/>
      <c r="AJ608" s="564"/>
      <c r="AK608" s="564"/>
      <c r="AL608" s="564"/>
      <c r="AM608" s="564"/>
      <c r="AN608" s="564"/>
      <c r="AO608" s="564"/>
    </row>
    <row r="609" spans="2:41" x14ac:dyDescent="0.15">
      <c r="B609" s="565">
        <v>25</v>
      </c>
      <c r="C609" s="564">
        <v>1</v>
      </c>
      <c r="D609" s="564"/>
      <c r="E609" s="564"/>
      <c r="F609" s="564"/>
      <c r="G609" s="564"/>
      <c r="H609" s="564"/>
      <c r="I609" s="564"/>
      <c r="J609" s="564"/>
      <c r="K609" s="564"/>
      <c r="L609" s="564"/>
      <c r="M609" s="564"/>
      <c r="N609" s="564"/>
      <c r="O609" s="564"/>
      <c r="P609" s="564"/>
      <c r="Q609" s="564"/>
      <c r="R609" s="564"/>
      <c r="S609" s="564"/>
      <c r="T609" s="564"/>
      <c r="U609" s="564"/>
      <c r="V609" s="564"/>
      <c r="W609" s="564"/>
      <c r="X609" s="564"/>
      <c r="Y609" s="564"/>
      <c r="Z609" s="564"/>
      <c r="AA609" s="564"/>
      <c r="AB609" s="564"/>
      <c r="AC609" s="564"/>
      <c r="AD609" s="564"/>
      <c r="AE609" s="564"/>
      <c r="AF609" s="564"/>
      <c r="AG609" s="564"/>
      <c r="AH609" s="564"/>
      <c r="AI609" s="564"/>
      <c r="AJ609" s="564"/>
      <c r="AK609" s="564"/>
      <c r="AL609" s="564"/>
      <c r="AM609" s="564"/>
      <c r="AN609" s="564"/>
      <c r="AO609" s="564"/>
    </row>
    <row r="610" spans="2:41" x14ac:dyDescent="0.15">
      <c r="B610" s="565">
        <v>26</v>
      </c>
      <c r="C610" s="564">
        <v>1</v>
      </c>
      <c r="D610" s="564"/>
      <c r="E610" s="564"/>
      <c r="F610" s="564"/>
      <c r="G610" s="564"/>
      <c r="H610" s="564"/>
      <c r="I610" s="564"/>
      <c r="J610" s="564"/>
      <c r="K610" s="564"/>
      <c r="L610" s="564"/>
      <c r="M610" s="564"/>
      <c r="N610" s="564"/>
      <c r="O610" s="564"/>
      <c r="P610" s="564"/>
      <c r="Q610" s="564"/>
      <c r="R610" s="564"/>
      <c r="S610" s="564"/>
      <c r="T610" s="564"/>
      <c r="U610" s="564"/>
      <c r="V610" s="564"/>
      <c r="W610" s="564"/>
      <c r="X610" s="564"/>
      <c r="Y610" s="564"/>
      <c r="Z610" s="564"/>
      <c r="AA610" s="564"/>
      <c r="AB610" s="564"/>
      <c r="AC610" s="564"/>
      <c r="AD610" s="564"/>
      <c r="AE610" s="564"/>
      <c r="AF610" s="564"/>
      <c r="AG610" s="564"/>
      <c r="AH610" s="564"/>
      <c r="AI610" s="564"/>
      <c r="AJ610" s="564"/>
      <c r="AK610" s="564"/>
      <c r="AL610" s="564"/>
      <c r="AM610" s="564"/>
      <c r="AN610" s="564"/>
      <c r="AO610" s="564"/>
    </row>
    <row r="611" spans="2:41" x14ac:dyDescent="0.15">
      <c r="B611" s="565">
        <v>27</v>
      </c>
      <c r="C611" s="564">
        <v>1</v>
      </c>
      <c r="D611" s="564"/>
      <c r="E611" s="564"/>
      <c r="F611" s="564"/>
      <c r="G611" s="564"/>
      <c r="H611" s="564"/>
      <c r="I611" s="564"/>
      <c r="J611" s="564"/>
      <c r="K611" s="564"/>
      <c r="L611" s="564"/>
      <c r="M611" s="564"/>
      <c r="N611" s="564"/>
      <c r="O611" s="564"/>
      <c r="P611" s="564"/>
      <c r="Q611" s="564"/>
      <c r="R611" s="564"/>
      <c r="S611" s="564"/>
      <c r="T611" s="564"/>
      <c r="U611" s="564"/>
      <c r="V611" s="564"/>
      <c r="W611" s="564"/>
      <c r="X611" s="564"/>
      <c r="Y611" s="564"/>
      <c r="Z611" s="564"/>
      <c r="AA611" s="564"/>
      <c r="AB611" s="564"/>
      <c r="AC611" s="564"/>
      <c r="AD611" s="564"/>
      <c r="AE611" s="564"/>
      <c r="AF611" s="564"/>
      <c r="AG611" s="564"/>
      <c r="AH611" s="564"/>
      <c r="AI611" s="564"/>
      <c r="AJ611" s="564"/>
      <c r="AK611" s="564"/>
      <c r="AL611" s="564"/>
      <c r="AM611" s="564"/>
      <c r="AN611" s="564"/>
      <c r="AO611" s="564"/>
    </row>
    <row r="612" spans="2:41" x14ac:dyDescent="0.15">
      <c r="B612" s="565">
        <v>28</v>
      </c>
      <c r="C612" s="564">
        <v>1</v>
      </c>
      <c r="D612" s="564"/>
      <c r="E612" s="564"/>
      <c r="F612" s="564"/>
      <c r="G612" s="564"/>
      <c r="H612" s="564"/>
      <c r="I612" s="564"/>
      <c r="J612" s="564"/>
      <c r="K612" s="564"/>
      <c r="L612" s="564"/>
      <c r="M612" s="564"/>
      <c r="N612" s="564"/>
      <c r="O612" s="564"/>
      <c r="P612" s="564"/>
      <c r="Q612" s="564"/>
      <c r="R612" s="564"/>
      <c r="S612" s="564"/>
      <c r="T612" s="564"/>
      <c r="U612" s="564"/>
      <c r="V612" s="564"/>
      <c r="W612" s="564"/>
      <c r="X612" s="564"/>
      <c r="Y612" s="564"/>
      <c r="Z612" s="564"/>
      <c r="AA612" s="564"/>
      <c r="AB612" s="564"/>
      <c r="AC612" s="564"/>
      <c r="AD612" s="564"/>
      <c r="AE612" s="564"/>
      <c r="AF612" s="564"/>
      <c r="AG612" s="564"/>
      <c r="AH612" s="564"/>
      <c r="AI612" s="564"/>
      <c r="AJ612" s="564"/>
      <c r="AK612" s="564"/>
      <c r="AL612" s="564"/>
      <c r="AM612" s="564"/>
      <c r="AN612" s="564"/>
      <c r="AO612" s="564"/>
    </row>
    <row r="613" spans="2:41" x14ac:dyDescent="0.15">
      <c r="B613" s="565">
        <v>29</v>
      </c>
      <c r="C613" s="564">
        <v>1</v>
      </c>
      <c r="D613" s="564"/>
      <c r="E613" s="564"/>
      <c r="F613" s="564"/>
      <c r="G613" s="564"/>
      <c r="H613" s="564"/>
      <c r="I613" s="564"/>
      <c r="J613" s="564"/>
      <c r="K613" s="564"/>
      <c r="L613" s="564"/>
      <c r="M613" s="564"/>
      <c r="N613" s="564"/>
      <c r="O613" s="564"/>
      <c r="P613" s="564"/>
      <c r="Q613" s="564"/>
      <c r="R613" s="564"/>
      <c r="S613" s="564"/>
      <c r="T613" s="564"/>
      <c r="U613" s="564"/>
      <c r="V613" s="564"/>
      <c r="W613" s="564"/>
      <c r="X613" s="564"/>
      <c r="Y613" s="564"/>
      <c r="Z613" s="564"/>
      <c r="AA613" s="564"/>
      <c r="AB613" s="564"/>
      <c r="AC613" s="564"/>
      <c r="AD613" s="564"/>
      <c r="AE613" s="564"/>
      <c r="AF613" s="564"/>
      <c r="AG613" s="564"/>
      <c r="AH613" s="564"/>
      <c r="AI613" s="564"/>
      <c r="AJ613" s="564"/>
      <c r="AK613" s="564"/>
      <c r="AL613" s="564"/>
      <c r="AM613" s="564"/>
      <c r="AN613" s="564"/>
      <c r="AO613" s="564"/>
    </row>
    <row r="614" spans="2:41" x14ac:dyDescent="0.15">
      <c r="B614" s="565">
        <v>30</v>
      </c>
      <c r="C614" s="564">
        <v>1</v>
      </c>
      <c r="D614" s="564"/>
      <c r="E614" s="564"/>
      <c r="F614" s="564"/>
      <c r="G614" s="564"/>
      <c r="H614" s="564"/>
      <c r="I614" s="564"/>
      <c r="J614" s="564"/>
      <c r="K614" s="564"/>
      <c r="L614" s="564"/>
      <c r="M614" s="564"/>
      <c r="N614" s="564"/>
      <c r="O614" s="564"/>
      <c r="P614" s="564"/>
      <c r="Q614" s="564"/>
      <c r="R614" s="564"/>
      <c r="S614" s="564"/>
      <c r="T614" s="564"/>
      <c r="U614" s="564"/>
      <c r="V614" s="564"/>
      <c r="W614" s="564"/>
      <c r="X614" s="564"/>
      <c r="Y614" s="564"/>
      <c r="Z614" s="564"/>
      <c r="AA614" s="564"/>
      <c r="AB614" s="564"/>
      <c r="AC614" s="564"/>
      <c r="AD614" s="564"/>
      <c r="AE614" s="564"/>
      <c r="AF614" s="564"/>
      <c r="AG614" s="564"/>
      <c r="AH614" s="564"/>
      <c r="AI614" s="564"/>
      <c r="AJ614" s="564"/>
      <c r="AK614" s="564"/>
      <c r="AL614" s="564"/>
      <c r="AM614" s="564"/>
      <c r="AN614" s="564"/>
      <c r="AO614" s="564"/>
    </row>
    <row r="615" spans="2:41" x14ac:dyDescent="0.15">
      <c r="B615" s="565">
        <v>31</v>
      </c>
      <c r="C615" s="564">
        <v>1</v>
      </c>
      <c r="D615" s="564"/>
      <c r="E615" s="564"/>
      <c r="F615" s="564"/>
      <c r="G615" s="564"/>
      <c r="H615" s="564"/>
      <c r="I615" s="564"/>
      <c r="J615" s="564"/>
      <c r="K615" s="564"/>
      <c r="L615" s="564"/>
      <c r="M615" s="564"/>
      <c r="N615" s="564"/>
      <c r="O615" s="564"/>
      <c r="P615" s="564"/>
      <c r="Q615" s="564"/>
      <c r="R615" s="564"/>
      <c r="S615" s="564"/>
      <c r="T615" s="564"/>
      <c r="U615" s="564"/>
      <c r="V615" s="564"/>
      <c r="W615" s="564"/>
      <c r="X615" s="564"/>
      <c r="Y615" s="564"/>
      <c r="Z615" s="564"/>
      <c r="AA615" s="564"/>
      <c r="AB615" s="564"/>
      <c r="AC615" s="564"/>
      <c r="AD615" s="564"/>
      <c r="AE615" s="564"/>
      <c r="AF615" s="564"/>
      <c r="AG615" s="564"/>
      <c r="AH615" s="564"/>
      <c r="AI615" s="564"/>
      <c r="AJ615" s="564"/>
      <c r="AK615" s="564"/>
      <c r="AL615" s="564"/>
      <c r="AM615" s="564"/>
      <c r="AN615" s="564"/>
      <c r="AO615" s="564"/>
    </row>
    <row r="616" spans="2:41" x14ac:dyDescent="0.15">
      <c r="B616" s="565">
        <v>32</v>
      </c>
      <c r="C616" s="564">
        <v>1</v>
      </c>
      <c r="D616" s="564"/>
      <c r="E616" s="564"/>
      <c r="F616" s="564"/>
      <c r="G616" s="564"/>
      <c r="H616" s="564"/>
      <c r="I616" s="564"/>
      <c r="J616" s="564"/>
      <c r="K616" s="564"/>
      <c r="L616" s="564"/>
      <c r="M616" s="564"/>
      <c r="N616" s="564"/>
      <c r="O616" s="564"/>
      <c r="P616" s="564"/>
      <c r="Q616" s="564"/>
      <c r="R616" s="564"/>
      <c r="S616" s="564"/>
      <c r="T616" s="564"/>
      <c r="U616" s="564"/>
      <c r="V616" s="564"/>
      <c r="W616" s="564"/>
      <c r="X616" s="564"/>
      <c r="Y616" s="564"/>
      <c r="Z616" s="564"/>
      <c r="AA616" s="564"/>
      <c r="AB616" s="564"/>
      <c r="AC616" s="564"/>
      <c r="AD616" s="564"/>
      <c r="AE616" s="564"/>
      <c r="AF616" s="564"/>
      <c r="AG616" s="564"/>
      <c r="AH616" s="564"/>
      <c r="AI616" s="564"/>
      <c r="AJ616" s="564"/>
      <c r="AK616" s="564"/>
      <c r="AL616" s="564"/>
      <c r="AM616" s="564"/>
      <c r="AN616" s="564"/>
      <c r="AO616" s="564"/>
    </row>
    <row r="617" spans="2:41" x14ac:dyDescent="0.15">
      <c r="B617" s="565">
        <v>33</v>
      </c>
      <c r="C617" s="564">
        <v>1</v>
      </c>
      <c r="D617" s="564"/>
      <c r="E617" s="564"/>
      <c r="F617" s="564"/>
      <c r="G617" s="564"/>
      <c r="H617" s="564"/>
      <c r="I617" s="564"/>
      <c r="J617" s="564"/>
      <c r="K617" s="564"/>
      <c r="L617" s="564"/>
      <c r="M617" s="564"/>
      <c r="N617" s="564"/>
      <c r="O617" s="564"/>
      <c r="P617" s="564"/>
      <c r="Q617" s="564"/>
      <c r="R617" s="564"/>
      <c r="S617" s="564"/>
      <c r="T617" s="564"/>
      <c r="U617" s="564"/>
      <c r="V617" s="564"/>
      <c r="W617" s="564"/>
      <c r="X617" s="564"/>
      <c r="Y617" s="564"/>
      <c r="Z617" s="564"/>
      <c r="AA617" s="564"/>
      <c r="AB617" s="564"/>
      <c r="AC617" s="564"/>
      <c r="AD617" s="564"/>
      <c r="AE617" s="564"/>
      <c r="AF617" s="564"/>
      <c r="AG617" s="564"/>
      <c r="AH617" s="564"/>
      <c r="AI617" s="564"/>
      <c r="AJ617" s="564"/>
      <c r="AK617" s="564"/>
      <c r="AL617" s="564"/>
      <c r="AM617" s="564"/>
      <c r="AN617" s="564"/>
      <c r="AO617" s="564"/>
    </row>
    <row r="618" spans="2:41" x14ac:dyDescent="0.15">
      <c r="B618" s="565">
        <v>34</v>
      </c>
      <c r="C618" s="564">
        <v>1</v>
      </c>
      <c r="D618" s="564"/>
      <c r="E618" s="564"/>
      <c r="F618" s="564"/>
      <c r="G618" s="564"/>
      <c r="H618" s="564"/>
      <c r="I618" s="564"/>
      <c r="J618" s="564"/>
      <c r="K618" s="564"/>
      <c r="L618" s="564"/>
      <c r="M618" s="564"/>
      <c r="N618" s="564"/>
      <c r="O618" s="564"/>
      <c r="P618" s="564"/>
      <c r="Q618" s="564"/>
      <c r="R618" s="564"/>
      <c r="S618" s="564"/>
      <c r="T618" s="564"/>
      <c r="U618" s="564"/>
      <c r="V618" s="564"/>
      <c r="W618" s="564"/>
      <c r="X618" s="564"/>
      <c r="Y618" s="564"/>
      <c r="Z618" s="564"/>
      <c r="AA618" s="564"/>
      <c r="AB618" s="564"/>
      <c r="AC618" s="564"/>
      <c r="AD618" s="564"/>
      <c r="AE618" s="564"/>
      <c r="AF618" s="564"/>
      <c r="AG618" s="564"/>
      <c r="AH618" s="564"/>
      <c r="AI618" s="564"/>
      <c r="AJ618" s="564"/>
      <c r="AK618" s="564"/>
      <c r="AL618" s="564"/>
      <c r="AM618" s="564"/>
      <c r="AN618" s="564"/>
      <c r="AO618" s="564"/>
    </row>
    <row r="619" spans="2:41" x14ac:dyDescent="0.15">
      <c r="B619" s="565">
        <v>35</v>
      </c>
      <c r="C619" s="564">
        <v>1</v>
      </c>
      <c r="D619" s="564"/>
      <c r="E619" s="564"/>
      <c r="F619" s="564"/>
      <c r="G619" s="564"/>
      <c r="H619" s="564"/>
      <c r="I619" s="564"/>
      <c r="J619" s="564"/>
      <c r="K619" s="564"/>
      <c r="L619" s="564"/>
      <c r="M619" s="564"/>
      <c r="N619" s="564"/>
      <c r="O619" s="564"/>
      <c r="P619" s="564"/>
      <c r="Q619" s="564"/>
      <c r="R619" s="564"/>
      <c r="S619" s="564"/>
      <c r="T619" s="564"/>
      <c r="U619" s="564"/>
      <c r="V619" s="564"/>
      <c r="W619" s="564"/>
      <c r="X619" s="564"/>
      <c r="Y619" s="564"/>
      <c r="Z619" s="564"/>
      <c r="AA619" s="564"/>
      <c r="AB619" s="564"/>
      <c r="AC619" s="564"/>
      <c r="AD619" s="564"/>
      <c r="AE619" s="564"/>
      <c r="AF619" s="564"/>
      <c r="AG619" s="564"/>
      <c r="AH619" s="564"/>
      <c r="AI619" s="564"/>
      <c r="AJ619" s="564"/>
      <c r="AK619" s="564"/>
      <c r="AL619" s="564"/>
      <c r="AM619" s="564"/>
      <c r="AN619" s="564"/>
      <c r="AO619" s="564"/>
    </row>
    <row r="620" spans="2:41" x14ac:dyDescent="0.15">
      <c r="B620" s="565">
        <v>36</v>
      </c>
      <c r="C620" s="564">
        <v>1</v>
      </c>
      <c r="D620" s="564"/>
      <c r="E620" s="564"/>
      <c r="F620" s="564"/>
      <c r="G620" s="564"/>
      <c r="H620" s="564"/>
      <c r="I620" s="564"/>
      <c r="J620" s="564"/>
      <c r="K620" s="564"/>
      <c r="L620" s="564"/>
      <c r="M620" s="564"/>
      <c r="N620" s="564"/>
      <c r="O620" s="564"/>
      <c r="P620" s="564"/>
      <c r="Q620" s="564"/>
      <c r="R620" s="564"/>
      <c r="S620" s="564"/>
      <c r="T620" s="564"/>
      <c r="U620" s="564"/>
      <c r="V620" s="564"/>
      <c r="W620" s="564"/>
      <c r="X620" s="564"/>
      <c r="Y620" s="564"/>
      <c r="Z620" s="564"/>
      <c r="AA620" s="564"/>
      <c r="AB620" s="564"/>
      <c r="AC620" s="564"/>
      <c r="AD620" s="564"/>
      <c r="AE620" s="564"/>
      <c r="AF620" s="564"/>
      <c r="AG620" s="564"/>
      <c r="AH620" s="564"/>
      <c r="AI620" s="564"/>
      <c r="AJ620" s="564"/>
      <c r="AK620" s="564"/>
      <c r="AL620" s="564"/>
      <c r="AM620" s="564"/>
      <c r="AN620" s="564"/>
      <c r="AO620" s="564"/>
    </row>
    <row r="621" spans="2:41" x14ac:dyDescent="0.15">
      <c r="B621" s="565">
        <v>37</v>
      </c>
      <c r="C621" s="564">
        <v>1</v>
      </c>
      <c r="D621" s="564"/>
      <c r="E621" s="564"/>
      <c r="F621" s="564"/>
      <c r="G621" s="564"/>
      <c r="H621" s="564"/>
      <c r="I621" s="564"/>
      <c r="J621" s="564"/>
      <c r="K621" s="564"/>
      <c r="L621" s="564"/>
      <c r="M621" s="564"/>
      <c r="N621" s="564"/>
      <c r="O621" s="564"/>
      <c r="P621" s="564"/>
      <c r="Q621" s="564"/>
      <c r="R621" s="564"/>
      <c r="S621" s="564"/>
      <c r="T621" s="564"/>
      <c r="U621" s="564"/>
      <c r="V621" s="564"/>
      <c r="W621" s="564"/>
      <c r="X621" s="564"/>
      <c r="Y621" s="564"/>
      <c r="Z621" s="564"/>
      <c r="AA621" s="564"/>
      <c r="AB621" s="564"/>
      <c r="AC621" s="564"/>
      <c r="AD621" s="564"/>
      <c r="AE621" s="564"/>
      <c r="AF621" s="564"/>
      <c r="AG621" s="564"/>
      <c r="AH621" s="564"/>
      <c r="AI621" s="564"/>
      <c r="AJ621" s="564"/>
      <c r="AK621" s="564"/>
      <c r="AL621" s="564"/>
      <c r="AM621" s="564"/>
      <c r="AN621" s="564"/>
      <c r="AO621" s="564"/>
    </row>
    <row r="622" spans="2:41" x14ac:dyDescent="0.15">
      <c r="B622" s="565">
        <v>38</v>
      </c>
      <c r="C622" s="564">
        <v>1</v>
      </c>
      <c r="D622" s="564"/>
      <c r="E622" s="564"/>
      <c r="F622" s="564"/>
      <c r="G622" s="564"/>
      <c r="H622" s="564"/>
      <c r="I622" s="564"/>
      <c r="J622" s="564"/>
      <c r="K622" s="564"/>
      <c r="L622" s="564"/>
      <c r="M622" s="564"/>
      <c r="N622" s="564"/>
      <c r="O622" s="564"/>
      <c r="P622" s="564"/>
      <c r="Q622" s="564"/>
      <c r="R622" s="564"/>
      <c r="S622" s="564"/>
      <c r="T622" s="564"/>
      <c r="U622" s="564"/>
      <c r="V622" s="564"/>
      <c r="W622" s="564"/>
      <c r="X622" s="564"/>
      <c r="Y622" s="564"/>
      <c r="Z622" s="564"/>
      <c r="AA622" s="564"/>
      <c r="AB622" s="564"/>
      <c r="AC622" s="564"/>
      <c r="AD622" s="564"/>
      <c r="AE622" s="564"/>
      <c r="AF622" s="564"/>
      <c r="AG622" s="564"/>
      <c r="AH622" s="564"/>
      <c r="AI622" s="564"/>
      <c r="AJ622" s="564"/>
      <c r="AK622" s="564"/>
      <c r="AL622" s="564"/>
      <c r="AM622" s="564"/>
      <c r="AN622" s="564"/>
      <c r="AO622" s="564"/>
    </row>
    <row r="623" spans="2:41" x14ac:dyDescent="0.15">
      <c r="B623" s="565">
        <v>39</v>
      </c>
      <c r="C623" s="564">
        <v>1</v>
      </c>
      <c r="D623" s="564"/>
      <c r="E623" s="564"/>
      <c r="F623" s="564"/>
      <c r="G623" s="564"/>
      <c r="H623" s="564"/>
      <c r="I623" s="564"/>
      <c r="J623" s="564"/>
      <c r="K623" s="564"/>
      <c r="L623" s="564"/>
      <c r="M623" s="564"/>
      <c r="N623" s="564"/>
      <c r="O623" s="564"/>
      <c r="P623" s="564"/>
      <c r="Q623" s="564"/>
      <c r="R623" s="564"/>
      <c r="S623" s="564"/>
      <c r="T623" s="564"/>
      <c r="U623" s="564"/>
      <c r="V623" s="564"/>
      <c r="W623" s="564"/>
      <c r="X623" s="564"/>
      <c r="Y623" s="564"/>
      <c r="Z623" s="564"/>
      <c r="AA623" s="564"/>
      <c r="AB623" s="564"/>
      <c r="AC623" s="564"/>
      <c r="AD623" s="564"/>
      <c r="AE623" s="564"/>
      <c r="AF623" s="564"/>
      <c r="AG623" s="564"/>
      <c r="AH623" s="564"/>
      <c r="AI623" s="564"/>
      <c r="AJ623" s="564"/>
      <c r="AK623" s="564"/>
      <c r="AL623" s="564"/>
      <c r="AM623" s="564"/>
      <c r="AN623" s="564"/>
      <c r="AO623" s="564"/>
    </row>
    <row r="624" spans="2:41" x14ac:dyDescent="0.15">
      <c r="B624" s="566">
        <v>40</v>
      </c>
      <c r="C624" s="564">
        <v>1</v>
      </c>
      <c r="D624" s="564"/>
      <c r="E624" s="564"/>
      <c r="F624" s="564"/>
      <c r="G624" s="564"/>
      <c r="H624" s="564"/>
      <c r="I624" s="564"/>
      <c r="J624" s="564"/>
      <c r="K624" s="564"/>
      <c r="L624" s="564"/>
      <c r="M624" s="564"/>
      <c r="N624" s="564"/>
      <c r="O624" s="564"/>
      <c r="P624" s="564"/>
      <c r="Q624" s="564"/>
      <c r="R624" s="564"/>
      <c r="S624" s="564"/>
      <c r="T624" s="564"/>
      <c r="U624" s="564"/>
      <c r="V624" s="564"/>
      <c r="W624" s="564"/>
      <c r="X624" s="564"/>
      <c r="Y624" s="564"/>
      <c r="Z624" s="564"/>
      <c r="AA624" s="564"/>
      <c r="AB624" s="564"/>
      <c r="AC624" s="564"/>
      <c r="AD624" s="564"/>
      <c r="AE624" s="564"/>
      <c r="AF624" s="564"/>
      <c r="AG624" s="564"/>
      <c r="AH624" s="564"/>
      <c r="AI624" s="564"/>
      <c r="AJ624" s="564"/>
      <c r="AK624" s="564"/>
      <c r="AL624" s="564"/>
      <c r="AM624" s="564"/>
      <c r="AN624" s="564"/>
      <c r="AO624" s="564"/>
    </row>
    <row r="633" spans="2:41" s="561" customFormat="1" ht="14" x14ac:dyDescent="0.15">
      <c r="B633" s="558" t="str" cm="1">
        <f t="array" ref="B633:AO633">TRANSPOSE('Syötä kaupungit KIRJASTOLINKIT!'!$I$1:$I$40)</f>
        <v>MAA 8</v>
      </c>
      <c r="C633" s="562" t="str">
        <v>Riga</v>
      </c>
      <c r="D633" s="562">
        <v>0</v>
      </c>
      <c r="E633" s="562">
        <v>0</v>
      </c>
      <c r="F633" s="562">
        <v>0</v>
      </c>
      <c r="G633" s="562">
        <v>0</v>
      </c>
      <c r="H633" s="562">
        <v>0</v>
      </c>
      <c r="I633" s="562">
        <v>0</v>
      </c>
      <c r="J633" s="562">
        <v>0</v>
      </c>
      <c r="K633" s="562">
        <v>0</v>
      </c>
      <c r="L633" s="562">
        <v>0</v>
      </c>
      <c r="M633" s="562">
        <v>0</v>
      </c>
      <c r="N633" s="562">
        <v>0</v>
      </c>
      <c r="O633" s="562">
        <v>0</v>
      </c>
      <c r="P633" s="562">
        <v>0</v>
      </c>
      <c r="Q633" s="562">
        <v>0</v>
      </c>
      <c r="R633" s="562">
        <v>0</v>
      </c>
      <c r="S633" s="562">
        <v>0</v>
      </c>
      <c r="T633" s="562">
        <v>0</v>
      </c>
      <c r="U633" s="562">
        <v>0</v>
      </c>
      <c r="V633" s="562">
        <v>0</v>
      </c>
      <c r="W633" s="562">
        <v>0</v>
      </c>
      <c r="X633" s="562">
        <v>0</v>
      </c>
      <c r="Y633" s="562">
        <v>0</v>
      </c>
      <c r="Z633" s="562">
        <v>0</v>
      </c>
      <c r="AA633" s="562">
        <v>0</v>
      </c>
      <c r="AB633" s="562">
        <v>0</v>
      </c>
      <c r="AC633" s="562">
        <v>0</v>
      </c>
      <c r="AD633" s="562">
        <v>0</v>
      </c>
      <c r="AE633" s="562">
        <v>0</v>
      </c>
      <c r="AF633" s="562">
        <v>0</v>
      </c>
      <c r="AG633" s="562">
        <v>0</v>
      </c>
      <c r="AH633" s="562">
        <v>0</v>
      </c>
      <c r="AI633" s="562">
        <v>0</v>
      </c>
      <c r="AJ633" s="562">
        <v>0</v>
      </c>
      <c r="AK633" s="562">
        <v>0</v>
      </c>
      <c r="AL633" s="562">
        <v>0</v>
      </c>
      <c r="AM633" s="562">
        <v>0</v>
      </c>
      <c r="AN633" s="562">
        <v>0</v>
      </c>
      <c r="AO633" s="562">
        <v>0</v>
      </c>
    </row>
    <row r="634" spans="2:41" x14ac:dyDescent="0.15">
      <c r="B634" s="563">
        <v>-40</v>
      </c>
      <c r="C634" s="564"/>
      <c r="D634" s="564"/>
      <c r="E634" s="564"/>
      <c r="F634" s="564"/>
      <c r="G634" s="564"/>
      <c r="H634" s="564"/>
      <c r="I634" s="564"/>
      <c r="J634" s="564"/>
      <c r="K634" s="564"/>
      <c r="L634" s="564"/>
      <c r="M634" s="564"/>
      <c r="N634" s="564"/>
      <c r="O634" s="564"/>
      <c r="P634" s="564"/>
      <c r="Q634" s="564"/>
      <c r="R634" s="564"/>
      <c r="S634" s="564"/>
      <c r="T634" s="564"/>
      <c r="U634" s="564"/>
      <c r="V634" s="564"/>
      <c r="W634" s="564"/>
      <c r="X634" s="564"/>
      <c r="Y634" s="564"/>
      <c r="Z634" s="564"/>
      <c r="AA634" s="564"/>
      <c r="AB634" s="564"/>
      <c r="AC634" s="564"/>
      <c r="AD634" s="564"/>
      <c r="AE634" s="564"/>
      <c r="AF634" s="564"/>
      <c r="AG634" s="564"/>
      <c r="AH634" s="564"/>
      <c r="AI634" s="564"/>
      <c r="AJ634" s="564"/>
      <c r="AK634" s="564"/>
      <c r="AL634" s="564"/>
      <c r="AM634" s="564"/>
      <c r="AN634" s="564"/>
      <c r="AO634" s="564"/>
    </row>
    <row r="635" spans="2:41" x14ac:dyDescent="0.15">
      <c r="B635" s="565">
        <v>-39</v>
      </c>
      <c r="C635" s="564"/>
      <c r="D635" s="564"/>
      <c r="E635" s="564"/>
      <c r="F635" s="564"/>
      <c r="G635" s="564"/>
      <c r="H635" s="564"/>
      <c r="I635" s="564"/>
      <c r="J635" s="564"/>
      <c r="K635" s="564"/>
      <c r="L635" s="564"/>
      <c r="M635" s="564"/>
      <c r="N635" s="564"/>
      <c r="O635" s="564"/>
      <c r="P635" s="564"/>
      <c r="Q635" s="564"/>
      <c r="R635" s="564"/>
      <c r="S635" s="564"/>
      <c r="T635" s="564"/>
      <c r="U635" s="564"/>
      <c r="V635" s="564"/>
      <c r="W635" s="564"/>
      <c r="X635" s="564"/>
      <c r="Y635" s="564"/>
      <c r="Z635" s="564"/>
      <c r="AA635" s="564"/>
      <c r="AB635" s="564"/>
      <c r="AC635" s="564"/>
      <c r="AD635" s="564"/>
      <c r="AE635" s="564"/>
      <c r="AF635" s="564"/>
      <c r="AG635" s="564"/>
      <c r="AH635" s="564"/>
      <c r="AI635" s="564"/>
      <c r="AJ635" s="564"/>
      <c r="AK635" s="564"/>
      <c r="AL635" s="564"/>
      <c r="AM635" s="564"/>
      <c r="AN635" s="564"/>
      <c r="AO635" s="564"/>
    </row>
    <row r="636" spans="2:41" x14ac:dyDescent="0.15">
      <c r="B636" s="565">
        <v>-38</v>
      </c>
      <c r="C636" s="564"/>
      <c r="D636" s="564"/>
      <c r="E636" s="564"/>
      <c r="F636" s="564"/>
      <c r="G636" s="564"/>
      <c r="H636" s="564"/>
      <c r="I636" s="564"/>
      <c r="J636" s="564"/>
      <c r="K636" s="564"/>
      <c r="L636" s="564"/>
      <c r="M636" s="564"/>
      <c r="N636" s="564"/>
      <c r="O636" s="564"/>
      <c r="P636" s="564"/>
      <c r="Q636" s="564"/>
      <c r="R636" s="564"/>
      <c r="S636" s="564"/>
      <c r="T636" s="564"/>
      <c r="U636" s="564"/>
      <c r="V636" s="564"/>
      <c r="W636" s="564"/>
      <c r="X636" s="564"/>
      <c r="Y636" s="564"/>
      <c r="Z636" s="564"/>
      <c r="AA636" s="564"/>
      <c r="AB636" s="564"/>
      <c r="AC636" s="564"/>
      <c r="AD636" s="564"/>
      <c r="AE636" s="564"/>
      <c r="AF636" s="564"/>
      <c r="AG636" s="564"/>
      <c r="AH636" s="564"/>
      <c r="AI636" s="564"/>
      <c r="AJ636" s="564"/>
      <c r="AK636" s="564"/>
      <c r="AL636" s="564"/>
      <c r="AM636" s="564"/>
      <c r="AN636" s="564"/>
      <c r="AO636" s="564"/>
    </row>
    <row r="637" spans="2:41" x14ac:dyDescent="0.15">
      <c r="B637" s="565">
        <v>-37</v>
      </c>
      <c r="C637" s="564"/>
      <c r="D637" s="564"/>
      <c r="E637" s="564"/>
      <c r="F637" s="564"/>
      <c r="G637" s="564"/>
      <c r="H637" s="564"/>
      <c r="I637" s="564"/>
      <c r="J637" s="564"/>
      <c r="K637" s="564"/>
      <c r="L637" s="564"/>
      <c r="M637" s="564"/>
      <c r="N637" s="564"/>
      <c r="O637" s="564"/>
      <c r="P637" s="564"/>
      <c r="Q637" s="564"/>
      <c r="R637" s="564"/>
      <c r="S637" s="564"/>
      <c r="T637" s="564"/>
      <c r="U637" s="564"/>
      <c r="V637" s="564"/>
      <c r="W637" s="564"/>
      <c r="X637" s="564"/>
      <c r="Y637" s="564"/>
      <c r="Z637" s="564"/>
      <c r="AA637" s="564"/>
      <c r="AB637" s="564"/>
      <c r="AC637" s="564"/>
      <c r="AD637" s="564"/>
      <c r="AE637" s="564"/>
      <c r="AF637" s="564"/>
      <c r="AG637" s="564"/>
      <c r="AH637" s="564"/>
      <c r="AI637" s="564"/>
      <c r="AJ637" s="564"/>
      <c r="AK637" s="564"/>
      <c r="AL637" s="564"/>
      <c r="AM637" s="564"/>
      <c r="AN637" s="564"/>
      <c r="AO637" s="564"/>
    </row>
    <row r="638" spans="2:41" x14ac:dyDescent="0.15">
      <c r="B638" s="565">
        <v>-36</v>
      </c>
      <c r="C638" s="564"/>
      <c r="D638" s="564"/>
      <c r="E638" s="564"/>
      <c r="F638" s="564"/>
      <c r="G638" s="564"/>
      <c r="H638" s="564"/>
      <c r="I638" s="564"/>
      <c r="J638" s="564"/>
      <c r="K638" s="564"/>
      <c r="L638" s="564"/>
      <c r="M638" s="564"/>
      <c r="N638" s="564"/>
      <c r="O638" s="564"/>
      <c r="P638" s="564"/>
      <c r="Q638" s="564"/>
      <c r="R638" s="564"/>
      <c r="S638" s="564"/>
      <c r="T638" s="564"/>
      <c r="U638" s="564"/>
      <c r="V638" s="564"/>
      <c r="W638" s="564"/>
      <c r="X638" s="564"/>
      <c r="Y638" s="564"/>
      <c r="Z638" s="564"/>
      <c r="AA638" s="564"/>
      <c r="AB638" s="564"/>
      <c r="AC638" s="564"/>
      <c r="AD638" s="564"/>
      <c r="AE638" s="564"/>
      <c r="AF638" s="564"/>
      <c r="AG638" s="564"/>
      <c r="AH638" s="564"/>
      <c r="AI638" s="564"/>
      <c r="AJ638" s="564"/>
      <c r="AK638" s="564"/>
      <c r="AL638" s="564"/>
      <c r="AM638" s="564"/>
      <c r="AN638" s="564"/>
      <c r="AO638" s="564"/>
    </row>
    <row r="639" spans="2:41" x14ac:dyDescent="0.15">
      <c r="B639" s="565">
        <v>-35</v>
      </c>
      <c r="C639" s="564"/>
      <c r="D639" s="564"/>
      <c r="E639" s="564"/>
      <c r="F639" s="564"/>
      <c r="G639" s="564"/>
      <c r="H639" s="564"/>
      <c r="I639" s="564"/>
      <c r="J639" s="564"/>
      <c r="K639" s="564"/>
      <c r="L639" s="564"/>
      <c r="M639" s="564"/>
      <c r="N639" s="564"/>
      <c r="O639" s="564"/>
      <c r="P639" s="564"/>
      <c r="Q639" s="564"/>
      <c r="R639" s="564"/>
      <c r="S639" s="564"/>
      <c r="T639" s="564"/>
      <c r="U639" s="564"/>
      <c r="V639" s="564"/>
      <c r="W639" s="564"/>
      <c r="X639" s="564"/>
      <c r="Y639" s="564"/>
      <c r="Z639" s="564"/>
      <c r="AA639" s="564"/>
      <c r="AB639" s="564"/>
      <c r="AC639" s="564"/>
      <c r="AD639" s="564"/>
      <c r="AE639" s="564"/>
      <c r="AF639" s="564"/>
      <c r="AG639" s="564"/>
      <c r="AH639" s="564"/>
      <c r="AI639" s="564"/>
      <c r="AJ639" s="564"/>
      <c r="AK639" s="564"/>
      <c r="AL639" s="564"/>
      <c r="AM639" s="564"/>
      <c r="AN639" s="564"/>
      <c r="AO639" s="564"/>
    </row>
    <row r="640" spans="2:41" x14ac:dyDescent="0.15">
      <c r="B640" s="565">
        <v>-34</v>
      </c>
      <c r="C640" s="564"/>
      <c r="D640" s="564"/>
      <c r="E640" s="564"/>
      <c r="F640" s="564"/>
      <c r="G640" s="564"/>
      <c r="H640" s="564"/>
      <c r="I640" s="564"/>
      <c r="J640" s="564"/>
      <c r="K640" s="564"/>
      <c r="L640" s="564"/>
      <c r="M640" s="564"/>
      <c r="N640" s="564"/>
      <c r="O640" s="564"/>
      <c r="P640" s="564"/>
      <c r="Q640" s="564"/>
      <c r="R640" s="564"/>
      <c r="S640" s="564"/>
      <c r="T640" s="564"/>
      <c r="U640" s="564"/>
      <c r="V640" s="564"/>
      <c r="W640" s="564"/>
      <c r="X640" s="564"/>
      <c r="Y640" s="564"/>
      <c r="Z640" s="564"/>
      <c r="AA640" s="564"/>
      <c r="AB640" s="564"/>
      <c r="AC640" s="564"/>
      <c r="AD640" s="564"/>
      <c r="AE640" s="564"/>
      <c r="AF640" s="564"/>
      <c r="AG640" s="564"/>
      <c r="AH640" s="564"/>
      <c r="AI640" s="564"/>
      <c r="AJ640" s="564"/>
      <c r="AK640" s="564"/>
      <c r="AL640" s="564"/>
      <c r="AM640" s="564"/>
      <c r="AN640" s="564"/>
      <c r="AO640" s="564"/>
    </row>
    <row r="641" spans="2:41" x14ac:dyDescent="0.15">
      <c r="B641" s="565">
        <v>-33</v>
      </c>
      <c r="C641" s="564"/>
      <c r="D641" s="564"/>
      <c r="E641" s="564"/>
      <c r="F641" s="564"/>
      <c r="G641" s="564"/>
      <c r="H641" s="564"/>
      <c r="I641" s="564"/>
      <c r="J641" s="564"/>
      <c r="K641" s="564"/>
      <c r="L641" s="564"/>
      <c r="M641" s="564"/>
      <c r="N641" s="564"/>
      <c r="O641" s="564"/>
      <c r="P641" s="564"/>
      <c r="Q641" s="564"/>
      <c r="R641" s="564"/>
      <c r="S641" s="564"/>
      <c r="T641" s="564"/>
      <c r="U641" s="564"/>
      <c r="V641" s="564"/>
      <c r="W641" s="564"/>
      <c r="X641" s="564"/>
      <c r="Y641" s="564"/>
      <c r="Z641" s="564"/>
      <c r="AA641" s="564"/>
      <c r="AB641" s="564"/>
      <c r="AC641" s="564"/>
      <c r="AD641" s="564"/>
      <c r="AE641" s="564"/>
      <c r="AF641" s="564"/>
      <c r="AG641" s="564"/>
      <c r="AH641" s="564"/>
      <c r="AI641" s="564"/>
      <c r="AJ641" s="564"/>
      <c r="AK641" s="564"/>
      <c r="AL641" s="564"/>
      <c r="AM641" s="564"/>
      <c r="AN641" s="564"/>
      <c r="AO641" s="564"/>
    </row>
    <row r="642" spans="2:41" x14ac:dyDescent="0.15">
      <c r="B642" s="565">
        <v>-32</v>
      </c>
      <c r="C642" s="564"/>
      <c r="D642" s="564"/>
      <c r="E642" s="564"/>
      <c r="F642" s="564"/>
      <c r="G642" s="564"/>
      <c r="H642" s="564"/>
      <c r="I642" s="564"/>
      <c r="J642" s="564"/>
      <c r="K642" s="564"/>
      <c r="L642" s="564"/>
      <c r="M642" s="564"/>
      <c r="N642" s="564"/>
      <c r="O642" s="564"/>
      <c r="P642" s="564"/>
      <c r="Q642" s="564"/>
      <c r="R642" s="564"/>
      <c r="S642" s="564"/>
      <c r="T642" s="564"/>
      <c r="U642" s="564"/>
      <c r="V642" s="564"/>
      <c r="W642" s="564"/>
      <c r="X642" s="564"/>
      <c r="Y642" s="564"/>
      <c r="Z642" s="564"/>
      <c r="AA642" s="564"/>
      <c r="AB642" s="564"/>
      <c r="AC642" s="564"/>
      <c r="AD642" s="564"/>
      <c r="AE642" s="564"/>
      <c r="AF642" s="564"/>
      <c r="AG642" s="564"/>
      <c r="AH642" s="564"/>
      <c r="AI642" s="564"/>
      <c r="AJ642" s="564"/>
      <c r="AK642" s="564"/>
      <c r="AL642" s="564"/>
      <c r="AM642" s="564"/>
      <c r="AN642" s="564"/>
      <c r="AO642" s="564"/>
    </row>
    <row r="643" spans="2:41" x14ac:dyDescent="0.15">
      <c r="B643" s="565">
        <v>-31</v>
      </c>
      <c r="C643" s="564"/>
      <c r="D643" s="564"/>
      <c r="E643" s="564"/>
      <c r="F643" s="564"/>
      <c r="G643" s="564"/>
      <c r="H643" s="564"/>
      <c r="I643" s="564"/>
      <c r="J643" s="564"/>
      <c r="K643" s="564"/>
      <c r="L643" s="564"/>
      <c r="M643" s="564"/>
      <c r="N643" s="564"/>
      <c r="O643" s="564"/>
      <c r="P643" s="564"/>
      <c r="Q643" s="564"/>
      <c r="R643" s="564"/>
      <c r="S643" s="564"/>
      <c r="T643" s="564"/>
      <c r="U643" s="564"/>
      <c r="V643" s="564"/>
      <c r="W643" s="564"/>
      <c r="X643" s="564"/>
      <c r="Y643" s="564"/>
      <c r="Z643" s="564"/>
      <c r="AA643" s="564"/>
      <c r="AB643" s="564"/>
      <c r="AC643" s="564"/>
      <c r="AD643" s="564"/>
      <c r="AE643" s="564"/>
      <c r="AF643" s="564"/>
      <c r="AG643" s="564"/>
      <c r="AH643" s="564"/>
      <c r="AI643" s="564"/>
      <c r="AJ643" s="564"/>
      <c r="AK643" s="564"/>
      <c r="AL643" s="564"/>
      <c r="AM643" s="564"/>
      <c r="AN643" s="564"/>
      <c r="AO643" s="564"/>
    </row>
    <row r="644" spans="2:41" x14ac:dyDescent="0.15">
      <c r="B644" s="565">
        <v>-30</v>
      </c>
      <c r="C644" s="564"/>
      <c r="D644" s="564"/>
      <c r="E644" s="564"/>
      <c r="F644" s="564"/>
      <c r="G644" s="564"/>
      <c r="H644" s="564"/>
      <c r="I644" s="564"/>
      <c r="J644" s="564"/>
      <c r="K644" s="564"/>
      <c r="L644" s="564"/>
      <c r="M644" s="564"/>
      <c r="N644" s="564"/>
      <c r="O644" s="564"/>
      <c r="P644" s="564"/>
      <c r="Q644" s="564"/>
      <c r="R644" s="564"/>
      <c r="S644" s="564"/>
      <c r="T644" s="564"/>
      <c r="U644" s="564"/>
      <c r="V644" s="564"/>
      <c r="W644" s="564"/>
      <c r="X644" s="564"/>
      <c r="Y644" s="564"/>
      <c r="Z644" s="564"/>
      <c r="AA644" s="564"/>
      <c r="AB644" s="564"/>
      <c r="AC644" s="564"/>
      <c r="AD644" s="564"/>
      <c r="AE644" s="564"/>
      <c r="AF644" s="564"/>
      <c r="AG644" s="564"/>
      <c r="AH644" s="564"/>
      <c r="AI644" s="564"/>
      <c r="AJ644" s="564"/>
      <c r="AK644" s="564"/>
      <c r="AL644" s="564"/>
      <c r="AM644" s="564"/>
      <c r="AN644" s="564"/>
      <c r="AO644" s="564"/>
    </row>
    <row r="645" spans="2:41" x14ac:dyDescent="0.15">
      <c r="B645" s="565">
        <v>-29</v>
      </c>
      <c r="C645" s="564"/>
      <c r="D645" s="564"/>
      <c r="E645" s="564"/>
      <c r="F645" s="564"/>
      <c r="G645" s="564"/>
      <c r="H645" s="564"/>
      <c r="I645" s="564"/>
      <c r="J645" s="564"/>
      <c r="K645" s="564"/>
      <c r="L645" s="564"/>
      <c r="M645" s="564"/>
      <c r="N645" s="564"/>
      <c r="O645" s="564"/>
      <c r="P645" s="564"/>
      <c r="Q645" s="564"/>
      <c r="R645" s="564"/>
      <c r="S645" s="564"/>
      <c r="T645" s="564"/>
      <c r="U645" s="564"/>
      <c r="V645" s="564"/>
      <c r="W645" s="564"/>
      <c r="X645" s="564"/>
      <c r="Y645" s="564"/>
      <c r="Z645" s="564"/>
      <c r="AA645" s="564"/>
      <c r="AB645" s="564"/>
      <c r="AC645" s="564"/>
      <c r="AD645" s="564"/>
      <c r="AE645" s="564"/>
      <c r="AF645" s="564"/>
      <c r="AG645" s="564"/>
      <c r="AH645" s="564"/>
      <c r="AI645" s="564"/>
      <c r="AJ645" s="564"/>
      <c r="AK645" s="564"/>
      <c r="AL645" s="564"/>
      <c r="AM645" s="564"/>
      <c r="AN645" s="564"/>
      <c r="AO645" s="564"/>
    </row>
    <row r="646" spans="2:41" x14ac:dyDescent="0.15">
      <c r="B646" s="565">
        <v>-28</v>
      </c>
      <c r="C646" s="564"/>
      <c r="D646" s="564"/>
      <c r="E646" s="564"/>
      <c r="F646" s="564"/>
      <c r="G646" s="564"/>
      <c r="H646" s="564"/>
      <c r="I646" s="564"/>
      <c r="J646" s="564"/>
      <c r="K646" s="564"/>
      <c r="L646" s="564"/>
      <c r="M646" s="564"/>
      <c r="N646" s="564"/>
      <c r="O646" s="564"/>
      <c r="P646" s="564"/>
      <c r="Q646" s="564"/>
      <c r="R646" s="564"/>
      <c r="S646" s="564"/>
      <c r="T646" s="564"/>
      <c r="U646" s="564"/>
      <c r="V646" s="564"/>
      <c r="W646" s="564"/>
      <c r="X646" s="564"/>
      <c r="Y646" s="564"/>
      <c r="Z646" s="564"/>
      <c r="AA646" s="564"/>
      <c r="AB646" s="564"/>
      <c r="AC646" s="564"/>
      <c r="AD646" s="564"/>
      <c r="AE646" s="564"/>
      <c r="AF646" s="564"/>
      <c r="AG646" s="564"/>
      <c r="AH646" s="564"/>
      <c r="AI646" s="564"/>
      <c r="AJ646" s="564"/>
      <c r="AK646" s="564"/>
      <c r="AL646" s="564"/>
      <c r="AM646" s="564"/>
      <c r="AN646" s="564"/>
      <c r="AO646" s="564"/>
    </row>
    <row r="647" spans="2:41" x14ac:dyDescent="0.15">
      <c r="B647" s="565">
        <v>-27</v>
      </c>
      <c r="C647" s="564"/>
      <c r="D647" s="564"/>
      <c r="E647" s="564"/>
      <c r="F647" s="564"/>
      <c r="G647" s="564"/>
      <c r="H647" s="564"/>
      <c r="I647" s="564"/>
      <c r="J647" s="564"/>
      <c r="K647" s="564"/>
      <c r="L647" s="564"/>
      <c r="M647" s="564"/>
      <c r="N647" s="564"/>
      <c r="O647" s="564"/>
      <c r="P647" s="564"/>
      <c r="Q647" s="564"/>
      <c r="R647" s="564"/>
      <c r="S647" s="564"/>
      <c r="T647" s="564"/>
      <c r="U647" s="564"/>
      <c r="V647" s="564"/>
      <c r="W647" s="564"/>
      <c r="X647" s="564"/>
      <c r="Y647" s="564"/>
      <c r="Z647" s="564"/>
      <c r="AA647" s="564"/>
      <c r="AB647" s="564"/>
      <c r="AC647" s="564"/>
      <c r="AD647" s="564"/>
      <c r="AE647" s="564"/>
      <c r="AF647" s="564"/>
      <c r="AG647" s="564"/>
      <c r="AH647" s="564"/>
      <c r="AI647" s="564"/>
      <c r="AJ647" s="564"/>
      <c r="AK647" s="564"/>
      <c r="AL647" s="564"/>
      <c r="AM647" s="564"/>
      <c r="AN647" s="564"/>
      <c r="AO647" s="564"/>
    </row>
    <row r="648" spans="2:41" x14ac:dyDescent="0.15">
      <c r="B648" s="565">
        <v>-26</v>
      </c>
      <c r="C648" s="564"/>
      <c r="D648" s="564"/>
      <c r="E648" s="564"/>
      <c r="F648" s="564"/>
      <c r="G648" s="564"/>
      <c r="H648" s="564"/>
      <c r="I648" s="564"/>
      <c r="J648" s="564"/>
      <c r="K648" s="564"/>
      <c r="L648" s="564"/>
      <c r="M648" s="564"/>
      <c r="N648" s="564"/>
      <c r="O648" s="564"/>
      <c r="P648" s="564"/>
      <c r="Q648" s="564"/>
      <c r="R648" s="564"/>
      <c r="S648" s="564"/>
      <c r="T648" s="564"/>
      <c r="U648" s="564"/>
      <c r="V648" s="564"/>
      <c r="W648" s="564"/>
      <c r="X648" s="564"/>
      <c r="Y648" s="564"/>
      <c r="Z648" s="564"/>
      <c r="AA648" s="564"/>
      <c r="AB648" s="564"/>
      <c r="AC648" s="564"/>
      <c r="AD648" s="564"/>
      <c r="AE648" s="564"/>
      <c r="AF648" s="564"/>
      <c r="AG648" s="564"/>
      <c r="AH648" s="564"/>
      <c r="AI648" s="564"/>
      <c r="AJ648" s="564"/>
      <c r="AK648" s="564"/>
      <c r="AL648" s="564"/>
      <c r="AM648" s="564"/>
      <c r="AN648" s="564"/>
      <c r="AO648" s="564"/>
    </row>
    <row r="649" spans="2:41" x14ac:dyDescent="0.15">
      <c r="B649" s="565">
        <v>-25</v>
      </c>
      <c r="C649" s="564"/>
      <c r="D649" s="564"/>
      <c r="E649" s="564"/>
      <c r="F649" s="564"/>
      <c r="G649" s="564"/>
      <c r="H649" s="564"/>
      <c r="I649" s="564"/>
      <c r="J649" s="564"/>
      <c r="K649" s="564"/>
      <c r="L649" s="564"/>
      <c r="M649" s="564"/>
      <c r="N649" s="564"/>
      <c r="O649" s="564"/>
      <c r="P649" s="564"/>
      <c r="Q649" s="564"/>
      <c r="R649" s="564"/>
      <c r="S649" s="564"/>
      <c r="T649" s="564"/>
      <c r="U649" s="564"/>
      <c r="V649" s="564"/>
      <c r="W649" s="564"/>
      <c r="X649" s="564"/>
      <c r="Y649" s="564"/>
      <c r="Z649" s="564"/>
      <c r="AA649" s="564"/>
      <c r="AB649" s="564"/>
      <c r="AC649" s="564"/>
      <c r="AD649" s="564"/>
      <c r="AE649" s="564"/>
      <c r="AF649" s="564"/>
      <c r="AG649" s="564"/>
      <c r="AH649" s="564"/>
      <c r="AI649" s="564"/>
      <c r="AJ649" s="564"/>
      <c r="AK649" s="564"/>
      <c r="AL649" s="564"/>
      <c r="AM649" s="564"/>
      <c r="AN649" s="564"/>
      <c r="AO649" s="564"/>
    </row>
    <row r="650" spans="2:41" x14ac:dyDescent="0.15">
      <c r="B650" s="565">
        <v>-24</v>
      </c>
      <c r="C650" s="564"/>
      <c r="D650" s="564"/>
      <c r="E650" s="564"/>
      <c r="F650" s="564"/>
      <c r="G650" s="564"/>
      <c r="H650" s="564"/>
      <c r="I650" s="564"/>
      <c r="J650" s="564"/>
      <c r="K650" s="564"/>
      <c r="L650" s="564"/>
      <c r="M650" s="564"/>
      <c r="N650" s="564"/>
      <c r="O650" s="564"/>
      <c r="P650" s="564"/>
      <c r="Q650" s="564"/>
      <c r="R650" s="564"/>
      <c r="S650" s="564"/>
      <c r="T650" s="564"/>
      <c r="U650" s="564"/>
      <c r="V650" s="564"/>
      <c r="W650" s="564"/>
      <c r="X650" s="564"/>
      <c r="Y650" s="564"/>
      <c r="Z650" s="564"/>
      <c r="AA650" s="564"/>
      <c r="AB650" s="564"/>
      <c r="AC650" s="564"/>
      <c r="AD650" s="564"/>
      <c r="AE650" s="564"/>
      <c r="AF650" s="564"/>
      <c r="AG650" s="564"/>
      <c r="AH650" s="564"/>
      <c r="AI650" s="564"/>
      <c r="AJ650" s="564"/>
      <c r="AK650" s="564"/>
      <c r="AL650" s="564"/>
      <c r="AM650" s="564"/>
      <c r="AN650" s="564"/>
      <c r="AO650" s="564"/>
    </row>
    <row r="651" spans="2:41" x14ac:dyDescent="0.15">
      <c r="B651" s="565">
        <v>-23</v>
      </c>
      <c r="C651" s="564"/>
      <c r="D651" s="564"/>
      <c r="E651" s="564"/>
      <c r="F651" s="564"/>
      <c r="G651" s="564"/>
      <c r="H651" s="564"/>
      <c r="I651" s="564"/>
      <c r="J651" s="564"/>
      <c r="K651" s="564"/>
      <c r="L651" s="564"/>
      <c r="M651" s="564"/>
      <c r="N651" s="564"/>
      <c r="O651" s="564"/>
      <c r="P651" s="564"/>
      <c r="Q651" s="564"/>
      <c r="R651" s="564"/>
      <c r="S651" s="564"/>
      <c r="T651" s="564"/>
      <c r="U651" s="564"/>
      <c r="V651" s="564"/>
      <c r="W651" s="564"/>
      <c r="X651" s="564"/>
      <c r="Y651" s="564"/>
      <c r="Z651" s="564"/>
      <c r="AA651" s="564"/>
      <c r="AB651" s="564"/>
      <c r="AC651" s="564"/>
      <c r="AD651" s="564"/>
      <c r="AE651" s="564"/>
      <c r="AF651" s="564"/>
      <c r="AG651" s="564"/>
      <c r="AH651" s="564"/>
      <c r="AI651" s="564"/>
      <c r="AJ651" s="564"/>
      <c r="AK651" s="564"/>
      <c r="AL651" s="564"/>
      <c r="AM651" s="564"/>
      <c r="AN651" s="564"/>
      <c r="AO651" s="564"/>
    </row>
    <row r="652" spans="2:41" x14ac:dyDescent="0.15">
      <c r="B652" s="565">
        <v>-22</v>
      </c>
      <c r="C652" s="564"/>
      <c r="D652" s="564"/>
      <c r="E652" s="564"/>
      <c r="F652" s="564"/>
      <c r="G652" s="564"/>
      <c r="H652" s="564"/>
      <c r="I652" s="564"/>
      <c r="J652" s="564"/>
      <c r="K652" s="564"/>
      <c r="L652" s="564"/>
      <c r="M652" s="564"/>
      <c r="N652" s="564"/>
      <c r="O652" s="564"/>
      <c r="P652" s="564"/>
      <c r="Q652" s="564"/>
      <c r="R652" s="564"/>
      <c r="S652" s="564"/>
      <c r="T652" s="564"/>
      <c r="U652" s="564"/>
      <c r="V652" s="564"/>
      <c r="W652" s="564"/>
      <c r="X652" s="564"/>
      <c r="Y652" s="564"/>
      <c r="Z652" s="564"/>
      <c r="AA652" s="564"/>
      <c r="AB652" s="564"/>
      <c r="AC652" s="564"/>
      <c r="AD652" s="564"/>
      <c r="AE652" s="564"/>
      <c r="AF652" s="564"/>
      <c r="AG652" s="564"/>
      <c r="AH652" s="564"/>
      <c r="AI652" s="564"/>
      <c r="AJ652" s="564"/>
      <c r="AK652" s="564"/>
      <c r="AL652" s="564"/>
      <c r="AM652" s="564"/>
      <c r="AN652" s="564"/>
      <c r="AO652" s="564"/>
    </row>
    <row r="653" spans="2:41" x14ac:dyDescent="0.15">
      <c r="B653" s="565">
        <v>-21</v>
      </c>
      <c r="C653" s="564"/>
      <c r="D653" s="564"/>
      <c r="E653" s="564"/>
      <c r="F653" s="564"/>
      <c r="G653" s="564"/>
      <c r="H653" s="564"/>
      <c r="I653" s="564"/>
      <c r="J653" s="564"/>
      <c r="K653" s="564"/>
      <c r="L653" s="564"/>
      <c r="M653" s="564"/>
      <c r="N653" s="564"/>
      <c r="O653" s="564"/>
      <c r="P653" s="564"/>
      <c r="Q653" s="564"/>
      <c r="R653" s="564"/>
      <c r="S653" s="564"/>
      <c r="T653" s="564"/>
      <c r="U653" s="564"/>
      <c r="V653" s="564"/>
      <c r="W653" s="564"/>
      <c r="X653" s="564"/>
      <c r="Y653" s="564"/>
      <c r="Z653" s="564"/>
      <c r="AA653" s="564"/>
      <c r="AB653" s="564"/>
      <c r="AC653" s="564"/>
      <c r="AD653" s="564"/>
      <c r="AE653" s="564"/>
      <c r="AF653" s="564"/>
      <c r="AG653" s="564"/>
      <c r="AH653" s="564"/>
      <c r="AI653" s="564"/>
      <c r="AJ653" s="564"/>
      <c r="AK653" s="564"/>
      <c r="AL653" s="564"/>
      <c r="AM653" s="564"/>
      <c r="AN653" s="564"/>
      <c r="AO653" s="564"/>
    </row>
    <row r="654" spans="2:41" x14ac:dyDescent="0.15">
      <c r="B654" s="565">
        <v>-20</v>
      </c>
      <c r="C654" s="564"/>
      <c r="D654" s="564"/>
      <c r="E654" s="564"/>
      <c r="F654" s="564"/>
      <c r="G654" s="564"/>
      <c r="H654" s="564"/>
      <c r="I654" s="564"/>
      <c r="J654" s="564"/>
      <c r="K654" s="564"/>
      <c r="L654" s="564"/>
      <c r="M654" s="564"/>
      <c r="N654" s="564"/>
      <c r="O654" s="564"/>
      <c r="P654" s="564"/>
      <c r="Q654" s="564"/>
      <c r="R654" s="564"/>
      <c r="S654" s="564"/>
      <c r="T654" s="564"/>
      <c r="U654" s="564"/>
      <c r="V654" s="564"/>
      <c r="W654" s="564"/>
      <c r="X654" s="564"/>
      <c r="Y654" s="564"/>
      <c r="Z654" s="564"/>
      <c r="AA654" s="564"/>
      <c r="AB654" s="564"/>
      <c r="AC654" s="564"/>
      <c r="AD654" s="564"/>
      <c r="AE654" s="564"/>
      <c r="AF654" s="564"/>
      <c r="AG654" s="564"/>
      <c r="AH654" s="564"/>
      <c r="AI654" s="564"/>
      <c r="AJ654" s="564"/>
      <c r="AK654" s="564"/>
      <c r="AL654" s="564"/>
      <c r="AM654" s="564"/>
      <c r="AN654" s="564"/>
      <c r="AO654" s="564"/>
    </row>
    <row r="655" spans="2:41" x14ac:dyDescent="0.15">
      <c r="B655" s="565">
        <v>-19</v>
      </c>
      <c r="C655" s="564"/>
      <c r="D655" s="564"/>
      <c r="E655" s="564"/>
      <c r="F655" s="564"/>
      <c r="G655" s="564"/>
      <c r="H655" s="564"/>
      <c r="I655" s="564"/>
      <c r="J655" s="564"/>
      <c r="K655" s="564"/>
      <c r="L655" s="564"/>
      <c r="M655" s="564"/>
      <c r="N655" s="564"/>
      <c r="O655" s="564"/>
      <c r="P655" s="564"/>
      <c r="Q655" s="564"/>
      <c r="R655" s="564"/>
      <c r="S655" s="564"/>
      <c r="T655" s="564"/>
      <c r="U655" s="564"/>
      <c r="V655" s="564"/>
      <c r="W655" s="564"/>
      <c r="X655" s="564"/>
      <c r="Y655" s="564"/>
      <c r="Z655" s="564"/>
      <c r="AA655" s="564"/>
      <c r="AB655" s="564"/>
      <c r="AC655" s="564"/>
      <c r="AD655" s="564"/>
      <c r="AE655" s="564"/>
      <c r="AF655" s="564"/>
      <c r="AG655" s="564"/>
      <c r="AH655" s="564"/>
      <c r="AI655" s="564"/>
      <c r="AJ655" s="564"/>
      <c r="AK655" s="564"/>
      <c r="AL655" s="564"/>
      <c r="AM655" s="564"/>
      <c r="AN655" s="564"/>
      <c r="AO655" s="564"/>
    </row>
    <row r="656" spans="2:41" x14ac:dyDescent="0.15">
      <c r="B656" s="565">
        <v>-18</v>
      </c>
      <c r="C656" s="564"/>
      <c r="D656" s="564"/>
      <c r="E656" s="564"/>
      <c r="F656" s="564"/>
      <c r="G656" s="564"/>
      <c r="H656" s="564"/>
      <c r="I656" s="564"/>
      <c r="J656" s="564"/>
      <c r="K656" s="564"/>
      <c r="L656" s="564"/>
      <c r="M656" s="564"/>
      <c r="N656" s="564"/>
      <c r="O656" s="564"/>
      <c r="P656" s="564"/>
      <c r="Q656" s="564"/>
      <c r="R656" s="564"/>
      <c r="S656" s="564"/>
      <c r="T656" s="564"/>
      <c r="U656" s="564"/>
      <c r="V656" s="564"/>
      <c r="W656" s="564"/>
      <c r="X656" s="564"/>
      <c r="Y656" s="564"/>
      <c r="Z656" s="564"/>
      <c r="AA656" s="564"/>
      <c r="AB656" s="564"/>
      <c r="AC656" s="564"/>
      <c r="AD656" s="564"/>
      <c r="AE656" s="564"/>
      <c r="AF656" s="564"/>
      <c r="AG656" s="564"/>
      <c r="AH656" s="564"/>
      <c r="AI656" s="564"/>
      <c r="AJ656" s="564"/>
      <c r="AK656" s="564"/>
      <c r="AL656" s="564"/>
      <c r="AM656" s="564"/>
      <c r="AN656" s="564"/>
      <c r="AO656" s="564"/>
    </row>
    <row r="657" spans="2:41" x14ac:dyDescent="0.15">
      <c r="B657" s="565">
        <v>-17</v>
      </c>
      <c r="C657" s="564"/>
      <c r="D657" s="564"/>
      <c r="E657" s="564"/>
      <c r="F657" s="564"/>
      <c r="G657" s="564"/>
      <c r="H657" s="564"/>
      <c r="I657" s="564"/>
      <c r="J657" s="564"/>
      <c r="K657" s="564"/>
      <c r="L657" s="564"/>
      <c r="M657" s="564"/>
      <c r="N657" s="564"/>
      <c r="O657" s="564"/>
      <c r="P657" s="564"/>
      <c r="Q657" s="564"/>
      <c r="R657" s="564"/>
      <c r="S657" s="564"/>
      <c r="T657" s="564"/>
      <c r="U657" s="564"/>
      <c r="V657" s="564"/>
      <c r="W657" s="564"/>
      <c r="X657" s="564"/>
      <c r="Y657" s="564"/>
      <c r="Z657" s="564"/>
      <c r="AA657" s="564"/>
      <c r="AB657" s="564"/>
      <c r="AC657" s="564"/>
      <c r="AD657" s="564"/>
      <c r="AE657" s="564"/>
      <c r="AF657" s="564"/>
      <c r="AG657" s="564"/>
      <c r="AH657" s="564"/>
      <c r="AI657" s="564"/>
      <c r="AJ657" s="564"/>
      <c r="AK657" s="564"/>
      <c r="AL657" s="564"/>
      <c r="AM657" s="564"/>
      <c r="AN657" s="564"/>
      <c r="AO657" s="564"/>
    </row>
    <row r="658" spans="2:41" x14ac:dyDescent="0.15">
      <c r="B658" s="565">
        <v>-16</v>
      </c>
      <c r="C658" s="564"/>
      <c r="D658" s="564"/>
      <c r="E658" s="564"/>
      <c r="F658" s="564"/>
      <c r="G658" s="564"/>
      <c r="H658" s="564"/>
      <c r="I658" s="564"/>
      <c r="J658" s="564"/>
      <c r="K658" s="564"/>
      <c r="L658" s="564"/>
      <c r="M658" s="564"/>
      <c r="N658" s="564"/>
      <c r="O658" s="564"/>
      <c r="P658" s="564"/>
      <c r="Q658" s="564"/>
      <c r="R658" s="564"/>
      <c r="S658" s="564"/>
      <c r="T658" s="564"/>
      <c r="U658" s="564"/>
      <c r="V658" s="564"/>
      <c r="W658" s="564"/>
      <c r="X658" s="564"/>
      <c r="Y658" s="564"/>
      <c r="Z658" s="564"/>
      <c r="AA658" s="564"/>
      <c r="AB658" s="564"/>
      <c r="AC658" s="564"/>
      <c r="AD658" s="564"/>
      <c r="AE658" s="564"/>
      <c r="AF658" s="564"/>
      <c r="AG658" s="564"/>
      <c r="AH658" s="564"/>
      <c r="AI658" s="564"/>
      <c r="AJ658" s="564"/>
      <c r="AK658" s="564"/>
      <c r="AL658" s="564"/>
      <c r="AM658" s="564"/>
      <c r="AN658" s="564"/>
      <c r="AO658" s="564"/>
    </row>
    <row r="659" spans="2:41" x14ac:dyDescent="0.15">
      <c r="B659" s="565">
        <v>-15</v>
      </c>
      <c r="C659" s="564"/>
      <c r="D659" s="564"/>
      <c r="E659" s="564"/>
      <c r="F659" s="564"/>
      <c r="G659" s="564"/>
      <c r="H659" s="564"/>
      <c r="I659" s="564"/>
      <c r="J659" s="564"/>
      <c r="K659" s="564"/>
      <c r="L659" s="564"/>
      <c r="M659" s="564"/>
      <c r="N659" s="564"/>
      <c r="O659" s="564"/>
      <c r="P659" s="564"/>
      <c r="Q659" s="564"/>
      <c r="R659" s="564"/>
      <c r="S659" s="564"/>
      <c r="T659" s="564"/>
      <c r="U659" s="564"/>
      <c r="V659" s="564"/>
      <c r="W659" s="564"/>
      <c r="X659" s="564"/>
      <c r="Y659" s="564"/>
      <c r="Z659" s="564"/>
      <c r="AA659" s="564"/>
      <c r="AB659" s="564"/>
      <c r="AC659" s="564"/>
      <c r="AD659" s="564"/>
      <c r="AE659" s="564"/>
      <c r="AF659" s="564"/>
      <c r="AG659" s="564"/>
      <c r="AH659" s="564"/>
      <c r="AI659" s="564"/>
      <c r="AJ659" s="564"/>
      <c r="AK659" s="564"/>
      <c r="AL659" s="564"/>
      <c r="AM659" s="564"/>
      <c r="AN659" s="564"/>
      <c r="AO659" s="564"/>
    </row>
    <row r="660" spans="2:41" x14ac:dyDescent="0.15">
      <c r="B660" s="565">
        <v>-14</v>
      </c>
      <c r="C660" s="564"/>
      <c r="D660" s="564"/>
      <c r="E660" s="564"/>
      <c r="F660" s="564"/>
      <c r="G660" s="564"/>
      <c r="H660" s="564"/>
      <c r="I660" s="564"/>
      <c r="J660" s="564"/>
      <c r="K660" s="564"/>
      <c r="L660" s="564"/>
      <c r="M660" s="564"/>
      <c r="N660" s="564"/>
      <c r="O660" s="564"/>
      <c r="P660" s="564"/>
      <c r="Q660" s="564"/>
      <c r="R660" s="564"/>
      <c r="S660" s="564"/>
      <c r="T660" s="564"/>
      <c r="U660" s="564"/>
      <c r="V660" s="564"/>
      <c r="W660" s="564"/>
      <c r="X660" s="564"/>
      <c r="Y660" s="564"/>
      <c r="Z660" s="564"/>
      <c r="AA660" s="564"/>
      <c r="AB660" s="564"/>
      <c r="AC660" s="564"/>
      <c r="AD660" s="564"/>
      <c r="AE660" s="564"/>
      <c r="AF660" s="564"/>
      <c r="AG660" s="564"/>
      <c r="AH660" s="564"/>
      <c r="AI660" s="564"/>
      <c r="AJ660" s="564"/>
      <c r="AK660" s="564"/>
      <c r="AL660" s="564"/>
      <c r="AM660" s="564"/>
      <c r="AN660" s="564"/>
      <c r="AO660" s="564"/>
    </row>
    <row r="661" spans="2:41" x14ac:dyDescent="0.15">
      <c r="B661" s="565">
        <v>-13</v>
      </c>
      <c r="C661" s="564"/>
      <c r="D661" s="564"/>
      <c r="E661" s="564"/>
      <c r="F661" s="564"/>
      <c r="G661" s="564"/>
      <c r="H661" s="564"/>
      <c r="I661" s="564"/>
      <c r="J661" s="564"/>
      <c r="K661" s="564"/>
      <c r="L661" s="564"/>
      <c r="M661" s="564"/>
      <c r="N661" s="564"/>
      <c r="O661" s="564"/>
      <c r="P661" s="564"/>
      <c r="Q661" s="564"/>
      <c r="R661" s="564"/>
      <c r="S661" s="564"/>
      <c r="T661" s="564"/>
      <c r="U661" s="564"/>
      <c r="V661" s="564"/>
      <c r="W661" s="564"/>
      <c r="X661" s="564"/>
      <c r="Y661" s="564"/>
      <c r="Z661" s="564"/>
      <c r="AA661" s="564"/>
      <c r="AB661" s="564"/>
      <c r="AC661" s="564"/>
      <c r="AD661" s="564"/>
      <c r="AE661" s="564"/>
      <c r="AF661" s="564"/>
      <c r="AG661" s="564"/>
      <c r="AH661" s="564"/>
      <c r="AI661" s="564"/>
      <c r="AJ661" s="564"/>
      <c r="AK661" s="564"/>
      <c r="AL661" s="564"/>
      <c r="AM661" s="564"/>
      <c r="AN661" s="564"/>
      <c r="AO661" s="564"/>
    </row>
    <row r="662" spans="2:41" x14ac:dyDescent="0.15">
      <c r="B662" s="565">
        <v>-12</v>
      </c>
      <c r="C662" s="564"/>
      <c r="D662" s="564"/>
      <c r="E662" s="564"/>
      <c r="F662" s="564"/>
      <c r="G662" s="564"/>
      <c r="H662" s="564"/>
      <c r="I662" s="564"/>
      <c r="J662" s="564"/>
      <c r="K662" s="564"/>
      <c r="L662" s="564"/>
      <c r="M662" s="564"/>
      <c r="N662" s="564"/>
      <c r="O662" s="564"/>
      <c r="P662" s="564"/>
      <c r="Q662" s="564"/>
      <c r="R662" s="564"/>
      <c r="S662" s="564"/>
      <c r="T662" s="564"/>
      <c r="U662" s="564"/>
      <c r="V662" s="564"/>
      <c r="W662" s="564"/>
      <c r="X662" s="564"/>
      <c r="Y662" s="564"/>
      <c r="Z662" s="564"/>
      <c r="AA662" s="564"/>
      <c r="AB662" s="564"/>
      <c r="AC662" s="564"/>
      <c r="AD662" s="564"/>
      <c r="AE662" s="564"/>
      <c r="AF662" s="564"/>
      <c r="AG662" s="564"/>
      <c r="AH662" s="564"/>
      <c r="AI662" s="564"/>
      <c r="AJ662" s="564"/>
      <c r="AK662" s="564"/>
      <c r="AL662" s="564"/>
      <c r="AM662" s="564"/>
      <c r="AN662" s="564"/>
      <c r="AO662" s="564"/>
    </row>
    <row r="663" spans="2:41" x14ac:dyDescent="0.15">
      <c r="B663" s="565">
        <v>-11</v>
      </c>
      <c r="C663" s="564"/>
      <c r="D663" s="564"/>
      <c r="E663" s="564"/>
      <c r="F663" s="564"/>
      <c r="G663" s="564"/>
      <c r="H663" s="564"/>
      <c r="I663" s="564"/>
      <c r="J663" s="564"/>
      <c r="K663" s="564"/>
      <c r="L663" s="564"/>
      <c r="M663" s="564"/>
      <c r="N663" s="564"/>
      <c r="O663" s="564"/>
      <c r="P663" s="564"/>
      <c r="Q663" s="564"/>
      <c r="R663" s="564"/>
      <c r="S663" s="564"/>
      <c r="T663" s="564"/>
      <c r="U663" s="564"/>
      <c r="V663" s="564"/>
      <c r="W663" s="564"/>
      <c r="X663" s="564"/>
      <c r="Y663" s="564"/>
      <c r="Z663" s="564"/>
      <c r="AA663" s="564"/>
      <c r="AB663" s="564"/>
      <c r="AC663" s="564"/>
      <c r="AD663" s="564"/>
      <c r="AE663" s="564"/>
      <c r="AF663" s="564"/>
      <c r="AG663" s="564"/>
      <c r="AH663" s="564"/>
      <c r="AI663" s="564"/>
      <c r="AJ663" s="564"/>
      <c r="AK663" s="564"/>
      <c r="AL663" s="564"/>
      <c r="AM663" s="564"/>
      <c r="AN663" s="564"/>
      <c r="AO663" s="564"/>
    </row>
    <row r="664" spans="2:41" x14ac:dyDescent="0.15">
      <c r="B664" s="565">
        <v>-10</v>
      </c>
      <c r="C664" s="564"/>
      <c r="D664" s="564"/>
      <c r="E664" s="564"/>
      <c r="F664" s="564"/>
      <c r="G664" s="564"/>
      <c r="H664" s="564"/>
      <c r="I664" s="564"/>
      <c r="J664" s="564"/>
      <c r="K664" s="564"/>
      <c r="L664" s="564"/>
      <c r="M664" s="564"/>
      <c r="N664" s="564"/>
      <c r="O664" s="564"/>
      <c r="P664" s="564"/>
      <c r="Q664" s="564"/>
      <c r="R664" s="564"/>
      <c r="S664" s="564"/>
      <c r="T664" s="564"/>
      <c r="U664" s="564"/>
      <c r="V664" s="564"/>
      <c r="W664" s="564"/>
      <c r="X664" s="564"/>
      <c r="Y664" s="564"/>
      <c r="Z664" s="564"/>
      <c r="AA664" s="564"/>
      <c r="AB664" s="564"/>
      <c r="AC664" s="564"/>
      <c r="AD664" s="564"/>
      <c r="AE664" s="564"/>
      <c r="AF664" s="564"/>
      <c r="AG664" s="564"/>
      <c r="AH664" s="564"/>
      <c r="AI664" s="564"/>
      <c r="AJ664" s="564"/>
      <c r="AK664" s="564"/>
      <c r="AL664" s="564"/>
      <c r="AM664" s="564"/>
      <c r="AN664" s="564"/>
      <c r="AO664" s="564"/>
    </row>
    <row r="665" spans="2:41" x14ac:dyDescent="0.15">
      <c r="B665" s="565">
        <v>-9</v>
      </c>
      <c r="C665" s="564"/>
      <c r="D665" s="564"/>
      <c r="E665" s="564"/>
      <c r="F665" s="564"/>
      <c r="G665" s="564"/>
      <c r="H665" s="564"/>
      <c r="I665" s="564"/>
      <c r="J665" s="564"/>
      <c r="K665" s="564"/>
      <c r="L665" s="564"/>
      <c r="M665" s="564"/>
      <c r="N665" s="564"/>
      <c r="O665" s="564"/>
      <c r="P665" s="564"/>
      <c r="Q665" s="564"/>
      <c r="R665" s="564"/>
      <c r="S665" s="564"/>
      <c r="T665" s="564"/>
      <c r="U665" s="564"/>
      <c r="V665" s="564"/>
      <c r="W665" s="564"/>
      <c r="X665" s="564"/>
      <c r="Y665" s="564"/>
      <c r="Z665" s="564"/>
      <c r="AA665" s="564"/>
      <c r="AB665" s="564"/>
      <c r="AC665" s="564"/>
      <c r="AD665" s="564"/>
      <c r="AE665" s="564"/>
      <c r="AF665" s="564"/>
      <c r="AG665" s="564"/>
      <c r="AH665" s="564"/>
      <c r="AI665" s="564"/>
      <c r="AJ665" s="564"/>
      <c r="AK665" s="564"/>
      <c r="AL665" s="564"/>
      <c r="AM665" s="564"/>
      <c r="AN665" s="564"/>
      <c r="AO665" s="564"/>
    </row>
    <row r="666" spans="2:41" x14ac:dyDescent="0.15">
      <c r="B666" s="565">
        <v>-8</v>
      </c>
      <c r="C666" s="564"/>
      <c r="D666" s="564"/>
      <c r="E666" s="564"/>
      <c r="F666" s="564"/>
      <c r="G666" s="564"/>
      <c r="H666" s="564"/>
      <c r="I666" s="564"/>
      <c r="J666" s="564"/>
      <c r="K666" s="564"/>
      <c r="L666" s="564"/>
      <c r="M666" s="564"/>
      <c r="N666" s="564"/>
      <c r="O666" s="564"/>
      <c r="P666" s="564"/>
      <c r="Q666" s="564"/>
      <c r="R666" s="564"/>
      <c r="S666" s="564"/>
      <c r="T666" s="564"/>
      <c r="U666" s="564"/>
      <c r="V666" s="564"/>
      <c r="W666" s="564"/>
      <c r="X666" s="564"/>
      <c r="Y666" s="564"/>
      <c r="Z666" s="564"/>
      <c r="AA666" s="564"/>
      <c r="AB666" s="564"/>
      <c r="AC666" s="564"/>
      <c r="AD666" s="564"/>
      <c r="AE666" s="564"/>
      <c r="AF666" s="564"/>
      <c r="AG666" s="564"/>
      <c r="AH666" s="564"/>
      <c r="AI666" s="564"/>
      <c r="AJ666" s="564"/>
      <c r="AK666" s="564"/>
      <c r="AL666" s="564"/>
      <c r="AM666" s="564"/>
      <c r="AN666" s="564"/>
      <c r="AO666" s="564"/>
    </row>
    <row r="667" spans="2:41" x14ac:dyDescent="0.15">
      <c r="B667" s="565">
        <v>-7</v>
      </c>
      <c r="C667" s="564"/>
      <c r="D667" s="564"/>
      <c r="E667" s="564"/>
      <c r="F667" s="564"/>
      <c r="G667" s="564"/>
      <c r="H667" s="564"/>
      <c r="I667" s="564"/>
      <c r="J667" s="564"/>
      <c r="K667" s="564"/>
      <c r="L667" s="564"/>
      <c r="M667" s="564"/>
      <c r="N667" s="564"/>
      <c r="O667" s="564"/>
      <c r="P667" s="564"/>
      <c r="Q667" s="564"/>
      <c r="R667" s="564"/>
      <c r="S667" s="564"/>
      <c r="T667" s="564"/>
      <c r="U667" s="564"/>
      <c r="V667" s="564"/>
      <c r="W667" s="564"/>
      <c r="X667" s="564"/>
      <c r="Y667" s="564"/>
      <c r="Z667" s="564"/>
      <c r="AA667" s="564"/>
      <c r="AB667" s="564"/>
      <c r="AC667" s="564"/>
      <c r="AD667" s="564"/>
      <c r="AE667" s="564"/>
      <c r="AF667" s="564"/>
      <c r="AG667" s="564"/>
      <c r="AH667" s="564"/>
      <c r="AI667" s="564"/>
      <c r="AJ667" s="564"/>
      <c r="AK667" s="564"/>
      <c r="AL667" s="564"/>
      <c r="AM667" s="564"/>
      <c r="AN667" s="564"/>
      <c r="AO667" s="564"/>
    </row>
    <row r="668" spans="2:41" x14ac:dyDescent="0.15">
      <c r="B668" s="565">
        <v>-6</v>
      </c>
      <c r="C668" s="564"/>
      <c r="D668" s="564"/>
      <c r="E668" s="564"/>
      <c r="F668" s="564"/>
      <c r="G668" s="564"/>
      <c r="H668" s="564"/>
      <c r="I668" s="564"/>
      <c r="J668" s="564"/>
      <c r="K668" s="564"/>
      <c r="L668" s="564"/>
      <c r="M668" s="564"/>
      <c r="N668" s="564"/>
      <c r="O668" s="564"/>
      <c r="P668" s="564"/>
      <c r="Q668" s="564"/>
      <c r="R668" s="564"/>
      <c r="S668" s="564"/>
      <c r="T668" s="564"/>
      <c r="U668" s="564"/>
      <c r="V668" s="564"/>
      <c r="W668" s="564"/>
      <c r="X668" s="564"/>
      <c r="Y668" s="564"/>
      <c r="Z668" s="564"/>
      <c r="AA668" s="564"/>
      <c r="AB668" s="564"/>
      <c r="AC668" s="564"/>
      <c r="AD668" s="564"/>
      <c r="AE668" s="564"/>
      <c r="AF668" s="564"/>
      <c r="AG668" s="564"/>
      <c r="AH668" s="564"/>
      <c r="AI668" s="564"/>
      <c r="AJ668" s="564"/>
      <c r="AK668" s="564"/>
      <c r="AL668" s="564"/>
      <c r="AM668" s="564"/>
      <c r="AN668" s="564"/>
      <c r="AO668" s="564"/>
    </row>
    <row r="669" spans="2:41" x14ac:dyDescent="0.15">
      <c r="B669" s="565">
        <v>-5</v>
      </c>
      <c r="C669" s="564"/>
      <c r="D669" s="564"/>
      <c r="E669" s="564"/>
      <c r="F669" s="564"/>
      <c r="G669" s="564"/>
      <c r="H669" s="564"/>
      <c r="I669" s="564"/>
      <c r="J669" s="564"/>
      <c r="K669" s="564"/>
      <c r="L669" s="564"/>
      <c r="M669" s="564"/>
      <c r="N669" s="564"/>
      <c r="O669" s="564"/>
      <c r="P669" s="564"/>
      <c r="Q669" s="564"/>
      <c r="R669" s="564"/>
      <c r="S669" s="564"/>
      <c r="T669" s="564"/>
      <c r="U669" s="564"/>
      <c r="V669" s="564"/>
      <c r="W669" s="564"/>
      <c r="X669" s="564"/>
      <c r="Y669" s="564"/>
      <c r="Z669" s="564"/>
      <c r="AA669" s="564"/>
      <c r="AB669" s="564"/>
      <c r="AC669" s="564"/>
      <c r="AD669" s="564"/>
      <c r="AE669" s="564"/>
      <c r="AF669" s="564"/>
      <c r="AG669" s="564"/>
      <c r="AH669" s="564"/>
      <c r="AI669" s="564"/>
      <c r="AJ669" s="564"/>
      <c r="AK669" s="564"/>
      <c r="AL669" s="564"/>
      <c r="AM669" s="564"/>
      <c r="AN669" s="564"/>
      <c r="AO669" s="564"/>
    </row>
    <row r="670" spans="2:41" x14ac:dyDescent="0.15">
      <c r="B670" s="565">
        <v>-4</v>
      </c>
      <c r="C670" s="564"/>
      <c r="D670" s="564"/>
      <c r="E670" s="564"/>
      <c r="F670" s="564"/>
      <c r="G670" s="564"/>
      <c r="H670" s="564"/>
      <c r="I670" s="564"/>
      <c r="J670" s="564"/>
      <c r="K670" s="564"/>
      <c r="L670" s="564"/>
      <c r="M670" s="564"/>
      <c r="N670" s="564"/>
      <c r="O670" s="564"/>
      <c r="P670" s="564"/>
      <c r="Q670" s="564"/>
      <c r="R670" s="564"/>
      <c r="S670" s="564"/>
      <c r="T670" s="564"/>
      <c r="U670" s="564"/>
      <c r="V670" s="564"/>
      <c r="W670" s="564"/>
      <c r="X670" s="564"/>
      <c r="Y670" s="564"/>
      <c r="Z670" s="564"/>
      <c r="AA670" s="564"/>
      <c r="AB670" s="564"/>
      <c r="AC670" s="564"/>
      <c r="AD670" s="564"/>
      <c r="AE670" s="564"/>
      <c r="AF670" s="564"/>
      <c r="AG670" s="564"/>
      <c r="AH670" s="564"/>
      <c r="AI670" s="564"/>
      <c r="AJ670" s="564"/>
      <c r="AK670" s="564"/>
      <c r="AL670" s="564"/>
      <c r="AM670" s="564"/>
      <c r="AN670" s="564"/>
      <c r="AO670" s="564"/>
    </row>
    <row r="671" spans="2:41" x14ac:dyDescent="0.15">
      <c r="B671" s="565">
        <v>-3</v>
      </c>
      <c r="C671" s="564"/>
      <c r="D671" s="564"/>
      <c r="E671" s="564"/>
      <c r="F671" s="564"/>
      <c r="G671" s="564"/>
      <c r="H671" s="564"/>
      <c r="I671" s="564"/>
      <c r="J671" s="564"/>
      <c r="K671" s="564"/>
      <c r="L671" s="564"/>
      <c r="M671" s="564"/>
      <c r="N671" s="564"/>
      <c r="O671" s="564"/>
      <c r="P671" s="564"/>
      <c r="Q671" s="564"/>
      <c r="R671" s="564"/>
      <c r="S671" s="564"/>
      <c r="T671" s="564"/>
      <c r="U671" s="564"/>
      <c r="V671" s="564"/>
      <c r="W671" s="564"/>
      <c r="X671" s="564"/>
      <c r="Y671" s="564"/>
      <c r="Z671" s="564"/>
      <c r="AA671" s="564"/>
      <c r="AB671" s="564"/>
      <c r="AC671" s="564"/>
      <c r="AD671" s="564"/>
      <c r="AE671" s="564"/>
      <c r="AF671" s="564"/>
      <c r="AG671" s="564"/>
      <c r="AH671" s="564"/>
      <c r="AI671" s="564"/>
      <c r="AJ671" s="564"/>
      <c r="AK671" s="564"/>
      <c r="AL671" s="564"/>
      <c r="AM671" s="564"/>
      <c r="AN671" s="564"/>
      <c r="AO671" s="564"/>
    </row>
    <row r="672" spans="2:41" x14ac:dyDescent="0.15">
      <c r="B672" s="565">
        <v>-2</v>
      </c>
      <c r="C672" s="564"/>
      <c r="D672" s="564"/>
      <c r="E672" s="564"/>
      <c r="F672" s="564"/>
      <c r="G672" s="564"/>
      <c r="H672" s="564"/>
      <c r="I672" s="564"/>
      <c r="J672" s="564"/>
      <c r="K672" s="564"/>
      <c r="L672" s="564"/>
      <c r="M672" s="564"/>
      <c r="N672" s="564"/>
      <c r="O672" s="564"/>
      <c r="P672" s="564"/>
      <c r="Q672" s="564"/>
      <c r="R672" s="564"/>
      <c r="S672" s="564"/>
      <c r="T672" s="564"/>
      <c r="U672" s="564"/>
      <c r="V672" s="564"/>
      <c r="W672" s="564"/>
      <c r="X672" s="564"/>
      <c r="Y672" s="564"/>
      <c r="Z672" s="564"/>
      <c r="AA672" s="564"/>
      <c r="AB672" s="564"/>
      <c r="AC672" s="564"/>
      <c r="AD672" s="564"/>
      <c r="AE672" s="564"/>
      <c r="AF672" s="564"/>
      <c r="AG672" s="564"/>
      <c r="AH672" s="564"/>
      <c r="AI672" s="564"/>
      <c r="AJ672" s="564"/>
      <c r="AK672" s="564"/>
      <c r="AL672" s="564"/>
      <c r="AM672" s="564"/>
      <c r="AN672" s="564"/>
      <c r="AO672" s="564"/>
    </row>
    <row r="673" spans="2:41" x14ac:dyDescent="0.15">
      <c r="B673" s="565">
        <v>-1</v>
      </c>
      <c r="C673" s="564"/>
      <c r="D673" s="564"/>
      <c r="E673" s="564"/>
      <c r="F673" s="564"/>
      <c r="G673" s="564"/>
      <c r="H673" s="564"/>
      <c r="I673" s="564"/>
      <c r="J673" s="564"/>
      <c r="K673" s="564"/>
      <c r="L673" s="564"/>
      <c r="M673" s="564"/>
      <c r="N673" s="564"/>
      <c r="O673" s="564"/>
      <c r="P673" s="564"/>
      <c r="Q673" s="564"/>
      <c r="R673" s="564"/>
      <c r="S673" s="564"/>
      <c r="T673" s="564"/>
      <c r="U673" s="564"/>
      <c r="V673" s="564"/>
      <c r="W673" s="564"/>
      <c r="X673" s="564"/>
      <c r="Y673" s="564"/>
      <c r="Z673" s="564"/>
      <c r="AA673" s="564"/>
      <c r="AB673" s="564"/>
      <c r="AC673" s="564"/>
      <c r="AD673" s="564"/>
      <c r="AE673" s="564"/>
      <c r="AF673" s="564"/>
      <c r="AG673" s="564"/>
      <c r="AH673" s="564"/>
      <c r="AI673" s="564"/>
      <c r="AJ673" s="564"/>
      <c r="AK673" s="564"/>
      <c r="AL673" s="564"/>
      <c r="AM673" s="564"/>
      <c r="AN673" s="564"/>
      <c r="AO673" s="564"/>
    </row>
    <row r="674" spans="2:41" x14ac:dyDescent="0.15">
      <c r="B674" s="565">
        <v>0</v>
      </c>
      <c r="C674" s="564"/>
      <c r="D674" s="564"/>
      <c r="E674" s="564"/>
      <c r="F674" s="564"/>
      <c r="G674" s="564"/>
      <c r="H674" s="564"/>
      <c r="I674" s="564"/>
      <c r="J674" s="564"/>
      <c r="K674" s="564"/>
      <c r="L674" s="564"/>
      <c r="M674" s="564"/>
      <c r="N674" s="564"/>
      <c r="O674" s="564"/>
      <c r="P674" s="564"/>
      <c r="Q674" s="564"/>
      <c r="R674" s="564"/>
      <c r="S674" s="564"/>
      <c r="T674" s="564"/>
      <c r="U674" s="564"/>
      <c r="V674" s="564"/>
      <c r="W674" s="564"/>
      <c r="X674" s="564"/>
      <c r="Y674" s="564"/>
      <c r="Z674" s="564"/>
      <c r="AA674" s="564"/>
      <c r="AB674" s="564"/>
      <c r="AC674" s="564"/>
      <c r="AD674" s="564"/>
      <c r="AE674" s="564"/>
      <c r="AF674" s="564"/>
      <c r="AG674" s="564"/>
      <c r="AH674" s="564"/>
      <c r="AI674" s="564"/>
      <c r="AJ674" s="564"/>
      <c r="AK674" s="564"/>
      <c r="AL674" s="564"/>
      <c r="AM674" s="564"/>
      <c r="AN674" s="564"/>
      <c r="AO674" s="564"/>
    </row>
    <row r="675" spans="2:41" x14ac:dyDescent="0.15">
      <c r="B675" s="565">
        <v>1</v>
      </c>
      <c r="C675" s="564"/>
      <c r="D675" s="564"/>
      <c r="E675" s="564"/>
      <c r="F675" s="564"/>
      <c r="G675" s="564"/>
      <c r="H675" s="564"/>
      <c r="I675" s="564"/>
      <c r="J675" s="564"/>
      <c r="K675" s="564"/>
      <c r="L675" s="564"/>
      <c r="M675" s="564"/>
      <c r="N675" s="564"/>
      <c r="O675" s="564"/>
      <c r="P675" s="564"/>
      <c r="Q675" s="564"/>
      <c r="R675" s="564"/>
      <c r="S675" s="564"/>
      <c r="T675" s="564"/>
      <c r="U675" s="564"/>
      <c r="V675" s="564"/>
      <c r="W675" s="564"/>
      <c r="X675" s="564"/>
      <c r="Y675" s="564"/>
      <c r="Z675" s="564"/>
      <c r="AA675" s="564"/>
      <c r="AB675" s="564"/>
      <c r="AC675" s="564"/>
      <c r="AD675" s="564"/>
      <c r="AE675" s="564"/>
      <c r="AF675" s="564"/>
      <c r="AG675" s="564"/>
      <c r="AH675" s="564"/>
      <c r="AI675" s="564"/>
      <c r="AJ675" s="564"/>
      <c r="AK675" s="564"/>
      <c r="AL675" s="564"/>
      <c r="AM675" s="564"/>
      <c r="AN675" s="564"/>
      <c r="AO675" s="564"/>
    </row>
    <row r="676" spans="2:41" x14ac:dyDescent="0.15">
      <c r="B676" s="565">
        <v>2</v>
      </c>
      <c r="C676" s="564"/>
      <c r="D676" s="564"/>
      <c r="E676" s="564"/>
      <c r="F676" s="564"/>
      <c r="G676" s="564"/>
      <c r="H676" s="564"/>
      <c r="I676" s="564"/>
      <c r="J676" s="564"/>
      <c r="K676" s="564"/>
      <c r="L676" s="564"/>
      <c r="M676" s="564"/>
      <c r="N676" s="564"/>
      <c r="O676" s="564"/>
      <c r="P676" s="564"/>
      <c r="Q676" s="564"/>
      <c r="R676" s="564"/>
      <c r="S676" s="564"/>
      <c r="T676" s="564"/>
      <c r="U676" s="564"/>
      <c r="V676" s="564"/>
      <c r="W676" s="564"/>
      <c r="X676" s="564"/>
      <c r="Y676" s="564"/>
      <c r="Z676" s="564"/>
      <c r="AA676" s="564"/>
      <c r="AB676" s="564"/>
      <c r="AC676" s="564"/>
      <c r="AD676" s="564"/>
      <c r="AE676" s="564"/>
      <c r="AF676" s="564"/>
      <c r="AG676" s="564"/>
      <c r="AH676" s="564"/>
      <c r="AI676" s="564"/>
      <c r="AJ676" s="564"/>
      <c r="AK676" s="564"/>
      <c r="AL676" s="564"/>
      <c r="AM676" s="564"/>
      <c r="AN676" s="564"/>
      <c r="AO676" s="564"/>
    </row>
    <row r="677" spans="2:41" x14ac:dyDescent="0.15">
      <c r="B677" s="565">
        <v>3</v>
      </c>
      <c r="C677" s="564"/>
      <c r="D677" s="564"/>
      <c r="E677" s="564"/>
      <c r="F677" s="564"/>
      <c r="G677" s="564"/>
      <c r="H677" s="564"/>
      <c r="I677" s="564"/>
      <c r="J677" s="564"/>
      <c r="K677" s="564"/>
      <c r="L677" s="564"/>
      <c r="M677" s="564"/>
      <c r="N677" s="564"/>
      <c r="O677" s="564"/>
      <c r="P677" s="564"/>
      <c r="Q677" s="564"/>
      <c r="R677" s="564"/>
      <c r="S677" s="564"/>
      <c r="T677" s="564"/>
      <c r="U677" s="564"/>
      <c r="V677" s="564"/>
      <c r="W677" s="564"/>
      <c r="X677" s="564"/>
      <c r="Y677" s="564"/>
      <c r="Z677" s="564"/>
      <c r="AA677" s="564"/>
      <c r="AB677" s="564"/>
      <c r="AC677" s="564"/>
      <c r="AD677" s="564"/>
      <c r="AE677" s="564"/>
      <c r="AF677" s="564"/>
      <c r="AG677" s="564"/>
      <c r="AH677" s="564"/>
      <c r="AI677" s="564"/>
      <c r="AJ677" s="564"/>
      <c r="AK677" s="564"/>
      <c r="AL677" s="564"/>
      <c r="AM677" s="564"/>
      <c r="AN677" s="564"/>
      <c r="AO677" s="564"/>
    </row>
    <row r="678" spans="2:41" x14ac:dyDescent="0.15">
      <c r="B678" s="565">
        <v>4</v>
      </c>
      <c r="C678" s="564"/>
      <c r="D678" s="564"/>
      <c r="E678" s="564"/>
      <c r="F678" s="564"/>
      <c r="G678" s="564"/>
      <c r="H678" s="564"/>
      <c r="I678" s="564"/>
      <c r="J678" s="564"/>
      <c r="K678" s="564"/>
      <c r="L678" s="564"/>
      <c r="M678" s="564"/>
      <c r="N678" s="564"/>
      <c r="O678" s="564"/>
      <c r="P678" s="564"/>
      <c r="Q678" s="564"/>
      <c r="R678" s="564"/>
      <c r="S678" s="564"/>
      <c r="T678" s="564"/>
      <c r="U678" s="564"/>
      <c r="V678" s="564"/>
      <c r="W678" s="564"/>
      <c r="X678" s="564"/>
      <c r="Y678" s="564"/>
      <c r="Z678" s="564"/>
      <c r="AA678" s="564"/>
      <c r="AB678" s="564"/>
      <c r="AC678" s="564"/>
      <c r="AD678" s="564"/>
      <c r="AE678" s="564"/>
      <c r="AF678" s="564"/>
      <c r="AG678" s="564"/>
      <c r="AH678" s="564"/>
      <c r="AI678" s="564"/>
      <c r="AJ678" s="564"/>
      <c r="AK678" s="564"/>
      <c r="AL678" s="564"/>
      <c r="AM678" s="564"/>
      <c r="AN678" s="564"/>
      <c r="AO678" s="564"/>
    </row>
    <row r="679" spans="2:41" x14ac:dyDescent="0.15">
      <c r="B679" s="565">
        <v>5</v>
      </c>
      <c r="C679" s="564"/>
      <c r="D679" s="564"/>
      <c r="E679" s="564"/>
      <c r="F679" s="564"/>
      <c r="G679" s="564"/>
      <c r="H679" s="564"/>
      <c r="I679" s="564"/>
      <c r="J679" s="564"/>
      <c r="K679" s="564"/>
      <c r="L679" s="564"/>
      <c r="M679" s="564"/>
      <c r="N679" s="564"/>
      <c r="O679" s="564"/>
      <c r="P679" s="564"/>
      <c r="Q679" s="564"/>
      <c r="R679" s="564"/>
      <c r="S679" s="564"/>
      <c r="T679" s="564"/>
      <c r="U679" s="564"/>
      <c r="V679" s="564"/>
      <c r="W679" s="564"/>
      <c r="X679" s="564"/>
      <c r="Y679" s="564"/>
      <c r="Z679" s="564"/>
      <c r="AA679" s="564"/>
      <c r="AB679" s="564"/>
      <c r="AC679" s="564"/>
      <c r="AD679" s="564"/>
      <c r="AE679" s="564"/>
      <c r="AF679" s="564"/>
      <c r="AG679" s="564"/>
      <c r="AH679" s="564"/>
      <c r="AI679" s="564"/>
      <c r="AJ679" s="564"/>
      <c r="AK679" s="564"/>
      <c r="AL679" s="564"/>
      <c r="AM679" s="564"/>
      <c r="AN679" s="564"/>
      <c r="AO679" s="564"/>
    </row>
    <row r="680" spans="2:41" x14ac:dyDescent="0.15">
      <c r="B680" s="565">
        <v>6</v>
      </c>
      <c r="C680" s="564"/>
      <c r="D680" s="564"/>
      <c r="E680" s="564"/>
      <c r="F680" s="564"/>
      <c r="G680" s="564"/>
      <c r="H680" s="564"/>
      <c r="I680" s="564"/>
      <c r="J680" s="564"/>
      <c r="K680" s="564"/>
      <c r="L680" s="564"/>
      <c r="M680" s="564"/>
      <c r="N680" s="564"/>
      <c r="O680" s="564"/>
      <c r="P680" s="564"/>
      <c r="Q680" s="564"/>
      <c r="R680" s="564"/>
      <c r="S680" s="564"/>
      <c r="T680" s="564"/>
      <c r="U680" s="564"/>
      <c r="V680" s="564"/>
      <c r="W680" s="564"/>
      <c r="X680" s="564"/>
      <c r="Y680" s="564"/>
      <c r="Z680" s="564"/>
      <c r="AA680" s="564"/>
      <c r="AB680" s="564"/>
      <c r="AC680" s="564"/>
      <c r="AD680" s="564"/>
      <c r="AE680" s="564"/>
      <c r="AF680" s="564"/>
      <c r="AG680" s="564"/>
      <c r="AH680" s="564"/>
      <c r="AI680" s="564"/>
      <c r="AJ680" s="564"/>
      <c r="AK680" s="564"/>
      <c r="AL680" s="564"/>
      <c r="AM680" s="564"/>
      <c r="AN680" s="564"/>
      <c r="AO680" s="564"/>
    </row>
    <row r="681" spans="2:41" x14ac:dyDescent="0.15">
      <c r="B681" s="565">
        <v>7</v>
      </c>
      <c r="C681" s="564"/>
      <c r="D681" s="564"/>
      <c r="E681" s="564"/>
      <c r="F681" s="564"/>
      <c r="G681" s="564"/>
      <c r="H681" s="564"/>
      <c r="I681" s="564"/>
      <c r="J681" s="564"/>
      <c r="K681" s="564"/>
      <c r="L681" s="564"/>
      <c r="M681" s="564"/>
      <c r="N681" s="564"/>
      <c r="O681" s="564"/>
      <c r="P681" s="564"/>
      <c r="Q681" s="564"/>
      <c r="R681" s="564"/>
      <c r="S681" s="564"/>
      <c r="T681" s="564"/>
      <c r="U681" s="564"/>
      <c r="V681" s="564"/>
      <c r="W681" s="564"/>
      <c r="X681" s="564"/>
      <c r="Y681" s="564"/>
      <c r="Z681" s="564"/>
      <c r="AA681" s="564"/>
      <c r="AB681" s="564"/>
      <c r="AC681" s="564"/>
      <c r="AD681" s="564"/>
      <c r="AE681" s="564"/>
      <c r="AF681" s="564"/>
      <c r="AG681" s="564"/>
      <c r="AH681" s="564"/>
      <c r="AI681" s="564"/>
      <c r="AJ681" s="564"/>
      <c r="AK681" s="564"/>
      <c r="AL681" s="564"/>
      <c r="AM681" s="564"/>
      <c r="AN681" s="564"/>
      <c r="AO681" s="564"/>
    </row>
    <row r="682" spans="2:41" x14ac:dyDescent="0.15">
      <c r="B682" s="565">
        <v>8</v>
      </c>
      <c r="C682" s="564"/>
      <c r="D682" s="564"/>
      <c r="E682" s="564"/>
      <c r="F682" s="564"/>
      <c r="G682" s="564"/>
      <c r="H682" s="564"/>
      <c r="I682" s="564"/>
      <c r="J682" s="564"/>
      <c r="K682" s="564"/>
      <c r="L682" s="564"/>
      <c r="M682" s="564"/>
      <c r="N682" s="564"/>
      <c r="O682" s="564"/>
      <c r="P682" s="564"/>
      <c r="Q682" s="564"/>
      <c r="R682" s="564"/>
      <c r="S682" s="564"/>
      <c r="T682" s="564"/>
      <c r="U682" s="564"/>
      <c r="V682" s="564"/>
      <c r="W682" s="564"/>
      <c r="X682" s="564"/>
      <c r="Y682" s="564"/>
      <c r="Z682" s="564"/>
      <c r="AA682" s="564"/>
      <c r="AB682" s="564"/>
      <c r="AC682" s="564"/>
      <c r="AD682" s="564"/>
      <c r="AE682" s="564"/>
      <c r="AF682" s="564"/>
      <c r="AG682" s="564"/>
      <c r="AH682" s="564"/>
      <c r="AI682" s="564"/>
      <c r="AJ682" s="564"/>
      <c r="AK682" s="564"/>
      <c r="AL682" s="564"/>
      <c r="AM682" s="564"/>
      <c r="AN682" s="564"/>
      <c r="AO682" s="564"/>
    </row>
    <row r="683" spans="2:41" x14ac:dyDescent="0.15">
      <c r="B683" s="565">
        <v>9</v>
      </c>
      <c r="C683" s="564"/>
      <c r="D683" s="564"/>
      <c r="E683" s="564"/>
      <c r="F683" s="564"/>
      <c r="G683" s="564"/>
      <c r="H683" s="564"/>
      <c r="I683" s="564"/>
      <c r="J683" s="564"/>
      <c r="K683" s="564"/>
      <c r="L683" s="564"/>
      <c r="M683" s="564"/>
      <c r="N683" s="564"/>
      <c r="O683" s="564"/>
      <c r="P683" s="564"/>
      <c r="Q683" s="564"/>
      <c r="R683" s="564"/>
      <c r="S683" s="564"/>
      <c r="T683" s="564"/>
      <c r="U683" s="564"/>
      <c r="V683" s="564"/>
      <c r="W683" s="564"/>
      <c r="X683" s="564"/>
      <c r="Y683" s="564"/>
      <c r="Z683" s="564"/>
      <c r="AA683" s="564"/>
      <c r="AB683" s="564"/>
      <c r="AC683" s="564"/>
      <c r="AD683" s="564"/>
      <c r="AE683" s="564"/>
      <c r="AF683" s="564"/>
      <c r="AG683" s="564"/>
      <c r="AH683" s="564"/>
      <c r="AI683" s="564"/>
      <c r="AJ683" s="564"/>
      <c r="AK683" s="564"/>
      <c r="AL683" s="564"/>
      <c r="AM683" s="564"/>
      <c r="AN683" s="564"/>
      <c r="AO683" s="564"/>
    </row>
    <row r="684" spans="2:41" x14ac:dyDescent="0.15">
      <c r="B684" s="565">
        <v>10</v>
      </c>
      <c r="C684" s="564"/>
      <c r="D684" s="564"/>
      <c r="E684" s="564"/>
      <c r="F684" s="564"/>
      <c r="G684" s="564"/>
      <c r="H684" s="564"/>
      <c r="I684" s="564"/>
      <c r="J684" s="564"/>
      <c r="K684" s="564"/>
      <c r="L684" s="564"/>
      <c r="M684" s="564"/>
      <c r="N684" s="564"/>
      <c r="O684" s="564"/>
      <c r="P684" s="564"/>
      <c r="Q684" s="564"/>
      <c r="R684" s="564"/>
      <c r="S684" s="564"/>
      <c r="T684" s="564"/>
      <c r="U684" s="564"/>
      <c r="V684" s="564"/>
      <c r="W684" s="564"/>
      <c r="X684" s="564"/>
      <c r="Y684" s="564"/>
      <c r="Z684" s="564"/>
      <c r="AA684" s="564"/>
      <c r="AB684" s="564"/>
      <c r="AC684" s="564"/>
      <c r="AD684" s="564"/>
      <c r="AE684" s="564"/>
      <c r="AF684" s="564"/>
      <c r="AG684" s="564"/>
      <c r="AH684" s="564"/>
      <c r="AI684" s="564"/>
      <c r="AJ684" s="564"/>
      <c r="AK684" s="564"/>
      <c r="AL684" s="564"/>
      <c r="AM684" s="564"/>
      <c r="AN684" s="564"/>
      <c r="AO684" s="564"/>
    </row>
    <row r="685" spans="2:41" x14ac:dyDescent="0.15">
      <c r="B685" s="565">
        <v>11</v>
      </c>
      <c r="C685" s="564"/>
      <c r="D685" s="564"/>
      <c r="E685" s="564"/>
      <c r="F685" s="564"/>
      <c r="G685" s="564"/>
      <c r="H685" s="564"/>
      <c r="I685" s="564"/>
      <c r="J685" s="564"/>
      <c r="K685" s="564"/>
      <c r="L685" s="564"/>
      <c r="M685" s="564"/>
      <c r="N685" s="564"/>
      <c r="O685" s="564"/>
      <c r="P685" s="564"/>
      <c r="Q685" s="564"/>
      <c r="R685" s="564"/>
      <c r="S685" s="564"/>
      <c r="T685" s="564"/>
      <c r="U685" s="564"/>
      <c r="V685" s="564"/>
      <c r="W685" s="564"/>
      <c r="X685" s="564"/>
      <c r="Y685" s="564"/>
      <c r="Z685" s="564"/>
      <c r="AA685" s="564"/>
      <c r="AB685" s="564"/>
      <c r="AC685" s="564"/>
      <c r="AD685" s="564"/>
      <c r="AE685" s="564"/>
      <c r="AF685" s="564"/>
      <c r="AG685" s="564"/>
      <c r="AH685" s="564"/>
      <c r="AI685" s="564"/>
      <c r="AJ685" s="564"/>
      <c r="AK685" s="564"/>
      <c r="AL685" s="564"/>
      <c r="AM685" s="564"/>
      <c r="AN685" s="564"/>
      <c r="AO685" s="564"/>
    </row>
    <row r="686" spans="2:41" x14ac:dyDescent="0.15">
      <c r="B686" s="565">
        <v>12</v>
      </c>
      <c r="C686" s="564"/>
      <c r="D686" s="564"/>
      <c r="E686" s="564"/>
      <c r="F686" s="564"/>
      <c r="G686" s="564"/>
      <c r="H686" s="564"/>
      <c r="I686" s="564"/>
      <c r="J686" s="564"/>
      <c r="K686" s="564"/>
      <c r="L686" s="564"/>
      <c r="M686" s="564"/>
      <c r="N686" s="564"/>
      <c r="O686" s="564"/>
      <c r="P686" s="564"/>
      <c r="Q686" s="564"/>
      <c r="R686" s="564"/>
      <c r="S686" s="564"/>
      <c r="T686" s="564"/>
      <c r="U686" s="564"/>
      <c r="V686" s="564"/>
      <c r="W686" s="564"/>
      <c r="X686" s="564"/>
      <c r="Y686" s="564"/>
      <c r="Z686" s="564"/>
      <c r="AA686" s="564"/>
      <c r="AB686" s="564"/>
      <c r="AC686" s="564"/>
      <c r="AD686" s="564"/>
      <c r="AE686" s="564"/>
      <c r="AF686" s="564"/>
      <c r="AG686" s="564"/>
      <c r="AH686" s="564"/>
      <c r="AI686" s="564"/>
      <c r="AJ686" s="564"/>
      <c r="AK686" s="564"/>
      <c r="AL686" s="564"/>
      <c r="AM686" s="564"/>
      <c r="AN686" s="564"/>
      <c r="AO686" s="564"/>
    </row>
    <row r="687" spans="2:41" x14ac:dyDescent="0.15">
      <c r="B687" s="565">
        <v>13</v>
      </c>
      <c r="C687" s="564"/>
      <c r="D687" s="564"/>
      <c r="E687" s="564"/>
      <c r="F687" s="564"/>
      <c r="G687" s="564"/>
      <c r="H687" s="564"/>
      <c r="I687" s="564"/>
      <c r="J687" s="564"/>
      <c r="K687" s="564"/>
      <c r="L687" s="564"/>
      <c r="M687" s="564"/>
      <c r="N687" s="564"/>
      <c r="O687" s="564"/>
      <c r="P687" s="564"/>
      <c r="Q687" s="564"/>
      <c r="R687" s="564"/>
      <c r="S687" s="564"/>
      <c r="T687" s="564"/>
      <c r="U687" s="564"/>
      <c r="V687" s="564"/>
      <c r="W687" s="564"/>
      <c r="X687" s="564"/>
      <c r="Y687" s="564"/>
      <c r="Z687" s="564"/>
      <c r="AA687" s="564"/>
      <c r="AB687" s="564"/>
      <c r="AC687" s="564"/>
      <c r="AD687" s="564"/>
      <c r="AE687" s="564"/>
      <c r="AF687" s="564"/>
      <c r="AG687" s="564"/>
      <c r="AH687" s="564"/>
      <c r="AI687" s="564"/>
      <c r="AJ687" s="564"/>
      <c r="AK687" s="564"/>
      <c r="AL687" s="564"/>
      <c r="AM687" s="564"/>
      <c r="AN687" s="564"/>
      <c r="AO687" s="564"/>
    </row>
    <row r="688" spans="2:41" x14ac:dyDescent="0.15">
      <c r="B688" s="565">
        <v>14</v>
      </c>
      <c r="C688" s="564"/>
      <c r="D688" s="564"/>
      <c r="E688" s="564"/>
      <c r="F688" s="564"/>
      <c r="G688" s="564"/>
      <c r="H688" s="564"/>
      <c r="I688" s="564"/>
      <c r="J688" s="564"/>
      <c r="K688" s="564"/>
      <c r="L688" s="564"/>
      <c r="M688" s="564"/>
      <c r="N688" s="564"/>
      <c r="O688" s="564"/>
      <c r="P688" s="564"/>
      <c r="Q688" s="564"/>
      <c r="R688" s="564"/>
      <c r="S688" s="564"/>
      <c r="T688" s="564"/>
      <c r="U688" s="564"/>
      <c r="V688" s="564"/>
      <c r="W688" s="564"/>
      <c r="X688" s="564"/>
      <c r="Y688" s="564"/>
      <c r="Z688" s="564"/>
      <c r="AA688" s="564"/>
      <c r="AB688" s="564"/>
      <c r="AC688" s="564"/>
      <c r="AD688" s="564"/>
      <c r="AE688" s="564"/>
      <c r="AF688" s="564"/>
      <c r="AG688" s="564"/>
      <c r="AH688" s="564"/>
      <c r="AI688" s="564"/>
      <c r="AJ688" s="564"/>
      <c r="AK688" s="564"/>
      <c r="AL688" s="564"/>
      <c r="AM688" s="564"/>
      <c r="AN688" s="564"/>
      <c r="AO688" s="564"/>
    </row>
    <row r="689" spans="2:41" x14ac:dyDescent="0.15">
      <c r="B689" s="565">
        <v>15</v>
      </c>
      <c r="C689" s="564"/>
      <c r="D689" s="564"/>
      <c r="E689" s="564"/>
      <c r="F689" s="564"/>
      <c r="G689" s="564"/>
      <c r="H689" s="564"/>
      <c r="I689" s="564"/>
      <c r="J689" s="564"/>
      <c r="K689" s="564"/>
      <c r="L689" s="564"/>
      <c r="M689" s="564"/>
      <c r="N689" s="564"/>
      <c r="O689" s="564"/>
      <c r="P689" s="564"/>
      <c r="Q689" s="564"/>
      <c r="R689" s="564"/>
      <c r="S689" s="564"/>
      <c r="T689" s="564"/>
      <c r="U689" s="564"/>
      <c r="V689" s="564"/>
      <c r="W689" s="564"/>
      <c r="X689" s="564"/>
      <c r="Y689" s="564"/>
      <c r="Z689" s="564"/>
      <c r="AA689" s="564"/>
      <c r="AB689" s="564"/>
      <c r="AC689" s="564"/>
      <c r="AD689" s="564"/>
      <c r="AE689" s="564"/>
      <c r="AF689" s="564"/>
      <c r="AG689" s="564"/>
      <c r="AH689" s="564"/>
      <c r="AI689" s="564"/>
      <c r="AJ689" s="564"/>
      <c r="AK689" s="564"/>
      <c r="AL689" s="564"/>
      <c r="AM689" s="564"/>
      <c r="AN689" s="564"/>
      <c r="AO689" s="564"/>
    </row>
    <row r="690" spans="2:41" x14ac:dyDescent="0.15">
      <c r="B690" s="565">
        <v>16</v>
      </c>
      <c r="C690" s="564"/>
      <c r="D690" s="564"/>
      <c r="E690" s="564"/>
      <c r="F690" s="564"/>
      <c r="G690" s="564"/>
      <c r="H690" s="564"/>
      <c r="I690" s="564"/>
      <c r="J690" s="564"/>
      <c r="K690" s="564"/>
      <c r="L690" s="564"/>
      <c r="M690" s="564"/>
      <c r="N690" s="564"/>
      <c r="O690" s="564"/>
      <c r="P690" s="564"/>
      <c r="Q690" s="564"/>
      <c r="R690" s="564"/>
      <c r="S690" s="564"/>
      <c r="T690" s="564"/>
      <c r="U690" s="564"/>
      <c r="V690" s="564"/>
      <c r="W690" s="564"/>
      <c r="X690" s="564"/>
      <c r="Y690" s="564"/>
      <c r="Z690" s="564"/>
      <c r="AA690" s="564"/>
      <c r="AB690" s="564"/>
      <c r="AC690" s="564"/>
      <c r="AD690" s="564"/>
      <c r="AE690" s="564"/>
      <c r="AF690" s="564"/>
      <c r="AG690" s="564"/>
      <c r="AH690" s="564"/>
      <c r="AI690" s="564"/>
      <c r="AJ690" s="564"/>
      <c r="AK690" s="564"/>
      <c r="AL690" s="564"/>
      <c r="AM690" s="564"/>
      <c r="AN690" s="564"/>
      <c r="AO690" s="564"/>
    </row>
    <row r="691" spans="2:41" x14ac:dyDescent="0.15">
      <c r="B691" s="565">
        <v>17</v>
      </c>
      <c r="C691" s="564"/>
      <c r="D691" s="564"/>
      <c r="E691" s="564"/>
      <c r="F691" s="564"/>
      <c r="G691" s="564"/>
      <c r="H691" s="564"/>
      <c r="I691" s="564"/>
      <c r="J691" s="564"/>
      <c r="K691" s="564"/>
      <c r="L691" s="564"/>
      <c r="M691" s="564"/>
      <c r="N691" s="564"/>
      <c r="O691" s="564"/>
      <c r="P691" s="564"/>
      <c r="Q691" s="564"/>
      <c r="R691" s="564"/>
      <c r="S691" s="564"/>
      <c r="T691" s="564"/>
      <c r="U691" s="564"/>
      <c r="V691" s="564"/>
      <c r="W691" s="564"/>
      <c r="X691" s="564"/>
      <c r="Y691" s="564"/>
      <c r="Z691" s="564"/>
      <c r="AA691" s="564"/>
      <c r="AB691" s="564"/>
      <c r="AC691" s="564"/>
      <c r="AD691" s="564"/>
      <c r="AE691" s="564"/>
      <c r="AF691" s="564"/>
      <c r="AG691" s="564"/>
      <c r="AH691" s="564"/>
      <c r="AI691" s="564"/>
      <c r="AJ691" s="564"/>
      <c r="AK691" s="564"/>
      <c r="AL691" s="564"/>
      <c r="AM691" s="564"/>
      <c r="AN691" s="564"/>
      <c r="AO691" s="564"/>
    </row>
    <row r="692" spans="2:41" x14ac:dyDescent="0.15">
      <c r="B692" s="565">
        <v>18</v>
      </c>
      <c r="C692" s="564"/>
      <c r="D692" s="564"/>
      <c r="E692" s="564"/>
      <c r="F692" s="564"/>
      <c r="G692" s="564"/>
      <c r="H692" s="564"/>
      <c r="I692" s="564"/>
      <c r="J692" s="564"/>
      <c r="K692" s="564"/>
      <c r="L692" s="564"/>
      <c r="M692" s="564"/>
      <c r="N692" s="564"/>
      <c r="O692" s="564"/>
      <c r="P692" s="564"/>
      <c r="Q692" s="564"/>
      <c r="R692" s="564"/>
      <c r="S692" s="564"/>
      <c r="T692" s="564"/>
      <c r="U692" s="564"/>
      <c r="V692" s="564"/>
      <c r="W692" s="564"/>
      <c r="X692" s="564"/>
      <c r="Y692" s="564"/>
      <c r="Z692" s="564"/>
      <c r="AA692" s="564"/>
      <c r="AB692" s="564"/>
      <c r="AC692" s="564"/>
      <c r="AD692" s="564"/>
      <c r="AE692" s="564"/>
      <c r="AF692" s="564"/>
      <c r="AG692" s="564"/>
      <c r="AH692" s="564"/>
      <c r="AI692" s="564"/>
      <c r="AJ692" s="564"/>
      <c r="AK692" s="564"/>
      <c r="AL692" s="564"/>
      <c r="AM692" s="564"/>
      <c r="AN692" s="564"/>
      <c r="AO692" s="564"/>
    </row>
    <row r="693" spans="2:41" x14ac:dyDescent="0.15">
      <c r="B693" s="565">
        <v>19</v>
      </c>
      <c r="C693" s="564"/>
      <c r="D693" s="564"/>
      <c r="E693" s="564"/>
      <c r="F693" s="564"/>
      <c r="G693" s="564"/>
      <c r="H693" s="564"/>
      <c r="I693" s="564"/>
      <c r="J693" s="564"/>
      <c r="K693" s="564"/>
      <c r="L693" s="564"/>
      <c r="M693" s="564"/>
      <c r="N693" s="564"/>
      <c r="O693" s="564"/>
      <c r="P693" s="564"/>
      <c r="Q693" s="564"/>
      <c r="R693" s="564"/>
      <c r="S693" s="564"/>
      <c r="T693" s="564"/>
      <c r="U693" s="564"/>
      <c r="V693" s="564"/>
      <c r="W693" s="564"/>
      <c r="X693" s="564"/>
      <c r="Y693" s="564"/>
      <c r="Z693" s="564"/>
      <c r="AA693" s="564"/>
      <c r="AB693" s="564"/>
      <c r="AC693" s="564"/>
      <c r="AD693" s="564"/>
      <c r="AE693" s="564"/>
      <c r="AF693" s="564"/>
      <c r="AG693" s="564"/>
      <c r="AH693" s="564"/>
      <c r="AI693" s="564"/>
      <c r="AJ693" s="564"/>
      <c r="AK693" s="564"/>
      <c r="AL693" s="564"/>
      <c r="AM693" s="564"/>
      <c r="AN693" s="564"/>
      <c r="AO693" s="564"/>
    </row>
    <row r="694" spans="2:41" x14ac:dyDescent="0.15">
      <c r="B694" s="565">
        <v>20</v>
      </c>
      <c r="C694" s="564"/>
      <c r="D694" s="564"/>
      <c r="E694" s="564"/>
      <c r="F694" s="564"/>
      <c r="G694" s="564"/>
      <c r="H694" s="564"/>
      <c r="I694" s="564"/>
      <c r="J694" s="564"/>
      <c r="K694" s="564"/>
      <c r="L694" s="564"/>
      <c r="M694" s="564"/>
      <c r="N694" s="564"/>
      <c r="O694" s="564"/>
      <c r="P694" s="564"/>
      <c r="Q694" s="564"/>
      <c r="R694" s="564"/>
      <c r="S694" s="564"/>
      <c r="T694" s="564"/>
      <c r="U694" s="564"/>
      <c r="V694" s="564"/>
      <c r="W694" s="564"/>
      <c r="X694" s="564"/>
      <c r="Y694" s="564"/>
      <c r="Z694" s="564"/>
      <c r="AA694" s="564"/>
      <c r="AB694" s="564"/>
      <c r="AC694" s="564"/>
      <c r="AD694" s="564"/>
      <c r="AE694" s="564"/>
      <c r="AF694" s="564"/>
      <c r="AG694" s="564"/>
      <c r="AH694" s="564"/>
      <c r="AI694" s="564"/>
      <c r="AJ694" s="564"/>
      <c r="AK694" s="564"/>
      <c r="AL694" s="564"/>
      <c r="AM694" s="564"/>
      <c r="AN694" s="564"/>
      <c r="AO694" s="564"/>
    </row>
    <row r="695" spans="2:41" x14ac:dyDescent="0.15">
      <c r="B695" s="565">
        <v>21</v>
      </c>
      <c r="C695" s="564"/>
      <c r="D695" s="564"/>
      <c r="E695" s="564"/>
      <c r="F695" s="564"/>
      <c r="G695" s="564"/>
      <c r="H695" s="564"/>
      <c r="I695" s="564"/>
      <c r="J695" s="564"/>
      <c r="K695" s="564"/>
      <c r="L695" s="564"/>
      <c r="M695" s="564"/>
      <c r="N695" s="564"/>
      <c r="O695" s="564"/>
      <c r="P695" s="564"/>
      <c r="Q695" s="564"/>
      <c r="R695" s="564"/>
      <c r="S695" s="564"/>
      <c r="T695" s="564"/>
      <c r="U695" s="564"/>
      <c r="V695" s="564"/>
      <c r="W695" s="564"/>
      <c r="X695" s="564"/>
      <c r="Y695" s="564"/>
      <c r="Z695" s="564"/>
      <c r="AA695" s="564"/>
      <c r="AB695" s="564"/>
      <c r="AC695" s="564"/>
      <c r="AD695" s="564"/>
      <c r="AE695" s="564"/>
      <c r="AF695" s="564"/>
      <c r="AG695" s="564"/>
      <c r="AH695" s="564"/>
      <c r="AI695" s="564"/>
      <c r="AJ695" s="564"/>
      <c r="AK695" s="564"/>
      <c r="AL695" s="564"/>
      <c r="AM695" s="564"/>
      <c r="AN695" s="564"/>
      <c r="AO695" s="564"/>
    </row>
    <row r="696" spans="2:41" x14ac:dyDescent="0.15">
      <c r="B696" s="565">
        <v>22</v>
      </c>
      <c r="C696" s="564"/>
      <c r="D696" s="564"/>
      <c r="E696" s="564"/>
      <c r="F696" s="564"/>
      <c r="G696" s="564"/>
      <c r="H696" s="564"/>
      <c r="I696" s="564"/>
      <c r="J696" s="564"/>
      <c r="K696" s="564"/>
      <c r="L696" s="564"/>
      <c r="M696" s="564"/>
      <c r="N696" s="564"/>
      <c r="O696" s="564"/>
      <c r="P696" s="564"/>
      <c r="Q696" s="564"/>
      <c r="R696" s="564"/>
      <c r="S696" s="564"/>
      <c r="T696" s="564"/>
      <c r="U696" s="564"/>
      <c r="V696" s="564"/>
      <c r="W696" s="564"/>
      <c r="X696" s="564"/>
      <c r="Y696" s="564"/>
      <c r="Z696" s="564"/>
      <c r="AA696" s="564"/>
      <c r="AB696" s="564"/>
      <c r="AC696" s="564"/>
      <c r="AD696" s="564"/>
      <c r="AE696" s="564"/>
      <c r="AF696" s="564"/>
      <c r="AG696" s="564"/>
      <c r="AH696" s="564"/>
      <c r="AI696" s="564"/>
      <c r="AJ696" s="564"/>
      <c r="AK696" s="564"/>
      <c r="AL696" s="564"/>
      <c r="AM696" s="564"/>
      <c r="AN696" s="564"/>
      <c r="AO696" s="564"/>
    </row>
    <row r="697" spans="2:41" x14ac:dyDescent="0.15">
      <c r="B697" s="565">
        <v>23</v>
      </c>
      <c r="C697" s="564"/>
      <c r="D697" s="564"/>
      <c r="E697" s="564"/>
      <c r="F697" s="564"/>
      <c r="G697" s="564"/>
      <c r="H697" s="564"/>
      <c r="I697" s="564"/>
      <c r="J697" s="564"/>
      <c r="K697" s="564"/>
      <c r="L697" s="564"/>
      <c r="M697" s="564"/>
      <c r="N697" s="564"/>
      <c r="O697" s="564"/>
      <c r="P697" s="564"/>
      <c r="Q697" s="564"/>
      <c r="R697" s="564"/>
      <c r="S697" s="564"/>
      <c r="T697" s="564"/>
      <c r="U697" s="564"/>
      <c r="V697" s="564"/>
      <c r="W697" s="564"/>
      <c r="X697" s="564"/>
      <c r="Y697" s="564"/>
      <c r="Z697" s="564"/>
      <c r="AA697" s="564"/>
      <c r="AB697" s="564"/>
      <c r="AC697" s="564"/>
      <c r="AD697" s="564"/>
      <c r="AE697" s="564"/>
      <c r="AF697" s="564"/>
      <c r="AG697" s="564"/>
      <c r="AH697" s="564"/>
      <c r="AI697" s="564"/>
      <c r="AJ697" s="564"/>
      <c r="AK697" s="564"/>
      <c r="AL697" s="564"/>
      <c r="AM697" s="564"/>
      <c r="AN697" s="564"/>
      <c r="AO697" s="564"/>
    </row>
    <row r="698" spans="2:41" x14ac:dyDescent="0.15">
      <c r="B698" s="565">
        <v>24</v>
      </c>
      <c r="C698" s="564"/>
      <c r="D698" s="564"/>
      <c r="E698" s="564"/>
      <c r="F698" s="564"/>
      <c r="G698" s="564"/>
      <c r="H698" s="564"/>
      <c r="I698" s="564"/>
      <c r="J698" s="564"/>
      <c r="K698" s="564"/>
      <c r="L698" s="564"/>
      <c r="M698" s="564"/>
      <c r="N698" s="564"/>
      <c r="O698" s="564"/>
      <c r="P698" s="564"/>
      <c r="Q698" s="564"/>
      <c r="R698" s="564"/>
      <c r="S698" s="564"/>
      <c r="T698" s="564"/>
      <c r="U698" s="564"/>
      <c r="V698" s="564"/>
      <c r="W698" s="564"/>
      <c r="X698" s="564"/>
      <c r="Y698" s="564"/>
      <c r="Z698" s="564"/>
      <c r="AA698" s="564"/>
      <c r="AB698" s="564"/>
      <c r="AC698" s="564"/>
      <c r="AD698" s="564"/>
      <c r="AE698" s="564"/>
      <c r="AF698" s="564"/>
      <c r="AG698" s="564"/>
      <c r="AH698" s="564"/>
      <c r="AI698" s="564"/>
      <c r="AJ698" s="564"/>
      <c r="AK698" s="564"/>
      <c r="AL698" s="564"/>
      <c r="AM698" s="564"/>
      <c r="AN698" s="564"/>
      <c r="AO698" s="564"/>
    </row>
    <row r="699" spans="2:41" x14ac:dyDescent="0.15">
      <c r="B699" s="565">
        <v>25</v>
      </c>
      <c r="C699" s="564"/>
      <c r="D699" s="564"/>
      <c r="E699" s="564"/>
      <c r="F699" s="564"/>
      <c r="G699" s="564"/>
      <c r="H699" s="564"/>
      <c r="I699" s="564"/>
      <c r="J699" s="564"/>
      <c r="K699" s="564"/>
      <c r="L699" s="564"/>
      <c r="M699" s="564"/>
      <c r="N699" s="564"/>
      <c r="O699" s="564"/>
      <c r="P699" s="564"/>
      <c r="Q699" s="564"/>
      <c r="R699" s="564"/>
      <c r="S699" s="564"/>
      <c r="T699" s="564"/>
      <c r="U699" s="564"/>
      <c r="V699" s="564"/>
      <c r="W699" s="564"/>
      <c r="X699" s="564"/>
      <c r="Y699" s="564"/>
      <c r="Z699" s="564"/>
      <c r="AA699" s="564"/>
      <c r="AB699" s="564"/>
      <c r="AC699" s="564"/>
      <c r="AD699" s="564"/>
      <c r="AE699" s="564"/>
      <c r="AF699" s="564"/>
      <c r="AG699" s="564"/>
      <c r="AH699" s="564"/>
      <c r="AI699" s="564"/>
      <c r="AJ699" s="564"/>
      <c r="AK699" s="564"/>
      <c r="AL699" s="564"/>
      <c r="AM699" s="564"/>
      <c r="AN699" s="564"/>
      <c r="AO699" s="564"/>
    </row>
    <row r="700" spans="2:41" x14ac:dyDescent="0.15">
      <c r="B700" s="565">
        <v>26</v>
      </c>
      <c r="C700" s="564"/>
      <c r="D700" s="564"/>
      <c r="E700" s="564"/>
      <c r="F700" s="564"/>
      <c r="G700" s="564"/>
      <c r="H700" s="564"/>
      <c r="I700" s="564"/>
      <c r="J700" s="564"/>
      <c r="K700" s="564"/>
      <c r="L700" s="564"/>
      <c r="M700" s="564"/>
      <c r="N700" s="564"/>
      <c r="O700" s="564"/>
      <c r="P700" s="564"/>
      <c r="Q700" s="564"/>
      <c r="R700" s="564"/>
      <c r="S700" s="564"/>
      <c r="T700" s="564"/>
      <c r="U700" s="564"/>
      <c r="V700" s="564"/>
      <c r="W700" s="564"/>
      <c r="X700" s="564"/>
      <c r="Y700" s="564"/>
      <c r="Z700" s="564"/>
      <c r="AA700" s="564"/>
      <c r="AB700" s="564"/>
      <c r="AC700" s="564"/>
      <c r="AD700" s="564"/>
      <c r="AE700" s="564"/>
      <c r="AF700" s="564"/>
      <c r="AG700" s="564"/>
      <c r="AH700" s="564"/>
      <c r="AI700" s="564"/>
      <c r="AJ700" s="564"/>
      <c r="AK700" s="564"/>
      <c r="AL700" s="564"/>
      <c r="AM700" s="564"/>
      <c r="AN700" s="564"/>
      <c r="AO700" s="564"/>
    </row>
    <row r="701" spans="2:41" x14ac:dyDescent="0.15">
      <c r="B701" s="565">
        <v>27</v>
      </c>
      <c r="C701" s="564"/>
      <c r="D701" s="564"/>
      <c r="E701" s="564"/>
      <c r="F701" s="564"/>
      <c r="G701" s="564"/>
      <c r="H701" s="564"/>
      <c r="I701" s="564"/>
      <c r="J701" s="564"/>
      <c r="K701" s="564"/>
      <c r="L701" s="564"/>
      <c r="M701" s="564"/>
      <c r="N701" s="564"/>
      <c r="O701" s="564"/>
      <c r="P701" s="564"/>
      <c r="Q701" s="564"/>
      <c r="R701" s="564"/>
      <c r="S701" s="564"/>
      <c r="T701" s="564"/>
      <c r="U701" s="564"/>
      <c r="V701" s="564"/>
      <c r="W701" s="564"/>
      <c r="X701" s="564"/>
      <c r="Y701" s="564"/>
      <c r="Z701" s="564"/>
      <c r="AA701" s="564"/>
      <c r="AB701" s="564"/>
      <c r="AC701" s="564"/>
      <c r="AD701" s="564"/>
      <c r="AE701" s="564"/>
      <c r="AF701" s="564"/>
      <c r="AG701" s="564"/>
      <c r="AH701" s="564"/>
      <c r="AI701" s="564"/>
      <c r="AJ701" s="564"/>
      <c r="AK701" s="564"/>
      <c r="AL701" s="564"/>
      <c r="AM701" s="564"/>
      <c r="AN701" s="564"/>
      <c r="AO701" s="564"/>
    </row>
    <row r="702" spans="2:41" x14ac:dyDescent="0.15">
      <c r="B702" s="565">
        <v>28</v>
      </c>
      <c r="C702" s="564"/>
      <c r="D702" s="564"/>
      <c r="E702" s="564"/>
      <c r="F702" s="564"/>
      <c r="G702" s="564"/>
      <c r="H702" s="564"/>
      <c r="I702" s="564"/>
      <c r="J702" s="564"/>
      <c r="K702" s="564"/>
      <c r="L702" s="564"/>
      <c r="M702" s="564"/>
      <c r="N702" s="564"/>
      <c r="O702" s="564"/>
      <c r="P702" s="564"/>
      <c r="Q702" s="564"/>
      <c r="R702" s="564"/>
      <c r="S702" s="564"/>
      <c r="T702" s="564"/>
      <c r="U702" s="564"/>
      <c r="V702" s="564"/>
      <c r="W702" s="564"/>
      <c r="X702" s="564"/>
      <c r="Y702" s="564"/>
      <c r="Z702" s="564"/>
      <c r="AA702" s="564"/>
      <c r="AB702" s="564"/>
      <c r="AC702" s="564"/>
      <c r="AD702" s="564"/>
      <c r="AE702" s="564"/>
      <c r="AF702" s="564"/>
      <c r="AG702" s="564"/>
      <c r="AH702" s="564"/>
      <c r="AI702" s="564"/>
      <c r="AJ702" s="564"/>
      <c r="AK702" s="564"/>
      <c r="AL702" s="564"/>
      <c r="AM702" s="564"/>
      <c r="AN702" s="564"/>
      <c r="AO702" s="564"/>
    </row>
    <row r="703" spans="2:41" x14ac:dyDescent="0.15">
      <c r="B703" s="565">
        <v>29</v>
      </c>
      <c r="C703" s="564"/>
      <c r="D703" s="564"/>
      <c r="E703" s="564"/>
      <c r="F703" s="564"/>
      <c r="G703" s="564"/>
      <c r="H703" s="564"/>
      <c r="I703" s="564"/>
      <c r="J703" s="564"/>
      <c r="K703" s="564"/>
      <c r="L703" s="564"/>
      <c r="M703" s="564"/>
      <c r="N703" s="564"/>
      <c r="O703" s="564"/>
      <c r="P703" s="564"/>
      <c r="Q703" s="564"/>
      <c r="R703" s="564"/>
      <c r="S703" s="564"/>
      <c r="T703" s="564"/>
      <c r="U703" s="564"/>
      <c r="V703" s="564"/>
      <c r="W703" s="564"/>
      <c r="X703" s="564"/>
      <c r="Y703" s="564"/>
      <c r="Z703" s="564"/>
      <c r="AA703" s="564"/>
      <c r="AB703" s="564"/>
      <c r="AC703" s="564"/>
      <c r="AD703" s="564"/>
      <c r="AE703" s="564"/>
      <c r="AF703" s="564"/>
      <c r="AG703" s="564"/>
      <c r="AH703" s="564"/>
      <c r="AI703" s="564"/>
      <c r="AJ703" s="564"/>
      <c r="AK703" s="564"/>
      <c r="AL703" s="564"/>
      <c r="AM703" s="564"/>
      <c r="AN703" s="564"/>
      <c r="AO703" s="564"/>
    </row>
    <row r="704" spans="2:41" x14ac:dyDescent="0.15">
      <c r="B704" s="565">
        <v>30</v>
      </c>
      <c r="C704" s="564"/>
      <c r="D704" s="564"/>
      <c r="E704" s="564"/>
      <c r="F704" s="564"/>
      <c r="G704" s="564"/>
      <c r="H704" s="564"/>
      <c r="I704" s="564"/>
      <c r="J704" s="564"/>
      <c r="K704" s="564"/>
      <c r="L704" s="564"/>
      <c r="M704" s="564"/>
      <c r="N704" s="564"/>
      <c r="O704" s="564"/>
      <c r="P704" s="564"/>
      <c r="Q704" s="564"/>
      <c r="R704" s="564"/>
      <c r="S704" s="564"/>
      <c r="T704" s="564"/>
      <c r="U704" s="564"/>
      <c r="V704" s="564"/>
      <c r="W704" s="564"/>
      <c r="X704" s="564"/>
      <c r="Y704" s="564"/>
      <c r="Z704" s="564"/>
      <c r="AA704" s="564"/>
      <c r="AB704" s="564"/>
      <c r="AC704" s="564"/>
      <c r="AD704" s="564"/>
      <c r="AE704" s="564"/>
      <c r="AF704" s="564"/>
      <c r="AG704" s="564"/>
      <c r="AH704" s="564"/>
      <c r="AI704" s="564"/>
      <c r="AJ704" s="564"/>
      <c r="AK704" s="564"/>
      <c r="AL704" s="564"/>
      <c r="AM704" s="564"/>
      <c r="AN704" s="564"/>
      <c r="AO704" s="564"/>
    </row>
    <row r="705" spans="2:41" x14ac:dyDescent="0.15">
      <c r="B705" s="565">
        <v>31</v>
      </c>
      <c r="C705" s="564"/>
      <c r="D705" s="564"/>
      <c r="E705" s="564"/>
      <c r="F705" s="564"/>
      <c r="G705" s="564"/>
      <c r="H705" s="564"/>
      <c r="I705" s="564"/>
      <c r="J705" s="564"/>
      <c r="K705" s="564"/>
      <c r="L705" s="564"/>
      <c r="M705" s="564"/>
      <c r="N705" s="564"/>
      <c r="O705" s="564"/>
      <c r="P705" s="564"/>
      <c r="Q705" s="564"/>
      <c r="R705" s="564"/>
      <c r="S705" s="564"/>
      <c r="T705" s="564"/>
      <c r="U705" s="564"/>
      <c r="V705" s="564"/>
      <c r="W705" s="564"/>
      <c r="X705" s="564"/>
      <c r="Y705" s="564"/>
      <c r="Z705" s="564"/>
      <c r="AA705" s="564"/>
      <c r="AB705" s="564"/>
      <c r="AC705" s="564"/>
      <c r="AD705" s="564"/>
      <c r="AE705" s="564"/>
      <c r="AF705" s="564"/>
      <c r="AG705" s="564"/>
      <c r="AH705" s="564"/>
      <c r="AI705" s="564"/>
      <c r="AJ705" s="564"/>
      <c r="AK705" s="564"/>
      <c r="AL705" s="564"/>
      <c r="AM705" s="564"/>
      <c r="AN705" s="564"/>
      <c r="AO705" s="564"/>
    </row>
    <row r="706" spans="2:41" x14ac:dyDescent="0.15">
      <c r="B706" s="565">
        <v>32</v>
      </c>
      <c r="C706" s="564"/>
      <c r="D706" s="564"/>
      <c r="E706" s="564"/>
      <c r="F706" s="564"/>
      <c r="G706" s="564"/>
      <c r="H706" s="564"/>
      <c r="I706" s="564"/>
      <c r="J706" s="564"/>
      <c r="K706" s="564"/>
      <c r="L706" s="564"/>
      <c r="M706" s="564"/>
      <c r="N706" s="564"/>
      <c r="O706" s="564"/>
      <c r="P706" s="564"/>
      <c r="Q706" s="564"/>
      <c r="R706" s="564"/>
      <c r="S706" s="564"/>
      <c r="T706" s="564"/>
      <c r="U706" s="564"/>
      <c r="V706" s="564"/>
      <c r="W706" s="564"/>
      <c r="X706" s="564"/>
      <c r="Y706" s="564"/>
      <c r="Z706" s="564"/>
      <c r="AA706" s="564"/>
      <c r="AB706" s="564"/>
      <c r="AC706" s="564"/>
      <c r="AD706" s="564"/>
      <c r="AE706" s="564"/>
      <c r="AF706" s="564"/>
      <c r="AG706" s="564"/>
      <c r="AH706" s="564"/>
      <c r="AI706" s="564"/>
      <c r="AJ706" s="564"/>
      <c r="AK706" s="564"/>
      <c r="AL706" s="564"/>
      <c r="AM706" s="564"/>
      <c r="AN706" s="564"/>
      <c r="AO706" s="564"/>
    </row>
    <row r="707" spans="2:41" x14ac:dyDescent="0.15">
      <c r="B707" s="565">
        <v>33</v>
      </c>
      <c r="C707" s="564"/>
      <c r="D707" s="564"/>
      <c r="E707" s="564"/>
      <c r="F707" s="564"/>
      <c r="G707" s="564"/>
      <c r="H707" s="564"/>
      <c r="I707" s="564"/>
      <c r="J707" s="564"/>
      <c r="K707" s="564"/>
      <c r="L707" s="564"/>
      <c r="M707" s="564"/>
      <c r="N707" s="564"/>
      <c r="O707" s="564"/>
      <c r="P707" s="564"/>
      <c r="Q707" s="564"/>
      <c r="R707" s="564"/>
      <c r="S707" s="564"/>
      <c r="T707" s="564"/>
      <c r="U707" s="564"/>
      <c r="V707" s="564"/>
      <c r="W707" s="564"/>
      <c r="X707" s="564"/>
      <c r="Y707" s="564"/>
      <c r="Z707" s="564"/>
      <c r="AA707" s="564"/>
      <c r="AB707" s="564"/>
      <c r="AC707" s="564"/>
      <c r="AD707" s="564"/>
      <c r="AE707" s="564"/>
      <c r="AF707" s="564"/>
      <c r="AG707" s="564"/>
      <c r="AH707" s="564"/>
      <c r="AI707" s="564"/>
      <c r="AJ707" s="564"/>
      <c r="AK707" s="564"/>
      <c r="AL707" s="564"/>
      <c r="AM707" s="564"/>
      <c r="AN707" s="564"/>
      <c r="AO707" s="564"/>
    </row>
    <row r="708" spans="2:41" x14ac:dyDescent="0.15">
      <c r="B708" s="565">
        <v>34</v>
      </c>
      <c r="C708" s="564"/>
      <c r="D708" s="564"/>
      <c r="E708" s="564"/>
      <c r="F708" s="564"/>
      <c r="G708" s="564"/>
      <c r="H708" s="564"/>
      <c r="I708" s="564"/>
      <c r="J708" s="564"/>
      <c r="K708" s="564"/>
      <c r="L708" s="564"/>
      <c r="M708" s="564"/>
      <c r="N708" s="564"/>
      <c r="O708" s="564"/>
      <c r="P708" s="564"/>
      <c r="Q708" s="564"/>
      <c r="R708" s="564"/>
      <c r="S708" s="564"/>
      <c r="T708" s="564"/>
      <c r="U708" s="564"/>
      <c r="V708" s="564"/>
      <c r="W708" s="564"/>
      <c r="X708" s="564"/>
      <c r="Y708" s="564"/>
      <c r="Z708" s="564"/>
      <c r="AA708" s="564"/>
      <c r="AB708" s="564"/>
      <c r="AC708" s="564"/>
      <c r="AD708" s="564"/>
      <c r="AE708" s="564"/>
      <c r="AF708" s="564"/>
      <c r="AG708" s="564"/>
      <c r="AH708" s="564"/>
      <c r="AI708" s="564"/>
      <c r="AJ708" s="564"/>
      <c r="AK708" s="564"/>
      <c r="AL708" s="564"/>
      <c r="AM708" s="564"/>
      <c r="AN708" s="564"/>
      <c r="AO708" s="564"/>
    </row>
    <row r="709" spans="2:41" x14ac:dyDescent="0.15">
      <c r="B709" s="565">
        <v>35</v>
      </c>
      <c r="C709" s="564"/>
      <c r="D709" s="564"/>
      <c r="E709" s="564"/>
      <c r="F709" s="564"/>
      <c r="G709" s="564"/>
      <c r="H709" s="564"/>
      <c r="I709" s="564"/>
      <c r="J709" s="564"/>
      <c r="K709" s="564"/>
      <c r="L709" s="564"/>
      <c r="M709" s="564"/>
      <c r="N709" s="564"/>
      <c r="O709" s="564"/>
      <c r="P709" s="564"/>
      <c r="Q709" s="564"/>
      <c r="R709" s="564"/>
      <c r="S709" s="564"/>
      <c r="T709" s="564"/>
      <c r="U709" s="564"/>
      <c r="V709" s="564"/>
      <c r="W709" s="564"/>
      <c r="X709" s="564"/>
      <c r="Y709" s="564"/>
      <c r="Z709" s="564"/>
      <c r="AA709" s="564"/>
      <c r="AB709" s="564"/>
      <c r="AC709" s="564"/>
      <c r="AD709" s="564"/>
      <c r="AE709" s="564"/>
      <c r="AF709" s="564"/>
      <c r="AG709" s="564"/>
      <c r="AH709" s="564"/>
      <c r="AI709" s="564"/>
      <c r="AJ709" s="564"/>
      <c r="AK709" s="564"/>
      <c r="AL709" s="564"/>
      <c r="AM709" s="564"/>
      <c r="AN709" s="564"/>
      <c r="AO709" s="564"/>
    </row>
    <row r="710" spans="2:41" x14ac:dyDescent="0.15">
      <c r="B710" s="565">
        <v>36</v>
      </c>
      <c r="C710" s="564"/>
      <c r="D710" s="564"/>
      <c r="E710" s="564"/>
      <c r="F710" s="564"/>
      <c r="G710" s="564"/>
      <c r="H710" s="564"/>
      <c r="I710" s="564"/>
      <c r="J710" s="564"/>
      <c r="K710" s="564"/>
      <c r="L710" s="564"/>
      <c r="M710" s="564"/>
      <c r="N710" s="564"/>
      <c r="O710" s="564"/>
      <c r="P710" s="564"/>
      <c r="Q710" s="564"/>
      <c r="R710" s="564"/>
      <c r="S710" s="564"/>
      <c r="T710" s="564"/>
      <c r="U710" s="564"/>
      <c r="V710" s="564"/>
      <c r="W710" s="564"/>
      <c r="X710" s="564"/>
      <c r="Y710" s="564"/>
      <c r="Z710" s="564"/>
      <c r="AA710" s="564"/>
      <c r="AB710" s="564"/>
      <c r="AC710" s="564"/>
      <c r="AD710" s="564"/>
      <c r="AE710" s="564"/>
      <c r="AF710" s="564"/>
      <c r="AG710" s="564"/>
      <c r="AH710" s="564"/>
      <c r="AI710" s="564"/>
      <c r="AJ710" s="564"/>
      <c r="AK710" s="564"/>
      <c r="AL710" s="564"/>
      <c r="AM710" s="564"/>
      <c r="AN710" s="564"/>
      <c r="AO710" s="564"/>
    </row>
    <row r="711" spans="2:41" x14ac:dyDescent="0.15">
      <c r="B711" s="565">
        <v>37</v>
      </c>
      <c r="C711" s="564"/>
      <c r="D711" s="564"/>
      <c r="E711" s="564"/>
      <c r="F711" s="564"/>
      <c r="G711" s="564"/>
      <c r="H711" s="564"/>
      <c r="I711" s="564"/>
      <c r="J711" s="564"/>
      <c r="K711" s="564"/>
      <c r="L711" s="564"/>
      <c r="M711" s="564"/>
      <c r="N711" s="564"/>
      <c r="O711" s="564"/>
      <c r="P711" s="564"/>
      <c r="Q711" s="564"/>
      <c r="R711" s="564"/>
      <c r="S711" s="564"/>
      <c r="T711" s="564"/>
      <c r="U711" s="564"/>
      <c r="V711" s="564"/>
      <c r="W711" s="564"/>
      <c r="X711" s="564"/>
      <c r="Y711" s="564"/>
      <c r="Z711" s="564"/>
      <c r="AA711" s="564"/>
      <c r="AB711" s="564"/>
      <c r="AC711" s="564"/>
      <c r="AD711" s="564"/>
      <c r="AE711" s="564"/>
      <c r="AF711" s="564"/>
      <c r="AG711" s="564"/>
      <c r="AH711" s="564"/>
      <c r="AI711" s="564"/>
      <c r="AJ711" s="564"/>
      <c r="AK711" s="564"/>
      <c r="AL711" s="564"/>
      <c r="AM711" s="564"/>
      <c r="AN711" s="564"/>
      <c r="AO711" s="564"/>
    </row>
    <row r="712" spans="2:41" x14ac:dyDescent="0.15">
      <c r="B712" s="565">
        <v>38</v>
      </c>
      <c r="C712" s="564"/>
      <c r="D712" s="564"/>
      <c r="E712" s="564"/>
      <c r="F712" s="564"/>
      <c r="G712" s="564"/>
      <c r="H712" s="564"/>
      <c r="I712" s="564"/>
      <c r="J712" s="564"/>
      <c r="K712" s="564"/>
      <c r="L712" s="564"/>
      <c r="M712" s="564"/>
      <c r="N712" s="564"/>
      <c r="O712" s="564"/>
      <c r="P712" s="564"/>
      <c r="Q712" s="564"/>
      <c r="R712" s="564"/>
      <c r="S712" s="564"/>
      <c r="T712" s="564"/>
      <c r="U712" s="564"/>
      <c r="V712" s="564"/>
      <c r="W712" s="564"/>
      <c r="X712" s="564"/>
      <c r="Y712" s="564"/>
      <c r="Z712" s="564"/>
      <c r="AA712" s="564"/>
      <c r="AB712" s="564"/>
      <c r="AC712" s="564"/>
      <c r="AD712" s="564"/>
      <c r="AE712" s="564"/>
      <c r="AF712" s="564"/>
      <c r="AG712" s="564"/>
      <c r="AH712" s="564"/>
      <c r="AI712" s="564"/>
      <c r="AJ712" s="564"/>
      <c r="AK712" s="564"/>
      <c r="AL712" s="564"/>
      <c r="AM712" s="564"/>
      <c r="AN712" s="564"/>
      <c r="AO712" s="564"/>
    </row>
    <row r="713" spans="2:41" x14ac:dyDescent="0.15">
      <c r="B713" s="565">
        <v>39</v>
      </c>
      <c r="C713" s="564"/>
      <c r="D713" s="564"/>
      <c r="E713" s="564"/>
      <c r="F713" s="564"/>
      <c r="G713" s="564"/>
      <c r="H713" s="564"/>
      <c r="I713" s="564"/>
      <c r="J713" s="564"/>
      <c r="K713" s="564"/>
      <c r="L713" s="564"/>
      <c r="M713" s="564"/>
      <c r="N713" s="564"/>
      <c r="O713" s="564"/>
      <c r="P713" s="564"/>
      <c r="Q713" s="564"/>
      <c r="R713" s="564"/>
      <c r="S713" s="564"/>
      <c r="T713" s="564"/>
      <c r="U713" s="564"/>
      <c r="V713" s="564"/>
      <c r="W713" s="564"/>
      <c r="X713" s="564"/>
      <c r="Y713" s="564"/>
      <c r="Z713" s="564"/>
      <c r="AA713" s="564"/>
      <c r="AB713" s="564"/>
      <c r="AC713" s="564"/>
      <c r="AD713" s="564"/>
      <c r="AE713" s="564"/>
      <c r="AF713" s="564"/>
      <c r="AG713" s="564"/>
      <c r="AH713" s="564"/>
      <c r="AI713" s="564"/>
      <c r="AJ713" s="564"/>
      <c r="AK713" s="564"/>
      <c r="AL713" s="564"/>
      <c r="AM713" s="564"/>
      <c r="AN713" s="564"/>
      <c r="AO713" s="564"/>
    </row>
    <row r="714" spans="2:41" x14ac:dyDescent="0.15">
      <c r="B714" s="566">
        <v>40</v>
      </c>
      <c r="C714" s="564"/>
      <c r="D714" s="564"/>
      <c r="E714" s="564"/>
      <c r="F714" s="564"/>
      <c r="G714" s="564"/>
      <c r="H714" s="564"/>
      <c r="I714" s="564"/>
      <c r="J714" s="564"/>
      <c r="K714" s="564"/>
      <c r="L714" s="564"/>
      <c r="M714" s="564"/>
      <c r="N714" s="564"/>
      <c r="O714" s="564"/>
      <c r="P714" s="564"/>
      <c r="Q714" s="564"/>
      <c r="R714" s="564"/>
      <c r="S714" s="564"/>
      <c r="T714" s="564"/>
      <c r="U714" s="564"/>
      <c r="V714" s="564"/>
      <c r="W714" s="564"/>
      <c r="X714" s="564"/>
      <c r="Y714" s="564"/>
      <c r="Z714" s="564"/>
      <c r="AA714" s="564"/>
      <c r="AB714" s="564"/>
      <c r="AC714" s="564"/>
      <c r="AD714" s="564"/>
      <c r="AE714" s="564"/>
      <c r="AF714" s="564"/>
      <c r="AG714" s="564"/>
      <c r="AH714" s="564"/>
      <c r="AI714" s="564"/>
      <c r="AJ714" s="564"/>
      <c r="AK714" s="564"/>
      <c r="AL714" s="564"/>
      <c r="AM714" s="564"/>
      <c r="AN714" s="564"/>
      <c r="AO714" s="564"/>
    </row>
    <row r="723" spans="2:41" s="561" customFormat="1" ht="14" x14ac:dyDescent="0.15">
      <c r="B723" s="558" t="str" cm="1">
        <f t="array" ref="B723:AO723">TRANSPOSE('Syötä kaupungit KIRJASTOLINKIT!'!$J$1:$J$40)</f>
        <v>MAA 9</v>
      </c>
      <c r="C723" s="562">
        <v>0</v>
      </c>
      <c r="D723" s="562">
        <v>0</v>
      </c>
      <c r="E723" s="562">
        <v>0</v>
      </c>
      <c r="F723" s="562">
        <v>0</v>
      </c>
      <c r="G723" s="562">
        <v>0</v>
      </c>
      <c r="H723" s="562">
        <v>0</v>
      </c>
      <c r="I723" s="562">
        <v>0</v>
      </c>
      <c r="J723" s="562">
        <v>0</v>
      </c>
      <c r="K723" s="562">
        <v>0</v>
      </c>
      <c r="L723" s="562">
        <v>0</v>
      </c>
      <c r="M723" s="562">
        <v>0</v>
      </c>
      <c r="N723" s="562">
        <v>0</v>
      </c>
      <c r="O723" s="562">
        <v>0</v>
      </c>
      <c r="P723" s="562">
        <v>0</v>
      </c>
      <c r="Q723" s="562">
        <v>0</v>
      </c>
      <c r="R723" s="562">
        <v>0</v>
      </c>
      <c r="S723" s="562">
        <v>0</v>
      </c>
      <c r="T723" s="562">
        <v>0</v>
      </c>
      <c r="U723" s="562">
        <v>0</v>
      </c>
      <c r="V723" s="562">
        <v>0</v>
      </c>
      <c r="W723" s="562">
        <v>0</v>
      </c>
      <c r="X723" s="562">
        <v>0</v>
      </c>
      <c r="Y723" s="562">
        <v>0</v>
      </c>
      <c r="Z723" s="562">
        <v>0</v>
      </c>
      <c r="AA723" s="562">
        <v>0</v>
      </c>
      <c r="AB723" s="562">
        <v>0</v>
      </c>
      <c r="AC723" s="562">
        <v>0</v>
      </c>
      <c r="AD723" s="562">
        <v>0</v>
      </c>
      <c r="AE723" s="562">
        <v>0</v>
      </c>
      <c r="AF723" s="562">
        <v>0</v>
      </c>
      <c r="AG723" s="562">
        <v>0</v>
      </c>
      <c r="AH723" s="562">
        <v>0</v>
      </c>
      <c r="AI723" s="562">
        <v>0</v>
      </c>
      <c r="AJ723" s="562">
        <v>0</v>
      </c>
      <c r="AK723" s="562">
        <v>0</v>
      </c>
      <c r="AL723" s="562">
        <v>0</v>
      </c>
      <c r="AM723" s="562">
        <v>0</v>
      </c>
      <c r="AN723" s="562">
        <v>0</v>
      </c>
      <c r="AO723" s="562">
        <v>0</v>
      </c>
    </row>
    <row r="724" spans="2:41" x14ac:dyDescent="0.15">
      <c r="B724" s="563">
        <v>-40</v>
      </c>
      <c r="C724" s="564"/>
      <c r="D724" s="564"/>
      <c r="E724" s="564"/>
      <c r="F724" s="564"/>
      <c r="G724" s="564"/>
      <c r="H724" s="564"/>
      <c r="I724" s="564"/>
      <c r="J724" s="564"/>
      <c r="K724" s="564"/>
      <c r="L724" s="564"/>
      <c r="M724" s="564"/>
      <c r="N724" s="564"/>
      <c r="O724" s="564"/>
      <c r="P724" s="564"/>
      <c r="Q724" s="564"/>
      <c r="R724" s="564"/>
      <c r="S724" s="564"/>
      <c r="T724" s="564"/>
      <c r="U724" s="564"/>
      <c r="V724" s="564"/>
      <c r="W724" s="564"/>
      <c r="X724" s="564"/>
      <c r="Y724" s="564"/>
      <c r="Z724" s="564"/>
      <c r="AA724" s="564"/>
      <c r="AB724" s="564"/>
      <c r="AC724" s="564"/>
      <c r="AD724" s="564"/>
      <c r="AE724" s="564"/>
      <c r="AF724" s="564"/>
      <c r="AG724" s="564"/>
      <c r="AH724" s="564"/>
      <c r="AI724" s="564"/>
      <c r="AJ724" s="564"/>
      <c r="AK724" s="564"/>
      <c r="AL724" s="564"/>
      <c r="AM724" s="564"/>
      <c r="AN724" s="564"/>
      <c r="AO724" s="564"/>
    </row>
    <row r="725" spans="2:41" x14ac:dyDescent="0.15">
      <c r="B725" s="565">
        <v>-39</v>
      </c>
      <c r="C725" s="564"/>
      <c r="D725" s="564"/>
      <c r="E725" s="564"/>
      <c r="F725" s="564"/>
      <c r="G725" s="564"/>
      <c r="H725" s="564"/>
      <c r="I725" s="564"/>
      <c r="J725" s="564"/>
      <c r="K725" s="564"/>
      <c r="L725" s="564"/>
      <c r="M725" s="564"/>
      <c r="N725" s="564"/>
      <c r="O725" s="564"/>
      <c r="P725" s="564"/>
      <c r="Q725" s="564"/>
      <c r="R725" s="564"/>
      <c r="S725" s="564"/>
      <c r="T725" s="564"/>
      <c r="U725" s="564"/>
      <c r="V725" s="564"/>
      <c r="W725" s="564"/>
      <c r="X725" s="564"/>
      <c r="Y725" s="564"/>
      <c r="Z725" s="564"/>
      <c r="AA725" s="564"/>
      <c r="AB725" s="564"/>
      <c r="AC725" s="564"/>
      <c r="AD725" s="564"/>
      <c r="AE725" s="564"/>
      <c r="AF725" s="564"/>
      <c r="AG725" s="564"/>
      <c r="AH725" s="564"/>
      <c r="AI725" s="564"/>
      <c r="AJ725" s="564"/>
      <c r="AK725" s="564"/>
      <c r="AL725" s="564"/>
      <c r="AM725" s="564"/>
      <c r="AN725" s="564"/>
      <c r="AO725" s="564"/>
    </row>
    <row r="726" spans="2:41" x14ac:dyDescent="0.15">
      <c r="B726" s="565">
        <v>-38</v>
      </c>
      <c r="C726" s="564"/>
      <c r="D726" s="564"/>
      <c r="E726" s="564"/>
      <c r="F726" s="564"/>
      <c r="G726" s="564"/>
      <c r="H726" s="564"/>
      <c r="I726" s="564"/>
      <c r="J726" s="564"/>
      <c r="K726" s="564"/>
      <c r="L726" s="564"/>
      <c r="M726" s="564"/>
      <c r="N726" s="564"/>
      <c r="O726" s="564"/>
      <c r="P726" s="564"/>
      <c r="Q726" s="564"/>
      <c r="R726" s="564"/>
      <c r="S726" s="564"/>
      <c r="T726" s="564"/>
      <c r="U726" s="564"/>
      <c r="V726" s="564"/>
      <c r="W726" s="564"/>
      <c r="X726" s="564"/>
      <c r="Y726" s="564"/>
      <c r="Z726" s="564"/>
      <c r="AA726" s="564"/>
      <c r="AB726" s="564"/>
      <c r="AC726" s="564"/>
      <c r="AD726" s="564"/>
      <c r="AE726" s="564"/>
      <c r="AF726" s="564"/>
      <c r="AG726" s="564"/>
      <c r="AH726" s="564"/>
      <c r="AI726" s="564"/>
      <c r="AJ726" s="564"/>
      <c r="AK726" s="564"/>
      <c r="AL726" s="564"/>
      <c r="AM726" s="564"/>
      <c r="AN726" s="564"/>
      <c r="AO726" s="564"/>
    </row>
    <row r="727" spans="2:41" x14ac:dyDescent="0.15">
      <c r="B727" s="565">
        <v>-37</v>
      </c>
      <c r="C727" s="564"/>
      <c r="D727" s="564"/>
      <c r="E727" s="564"/>
      <c r="F727" s="564"/>
      <c r="G727" s="564"/>
      <c r="H727" s="564"/>
      <c r="I727" s="564"/>
      <c r="J727" s="564"/>
      <c r="K727" s="564"/>
      <c r="L727" s="564"/>
      <c r="M727" s="564"/>
      <c r="N727" s="564"/>
      <c r="O727" s="564"/>
      <c r="P727" s="564"/>
      <c r="Q727" s="564"/>
      <c r="R727" s="564"/>
      <c r="S727" s="564"/>
      <c r="T727" s="564"/>
      <c r="U727" s="564"/>
      <c r="V727" s="564"/>
      <c r="W727" s="564"/>
      <c r="X727" s="564"/>
      <c r="Y727" s="564"/>
      <c r="Z727" s="564"/>
      <c r="AA727" s="564"/>
      <c r="AB727" s="564"/>
      <c r="AC727" s="564"/>
      <c r="AD727" s="564"/>
      <c r="AE727" s="564"/>
      <c r="AF727" s="564"/>
      <c r="AG727" s="564"/>
      <c r="AH727" s="564"/>
      <c r="AI727" s="564"/>
      <c r="AJ727" s="564"/>
      <c r="AK727" s="564"/>
      <c r="AL727" s="564"/>
      <c r="AM727" s="564"/>
      <c r="AN727" s="564"/>
      <c r="AO727" s="564"/>
    </row>
    <row r="728" spans="2:41" x14ac:dyDescent="0.15">
      <c r="B728" s="565">
        <v>-36</v>
      </c>
      <c r="C728" s="564"/>
      <c r="D728" s="564"/>
      <c r="E728" s="564"/>
      <c r="F728" s="564"/>
      <c r="G728" s="564"/>
      <c r="H728" s="564"/>
      <c r="I728" s="564"/>
      <c r="J728" s="564"/>
      <c r="K728" s="564"/>
      <c r="L728" s="564"/>
      <c r="M728" s="564"/>
      <c r="N728" s="564"/>
      <c r="O728" s="564"/>
      <c r="P728" s="564"/>
      <c r="Q728" s="564"/>
      <c r="R728" s="564"/>
      <c r="S728" s="564"/>
      <c r="T728" s="564"/>
      <c r="U728" s="564"/>
      <c r="V728" s="564"/>
      <c r="W728" s="564"/>
      <c r="X728" s="564"/>
      <c r="Y728" s="564"/>
      <c r="Z728" s="564"/>
      <c r="AA728" s="564"/>
      <c r="AB728" s="564"/>
      <c r="AC728" s="564"/>
      <c r="AD728" s="564"/>
      <c r="AE728" s="564"/>
      <c r="AF728" s="564"/>
      <c r="AG728" s="564"/>
      <c r="AH728" s="564"/>
      <c r="AI728" s="564"/>
      <c r="AJ728" s="564"/>
      <c r="AK728" s="564"/>
      <c r="AL728" s="564"/>
      <c r="AM728" s="564"/>
      <c r="AN728" s="564"/>
      <c r="AO728" s="564"/>
    </row>
    <row r="729" spans="2:41" x14ac:dyDescent="0.15">
      <c r="B729" s="565">
        <v>-35</v>
      </c>
      <c r="C729" s="564"/>
      <c r="D729" s="564"/>
      <c r="E729" s="564"/>
      <c r="F729" s="564"/>
      <c r="G729" s="564"/>
      <c r="H729" s="564"/>
      <c r="I729" s="564"/>
      <c r="J729" s="564"/>
      <c r="K729" s="564"/>
      <c r="L729" s="564"/>
      <c r="M729" s="564"/>
      <c r="N729" s="564"/>
      <c r="O729" s="564"/>
      <c r="P729" s="564"/>
      <c r="Q729" s="564"/>
      <c r="R729" s="564"/>
      <c r="S729" s="564"/>
      <c r="T729" s="564"/>
      <c r="U729" s="564"/>
      <c r="V729" s="564"/>
      <c r="W729" s="564"/>
      <c r="X729" s="564"/>
      <c r="Y729" s="564"/>
      <c r="Z729" s="564"/>
      <c r="AA729" s="564"/>
      <c r="AB729" s="564"/>
      <c r="AC729" s="564"/>
      <c r="AD729" s="564"/>
      <c r="AE729" s="564"/>
      <c r="AF729" s="564"/>
      <c r="AG729" s="564"/>
      <c r="AH729" s="564"/>
      <c r="AI729" s="564"/>
      <c r="AJ729" s="564"/>
      <c r="AK729" s="564"/>
      <c r="AL729" s="564"/>
      <c r="AM729" s="564"/>
      <c r="AN729" s="564"/>
      <c r="AO729" s="564"/>
    </row>
    <row r="730" spans="2:41" x14ac:dyDescent="0.15">
      <c r="B730" s="565">
        <v>-34</v>
      </c>
      <c r="C730" s="564"/>
      <c r="D730" s="564"/>
      <c r="E730" s="564"/>
      <c r="F730" s="564"/>
      <c r="G730" s="564"/>
      <c r="H730" s="564"/>
      <c r="I730" s="564"/>
      <c r="J730" s="564"/>
      <c r="K730" s="564"/>
      <c r="L730" s="564"/>
      <c r="M730" s="564"/>
      <c r="N730" s="564"/>
      <c r="O730" s="564"/>
      <c r="P730" s="564"/>
      <c r="Q730" s="564"/>
      <c r="R730" s="564"/>
      <c r="S730" s="564"/>
      <c r="T730" s="564"/>
      <c r="U730" s="564"/>
      <c r="V730" s="564"/>
      <c r="W730" s="564"/>
      <c r="X730" s="564"/>
      <c r="Y730" s="564"/>
      <c r="Z730" s="564"/>
      <c r="AA730" s="564"/>
      <c r="AB730" s="564"/>
      <c r="AC730" s="564"/>
      <c r="AD730" s="564"/>
      <c r="AE730" s="564"/>
      <c r="AF730" s="564"/>
      <c r="AG730" s="564"/>
      <c r="AH730" s="564"/>
      <c r="AI730" s="564"/>
      <c r="AJ730" s="564"/>
      <c r="AK730" s="564"/>
      <c r="AL730" s="564"/>
      <c r="AM730" s="564"/>
      <c r="AN730" s="564"/>
      <c r="AO730" s="564"/>
    </row>
    <row r="731" spans="2:41" x14ac:dyDescent="0.15">
      <c r="B731" s="565">
        <v>-33</v>
      </c>
      <c r="C731" s="564"/>
      <c r="D731" s="564"/>
      <c r="E731" s="564"/>
      <c r="F731" s="564"/>
      <c r="G731" s="564"/>
      <c r="H731" s="564"/>
      <c r="I731" s="564"/>
      <c r="J731" s="564"/>
      <c r="K731" s="564"/>
      <c r="L731" s="564"/>
      <c r="M731" s="564"/>
      <c r="N731" s="564"/>
      <c r="O731" s="564"/>
      <c r="P731" s="564"/>
      <c r="Q731" s="564"/>
      <c r="R731" s="564"/>
      <c r="S731" s="564"/>
      <c r="T731" s="564"/>
      <c r="U731" s="564"/>
      <c r="V731" s="564"/>
      <c r="W731" s="564"/>
      <c r="X731" s="564"/>
      <c r="Y731" s="564"/>
      <c r="Z731" s="564"/>
      <c r="AA731" s="564"/>
      <c r="AB731" s="564"/>
      <c r="AC731" s="564"/>
      <c r="AD731" s="564"/>
      <c r="AE731" s="564"/>
      <c r="AF731" s="564"/>
      <c r="AG731" s="564"/>
      <c r="AH731" s="564"/>
      <c r="AI731" s="564"/>
      <c r="AJ731" s="564"/>
      <c r="AK731" s="564"/>
      <c r="AL731" s="564"/>
      <c r="AM731" s="564"/>
      <c r="AN731" s="564"/>
      <c r="AO731" s="564"/>
    </row>
    <row r="732" spans="2:41" x14ac:dyDescent="0.15">
      <c r="B732" s="565">
        <v>-32</v>
      </c>
      <c r="C732" s="564"/>
      <c r="D732" s="564"/>
      <c r="E732" s="564"/>
      <c r="F732" s="564"/>
      <c r="G732" s="564"/>
      <c r="H732" s="564"/>
      <c r="I732" s="564"/>
      <c r="J732" s="564"/>
      <c r="K732" s="564"/>
      <c r="L732" s="564"/>
      <c r="M732" s="564"/>
      <c r="N732" s="564"/>
      <c r="O732" s="564"/>
      <c r="P732" s="564"/>
      <c r="Q732" s="564"/>
      <c r="R732" s="564"/>
      <c r="S732" s="564"/>
      <c r="T732" s="564"/>
      <c r="U732" s="564"/>
      <c r="V732" s="564"/>
      <c r="W732" s="564"/>
      <c r="X732" s="564"/>
      <c r="Y732" s="564"/>
      <c r="Z732" s="564"/>
      <c r="AA732" s="564"/>
      <c r="AB732" s="564"/>
      <c r="AC732" s="564"/>
      <c r="AD732" s="564"/>
      <c r="AE732" s="564"/>
      <c r="AF732" s="564"/>
      <c r="AG732" s="564"/>
      <c r="AH732" s="564"/>
      <c r="AI732" s="564"/>
      <c r="AJ732" s="564"/>
      <c r="AK732" s="564"/>
      <c r="AL732" s="564"/>
      <c r="AM732" s="564"/>
      <c r="AN732" s="564"/>
      <c r="AO732" s="564"/>
    </row>
    <row r="733" spans="2:41" x14ac:dyDescent="0.15">
      <c r="B733" s="565">
        <v>-31</v>
      </c>
      <c r="C733" s="564"/>
      <c r="D733" s="564"/>
      <c r="E733" s="564"/>
      <c r="F733" s="564"/>
      <c r="G733" s="564"/>
      <c r="H733" s="564"/>
      <c r="I733" s="564"/>
      <c r="J733" s="564"/>
      <c r="K733" s="564"/>
      <c r="L733" s="564"/>
      <c r="M733" s="564"/>
      <c r="N733" s="564"/>
      <c r="O733" s="564"/>
      <c r="P733" s="564"/>
      <c r="Q733" s="564"/>
      <c r="R733" s="564"/>
      <c r="S733" s="564"/>
      <c r="T733" s="564"/>
      <c r="U733" s="564"/>
      <c r="V733" s="564"/>
      <c r="W733" s="564"/>
      <c r="X733" s="564"/>
      <c r="Y733" s="564"/>
      <c r="Z733" s="564"/>
      <c r="AA733" s="564"/>
      <c r="AB733" s="564"/>
      <c r="AC733" s="564"/>
      <c r="AD733" s="564"/>
      <c r="AE733" s="564"/>
      <c r="AF733" s="564"/>
      <c r="AG733" s="564"/>
      <c r="AH733" s="564"/>
      <c r="AI733" s="564"/>
      <c r="AJ733" s="564"/>
      <c r="AK733" s="564"/>
      <c r="AL733" s="564"/>
      <c r="AM733" s="564"/>
      <c r="AN733" s="564"/>
      <c r="AO733" s="564"/>
    </row>
    <row r="734" spans="2:41" x14ac:dyDescent="0.15">
      <c r="B734" s="565">
        <v>-30</v>
      </c>
      <c r="C734" s="564"/>
      <c r="D734" s="564"/>
      <c r="E734" s="564"/>
      <c r="F734" s="564"/>
      <c r="G734" s="564"/>
      <c r="H734" s="564"/>
      <c r="I734" s="564"/>
      <c r="J734" s="564"/>
      <c r="K734" s="564"/>
      <c r="L734" s="564"/>
      <c r="M734" s="564"/>
      <c r="N734" s="564"/>
      <c r="O734" s="564"/>
      <c r="P734" s="564"/>
      <c r="Q734" s="564"/>
      <c r="R734" s="564"/>
      <c r="S734" s="564"/>
      <c r="T734" s="564"/>
      <c r="U734" s="564"/>
      <c r="V734" s="564"/>
      <c r="W734" s="564"/>
      <c r="X734" s="564"/>
      <c r="Y734" s="564"/>
      <c r="Z734" s="564"/>
      <c r="AA734" s="564"/>
      <c r="AB734" s="564"/>
      <c r="AC734" s="564"/>
      <c r="AD734" s="564"/>
      <c r="AE734" s="564"/>
      <c r="AF734" s="564"/>
      <c r="AG734" s="564"/>
      <c r="AH734" s="564"/>
      <c r="AI734" s="564"/>
      <c r="AJ734" s="564"/>
      <c r="AK734" s="564"/>
      <c r="AL734" s="564"/>
      <c r="AM734" s="564"/>
      <c r="AN734" s="564"/>
      <c r="AO734" s="564"/>
    </row>
    <row r="735" spans="2:41" x14ac:dyDescent="0.15">
      <c r="B735" s="565">
        <v>-29</v>
      </c>
      <c r="C735" s="564"/>
      <c r="D735" s="564"/>
      <c r="E735" s="564"/>
      <c r="F735" s="564"/>
      <c r="G735" s="564"/>
      <c r="H735" s="564"/>
      <c r="I735" s="564"/>
      <c r="J735" s="564"/>
      <c r="K735" s="564"/>
      <c r="L735" s="564"/>
      <c r="M735" s="564"/>
      <c r="N735" s="564"/>
      <c r="O735" s="564"/>
      <c r="P735" s="564"/>
      <c r="Q735" s="564"/>
      <c r="R735" s="564"/>
      <c r="S735" s="564"/>
      <c r="T735" s="564"/>
      <c r="U735" s="564"/>
      <c r="V735" s="564"/>
      <c r="W735" s="564"/>
      <c r="X735" s="564"/>
      <c r="Y735" s="564"/>
      <c r="Z735" s="564"/>
      <c r="AA735" s="564"/>
      <c r="AB735" s="564"/>
      <c r="AC735" s="564"/>
      <c r="AD735" s="564"/>
      <c r="AE735" s="564"/>
      <c r="AF735" s="564"/>
      <c r="AG735" s="564"/>
      <c r="AH735" s="564"/>
      <c r="AI735" s="564"/>
      <c r="AJ735" s="564"/>
      <c r="AK735" s="564"/>
      <c r="AL735" s="564"/>
      <c r="AM735" s="564"/>
      <c r="AN735" s="564"/>
      <c r="AO735" s="564"/>
    </row>
    <row r="736" spans="2:41" x14ac:dyDescent="0.15">
      <c r="B736" s="565">
        <v>-28</v>
      </c>
      <c r="C736" s="564"/>
      <c r="D736" s="564"/>
      <c r="E736" s="564"/>
      <c r="F736" s="564"/>
      <c r="G736" s="564"/>
      <c r="H736" s="564"/>
      <c r="I736" s="564"/>
      <c r="J736" s="564"/>
      <c r="K736" s="564"/>
      <c r="L736" s="564"/>
      <c r="M736" s="564"/>
      <c r="N736" s="564"/>
      <c r="O736" s="564"/>
      <c r="P736" s="564"/>
      <c r="Q736" s="564"/>
      <c r="R736" s="564"/>
      <c r="S736" s="564"/>
      <c r="T736" s="564"/>
      <c r="U736" s="564"/>
      <c r="V736" s="564"/>
      <c r="W736" s="564"/>
      <c r="X736" s="564"/>
      <c r="Y736" s="564"/>
      <c r="Z736" s="564"/>
      <c r="AA736" s="564"/>
      <c r="AB736" s="564"/>
      <c r="AC736" s="564"/>
      <c r="AD736" s="564"/>
      <c r="AE736" s="564"/>
      <c r="AF736" s="564"/>
      <c r="AG736" s="564"/>
      <c r="AH736" s="564"/>
      <c r="AI736" s="564"/>
      <c r="AJ736" s="564"/>
      <c r="AK736" s="564"/>
      <c r="AL736" s="564"/>
      <c r="AM736" s="564"/>
      <c r="AN736" s="564"/>
      <c r="AO736" s="564"/>
    </row>
    <row r="737" spans="2:41" x14ac:dyDescent="0.15">
      <c r="B737" s="565">
        <v>-27</v>
      </c>
      <c r="C737" s="564"/>
      <c r="D737" s="564"/>
      <c r="E737" s="564"/>
      <c r="F737" s="564"/>
      <c r="G737" s="564"/>
      <c r="H737" s="564"/>
      <c r="I737" s="564"/>
      <c r="J737" s="564"/>
      <c r="K737" s="564"/>
      <c r="L737" s="564"/>
      <c r="M737" s="564"/>
      <c r="N737" s="564"/>
      <c r="O737" s="564"/>
      <c r="P737" s="564"/>
      <c r="Q737" s="564"/>
      <c r="R737" s="564"/>
      <c r="S737" s="564"/>
      <c r="T737" s="564"/>
      <c r="U737" s="564"/>
      <c r="V737" s="564"/>
      <c r="W737" s="564"/>
      <c r="X737" s="564"/>
      <c r="Y737" s="564"/>
      <c r="Z737" s="564"/>
      <c r="AA737" s="564"/>
      <c r="AB737" s="564"/>
      <c r="AC737" s="564"/>
      <c r="AD737" s="564"/>
      <c r="AE737" s="564"/>
      <c r="AF737" s="564"/>
      <c r="AG737" s="564"/>
      <c r="AH737" s="564"/>
      <c r="AI737" s="564"/>
      <c r="AJ737" s="564"/>
      <c r="AK737" s="564"/>
      <c r="AL737" s="564"/>
      <c r="AM737" s="564"/>
      <c r="AN737" s="564"/>
      <c r="AO737" s="564"/>
    </row>
    <row r="738" spans="2:41" x14ac:dyDescent="0.15">
      <c r="B738" s="565">
        <v>-26</v>
      </c>
      <c r="C738" s="564"/>
      <c r="D738" s="564"/>
      <c r="E738" s="564"/>
      <c r="F738" s="564"/>
      <c r="G738" s="564"/>
      <c r="H738" s="564"/>
      <c r="I738" s="564"/>
      <c r="J738" s="564"/>
      <c r="K738" s="564"/>
      <c r="L738" s="564"/>
      <c r="M738" s="564"/>
      <c r="N738" s="564"/>
      <c r="O738" s="564"/>
      <c r="P738" s="564"/>
      <c r="Q738" s="564"/>
      <c r="R738" s="564"/>
      <c r="S738" s="564"/>
      <c r="T738" s="564"/>
      <c r="U738" s="564"/>
      <c r="V738" s="564"/>
      <c r="W738" s="564"/>
      <c r="X738" s="564"/>
      <c r="Y738" s="564"/>
      <c r="Z738" s="564"/>
      <c r="AA738" s="564"/>
      <c r="AB738" s="564"/>
      <c r="AC738" s="564"/>
      <c r="AD738" s="564"/>
      <c r="AE738" s="564"/>
      <c r="AF738" s="564"/>
      <c r="AG738" s="564"/>
      <c r="AH738" s="564"/>
      <c r="AI738" s="564"/>
      <c r="AJ738" s="564"/>
      <c r="AK738" s="564"/>
      <c r="AL738" s="564"/>
      <c r="AM738" s="564"/>
      <c r="AN738" s="564"/>
      <c r="AO738" s="564"/>
    </row>
    <row r="739" spans="2:41" x14ac:dyDescent="0.15">
      <c r="B739" s="565">
        <v>-25</v>
      </c>
      <c r="C739" s="564"/>
      <c r="D739" s="564"/>
      <c r="E739" s="564"/>
      <c r="F739" s="564"/>
      <c r="G739" s="564"/>
      <c r="H739" s="564"/>
      <c r="I739" s="564"/>
      <c r="J739" s="564"/>
      <c r="K739" s="564"/>
      <c r="L739" s="564"/>
      <c r="M739" s="564"/>
      <c r="N739" s="564"/>
      <c r="O739" s="564"/>
      <c r="P739" s="564"/>
      <c r="Q739" s="564"/>
      <c r="R739" s="564"/>
      <c r="S739" s="564"/>
      <c r="T739" s="564"/>
      <c r="U739" s="564"/>
      <c r="V739" s="564"/>
      <c r="W739" s="564"/>
      <c r="X739" s="564"/>
      <c r="Y739" s="564"/>
      <c r="Z739" s="564"/>
      <c r="AA739" s="564"/>
      <c r="AB739" s="564"/>
      <c r="AC739" s="564"/>
      <c r="AD739" s="564"/>
      <c r="AE739" s="564"/>
      <c r="AF739" s="564"/>
      <c r="AG739" s="564"/>
      <c r="AH739" s="564"/>
      <c r="AI739" s="564"/>
      <c r="AJ739" s="564"/>
      <c r="AK739" s="564"/>
      <c r="AL739" s="564"/>
      <c r="AM739" s="564"/>
      <c r="AN739" s="564"/>
      <c r="AO739" s="564"/>
    </row>
    <row r="740" spans="2:41" x14ac:dyDescent="0.15">
      <c r="B740" s="565">
        <v>-24</v>
      </c>
      <c r="C740" s="564"/>
      <c r="D740" s="564"/>
      <c r="E740" s="564"/>
      <c r="F740" s="564"/>
      <c r="G740" s="564"/>
      <c r="H740" s="564"/>
      <c r="I740" s="564"/>
      <c r="J740" s="564"/>
      <c r="K740" s="564"/>
      <c r="L740" s="564"/>
      <c r="M740" s="564"/>
      <c r="N740" s="564"/>
      <c r="O740" s="564"/>
      <c r="P740" s="564"/>
      <c r="Q740" s="564"/>
      <c r="R740" s="564"/>
      <c r="S740" s="564"/>
      <c r="T740" s="564"/>
      <c r="U740" s="564"/>
      <c r="V740" s="564"/>
      <c r="W740" s="564"/>
      <c r="X740" s="564"/>
      <c r="Y740" s="564"/>
      <c r="Z740" s="564"/>
      <c r="AA740" s="564"/>
      <c r="AB740" s="564"/>
      <c r="AC740" s="564"/>
      <c r="AD740" s="564"/>
      <c r="AE740" s="564"/>
      <c r="AF740" s="564"/>
      <c r="AG740" s="564"/>
      <c r="AH740" s="564"/>
      <c r="AI740" s="564"/>
      <c r="AJ740" s="564"/>
      <c r="AK740" s="564"/>
      <c r="AL740" s="564"/>
      <c r="AM740" s="564"/>
      <c r="AN740" s="564"/>
      <c r="AO740" s="564"/>
    </row>
    <row r="741" spans="2:41" x14ac:dyDescent="0.15">
      <c r="B741" s="565">
        <v>-23</v>
      </c>
      <c r="C741" s="564"/>
      <c r="D741" s="564"/>
      <c r="E741" s="564"/>
      <c r="F741" s="564"/>
      <c r="G741" s="564"/>
      <c r="H741" s="564"/>
      <c r="I741" s="564"/>
      <c r="J741" s="564"/>
      <c r="K741" s="564"/>
      <c r="L741" s="564"/>
      <c r="M741" s="564"/>
      <c r="N741" s="564"/>
      <c r="O741" s="564"/>
      <c r="P741" s="564"/>
      <c r="Q741" s="564"/>
      <c r="R741" s="564"/>
      <c r="S741" s="564"/>
      <c r="T741" s="564"/>
      <c r="U741" s="564"/>
      <c r="V741" s="564"/>
      <c r="W741" s="564"/>
      <c r="X741" s="564"/>
      <c r="Y741" s="564"/>
      <c r="Z741" s="564"/>
      <c r="AA741" s="564"/>
      <c r="AB741" s="564"/>
      <c r="AC741" s="564"/>
      <c r="AD741" s="564"/>
      <c r="AE741" s="564"/>
      <c r="AF741" s="564"/>
      <c r="AG741" s="564"/>
      <c r="AH741" s="564"/>
      <c r="AI741" s="564"/>
      <c r="AJ741" s="564"/>
      <c r="AK741" s="564"/>
      <c r="AL741" s="564"/>
      <c r="AM741" s="564"/>
      <c r="AN741" s="564"/>
      <c r="AO741" s="564"/>
    </row>
    <row r="742" spans="2:41" x14ac:dyDescent="0.15">
      <c r="B742" s="565">
        <v>-22</v>
      </c>
      <c r="C742" s="564"/>
      <c r="D742" s="564"/>
      <c r="E742" s="564"/>
      <c r="F742" s="564"/>
      <c r="G742" s="564"/>
      <c r="H742" s="564"/>
      <c r="I742" s="564"/>
      <c r="J742" s="564"/>
      <c r="K742" s="564"/>
      <c r="L742" s="564"/>
      <c r="M742" s="564"/>
      <c r="N742" s="564"/>
      <c r="O742" s="564"/>
      <c r="P742" s="564"/>
      <c r="Q742" s="564"/>
      <c r="R742" s="564"/>
      <c r="S742" s="564"/>
      <c r="T742" s="564"/>
      <c r="U742" s="564"/>
      <c r="V742" s="564"/>
      <c r="W742" s="564"/>
      <c r="X742" s="564"/>
      <c r="Y742" s="564"/>
      <c r="Z742" s="564"/>
      <c r="AA742" s="564"/>
      <c r="AB742" s="564"/>
      <c r="AC742" s="564"/>
      <c r="AD742" s="564"/>
      <c r="AE742" s="564"/>
      <c r="AF742" s="564"/>
      <c r="AG742" s="564"/>
      <c r="AH742" s="564"/>
      <c r="AI742" s="564"/>
      <c r="AJ742" s="564"/>
      <c r="AK742" s="564"/>
      <c r="AL742" s="564"/>
      <c r="AM742" s="564"/>
      <c r="AN742" s="564"/>
      <c r="AO742" s="564"/>
    </row>
    <row r="743" spans="2:41" x14ac:dyDescent="0.15">
      <c r="B743" s="565">
        <v>-21</v>
      </c>
      <c r="C743" s="564"/>
      <c r="D743" s="564"/>
      <c r="E743" s="564"/>
      <c r="F743" s="564"/>
      <c r="G743" s="564"/>
      <c r="H743" s="564"/>
      <c r="I743" s="564"/>
      <c r="J743" s="564"/>
      <c r="K743" s="564"/>
      <c r="L743" s="564"/>
      <c r="M743" s="564"/>
      <c r="N743" s="564"/>
      <c r="O743" s="564"/>
      <c r="P743" s="564"/>
      <c r="Q743" s="564"/>
      <c r="R743" s="564"/>
      <c r="S743" s="564"/>
      <c r="T743" s="564"/>
      <c r="U743" s="564"/>
      <c r="V743" s="564"/>
      <c r="W743" s="564"/>
      <c r="X743" s="564"/>
      <c r="Y743" s="564"/>
      <c r="Z743" s="564"/>
      <c r="AA743" s="564"/>
      <c r="AB743" s="564"/>
      <c r="AC743" s="564"/>
      <c r="AD743" s="564"/>
      <c r="AE743" s="564"/>
      <c r="AF743" s="564"/>
      <c r="AG743" s="564"/>
      <c r="AH743" s="564"/>
      <c r="AI743" s="564"/>
      <c r="AJ743" s="564"/>
      <c r="AK743" s="564"/>
      <c r="AL743" s="564"/>
      <c r="AM743" s="564"/>
      <c r="AN743" s="564"/>
      <c r="AO743" s="564"/>
    </row>
    <row r="744" spans="2:41" x14ac:dyDescent="0.15">
      <c r="B744" s="565">
        <v>-20</v>
      </c>
      <c r="C744" s="564"/>
      <c r="D744" s="564"/>
      <c r="E744" s="564"/>
      <c r="F744" s="564"/>
      <c r="G744" s="564"/>
      <c r="H744" s="564"/>
      <c r="I744" s="564"/>
      <c r="J744" s="564"/>
      <c r="K744" s="564"/>
      <c r="L744" s="564"/>
      <c r="M744" s="564"/>
      <c r="N744" s="564"/>
      <c r="O744" s="564"/>
      <c r="P744" s="564"/>
      <c r="Q744" s="564"/>
      <c r="R744" s="564"/>
      <c r="S744" s="564"/>
      <c r="T744" s="564"/>
      <c r="U744" s="564"/>
      <c r="V744" s="564"/>
      <c r="W744" s="564"/>
      <c r="X744" s="564"/>
      <c r="Y744" s="564"/>
      <c r="Z744" s="564"/>
      <c r="AA744" s="564"/>
      <c r="AB744" s="564"/>
      <c r="AC744" s="564"/>
      <c r="AD744" s="564"/>
      <c r="AE744" s="564"/>
      <c r="AF744" s="564"/>
      <c r="AG744" s="564"/>
      <c r="AH744" s="564"/>
      <c r="AI744" s="564"/>
      <c r="AJ744" s="564"/>
      <c r="AK744" s="564"/>
      <c r="AL744" s="564"/>
      <c r="AM744" s="564"/>
      <c r="AN744" s="564"/>
      <c r="AO744" s="564"/>
    </row>
    <row r="745" spans="2:41" x14ac:dyDescent="0.15">
      <c r="B745" s="565">
        <v>-19</v>
      </c>
      <c r="C745" s="564"/>
      <c r="D745" s="564"/>
      <c r="E745" s="564"/>
      <c r="F745" s="564"/>
      <c r="G745" s="564"/>
      <c r="H745" s="564"/>
      <c r="I745" s="564"/>
      <c r="J745" s="564"/>
      <c r="K745" s="564"/>
      <c r="L745" s="564"/>
      <c r="M745" s="564"/>
      <c r="N745" s="564"/>
      <c r="O745" s="564"/>
      <c r="P745" s="564"/>
      <c r="Q745" s="564"/>
      <c r="R745" s="564"/>
      <c r="S745" s="564"/>
      <c r="T745" s="564"/>
      <c r="U745" s="564"/>
      <c r="V745" s="564"/>
      <c r="W745" s="564"/>
      <c r="X745" s="564"/>
      <c r="Y745" s="564"/>
      <c r="Z745" s="564"/>
      <c r="AA745" s="564"/>
      <c r="AB745" s="564"/>
      <c r="AC745" s="564"/>
      <c r="AD745" s="564"/>
      <c r="AE745" s="564"/>
      <c r="AF745" s="564"/>
      <c r="AG745" s="564"/>
      <c r="AH745" s="564"/>
      <c r="AI745" s="564"/>
      <c r="AJ745" s="564"/>
      <c r="AK745" s="564"/>
      <c r="AL745" s="564"/>
      <c r="AM745" s="564"/>
      <c r="AN745" s="564"/>
      <c r="AO745" s="564"/>
    </row>
    <row r="746" spans="2:41" x14ac:dyDescent="0.15">
      <c r="B746" s="565">
        <v>-18</v>
      </c>
      <c r="C746" s="564"/>
      <c r="D746" s="564"/>
      <c r="E746" s="564"/>
      <c r="F746" s="564"/>
      <c r="G746" s="564"/>
      <c r="H746" s="564"/>
      <c r="I746" s="564"/>
      <c r="J746" s="564"/>
      <c r="K746" s="564"/>
      <c r="L746" s="564"/>
      <c r="M746" s="564"/>
      <c r="N746" s="564"/>
      <c r="O746" s="564"/>
      <c r="P746" s="564"/>
      <c r="Q746" s="564"/>
      <c r="R746" s="564"/>
      <c r="S746" s="564"/>
      <c r="T746" s="564"/>
      <c r="U746" s="564"/>
      <c r="V746" s="564"/>
      <c r="W746" s="564"/>
      <c r="X746" s="564"/>
      <c r="Y746" s="564"/>
      <c r="Z746" s="564"/>
      <c r="AA746" s="564"/>
      <c r="AB746" s="564"/>
      <c r="AC746" s="564"/>
      <c r="AD746" s="564"/>
      <c r="AE746" s="564"/>
      <c r="AF746" s="564"/>
      <c r="AG746" s="564"/>
      <c r="AH746" s="564"/>
      <c r="AI746" s="564"/>
      <c r="AJ746" s="564"/>
      <c r="AK746" s="564"/>
      <c r="AL746" s="564"/>
      <c r="AM746" s="564"/>
      <c r="AN746" s="564"/>
      <c r="AO746" s="564"/>
    </row>
    <row r="747" spans="2:41" x14ac:dyDescent="0.15">
      <c r="B747" s="565">
        <v>-17</v>
      </c>
      <c r="C747" s="564"/>
      <c r="D747" s="564"/>
      <c r="E747" s="564"/>
      <c r="F747" s="564"/>
      <c r="G747" s="564"/>
      <c r="H747" s="564"/>
      <c r="I747" s="564"/>
      <c r="J747" s="564"/>
      <c r="K747" s="564"/>
      <c r="L747" s="564"/>
      <c r="M747" s="564"/>
      <c r="N747" s="564"/>
      <c r="O747" s="564"/>
      <c r="P747" s="564"/>
      <c r="Q747" s="564"/>
      <c r="R747" s="564"/>
      <c r="S747" s="564"/>
      <c r="T747" s="564"/>
      <c r="U747" s="564"/>
      <c r="V747" s="564"/>
      <c r="W747" s="564"/>
      <c r="X747" s="564"/>
      <c r="Y747" s="564"/>
      <c r="Z747" s="564"/>
      <c r="AA747" s="564"/>
      <c r="AB747" s="564"/>
      <c r="AC747" s="564"/>
      <c r="AD747" s="564"/>
      <c r="AE747" s="564"/>
      <c r="AF747" s="564"/>
      <c r="AG747" s="564"/>
      <c r="AH747" s="564"/>
      <c r="AI747" s="564"/>
      <c r="AJ747" s="564"/>
      <c r="AK747" s="564"/>
      <c r="AL747" s="564"/>
      <c r="AM747" s="564"/>
      <c r="AN747" s="564"/>
      <c r="AO747" s="564"/>
    </row>
    <row r="748" spans="2:41" x14ac:dyDescent="0.15">
      <c r="B748" s="565">
        <v>-16</v>
      </c>
      <c r="C748" s="564"/>
      <c r="D748" s="564"/>
      <c r="E748" s="564"/>
      <c r="F748" s="564"/>
      <c r="G748" s="564"/>
      <c r="H748" s="564"/>
      <c r="I748" s="564"/>
      <c r="J748" s="564"/>
      <c r="K748" s="564"/>
      <c r="L748" s="564"/>
      <c r="M748" s="564"/>
      <c r="N748" s="564"/>
      <c r="O748" s="564"/>
      <c r="P748" s="564"/>
      <c r="Q748" s="564"/>
      <c r="R748" s="564"/>
      <c r="S748" s="564"/>
      <c r="T748" s="564"/>
      <c r="U748" s="564"/>
      <c r="V748" s="564"/>
      <c r="W748" s="564"/>
      <c r="X748" s="564"/>
      <c r="Y748" s="564"/>
      <c r="Z748" s="564"/>
      <c r="AA748" s="564"/>
      <c r="AB748" s="564"/>
      <c r="AC748" s="564"/>
      <c r="AD748" s="564"/>
      <c r="AE748" s="564"/>
      <c r="AF748" s="564"/>
      <c r="AG748" s="564"/>
      <c r="AH748" s="564"/>
      <c r="AI748" s="564"/>
      <c r="AJ748" s="564"/>
      <c r="AK748" s="564"/>
      <c r="AL748" s="564"/>
      <c r="AM748" s="564"/>
      <c r="AN748" s="564"/>
      <c r="AO748" s="564"/>
    </row>
    <row r="749" spans="2:41" x14ac:dyDescent="0.15">
      <c r="B749" s="565">
        <v>-15</v>
      </c>
      <c r="C749" s="564"/>
      <c r="D749" s="564"/>
      <c r="E749" s="564"/>
      <c r="F749" s="564"/>
      <c r="G749" s="564"/>
      <c r="H749" s="564"/>
      <c r="I749" s="564"/>
      <c r="J749" s="564"/>
      <c r="K749" s="564"/>
      <c r="L749" s="564"/>
      <c r="M749" s="564"/>
      <c r="N749" s="564"/>
      <c r="O749" s="564"/>
      <c r="P749" s="564"/>
      <c r="Q749" s="564"/>
      <c r="R749" s="564"/>
      <c r="S749" s="564"/>
      <c r="T749" s="564"/>
      <c r="U749" s="564"/>
      <c r="V749" s="564"/>
      <c r="W749" s="564"/>
      <c r="X749" s="564"/>
      <c r="Y749" s="564"/>
      <c r="Z749" s="564"/>
      <c r="AA749" s="564"/>
      <c r="AB749" s="564"/>
      <c r="AC749" s="564"/>
      <c r="AD749" s="564"/>
      <c r="AE749" s="564"/>
      <c r="AF749" s="564"/>
      <c r="AG749" s="564"/>
      <c r="AH749" s="564"/>
      <c r="AI749" s="564"/>
      <c r="AJ749" s="564"/>
      <c r="AK749" s="564"/>
      <c r="AL749" s="564"/>
      <c r="AM749" s="564"/>
      <c r="AN749" s="564"/>
      <c r="AO749" s="564"/>
    </row>
    <row r="750" spans="2:41" x14ac:dyDescent="0.15">
      <c r="B750" s="565">
        <v>-14</v>
      </c>
      <c r="C750" s="564"/>
      <c r="D750" s="564"/>
      <c r="E750" s="564"/>
      <c r="F750" s="564"/>
      <c r="G750" s="564"/>
      <c r="H750" s="564"/>
      <c r="I750" s="564"/>
      <c r="J750" s="564"/>
      <c r="K750" s="564"/>
      <c r="L750" s="564"/>
      <c r="M750" s="564"/>
      <c r="N750" s="564"/>
      <c r="O750" s="564"/>
      <c r="P750" s="564"/>
      <c r="Q750" s="564"/>
      <c r="R750" s="564"/>
      <c r="S750" s="564"/>
      <c r="T750" s="564"/>
      <c r="U750" s="564"/>
      <c r="V750" s="564"/>
      <c r="W750" s="564"/>
      <c r="X750" s="564"/>
      <c r="Y750" s="564"/>
      <c r="Z750" s="564"/>
      <c r="AA750" s="564"/>
      <c r="AB750" s="564"/>
      <c r="AC750" s="564"/>
      <c r="AD750" s="564"/>
      <c r="AE750" s="564"/>
      <c r="AF750" s="564"/>
      <c r="AG750" s="564"/>
      <c r="AH750" s="564"/>
      <c r="AI750" s="564"/>
      <c r="AJ750" s="564"/>
      <c r="AK750" s="564"/>
      <c r="AL750" s="564"/>
      <c r="AM750" s="564"/>
      <c r="AN750" s="564"/>
      <c r="AO750" s="564"/>
    </row>
    <row r="751" spans="2:41" x14ac:dyDescent="0.15">
      <c r="B751" s="565">
        <v>-13</v>
      </c>
      <c r="C751" s="564"/>
      <c r="D751" s="564"/>
      <c r="E751" s="564"/>
      <c r="F751" s="564"/>
      <c r="G751" s="564"/>
      <c r="H751" s="564"/>
      <c r="I751" s="564"/>
      <c r="J751" s="564"/>
      <c r="K751" s="564"/>
      <c r="L751" s="564"/>
      <c r="M751" s="564"/>
      <c r="N751" s="564"/>
      <c r="O751" s="564"/>
      <c r="P751" s="564"/>
      <c r="Q751" s="564"/>
      <c r="R751" s="564"/>
      <c r="S751" s="564"/>
      <c r="T751" s="564"/>
      <c r="U751" s="564"/>
      <c r="V751" s="564"/>
      <c r="W751" s="564"/>
      <c r="X751" s="564"/>
      <c r="Y751" s="564"/>
      <c r="Z751" s="564"/>
      <c r="AA751" s="564"/>
      <c r="AB751" s="564"/>
      <c r="AC751" s="564"/>
      <c r="AD751" s="564"/>
      <c r="AE751" s="564"/>
      <c r="AF751" s="564"/>
      <c r="AG751" s="564"/>
      <c r="AH751" s="564"/>
      <c r="AI751" s="564"/>
      <c r="AJ751" s="564"/>
      <c r="AK751" s="564"/>
      <c r="AL751" s="564"/>
      <c r="AM751" s="564"/>
      <c r="AN751" s="564"/>
      <c r="AO751" s="564"/>
    </row>
    <row r="752" spans="2:41" x14ac:dyDescent="0.15">
      <c r="B752" s="565">
        <v>-12</v>
      </c>
      <c r="C752" s="564"/>
      <c r="D752" s="564"/>
      <c r="E752" s="564"/>
      <c r="F752" s="564"/>
      <c r="G752" s="564"/>
      <c r="H752" s="564"/>
      <c r="I752" s="564"/>
      <c r="J752" s="564"/>
      <c r="K752" s="564"/>
      <c r="L752" s="564"/>
      <c r="M752" s="564"/>
      <c r="N752" s="564"/>
      <c r="O752" s="564"/>
      <c r="P752" s="564"/>
      <c r="Q752" s="564"/>
      <c r="R752" s="564"/>
      <c r="S752" s="564"/>
      <c r="T752" s="564"/>
      <c r="U752" s="564"/>
      <c r="V752" s="564"/>
      <c r="W752" s="564"/>
      <c r="X752" s="564"/>
      <c r="Y752" s="564"/>
      <c r="Z752" s="564"/>
      <c r="AA752" s="564"/>
      <c r="AB752" s="564"/>
      <c r="AC752" s="564"/>
      <c r="AD752" s="564"/>
      <c r="AE752" s="564"/>
      <c r="AF752" s="564"/>
      <c r="AG752" s="564"/>
      <c r="AH752" s="564"/>
      <c r="AI752" s="564"/>
      <c r="AJ752" s="564"/>
      <c r="AK752" s="564"/>
      <c r="AL752" s="564"/>
      <c r="AM752" s="564"/>
      <c r="AN752" s="564"/>
      <c r="AO752" s="564"/>
    </row>
    <row r="753" spans="2:41" x14ac:dyDescent="0.15">
      <c r="B753" s="565">
        <v>-11</v>
      </c>
      <c r="C753" s="564"/>
      <c r="D753" s="564"/>
      <c r="E753" s="564"/>
      <c r="F753" s="564"/>
      <c r="G753" s="564"/>
      <c r="H753" s="564"/>
      <c r="I753" s="564"/>
      <c r="J753" s="564"/>
      <c r="K753" s="564"/>
      <c r="L753" s="564"/>
      <c r="M753" s="564"/>
      <c r="N753" s="564"/>
      <c r="O753" s="564"/>
      <c r="P753" s="564"/>
      <c r="Q753" s="564"/>
      <c r="R753" s="564"/>
      <c r="S753" s="564"/>
      <c r="T753" s="564"/>
      <c r="U753" s="564"/>
      <c r="V753" s="564"/>
      <c r="W753" s="564"/>
      <c r="X753" s="564"/>
      <c r="Y753" s="564"/>
      <c r="Z753" s="564"/>
      <c r="AA753" s="564"/>
      <c r="AB753" s="564"/>
      <c r="AC753" s="564"/>
      <c r="AD753" s="564"/>
      <c r="AE753" s="564"/>
      <c r="AF753" s="564"/>
      <c r="AG753" s="564"/>
      <c r="AH753" s="564"/>
      <c r="AI753" s="564"/>
      <c r="AJ753" s="564"/>
      <c r="AK753" s="564"/>
      <c r="AL753" s="564"/>
      <c r="AM753" s="564"/>
      <c r="AN753" s="564"/>
      <c r="AO753" s="564"/>
    </row>
    <row r="754" spans="2:41" x14ac:dyDescent="0.15">
      <c r="B754" s="565">
        <v>-10</v>
      </c>
      <c r="C754" s="564"/>
      <c r="D754" s="564"/>
      <c r="E754" s="564"/>
      <c r="F754" s="564"/>
      <c r="G754" s="564"/>
      <c r="H754" s="564"/>
      <c r="I754" s="564"/>
      <c r="J754" s="564"/>
      <c r="K754" s="564"/>
      <c r="L754" s="564"/>
      <c r="M754" s="564"/>
      <c r="N754" s="564"/>
      <c r="O754" s="564"/>
      <c r="P754" s="564"/>
      <c r="Q754" s="564"/>
      <c r="R754" s="564"/>
      <c r="S754" s="564"/>
      <c r="T754" s="564"/>
      <c r="U754" s="564"/>
      <c r="V754" s="564"/>
      <c r="W754" s="564"/>
      <c r="X754" s="564"/>
      <c r="Y754" s="564"/>
      <c r="Z754" s="564"/>
      <c r="AA754" s="564"/>
      <c r="AB754" s="564"/>
      <c r="AC754" s="564"/>
      <c r="AD754" s="564"/>
      <c r="AE754" s="564"/>
      <c r="AF754" s="564"/>
      <c r="AG754" s="564"/>
      <c r="AH754" s="564"/>
      <c r="AI754" s="564"/>
      <c r="AJ754" s="564"/>
      <c r="AK754" s="564"/>
      <c r="AL754" s="564"/>
      <c r="AM754" s="564"/>
      <c r="AN754" s="564"/>
      <c r="AO754" s="564"/>
    </row>
    <row r="755" spans="2:41" x14ac:dyDescent="0.15">
      <c r="B755" s="565">
        <v>-9</v>
      </c>
      <c r="C755" s="564"/>
      <c r="D755" s="564"/>
      <c r="E755" s="564"/>
      <c r="F755" s="564"/>
      <c r="G755" s="564"/>
      <c r="H755" s="564"/>
      <c r="I755" s="564"/>
      <c r="J755" s="564"/>
      <c r="K755" s="564"/>
      <c r="L755" s="564"/>
      <c r="M755" s="564"/>
      <c r="N755" s="564"/>
      <c r="O755" s="564"/>
      <c r="P755" s="564"/>
      <c r="Q755" s="564"/>
      <c r="R755" s="564"/>
      <c r="S755" s="564"/>
      <c r="T755" s="564"/>
      <c r="U755" s="564"/>
      <c r="V755" s="564"/>
      <c r="W755" s="564"/>
      <c r="X755" s="564"/>
      <c r="Y755" s="564"/>
      <c r="Z755" s="564"/>
      <c r="AA755" s="564"/>
      <c r="AB755" s="564"/>
      <c r="AC755" s="564"/>
      <c r="AD755" s="564"/>
      <c r="AE755" s="564"/>
      <c r="AF755" s="564"/>
      <c r="AG755" s="564"/>
      <c r="AH755" s="564"/>
      <c r="AI755" s="564"/>
      <c r="AJ755" s="564"/>
      <c r="AK755" s="564"/>
      <c r="AL755" s="564"/>
      <c r="AM755" s="564"/>
      <c r="AN755" s="564"/>
      <c r="AO755" s="564"/>
    </row>
    <row r="756" spans="2:41" x14ac:dyDescent="0.15">
      <c r="B756" s="565">
        <v>-8</v>
      </c>
      <c r="C756" s="564"/>
      <c r="D756" s="564"/>
      <c r="E756" s="564"/>
      <c r="F756" s="564"/>
      <c r="G756" s="564"/>
      <c r="H756" s="564"/>
      <c r="I756" s="564"/>
      <c r="J756" s="564"/>
      <c r="K756" s="564"/>
      <c r="L756" s="564"/>
      <c r="M756" s="564"/>
      <c r="N756" s="564"/>
      <c r="O756" s="564"/>
      <c r="P756" s="564"/>
      <c r="Q756" s="564"/>
      <c r="R756" s="564"/>
      <c r="S756" s="564"/>
      <c r="T756" s="564"/>
      <c r="U756" s="564"/>
      <c r="V756" s="564"/>
      <c r="W756" s="564"/>
      <c r="X756" s="564"/>
      <c r="Y756" s="564"/>
      <c r="Z756" s="564"/>
      <c r="AA756" s="564"/>
      <c r="AB756" s="564"/>
      <c r="AC756" s="564"/>
      <c r="AD756" s="564"/>
      <c r="AE756" s="564"/>
      <c r="AF756" s="564"/>
      <c r="AG756" s="564"/>
      <c r="AH756" s="564"/>
      <c r="AI756" s="564"/>
      <c r="AJ756" s="564"/>
      <c r="AK756" s="564"/>
      <c r="AL756" s="564"/>
      <c r="AM756" s="564"/>
      <c r="AN756" s="564"/>
      <c r="AO756" s="564"/>
    </row>
    <row r="757" spans="2:41" x14ac:dyDescent="0.15">
      <c r="B757" s="565">
        <v>-7</v>
      </c>
      <c r="C757" s="564"/>
      <c r="D757" s="564"/>
      <c r="E757" s="564"/>
      <c r="F757" s="564"/>
      <c r="G757" s="564"/>
      <c r="H757" s="564"/>
      <c r="I757" s="564"/>
      <c r="J757" s="564"/>
      <c r="K757" s="564"/>
      <c r="L757" s="564"/>
      <c r="M757" s="564"/>
      <c r="N757" s="564"/>
      <c r="O757" s="564"/>
      <c r="P757" s="564"/>
      <c r="Q757" s="564"/>
      <c r="R757" s="564"/>
      <c r="S757" s="564"/>
      <c r="T757" s="564"/>
      <c r="U757" s="564"/>
      <c r="V757" s="564"/>
      <c r="W757" s="564"/>
      <c r="X757" s="564"/>
      <c r="Y757" s="564"/>
      <c r="Z757" s="564"/>
      <c r="AA757" s="564"/>
      <c r="AB757" s="564"/>
      <c r="AC757" s="564"/>
      <c r="AD757" s="564"/>
      <c r="AE757" s="564"/>
      <c r="AF757" s="564"/>
      <c r="AG757" s="564"/>
      <c r="AH757" s="564"/>
      <c r="AI757" s="564"/>
      <c r="AJ757" s="564"/>
      <c r="AK757" s="564"/>
      <c r="AL757" s="564"/>
      <c r="AM757" s="564"/>
      <c r="AN757" s="564"/>
      <c r="AO757" s="564"/>
    </row>
    <row r="758" spans="2:41" x14ac:dyDescent="0.15">
      <c r="B758" s="565">
        <v>-6</v>
      </c>
      <c r="C758" s="564"/>
      <c r="D758" s="564"/>
      <c r="E758" s="564"/>
      <c r="F758" s="564"/>
      <c r="G758" s="564"/>
      <c r="H758" s="564"/>
      <c r="I758" s="564"/>
      <c r="J758" s="564"/>
      <c r="K758" s="564"/>
      <c r="L758" s="564"/>
      <c r="M758" s="564"/>
      <c r="N758" s="564"/>
      <c r="O758" s="564"/>
      <c r="P758" s="564"/>
      <c r="Q758" s="564"/>
      <c r="R758" s="564"/>
      <c r="S758" s="564"/>
      <c r="T758" s="564"/>
      <c r="U758" s="564"/>
      <c r="V758" s="564"/>
      <c r="W758" s="564"/>
      <c r="X758" s="564"/>
      <c r="Y758" s="564"/>
      <c r="Z758" s="564"/>
      <c r="AA758" s="564"/>
      <c r="AB758" s="564"/>
      <c r="AC758" s="564"/>
      <c r="AD758" s="564"/>
      <c r="AE758" s="564"/>
      <c r="AF758" s="564"/>
      <c r="AG758" s="564"/>
      <c r="AH758" s="564"/>
      <c r="AI758" s="564"/>
      <c r="AJ758" s="564"/>
      <c r="AK758" s="564"/>
      <c r="AL758" s="564"/>
      <c r="AM758" s="564"/>
      <c r="AN758" s="564"/>
      <c r="AO758" s="564"/>
    </row>
    <row r="759" spans="2:41" x14ac:dyDescent="0.15">
      <c r="B759" s="565">
        <v>-5</v>
      </c>
      <c r="C759" s="564"/>
      <c r="D759" s="564"/>
      <c r="E759" s="564"/>
      <c r="F759" s="564"/>
      <c r="G759" s="564"/>
      <c r="H759" s="564"/>
      <c r="I759" s="564"/>
      <c r="J759" s="564"/>
      <c r="K759" s="564"/>
      <c r="L759" s="564"/>
      <c r="M759" s="564"/>
      <c r="N759" s="564"/>
      <c r="O759" s="564"/>
      <c r="P759" s="564"/>
      <c r="Q759" s="564"/>
      <c r="R759" s="564"/>
      <c r="S759" s="564"/>
      <c r="T759" s="564"/>
      <c r="U759" s="564"/>
      <c r="V759" s="564"/>
      <c r="W759" s="564"/>
      <c r="X759" s="564"/>
      <c r="Y759" s="564"/>
      <c r="Z759" s="564"/>
      <c r="AA759" s="564"/>
      <c r="AB759" s="564"/>
      <c r="AC759" s="564"/>
      <c r="AD759" s="564"/>
      <c r="AE759" s="564"/>
      <c r="AF759" s="564"/>
      <c r="AG759" s="564"/>
      <c r="AH759" s="564"/>
      <c r="AI759" s="564"/>
      <c r="AJ759" s="564"/>
      <c r="AK759" s="564"/>
      <c r="AL759" s="564"/>
      <c r="AM759" s="564"/>
      <c r="AN759" s="564"/>
      <c r="AO759" s="564"/>
    </row>
    <row r="760" spans="2:41" x14ac:dyDescent="0.15">
      <c r="B760" s="565">
        <v>-4</v>
      </c>
      <c r="C760" s="564"/>
      <c r="D760" s="564"/>
      <c r="E760" s="564"/>
      <c r="F760" s="564"/>
      <c r="G760" s="564"/>
      <c r="H760" s="564"/>
      <c r="I760" s="564"/>
      <c r="J760" s="564"/>
      <c r="K760" s="564"/>
      <c r="L760" s="564"/>
      <c r="M760" s="564"/>
      <c r="N760" s="564"/>
      <c r="O760" s="564"/>
      <c r="P760" s="564"/>
      <c r="Q760" s="564"/>
      <c r="R760" s="564"/>
      <c r="S760" s="564"/>
      <c r="T760" s="564"/>
      <c r="U760" s="564"/>
      <c r="V760" s="564"/>
      <c r="W760" s="564"/>
      <c r="X760" s="564"/>
      <c r="Y760" s="564"/>
      <c r="Z760" s="564"/>
      <c r="AA760" s="564"/>
      <c r="AB760" s="564"/>
      <c r="AC760" s="564"/>
      <c r="AD760" s="564"/>
      <c r="AE760" s="564"/>
      <c r="AF760" s="564"/>
      <c r="AG760" s="564"/>
      <c r="AH760" s="564"/>
      <c r="AI760" s="564"/>
      <c r="AJ760" s="564"/>
      <c r="AK760" s="564"/>
      <c r="AL760" s="564"/>
      <c r="AM760" s="564"/>
      <c r="AN760" s="564"/>
      <c r="AO760" s="564"/>
    </row>
    <row r="761" spans="2:41" x14ac:dyDescent="0.15">
      <c r="B761" s="565">
        <v>-3</v>
      </c>
      <c r="C761" s="564"/>
      <c r="D761" s="564"/>
      <c r="E761" s="564"/>
      <c r="F761" s="564"/>
      <c r="G761" s="564"/>
      <c r="H761" s="564"/>
      <c r="I761" s="564"/>
      <c r="J761" s="564"/>
      <c r="K761" s="564"/>
      <c r="L761" s="564"/>
      <c r="M761" s="564"/>
      <c r="N761" s="564"/>
      <c r="O761" s="564"/>
      <c r="P761" s="564"/>
      <c r="Q761" s="564"/>
      <c r="R761" s="564"/>
      <c r="S761" s="564"/>
      <c r="T761" s="564"/>
      <c r="U761" s="564"/>
      <c r="V761" s="564"/>
      <c r="W761" s="564"/>
      <c r="X761" s="564"/>
      <c r="Y761" s="564"/>
      <c r="Z761" s="564"/>
      <c r="AA761" s="564"/>
      <c r="AB761" s="564"/>
      <c r="AC761" s="564"/>
      <c r="AD761" s="564"/>
      <c r="AE761" s="564"/>
      <c r="AF761" s="564"/>
      <c r="AG761" s="564"/>
      <c r="AH761" s="564"/>
      <c r="AI761" s="564"/>
      <c r="AJ761" s="564"/>
      <c r="AK761" s="564"/>
      <c r="AL761" s="564"/>
      <c r="AM761" s="564"/>
      <c r="AN761" s="564"/>
      <c r="AO761" s="564"/>
    </row>
    <row r="762" spans="2:41" x14ac:dyDescent="0.15">
      <c r="B762" s="565">
        <v>-2</v>
      </c>
      <c r="C762" s="564"/>
      <c r="D762" s="564"/>
      <c r="E762" s="564"/>
      <c r="F762" s="564"/>
      <c r="G762" s="564"/>
      <c r="H762" s="564"/>
      <c r="I762" s="564"/>
      <c r="J762" s="564"/>
      <c r="K762" s="564"/>
      <c r="L762" s="564"/>
      <c r="M762" s="564"/>
      <c r="N762" s="564"/>
      <c r="O762" s="564"/>
      <c r="P762" s="564"/>
      <c r="Q762" s="564"/>
      <c r="R762" s="564"/>
      <c r="S762" s="564"/>
      <c r="T762" s="564"/>
      <c r="U762" s="564"/>
      <c r="V762" s="564"/>
      <c r="W762" s="564"/>
      <c r="X762" s="564"/>
      <c r="Y762" s="564"/>
      <c r="Z762" s="564"/>
      <c r="AA762" s="564"/>
      <c r="AB762" s="564"/>
      <c r="AC762" s="564"/>
      <c r="AD762" s="564"/>
      <c r="AE762" s="564"/>
      <c r="AF762" s="564"/>
      <c r="AG762" s="564"/>
      <c r="AH762" s="564"/>
      <c r="AI762" s="564"/>
      <c r="AJ762" s="564"/>
      <c r="AK762" s="564"/>
      <c r="AL762" s="564"/>
      <c r="AM762" s="564"/>
      <c r="AN762" s="564"/>
      <c r="AO762" s="564"/>
    </row>
    <row r="763" spans="2:41" x14ac:dyDescent="0.15">
      <c r="B763" s="565">
        <v>-1</v>
      </c>
      <c r="C763" s="564"/>
      <c r="D763" s="564"/>
      <c r="E763" s="564"/>
      <c r="F763" s="564"/>
      <c r="G763" s="564"/>
      <c r="H763" s="564"/>
      <c r="I763" s="564"/>
      <c r="J763" s="564"/>
      <c r="K763" s="564"/>
      <c r="L763" s="564"/>
      <c r="M763" s="564"/>
      <c r="N763" s="564"/>
      <c r="O763" s="564"/>
      <c r="P763" s="564"/>
      <c r="Q763" s="564"/>
      <c r="R763" s="564"/>
      <c r="S763" s="564"/>
      <c r="T763" s="564"/>
      <c r="U763" s="564"/>
      <c r="V763" s="564"/>
      <c r="W763" s="564"/>
      <c r="X763" s="564"/>
      <c r="Y763" s="564"/>
      <c r="Z763" s="564"/>
      <c r="AA763" s="564"/>
      <c r="AB763" s="564"/>
      <c r="AC763" s="564"/>
      <c r="AD763" s="564"/>
      <c r="AE763" s="564"/>
      <c r="AF763" s="564"/>
      <c r="AG763" s="564"/>
      <c r="AH763" s="564"/>
      <c r="AI763" s="564"/>
      <c r="AJ763" s="564"/>
      <c r="AK763" s="564"/>
      <c r="AL763" s="564"/>
      <c r="AM763" s="564"/>
      <c r="AN763" s="564"/>
      <c r="AO763" s="564"/>
    </row>
    <row r="764" spans="2:41" x14ac:dyDescent="0.15">
      <c r="B764" s="565">
        <v>0</v>
      </c>
      <c r="C764" s="564"/>
      <c r="D764" s="564"/>
      <c r="E764" s="564"/>
      <c r="F764" s="564"/>
      <c r="G764" s="564"/>
      <c r="H764" s="564"/>
      <c r="I764" s="564"/>
      <c r="J764" s="564"/>
      <c r="K764" s="564"/>
      <c r="L764" s="564"/>
      <c r="M764" s="564"/>
      <c r="N764" s="564"/>
      <c r="O764" s="564"/>
      <c r="P764" s="564"/>
      <c r="Q764" s="564"/>
      <c r="R764" s="564"/>
      <c r="S764" s="564"/>
      <c r="T764" s="564"/>
      <c r="U764" s="564"/>
      <c r="V764" s="564"/>
      <c r="W764" s="564"/>
      <c r="X764" s="564"/>
      <c r="Y764" s="564"/>
      <c r="Z764" s="564"/>
      <c r="AA764" s="564"/>
      <c r="AB764" s="564"/>
      <c r="AC764" s="564"/>
      <c r="AD764" s="564"/>
      <c r="AE764" s="564"/>
      <c r="AF764" s="564"/>
      <c r="AG764" s="564"/>
      <c r="AH764" s="564"/>
      <c r="AI764" s="564"/>
      <c r="AJ764" s="564"/>
      <c r="AK764" s="564"/>
      <c r="AL764" s="564"/>
      <c r="AM764" s="564"/>
      <c r="AN764" s="564"/>
      <c r="AO764" s="564"/>
    </row>
    <row r="765" spans="2:41" x14ac:dyDescent="0.15">
      <c r="B765" s="565">
        <v>1</v>
      </c>
      <c r="C765" s="564"/>
      <c r="D765" s="564"/>
      <c r="E765" s="564"/>
      <c r="F765" s="564"/>
      <c r="G765" s="564"/>
      <c r="H765" s="564"/>
      <c r="I765" s="564"/>
      <c r="J765" s="564"/>
      <c r="K765" s="564"/>
      <c r="L765" s="564"/>
      <c r="M765" s="564"/>
      <c r="N765" s="564"/>
      <c r="O765" s="564"/>
      <c r="P765" s="564"/>
      <c r="Q765" s="564"/>
      <c r="R765" s="564"/>
      <c r="S765" s="564"/>
      <c r="T765" s="564"/>
      <c r="U765" s="564"/>
      <c r="V765" s="564"/>
      <c r="W765" s="564"/>
      <c r="X765" s="564"/>
      <c r="Y765" s="564"/>
      <c r="Z765" s="564"/>
      <c r="AA765" s="564"/>
      <c r="AB765" s="564"/>
      <c r="AC765" s="564"/>
      <c r="AD765" s="564"/>
      <c r="AE765" s="564"/>
      <c r="AF765" s="564"/>
      <c r="AG765" s="564"/>
      <c r="AH765" s="564"/>
      <c r="AI765" s="564"/>
      <c r="AJ765" s="564"/>
      <c r="AK765" s="564"/>
      <c r="AL765" s="564"/>
      <c r="AM765" s="564"/>
      <c r="AN765" s="564"/>
      <c r="AO765" s="564"/>
    </row>
    <row r="766" spans="2:41" x14ac:dyDescent="0.15">
      <c r="B766" s="565">
        <v>2</v>
      </c>
      <c r="C766" s="564"/>
      <c r="D766" s="564"/>
      <c r="E766" s="564"/>
      <c r="F766" s="564"/>
      <c r="G766" s="564"/>
      <c r="H766" s="564"/>
      <c r="I766" s="564"/>
      <c r="J766" s="564"/>
      <c r="K766" s="564"/>
      <c r="L766" s="564"/>
      <c r="M766" s="564"/>
      <c r="N766" s="564"/>
      <c r="O766" s="564"/>
      <c r="P766" s="564"/>
      <c r="Q766" s="564"/>
      <c r="R766" s="564"/>
      <c r="S766" s="564"/>
      <c r="T766" s="564"/>
      <c r="U766" s="564"/>
      <c r="V766" s="564"/>
      <c r="W766" s="564"/>
      <c r="X766" s="564"/>
      <c r="Y766" s="564"/>
      <c r="Z766" s="564"/>
      <c r="AA766" s="564"/>
      <c r="AB766" s="564"/>
      <c r="AC766" s="564"/>
      <c r="AD766" s="564"/>
      <c r="AE766" s="564"/>
      <c r="AF766" s="564"/>
      <c r="AG766" s="564"/>
      <c r="AH766" s="564"/>
      <c r="AI766" s="564"/>
      <c r="AJ766" s="564"/>
      <c r="AK766" s="564"/>
      <c r="AL766" s="564"/>
      <c r="AM766" s="564"/>
      <c r="AN766" s="564"/>
      <c r="AO766" s="564"/>
    </row>
    <row r="767" spans="2:41" x14ac:dyDescent="0.15">
      <c r="B767" s="565">
        <v>3</v>
      </c>
      <c r="C767" s="564"/>
      <c r="D767" s="564"/>
      <c r="E767" s="564"/>
      <c r="F767" s="564"/>
      <c r="G767" s="564"/>
      <c r="H767" s="564"/>
      <c r="I767" s="564"/>
      <c r="J767" s="564"/>
      <c r="K767" s="564"/>
      <c r="L767" s="564"/>
      <c r="M767" s="564"/>
      <c r="N767" s="564"/>
      <c r="O767" s="564"/>
      <c r="P767" s="564"/>
      <c r="Q767" s="564"/>
      <c r="R767" s="564"/>
      <c r="S767" s="564"/>
      <c r="T767" s="564"/>
      <c r="U767" s="564"/>
      <c r="V767" s="564"/>
      <c r="W767" s="564"/>
      <c r="X767" s="564"/>
      <c r="Y767" s="564"/>
      <c r="Z767" s="564"/>
      <c r="AA767" s="564"/>
      <c r="AB767" s="564"/>
      <c r="AC767" s="564"/>
      <c r="AD767" s="564"/>
      <c r="AE767" s="564"/>
      <c r="AF767" s="564"/>
      <c r="AG767" s="564"/>
      <c r="AH767" s="564"/>
      <c r="AI767" s="564"/>
      <c r="AJ767" s="564"/>
      <c r="AK767" s="564"/>
      <c r="AL767" s="564"/>
      <c r="AM767" s="564"/>
      <c r="AN767" s="564"/>
      <c r="AO767" s="564"/>
    </row>
    <row r="768" spans="2:41" x14ac:dyDescent="0.15">
      <c r="B768" s="565">
        <v>4</v>
      </c>
      <c r="C768" s="564"/>
      <c r="D768" s="564"/>
      <c r="E768" s="564"/>
      <c r="F768" s="564"/>
      <c r="G768" s="564"/>
      <c r="H768" s="564"/>
      <c r="I768" s="564"/>
      <c r="J768" s="564"/>
      <c r="K768" s="564"/>
      <c r="L768" s="564"/>
      <c r="M768" s="564"/>
      <c r="N768" s="564"/>
      <c r="O768" s="564"/>
      <c r="P768" s="564"/>
      <c r="Q768" s="564"/>
      <c r="R768" s="564"/>
      <c r="S768" s="564"/>
      <c r="T768" s="564"/>
      <c r="U768" s="564"/>
      <c r="V768" s="564"/>
      <c r="W768" s="564"/>
      <c r="X768" s="564"/>
      <c r="Y768" s="564"/>
      <c r="Z768" s="564"/>
      <c r="AA768" s="564"/>
      <c r="AB768" s="564"/>
      <c r="AC768" s="564"/>
      <c r="AD768" s="564"/>
      <c r="AE768" s="564"/>
      <c r="AF768" s="564"/>
      <c r="AG768" s="564"/>
      <c r="AH768" s="564"/>
      <c r="AI768" s="564"/>
      <c r="AJ768" s="564"/>
      <c r="AK768" s="564"/>
      <c r="AL768" s="564"/>
      <c r="AM768" s="564"/>
      <c r="AN768" s="564"/>
      <c r="AO768" s="564"/>
    </row>
    <row r="769" spans="2:41" x14ac:dyDescent="0.15">
      <c r="B769" s="565">
        <v>5</v>
      </c>
      <c r="C769" s="564"/>
      <c r="D769" s="564"/>
      <c r="E769" s="564"/>
      <c r="F769" s="564"/>
      <c r="G769" s="564"/>
      <c r="H769" s="564"/>
      <c r="I769" s="564"/>
      <c r="J769" s="564"/>
      <c r="K769" s="564"/>
      <c r="L769" s="564"/>
      <c r="M769" s="564"/>
      <c r="N769" s="564"/>
      <c r="O769" s="564"/>
      <c r="P769" s="564"/>
      <c r="Q769" s="564"/>
      <c r="R769" s="564"/>
      <c r="S769" s="564"/>
      <c r="T769" s="564"/>
      <c r="U769" s="564"/>
      <c r="V769" s="564"/>
      <c r="W769" s="564"/>
      <c r="X769" s="564"/>
      <c r="Y769" s="564"/>
      <c r="Z769" s="564"/>
      <c r="AA769" s="564"/>
      <c r="AB769" s="564"/>
      <c r="AC769" s="564"/>
      <c r="AD769" s="564"/>
      <c r="AE769" s="564"/>
      <c r="AF769" s="564"/>
      <c r="AG769" s="564"/>
      <c r="AH769" s="564"/>
      <c r="AI769" s="564"/>
      <c r="AJ769" s="564"/>
      <c r="AK769" s="564"/>
      <c r="AL769" s="564"/>
      <c r="AM769" s="564"/>
      <c r="AN769" s="564"/>
      <c r="AO769" s="564"/>
    </row>
    <row r="770" spans="2:41" x14ac:dyDescent="0.15">
      <c r="B770" s="565">
        <v>6</v>
      </c>
      <c r="C770" s="564"/>
      <c r="D770" s="564"/>
      <c r="E770" s="564"/>
      <c r="F770" s="564"/>
      <c r="G770" s="564"/>
      <c r="H770" s="564"/>
      <c r="I770" s="564"/>
      <c r="J770" s="564"/>
      <c r="K770" s="564"/>
      <c r="L770" s="564"/>
      <c r="M770" s="564"/>
      <c r="N770" s="564"/>
      <c r="O770" s="564"/>
      <c r="P770" s="564"/>
      <c r="Q770" s="564"/>
      <c r="R770" s="564"/>
      <c r="S770" s="564"/>
      <c r="T770" s="564"/>
      <c r="U770" s="564"/>
      <c r="V770" s="564"/>
      <c r="W770" s="564"/>
      <c r="X770" s="564"/>
      <c r="Y770" s="564"/>
      <c r="Z770" s="564"/>
      <c r="AA770" s="564"/>
      <c r="AB770" s="564"/>
      <c r="AC770" s="564"/>
      <c r="AD770" s="564"/>
      <c r="AE770" s="564"/>
      <c r="AF770" s="564"/>
      <c r="AG770" s="564"/>
      <c r="AH770" s="564"/>
      <c r="AI770" s="564"/>
      <c r="AJ770" s="564"/>
      <c r="AK770" s="564"/>
      <c r="AL770" s="564"/>
      <c r="AM770" s="564"/>
      <c r="AN770" s="564"/>
      <c r="AO770" s="564"/>
    </row>
    <row r="771" spans="2:41" x14ac:dyDescent="0.15">
      <c r="B771" s="565">
        <v>7</v>
      </c>
      <c r="C771" s="564"/>
      <c r="D771" s="564"/>
      <c r="E771" s="564"/>
      <c r="F771" s="564"/>
      <c r="G771" s="564"/>
      <c r="H771" s="564"/>
      <c r="I771" s="564"/>
      <c r="J771" s="564"/>
      <c r="K771" s="564"/>
      <c r="L771" s="564"/>
      <c r="M771" s="564"/>
      <c r="N771" s="564"/>
      <c r="O771" s="564"/>
      <c r="P771" s="564"/>
      <c r="Q771" s="564"/>
      <c r="R771" s="564"/>
      <c r="S771" s="564"/>
      <c r="T771" s="564"/>
      <c r="U771" s="564"/>
      <c r="V771" s="564"/>
      <c r="W771" s="564"/>
      <c r="X771" s="564"/>
      <c r="Y771" s="564"/>
      <c r="Z771" s="564"/>
      <c r="AA771" s="564"/>
      <c r="AB771" s="564"/>
      <c r="AC771" s="564"/>
      <c r="AD771" s="564"/>
      <c r="AE771" s="564"/>
      <c r="AF771" s="564"/>
      <c r="AG771" s="564"/>
      <c r="AH771" s="564"/>
      <c r="AI771" s="564"/>
      <c r="AJ771" s="564"/>
      <c r="AK771" s="564"/>
      <c r="AL771" s="564"/>
      <c r="AM771" s="564"/>
      <c r="AN771" s="564"/>
      <c r="AO771" s="564"/>
    </row>
    <row r="772" spans="2:41" x14ac:dyDescent="0.15">
      <c r="B772" s="565">
        <v>8</v>
      </c>
      <c r="C772" s="564"/>
      <c r="D772" s="564"/>
      <c r="E772" s="564"/>
      <c r="F772" s="564"/>
      <c r="G772" s="564"/>
      <c r="H772" s="564"/>
      <c r="I772" s="564"/>
      <c r="J772" s="564"/>
      <c r="K772" s="564"/>
      <c r="L772" s="564"/>
      <c r="M772" s="564"/>
      <c r="N772" s="564"/>
      <c r="O772" s="564"/>
      <c r="P772" s="564"/>
      <c r="Q772" s="564"/>
      <c r="R772" s="564"/>
      <c r="S772" s="564"/>
      <c r="T772" s="564"/>
      <c r="U772" s="564"/>
      <c r="V772" s="564"/>
      <c r="W772" s="564"/>
      <c r="X772" s="564"/>
      <c r="Y772" s="564"/>
      <c r="Z772" s="564"/>
      <c r="AA772" s="564"/>
      <c r="AB772" s="564"/>
      <c r="AC772" s="564"/>
      <c r="AD772" s="564"/>
      <c r="AE772" s="564"/>
      <c r="AF772" s="564"/>
      <c r="AG772" s="564"/>
      <c r="AH772" s="564"/>
      <c r="AI772" s="564"/>
      <c r="AJ772" s="564"/>
      <c r="AK772" s="564"/>
      <c r="AL772" s="564"/>
      <c r="AM772" s="564"/>
      <c r="AN772" s="564"/>
      <c r="AO772" s="564"/>
    </row>
    <row r="773" spans="2:41" x14ac:dyDescent="0.15">
      <c r="B773" s="565">
        <v>9</v>
      </c>
      <c r="C773" s="564"/>
      <c r="D773" s="564"/>
      <c r="E773" s="564"/>
      <c r="F773" s="564"/>
      <c r="G773" s="564"/>
      <c r="H773" s="564"/>
      <c r="I773" s="564"/>
      <c r="J773" s="564"/>
      <c r="K773" s="564"/>
      <c r="L773" s="564"/>
      <c r="M773" s="564"/>
      <c r="N773" s="564"/>
      <c r="O773" s="564"/>
      <c r="P773" s="564"/>
      <c r="Q773" s="564"/>
      <c r="R773" s="564"/>
      <c r="S773" s="564"/>
      <c r="T773" s="564"/>
      <c r="U773" s="564"/>
      <c r="V773" s="564"/>
      <c r="W773" s="564"/>
      <c r="X773" s="564"/>
      <c r="Y773" s="564"/>
      <c r="Z773" s="564"/>
      <c r="AA773" s="564"/>
      <c r="AB773" s="564"/>
      <c r="AC773" s="564"/>
      <c r="AD773" s="564"/>
      <c r="AE773" s="564"/>
      <c r="AF773" s="564"/>
      <c r="AG773" s="564"/>
      <c r="AH773" s="564"/>
      <c r="AI773" s="564"/>
      <c r="AJ773" s="564"/>
      <c r="AK773" s="564"/>
      <c r="AL773" s="564"/>
      <c r="AM773" s="564"/>
      <c r="AN773" s="564"/>
      <c r="AO773" s="564"/>
    </row>
    <row r="774" spans="2:41" x14ac:dyDescent="0.15">
      <c r="B774" s="565">
        <v>10</v>
      </c>
      <c r="C774" s="564"/>
      <c r="D774" s="564"/>
      <c r="E774" s="564"/>
      <c r="F774" s="564"/>
      <c r="G774" s="564"/>
      <c r="H774" s="564"/>
      <c r="I774" s="564"/>
      <c r="J774" s="564"/>
      <c r="K774" s="564"/>
      <c r="L774" s="564"/>
      <c r="M774" s="564"/>
      <c r="N774" s="564"/>
      <c r="O774" s="564"/>
      <c r="P774" s="564"/>
      <c r="Q774" s="564"/>
      <c r="R774" s="564"/>
      <c r="S774" s="564"/>
      <c r="T774" s="564"/>
      <c r="U774" s="564"/>
      <c r="V774" s="564"/>
      <c r="W774" s="564"/>
      <c r="X774" s="564"/>
      <c r="Y774" s="564"/>
      <c r="Z774" s="564"/>
      <c r="AA774" s="564"/>
      <c r="AB774" s="564"/>
      <c r="AC774" s="564"/>
      <c r="AD774" s="564"/>
      <c r="AE774" s="564"/>
      <c r="AF774" s="564"/>
      <c r="AG774" s="564"/>
      <c r="AH774" s="564"/>
      <c r="AI774" s="564"/>
      <c r="AJ774" s="564"/>
      <c r="AK774" s="564"/>
      <c r="AL774" s="564"/>
      <c r="AM774" s="564"/>
      <c r="AN774" s="564"/>
      <c r="AO774" s="564"/>
    </row>
    <row r="775" spans="2:41" x14ac:dyDescent="0.15">
      <c r="B775" s="565">
        <v>11</v>
      </c>
      <c r="C775" s="564"/>
      <c r="D775" s="564"/>
      <c r="E775" s="564"/>
      <c r="F775" s="564"/>
      <c r="G775" s="564"/>
      <c r="H775" s="564"/>
      <c r="I775" s="564"/>
      <c r="J775" s="564"/>
      <c r="K775" s="564"/>
      <c r="L775" s="564"/>
      <c r="M775" s="564"/>
      <c r="N775" s="564"/>
      <c r="O775" s="564"/>
      <c r="P775" s="564"/>
      <c r="Q775" s="564"/>
      <c r="R775" s="564"/>
      <c r="S775" s="564"/>
      <c r="T775" s="564"/>
      <c r="U775" s="564"/>
      <c r="V775" s="564"/>
      <c r="W775" s="564"/>
      <c r="X775" s="564"/>
      <c r="Y775" s="564"/>
      <c r="Z775" s="564"/>
      <c r="AA775" s="564"/>
      <c r="AB775" s="564"/>
      <c r="AC775" s="564"/>
      <c r="AD775" s="564"/>
      <c r="AE775" s="564"/>
      <c r="AF775" s="564"/>
      <c r="AG775" s="564"/>
      <c r="AH775" s="564"/>
      <c r="AI775" s="564"/>
      <c r="AJ775" s="564"/>
      <c r="AK775" s="564"/>
      <c r="AL775" s="564"/>
      <c r="AM775" s="564"/>
      <c r="AN775" s="564"/>
      <c r="AO775" s="564"/>
    </row>
    <row r="776" spans="2:41" x14ac:dyDescent="0.15">
      <c r="B776" s="565">
        <v>12</v>
      </c>
      <c r="C776" s="564"/>
      <c r="D776" s="564"/>
      <c r="E776" s="564"/>
      <c r="F776" s="564"/>
      <c r="G776" s="564"/>
      <c r="H776" s="564"/>
      <c r="I776" s="564"/>
      <c r="J776" s="564"/>
      <c r="K776" s="564"/>
      <c r="L776" s="564"/>
      <c r="M776" s="564"/>
      <c r="N776" s="564"/>
      <c r="O776" s="564"/>
      <c r="P776" s="564"/>
      <c r="Q776" s="564"/>
      <c r="R776" s="564"/>
      <c r="S776" s="564"/>
      <c r="T776" s="564"/>
      <c r="U776" s="564"/>
      <c r="V776" s="564"/>
      <c r="W776" s="564"/>
      <c r="X776" s="564"/>
      <c r="Y776" s="564"/>
      <c r="Z776" s="564"/>
      <c r="AA776" s="564"/>
      <c r="AB776" s="564"/>
      <c r="AC776" s="564"/>
      <c r="AD776" s="564"/>
      <c r="AE776" s="564"/>
      <c r="AF776" s="564"/>
      <c r="AG776" s="564"/>
      <c r="AH776" s="564"/>
      <c r="AI776" s="564"/>
      <c r="AJ776" s="564"/>
      <c r="AK776" s="564"/>
      <c r="AL776" s="564"/>
      <c r="AM776" s="564"/>
      <c r="AN776" s="564"/>
      <c r="AO776" s="564"/>
    </row>
    <row r="777" spans="2:41" x14ac:dyDescent="0.15">
      <c r="B777" s="565">
        <v>13</v>
      </c>
      <c r="C777" s="564"/>
      <c r="D777" s="564"/>
      <c r="E777" s="564"/>
      <c r="F777" s="564"/>
      <c r="G777" s="564"/>
      <c r="H777" s="564"/>
      <c r="I777" s="564"/>
      <c r="J777" s="564"/>
      <c r="K777" s="564"/>
      <c r="L777" s="564"/>
      <c r="M777" s="564"/>
      <c r="N777" s="564"/>
      <c r="O777" s="564"/>
      <c r="P777" s="564"/>
      <c r="Q777" s="564"/>
      <c r="R777" s="564"/>
      <c r="S777" s="564"/>
      <c r="T777" s="564"/>
      <c r="U777" s="564"/>
      <c r="V777" s="564"/>
      <c r="W777" s="564"/>
      <c r="X777" s="564"/>
      <c r="Y777" s="564"/>
      <c r="Z777" s="564"/>
      <c r="AA777" s="564"/>
      <c r="AB777" s="564"/>
      <c r="AC777" s="564"/>
      <c r="AD777" s="564"/>
      <c r="AE777" s="564"/>
      <c r="AF777" s="564"/>
      <c r="AG777" s="564"/>
      <c r="AH777" s="564"/>
      <c r="AI777" s="564"/>
      <c r="AJ777" s="564"/>
      <c r="AK777" s="564"/>
      <c r="AL777" s="564"/>
      <c r="AM777" s="564"/>
      <c r="AN777" s="564"/>
      <c r="AO777" s="564"/>
    </row>
    <row r="778" spans="2:41" x14ac:dyDescent="0.15">
      <c r="B778" s="565">
        <v>14</v>
      </c>
      <c r="C778" s="564"/>
      <c r="D778" s="564"/>
      <c r="E778" s="564"/>
      <c r="F778" s="564"/>
      <c r="G778" s="564"/>
      <c r="H778" s="564"/>
      <c r="I778" s="564"/>
      <c r="J778" s="564"/>
      <c r="K778" s="564"/>
      <c r="L778" s="564"/>
      <c r="M778" s="564"/>
      <c r="N778" s="564"/>
      <c r="O778" s="564"/>
      <c r="P778" s="564"/>
      <c r="Q778" s="564"/>
      <c r="R778" s="564"/>
      <c r="S778" s="564"/>
      <c r="T778" s="564"/>
      <c r="U778" s="564"/>
      <c r="V778" s="564"/>
      <c r="W778" s="564"/>
      <c r="X778" s="564"/>
      <c r="Y778" s="564"/>
      <c r="Z778" s="564"/>
      <c r="AA778" s="564"/>
      <c r="AB778" s="564"/>
      <c r="AC778" s="564"/>
      <c r="AD778" s="564"/>
      <c r="AE778" s="564"/>
      <c r="AF778" s="564"/>
      <c r="AG778" s="564"/>
      <c r="AH778" s="564"/>
      <c r="AI778" s="564"/>
      <c r="AJ778" s="564"/>
      <c r="AK778" s="564"/>
      <c r="AL778" s="564"/>
      <c r="AM778" s="564"/>
      <c r="AN778" s="564"/>
      <c r="AO778" s="564"/>
    </row>
    <row r="779" spans="2:41" x14ac:dyDescent="0.15">
      <c r="B779" s="565">
        <v>15</v>
      </c>
      <c r="C779" s="564"/>
      <c r="D779" s="564"/>
      <c r="E779" s="564"/>
      <c r="F779" s="564"/>
      <c r="G779" s="564"/>
      <c r="H779" s="564"/>
      <c r="I779" s="564"/>
      <c r="J779" s="564"/>
      <c r="K779" s="564"/>
      <c r="L779" s="564"/>
      <c r="M779" s="564"/>
      <c r="N779" s="564"/>
      <c r="O779" s="564"/>
      <c r="P779" s="564"/>
      <c r="Q779" s="564"/>
      <c r="R779" s="564"/>
      <c r="S779" s="564"/>
      <c r="T779" s="564"/>
      <c r="U779" s="564"/>
      <c r="V779" s="564"/>
      <c r="W779" s="564"/>
      <c r="X779" s="564"/>
      <c r="Y779" s="564"/>
      <c r="Z779" s="564"/>
      <c r="AA779" s="564"/>
      <c r="AB779" s="564"/>
      <c r="AC779" s="564"/>
      <c r="AD779" s="564"/>
      <c r="AE779" s="564"/>
      <c r="AF779" s="564"/>
      <c r="AG779" s="564"/>
      <c r="AH779" s="564"/>
      <c r="AI779" s="564"/>
      <c r="AJ779" s="564"/>
      <c r="AK779" s="564"/>
      <c r="AL779" s="564"/>
      <c r="AM779" s="564"/>
      <c r="AN779" s="564"/>
      <c r="AO779" s="564"/>
    </row>
    <row r="780" spans="2:41" x14ac:dyDescent="0.15">
      <c r="B780" s="565">
        <v>16</v>
      </c>
      <c r="C780" s="564"/>
      <c r="D780" s="564"/>
      <c r="E780" s="564"/>
      <c r="F780" s="564"/>
      <c r="G780" s="564"/>
      <c r="H780" s="564"/>
      <c r="I780" s="564"/>
      <c r="J780" s="564"/>
      <c r="K780" s="564"/>
      <c r="L780" s="564"/>
      <c r="M780" s="564"/>
      <c r="N780" s="564"/>
      <c r="O780" s="564"/>
      <c r="P780" s="564"/>
      <c r="Q780" s="564"/>
      <c r="R780" s="564"/>
      <c r="S780" s="564"/>
      <c r="T780" s="564"/>
      <c r="U780" s="564"/>
      <c r="V780" s="564"/>
      <c r="W780" s="564"/>
      <c r="X780" s="564"/>
      <c r="Y780" s="564"/>
      <c r="Z780" s="564"/>
      <c r="AA780" s="564"/>
      <c r="AB780" s="564"/>
      <c r="AC780" s="564"/>
      <c r="AD780" s="564"/>
      <c r="AE780" s="564"/>
      <c r="AF780" s="564"/>
      <c r="AG780" s="564"/>
      <c r="AH780" s="564"/>
      <c r="AI780" s="564"/>
      <c r="AJ780" s="564"/>
      <c r="AK780" s="564"/>
      <c r="AL780" s="564"/>
      <c r="AM780" s="564"/>
      <c r="AN780" s="564"/>
      <c r="AO780" s="564"/>
    </row>
    <row r="781" spans="2:41" x14ac:dyDescent="0.15">
      <c r="B781" s="565">
        <v>17</v>
      </c>
      <c r="C781" s="564"/>
      <c r="D781" s="564"/>
      <c r="E781" s="564"/>
      <c r="F781" s="564"/>
      <c r="G781" s="564"/>
      <c r="H781" s="564"/>
      <c r="I781" s="564"/>
      <c r="J781" s="564"/>
      <c r="K781" s="564"/>
      <c r="L781" s="564"/>
      <c r="M781" s="564"/>
      <c r="N781" s="564"/>
      <c r="O781" s="564"/>
      <c r="P781" s="564"/>
      <c r="Q781" s="564"/>
      <c r="R781" s="564"/>
      <c r="S781" s="564"/>
      <c r="T781" s="564"/>
      <c r="U781" s="564"/>
      <c r="V781" s="564"/>
      <c r="W781" s="564"/>
      <c r="X781" s="564"/>
      <c r="Y781" s="564"/>
      <c r="Z781" s="564"/>
      <c r="AA781" s="564"/>
      <c r="AB781" s="564"/>
      <c r="AC781" s="564"/>
      <c r="AD781" s="564"/>
      <c r="AE781" s="564"/>
      <c r="AF781" s="564"/>
      <c r="AG781" s="564"/>
      <c r="AH781" s="564"/>
      <c r="AI781" s="564"/>
      <c r="AJ781" s="564"/>
      <c r="AK781" s="564"/>
      <c r="AL781" s="564"/>
      <c r="AM781" s="564"/>
      <c r="AN781" s="564"/>
      <c r="AO781" s="564"/>
    </row>
    <row r="782" spans="2:41" x14ac:dyDescent="0.15">
      <c r="B782" s="565">
        <v>18</v>
      </c>
      <c r="C782" s="564"/>
      <c r="D782" s="564"/>
      <c r="E782" s="564"/>
      <c r="F782" s="564"/>
      <c r="G782" s="564"/>
      <c r="H782" s="564"/>
      <c r="I782" s="564"/>
      <c r="J782" s="564"/>
      <c r="K782" s="564"/>
      <c r="L782" s="564"/>
      <c r="M782" s="564"/>
      <c r="N782" s="564"/>
      <c r="O782" s="564"/>
      <c r="P782" s="564"/>
      <c r="Q782" s="564"/>
      <c r="R782" s="564"/>
      <c r="S782" s="564"/>
      <c r="T782" s="564"/>
      <c r="U782" s="564"/>
      <c r="V782" s="564"/>
      <c r="W782" s="564"/>
      <c r="X782" s="564"/>
      <c r="Y782" s="564"/>
      <c r="Z782" s="564"/>
      <c r="AA782" s="564"/>
      <c r="AB782" s="564"/>
      <c r="AC782" s="564"/>
      <c r="AD782" s="564"/>
      <c r="AE782" s="564"/>
      <c r="AF782" s="564"/>
      <c r="AG782" s="564"/>
      <c r="AH782" s="564"/>
      <c r="AI782" s="564"/>
      <c r="AJ782" s="564"/>
      <c r="AK782" s="564"/>
      <c r="AL782" s="564"/>
      <c r="AM782" s="564"/>
      <c r="AN782" s="564"/>
      <c r="AO782" s="564"/>
    </row>
    <row r="783" spans="2:41" x14ac:dyDescent="0.15">
      <c r="B783" s="565">
        <v>19</v>
      </c>
      <c r="C783" s="564"/>
      <c r="D783" s="564"/>
      <c r="E783" s="564"/>
      <c r="F783" s="564"/>
      <c r="G783" s="564"/>
      <c r="H783" s="564"/>
      <c r="I783" s="564"/>
      <c r="J783" s="564"/>
      <c r="K783" s="564"/>
      <c r="L783" s="564"/>
      <c r="M783" s="564"/>
      <c r="N783" s="564"/>
      <c r="O783" s="564"/>
      <c r="P783" s="564"/>
      <c r="Q783" s="564"/>
      <c r="R783" s="564"/>
      <c r="S783" s="564"/>
      <c r="T783" s="564"/>
      <c r="U783" s="564"/>
      <c r="V783" s="564"/>
      <c r="W783" s="564"/>
      <c r="X783" s="564"/>
      <c r="Y783" s="564"/>
      <c r="Z783" s="564"/>
      <c r="AA783" s="564"/>
      <c r="AB783" s="564"/>
      <c r="AC783" s="564"/>
      <c r="AD783" s="564"/>
      <c r="AE783" s="564"/>
      <c r="AF783" s="564"/>
      <c r="AG783" s="564"/>
      <c r="AH783" s="564"/>
      <c r="AI783" s="564"/>
      <c r="AJ783" s="564"/>
      <c r="AK783" s="564"/>
      <c r="AL783" s="564"/>
      <c r="AM783" s="564"/>
      <c r="AN783" s="564"/>
      <c r="AO783" s="564"/>
    </row>
    <row r="784" spans="2:41" x14ac:dyDescent="0.15">
      <c r="B784" s="565">
        <v>20</v>
      </c>
      <c r="C784" s="564"/>
      <c r="D784" s="564"/>
      <c r="E784" s="564"/>
      <c r="F784" s="564"/>
      <c r="G784" s="564"/>
      <c r="H784" s="564"/>
      <c r="I784" s="564"/>
      <c r="J784" s="564"/>
      <c r="K784" s="564"/>
      <c r="L784" s="564"/>
      <c r="M784" s="564"/>
      <c r="N784" s="564"/>
      <c r="O784" s="564"/>
      <c r="P784" s="564"/>
      <c r="Q784" s="564"/>
      <c r="R784" s="564"/>
      <c r="S784" s="564"/>
      <c r="T784" s="564"/>
      <c r="U784" s="564"/>
      <c r="V784" s="564"/>
      <c r="W784" s="564"/>
      <c r="X784" s="564"/>
      <c r="Y784" s="564"/>
      <c r="Z784" s="564"/>
      <c r="AA784" s="564"/>
      <c r="AB784" s="564"/>
      <c r="AC784" s="564"/>
      <c r="AD784" s="564"/>
      <c r="AE784" s="564"/>
      <c r="AF784" s="564"/>
      <c r="AG784" s="564"/>
      <c r="AH784" s="564"/>
      <c r="AI784" s="564"/>
      <c r="AJ784" s="564"/>
      <c r="AK784" s="564"/>
      <c r="AL784" s="564"/>
      <c r="AM784" s="564"/>
      <c r="AN784" s="564"/>
      <c r="AO784" s="564"/>
    </row>
    <row r="785" spans="2:41" x14ac:dyDescent="0.15">
      <c r="B785" s="565">
        <v>21</v>
      </c>
      <c r="C785" s="564"/>
      <c r="D785" s="564"/>
      <c r="E785" s="564"/>
      <c r="F785" s="564"/>
      <c r="G785" s="564"/>
      <c r="H785" s="564"/>
      <c r="I785" s="564"/>
      <c r="J785" s="564"/>
      <c r="K785" s="564"/>
      <c r="L785" s="564"/>
      <c r="M785" s="564"/>
      <c r="N785" s="564"/>
      <c r="O785" s="564"/>
      <c r="P785" s="564"/>
      <c r="Q785" s="564"/>
      <c r="R785" s="564"/>
      <c r="S785" s="564"/>
      <c r="T785" s="564"/>
      <c r="U785" s="564"/>
      <c r="V785" s="564"/>
      <c r="W785" s="564"/>
      <c r="X785" s="564"/>
      <c r="Y785" s="564"/>
      <c r="Z785" s="564"/>
      <c r="AA785" s="564"/>
      <c r="AB785" s="564"/>
      <c r="AC785" s="564"/>
      <c r="AD785" s="564"/>
      <c r="AE785" s="564"/>
      <c r="AF785" s="564"/>
      <c r="AG785" s="564"/>
      <c r="AH785" s="564"/>
      <c r="AI785" s="564"/>
      <c r="AJ785" s="564"/>
      <c r="AK785" s="564"/>
      <c r="AL785" s="564"/>
      <c r="AM785" s="564"/>
      <c r="AN785" s="564"/>
      <c r="AO785" s="564"/>
    </row>
    <row r="786" spans="2:41" x14ac:dyDescent="0.15">
      <c r="B786" s="565">
        <v>22</v>
      </c>
      <c r="C786" s="564"/>
      <c r="D786" s="564"/>
      <c r="E786" s="564"/>
      <c r="F786" s="564"/>
      <c r="G786" s="564"/>
      <c r="H786" s="564"/>
      <c r="I786" s="564"/>
      <c r="J786" s="564"/>
      <c r="K786" s="564"/>
      <c r="L786" s="564"/>
      <c r="M786" s="564"/>
      <c r="N786" s="564"/>
      <c r="O786" s="564"/>
      <c r="P786" s="564"/>
      <c r="Q786" s="564"/>
      <c r="R786" s="564"/>
      <c r="S786" s="564"/>
      <c r="T786" s="564"/>
      <c r="U786" s="564"/>
      <c r="V786" s="564"/>
      <c r="W786" s="564"/>
      <c r="X786" s="564"/>
      <c r="Y786" s="564"/>
      <c r="Z786" s="564"/>
      <c r="AA786" s="564"/>
      <c r="AB786" s="564"/>
      <c r="AC786" s="564"/>
      <c r="AD786" s="564"/>
      <c r="AE786" s="564"/>
      <c r="AF786" s="564"/>
      <c r="AG786" s="564"/>
      <c r="AH786" s="564"/>
      <c r="AI786" s="564"/>
      <c r="AJ786" s="564"/>
      <c r="AK786" s="564"/>
      <c r="AL786" s="564"/>
      <c r="AM786" s="564"/>
      <c r="AN786" s="564"/>
      <c r="AO786" s="564"/>
    </row>
    <row r="787" spans="2:41" x14ac:dyDescent="0.15">
      <c r="B787" s="565">
        <v>23</v>
      </c>
      <c r="C787" s="564"/>
      <c r="D787" s="564"/>
      <c r="E787" s="564"/>
      <c r="F787" s="564"/>
      <c r="G787" s="564"/>
      <c r="H787" s="564"/>
      <c r="I787" s="564"/>
      <c r="J787" s="564"/>
      <c r="K787" s="564"/>
      <c r="L787" s="564"/>
      <c r="M787" s="564"/>
      <c r="N787" s="564"/>
      <c r="O787" s="564"/>
      <c r="P787" s="564"/>
      <c r="Q787" s="564"/>
      <c r="R787" s="564"/>
      <c r="S787" s="564"/>
      <c r="T787" s="564"/>
      <c r="U787" s="564"/>
      <c r="V787" s="564"/>
      <c r="W787" s="564"/>
      <c r="X787" s="564"/>
      <c r="Y787" s="564"/>
      <c r="Z787" s="564"/>
      <c r="AA787" s="564"/>
      <c r="AB787" s="564"/>
      <c r="AC787" s="564"/>
      <c r="AD787" s="564"/>
      <c r="AE787" s="564"/>
      <c r="AF787" s="564"/>
      <c r="AG787" s="564"/>
      <c r="AH787" s="564"/>
      <c r="AI787" s="564"/>
      <c r="AJ787" s="564"/>
      <c r="AK787" s="564"/>
      <c r="AL787" s="564"/>
      <c r="AM787" s="564"/>
      <c r="AN787" s="564"/>
      <c r="AO787" s="564"/>
    </row>
    <row r="788" spans="2:41" x14ac:dyDescent="0.15">
      <c r="B788" s="565">
        <v>24</v>
      </c>
      <c r="C788" s="564"/>
      <c r="D788" s="564"/>
      <c r="E788" s="564"/>
      <c r="F788" s="564"/>
      <c r="G788" s="564"/>
      <c r="H788" s="564"/>
      <c r="I788" s="564"/>
      <c r="J788" s="564"/>
      <c r="K788" s="564"/>
      <c r="L788" s="564"/>
      <c r="M788" s="564"/>
      <c r="N788" s="564"/>
      <c r="O788" s="564"/>
      <c r="P788" s="564"/>
      <c r="Q788" s="564"/>
      <c r="R788" s="564"/>
      <c r="S788" s="564"/>
      <c r="T788" s="564"/>
      <c r="U788" s="564"/>
      <c r="V788" s="564"/>
      <c r="W788" s="564"/>
      <c r="X788" s="564"/>
      <c r="Y788" s="564"/>
      <c r="Z788" s="564"/>
      <c r="AA788" s="564"/>
      <c r="AB788" s="564"/>
      <c r="AC788" s="564"/>
      <c r="AD788" s="564"/>
      <c r="AE788" s="564"/>
      <c r="AF788" s="564"/>
      <c r="AG788" s="564"/>
      <c r="AH788" s="564"/>
      <c r="AI788" s="564"/>
      <c r="AJ788" s="564"/>
      <c r="AK788" s="564"/>
      <c r="AL788" s="564"/>
      <c r="AM788" s="564"/>
      <c r="AN788" s="564"/>
      <c r="AO788" s="564"/>
    </row>
    <row r="789" spans="2:41" x14ac:dyDescent="0.15">
      <c r="B789" s="565">
        <v>25</v>
      </c>
      <c r="C789" s="564"/>
      <c r="D789" s="564"/>
      <c r="E789" s="564"/>
      <c r="F789" s="564"/>
      <c r="G789" s="564"/>
      <c r="H789" s="564"/>
      <c r="I789" s="564"/>
      <c r="J789" s="564"/>
      <c r="K789" s="564"/>
      <c r="L789" s="564"/>
      <c r="M789" s="564"/>
      <c r="N789" s="564"/>
      <c r="O789" s="564"/>
      <c r="P789" s="564"/>
      <c r="Q789" s="564"/>
      <c r="R789" s="564"/>
      <c r="S789" s="564"/>
      <c r="T789" s="564"/>
      <c r="U789" s="564"/>
      <c r="V789" s="564"/>
      <c r="W789" s="564"/>
      <c r="X789" s="564"/>
      <c r="Y789" s="564"/>
      <c r="Z789" s="564"/>
      <c r="AA789" s="564"/>
      <c r="AB789" s="564"/>
      <c r="AC789" s="564"/>
      <c r="AD789" s="564"/>
      <c r="AE789" s="564"/>
      <c r="AF789" s="564"/>
      <c r="AG789" s="564"/>
      <c r="AH789" s="564"/>
      <c r="AI789" s="564"/>
      <c r="AJ789" s="564"/>
      <c r="AK789" s="564"/>
      <c r="AL789" s="564"/>
      <c r="AM789" s="564"/>
      <c r="AN789" s="564"/>
      <c r="AO789" s="564"/>
    </row>
    <row r="790" spans="2:41" x14ac:dyDescent="0.15">
      <c r="B790" s="565">
        <v>26</v>
      </c>
      <c r="C790" s="564"/>
      <c r="D790" s="564"/>
      <c r="E790" s="564"/>
      <c r="F790" s="564"/>
      <c r="G790" s="564"/>
      <c r="H790" s="564"/>
      <c r="I790" s="564"/>
      <c r="J790" s="564"/>
      <c r="K790" s="564"/>
      <c r="L790" s="564"/>
      <c r="M790" s="564"/>
      <c r="N790" s="564"/>
      <c r="O790" s="564"/>
      <c r="P790" s="564"/>
      <c r="Q790" s="564"/>
      <c r="R790" s="564"/>
      <c r="S790" s="564"/>
      <c r="T790" s="564"/>
      <c r="U790" s="564"/>
      <c r="V790" s="564"/>
      <c r="W790" s="564"/>
      <c r="X790" s="564"/>
      <c r="Y790" s="564"/>
      <c r="Z790" s="564"/>
      <c r="AA790" s="564"/>
      <c r="AB790" s="564"/>
      <c r="AC790" s="564"/>
      <c r="AD790" s="564"/>
      <c r="AE790" s="564"/>
      <c r="AF790" s="564"/>
      <c r="AG790" s="564"/>
      <c r="AH790" s="564"/>
      <c r="AI790" s="564"/>
      <c r="AJ790" s="564"/>
      <c r="AK790" s="564"/>
      <c r="AL790" s="564"/>
      <c r="AM790" s="564"/>
      <c r="AN790" s="564"/>
      <c r="AO790" s="564"/>
    </row>
    <row r="791" spans="2:41" x14ac:dyDescent="0.15">
      <c r="B791" s="565">
        <v>27</v>
      </c>
      <c r="C791" s="564"/>
      <c r="D791" s="564"/>
      <c r="E791" s="564"/>
      <c r="F791" s="564"/>
      <c r="G791" s="564"/>
      <c r="H791" s="564"/>
      <c r="I791" s="564"/>
      <c r="J791" s="564"/>
      <c r="K791" s="564"/>
      <c r="L791" s="564"/>
      <c r="M791" s="564"/>
      <c r="N791" s="564"/>
      <c r="O791" s="564"/>
      <c r="P791" s="564"/>
      <c r="Q791" s="564"/>
      <c r="R791" s="564"/>
      <c r="S791" s="564"/>
      <c r="T791" s="564"/>
      <c r="U791" s="564"/>
      <c r="V791" s="564"/>
      <c r="W791" s="564"/>
      <c r="X791" s="564"/>
      <c r="Y791" s="564"/>
      <c r="Z791" s="564"/>
      <c r="AA791" s="564"/>
      <c r="AB791" s="564"/>
      <c r="AC791" s="564"/>
      <c r="AD791" s="564"/>
      <c r="AE791" s="564"/>
      <c r="AF791" s="564"/>
      <c r="AG791" s="564"/>
      <c r="AH791" s="564"/>
      <c r="AI791" s="564"/>
      <c r="AJ791" s="564"/>
      <c r="AK791" s="564"/>
      <c r="AL791" s="564"/>
      <c r="AM791" s="564"/>
      <c r="AN791" s="564"/>
      <c r="AO791" s="564"/>
    </row>
    <row r="792" spans="2:41" x14ac:dyDescent="0.15">
      <c r="B792" s="565">
        <v>28</v>
      </c>
      <c r="C792" s="564"/>
      <c r="D792" s="564"/>
      <c r="E792" s="564"/>
      <c r="F792" s="564"/>
      <c r="G792" s="564"/>
      <c r="H792" s="564"/>
      <c r="I792" s="564"/>
      <c r="J792" s="564"/>
      <c r="K792" s="564"/>
      <c r="L792" s="564"/>
      <c r="M792" s="564"/>
      <c r="N792" s="564"/>
      <c r="O792" s="564"/>
      <c r="P792" s="564"/>
      <c r="Q792" s="564"/>
      <c r="R792" s="564"/>
      <c r="S792" s="564"/>
      <c r="T792" s="564"/>
      <c r="U792" s="564"/>
      <c r="V792" s="564"/>
      <c r="W792" s="564"/>
      <c r="X792" s="564"/>
      <c r="Y792" s="564"/>
      <c r="Z792" s="564"/>
      <c r="AA792" s="564"/>
      <c r="AB792" s="564"/>
      <c r="AC792" s="564"/>
      <c r="AD792" s="564"/>
      <c r="AE792" s="564"/>
      <c r="AF792" s="564"/>
      <c r="AG792" s="564"/>
      <c r="AH792" s="564"/>
      <c r="AI792" s="564"/>
      <c r="AJ792" s="564"/>
      <c r="AK792" s="564"/>
      <c r="AL792" s="564"/>
      <c r="AM792" s="564"/>
      <c r="AN792" s="564"/>
      <c r="AO792" s="564"/>
    </row>
    <row r="793" spans="2:41" x14ac:dyDescent="0.15">
      <c r="B793" s="565">
        <v>29</v>
      </c>
      <c r="C793" s="564"/>
      <c r="D793" s="564"/>
      <c r="E793" s="564"/>
      <c r="F793" s="564"/>
      <c r="G793" s="564"/>
      <c r="H793" s="564"/>
      <c r="I793" s="564"/>
      <c r="J793" s="564"/>
      <c r="K793" s="564"/>
      <c r="L793" s="564"/>
      <c r="M793" s="564"/>
      <c r="N793" s="564"/>
      <c r="O793" s="564"/>
      <c r="P793" s="564"/>
      <c r="Q793" s="564"/>
      <c r="R793" s="564"/>
      <c r="S793" s="564"/>
      <c r="T793" s="564"/>
      <c r="U793" s="564"/>
      <c r="V793" s="564"/>
      <c r="W793" s="564"/>
      <c r="X793" s="564"/>
      <c r="Y793" s="564"/>
      <c r="Z793" s="564"/>
      <c r="AA793" s="564"/>
      <c r="AB793" s="564"/>
      <c r="AC793" s="564"/>
      <c r="AD793" s="564"/>
      <c r="AE793" s="564"/>
      <c r="AF793" s="564"/>
      <c r="AG793" s="564"/>
      <c r="AH793" s="564"/>
      <c r="AI793" s="564"/>
      <c r="AJ793" s="564"/>
      <c r="AK793" s="564"/>
      <c r="AL793" s="564"/>
      <c r="AM793" s="564"/>
      <c r="AN793" s="564"/>
      <c r="AO793" s="564"/>
    </row>
    <row r="794" spans="2:41" x14ac:dyDescent="0.15">
      <c r="B794" s="565">
        <v>30</v>
      </c>
      <c r="C794" s="564"/>
      <c r="D794" s="564"/>
      <c r="E794" s="564"/>
      <c r="F794" s="564"/>
      <c r="G794" s="564"/>
      <c r="H794" s="564"/>
      <c r="I794" s="564"/>
      <c r="J794" s="564"/>
      <c r="K794" s="564"/>
      <c r="L794" s="564"/>
      <c r="M794" s="564"/>
      <c r="N794" s="564"/>
      <c r="O794" s="564"/>
      <c r="P794" s="564"/>
      <c r="Q794" s="564"/>
      <c r="R794" s="564"/>
      <c r="S794" s="564"/>
      <c r="T794" s="564"/>
      <c r="U794" s="564"/>
      <c r="V794" s="564"/>
      <c r="W794" s="564"/>
      <c r="X794" s="564"/>
      <c r="Y794" s="564"/>
      <c r="Z794" s="564"/>
      <c r="AA794" s="564"/>
      <c r="AB794" s="564"/>
      <c r="AC794" s="564"/>
      <c r="AD794" s="564"/>
      <c r="AE794" s="564"/>
      <c r="AF794" s="564"/>
      <c r="AG794" s="564"/>
      <c r="AH794" s="564"/>
      <c r="AI794" s="564"/>
      <c r="AJ794" s="564"/>
      <c r="AK794" s="564"/>
      <c r="AL794" s="564"/>
      <c r="AM794" s="564"/>
      <c r="AN794" s="564"/>
      <c r="AO794" s="564"/>
    </row>
    <row r="795" spans="2:41" x14ac:dyDescent="0.15">
      <c r="B795" s="565">
        <v>31</v>
      </c>
      <c r="C795" s="564"/>
      <c r="D795" s="564"/>
      <c r="E795" s="564"/>
      <c r="F795" s="564"/>
      <c r="G795" s="564"/>
      <c r="H795" s="564"/>
      <c r="I795" s="564"/>
      <c r="J795" s="564"/>
      <c r="K795" s="564"/>
      <c r="L795" s="564"/>
      <c r="M795" s="564"/>
      <c r="N795" s="564"/>
      <c r="O795" s="564"/>
      <c r="P795" s="564"/>
      <c r="Q795" s="564"/>
      <c r="R795" s="564"/>
      <c r="S795" s="564"/>
      <c r="T795" s="564"/>
      <c r="U795" s="564"/>
      <c r="V795" s="564"/>
      <c r="W795" s="564"/>
      <c r="X795" s="564"/>
      <c r="Y795" s="564"/>
      <c r="Z795" s="564"/>
      <c r="AA795" s="564"/>
      <c r="AB795" s="564"/>
      <c r="AC795" s="564"/>
      <c r="AD795" s="564"/>
      <c r="AE795" s="564"/>
      <c r="AF795" s="564"/>
      <c r="AG795" s="564"/>
      <c r="AH795" s="564"/>
      <c r="AI795" s="564"/>
      <c r="AJ795" s="564"/>
      <c r="AK795" s="564"/>
      <c r="AL795" s="564"/>
      <c r="AM795" s="564"/>
      <c r="AN795" s="564"/>
      <c r="AO795" s="564"/>
    </row>
    <row r="796" spans="2:41" x14ac:dyDescent="0.15">
      <c r="B796" s="565">
        <v>32</v>
      </c>
      <c r="C796" s="564"/>
      <c r="D796" s="564"/>
      <c r="E796" s="564"/>
      <c r="F796" s="564"/>
      <c r="G796" s="564"/>
      <c r="H796" s="564"/>
      <c r="I796" s="564"/>
      <c r="J796" s="564"/>
      <c r="K796" s="564"/>
      <c r="L796" s="564"/>
      <c r="M796" s="564"/>
      <c r="N796" s="564"/>
      <c r="O796" s="564"/>
      <c r="P796" s="564"/>
      <c r="Q796" s="564"/>
      <c r="R796" s="564"/>
      <c r="S796" s="564"/>
      <c r="T796" s="564"/>
      <c r="U796" s="564"/>
      <c r="V796" s="564"/>
      <c r="W796" s="564"/>
      <c r="X796" s="564"/>
      <c r="Y796" s="564"/>
      <c r="Z796" s="564"/>
      <c r="AA796" s="564"/>
      <c r="AB796" s="564"/>
      <c r="AC796" s="564"/>
      <c r="AD796" s="564"/>
      <c r="AE796" s="564"/>
      <c r="AF796" s="564"/>
      <c r="AG796" s="564"/>
      <c r="AH796" s="564"/>
      <c r="AI796" s="564"/>
      <c r="AJ796" s="564"/>
      <c r="AK796" s="564"/>
      <c r="AL796" s="564"/>
      <c r="AM796" s="564"/>
      <c r="AN796" s="564"/>
      <c r="AO796" s="564"/>
    </row>
    <row r="797" spans="2:41" x14ac:dyDescent="0.15">
      <c r="B797" s="565">
        <v>33</v>
      </c>
      <c r="C797" s="564"/>
      <c r="D797" s="564"/>
      <c r="E797" s="564"/>
      <c r="F797" s="564"/>
      <c r="G797" s="564"/>
      <c r="H797" s="564"/>
      <c r="I797" s="564"/>
      <c r="J797" s="564"/>
      <c r="K797" s="564"/>
      <c r="L797" s="564"/>
      <c r="M797" s="564"/>
      <c r="N797" s="564"/>
      <c r="O797" s="564"/>
      <c r="P797" s="564"/>
      <c r="Q797" s="564"/>
      <c r="R797" s="564"/>
      <c r="S797" s="564"/>
      <c r="T797" s="564"/>
      <c r="U797" s="564"/>
      <c r="V797" s="564"/>
      <c r="W797" s="564"/>
      <c r="X797" s="564"/>
      <c r="Y797" s="564"/>
      <c r="Z797" s="564"/>
      <c r="AA797" s="564"/>
      <c r="AB797" s="564"/>
      <c r="AC797" s="564"/>
      <c r="AD797" s="564"/>
      <c r="AE797" s="564"/>
      <c r="AF797" s="564"/>
      <c r="AG797" s="564"/>
      <c r="AH797" s="564"/>
      <c r="AI797" s="564"/>
      <c r="AJ797" s="564"/>
      <c r="AK797" s="564"/>
      <c r="AL797" s="564"/>
      <c r="AM797" s="564"/>
      <c r="AN797" s="564"/>
      <c r="AO797" s="564"/>
    </row>
    <row r="798" spans="2:41" x14ac:dyDescent="0.15">
      <c r="B798" s="565">
        <v>34</v>
      </c>
      <c r="C798" s="564"/>
      <c r="D798" s="564"/>
      <c r="E798" s="564"/>
      <c r="F798" s="564"/>
      <c r="G798" s="564"/>
      <c r="H798" s="564"/>
      <c r="I798" s="564"/>
      <c r="J798" s="564"/>
      <c r="K798" s="564"/>
      <c r="L798" s="564"/>
      <c r="M798" s="564"/>
      <c r="N798" s="564"/>
      <c r="O798" s="564"/>
      <c r="P798" s="564"/>
      <c r="Q798" s="564"/>
      <c r="R798" s="564"/>
      <c r="S798" s="564"/>
      <c r="T798" s="564"/>
      <c r="U798" s="564"/>
      <c r="V798" s="564"/>
      <c r="W798" s="564"/>
      <c r="X798" s="564"/>
      <c r="Y798" s="564"/>
      <c r="Z798" s="564"/>
      <c r="AA798" s="564"/>
      <c r="AB798" s="564"/>
      <c r="AC798" s="564"/>
      <c r="AD798" s="564"/>
      <c r="AE798" s="564"/>
      <c r="AF798" s="564"/>
      <c r="AG798" s="564"/>
      <c r="AH798" s="564"/>
      <c r="AI798" s="564"/>
      <c r="AJ798" s="564"/>
      <c r="AK798" s="564"/>
      <c r="AL798" s="564"/>
      <c r="AM798" s="564"/>
      <c r="AN798" s="564"/>
      <c r="AO798" s="564"/>
    </row>
    <row r="799" spans="2:41" x14ac:dyDescent="0.15">
      <c r="B799" s="565">
        <v>35</v>
      </c>
      <c r="C799" s="564"/>
      <c r="D799" s="564"/>
      <c r="E799" s="564"/>
      <c r="F799" s="564"/>
      <c r="G799" s="564"/>
      <c r="H799" s="564"/>
      <c r="I799" s="564"/>
      <c r="J799" s="564"/>
      <c r="K799" s="564"/>
      <c r="L799" s="564"/>
      <c r="M799" s="564"/>
      <c r="N799" s="564"/>
      <c r="O799" s="564"/>
      <c r="P799" s="564"/>
      <c r="Q799" s="564"/>
      <c r="R799" s="564"/>
      <c r="S799" s="564"/>
      <c r="T799" s="564"/>
      <c r="U799" s="564"/>
      <c r="V799" s="564"/>
      <c r="W799" s="564"/>
      <c r="X799" s="564"/>
      <c r="Y799" s="564"/>
      <c r="Z799" s="564"/>
      <c r="AA799" s="564"/>
      <c r="AB799" s="564"/>
      <c r="AC799" s="564"/>
      <c r="AD799" s="564"/>
      <c r="AE799" s="564"/>
      <c r="AF799" s="564"/>
      <c r="AG799" s="564"/>
      <c r="AH799" s="564"/>
      <c r="AI799" s="564"/>
      <c r="AJ799" s="564"/>
      <c r="AK799" s="564"/>
      <c r="AL799" s="564"/>
      <c r="AM799" s="564"/>
      <c r="AN799" s="564"/>
      <c r="AO799" s="564"/>
    </row>
    <row r="800" spans="2:41" x14ac:dyDescent="0.15">
      <c r="B800" s="565">
        <v>36</v>
      </c>
      <c r="C800" s="564"/>
      <c r="D800" s="564"/>
      <c r="E800" s="564"/>
      <c r="F800" s="564"/>
      <c r="G800" s="564"/>
      <c r="H800" s="564"/>
      <c r="I800" s="564"/>
      <c r="J800" s="564"/>
      <c r="K800" s="564"/>
      <c r="L800" s="564"/>
      <c r="M800" s="564"/>
      <c r="N800" s="564"/>
      <c r="O800" s="564"/>
      <c r="P800" s="564"/>
      <c r="Q800" s="564"/>
      <c r="R800" s="564"/>
      <c r="S800" s="564"/>
      <c r="T800" s="564"/>
      <c r="U800" s="564"/>
      <c r="V800" s="564"/>
      <c r="W800" s="564"/>
      <c r="X800" s="564"/>
      <c r="Y800" s="564"/>
      <c r="Z800" s="564"/>
      <c r="AA800" s="564"/>
      <c r="AB800" s="564"/>
      <c r="AC800" s="564"/>
      <c r="AD800" s="564"/>
      <c r="AE800" s="564"/>
      <c r="AF800" s="564"/>
      <c r="AG800" s="564"/>
      <c r="AH800" s="564"/>
      <c r="AI800" s="564"/>
      <c r="AJ800" s="564"/>
      <c r="AK800" s="564"/>
      <c r="AL800" s="564"/>
      <c r="AM800" s="564"/>
      <c r="AN800" s="564"/>
      <c r="AO800" s="564"/>
    </row>
    <row r="801" spans="2:41" x14ac:dyDescent="0.15">
      <c r="B801" s="565">
        <v>37</v>
      </c>
      <c r="C801" s="564"/>
      <c r="D801" s="564"/>
      <c r="E801" s="564"/>
      <c r="F801" s="564"/>
      <c r="G801" s="564"/>
      <c r="H801" s="564"/>
      <c r="I801" s="564"/>
      <c r="J801" s="564"/>
      <c r="K801" s="564"/>
      <c r="L801" s="564"/>
      <c r="M801" s="564"/>
      <c r="N801" s="564"/>
      <c r="O801" s="564"/>
      <c r="P801" s="564"/>
      <c r="Q801" s="564"/>
      <c r="R801" s="564"/>
      <c r="S801" s="564"/>
      <c r="T801" s="564"/>
      <c r="U801" s="564"/>
      <c r="V801" s="564"/>
      <c r="W801" s="564"/>
      <c r="X801" s="564"/>
      <c r="Y801" s="564"/>
      <c r="Z801" s="564"/>
      <c r="AA801" s="564"/>
      <c r="AB801" s="564"/>
      <c r="AC801" s="564"/>
      <c r="AD801" s="564"/>
      <c r="AE801" s="564"/>
      <c r="AF801" s="564"/>
      <c r="AG801" s="564"/>
      <c r="AH801" s="564"/>
      <c r="AI801" s="564"/>
      <c r="AJ801" s="564"/>
      <c r="AK801" s="564"/>
      <c r="AL801" s="564"/>
      <c r="AM801" s="564"/>
      <c r="AN801" s="564"/>
      <c r="AO801" s="564"/>
    </row>
    <row r="802" spans="2:41" x14ac:dyDescent="0.15">
      <c r="B802" s="565">
        <v>38</v>
      </c>
      <c r="C802" s="564"/>
      <c r="D802" s="564"/>
      <c r="E802" s="564"/>
      <c r="F802" s="564"/>
      <c r="G802" s="564"/>
      <c r="H802" s="564"/>
      <c r="I802" s="564"/>
      <c r="J802" s="564"/>
      <c r="K802" s="564"/>
      <c r="L802" s="564"/>
      <c r="M802" s="564"/>
      <c r="N802" s="564"/>
      <c r="O802" s="564"/>
      <c r="P802" s="564"/>
      <c r="Q802" s="564"/>
      <c r="R802" s="564"/>
      <c r="S802" s="564"/>
      <c r="T802" s="564"/>
      <c r="U802" s="564"/>
      <c r="V802" s="564"/>
      <c r="W802" s="564"/>
      <c r="X802" s="564"/>
      <c r="Y802" s="564"/>
      <c r="Z802" s="564"/>
      <c r="AA802" s="564"/>
      <c r="AB802" s="564"/>
      <c r="AC802" s="564"/>
      <c r="AD802" s="564"/>
      <c r="AE802" s="564"/>
      <c r="AF802" s="564"/>
      <c r="AG802" s="564"/>
      <c r="AH802" s="564"/>
      <c r="AI802" s="564"/>
      <c r="AJ802" s="564"/>
      <c r="AK802" s="564"/>
      <c r="AL802" s="564"/>
      <c r="AM802" s="564"/>
      <c r="AN802" s="564"/>
      <c r="AO802" s="564"/>
    </row>
    <row r="803" spans="2:41" x14ac:dyDescent="0.15">
      <c r="B803" s="565">
        <v>39</v>
      </c>
      <c r="C803" s="564"/>
      <c r="D803" s="564"/>
      <c r="E803" s="564"/>
      <c r="F803" s="564"/>
      <c r="G803" s="564"/>
      <c r="H803" s="564"/>
      <c r="I803" s="564"/>
      <c r="J803" s="564"/>
      <c r="K803" s="564"/>
      <c r="L803" s="564"/>
      <c r="M803" s="564"/>
      <c r="N803" s="564"/>
      <c r="O803" s="564"/>
      <c r="P803" s="564"/>
      <c r="Q803" s="564"/>
      <c r="R803" s="564"/>
      <c r="S803" s="564"/>
      <c r="T803" s="564"/>
      <c r="U803" s="564"/>
      <c r="V803" s="564"/>
      <c r="W803" s="564"/>
      <c r="X803" s="564"/>
      <c r="Y803" s="564"/>
      <c r="Z803" s="564"/>
      <c r="AA803" s="564"/>
      <c r="AB803" s="564"/>
      <c r="AC803" s="564"/>
      <c r="AD803" s="564"/>
      <c r="AE803" s="564"/>
      <c r="AF803" s="564"/>
      <c r="AG803" s="564"/>
      <c r="AH803" s="564"/>
      <c r="AI803" s="564"/>
      <c r="AJ803" s="564"/>
      <c r="AK803" s="564"/>
      <c r="AL803" s="564"/>
      <c r="AM803" s="564"/>
      <c r="AN803" s="564"/>
      <c r="AO803" s="564"/>
    </row>
    <row r="804" spans="2:41" x14ac:dyDescent="0.15">
      <c r="B804" s="566">
        <v>40</v>
      </c>
      <c r="C804" s="564"/>
      <c r="D804" s="564"/>
      <c r="E804" s="564"/>
      <c r="F804" s="564"/>
      <c r="G804" s="564"/>
      <c r="H804" s="564"/>
      <c r="I804" s="564"/>
      <c r="J804" s="564"/>
      <c r="K804" s="564"/>
      <c r="L804" s="564"/>
      <c r="M804" s="564"/>
      <c r="N804" s="564"/>
      <c r="O804" s="564"/>
      <c r="P804" s="564"/>
      <c r="Q804" s="564"/>
      <c r="R804" s="564"/>
      <c r="S804" s="564"/>
      <c r="T804" s="564"/>
      <c r="U804" s="564"/>
      <c r="V804" s="564"/>
      <c r="W804" s="564"/>
      <c r="X804" s="564"/>
      <c r="Y804" s="564"/>
      <c r="Z804" s="564"/>
      <c r="AA804" s="564"/>
      <c r="AB804" s="564"/>
      <c r="AC804" s="564"/>
      <c r="AD804" s="564"/>
      <c r="AE804" s="564"/>
      <c r="AF804" s="564"/>
      <c r="AG804" s="564"/>
      <c r="AH804" s="564"/>
      <c r="AI804" s="564"/>
      <c r="AJ804" s="564"/>
      <c r="AK804" s="564"/>
      <c r="AL804" s="564"/>
      <c r="AM804" s="564"/>
      <c r="AN804" s="564"/>
      <c r="AO804" s="564"/>
    </row>
    <row r="813" spans="2:41" s="561" customFormat="1" ht="14" x14ac:dyDescent="0.15">
      <c r="B813" s="558" t="str" cm="1">
        <f t="array" ref="B813:AO813">TRANSPOSE('Syötä kaupungit KIRJASTOLINKIT!'!$K$1:$K$40)</f>
        <v>MAA 10</v>
      </c>
      <c r="C813" s="562">
        <v>0</v>
      </c>
      <c r="D813" s="562">
        <v>0</v>
      </c>
      <c r="E813" s="562">
        <v>0</v>
      </c>
      <c r="F813" s="562">
        <v>0</v>
      </c>
      <c r="G813" s="562">
        <v>0</v>
      </c>
      <c r="H813" s="562">
        <v>0</v>
      </c>
      <c r="I813" s="562">
        <v>0</v>
      </c>
      <c r="J813" s="562">
        <v>0</v>
      </c>
      <c r="K813" s="562">
        <v>0</v>
      </c>
      <c r="L813" s="562">
        <v>0</v>
      </c>
      <c r="M813" s="562">
        <v>0</v>
      </c>
      <c r="N813" s="562">
        <v>0</v>
      </c>
      <c r="O813" s="562">
        <v>0</v>
      </c>
      <c r="P813" s="562">
        <v>0</v>
      </c>
      <c r="Q813" s="562">
        <v>0</v>
      </c>
      <c r="R813" s="562">
        <v>0</v>
      </c>
      <c r="S813" s="562">
        <v>0</v>
      </c>
      <c r="T813" s="562">
        <v>0</v>
      </c>
      <c r="U813" s="562">
        <v>0</v>
      </c>
      <c r="V813" s="562">
        <v>0</v>
      </c>
      <c r="W813" s="562">
        <v>0</v>
      </c>
      <c r="X813" s="562">
        <v>0</v>
      </c>
      <c r="Y813" s="562">
        <v>0</v>
      </c>
      <c r="Z813" s="562">
        <v>0</v>
      </c>
      <c r="AA813" s="562">
        <v>0</v>
      </c>
      <c r="AB813" s="562">
        <v>0</v>
      </c>
      <c r="AC813" s="562">
        <v>0</v>
      </c>
      <c r="AD813" s="562">
        <v>0</v>
      </c>
      <c r="AE813" s="562">
        <v>0</v>
      </c>
      <c r="AF813" s="562">
        <v>0</v>
      </c>
      <c r="AG813" s="562">
        <v>0</v>
      </c>
      <c r="AH813" s="562">
        <v>0</v>
      </c>
      <c r="AI813" s="562">
        <v>0</v>
      </c>
      <c r="AJ813" s="562">
        <v>0</v>
      </c>
      <c r="AK813" s="562">
        <v>0</v>
      </c>
      <c r="AL813" s="562">
        <v>0</v>
      </c>
      <c r="AM813" s="562">
        <v>0</v>
      </c>
      <c r="AN813" s="562">
        <v>0</v>
      </c>
      <c r="AO813" s="562">
        <v>0</v>
      </c>
    </row>
    <row r="814" spans="2:41" x14ac:dyDescent="0.15">
      <c r="B814" s="563">
        <v>-40</v>
      </c>
      <c r="C814" s="564"/>
      <c r="D814" s="564"/>
      <c r="E814" s="564"/>
      <c r="F814" s="564"/>
      <c r="G814" s="564"/>
      <c r="H814" s="564"/>
      <c r="I814" s="564"/>
      <c r="J814" s="564"/>
      <c r="K814" s="564"/>
      <c r="L814" s="564"/>
      <c r="M814" s="564"/>
      <c r="N814" s="564"/>
      <c r="O814" s="564"/>
      <c r="P814" s="564"/>
      <c r="Q814" s="564"/>
      <c r="R814" s="564"/>
      <c r="S814" s="564"/>
      <c r="T814" s="564"/>
      <c r="U814" s="564"/>
      <c r="V814" s="564"/>
      <c r="W814" s="564"/>
      <c r="X814" s="564"/>
      <c r="Y814" s="564"/>
      <c r="Z814" s="564"/>
      <c r="AA814" s="564"/>
      <c r="AB814" s="564"/>
      <c r="AC814" s="564"/>
      <c r="AD814" s="564"/>
      <c r="AE814" s="564"/>
      <c r="AF814" s="564"/>
      <c r="AG814" s="564"/>
      <c r="AH814" s="564"/>
      <c r="AI814" s="564"/>
      <c r="AJ814" s="564"/>
      <c r="AK814" s="564"/>
      <c r="AL814" s="564"/>
      <c r="AM814" s="564"/>
      <c r="AN814" s="564"/>
      <c r="AO814" s="564"/>
    </row>
    <row r="815" spans="2:41" x14ac:dyDescent="0.15">
      <c r="B815" s="565">
        <v>-39</v>
      </c>
      <c r="C815" s="564"/>
      <c r="D815" s="564"/>
      <c r="E815" s="564"/>
      <c r="F815" s="564"/>
      <c r="G815" s="564"/>
      <c r="H815" s="564"/>
      <c r="I815" s="564"/>
      <c r="J815" s="564"/>
      <c r="K815" s="564"/>
      <c r="L815" s="564"/>
      <c r="M815" s="564"/>
      <c r="N815" s="564"/>
      <c r="O815" s="564"/>
      <c r="P815" s="564"/>
      <c r="Q815" s="564"/>
      <c r="R815" s="564"/>
      <c r="S815" s="564"/>
      <c r="T815" s="564"/>
      <c r="U815" s="564"/>
      <c r="V815" s="564"/>
      <c r="W815" s="564"/>
      <c r="X815" s="564"/>
      <c r="Y815" s="564"/>
      <c r="Z815" s="564"/>
      <c r="AA815" s="564"/>
      <c r="AB815" s="564"/>
      <c r="AC815" s="564"/>
      <c r="AD815" s="564"/>
      <c r="AE815" s="564"/>
      <c r="AF815" s="564"/>
      <c r="AG815" s="564"/>
      <c r="AH815" s="564"/>
      <c r="AI815" s="564"/>
      <c r="AJ815" s="564"/>
      <c r="AK815" s="564"/>
      <c r="AL815" s="564"/>
      <c r="AM815" s="564"/>
      <c r="AN815" s="564"/>
      <c r="AO815" s="564"/>
    </row>
    <row r="816" spans="2:41" x14ac:dyDescent="0.15">
      <c r="B816" s="565">
        <v>-38</v>
      </c>
      <c r="C816" s="564"/>
      <c r="D816" s="564"/>
      <c r="E816" s="564"/>
      <c r="F816" s="564"/>
      <c r="G816" s="564"/>
      <c r="H816" s="564"/>
      <c r="I816" s="564"/>
      <c r="J816" s="564"/>
      <c r="K816" s="564"/>
      <c r="L816" s="564"/>
      <c r="M816" s="564"/>
      <c r="N816" s="564"/>
      <c r="O816" s="564"/>
      <c r="P816" s="564"/>
      <c r="Q816" s="564"/>
      <c r="R816" s="564"/>
      <c r="S816" s="564"/>
      <c r="T816" s="564"/>
      <c r="U816" s="564"/>
      <c r="V816" s="564"/>
      <c r="W816" s="564"/>
      <c r="X816" s="564"/>
      <c r="Y816" s="564"/>
      <c r="Z816" s="564"/>
      <c r="AA816" s="564"/>
      <c r="AB816" s="564"/>
      <c r="AC816" s="564"/>
      <c r="AD816" s="564"/>
      <c r="AE816" s="564"/>
      <c r="AF816" s="564"/>
      <c r="AG816" s="564"/>
      <c r="AH816" s="564"/>
      <c r="AI816" s="564"/>
      <c r="AJ816" s="564"/>
      <c r="AK816" s="564"/>
      <c r="AL816" s="564"/>
      <c r="AM816" s="564"/>
      <c r="AN816" s="564"/>
      <c r="AO816" s="564"/>
    </row>
    <row r="817" spans="2:41" x14ac:dyDescent="0.15">
      <c r="B817" s="565">
        <v>-37</v>
      </c>
      <c r="C817" s="564"/>
      <c r="D817" s="564"/>
      <c r="E817" s="564"/>
      <c r="F817" s="564"/>
      <c r="G817" s="564"/>
      <c r="H817" s="564"/>
      <c r="I817" s="564"/>
      <c r="J817" s="564"/>
      <c r="K817" s="564"/>
      <c r="L817" s="564"/>
      <c r="M817" s="564"/>
      <c r="N817" s="564"/>
      <c r="O817" s="564"/>
      <c r="P817" s="564"/>
      <c r="Q817" s="564"/>
      <c r="R817" s="564"/>
      <c r="S817" s="564"/>
      <c r="T817" s="564"/>
      <c r="U817" s="564"/>
      <c r="V817" s="564"/>
      <c r="W817" s="564"/>
      <c r="X817" s="564"/>
      <c r="Y817" s="564"/>
      <c r="Z817" s="564"/>
      <c r="AA817" s="564"/>
      <c r="AB817" s="564"/>
      <c r="AC817" s="564"/>
      <c r="AD817" s="564"/>
      <c r="AE817" s="564"/>
      <c r="AF817" s="564"/>
      <c r="AG817" s="564"/>
      <c r="AH817" s="564"/>
      <c r="AI817" s="564"/>
      <c r="AJ817" s="564"/>
      <c r="AK817" s="564"/>
      <c r="AL817" s="564"/>
      <c r="AM817" s="564"/>
      <c r="AN817" s="564"/>
      <c r="AO817" s="564"/>
    </row>
    <row r="818" spans="2:41" x14ac:dyDescent="0.15">
      <c r="B818" s="565">
        <v>-36</v>
      </c>
      <c r="C818" s="564"/>
      <c r="D818" s="564"/>
      <c r="E818" s="564"/>
      <c r="F818" s="564"/>
      <c r="G818" s="564"/>
      <c r="H818" s="564"/>
      <c r="I818" s="564"/>
      <c r="J818" s="564"/>
      <c r="K818" s="564"/>
      <c r="L818" s="564"/>
      <c r="M818" s="564"/>
      <c r="N818" s="564"/>
      <c r="O818" s="564"/>
      <c r="P818" s="564"/>
      <c r="Q818" s="564"/>
      <c r="R818" s="564"/>
      <c r="S818" s="564"/>
      <c r="T818" s="564"/>
      <c r="U818" s="564"/>
      <c r="V818" s="564"/>
      <c r="W818" s="564"/>
      <c r="X818" s="564"/>
      <c r="Y818" s="564"/>
      <c r="Z818" s="564"/>
      <c r="AA818" s="564"/>
      <c r="AB818" s="564"/>
      <c r="AC818" s="564"/>
      <c r="AD818" s="564"/>
      <c r="AE818" s="564"/>
      <c r="AF818" s="564"/>
      <c r="AG818" s="564"/>
      <c r="AH818" s="564"/>
      <c r="AI818" s="564"/>
      <c r="AJ818" s="564"/>
      <c r="AK818" s="564"/>
      <c r="AL818" s="564"/>
      <c r="AM818" s="564"/>
      <c r="AN818" s="564"/>
      <c r="AO818" s="564"/>
    </row>
    <row r="819" spans="2:41" x14ac:dyDescent="0.15">
      <c r="B819" s="565">
        <v>-35</v>
      </c>
      <c r="C819" s="564"/>
      <c r="D819" s="564"/>
      <c r="E819" s="564"/>
      <c r="F819" s="564"/>
      <c r="G819" s="564"/>
      <c r="H819" s="564"/>
      <c r="I819" s="564"/>
      <c r="J819" s="564"/>
      <c r="K819" s="564"/>
      <c r="L819" s="564"/>
      <c r="M819" s="564"/>
      <c r="N819" s="564"/>
      <c r="O819" s="564"/>
      <c r="P819" s="564"/>
      <c r="Q819" s="564"/>
      <c r="R819" s="564"/>
      <c r="S819" s="564"/>
      <c r="T819" s="564"/>
      <c r="U819" s="564"/>
      <c r="V819" s="564"/>
      <c r="W819" s="564"/>
      <c r="X819" s="564"/>
      <c r="Y819" s="564"/>
      <c r="Z819" s="564"/>
      <c r="AA819" s="564"/>
      <c r="AB819" s="564"/>
      <c r="AC819" s="564"/>
      <c r="AD819" s="564"/>
      <c r="AE819" s="564"/>
      <c r="AF819" s="564"/>
      <c r="AG819" s="564"/>
      <c r="AH819" s="564"/>
      <c r="AI819" s="564"/>
      <c r="AJ819" s="564"/>
      <c r="AK819" s="564"/>
      <c r="AL819" s="564"/>
      <c r="AM819" s="564"/>
      <c r="AN819" s="564"/>
      <c r="AO819" s="564"/>
    </row>
    <row r="820" spans="2:41" x14ac:dyDescent="0.15">
      <c r="B820" s="565">
        <v>-34</v>
      </c>
      <c r="C820" s="564"/>
      <c r="D820" s="564"/>
      <c r="E820" s="564"/>
      <c r="F820" s="564"/>
      <c r="G820" s="564"/>
      <c r="H820" s="564"/>
      <c r="I820" s="564"/>
      <c r="J820" s="564"/>
      <c r="K820" s="564"/>
      <c r="L820" s="564"/>
      <c r="M820" s="564"/>
      <c r="N820" s="564"/>
      <c r="O820" s="564"/>
      <c r="P820" s="564"/>
      <c r="Q820" s="564"/>
      <c r="R820" s="564"/>
      <c r="S820" s="564"/>
      <c r="T820" s="564"/>
      <c r="U820" s="564"/>
      <c r="V820" s="564"/>
      <c r="W820" s="564"/>
      <c r="X820" s="564"/>
      <c r="Y820" s="564"/>
      <c r="Z820" s="564"/>
      <c r="AA820" s="564"/>
      <c r="AB820" s="564"/>
      <c r="AC820" s="564"/>
      <c r="AD820" s="564"/>
      <c r="AE820" s="564"/>
      <c r="AF820" s="564"/>
      <c r="AG820" s="564"/>
      <c r="AH820" s="564"/>
      <c r="AI820" s="564"/>
      <c r="AJ820" s="564"/>
      <c r="AK820" s="564"/>
      <c r="AL820" s="564"/>
      <c r="AM820" s="564"/>
      <c r="AN820" s="564"/>
      <c r="AO820" s="564"/>
    </row>
    <row r="821" spans="2:41" x14ac:dyDescent="0.15">
      <c r="B821" s="565">
        <v>-33</v>
      </c>
      <c r="C821" s="564"/>
      <c r="D821" s="564"/>
      <c r="E821" s="564"/>
      <c r="F821" s="564"/>
      <c r="G821" s="564"/>
      <c r="H821" s="564"/>
      <c r="I821" s="564"/>
      <c r="J821" s="564"/>
      <c r="K821" s="564"/>
      <c r="L821" s="564"/>
      <c r="M821" s="564"/>
      <c r="N821" s="564"/>
      <c r="O821" s="564"/>
      <c r="P821" s="564"/>
      <c r="Q821" s="564"/>
      <c r="R821" s="564"/>
      <c r="S821" s="564"/>
      <c r="T821" s="564"/>
      <c r="U821" s="564"/>
      <c r="V821" s="564"/>
      <c r="W821" s="564"/>
      <c r="X821" s="564"/>
      <c r="Y821" s="564"/>
      <c r="Z821" s="564"/>
      <c r="AA821" s="564"/>
      <c r="AB821" s="564"/>
      <c r="AC821" s="564"/>
      <c r="AD821" s="564"/>
      <c r="AE821" s="564"/>
      <c r="AF821" s="564"/>
      <c r="AG821" s="564"/>
      <c r="AH821" s="564"/>
      <c r="AI821" s="564"/>
      <c r="AJ821" s="564"/>
      <c r="AK821" s="564"/>
      <c r="AL821" s="564"/>
      <c r="AM821" s="564"/>
      <c r="AN821" s="564"/>
      <c r="AO821" s="564"/>
    </row>
    <row r="822" spans="2:41" x14ac:dyDescent="0.15">
      <c r="B822" s="565">
        <v>-32</v>
      </c>
      <c r="C822" s="564"/>
      <c r="D822" s="564"/>
      <c r="E822" s="564"/>
      <c r="F822" s="564"/>
      <c r="G822" s="564"/>
      <c r="H822" s="564"/>
      <c r="I822" s="564"/>
      <c r="J822" s="564"/>
      <c r="K822" s="564"/>
      <c r="L822" s="564"/>
      <c r="M822" s="564"/>
      <c r="N822" s="564"/>
      <c r="O822" s="564"/>
      <c r="P822" s="564"/>
      <c r="Q822" s="564"/>
      <c r="R822" s="564"/>
      <c r="S822" s="564"/>
      <c r="T822" s="564"/>
      <c r="U822" s="564"/>
      <c r="V822" s="564"/>
      <c r="W822" s="564"/>
      <c r="X822" s="564"/>
      <c r="Y822" s="564"/>
      <c r="Z822" s="564"/>
      <c r="AA822" s="564"/>
      <c r="AB822" s="564"/>
      <c r="AC822" s="564"/>
      <c r="AD822" s="564"/>
      <c r="AE822" s="564"/>
      <c r="AF822" s="564"/>
      <c r="AG822" s="564"/>
      <c r="AH822" s="564"/>
      <c r="AI822" s="564"/>
      <c r="AJ822" s="564"/>
      <c r="AK822" s="564"/>
      <c r="AL822" s="564"/>
      <c r="AM822" s="564"/>
      <c r="AN822" s="564"/>
      <c r="AO822" s="564"/>
    </row>
    <row r="823" spans="2:41" x14ac:dyDescent="0.15">
      <c r="B823" s="565">
        <v>-31</v>
      </c>
      <c r="C823" s="564"/>
      <c r="D823" s="564"/>
      <c r="E823" s="564"/>
      <c r="F823" s="564"/>
      <c r="G823" s="564"/>
      <c r="H823" s="564"/>
      <c r="I823" s="564"/>
      <c r="J823" s="564"/>
      <c r="K823" s="564"/>
      <c r="L823" s="564"/>
      <c r="M823" s="564"/>
      <c r="N823" s="564"/>
      <c r="O823" s="564"/>
      <c r="P823" s="564"/>
      <c r="Q823" s="564"/>
      <c r="R823" s="564"/>
      <c r="S823" s="564"/>
      <c r="T823" s="564"/>
      <c r="U823" s="564"/>
      <c r="V823" s="564"/>
      <c r="W823" s="564"/>
      <c r="X823" s="564"/>
      <c r="Y823" s="564"/>
      <c r="Z823" s="564"/>
      <c r="AA823" s="564"/>
      <c r="AB823" s="564"/>
      <c r="AC823" s="564"/>
      <c r="AD823" s="564"/>
      <c r="AE823" s="564"/>
      <c r="AF823" s="564"/>
      <c r="AG823" s="564"/>
      <c r="AH823" s="564"/>
      <c r="AI823" s="564"/>
      <c r="AJ823" s="564"/>
      <c r="AK823" s="564"/>
      <c r="AL823" s="564"/>
      <c r="AM823" s="564"/>
      <c r="AN823" s="564"/>
      <c r="AO823" s="564"/>
    </row>
    <row r="824" spans="2:41" x14ac:dyDescent="0.15">
      <c r="B824" s="565">
        <v>-30</v>
      </c>
      <c r="C824" s="564"/>
      <c r="D824" s="564"/>
      <c r="E824" s="564"/>
      <c r="F824" s="564"/>
      <c r="G824" s="564"/>
      <c r="H824" s="564"/>
      <c r="I824" s="564"/>
      <c r="J824" s="564"/>
      <c r="K824" s="564"/>
      <c r="L824" s="564"/>
      <c r="M824" s="564"/>
      <c r="N824" s="564"/>
      <c r="O824" s="564"/>
      <c r="P824" s="564"/>
      <c r="Q824" s="564"/>
      <c r="R824" s="564"/>
      <c r="S824" s="564"/>
      <c r="T824" s="564"/>
      <c r="U824" s="564"/>
      <c r="V824" s="564"/>
      <c r="W824" s="564"/>
      <c r="X824" s="564"/>
      <c r="Y824" s="564"/>
      <c r="Z824" s="564"/>
      <c r="AA824" s="564"/>
      <c r="AB824" s="564"/>
      <c r="AC824" s="564"/>
      <c r="AD824" s="564"/>
      <c r="AE824" s="564"/>
      <c r="AF824" s="564"/>
      <c r="AG824" s="564"/>
      <c r="AH824" s="564"/>
      <c r="AI824" s="564"/>
      <c r="AJ824" s="564"/>
      <c r="AK824" s="564"/>
      <c r="AL824" s="564"/>
      <c r="AM824" s="564"/>
      <c r="AN824" s="564"/>
      <c r="AO824" s="564"/>
    </row>
    <row r="825" spans="2:41" x14ac:dyDescent="0.15">
      <c r="B825" s="565">
        <v>-29</v>
      </c>
      <c r="C825" s="564"/>
      <c r="D825" s="564"/>
      <c r="E825" s="564"/>
      <c r="F825" s="564"/>
      <c r="G825" s="564"/>
      <c r="H825" s="564"/>
      <c r="I825" s="564"/>
      <c r="J825" s="564"/>
      <c r="K825" s="564"/>
      <c r="L825" s="564"/>
      <c r="M825" s="564"/>
      <c r="N825" s="564"/>
      <c r="O825" s="564"/>
      <c r="P825" s="564"/>
      <c r="Q825" s="564"/>
      <c r="R825" s="564"/>
      <c r="S825" s="564"/>
      <c r="T825" s="564"/>
      <c r="U825" s="564"/>
      <c r="V825" s="564"/>
      <c r="W825" s="564"/>
      <c r="X825" s="564"/>
      <c r="Y825" s="564"/>
      <c r="Z825" s="564"/>
      <c r="AA825" s="564"/>
      <c r="AB825" s="564"/>
      <c r="AC825" s="564"/>
      <c r="AD825" s="564"/>
      <c r="AE825" s="564"/>
      <c r="AF825" s="564"/>
      <c r="AG825" s="564"/>
      <c r="AH825" s="564"/>
      <c r="AI825" s="564"/>
      <c r="AJ825" s="564"/>
      <c r="AK825" s="564"/>
      <c r="AL825" s="564"/>
      <c r="AM825" s="564"/>
      <c r="AN825" s="564"/>
      <c r="AO825" s="564"/>
    </row>
    <row r="826" spans="2:41" x14ac:dyDescent="0.15">
      <c r="B826" s="565">
        <v>-28</v>
      </c>
      <c r="C826" s="564"/>
      <c r="D826" s="564"/>
      <c r="E826" s="564"/>
      <c r="F826" s="564"/>
      <c r="G826" s="564"/>
      <c r="H826" s="564"/>
      <c r="I826" s="564"/>
      <c r="J826" s="564"/>
      <c r="K826" s="564"/>
      <c r="L826" s="564"/>
      <c r="M826" s="564"/>
      <c r="N826" s="564"/>
      <c r="O826" s="564"/>
      <c r="P826" s="564"/>
      <c r="Q826" s="564"/>
      <c r="R826" s="564"/>
      <c r="S826" s="564"/>
      <c r="T826" s="564"/>
      <c r="U826" s="564"/>
      <c r="V826" s="564"/>
      <c r="W826" s="564"/>
      <c r="X826" s="564"/>
      <c r="Y826" s="564"/>
      <c r="Z826" s="564"/>
      <c r="AA826" s="564"/>
      <c r="AB826" s="564"/>
      <c r="AC826" s="564"/>
      <c r="AD826" s="564"/>
      <c r="AE826" s="564"/>
      <c r="AF826" s="564"/>
      <c r="AG826" s="564"/>
      <c r="AH826" s="564"/>
      <c r="AI826" s="564"/>
      <c r="AJ826" s="564"/>
      <c r="AK826" s="564"/>
      <c r="AL826" s="564"/>
      <c r="AM826" s="564"/>
      <c r="AN826" s="564"/>
      <c r="AO826" s="564"/>
    </row>
    <row r="827" spans="2:41" x14ac:dyDescent="0.15">
      <c r="B827" s="565">
        <v>-27</v>
      </c>
      <c r="C827" s="564"/>
      <c r="D827" s="564"/>
      <c r="E827" s="564"/>
      <c r="F827" s="564"/>
      <c r="G827" s="564"/>
      <c r="H827" s="564"/>
      <c r="I827" s="564"/>
      <c r="J827" s="564"/>
      <c r="K827" s="564"/>
      <c r="L827" s="564"/>
      <c r="M827" s="564"/>
      <c r="N827" s="564"/>
      <c r="O827" s="564"/>
      <c r="P827" s="564"/>
      <c r="Q827" s="564"/>
      <c r="R827" s="564"/>
      <c r="S827" s="564"/>
      <c r="T827" s="564"/>
      <c r="U827" s="564"/>
      <c r="V827" s="564"/>
      <c r="W827" s="564"/>
      <c r="X827" s="564"/>
      <c r="Y827" s="564"/>
      <c r="Z827" s="564"/>
      <c r="AA827" s="564"/>
      <c r="AB827" s="564"/>
      <c r="AC827" s="564"/>
      <c r="AD827" s="564"/>
      <c r="AE827" s="564"/>
      <c r="AF827" s="564"/>
      <c r="AG827" s="564"/>
      <c r="AH827" s="564"/>
      <c r="AI827" s="564"/>
      <c r="AJ827" s="564"/>
      <c r="AK827" s="564"/>
      <c r="AL827" s="564"/>
      <c r="AM827" s="564"/>
      <c r="AN827" s="564"/>
      <c r="AO827" s="564"/>
    </row>
    <row r="828" spans="2:41" x14ac:dyDescent="0.15">
      <c r="B828" s="565">
        <v>-26</v>
      </c>
      <c r="C828" s="564"/>
      <c r="D828" s="564"/>
      <c r="E828" s="564"/>
      <c r="F828" s="564"/>
      <c r="G828" s="564"/>
      <c r="H828" s="564"/>
      <c r="I828" s="564"/>
      <c r="J828" s="564"/>
      <c r="K828" s="564"/>
      <c r="L828" s="564"/>
      <c r="M828" s="564"/>
      <c r="N828" s="564"/>
      <c r="O828" s="564"/>
      <c r="P828" s="564"/>
      <c r="Q828" s="564"/>
      <c r="R828" s="564"/>
      <c r="S828" s="564"/>
      <c r="T828" s="564"/>
      <c r="U828" s="564"/>
      <c r="V828" s="564"/>
      <c r="W828" s="564"/>
      <c r="X828" s="564"/>
      <c r="Y828" s="564"/>
      <c r="Z828" s="564"/>
      <c r="AA828" s="564"/>
      <c r="AB828" s="564"/>
      <c r="AC828" s="564"/>
      <c r="AD828" s="564"/>
      <c r="AE828" s="564"/>
      <c r="AF828" s="564"/>
      <c r="AG828" s="564"/>
      <c r="AH828" s="564"/>
      <c r="AI828" s="564"/>
      <c r="AJ828" s="564"/>
      <c r="AK828" s="564"/>
      <c r="AL828" s="564"/>
      <c r="AM828" s="564"/>
      <c r="AN828" s="564"/>
      <c r="AO828" s="564"/>
    </row>
    <row r="829" spans="2:41" x14ac:dyDescent="0.15">
      <c r="B829" s="565">
        <v>-25</v>
      </c>
      <c r="C829" s="564"/>
      <c r="D829" s="564"/>
      <c r="E829" s="564"/>
      <c r="F829" s="564"/>
      <c r="G829" s="564"/>
      <c r="H829" s="564"/>
      <c r="I829" s="564"/>
      <c r="J829" s="564"/>
      <c r="K829" s="564"/>
      <c r="L829" s="564"/>
      <c r="M829" s="564"/>
      <c r="N829" s="564"/>
      <c r="O829" s="564"/>
      <c r="P829" s="564"/>
      <c r="Q829" s="564"/>
      <c r="R829" s="564"/>
      <c r="S829" s="564"/>
      <c r="T829" s="564"/>
      <c r="U829" s="564"/>
      <c r="V829" s="564"/>
      <c r="W829" s="564"/>
      <c r="X829" s="564"/>
      <c r="Y829" s="564"/>
      <c r="Z829" s="564"/>
      <c r="AA829" s="564"/>
      <c r="AB829" s="564"/>
      <c r="AC829" s="564"/>
      <c r="AD829" s="564"/>
      <c r="AE829" s="564"/>
      <c r="AF829" s="564"/>
      <c r="AG829" s="564"/>
      <c r="AH829" s="564"/>
      <c r="AI829" s="564"/>
      <c r="AJ829" s="564"/>
      <c r="AK829" s="564"/>
      <c r="AL829" s="564"/>
      <c r="AM829" s="564"/>
      <c r="AN829" s="564"/>
      <c r="AO829" s="564"/>
    </row>
    <row r="830" spans="2:41" x14ac:dyDescent="0.15">
      <c r="B830" s="565">
        <v>-24</v>
      </c>
      <c r="C830" s="564"/>
      <c r="D830" s="564"/>
      <c r="E830" s="564"/>
      <c r="F830" s="564"/>
      <c r="G830" s="564"/>
      <c r="H830" s="564"/>
      <c r="I830" s="564"/>
      <c r="J830" s="564"/>
      <c r="K830" s="564"/>
      <c r="L830" s="564"/>
      <c r="M830" s="564"/>
      <c r="N830" s="564"/>
      <c r="O830" s="564"/>
      <c r="P830" s="564"/>
      <c r="Q830" s="564"/>
      <c r="R830" s="564"/>
      <c r="S830" s="564"/>
      <c r="T830" s="564"/>
      <c r="U830" s="564"/>
      <c r="V830" s="564"/>
      <c r="W830" s="564"/>
      <c r="X830" s="564"/>
      <c r="Y830" s="564"/>
      <c r="Z830" s="564"/>
      <c r="AA830" s="564"/>
      <c r="AB830" s="564"/>
      <c r="AC830" s="564"/>
      <c r="AD830" s="564"/>
      <c r="AE830" s="564"/>
      <c r="AF830" s="564"/>
      <c r="AG830" s="564"/>
      <c r="AH830" s="564"/>
      <c r="AI830" s="564"/>
      <c r="AJ830" s="564"/>
      <c r="AK830" s="564"/>
      <c r="AL830" s="564"/>
      <c r="AM830" s="564"/>
      <c r="AN830" s="564"/>
      <c r="AO830" s="564"/>
    </row>
    <row r="831" spans="2:41" x14ac:dyDescent="0.15">
      <c r="B831" s="565">
        <v>-23</v>
      </c>
      <c r="C831" s="564"/>
      <c r="D831" s="564"/>
      <c r="E831" s="564"/>
      <c r="F831" s="564"/>
      <c r="G831" s="564"/>
      <c r="H831" s="564"/>
      <c r="I831" s="564"/>
      <c r="J831" s="564"/>
      <c r="K831" s="564"/>
      <c r="L831" s="564"/>
      <c r="M831" s="564"/>
      <c r="N831" s="564"/>
      <c r="O831" s="564"/>
      <c r="P831" s="564"/>
      <c r="Q831" s="564"/>
      <c r="R831" s="564"/>
      <c r="S831" s="564"/>
      <c r="T831" s="564"/>
      <c r="U831" s="564"/>
      <c r="V831" s="564"/>
      <c r="W831" s="564"/>
      <c r="X831" s="564"/>
      <c r="Y831" s="564"/>
      <c r="Z831" s="564"/>
      <c r="AA831" s="564"/>
      <c r="AB831" s="564"/>
      <c r="AC831" s="564"/>
      <c r="AD831" s="564"/>
      <c r="AE831" s="564"/>
      <c r="AF831" s="564"/>
      <c r="AG831" s="564"/>
      <c r="AH831" s="564"/>
      <c r="AI831" s="564"/>
      <c r="AJ831" s="564"/>
      <c r="AK831" s="564"/>
      <c r="AL831" s="564"/>
      <c r="AM831" s="564"/>
      <c r="AN831" s="564"/>
      <c r="AO831" s="564"/>
    </row>
    <row r="832" spans="2:41" x14ac:dyDescent="0.15">
      <c r="B832" s="565">
        <v>-22</v>
      </c>
      <c r="C832" s="564"/>
      <c r="D832" s="564"/>
      <c r="E832" s="564"/>
      <c r="F832" s="564"/>
      <c r="G832" s="564"/>
      <c r="H832" s="564"/>
      <c r="I832" s="564"/>
      <c r="J832" s="564"/>
      <c r="K832" s="564"/>
      <c r="L832" s="564"/>
      <c r="M832" s="564"/>
      <c r="N832" s="564"/>
      <c r="O832" s="564"/>
      <c r="P832" s="564"/>
      <c r="Q832" s="564"/>
      <c r="R832" s="564"/>
      <c r="S832" s="564"/>
      <c r="T832" s="564"/>
      <c r="U832" s="564"/>
      <c r="V832" s="564"/>
      <c r="W832" s="564"/>
      <c r="X832" s="564"/>
      <c r="Y832" s="564"/>
      <c r="Z832" s="564"/>
      <c r="AA832" s="564"/>
      <c r="AB832" s="564"/>
      <c r="AC832" s="564"/>
      <c r="AD832" s="564"/>
      <c r="AE832" s="564"/>
      <c r="AF832" s="564"/>
      <c r="AG832" s="564"/>
      <c r="AH832" s="564"/>
      <c r="AI832" s="564"/>
      <c r="AJ832" s="564"/>
      <c r="AK832" s="564"/>
      <c r="AL832" s="564"/>
      <c r="AM832" s="564"/>
      <c r="AN832" s="564"/>
      <c r="AO832" s="564"/>
    </row>
    <row r="833" spans="2:41" x14ac:dyDescent="0.15">
      <c r="B833" s="565">
        <v>-21</v>
      </c>
      <c r="C833" s="564"/>
      <c r="D833" s="564"/>
      <c r="E833" s="564"/>
      <c r="F833" s="564"/>
      <c r="G833" s="564"/>
      <c r="H833" s="564"/>
      <c r="I833" s="564"/>
      <c r="J833" s="564"/>
      <c r="K833" s="564"/>
      <c r="L833" s="564"/>
      <c r="M833" s="564"/>
      <c r="N833" s="564"/>
      <c r="O833" s="564"/>
      <c r="P833" s="564"/>
      <c r="Q833" s="564"/>
      <c r="R833" s="564"/>
      <c r="S833" s="564"/>
      <c r="T833" s="564"/>
      <c r="U833" s="564"/>
      <c r="V833" s="564"/>
      <c r="W833" s="564"/>
      <c r="X833" s="564"/>
      <c r="Y833" s="564"/>
      <c r="Z833" s="564"/>
      <c r="AA833" s="564"/>
      <c r="AB833" s="564"/>
      <c r="AC833" s="564"/>
      <c r="AD833" s="564"/>
      <c r="AE833" s="564"/>
      <c r="AF833" s="564"/>
      <c r="AG833" s="564"/>
      <c r="AH833" s="564"/>
      <c r="AI833" s="564"/>
      <c r="AJ833" s="564"/>
      <c r="AK833" s="564"/>
      <c r="AL833" s="564"/>
      <c r="AM833" s="564"/>
      <c r="AN833" s="564"/>
      <c r="AO833" s="564"/>
    </row>
    <row r="834" spans="2:41" x14ac:dyDescent="0.15">
      <c r="B834" s="565">
        <v>-20</v>
      </c>
      <c r="C834" s="564"/>
      <c r="D834" s="564"/>
      <c r="E834" s="564"/>
      <c r="F834" s="564"/>
      <c r="G834" s="564"/>
      <c r="H834" s="564"/>
      <c r="I834" s="564"/>
      <c r="J834" s="564"/>
      <c r="K834" s="564"/>
      <c r="L834" s="564"/>
      <c r="M834" s="564"/>
      <c r="N834" s="564"/>
      <c r="O834" s="564"/>
      <c r="P834" s="564"/>
      <c r="Q834" s="564"/>
      <c r="R834" s="564"/>
      <c r="S834" s="564"/>
      <c r="T834" s="564"/>
      <c r="U834" s="564"/>
      <c r="V834" s="564"/>
      <c r="W834" s="564"/>
      <c r="X834" s="564"/>
      <c r="Y834" s="564"/>
      <c r="Z834" s="564"/>
      <c r="AA834" s="564"/>
      <c r="AB834" s="564"/>
      <c r="AC834" s="564"/>
      <c r="AD834" s="564"/>
      <c r="AE834" s="564"/>
      <c r="AF834" s="564"/>
      <c r="AG834" s="564"/>
      <c r="AH834" s="564"/>
      <c r="AI834" s="564"/>
      <c r="AJ834" s="564"/>
      <c r="AK834" s="564"/>
      <c r="AL834" s="564"/>
      <c r="AM834" s="564"/>
      <c r="AN834" s="564"/>
      <c r="AO834" s="564"/>
    </row>
    <row r="835" spans="2:41" x14ac:dyDescent="0.15">
      <c r="B835" s="565">
        <v>-19</v>
      </c>
      <c r="C835" s="564"/>
      <c r="D835" s="564"/>
      <c r="E835" s="564"/>
      <c r="F835" s="564"/>
      <c r="G835" s="564"/>
      <c r="H835" s="564"/>
      <c r="I835" s="564"/>
      <c r="J835" s="564"/>
      <c r="K835" s="564"/>
      <c r="L835" s="564"/>
      <c r="M835" s="564"/>
      <c r="N835" s="564"/>
      <c r="O835" s="564"/>
      <c r="P835" s="564"/>
      <c r="Q835" s="564"/>
      <c r="R835" s="564"/>
      <c r="S835" s="564"/>
      <c r="T835" s="564"/>
      <c r="U835" s="564"/>
      <c r="V835" s="564"/>
      <c r="W835" s="564"/>
      <c r="X835" s="564"/>
      <c r="Y835" s="564"/>
      <c r="Z835" s="564"/>
      <c r="AA835" s="564"/>
      <c r="AB835" s="564"/>
      <c r="AC835" s="564"/>
      <c r="AD835" s="564"/>
      <c r="AE835" s="564"/>
      <c r="AF835" s="564"/>
      <c r="AG835" s="564"/>
      <c r="AH835" s="564"/>
      <c r="AI835" s="564"/>
      <c r="AJ835" s="564"/>
      <c r="AK835" s="564"/>
      <c r="AL835" s="564"/>
      <c r="AM835" s="564"/>
      <c r="AN835" s="564"/>
      <c r="AO835" s="564"/>
    </row>
    <row r="836" spans="2:41" x14ac:dyDescent="0.15">
      <c r="B836" s="565">
        <v>-18</v>
      </c>
      <c r="C836" s="564"/>
      <c r="D836" s="564"/>
      <c r="E836" s="564"/>
      <c r="F836" s="564"/>
      <c r="G836" s="564"/>
      <c r="H836" s="564"/>
      <c r="I836" s="564"/>
      <c r="J836" s="564"/>
      <c r="K836" s="564"/>
      <c r="L836" s="564"/>
      <c r="M836" s="564"/>
      <c r="N836" s="564"/>
      <c r="O836" s="564"/>
      <c r="P836" s="564"/>
      <c r="Q836" s="564"/>
      <c r="R836" s="564"/>
      <c r="S836" s="564"/>
      <c r="T836" s="564"/>
      <c r="U836" s="564"/>
      <c r="V836" s="564"/>
      <c r="W836" s="564"/>
      <c r="X836" s="564"/>
      <c r="Y836" s="564"/>
      <c r="Z836" s="564"/>
      <c r="AA836" s="564"/>
      <c r="AB836" s="564"/>
      <c r="AC836" s="564"/>
      <c r="AD836" s="564"/>
      <c r="AE836" s="564"/>
      <c r="AF836" s="564"/>
      <c r="AG836" s="564"/>
      <c r="AH836" s="564"/>
      <c r="AI836" s="564"/>
      <c r="AJ836" s="564"/>
      <c r="AK836" s="564"/>
      <c r="AL836" s="564"/>
      <c r="AM836" s="564"/>
      <c r="AN836" s="564"/>
      <c r="AO836" s="564"/>
    </row>
    <row r="837" spans="2:41" x14ac:dyDescent="0.15">
      <c r="B837" s="565">
        <v>-17</v>
      </c>
      <c r="C837" s="564"/>
      <c r="D837" s="564"/>
      <c r="E837" s="564"/>
      <c r="F837" s="564"/>
      <c r="G837" s="564"/>
      <c r="H837" s="564"/>
      <c r="I837" s="564"/>
      <c r="J837" s="564"/>
      <c r="K837" s="564"/>
      <c r="L837" s="564"/>
      <c r="M837" s="564"/>
      <c r="N837" s="564"/>
      <c r="O837" s="564"/>
      <c r="P837" s="564"/>
      <c r="Q837" s="564"/>
      <c r="R837" s="564"/>
      <c r="S837" s="564"/>
      <c r="T837" s="564"/>
      <c r="U837" s="564"/>
      <c r="V837" s="564"/>
      <c r="W837" s="564"/>
      <c r="X837" s="564"/>
      <c r="Y837" s="564"/>
      <c r="Z837" s="564"/>
      <c r="AA837" s="564"/>
      <c r="AB837" s="564"/>
      <c r="AC837" s="564"/>
      <c r="AD837" s="564"/>
      <c r="AE837" s="564"/>
      <c r="AF837" s="564"/>
      <c r="AG837" s="564"/>
      <c r="AH837" s="564"/>
      <c r="AI837" s="564"/>
      <c r="AJ837" s="564"/>
      <c r="AK837" s="564"/>
      <c r="AL837" s="564"/>
      <c r="AM837" s="564"/>
      <c r="AN837" s="564"/>
      <c r="AO837" s="564"/>
    </row>
    <row r="838" spans="2:41" x14ac:dyDescent="0.15">
      <c r="B838" s="565">
        <v>-16</v>
      </c>
      <c r="C838" s="564"/>
      <c r="D838" s="564"/>
      <c r="E838" s="564"/>
      <c r="F838" s="564"/>
      <c r="G838" s="564"/>
      <c r="H838" s="564"/>
      <c r="I838" s="564"/>
      <c r="J838" s="564"/>
      <c r="K838" s="564"/>
      <c r="L838" s="564"/>
      <c r="M838" s="564"/>
      <c r="N838" s="564"/>
      <c r="O838" s="564"/>
      <c r="P838" s="564"/>
      <c r="Q838" s="564"/>
      <c r="R838" s="564"/>
      <c r="S838" s="564"/>
      <c r="T838" s="564"/>
      <c r="U838" s="564"/>
      <c r="V838" s="564"/>
      <c r="W838" s="564"/>
      <c r="X838" s="564"/>
      <c r="Y838" s="564"/>
      <c r="Z838" s="564"/>
      <c r="AA838" s="564"/>
      <c r="AB838" s="564"/>
      <c r="AC838" s="564"/>
      <c r="AD838" s="564"/>
      <c r="AE838" s="564"/>
      <c r="AF838" s="564"/>
      <c r="AG838" s="564"/>
      <c r="AH838" s="564"/>
      <c r="AI838" s="564"/>
      <c r="AJ838" s="564"/>
      <c r="AK838" s="564"/>
      <c r="AL838" s="564"/>
      <c r="AM838" s="564"/>
      <c r="AN838" s="564"/>
      <c r="AO838" s="564"/>
    </row>
    <row r="839" spans="2:41" x14ac:dyDescent="0.15">
      <c r="B839" s="565">
        <v>-15</v>
      </c>
      <c r="C839" s="564"/>
      <c r="D839" s="564"/>
      <c r="E839" s="564"/>
      <c r="F839" s="564"/>
      <c r="G839" s="564"/>
      <c r="H839" s="564"/>
      <c r="I839" s="564"/>
      <c r="J839" s="564"/>
      <c r="K839" s="564"/>
      <c r="L839" s="564"/>
      <c r="M839" s="564"/>
      <c r="N839" s="564"/>
      <c r="O839" s="564"/>
      <c r="P839" s="564"/>
      <c r="Q839" s="564"/>
      <c r="R839" s="564"/>
      <c r="S839" s="564"/>
      <c r="T839" s="564"/>
      <c r="U839" s="564"/>
      <c r="V839" s="564"/>
      <c r="W839" s="564"/>
      <c r="X839" s="564"/>
      <c r="Y839" s="564"/>
      <c r="Z839" s="564"/>
      <c r="AA839" s="564"/>
      <c r="AB839" s="564"/>
      <c r="AC839" s="564"/>
      <c r="AD839" s="564"/>
      <c r="AE839" s="564"/>
      <c r="AF839" s="564"/>
      <c r="AG839" s="564"/>
      <c r="AH839" s="564"/>
      <c r="AI839" s="564"/>
      <c r="AJ839" s="564"/>
      <c r="AK839" s="564"/>
      <c r="AL839" s="564"/>
      <c r="AM839" s="564"/>
      <c r="AN839" s="564"/>
      <c r="AO839" s="564"/>
    </row>
    <row r="840" spans="2:41" x14ac:dyDescent="0.15">
      <c r="B840" s="565">
        <v>-14</v>
      </c>
      <c r="C840" s="564"/>
      <c r="D840" s="564"/>
      <c r="E840" s="564"/>
      <c r="F840" s="564"/>
      <c r="G840" s="564"/>
      <c r="H840" s="564"/>
      <c r="I840" s="564"/>
      <c r="J840" s="564"/>
      <c r="K840" s="564"/>
      <c r="L840" s="564"/>
      <c r="M840" s="564"/>
      <c r="N840" s="564"/>
      <c r="O840" s="564"/>
      <c r="P840" s="564"/>
      <c r="Q840" s="564"/>
      <c r="R840" s="564"/>
      <c r="S840" s="564"/>
      <c r="T840" s="564"/>
      <c r="U840" s="564"/>
      <c r="V840" s="564"/>
      <c r="W840" s="564"/>
      <c r="X840" s="564"/>
      <c r="Y840" s="564"/>
      <c r="Z840" s="564"/>
      <c r="AA840" s="564"/>
      <c r="AB840" s="564"/>
      <c r="AC840" s="564"/>
      <c r="AD840" s="564"/>
      <c r="AE840" s="564"/>
      <c r="AF840" s="564"/>
      <c r="AG840" s="564"/>
      <c r="AH840" s="564"/>
      <c r="AI840" s="564"/>
      <c r="AJ840" s="564"/>
      <c r="AK840" s="564"/>
      <c r="AL840" s="564"/>
      <c r="AM840" s="564"/>
      <c r="AN840" s="564"/>
      <c r="AO840" s="564"/>
    </row>
    <row r="841" spans="2:41" x14ac:dyDescent="0.15">
      <c r="B841" s="565">
        <v>-13</v>
      </c>
      <c r="C841" s="564"/>
      <c r="D841" s="564"/>
      <c r="E841" s="564"/>
      <c r="F841" s="564"/>
      <c r="G841" s="564"/>
      <c r="H841" s="564"/>
      <c r="I841" s="564"/>
      <c r="J841" s="564"/>
      <c r="K841" s="564"/>
      <c r="L841" s="564"/>
      <c r="M841" s="564"/>
      <c r="N841" s="564"/>
      <c r="O841" s="564"/>
      <c r="P841" s="564"/>
      <c r="Q841" s="564"/>
      <c r="R841" s="564"/>
      <c r="S841" s="564"/>
      <c r="T841" s="564"/>
      <c r="U841" s="564"/>
      <c r="V841" s="564"/>
      <c r="W841" s="564"/>
      <c r="X841" s="564"/>
      <c r="Y841" s="564"/>
      <c r="Z841" s="564"/>
      <c r="AA841" s="564"/>
      <c r="AB841" s="564"/>
      <c r="AC841" s="564"/>
      <c r="AD841" s="564"/>
      <c r="AE841" s="564"/>
      <c r="AF841" s="564"/>
      <c r="AG841" s="564"/>
      <c r="AH841" s="564"/>
      <c r="AI841" s="564"/>
      <c r="AJ841" s="564"/>
      <c r="AK841" s="564"/>
      <c r="AL841" s="564"/>
      <c r="AM841" s="564"/>
      <c r="AN841" s="564"/>
      <c r="AO841" s="564"/>
    </row>
    <row r="842" spans="2:41" x14ac:dyDescent="0.15">
      <c r="B842" s="565">
        <v>-12</v>
      </c>
      <c r="C842" s="564"/>
      <c r="D842" s="564"/>
      <c r="E842" s="564"/>
      <c r="F842" s="564"/>
      <c r="G842" s="564"/>
      <c r="H842" s="564"/>
      <c r="I842" s="564"/>
      <c r="J842" s="564"/>
      <c r="K842" s="564"/>
      <c r="L842" s="564"/>
      <c r="M842" s="564"/>
      <c r="N842" s="564"/>
      <c r="O842" s="564"/>
      <c r="P842" s="564"/>
      <c r="Q842" s="564"/>
      <c r="R842" s="564"/>
      <c r="S842" s="564"/>
      <c r="T842" s="564"/>
      <c r="U842" s="564"/>
      <c r="V842" s="564"/>
      <c r="W842" s="564"/>
      <c r="X842" s="564"/>
      <c r="Y842" s="564"/>
      <c r="Z842" s="564"/>
      <c r="AA842" s="564"/>
      <c r="AB842" s="564"/>
      <c r="AC842" s="564"/>
      <c r="AD842" s="564"/>
      <c r="AE842" s="564"/>
      <c r="AF842" s="564"/>
      <c r="AG842" s="564"/>
      <c r="AH842" s="564"/>
      <c r="AI842" s="564"/>
      <c r="AJ842" s="564"/>
      <c r="AK842" s="564"/>
      <c r="AL842" s="564"/>
      <c r="AM842" s="564"/>
      <c r="AN842" s="564"/>
      <c r="AO842" s="564"/>
    </row>
    <row r="843" spans="2:41" x14ac:dyDescent="0.15">
      <c r="B843" s="565">
        <v>-11</v>
      </c>
      <c r="C843" s="564"/>
      <c r="D843" s="564"/>
      <c r="E843" s="564"/>
      <c r="F843" s="564"/>
      <c r="G843" s="564"/>
      <c r="H843" s="564"/>
      <c r="I843" s="564"/>
      <c r="J843" s="564"/>
      <c r="K843" s="564"/>
      <c r="L843" s="564"/>
      <c r="M843" s="564"/>
      <c r="N843" s="564"/>
      <c r="O843" s="564"/>
      <c r="P843" s="564"/>
      <c r="Q843" s="564"/>
      <c r="R843" s="564"/>
      <c r="S843" s="564"/>
      <c r="T843" s="564"/>
      <c r="U843" s="564"/>
      <c r="V843" s="564"/>
      <c r="W843" s="564"/>
      <c r="X843" s="564"/>
      <c r="Y843" s="564"/>
      <c r="Z843" s="564"/>
      <c r="AA843" s="564"/>
      <c r="AB843" s="564"/>
      <c r="AC843" s="564"/>
      <c r="AD843" s="564"/>
      <c r="AE843" s="564"/>
      <c r="AF843" s="564"/>
      <c r="AG843" s="564"/>
      <c r="AH843" s="564"/>
      <c r="AI843" s="564"/>
      <c r="AJ843" s="564"/>
      <c r="AK843" s="564"/>
      <c r="AL843" s="564"/>
      <c r="AM843" s="564"/>
      <c r="AN843" s="564"/>
      <c r="AO843" s="564"/>
    </row>
    <row r="844" spans="2:41" x14ac:dyDescent="0.15">
      <c r="B844" s="565">
        <v>-10</v>
      </c>
      <c r="C844" s="564"/>
      <c r="D844" s="564"/>
      <c r="E844" s="564"/>
      <c r="F844" s="564"/>
      <c r="G844" s="564"/>
      <c r="H844" s="564"/>
      <c r="I844" s="564"/>
      <c r="J844" s="564"/>
      <c r="K844" s="564"/>
      <c r="L844" s="564"/>
      <c r="M844" s="564"/>
      <c r="N844" s="564"/>
      <c r="O844" s="564"/>
      <c r="P844" s="564"/>
      <c r="Q844" s="564"/>
      <c r="R844" s="564"/>
      <c r="S844" s="564"/>
      <c r="T844" s="564"/>
      <c r="U844" s="564"/>
      <c r="V844" s="564"/>
      <c r="W844" s="564"/>
      <c r="X844" s="564"/>
      <c r="Y844" s="564"/>
      <c r="Z844" s="564"/>
      <c r="AA844" s="564"/>
      <c r="AB844" s="564"/>
      <c r="AC844" s="564"/>
      <c r="AD844" s="564"/>
      <c r="AE844" s="564"/>
      <c r="AF844" s="564"/>
      <c r="AG844" s="564"/>
      <c r="AH844" s="564"/>
      <c r="AI844" s="564"/>
      <c r="AJ844" s="564"/>
      <c r="AK844" s="564"/>
      <c r="AL844" s="564"/>
      <c r="AM844" s="564"/>
      <c r="AN844" s="564"/>
      <c r="AO844" s="564"/>
    </row>
    <row r="845" spans="2:41" x14ac:dyDescent="0.15">
      <c r="B845" s="565">
        <v>-9</v>
      </c>
      <c r="C845" s="564"/>
      <c r="D845" s="564"/>
      <c r="E845" s="564"/>
      <c r="F845" s="564"/>
      <c r="G845" s="564"/>
      <c r="H845" s="564"/>
      <c r="I845" s="564"/>
      <c r="J845" s="564"/>
      <c r="K845" s="564"/>
      <c r="L845" s="564"/>
      <c r="M845" s="564"/>
      <c r="N845" s="564"/>
      <c r="O845" s="564"/>
      <c r="P845" s="564"/>
      <c r="Q845" s="564"/>
      <c r="R845" s="564"/>
      <c r="S845" s="564"/>
      <c r="T845" s="564"/>
      <c r="U845" s="564"/>
      <c r="V845" s="564"/>
      <c r="W845" s="564"/>
      <c r="X845" s="564"/>
      <c r="Y845" s="564"/>
      <c r="Z845" s="564"/>
      <c r="AA845" s="564"/>
      <c r="AB845" s="564"/>
      <c r="AC845" s="564"/>
      <c r="AD845" s="564"/>
      <c r="AE845" s="564"/>
      <c r="AF845" s="564"/>
      <c r="AG845" s="564"/>
      <c r="AH845" s="564"/>
      <c r="AI845" s="564"/>
      <c r="AJ845" s="564"/>
      <c r="AK845" s="564"/>
      <c r="AL845" s="564"/>
      <c r="AM845" s="564"/>
      <c r="AN845" s="564"/>
      <c r="AO845" s="564"/>
    </row>
    <row r="846" spans="2:41" x14ac:dyDescent="0.15">
      <c r="B846" s="565">
        <v>-8</v>
      </c>
      <c r="C846" s="564"/>
      <c r="D846" s="564"/>
      <c r="E846" s="564"/>
      <c r="F846" s="564"/>
      <c r="G846" s="564"/>
      <c r="H846" s="564"/>
      <c r="I846" s="564"/>
      <c r="J846" s="564"/>
      <c r="K846" s="564"/>
      <c r="L846" s="564"/>
      <c r="M846" s="564"/>
      <c r="N846" s="564"/>
      <c r="O846" s="564"/>
      <c r="P846" s="564"/>
      <c r="Q846" s="564"/>
      <c r="R846" s="564"/>
      <c r="S846" s="564"/>
      <c r="T846" s="564"/>
      <c r="U846" s="564"/>
      <c r="V846" s="564"/>
      <c r="W846" s="564"/>
      <c r="X846" s="564"/>
      <c r="Y846" s="564"/>
      <c r="Z846" s="564"/>
      <c r="AA846" s="564"/>
      <c r="AB846" s="564"/>
      <c r="AC846" s="564"/>
      <c r="AD846" s="564"/>
      <c r="AE846" s="564"/>
      <c r="AF846" s="564"/>
      <c r="AG846" s="564"/>
      <c r="AH846" s="564"/>
      <c r="AI846" s="564"/>
      <c r="AJ846" s="564"/>
      <c r="AK846" s="564"/>
      <c r="AL846" s="564"/>
      <c r="AM846" s="564"/>
      <c r="AN846" s="564"/>
      <c r="AO846" s="564"/>
    </row>
    <row r="847" spans="2:41" x14ac:dyDescent="0.15">
      <c r="B847" s="565">
        <v>-7</v>
      </c>
      <c r="C847" s="564"/>
      <c r="D847" s="564"/>
      <c r="E847" s="564"/>
      <c r="F847" s="564"/>
      <c r="G847" s="564"/>
      <c r="H847" s="564"/>
      <c r="I847" s="564"/>
      <c r="J847" s="564"/>
      <c r="K847" s="564"/>
      <c r="L847" s="564"/>
      <c r="M847" s="564"/>
      <c r="N847" s="564"/>
      <c r="O847" s="564"/>
      <c r="P847" s="564"/>
      <c r="Q847" s="564"/>
      <c r="R847" s="564"/>
      <c r="S847" s="564"/>
      <c r="T847" s="564"/>
      <c r="U847" s="564"/>
      <c r="V847" s="564"/>
      <c r="W847" s="564"/>
      <c r="X847" s="564"/>
      <c r="Y847" s="564"/>
      <c r="Z847" s="564"/>
      <c r="AA847" s="564"/>
      <c r="AB847" s="564"/>
      <c r="AC847" s="564"/>
      <c r="AD847" s="564"/>
      <c r="AE847" s="564"/>
      <c r="AF847" s="564"/>
      <c r="AG847" s="564"/>
      <c r="AH847" s="564"/>
      <c r="AI847" s="564"/>
      <c r="AJ847" s="564"/>
      <c r="AK847" s="564"/>
      <c r="AL847" s="564"/>
      <c r="AM847" s="564"/>
      <c r="AN847" s="564"/>
      <c r="AO847" s="564"/>
    </row>
    <row r="848" spans="2:41" x14ac:dyDescent="0.15">
      <c r="B848" s="565">
        <v>-6</v>
      </c>
      <c r="C848" s="564"/>
      <c r="D848" s="564"/>
      <c r="E848" s="564"/>
      <c r="F848" s="564"/>
      <c r="G848" s="564"/>
      <c r="H848" s="564"/>
      <c r="I848" s="564"/>
      <c r="J848" s="564"/>
      <c r="K848" s="564"/>
      <c r="L848" s="564"/>
      <c r="M848" s="564"/>
      <c r="N848" s="564"/>
      <c r="O848" s="564"/>
      <c r="P848" s="564"/>
      <c r="Q848" s="564"/>
      <c r="R848" s="564"/>
      <c r="S848" s="564"/>
      <c r="T848" s="564"/>
      <c r="U848" s="564"/>
      <c r="V848" s="564"/>
      <c r="W848" s="564"/>
      <c r="X848" s="564"/>
      <c r="Y848" s="564"/>
      <c r="Z848" s="564"/>
      <c r="AA848" s="564"/>
      <c r="AB848" s="564"/>
      <c r="AC848" s="564"/>
      <c r="AD848" s="564"/>
      <c r="AE848" s="564"/>
      <c r="AF848" s="564"/>
      <c r="AG848" s="564"/>
      <c r="AH848" s="564"/>
      <c r="AI848" s="564"/>
      <c r="AJ848" s="564"/>
      <c r="AK848" s="564"/>
      <c r="AL848" s="564"/>
      <c r="AM848" s="564"/>
      <c r="AN848" s="564"/>
      <c r="AO848" s="564"/>
    </row>
    <row r="849" spans="2:41" x14ac:dyDescent="0.15">
      <c r="B849" s="565">
        <v>-5</v>
      </c>
      <c r="C849" s="564"/>
      <c r="D849" s="564"/>
      <c r="E849" s="564"/>
      <c r="F849" s="564"/>
      <c r="G849" s="564"/>
      <c r="H849" s="564"/>
      <c r="I849" s="564"/>
      <c r="J849" s="564"/>
      <c r="K849" s="564"/>
      <c r="L849" s="564"/>
      <c r="M849" s="564"/>
      <c r="N849" s="564"/>
      <c r="O849" s="564"/>
      <c r="P849" s="564"/>
      <c r="Q849" s="564"/>
      <c r="R849" s="564"/>
      <c r="S849" s="564"/>
      <c r="T849" s="564"/>
      <c r="U849" s="564"/>
      <c r="V849" s="564"/>
      <c r="W849" s="564"/>
      <c r="X849" s="564"/>
      <c r="Y849" s="564"/>
      <c r="Z849" s="564"/>
      <c r="AA849" s="564"/>
      <c r="AB849" s="564"/>
      <c r="AC849" s="564"/>
      <c r="AD849" s="564"/>
      <c r="AE849" s="564"/>
      <c r="AF849" s="564"/>
      <c r="AG849" s="564"/>
      <c r="AH849" s="564"/>
      <c r="AI849" s="564"/>
      <c r="AJ849" s="564"/>
      <c r="AK849" s="564"/>
      <c r="AL849" s="564"/>
      <c r="AM849" s="564"/>
      <c r="AN849" s="564"/>
      <c r="AO849" s="564"/>
    </row>
    <row r="850" spans="2:41" x14ac:dyDescent="0.15">
      <c r="B850" s="565">
        <v>-4</v>
      </c>
      <c r="C850" s="564"/>
      <c r="D850" s="564"/>
      <c r="E850" s="564"/>
      <c r="F850" s="564"/>
      <c r="G850" s="564"/>
      <c r="H850" s="564"/>
      <c r="I850" s="564"/>
      <c r="J850" s="564"/>
      <c r="K850" s="564"/>
      <c r="L850" s="564"/>
      <c r="M850" s="564"/>
      <c r="N850" s="564"/>
      <c r="O850" s="564"/>
      <c r="P850" s="564"/>
      <c r="Q850" s="564"/>
      <c r="R850" s="564"/>
      <c r="S850" s="564"/>
      <c r="T850" s="564"/>
      <c r="U850" s="564"/>
      <c r="V850" s="564"/>
      <c r="W850" s="564"/>
      <c r="X850" s="564"/>
      <c r="Y850" s="564"/>
      <c r="Z850" s="564"/>
      <c r="AA850" s="564"/>
      <c r="AB850" s="564"/>
      <c r="AC850" s="564"/>
      <c r="AD850" s="564"/>
      <c r="AE850" s="564"/>
      <c r="AF850" s="564"/>
      <c r="AG850" s="564"/>
      <c r="AH850" s="564"/>
      <c r="AI850" s="564"/>
      <c r="AJ850" s="564"/>
      <c r="AK850" s="564"/>
      <c r="AL850" s="564"/>
      <c r="AM850" s="564"/>
      <c r="AN850" s="564"/>
      <c r="AO850" s="564"/>
    </row>
    <row r="851" spans="2:41" x14ac:dyDescent="0.15">
      <c r="B851" s="565">
        <v>-3</v>
      </c>
      <c r="C851" s="564"/>
      <c r="D851" s="564"/>
      <c r="E851" s="564"/>
      <c r="F851" s="564"/>
      <c r="G851" s="564"/>
      <c r="H851" s="564"/>
      <c r="I851" s="564"/>
      <c r="J851" s="564"/>
      <c r="K851" s="564"/>
      <c r="L851" s="564"/>
      <c r="M851" s="564"/>
      <c r="N851" s="564"/>
      <c r="O851" s="564"/>
      <c r="P851" s="564"/>
      <c r="Q851" s="564"/>
      <c r="R851" s="564"/>
      <c r="S851" s="564"/>
      <c r="T851" s="564"/>
      <c r="U851" s="564"/>
      <c r="V851" s="564"/>
      <c r="W851" s="564"/>
      <c r="X851" s="564"/>
      <c r="Y851" s="564"/>
      <c r="Z851" s="564"/>
      <c r="AA851" s="564"/>
      <c r="AB851" s="564"/>
      <c r="AC851" s="564"/>
      <c r="AD851" s="564"/>
      <c r="AE851" s="564"/>
      <c r="AF851" s="564"/>
      <c r="AG851" s="564"/>
      <c r="AH851" s="564"/>
      <c r="AI851" s="564"/>
      <c r="AJ851" s="564"/>
      <c r="AK851" s="564"/>
      <c r="AL851" s="564"/>
      <c r="AM851" s="564"/>
      <c r="AN851" s="564"/>
      <c r="AO851" s="564"/>
    </row>
    <row r="852" spans="2:41" x14ac:dyDescent="0.15">
      <c r="B852" s="565">
        <v>-2</v>
      </c>
      <c r="C852" s="564"/>
      <c r="D852" s="564"/>
      <c r="E852" s="564"/>
      <c r="F852" s="564"/>
      <c r="G852" s="564"/>
      <c r="H852" s="564"/>
      <c r="I852" s="564"/>
      <c r="J852" s="564"/>
      <c r="K852" s="564"/>
      <c r="L852" s="564"/>
      <c r="M852" s="564"/>
      <c r="N852" s="564"/>
      <c r="O852" s="564"/>
      <c r="P852" s="564"/>
      <c r="Q852" s="564"/>
      <c r="R852" s="564"/>
      <c r="S852" s="564"/>
      <c r="T852" s="564"/>
      <c r="U852" s="564"/>
      <c r="V852" s="564"/>
      <c r="W852" s="564"/>
      <c r="X852" s="564"/>
      <c r="Y852" s="564"/>
      <c r="Z852" s="564"/>
      <c r="AA852" s="564"/>
      <c r="AB852" s="564"/>
      <c r="AC852" s="564"/>
      <c r="AD852" s="564"/>
      <c r="AE852" s="564"/>
      <c r="AF852" s="564"/>
      <c r="AG852" s="564"/>
      <c r="AH852" s="564"/>
      <c r="AI852" s="564"/>
      <c r="AJ852" s="564"/>
      <c r="AK852" s="564"/>
      <c r="AL852" s="564"/>
      <c r="AM852" s="564"/>
      <c r="AN852" s="564"/>
      <c r="AO852" s="564"/>
    </row>
    <row r="853" spans="2:41" x14ac:dyDescent="0.15">
      <c r="B853" s="565">
        <v>-1</v>
      </c>
      <c r="C853" s="564"/>
      <c r="D853" s="564"/>
      <c r="E853" s="564"/>
      <c r="F853" s="564"/>
      <c r="G853" s="564"/>
      <c r="H853" s="564"/>
      <c r="I853" s="564"/>
      <c r="J853" s="564"/>
      <c r="K853" s="564"/>
      <c r="L853" s="564"/>
      <c r="M853" s="564"/>
      <c r="N853" s="564"/>
      <c r="O853" s="564"/>
      <c r="P853" s="564"/>
      <c r="Q853" s="564"/>
      <c r="R853" s="564"/>
      <c r="S853" s="564"/>
      <c r="T853" s="564"/>
      <c r="U853" s="564"/>
      <c r="V853" s="564"/>
      <c r="W853" s="564"/>
      <c r="X853" s="564"/>
      <c r="Y853" s="564"/>
      <c r="Z853" s="564"/>
      <c r="AA853" s="564"/>
      <c r="AB853" s="564"/>
      <c r="AC853" s="564"/>
      <c r="AD853" s="564"/>
      <c r="AE853" s="564"/>
      <c r="AF853" s="564"/>
      <c r="AG853" s="564"/>
      <c r="AH853" s="564"/>
      <c r="AI853" s="564"/>
      <c r="AJ853" s="564"/>
      <c r="AK853" s="564"/>
      <c r="AL853" s="564"/>
      <c r="AM853" s="564"/>
      <c r="AN853" s="564"/>
      <c r="AO853" s="564"/>
    </row>
    <row r="854" spans="2:41" x14ac:dyDescent="0.15">
      <c r="B854" s="565">
        <v>0</v>
      </c>
      <c r="C854" s="564"/>
      <c r="D854" s="564"/>
      <c r="E854" s="564"/>
      <c r="F854" s="564"/>
      <c r="G854" s="564"/>
      <c r="H854" s="564"/>
      <c r="I854" s="564"/>
      <c r="J854" s="564"/>
      <c r="K854" s="564"/>
      <c r="L854" s="564"/>
      <c r="M854" s="564"/>
      <c r="N854" s="564"/>
      <c r="O854" s="564"/>
      <c r="P854" s="564"/>
      <c r="Q854" s="564"/>
      <c r="R854" s="564"/>
      <c r="S854" s="564"/>
      <c r="T854" s="564"/>
      <c r="U854" s="564"/>
      <c r="V854" s="564"/>
      <c r="W854" s="564"/>
      <c r="X854" s="564"/>
      <c r="Y854" s="564"/>
      <c r="Z854" s="564"/>
      <c r="AA854" s="564"/>
      <c r="AB854" s="564"/>
      <c r="AC854" s="564"/>
      <c r="AD854" s="564"/>
      <c r="AE854" s="564"/>
      <c r="AF854" s="564"/>
      <c r="AG854" s="564"/>
      <c r="AH854" s="564"/>
      <c r="AI854" s="564"/>
      <c r="AJ854" s="564"/>
      <c r="AK854" s="564"/>
      <c r="AL854" s="564"/>
      <c r="AM854" s="564"/>
      <c r="AN854" s="564"/>
      <c r="AO854" s="564"/>
    </row>
    <row r="855" spans="2:41" x14ac:dyDescent="0.15">
      <c r="B855" s="565">
        <v>1</v>
      </c>
      <c r="C855" s="564"/>
      <c r="D855" s="564"/>
      <c r="E855" s="564"/>
      <c r="F855" s="564"/>
      <c r="G855" s="564"/>
      <c r="H855" s="564"/>
      <c r="I855" s="564"/>
      <c r="J855" s="564"/>
      <c r="K855" s="564"/>
      <c r="L855" s="564"/>
      <c r="M855" s="564"/>
      <c r="N855" s="564"/>
      <c r="O855" s="564"/>
      <c r="P855" s="564"/>
      <c r="Q855" s="564"/>
      <c r="R855" s="564"/>
      <c r="S855" s="564"/>
      <c r="T855" s="564"/>
      <c r="U855" s="564"/>
      <c r="V855" s="564"/>
      <c r="W855" s="564"/>
      <c r="X855" s="564"/>
      <c r="Y855" s="564"/>
      <c r="Z855" s="564"/>
      <c r="AA855" s="564"/>
      <c r="AB855" s="564"/>
      <c r="AC855" s="564"/>
      <c r="AD855" s="564"/>
      <c r="AE855" s="564"/>
      <c r="AF855" s="564"/>
      <c r="AG855" s="564"/>
      <c r="AH855" s="564"/>
      <c r="AI855" s="564"/>
      <c r="AJ855" s="564"/>
      <c r="AK855" s="564"/>
      <c r="AL855" s="564"/>
      <c r="AM855" s="564"/>
      <c r="AN855" s="564"/>
      <c r="AO855" s="564"/>
    </row>
    <row r="856" spans="2:41" x14ac:dyDescent="0.15">
      <c r="B856" s="565">
        <v>2</v>
      </c>
      <c r="C856" s="564"/>
      <c r="D856" s="564"/>
      <c r="E856" s="564"/>
      <c r="F856" s="564"/>
      <c r="G856" s="564"/>
      <c r="H856" s="564"/>
      <c r="I856" s="564"/>
      <c r="J856" s="564"/>
      <c r="K856" s="564"/>
      <c r="L856" s="564"/>
      <c r="M856" s="564"/>
      <c r="N856" s="564"/>
      <c r="O856" s="564"/>
      <c r="P856" s="564"/>
      <c r="Q856" s="564"/>
      <c r="R856" s="564"/>
      <c r="S856" s="564"/>
      <c r="T856" s="564"/>
      <c r="U856" s="564"/>
      <c r="V856" s="564"/>
      <c r="W856" s="564"/>
      <c r="X856" s="564"/>
      <c r="Y856" s="564"/>
      <c r="Z856" s="564"/>
      <c r="AA856" s="564"/>
      <c r="AB856" s="564"/>
      <c r="AC856" s="564"/>
      <c r="AD856" s="564"/>
      <c r="AE856" s="564"/>
      <c r="AF856" s="564"/>
      <c r="AG856" s="564"/>
      <c r="AH856" s="564"/>
      <c r="AI856" s="564"/>
      <c r="AJ856" s="564"/>
      <c r="AK856" s="564"/>
      <c r="AL856" s="564"/>
      <c r="AM856" s="564"/>
      <c r="AN856" s="564"/>
      <c r="AO856" s="564"/>
    </row>
    <row r="857" spans="2:41" x14ac:dyDescent="0.15">
      <c r="B857" s="565">
        <v>3</v>
      </c>
      <c r="C857" s="564"/>
      <c r="D857" s="564"/>
      <c r="E857" s="564"/>
      <c r="F857" s="564"/>
      <c r="G857" s="564"/>
      <c r="H857" s="564"/>
      <c r="I857" s="564"/>
      <c r="J857" s="564"/>
      <c r="K857" s="564"/>
      <c r="L857" s="564"/>
      <c r="M857" s="564"/>
      <c r="N857" s="564"/>
      <c r="O857" s="564"/>
      <c r="P857" s="564"/>
      <c r="Q857" s="564"/>
      <c r="R857" s="564"/>
      <c r="S857" s="564"/>
      <c r="T857" s="564"/>
      <c r="U857" s="564"/>
      <c r="V857" s="564"/>
      <c r="W857" s="564"/>
      <c r="X857" s="564"/>
      <c r="Y857" s="564"/>
      <c r="Z857" s="564"/>
      <c r="AA857" s="564"/>
      <c r="AB857" s="564"/>
      <c r="AC857" s="564"/>
      <c r="AD857" s="564"/>
      <c r="AE857" s="564"/>
      <c r="AF857" s="564"/>
      <c r="AG857" s="564"/>
      <c r="AH857" s="564"/>
      <c r="AI857" s="564"/>
      <c r="AJ857" s="564"/>
      <c r="AK857" s="564"/>
      <c r="AL857" s="564"/>
      <c r="AM857" s="564"/>
      <c r="AN857" s="564"/>
      <c r="AO857" s="564"/>
    </row>
    <row r="858" spans="2:41" x14ac:dyDescent="0.15">
      <c r="B858" s="565">
        <v>4</v>
      </c>
      <c r="C858" s="564"/>
      <c r="D858" s="564"/>
      <c r="E858" s="564"/>
      <c r="F858" s="564"/>
      <c r="G858" s="564"/>
      <c r="H858" s="564"/>
      <c r="I858" s="564"/>
      <c r="J858" s="564"/>
      <c r="K858" s="564"/>
      <c r="L858" s="564"/>
      <c r="M858" s="564"/>
      <c r="N858" s="564"/>
      <c r="O858" s="564"/>
      <c r="P858" s="564"/>
      <c r="Q858" s="564"/>
      <c r="R858" s="564"/>
      <c r="S858" s="564"/>
      <c r="T858" s="564"/>
      <c r="U858" s="564"/>
      <c r="V858" s="564"/>
      <c r="W858" s="564"/>
      <c r="X858" s="564"/>
      <c r="Y858" s="564"/>
      <c r="Z858" s="564"/>
      <c r="AA858" s="564"/>
      <c r="AB858" s="564"/>
      <c r="AC858" s="564"/>
      <c r="AD858" s="564"/>
      <c r="AE858" s="564"/>
      <c r="AF858" s="564"/>
      <c r="AG858" s="564"/>
      <c r="AH858" s="564"/>
      <c r="AI858" s="564"/>
      <c r="AJ858" s="564"/>
      <c r="AK858" s="564"/>
      <c r="AL858" s="564"/>
      <c r="AM858" s="564"/>
      <c r="AN858" s="564"/>
      <c r="AO858" s="564"/>
    </row>
    <row r="859" spans="2:41" x14ac:dyDescent="0.15">
      <c r="B859" s="565">
        <v>5</v>
      </c>
      <c r="C859" s="564"/>
      <c r="D859" s="564"/>
      <c r="E859" s="564"/>
      <c r="F859" s="564"/>
      <c r="G859" s="564"/>
      <c r="H859" s="564"/>
      <c r="I859" s="564"/>
      <c r="J859" s="564"/>
      <c r="K859" s="564"/>
      <c r="L859" s="564"/>
      <c r="M859" s="564"/>
      <c r="N859" s="564"/>
      <c r="O859" s="564"/>
      <c r="P859" s="564"/>
      <c r="Q859" s="564"/>
      <c r="R859" s="564"/>
      <c r="S859" s="564"/>
      <c r="T859" s="564"/>
      <c r="U859" s="564"/>
      <c r="V859" s="564"/>
      <c r="W859" s="564"/>
      <c r="X859" s="564"/>
      <c r="Y859" s="564"/>
      <c r="Z859" s="564"/>
      <c r="AA859" s="564"/>
      <c r="AB859" s="564"/>
      <c r="AC859" s="564"/>
      <c r="AD859" s="564"/>
      <c r="AE859" s="564"/>
      <c r="AF859" s="564"/>
      <c r="AG859" s="564"/>
      <c r="AH859" s="564"/>
      <c r="AI859" s="564"/>
      <c r="AJ859" s="564"/>
      <c r="AK859" s="564"/>
      <c r="AL859" s="564"/>
      <c r="AM859" s="564"/>
      <c r="AN859" s="564"/>
      <c r="AO859" s="564"/>
    </row>
    <row r="860" spans="2:41" x14ac:dyDescent="0.15">
      <c r="B860" s="565">
        <v>6</v>
      </c>
      <c r="C860" s="564"/>
      <c r="D860" s="564"/>
      <c r="E860" s="564"/>
      <c r="F860" s="564"/>
      <c r="G860" s="564"/>
      <c r="H860" s="564"/>
      <c r="I860" s="564"/>
      <c r="J860" s="564"/>
      <c r="K860" s="564"/>
      <c r="L860" s="564"/>
      <c r="M860" s="564"/>
      <c r="N860" s="564"/>
      <c r="O860" s="564"/>
      <c r="P860" s="564"/>
      <c r="Q860" s="564"/>
      <c r="R860" s="564"/>
      <c r="S860" s="564"/>
      <c r="T860" s="564"/>
      <c r="U860" s="564"/>
      <c r="V860" s="564"/>
      <c r="W860" s="564"/>
      <c r="X860" s="564"/>
      <c r="Y860" s="564"/>
      <c r="Z860" s="564"/>
      <c r="AA860" s="564"/>
      <c r="AB860" s="564"/>
      <c r="AC860" s="564"/>
      <c r="AD860" s="564"/>
      <c r="AE860" s="564"/>
      <c r="AF860" s="564"/>
      <c r="AG860" s="564"/>
      <c r="AH860" s="564"/>
      <c r="AI860" s="564"/>
      <c r="AJ860" s="564"/>
      <c r="AK860" s="564"/>
      <c r="AL860" s="564"/>
      <c r="AM860" s="564"/>
      <c r="AN860" s="564"/>
      <c r="AO860" s="564"/>
    </row>
    <row r="861" spans="2:41" x14ac:dyDescent="0.15">
      <c r="B861" s="565">
        <v>7</v>
      </c>
      <c r="C861" s="564"/>
      <c r="D861" s="564"/>
      <c r="E861" s="564"/>
      <c r="F861" s="564"/>
      <c r="G861" s="564"/>
      <c r="H861" s="564"/>
      <c r="I861" s="564"/>
      <c r="J861" s="564"/>
      <c r="K861" s="564"/>
      <c r="L861" s="564"/>
      <c r="M861" s="564"/>
      <c r="N861" s="564"/>
      <c r="O861" s="564"/>
      <c r="P861" s="564"/>
      <c r="Q861" s="564"/>
      <c r="R861" s="564"/>
      <c r="S861" s="564"/>
      <c r="T861" s="564"/>
      <c r="U861" s="564"/>
      <c r="V861" s="564"/>
      <c r="W861" s="564"/>
      <c r="X861" s="564"/>
      <c r="Y861" s="564"/>
      <c r="Z861" s="564"/>
      <c r="AA861" s="564"/>
      <c r="AB861" s="564"/>
      <c r="AC861" s="564"/>
      <c r="AD861" s="564"/>
      <c r="AE861" s="564"/>
      <c r="AF861" s="564"/>
      <c r="AG861" s="564"/>
      <c r="AH861" s="564"/>
      <c r="AI861" s="564"/>
      <c r="AJ861" s="564"/>
      <c r="AK861" s="564"/>
      <c r="AL861" s="564"/>
      <c r="AM861" s="564"/>
      <c r="AN861" s="564"/>
      <c r="AO861" s="564"/>
    </row>
    <row r="862" spans="2:41" x14ac:dyDescent="0.15">
      <c r="B862" s="565">
        <v>8</v>
      </c>
      <c r="C862" s="564"/>
      <c r="D862" s="564"/>
      <c r="E862" s="564"/>
      <c r="F862" s="564"/>
      <c r="G862" s="564"/>
      <c r="H862" s="564"/>
      <c r="I862" s="564"/>
      <c r="J862" s="564"/>
      <c r="K862" s="564"/>
      <c r="L862" s="564"/>
      <c r="M862" s="564"/>
      <c r="N862" s="564"/>
      <c r="O862" s="564"/>
      <c r="P862" s="564"/>
      <c r="Q862" s="564"/>
      <c r="R862" s="564"/>
      <c r="S862" s="564"/>
      <c r="T862" s="564"/>
      <c r="U862" s="564"/>
      <c r="V862" s="564"/>
      <c r="W862" s="564"/>
      <c r="X862" s="564"/>
      <c r="Y862" s="564"/>
      <c r="Z862" s="564"/>
      <c r="AA862" s="564"/>
      <c r="AB862" s="564"/>
      <c r="AC862" s="564"/>
      <c r="AD862" s="564"/>
      <c r="AE862" s="564"/>
      <c r="AF862" s="564"/>
      <c r="AG862" s="564"/>
      <c r="AH862" s="564"/>
      <c r="AI862" s="564"/>
      <c r="AJ862" s="564"/>
      <c r="AK862" s="564"/>
      <c r="AL862" s="564"/>
      <c r="AM862" s="564"/>
      <c r="AN862" s="564"/>
      <c r="AO862" s="564"/>
    </row>
    <row r="863" spans="2:41" x14ac:dyDescent="0.15">
      <c r="B863" s="565">
        <v>9</v>
      </c>
      <c r="C863" s="564"/>
      <c r="D863" s="564"/>
      <c r="E863" s="564"/>
      <c r="F863" s="564"/>
      <c r="G863" s="564"/>
      <c r="H863" s="564"/>
      <c r="I863" s="564"/>
      <c r="J863" s="564"/>
      <c r="K863" s="564"/>
      <c r="L863" s="564"/>
      <c r="M863" s="564"/>
      <c r="N863" s="564"/>
      <c r="O863" s="564"/>
      <c r="P863" s="564"/>
      <c r="Q863" s="564"/>
      <c r="R863" s="564"/>
      <c r="S863" s="564"/>
      <c r="T863" s="564"/>
      <c r="U863" s="564"/>
      <c r="V863" s="564"/>
      <c r="W863" s="564"/>
      <c r="X863" s="564"/>
      <c r="Y863" s="564"/>
      <c r="Z863" s="564"/>
      <c r="AA863" s="564"/>
      <c r="AB863" s="564"/>
      <c r="AC863" s="564"/>
      <c r="AD863" s="564"/>
      <c r="AE863" s="564"/>
      <c r="AF863" s="564"/>
      <c r="AG863" s="564"/>
      <c r="AH863" s="564"/>
      <c r="AI863" s="564"/>
      <c r="AJ863" s="564"/>
      <c r="AK863" s="564"/>
      <c r="AL863" s="564"/>
      <c r="AM863" s="564"/>
      <c r="AN863" s="564"/>
      <c r="AO863" s="564"/>
    </row>
    <row r="864" spans="2:41" x14ac:dyDescent="0.15">
      <c r="B864" s="565">
        <v>10</v>
      </c>
      <c r="C864" s="564"/>
      <c r="D864" s="564"/>
      <c r="E864" s="564"/>
      <c r="F864" s="564"/>
      <c r="G864" s="564"/>
      <c r="H864" s="564"/>
      <c r="I864" s="564"/>
      <c r="J864" s="564"/>
      <c r="K864" s="564"/>
      <c r="L864" s="564"/>
      <c r="M864" s="564"/>
      <c r="N864" s="564"/>
      <c r="O864" s="564"/>
      <c r="P864" s="564"/>
      <c r="Q864" s="564"/>
      <c r="R864" s="564"/>
      <c r="S864" s="564"/>
      <c r="T864" s="564"/>
      <c r="U864" s="564"/>
      <c r="V864" s="564"/>
      <c r="W864" s="564"/>
      <c r="X864" s="564"/>
      <c r="Y864" s="564"/>
      <c r="Z864" s="564"/>
      <c r="AA864" s="564"/>
      <c r="AB864" s="564"/>
      <c r="AC864" s="564"/>
      <c r="AD864" s="564"/>
      <c r="AE864" s="564"/>
      <c r="AF864" s="564"/>
      <c r="AG864" s="564"/>
      <c r="AH864" s="564"/>
      <c r="AI864" s="564"/>
      <c r="AJ864" s="564"/>
      <c r="AK864" s="564"/>
      <c r="AL864" s="564"/>
      <c r="AM864" s="564"/>
      <c r="AN864" s="564"/>
      <c r="AO864" s="564"/>
    </row>
    <row r="865" spans="2:41" x14ac:dyDescent="0.15">
      <c r="B865" s="565">
        <v>11</v>
      </c>
      <c r="C865" s="564"/>
      <c r="D865" s="564"/>
      <c r="E865" s="564"/>
      <c r="F865" s="564"/>
      <c r="G865" s="564"/>
      <c r="H865" s="564"/>
      <c r="I865" s="564"/>
      <c r="J865" s="564"/>
      <c r="K865" s="564"/>
      <c r="L865" s="564"/>
      <c r="M865" s="564"/>
      <c r="N865" s="564"/>
      <c r="O865" s="564"/>
      <c r="P865" s="564"/>
      <c r="Q865" s="564"/>
      <c r="R865" s="564"/>
      <c r="S865" s="564"/>
      <c r="T865" s="564"/>
      <c r="U865" s="564"/>
      <c r="V865" s="564"/>
      <c r="W865" s="564"/>
      <c r="X865" s="564"/>
      <c r="Y865" s="564"/>
      <c r="Z865" s="564"/>
      <c r="AA865" s="564"/>
      <c r="AB865" s="564"/>
      <c r="AC865" s="564"/>
      <c r="AD865" s="564"/>
      <c r="AE865" s="564"/>
      <c r="AF865" s="564"/>
      <c r="AG865" s="564"/>
      <c r="AH865" s="564"/>
      <c r="AI865" s="564"/>
      <c r="AJ865" s="564"/>
      <c r="AK865" s="564"/>
      <c r="AL865" s="564"/>
      <c r="AM865" s="564"/>
      <c r="AN865" s="564"/>
      <c r="AO865" s="564"/>
    </row>
    <row r="866" spans="2:41" x14ac:dyDescent="0.15">
      <c r="B866" s="565">
        <v>12</v>
      </c>
      <c r="C866" s="564"/>
      <c r="D866" s="564"/>
      <c r="E866" s="564"/>
      <c r="F866" s="564"/>
      <c r="G866" s="564"/>
      <c r="H866" s="564"/>
      <c r="I866" s="564"/>
      <c r="J866" s="564"/>
      <c r="K866" s="564"/>
      <c r="L866" s="564"/>
      <c r="M866" s="564"/>
      <c r="N866" s="564"/>
      <c r="O866" s="564"/>
      <c r="P866" s="564"/>
      <c r="Q866" s="564"/>
      <c r="R866" s="564"/>
      <c r="S866" s="564"/>
      <c r="T866" s="564"/>
      <c r="U866" s="564"/>
      <c r="V866" s="564"/>
      <c r="W866" s="564"/>
      <c r="X866" s="564"/>
      <c r="Y866" s="564"/>
      <c r="Z866" s="564"/>
      <c r="AA866" s="564"/>
      <c r="AB866" s="564"/>
      <c r="AC866" s="564"/>
      <c r="AD866" s="564"/>
      <c r="AE866" s="564"/>
      <c r="AF866" s="564"/>
      <c r="AG866" s="564"/>
      <c r="AH866" s="564"/>
      <c r="AI866" s="564"/>
      <c r="AJ866" s="564"/>
      <c r="AK866" s="564"/>
      <c r="AL866" s="564"/>
      <c r="AM866" s="564"/>
      <c r="AN866" s="564"/>
      <c r="AO866" s="564"/>
    </row>
    <row r="867" spans="2:41" x14ac:dyDescent="0.15">
      <c r="B867" s="565">
        <v>13</v>
      </c>
      <c r="C867" s="564"/>
      <c r="D867" s="564"/>
      <c r="E867" s="564"/>
      <c r="F867" s="564"/>
      <c r="G867" s="564"/>
      <c r="H867" s="564"/>
      <c r="I867" s="564"/>
      <c r="J867" s="564"/>
      <c r="K867" s="564"/>
      <c r="L867" s="564"/>
      <c r="M867" s="564"/>
      <c r="N867" s="564"/>
      <c r="O867" s="564"/>
      <c r="P867" s="564"/>
      <c r="Q867" s="564"/>
      <c r="R867" s="564"/>
      <c r="S867" s="564"/>
      <c r="T867" s="564"/>
      <c r="U867" s="564"/>
      <c r="V867" s="564"/>
      <c r="W867" s="564"/>
      <c r="X867" s="564"/>
      <c r="Y867" s="564"/>
      <c r="Z867" s="564"/>
      <c r="AA867" s="564"/>
      <c r="AB867" s="564"/>
      <c r="AC867" s="564"/>
      <c r="AD867" s="564"/>
      <c r="AE867" s="564"/>
      <c r="AF867" s="564"/>
      <c r="AG867" s="564"/>
      <c r="AH867" s="564"/>
      <c r="AI867" s="564"/>
      <c r="AJ867" s="564"/>
      <c r="AK867" s="564"/>
      <c r="AL867" s="564"/>
      <c r="AM867" s="564"/>
      <c r="AN867" s="564"/>
      <c r="AO867" s="564"/>
    </row>
    <row r="868" spans="2:41" x14ac:dyDescent="0.15">
      <c r="B868" s="565">
        <v>14</v>
      </c>
      <c r="C868" s="564"/>
      <c r="D868" s="564"/>
      <c r="E868" s="564"/>
      <c r="F868" s="564"/>
      <c r="G868" s="564"/>
      <c r="H868" s="564"/>
      <c r="I868" s="564"/>
      <c r="J868" s="564"/>
      <c r="K868" s="564"/>
      <c r="L868" s="564"/>
      <c r="M868" s="564"/>
      <c r="N868" s="564"/>
      <c r="O868" s="564"/>
      <c r="P868" s="564"/>
      <c r="Q868" s="564"/>
      <c r="R868" s="564"/>
      <c r="S868" s="564"/>
      <c r="T868" s="564"/>
      <c r="U868" s="564"/>
      <c r="V868" s="564"/>
      <c r="W868" s="564"/>
      <c r="X868" s="564"/>
      <c r="Y868" s="564"/>
      <c r="Z868" s="564"/>
      <c r="AA868" s="564"/>
      <c r="AB868" s="564"/>
      <c r="AC868" s="564"/>
      <c r="AD868" s="564"/>
      <c r="AE868" s="564"/>
      <c r="AF868" s="564"/>
      <c r="AG868" s="564"/>
      <c r="AH868" s="564"/>
      <c r="AI868" s="564"/>
      <c r="AJ868" s="564"/>
      <c r="AK868" s="564"/>
      <c r="AL868" s="564"/>
      <c r="AM868" s="564"/>
      <c r="AN868" s="564"/>
      <c r="AO868" s="564"/>
    </row>
    <row r="869" spans="2:41" x14ac:dyDescent="0.15">
      <c r="B869" s="565">
        <v>15</v>
      </c>
      <c r="C869" s="564"/>
      <c r="D869" s="564"/>
      <c r="E869" s="564"/>
      <c r="F869" s="564"/>
      <c r="G869" s="564"/>
      <c r="H869" s="564"/>
      <c r="I869" s="564"/>
      <c r="J869" s="564"/>
      <c r="K869" s="564"/>
      <c r="L869" s="564"/>
      <c r="M869" s="564"/>
      <c r="N869" s="564"/>
      <c r="O869" s="564"/>
      <c r="P869" s="564"/>
      <c r="Q869" s="564"/>
      <c r="R869" s="564"/>
      <c r="S869" s="564"/>
      <c r="T869" s="564"/>
      <c r="U869" s="564"/>
      <c r="V869" s="564"/>
      <c r="W869" s="564"/>
      <c r="X869" s="564"/>
      <c r="Y869" s="564"/>
      <c r="Z869" s="564"/>
      <c r="AA869" s="564"/>
      <c r="AB869" s="564"/>
      <c r="AC869" s="564"/>
      <c r="AD869" s="564"/>
      <c r="AE869" s="564"/>
      <c r="AF869" s="564"/>
      <c r="AG869" s="564"/>
      <c r="AH869" s="564"/>
      <c r="AI869" s="564"/>
      <c r="AJ869" s="564"/>
      <c r="AK869" s="564"/>
      <c r="AL869" s="564"/>
      <c r="AM869" s="564"/>
      <c r="AN869" s="564"/>
      <c r="AO869" s="564"/>
    </row>
    <row r="870" spans="2:41" x14ac:dyDescent="0.15">
      <c r="B870" s="565">
        <v>16</v>
      </c>
      <c r="C870" s="564"/>
      <c r="D870" s="564"/>
      <c r="E870" s="564"/>
      <c r="F870" s="564"/>
      <c r="G870" s="564"/>
      <c r="H870" s="564"/>
      <c r="I870" s="564"/>
      <c r="J870" s="564"/>
      <c r="K870" s="564"/>
      <c r="L870" s="564"/>
      <c r="M870" s="564"/>
      <c r="N870" s="564"/>
      <c r="O870" s="564"/>
      <c r="P870" s="564"/>
      <c r="Q870" s="564"/>
      <c r="R870" s="564"/>
      <c r="S870" s="564"/>
      <c r="T870" s="564"/>
      <c r="U870" s="564"/>
      <c r="V870" s="564"/>
      <c r="W870" s="564"/>
      <c r="X870" s="564"/>
      <c r="Y870" s="564"/>
      <c r="Z870" s="564"/>
      <c r="AA870" s="564"/>
      <c r="AB870" s="564"/>
      <c r="AC870" s="564"/>
      <c r="AD870" s="564"/>
      <c r="AE870" s="564"/>
      <c r="AF870" s="564"/>
      <c r="AG870" s="564"/>
      <c r="AH870" s="564"/>
      <c r="AI870" s="564"/>
      <c r="AJ870" s="564"/>
      <c r="AK870" s="564"/>
      <c r="AL870" s="564"/>
      <c r="AM870" s="564"/>
      <c r="AN870" s="564"/>
      <c r="AO870" s="564"/>
    </row>
    <row r="871" spans="2:41" x14ac:dyDescent="0.15">
      <c r="B871" s="565">
        <v>17</v>
      </c>
      <c r="C871" s="564"/>
      <c r="D871" s="564"/>
      <c r="E871" s="564"/>
      <c r="F871" s="564"/>
      <c r="G871" s="564"/>
      <c r="H871" s="564"/>
      <c r="I871" s="564"/>
      <c r="J871" s="564"/>
      <c r="K871" s="564"/>
      <c r="L871" s="564"/>
      <c r="M871" s="564"/>
      <c r="N871" s="564"/>
      <c r="O871" s="564"/>
      <c r="P871" s="564"/>
      <c r="Q871" s="564"/>
      <c r="R871" s="564"/>
      <c r="S871" s="564"/>
      <c r="T871" s="564"/>
      <c r="U871" s="564"/>
      <c r="V871" s="564"/>
      <c r="W871" s="564"/>
      <c r="X871" s="564"/>
      <c r="Y871" s="564"/>
      <c r="Z871" s="564"/>
      <c r="AA871" s="564"/>
      <c r="AB871" s="564"/>
      <c r="AC871" s="564"/>
      <c r="AD871" s="564"/>
      <c r="AE871" s="564"/>
      <c r="AF871" s="564"/>
      <c r="AG871" s="564"/>
      <c r="AH871" s="564"/>
      <c r="AI871" s="564"/>
      <c r="AJ871" s="564"/>
      <c r="AK871" s="564"/>
      <c r="AL871" s="564"/>
      <c r="AM871" s="564"/>
      <c r="AN871" s="564"/>
      <c r="AO871" s="564"/>
    </row>
    <row r="872" spans="2:41" x14ac:dyDescent="0.15">
      <c r="B872" s="565">
        <v>18</v>
      </c>
      <c r="C872" s="564"/>
      <c r="D872" s="564"/>
      <c r="E872" s="564"/>
      <c r="F872" s="564"/>
      <c r="G872" s="564"/>
      <c r="H872" s="564"/>
      <c r="I872" s="564"/>
      <c r="J872" s="564"/>
      <c r="K872" s="564"/>
      <c r="L872" s="564"/>
      <c r="M872" s="564"/>
      <c r="N872" s="564"/>
      <c r="O872" s="564"/>
      <c r="P872" s="564"/>
      <c r="Q872" s="564"/>
      <c r="R872" s="564"/>
      <c r="S872" s="564"/>
      <c r="T872" s="564"/>
      <c r="U872" s="564"/>
      <c r="V872" s="564"/>
      <c r="W872" s="564"/>
      <c r="X872" s="564"/>
      <c r="Y872" s="564"/>
      <c r="Z872" s="564"/>
      <c r="AA872" s="564"/>
      <c r="AB872" s="564"/>
      <c r="AC872" s="564"/>
      <c r="AD872" s="564"/>
      <c r="AE872" s="564"/>
      <c r="AF872" s="564"/>
      <c r="AG872" s="564"/>
      <c r="AH872" s="564"/>
      <c r="AI872" s="564"/>
      <c r="AJ872" s="564"/>
      <c r="AK872" s="564"/>
      <c r="AL872" s="564"/>
      <c r="AM872" s="564"/>
      <c r="AN872" s="564"/>
      <c r="AO872" s="564"/>
    </row>
    <row r="873" spans="2:41" x14ac:dyDescent="0.15">
      <c r="B873" s="565">
        <v>19</v>
      </c>
      <c r="C873" s="564"/>
      <c r="D873" s="564"/>
      <c r="E873" s="564"/>
      <c r="F873" s="564"/>
      <c r="G873" s="564"/>
      <c r="H873" s="564"/>
      <c r="I873" s="564"/>
      <c r="J873" s="564"/>
      <c r="K873" s="564"/>
      <c r="L873" s="564"/>
      <c r="M873" s="564"/>
      <c r="N873" s="564"/>
      <c r="O873" s="564"/>
      <c r="P873" s="564"/>
      <c r="Q873" s="564"/>
      <c r="R873" s="564"/>
      <c r="S873" s="564"/>
      <c r="T873" s="564"/>
      <c r="U873" s="564"/>
      <c r="V873" s="564"/>
      <c r="W873" s="564"/>
      <c r="X873" s="564"/>
      <c r="Y873" s="564"/>
      <c r="Z873" s="564"/>
      <c r="AA873" s="564"/>
      <c r="AB873" s="564"/>
      <c r="AC873" s="564"/>
      <c r="AD873" s="564"/>
      <c r="AE873" s="564"/>
      <c r="AF873" s="564"/>
      <c r="AG873" s="564"/>
      <c r="AH873" s="564"/>
      <c r="AI873" s="564"/>
      <c r="AJ873" s="564"/>
      <c r="AK873" s="564"/>
      <c r="AL873" s="564"/>
      <c r="AM873" s="564"/>
      <c r="AN873" s="564"/>
      <c r="AO873" s="564"/>
    </row>
    <row r="874" spans="2:41" x14ac:dyDescent="0.15">
      <c r="B874" s="565">
        <v>20</v>
      </c>
      <c r="C874" s="564"/>
      <c r="D874" s="564"/>
      <c r="E874" s="564"/>
      <c r="F874" s="564"/>
      <c r="G874" s="564"/>
      <c r="H874" s="564"/>
      <c r="I874" s="564"/>
      <c r="J874" s="564"/>
      <c r="K874" s="564"/>
      <c r="L874" s="564"/>
      <c r="M874" s="564"/>
      <c r="N874" s="564"/>
      <c r="O874" s="564"/>
      <c r="P874" s="564"/>
      <c r="Q874" s="564"/>
      <c r="R874" s="564"/>
      <c r="S874" s="564"/>
      <c r="T874" s="564"/>
      <c r="U874" s="564"/>
      <c r="V874" s="564"/>
      <c r="W874" s="564"/>
      <c r="X874" s="564"/>
      <c r="Y874" s="564"/>
      <c r="Z874" s="564"/>
      <c r="AA874" s="564"/>
      <c r="AB874" s="564"/>
      <c r="AC874" s="564"/>
      <c r="AD874" s="564"/>
      <c r="AE874" s="564"/>
      <c r="AF874" s="564"/>
      <c r="AG874" s="564"/>
      <c r="AH874" s="564"/>
      <c r="AI874" s="564"/>
      <c r="AJ874" s="564"/>
      <c r="AK874" s="564"/>
      <c r="AL874" s="564"/>
      <c r="AM874" s="564"/>
      <c r="AN874" s="564"/>
      <c r="AO874" s="564"/>
    </row>
    <row r="875" spans="2:41" x14ac:dyDescent="0.15">
      <c r="B875" s="565">
        <v>21</v>
      </c>
      <c r="C875" s="564"/>
      <c r="D875" s="564"/>
      <c r="E875" s="564"/>
      <c r="F875" s="564"/>
      <c r="G875" s="564"/>
      <c r="H875" s="564"/>
      <c r="I875" s="564"/>
      <c r="J875" s="564"/>
      <c r="K875" s="564"/>
      <c r="L875" s="564"/>
      <c r="M875" s="564"/>
      <c r="N875" s="564"/>
      <c r="O875" s="564"/>
      <c r="P875" s="564"/>
      <c r="Q875" s="564"/>
      <c r="R875" s="564"/>
      <c r="S875" s="564"/>
      <c r="T875" s="564"/>
      <c r="U875" s="564"/>
      <c r="V875" s="564"/>
      <c r="W875" s="564"/>
      <c r="X875" s="564"/>
      <c r="Y875" s="564"/>
      <c r="Z875" s="564"/>
      <c r="AA875" s="564"/>
      <c r="AB875" s="564"/>
      <c r="AC875" s="564"/>
      <c r="AD875" s="564"/>
      <c r="AE875" s="564"/>
      <c r="AF875" s="564"/>
      <c r="AG875" s="564"/>
      <c r="AH875" s="564"/>
      <c r="AI875" s="564"/>
      <c r="AJ875" s="564"/>
      <c r="AK875" s="564"/>
      <c r="AL875" s="564"/>
      <c r="AM875" s="564"/>
      <c r="AN875" s="564"/>
      <c r="AO875" s="564"/>
    </row>
    <row r="876" spans="2:41" x14ac:dyDescent="0.15">
      <c r="B876" s="565">
        <v>22</v>
      </c>
      <c r="C876" s="564"/>
      <c r="D876" s="564"/>
      <c r="E876" s="564"/>
      <c r="F876" s="564"/>
      <c r="G876" s="564"/>
      <c r="H876" s="564"/>
      <c r="I876" s="564"/>
      <c r="J876" s="564"/>
      <c r="K876" s="564"/>
      <c r="L876" s="564"/>
      <c r="M876" s="564"/>
      <c r="N876" s="564"/>
      <c r="O876" s="564"/>
      <c r="P876" s="564"/>
      <c r="Q876" s="564"/>
      <c r="R876" s="564"/>
      <c r="S876" s="564"/>
      <c r="T876" s="564"/>
      <c r="U876" s="564"/>
      <c r="V876" s="564"/>
      <c r="W876" s="564"/>
      <c r="X876" s="564"/>
      <c r="Y876" s="564"/>
      <c r="Z876" s="564"/>
      <c r="AA876" s="564"/>
      <c r="AB876" s="564"/>
      <c r="AC876" s="564"/>
      <c r="AD876" s="564"/>
      <c r="AE876" s="564"/>
      <c r="AF876" s="564"/>
      <c r="AG876" s="564"/>
      <c r="AH876" s="564"/>
      <c r="AI876" s="564"/>
      <c r="AJ876" s="564"/>
      <c r="AK876" s="564"/>
      <c r="AL876" s="564"/>
      <c r="AM876" s="564"/>
      <c r="AN876" s="564"/>
      <c r="AO876" s="564"/>
    </row>
    <row r="877" spans="2:41" x14ac:dyDescent="0.15">
      <c r="B877" s="565">
        <v>23</v>
      </c>
      <c r="C877" s="564"/>
      <c r="D877" s="564"/>
      <c r="E877" s="564"/>
      <c r="F877" s="564"/>
      <c r="G877" s="564"/>
      <c r="H877" s="564"/>
      <c r="I877" s="564"/>
      <c r="J877" s="564"/>
      <c r="K877" s="564"/>
      <c r="L877" s="564"/>
      <c r="M877" s="564"/>
      <c r="N877" s="564"/>
      <c r="O877" s="564"/>
      <c r="P877" s="564"/>
      <c r="Q877" s="564"/>
      <c r="R877" s="564"/>
      <c r="S877" s="564"/>
      <c r="T877" s="564"/>
      <c r="U877" s="564"/>
      <c r="V877" s="564"/>
      <c r="W877" s="564"/>
      <c r="X877" s="564"/>
      <c r="Y877" s="564"/>
      <c r="Z877" s="564"/>
      <c r="AA877" s="564"/>
      <c r="AB877" s="564"/>
      <c r="AC877" s="564"/>
      <c r="AD877" s="564"/>
      <c r="AE877" s="564"/>
      <c r="AF877" s="564"/>
      <c r="AG877" s="564"/>
      <c r="AH877" s="564"/>
      <c r="AI877" s="564"/>
      <c r="AJ877" s="564"/>
      <c r="AK877" s="564"/>
      <c r="AL877" s="564"/>
      <c r="AM877" s="564"/>
      <c r="AN877" s="564"/>
      <c r="AO877" s="564"/>
    </row>
    <row r="878" spans="2:41" x14ac:dyDescent="0.15">
      <c r="B878" s="565">
        <v>24</v>
      </c>
      <c r="C878" s="564"/>
      <c r="D878" s="564"/>
      <c r="E878" s="564"/>
      <c r="F878" s="564"/>
      <c r="G878" s="564"/>
      <c r="H878" s="564"/>
      <c r="I878" s="564"/>
      <c r="J878" s="564"/>
      <c r="K878" s="564"/>
      <c r="L878" s="564"/>
      <c r="M878" s="564"/>
      <c r="N878" s="564"/>
      <c r="O878" s="564"/>
      <c r="P878" s="564"/>
      <c r="Q878" s="564"/>
      <c r="R878" s="564"/>
      <c r="S878" s="564"/>
      <c r="T878" s="564"/>
      <c r="U878" s="564"/>
      <c r="V878" s="564"/>
      <c r="W878" s="564"/>
      <c r="X878" s="564"/>
      <c r="Y878" s="564"/>
      <c r="Z878" s="564"/>
      <c r="AA878" s="564"/>
      <c r="AB878" s="564"/>
      <c r="AC878" s="564"/>
      <c r="AD878" s="564"/>
      <c r="AE878" s="564"/>
      <c r="AF878" s="564"/>
      <c r="AG878" s="564"/>
      <c r="AH878" s="564"/>
      <c r="AI878" s="564"/>
      <c r="AJ878" s="564"/>
      <c r="AK878" s="564"/>
      <c r="AL878" s="564"/>
      <c r="AM878" s="564"/>
      <c r="AN878" s="564"/>
      <c r="AO878" s="564"/>
    </row>
    <row r="879" spans="2:41" x14ac:dyDescent="0.15">
      <c r="B879" s="565">
        <v>25</v>
      </c>
      <c r="C879" s="564"/>
      <c r="D879" s="564"/>
      <c r="E879" s="564"/>
      <c r="F879" s="564"/>
      <c r="G879" s="564"/>
      <c r="H879" s="564"/>
      <c r="I879" s="564"/>
      <c r="J879" s="564"/>
      <c r="K879" s="564"/>
      <c r="L879" s="564"/>
      <c r="M879" s="564"/>
      <c r="N879" s="564"/>
      <c r="O879" s="564"/>
      <c r="P879" s="564"/>
      <c r="Q879" s="564"/>
      <c r="R879" s="564"/>
      <c r="S879" s="564"/>
      <c r="T879" s="564"/>
      <c r="U879" s="564"/>
      <c r="V879" s="564"/>
      <c r="W879" s="564"/>
      <c r="X879" s="564"/>
      <c r="Y879" s="564"/>
      <c r="Z879" s="564"/>
      <c r="AA879" s="564"/>
      <c r="AB879" s="564"/>
      <c r="AC879" s="564"/>
      <c r="AD879" s="564"/>
      <c r="AE879" s="564"/>
      <c r="AF879" s="564"/>
      <c r="AG879" s="564"/>
      <c r="AH879" s="564"/>
      <c r="AI879" s="564"/>
      <c r="AJ879" s="564"/>
      <c r="AK879" s="564"/>
      <c r="AL879" s="564"/>
      <c r="AM879" s="564"/>
      <c r="AN879" s="564"/>
      <c r="AO879" s="564"/>
    </row>
    <row r="880" spans="2:41" x14ac:dyDescent="0.15">
      <c r="B880" s="565">
        <v>26</v>
      </c>
      <c r="C880" s="564"/>
      <c r="D880" s="564"/>
      <c r="E880" s="564"/>
      <c r="F880" s="564"/>
      <c r="G880" s="564"/>
      <c r="H880" s="564"/>
      <c r="I880" s="564"/>
      <c r="J880" s="564"/>
      <c r="K880" s="564"/>
      <c r="L880" s="564"/>
      <c r="M880" s="564"/>
      <c r="N880" s="564"/>
      <c r="O880" s="564"/>
      <c r="P880" s="564"/>
      <c r="Q880" s="564"/>
      <c r="R880" s="564"/>
      <c r="S880" s="564"/>
      <c r="T880" s="564"/>
      <c r="U880" s="564"/>
      <c r="V880" s="564"/>
      <c r="W880" s="564"/>
      <c r="X880" s="564"/>
      <c r="Y880" s="564"/>
      <c r="Z880" s="564"/>
      <c r="AA880" s="564"/>
      <c r="AB880" s="564"/>
      <c r="AC880" s="564"/>
      <c r="AD880" s="564"/>
      <c r="AE880" s="564"/>
      <c r="AF880" s="564"/>
      <c r="AG880" s="564"/>
      <c r="AH880" s="564"/>
      <c r="AI880" s="564"/>
      <c r="AJ880" s="564"/>
      <c r="AK880" s="564"/>
      <c r="AL880" s="564"/>
      <c r="AM880" s="564"/>
      <c r="AN880" s="564"/>
      <c r="AO880" s="564"/>
    </row>
    <row r="881" spans="2:41" x14ac:dyDescent="0.15">
      <c r="B881" s="565">
        <v>27</v>
      </c>
      <c r="C881" s="564"/>
      <c r="D881" s="564"/>
      <c r="E881" s="564"/>
      <c r="F881" s="564"/>
      <c r="G881" s="564"/>
      <c r="H881" s="564"/>
      <c r="I881" s="564"/>
      <c r="J881" s="564"/>
      <c r="K881" s="564"/>
      <c r="L881" s="564"/>
      <c r="M881" s="564"/>
      <c r="N881" s="564"/>
      <c r="O881" s="564"/>
      <c r="P881" s="564"/>
      <c r="Q881" s="564"/>
      <c r="R881" s="564"/>
      <c r="S881" s="564"/>
      <c r="T881" s="564"/>
      <c r="U881" s="564"/>
      <c r="V881" s="564"/>
      <c r="W881" s="564"/>
      <c r="X881" s="564"/>
      <c r="Y881" s="564"/>
      <c r="Z881" s="564"/>
      <c r="AA881" s="564"/>
      <c r="AB881" s="564"/>
      <c r="AC881" s="564"/>
      <c r="AD881" s="564"/>
      <c r="AE881" s="564"/>
      <c r="AF881" s="564"/>
      <c r="AG881" s="564"/>
      <c r="AH881" s="564"/>
      <c r="AI881" s="564"/>
      <c r="AJ881" s="564"/>
      <c r="AK881" s="564"/>
      <c r="AL881" s="564"/>
      <c r="AM881" s="564"/>
      <c r="AN881" s="564"/>
      <c r="AO881" s="564"/>
    </row>
    <row r="882" spans="2:41" x14ac:dyDescent="0.15">
      <c r="B882" s="565">
        <v>28</v>
      </c>
      <c r="C882" s="564"/>
      <c r="D882" s="564"/>
      <c r="E882" s="564"/>
      <c r="F882" s="564"/>
      <c r="G882" s="564"/>
      <c r="H882" s="564"/>
      <c r="I882" s="564"/>
      <c r="J882" s="564"/>
      <c r="K882" s="564"/>
      <c r="L882" s="564"/>
      <c r="M882" s="564"/>
      <c r="N882" s="564"/>
      <c r="O882" s="564"/>
      <c r="P882" s="564"/>
      <c r="Q882" s="564"/>
      <c r="R882" s="564"/>
      <c r="S882" s="564"/>
      <c r="T882" s="564"/>
      <c r="U882" s="564"/>
      <c r="V882" s="564"/>
      <c r="W882" s="564"/>
      <c r="X882" s="564"/>
      <c r="Y882" s="564"/>
      <c r="Z882" s="564"/>
      <c r="AA882" s="564"/>
      <c r="AB882" s="564"/>
      <c r="AC882" s="564"/>
      <c r="AD882" s="564"/>
      <c r="AE882" s="564"/>
      <c r="AF882" s="564"/>
      <c r="AG882" s="564"/>
      <c r="AH882" s="564"/>
      <c r="AI882" s="564"/>
      <c r="AJ882" s="564"/>
      <c r="AK882" s="564"/>
      <c r="AL882" s="564"/>
      <c r="AM882" s="564"/>
      <c r="AN882" s="564"/>
      <c r="AO882" s="564"/>
    </row>
    <row r="883" spans="2:41" x14ac:dyDescent="0.15">
      <c r="B883" s="565">
        <v>29</v>
      </c>
      <c r="C883" s="564"/>
      <c r="D883" s="564"/>
      <c r="E883" s="564"/>
      <c r="F883" s="564"/>
      <c r="G883" s="564"/>
      <c r="H883" s="564"/>
      <c r="I883" s="564"/>
      <c r="J883" s="564"/>
      <c r="K883" s="564"/>
      <c r="L883" s="564"/>
      <c r="M883" s="564"/>
      <c r="N883" s="564"/>
      <c r="O883" s="564"/>
      <c r="P883" s="564"/>
      <c r="Q883" s="564"/>
      <c r="R883" s="564"/>
      <c r="S883" s="564"/>
      <c r="T883" s="564"/>
      <c r="U883" s="564"/>
      <c r="V883" s="564"/>
      <c r="W883" s="564"/>
      <c r="X883" s="564"/>
      <c r="Y883" s="564"/>
      <c r="Z883" s="564"/>
      <c r="AA883" s="564"/>
      <c r="AB883" s="564"/>
      <c r="AC883" s="564"/>
      <c r="AD883" s="564"/>
      <c r="AE883" s="564"/>
      <c r="AF883" s="564"/>
      <c r="AG883" s="564"/>
      <c r="AH883" s="564"/>
      <c r="AI883" s="564"/>
      <c r="AJ883" s="564"/>
      <c r="AK883" s="564"/>
      <c r="AL883" s="564"/>
      <c r="AM883" s="564"/>
      <c r="AN883" s="564"/>
      <c r="AO883" s="564"/>
    </row>
    <row r="884" spans="2:41" x14ac:dyDescent="0.15">
      <c r="B884" s="565">
        <v>30</v>
      </c>
      <c r="C884" s="564"/>
      <c r="D884" s="564"/>
      <c r="E884" s="564"/>
      <c r="F884" s="564"/>
      <c r="G884" s="564"/>
      <c r="H884" s="564"/>
      <c r="I884" s="564"/>
      <c r="J884" s="564"/>
      <c r="K884" s="564"/>
      <c r="L884" s="564"/>
      <c r="M884" s="564"/>
      <c r="N884" s="564"/>
      <c r="O884" s="564"/>
      <c r="P884" s="564"/>
      <c r="Q884" s="564"/>
      <c r="R884" s="564"/>
      <c r="S884" s="564"/>
      <c r="T884" s="564"/>
      <c r="U884" s="564"/>
      <c r="V884" s="564"/>
      <c r="W884" s="564"/>
      <c r="X884" s="564"/>
      <c r="Y884" s="564"/>
      <c r="Z884" s="564"/>
      <c r="AA884" s="564"/>
      <c r="AB884" s="564"/>
      <c r="AC884" s="564"/>
      <c r="AD884" s="564"/>
      <c r="AE884" s="564"/>
      <c r="AF884" s="564"/>
      <c r="AG884" s="564"/>
      <c r="AH884" s="564"/>
      <c r="AI884" s="564"/>
      <c r="AJ884" s="564"/>
      <c r="AK884" s="564"/>
      <c r="AL884" s="564"/>
      <c r="AM884" s="564"/>
      <c r="AN884" s="564"/>
      <c r="AO884" s="564"/>
    </row>
    <row r="885" spans="2:41" x14ac:dyDescent="0.15">
      <c r="B885" s="565">
        <v>31</v>
      </c>
      <c r="C885" s="564"/>
      <c r="D885" s="564"/>
      <c r="E885" s="564"/>
      <c r="F885" s="564"/>
      <c r="G885" s="564"/>
      <c r="H885" s="564"/>
      <c r="I885" s="564"/>
      <c r="J885" s="564"/>
      <c r="K885" s="564"/>
      <c r="L885" s="564"/>
      <c r="M885" s="564"/>
      <c r="N885" s="564"/>
      <c r="O885" s="564"/>
      <c r="P885" s="564"/>
      <c r="Q885" s="564"/>
      <c r="R885" s="564"/>
      <c r="S885" s="564"/>
      <c r="T885" s="564"/>
      <c r="U885" s="564"/>
      <c r="V885" s="564"/>
      <c r="W885" s="564"/>
      <c r="X885" s="564"/>
      <c r="Y885" s="564"/>
      <c r="Z885" s="564"/>
      <c r="AA885" s="564"/>
      <c r="AB885" s="564"/>
      <c r="AC885" s="564"/>
      <c r="AD885" s="564"/>
      <c r="AE885" s="564"/>
      <c r="AF885" s="564"/>
      <c r="AG885" s="564"/>
      <c r="AH885" s="564"/>
      <c r="AI885" s="564"/>
      <c r="AJ885" s="564"/>
      <c r="AK885" s="564"/>
      <c r="AL885" s="564"/>
      <c r="AM885" s="564"/>
      <c r="AN885" s="564"/>
      <c r="AO885" s="564"/>
    </row>
    <row r="886" spans="2:41" x14ac:dyDescent="0.15">
      <c r="B886" s="565">
        <v>32</v>
      </c>
      <c r="C886" s="564"/>
      <c r="D886" s="564"/>
      <c r="E886" s="564"/>
      <c r="F886" s="564"/>
      <c r="G886" s="564"/>
      <c r="H886" s="564"/>
      <c r="I886" s="564"/>
      <c r="J886" s="564"/>
      <c r="K886" s="564"/>
      <c r="L886" s="564"/>
      <c r="M886" s="564"/>
      <c r="N886" s="564"/>
      <c r="O886" s="564"/>
      <c r="P886" s="564"/>
      <c r="Q886" s="564"/>
      <c r="R886" s="564"/>
      <c r="S886" s="564"/>
      <c r="T886" s="564"/>
      <c r="U886" s="564"/>
      <c r="V886" s="564"/>
      <c r="W886" s="564"/>
      <c r="X886" s="564"/>
      <c r="Y886" s="564"/>
      <c r="Z886" s="564"/>
      <c r="AA886" s="564"/>
      <c r="AB886" s="564"/>
      <c r="AC886" s="564"/>
      <c r="AD886" s="564"/>
      <c r="AE886" s="564"/>
      <c r="AF886" s="564"/>
      <c r="AG886" s="564"/>
      <c r="AH886" s="564"/>
      <c r="AI886" s="564"/>
      <c r="AJ886" s="564"/>
      <c r="AK886" s="564"/>
      <c r="AL886" s="564"/>
      <c r="AM886" s="564"/>
      <c r="AN886" s="564"/>
      <c r="AO886" s="564"/>
    </row>
    <row r="887" spans="2:41" x14ac:dyDescent="0.15">
      <c r="B887" s="565">
        <v>33</v>
      </c>
      <c r="C887" s="564"/>
      <c r="D887" s="564"/>
      <c r="E887" s="564"/>
      <c r="F887" s="564"/>
      <c r="G887" s="564"/>
      <c r="H887" s="564"/>
      <c r="I887" s="564"/>
      <c r="J887" s="564"/>
      <c r="K887" s="564"/>
      <c r="L887" s="564"/>
      <c r="M887" s="564"/>
      <c r="N887" s="564"/>
      <c r="O887" s="564"/>
      <c r="P887" s="564"/>
      <c r="Q887" s="564"/>
      <c r="R887" s="564"/>
      <c r="S887" s="564"/>
      <c r="T887" s="564"/>
      <c r="U887" s="564"/>
      <c r="V887" s="564"/>
      <c r="W887" s="564"/>
      <c r="X887" s="564"/>
      <c r="Y887" s="564"/>
      <c r="Z887" s="564"/>
      <c r="AA887" s="564"/>
      <c r="AB887" s="564"/>
      <c r="AC887" s="564"/>
      <c r="AD887" s="564"/>
      <c r="AE887" s="564"/>
      <c r="AF887" s="564"/>
      <c r="AG887" s="564"/>
      <c r="AH887" s="564"/>
      <c r="AI887" s="564"/>
      <c r="AJ887" s="564"/>
      <c r="AK887" s="564"/>
      <c r="AL887" s="564"/>
      <c r="AM887" s="564"/>
      <c r="AN887" s="564"/>
      <c r="AO887" s="564"/>
    </row>
    <row r="888" spans="2:41" x14ac:dyDescent="0.15">
      <c r="B888" s="565">
        <v>34</v>
      </c>
      <c r="C888" s="564"/>
      <c r="D888" s="564"/>
      <c r="E888" s="564"/>
      <c r="F888" s="564"/>
      <c r="G888" s="564"/>
      <c r="H888" s="564"/>
      <c r="I888" s="564"/>
      <c r="J888" s="564"/>
      <c r="K888" s="564"/>
      <c r="L888" s="564"/>
      <c r="M888" s="564"/>
      <c r="N888" s="564"/>
      <c r="O888" s="564"/>
      <c r="P888" s="564"/>
      <c r="Q888" s="564"/>
      <c r="R888" s="564"/>
      <c r="S888" s="564"/>
      <c r="T888" s="564"/>
      <c r="U888" s="564"/>
      <c r="V888" s="564"/>
      <c r="W888" s="564"/>
      <c r="X888" s="564"/>
      <c r="Y888" s="564"/>
      <c r="Z888" s="564"/>
      <c r="AA888" s="564"/>
      <c r="AB888" s="564"/>
      <c r="AC888" s="564"/>
      <c r="AD888" s="564"/>
      <c r="AE888" s="564"/>
      <c r="AF888" s="564"/>
      <c r="AG888" s="564"/>
      <c r="AH888" s="564"/>
      <c r="AI888" s="564"/>
      <c r="AJ888" s="564"/>
      <c r="AK888" s="564"/>
      <c r="AL888" s="564"/>
      <c r="AM888" s="564"/>
      <c r="AN888" s="564"/>
      <c r="AO888" s="564"/>
    </row>
    <row r="889" spans="2:41" x14ac:dyDescent="0.15">
      <c r="B889" s="565">
        <v>35</v>
      </c>
      <c r="C889" s="564"/>
      <c r="D889" s="564"/>
      <c r="E889" s="564"/>
      <c r="F889" s="564"/>
      <c r="G889" s="564"/>
      <c r="H889" s="564"/>
      <c r="I889" s="564"/>
      <c r="J889" s="564"/>
      <c r="K889" s="564"/>
      <c r="L889" s="564"/>
      <c r="M889" s="564"/>
      <c r="N889" s="564"/>
      <c r="O889" s="564"/>
      <c r="P889" s="564"/>
      <c r="Q889" s="564"/>
      <c r="R889" s="564"/>
      <c r="S889" s="564"/>
      <c r="T889" s="564"/>
      <c r="U889" s="564"/>
      <c r="V889" s="564"/>
      <c r="W889" s="564"/>
      <c r="X889" s="564"/>
      <c r="Y889" s="564"/>
      <c r="Z889" s="564"/>
      <c r="AA889" s="564"/>
      <c r="AB889" s="564"/>
      <c r="AC889" s="564"/>
      <c r="AD889" s="564"/>
      <c r="AE889" s="564"/>
      <c r="AF889" s="564"/>
      <c r="AG889" s="564"/>
      <c r="AH889" s="564"/>
      <c r="AI889" s="564"/>
      <c r="AJ889" s="564"/>
      <c r="AK889" s="564"/>
      <c r="AL889" s="564"/>
      <c r="AM889" s="564"/>
      <c r="AN889" s="564"/>
      <c r="AO889" s="564"/>
    </row>
    <row r="890" spans="2:41" x14ac:dyDescent="0.15">
      <c r="B890" s="565">
        <v>36</v>
      </c>
      <c r="C890" s="564"/>
      <c r="D890" s="564"/>
      <c r="E890" s="564"/>
      <c r="F890" s="564"/>
      <c r="G890" s="564"/>
      <c r="H890" s="564"/>
      <c r="I890" s="564"/>
      <c r="J890" s="564"/>
      <c r="K890" s="564"/>
      <c r="L890" s="564"/>
      <c r="M890" s="564"/>
      <c r="N890" s="564"/>
      <c r="O890" s="564"/>
      <c r="P890" s="564"/>
      <c r="Q890" s="564"/>
      <c r="R890" s="564"/>
      <c r="S890" s="564"/>
      <c r="T890" s="564"/>
      <c r="U890" s="564"/>
      <c r="V890" s="564"/>
      <c r="W890" s="564"/>
      <c r="X890" s="564"/>
      <c r="Y890" s="564"/>
      <c r="Z890" s="564"/>
      <c r="AA890" s="564"/>
      <c r="AB890" s="564"/>
      <c r="AC890" s="564"/>
      <c r="AD890" s="564"/>
      <c r="AE890" s="564"/>
      <c r="AF890" s="564"/>
      <c r="AG890" s="564"/>
      <c r="AH890" s="564"/>
      <c r="AI890" s="564"/>
      <c r="AJ890" s="564"/>
      <c r="AK890" s="564"/>
      <c r="AL890" s="564"/>
      <c r="AM890" s="564"/>
      <c r="AN890" s="564"/>
      <c r="AO890" s="564"/>
    </row>
    <row r="891" spans="2:41" x14ac:dyDescent="0.15">
      <c r="B891" s="565">
        <v>37</v>
      </c>
      <c r="C891" s="564"/>
      <c r="D891" s="564"/>
      <c r="E891" s="564"/>
      <c r="F891" s="564"/>
      <c r="G891" s="564"/>
      <c r="H891" s="564"/>
      <c r="I891" s="564"/>
      <c r="J891" s="564"/>
      <c r="K891" s="564"/>
      <c r="L891" s="564"/>
      <c r="M891" s="564"/>
      <c r="N891" s="564"/>
      <c r="O891" s="564"/>
      <c r="P891" s="564"/>
      <c r="Q891" s="564"/>
      <c r="R891" s="564"/>
      <c r="S891" s="564"/>
      <c r="T891" s="564"/>
      <c r="U891" s="564"/>
      <c r="V891" s="564"/>
      <c r="W891" s="564"/>
      <c r="X891" s="564"/>
      <c r="Y891" s="564"/>
      <c r="Z891" s="564"/>
      <c r="AA891" s="564"/>
      <c r="AB891" s="564"/>
      <c r="AC891" s="564"/>
      <c r="AD891" s="564"/>
      <c r="AE891" s="564"/>
      <c r="AF891" s="564"/>
      <c r="AG891" s="564"/>
      <c r="AH891" s="564"/>
      <c r="AI891" s="564"/>
      <c r="AJ891" s="564"/>
      <c r="AK891" s="564"/>
      <c r="AL891" s="564"/>
      <c r="AM891" s="564"/>
      <c r="AN891" s="564"/>
      <c r="AO891" s="564"/>
    </row>
    <row r="892" spans="2:41" x14ac:dyDescent="0.15">
      <c r="B892" s="565">
        <v>38</v>
      </c>
      <c r="C892" s="564"/>
      <c r="D892" s="564"/>
      <c r="E892" s="564"/>
      <c r="F892" s="564"/>
      <c r="G892" s="564"/>
      <c r="H892" s="564"/>
      <c r="I892" s="564"/>
      <c r="J892" s="564"/>
      <c r="K892" s="564"/>
      <c r="L892" s="564"/>
      <c r="M892" s="564"/>
      <c r="N892" s="564"/>
      <c r="O892" s="564"/>
      <c r="P892" s="564"/>
      <c r="Q892" s="564"/>
      <c r="R892" s="564"/>
      <c r="S892" s="564"/>
      <c r="T892" s="564"/>
      <c r="U892" s="564"/>
      <c r="V892" s="564"/>
      <c r="W892" s="564"/>
      <c r="X892" s="564"/>
      <c r="Y892" s="564"/>
      <c r="Z892" s="564"/>
      <c r="AA892" s="564"/>
      <c r="AB892" s="564"/>
      <c r="AC892" s="564"/>
      <c r="AD892" s="564"/>
      <c r="AE892" s="564"/>
      <c r="AF892" s="564"/>
      <c r="AG892" s="564"/>
      <c r="AH892" s="564"/>
      <c r="AI892" s="564"/>
      <c r="AJ892" s="564"/>
      <c r="AK892" s="564"/>
      <c r="AL892" s="564"/>
      <c r="AM892" s="564"/>
      <c r="AN892" s="564"/>
      <c r="AO892" s="564"/>
    </row>
    <row r="893" spans="2:41" x14ac:dyDescent="0.15">
      <c r="B893" s="565">
        <v>39</v>
      </c>
      <c r="C893" s="564"/>
      <c r="D893" s="564"/>
      <c r="E893" s="564"/>
      <c r="F893" s="564"/>
      <c r="G893" s="564"/>
      <c r="H893" s="564"/>
      <c r="I893" s="564"/>
      <c r="J893" s="564"/>
      <c r="K893" s="564"/>
      <c r="L893" s="564"/>
      <c r="M893" s="564"/>
      <c r="N893" s="564"/>
      <c r="O893" s="564"/>
      <c r="P893" s="564"/>
      <c r="Q893" s="564"/>
      <c r="R893" s="564"/>
      <c r="S893" s="564"/>
      <c r="T893" s="564"/>
      <c r="U893" s="564"/>
      <c r="V893" s="564"/>
      <c r="W893" s="564"/>
      <c r="X893" s="564"/>
      <c r="Y893" s="564"/>
      <c r="Z893" s="564"/>
      <c r="AA893" s="564"/>
      <c r="AB893" s="564"/>
      <c r="AC893" s="564"/>
      <c r="AD893" s="564"/>
      <c r="AE893" s="564"/>
      <c r="AF893" s="564"/>
      <c r="AG893" s="564"/>
      <c r="AH893" s="564"/>
      <c r="AI893" s="564"/>
      <c r="AJ893" s="564"/>
      <c r="AK893" s="564"/>
      <c r="AL893" s="564"/>
      <c r="AM893" s="564"/>
      <c r="AN893" s="564"/>
      <c r="AO893" s="564"/>
    </row>
    <row r="894" spans="2:41" x14ac:dyDescent="0.15">
      <c r="B894" s="566">
        <v>40</v>
      </c>
      <c r="C894" s="564"/>
      <c r="D894" s="564"/>
      <c r="E894" s="564"/>
      <c r="F894" s="564"/>
      <c r="G894" s="564"/>
      <c r="H894" s="564"/>
      <c r="I894" s="564"/>
      <c r="J894" s="564"/>
      <c r="K894" s="564"/>
      <c r="L894" s="564"/>
      <c r="M894" s="564"/>
      <c r="N894" s="564"/>
      <c r="O894" s="564"/>
      <c r="P894" s="564"/>
      <c r="Q894" s="564"/>
      <c r="R894" s="564"/>
      <c r="S894" s="564"/>
      <c r="T894" s="564"/>
      <c r="U894" s="564"/>
      <c r="V894" s="564"/>
      <c r="W894" s="564"/>
      <c r="X894" s="564"/>
      <c r="Y894" s="564"/>
      <c r="Z894" s="564"/>
      <c r="AA894" s="564"/>
      <c r="AB894" s="564"/>
      <c r="AC894" s="564"/>
      <c r="AD894" s="564"/>
      <c r="AE894" s="564"/>
      <c r="AF894" s="564"/>
      <c r="AG894" s="564"/>
      <c r="AH894" s="564"/>
      <c r="AI894" s="564"/>
      <c r="AJ894" s="564"/>
      <c r="AK894" s="564"/>
      <c r="AL894" s="564"/>
      <c r="AM894" s="564"/>
      <c r="AN894" s="564"/>
      <c r="AO894" s="564"/>
    </row>
    <row r="903" spans="2:41" s="561" customFormat="1" ht="14" x14ac:dyDescent="0.15">
      <c r="B903" s="558" t="str" cm="1">
        <f t="array" ref="B903:AO903">TRANSPOSE('Syötä kaupungit KIRJASTOLINKIT!'!$L$1:$L$40)</f>
        <v>MAA 11</v>
      </c>
      <c r="C903" s="562">
        <v>0</v>
      </c>
      <c r="D903" s="562">
        <v>0</v>
      </c>
      <c r="E903" s="562">
        <v>0</v>
      </c>
      <c r="F903" s="562">
        <v>0</v>
      </c>
      <c r="G903" s="562">
        <v>0</v>
      </c>
      <c r="H903" s="562">
        <v>0</v>
      </c>
      <c r="I903" s="562">
        <v>0</v>
      </c>
      <c r="J903" s="562">
        <v>0</v>
      </c>
      <c r="K903" s="562">
        <v>0</v>
      </c>
      <c r="L903" s="562">
        <v>0</v>
      </c>
      <c r="M903" s="562">
        <v>0</v>
      </c>
      <c r="N903" s="562">
        <v>0</v>
      </c>
      <c r="O903" s="562">
        <v>0</v>
      </c>
      <c r="P903" s="562">
        <v>0</v>
      </c>
      <c r="Q903" s="562">
        <v>0</v>
      </c>
      <c r="R903" s="562">
        <v>0</v>
      </c>
      <c r="S903" s="562">
        <v>0</v>
      </c>
      <c r="T903" s="562">
        <v>0</v>
      </c>
      <c r="U903" s="562">
        <v>0</v>
      </c>
      <c r="V903" s="562">
        <v>0</v>
      </c>
      <c r="W903" s="562">
        <v>0</v>
      </c>
      <c r="X903" s="562">
        <v>0</v>
      </c>
      <c r="Y903" s="562">
        <v>0</v>
      </c>
      <c r="Z903" s="562">
        <v>0</v>
      </c>
      <c r="AA903" s="562">
        <v>0</v>
      </c>
      <c r="AB903" s="562">
        <v>0</v>
      </c>
      <c r="AC903" s="562">
        <v>0</v>
      </c>
      <c r="AD903" s="562">
        <v>0</v>
      </c>
      <c r="AE903" s="562">
        <v>0</v>
      </c>
      <c r="AF903" s="562">
        <v>0</v>
      </c>
      <c r="AG903" s="562">
        <v>0</v>
      </c>
      <c r="AH903" s="562">
        <v>0</v>
      </c>
      <c r="AI903" s="562">
        <v>0</v>
      </c>
      <c r="AJ903" s="562">
        <v>0</v>
      </c>
      <c r="AK903" s="562">
        <v>0</v>
      </c>
      <c r="AL903" s="562">
        <v>0</v>
      </c>
      <c r="AM903" s="562">
        <v>0</v>
      </c>
      <c r="AN903" s="562">
        <v>0</v>
      </c>
      <c r="AO903" s="562">
        <v>0</v>
      </c>
    </row>
    <row r="904" spans="2:41" x14ac:dyDescent="0.15">
      <c r="B904" s="563">
        <v>-40</v>
      </c>
      <c r="C904" s="564"/>
      <c r="D904" s="564"/>
      <c r="E904" s="564"/>
      <c r="F904" s="564"/>
      <c r="G904" s="564"/>
      <c r="H904" s="564"/>
      <c r="I904" s="564"/>
      <c r="J904" s="564"/>
      <c r="K904" s="564"/>
      <c r="L904" s="564"/>
      <c r="M904" s="564"/>
      <c r="N904" s="564"/>
      <c r="O904" s="564"/>
      <c r="P904" s="564"/>
      <c r="Q904" s="564"/>
      <c r="R904" s="564"/>
      <c r="S904" s="564"/>
      <c r="T904" s="564"/>
      <c r="U904" s="564"/>
      <c r="V904" s="564"/>
      <c r="W904" s="564"/>
      <c r="X904" s="564"/>
      <c r="Y904" s="564"/>
      <c r="Z904" s="564"/>
      <c r="AA904" s="564"/>
      <c r="AB904" s="564"/>
      <c r="AC904" s="564"/>
      <c r="AD904" s="564"/>
      <c r="AE904" s="564"/>
      <c r="AF904" s="564"/>
      <c r="AG904" s="564"/>
      <c r="AH904" s="564"/>
      <c r="AI904" s="564"/>
      <c r="AJ904" s="564"/>
      <c r="AK904" s="564"/>
      <c r="AL904" s="564"/>
      <c r="AM904" s="564"/>
      <c r="AN904" s="564"/>
      <c r="AO904" s="564"/>
    </row>
    <row r="905" spans="2:41" x14ac:dyDescent="0.15">
      <c r="B905" s="565">
        <v>-39</v>
      </c>
      <c r="C905" s="564"/>
      <c r="D905" s="564"/>
      <c r="E905" s="564"/>
      <c r="F905" s="564"/>
      <c r="G905" s="564"/>
      <c r="H905" s="564"/>
      <c r="I905" s="564"/>
      <c r="J905" s="564"/>
      <c r="K905" s="564"/>
      <c r="L905" s="564"/>
      <c r="M905" s="564"/>
      <c r="N905" s="564"/>
      <c r="O905" s="564"/>
      <c r="P905" s="564"/>
      <c r="Q905" s="564"/>
      <c r="R905" s="564"/>
      <c r="S905" s="564"/>
      <c r="T905" s="564"/>
      <c r="U905" s="564"/>
      <c r="V905" s="564"/>
      <c r="W905" s="564"/>
      <c r="X905" s="564"/>
      <c r="Y905" s="564"/>
      <c r="Z905" s="564"/>
      <c r="AA905" s="564"/>
      <c r="AB905" s="564"/>
      <c r="AC905" s="564"/>
      <c r="AD905" s="564"/>
      <c r="AE905" s="564"/>
      <c r="AF905" s="564"/>
      <c r="AG905" s="564"/>
      <c r="AH905" s="564"/>
      <c r="AI905" s="564"/>
      <c r="AJ905" s="564"/>
      <c r="AK905" s="564"/>
      <c r="AL905" s="564"/>
      <c r="AM905" s="564"/>
      <c r="AN905" s="564"/>
      <c r="AO905" s="564"/>
    </row>
    <row r="906" spans="2:41" x14ac:dyDescent="0.15">
      <c r="B906" s="565">
        <v>-38</v>
      </c>
      <c r="C906" s="564"/>
      <c r="D906" s="564"/>
      <c r="E906" s="564"/>
      <c r="F906" s="564"/>
      <c r="G906" s="564"/>
      <c r="H906" s="564"/>
      <c r="I906" s="564"/>
      <c r="J906" s="564"/>
      <c r="K906" s="564"/>
      <c r="L906" s="564"/>
      <c r="M906" s="564"/>
      <c r="N906" s="564"/>
      <c r="O906" s="564"/>
      <c r="P906" s="564"/>
      <c r="Q906" s="564"/>
      <c r="R906" s="564"/>
      <c r="S906" s="564"/>
      <c r="T906" s="564"/>
      <c r="U906" s="564"/>
      <c r="V906" s="564"/>
      <c r="W906" s="564"/>
      <c r="X906" s="564"/>
      <c r="Y906" s="564"/>
      <c r="Z906" s="564"/>
      <c r="AA906" s="564"/>
      <c r="AB906" s="564"/>
      <c r="AC906" s="564"/>
      <c r="AD906" s="564"/>
      <c r="AE906" s="564"/>
      <c r="AF906" s="564"/>
      <c r="AG906" s="564"/>
      <c r="AH906" s="564"/>
      <c r="AI906" s="564"/>
      <c r="AJ906" s="564"/>
      <c r="AK906" s="564"/>
      <c r="AL906" s="564"/>
      <c r="AM906" s="564"/>
      <c r="AN906" s="564"/>
      <c r="AO906" s="564"/>
    </row>
    <row r="907" spans="2:41" x14ac:dyDescent="0.15">
      <c r="B907" s="565">
        <v>-37</v>
      </c>
      <c r="C907" s="564"/>
      <c r="D907" s="564"/>
      <c r="E907" s="564"/>
      <c r="F907" s="564"/>
      <c r="G907" s="564"/>
      <c r="H907" s="564"/>
      <c r="I907" s="564"/>
      <c r="J907" s="564"/>
      <c r="K907" s="564"/>
      <c r="L907" s="564"/>
      <c r="M907" s="564"/>
      <c r="N907" s="564"/>
      <c r="O907" s="564"/>
      <c r="P907" s="564"/>
      <c r="Q907" s="564"/>
      <c r="R907" s="564"/>
      <c r="S907" s="564"/>
      <c r="T907" s="564"/>
      <c r="U907" s="564"/>
      <c r="V907" s="564"/>
      <c r="W907" s="564"/>
      <c r="X907" s="564"/>
      <c r="Y907" s="564"/>
      <c r="Z907" s="564"/>
      <c r="AA907" s="564"/>
      <c r="AB907" s="564"/>
      <c r="AC907" s="564"/>
      <c r="AD907" s="564"/>
      <c r="AE907" s="564"/>
      <c r="AF907" s="564"/>
      <c r="AG907" s="564"/>
      <c r="AH907" s="564"/>
      <c r="AI907" s="564"/>
      <c r="AJ907" s="564"/>
      <c r="AK907" s="564"/>
      <c r="AL907" s="564"/>
      <c r="AM907" s="564"/>
      <c r="AN907" s="564"/>
      <c r="AO907" s="564"/>
    </row>
    <row r="908" spans="2:41" x14ac:dyDescent="0.15">
      <c r="B908" s="565">
        <v>-36</v>
      </c>
      <c r="C908" s="564"/>
      <c r="D908" s="564"/>
      <c r="E908" s="564"/>
      <c r="F908" s="564"/>
      <c r="G908" s="564"/>
      <c r="H908" s="564"/>
      <c r="I908" s="564"/>
      <c r="J908" s="564"/>
      <c r="K908" s="564"/>
      <c r="L908" s="564"/>
      <c r="M908" s="564"/>
      <c r="N908" s="564"/>
      <c r="O908" s="564"/>
      <c r="P908" s="564"/>
      <c r="Q908" s="564"/>
      <c r="R908" s="564"/>
      <c r="S908" s="564"/>
      <c r="T908" s="564"/>
      <c r="U908" s="564"/>
      <c r="V908" s="564"/>
      <c r="W908" s="564"/>
      <c r="X908" s="564"/>
      <c r="Y908" s="564"/>
      <c r="Z908" s="564"/>
      <c r="AA908" s="564"/>
      <c r="AB908" s="564"/>
      <c r="AC908" s="564"/>
      <c r="AD908" s="564"/>
      <c r="AE908" s="564"/>
      <c r="AF908" s="564"/>
      <c r="AG908" s="564"/>
      <c r="AH908" s="564"/>
      <c r="AI908" s="564"/>
      <c r="AJ908" s="564"/>
      <c r="AK908" s="564"/>
      <c r="AL908" s="564"/>
      <c r="AM908" s="564"/>
      <c r="AN908" s="564"/>
      <c r="AO908" s="564"/>
    </row>
    <row r="909" spans="2:41" x14ac:dyDescent="0.15">
      <c r="B909" s="565">
        <v>-35</v>
      </c>
      <c r="C909" s="564"/>
      <c r="D909" s="564"/>
      <c r="E909" s="564"/>
      <c r="F909" s="564"/>
      <c r="G909" s="564"/>
      <c r="H909" s="564"/>
      <c r="I909" s="564"/>
      <c r="J909" s="564"/>
      <c r="K909" s="564"/>
      <c r="L909" s="564"/>
      <c r="M909" s="564"/>
      <c r="N909" s="564"/>
      <c r="O909" s="564"/>
      <c r="P909" s="564"/>
      <c r="Q909" s="564"/>
      <c r="R909" s="564"/>
      <c r="S909" s="564"/>
      <c r="T909" s="564"/>
      <c r="U909" s="564"/>
      <c r="V909" s="564"/>
      <c r="W909" s="564"/>
      <c r="X909" s="564"/>
      <c r="Y909" s="564"/>
      <c r="Z909" s="564"/>
      <c r="AA909" s="564"/>
      <c r="AB909" s="564"/>
      <c r="AC909" s="564"/>
      <c r="AD909" s="564"/>
      <c r="AE909" s="564"/>
      <c r="AF909" s="564"/>
      <c r="AG909" s="564"/>
      <c r="AH909" s="564"/>
      <c r="AI909" s="564"/>
      <c r="AJ909" s="564"/>
      <c r="AK909" s="564"/>
      <c r="AL909" s="564"/>
      <c r="AM909" s="564"/>
      <c r="AN909" s="564"/>
      <c r="AO909" s="564"/>
    </row>
    <row r="910" spans="2:41" x14ac:dyDescent="0.15">
      <c r="B910" s="565">
        <v>-34</v>
      </c>
      <c r="C910" s="564"/>
      <c r="D910" s="564"/>
      <c r="E910" s="564"/>
      <c r="F910" s="564"/>
      <c r="G910" s="564"/>
      <c r="H910" s="564"/>
      <c r="I910" s="564"/>
      <c r="J910" s="564"/>
      <c r="K910" s="564"/>
      <c r="L910" s="564"/>
      <c r="M910" s="564"/>
      <c r="N910" s="564"/>
      <c r="O910" s="564"/>
      <c r="P910" s="564"/>
      <c r="Q910" s="564"/>
      <c r="R910" s="564"/>
      <c r="S910" s="564"/>
      <c r="T910" s="564"/>
      <c r="U910" s="564"/>
      <c r="V910" s="564"/>
      <c r="W910" s="564"/>
      <c r="X910" s="564"/>
      <c r="Y910" s="564"/>
      <c r="Z910" s="564"/>
      <c r="AA910" s="564"/>
      <c r="AB910" s="564"/>
      <c r="AC910" s="564"/>
      <c r="AD910" s="564"/>
      <c r="AE910" s="564"/>
      <c r="AF910" s="564"/>
      <c r="AG910" s="564"/>
      <c r="AH910" s="564"/>
      <c r="AI910" s="564"/>
      <c r="AJ910" s="564"/>
      <c r="AK910" s="564"/>
      <c r="AL910" s="564"/>
      <c r="AM910" s="564"/>
      <c r="AN910" s="564"/>
      <c r="AO910" s="564"/>
    </row>
    <row r="911" spans="2:41" x14ac:dyDescent="0.15">
      <c r="B911" s="565">
        <v>-33</v>
      </c>
      <c r="C911" s="564"/>
      <c r="D911" s="564"/>
      <c r="E911" s="564"/>
      <c r="F911" s="564"/>
      <c r="G911" s="564"/>
      <c r="H911" s="564"/>
      <c r="I911" s="564"/>
      <c r="J911" s="564"/>
      <c r="K911" s="564"/>
      <c r="L911" s="564"/>
      <c r="M911" s="564"/>
      <c r="N911" s="564"/>
      <c r="O911" s="564"/>
      <c r="P911" s="564"/>
      <c r="Q911" s="564"/>
      <c r="R911" s="564"/>
      <c r="S911" s="564"/>
      <c r="T911" s="564"/>
      <c r="U911" s="564"/>
      <c r="V911" s="564"/>
      <c r="W911" s="564"/>
      <c r="X911" s="564"/>
      <c r="Y911" s="564"/>
      <c r="Z911" s="564"/>
      <c r="AA911" s="564"/>
      <c r="AB911" s="564"/>
      <c r="AC911" s="564"/>
      <c r="AD911" s="564"/>
      <c r="AE911" s="564"/>
      <c r="AF911" s="564"/>
      <c r="AG911" s="564"/>
      <c r="AH911" s="564"/>
      <c r="AI911" s="564"/>
      <c r="AJ911" s="564"/>
      <c r="AK911" s="564"/>
      <c r="AL911" s="564"/>
      <c r="AM911" s="564"/>
      <c r="AN911" s="564"/>
      <c r="AO911" s="564"/>
    </row>
    <row r="912" spans="2:41" x14ac:dyDescent="0.15">
      <c r="B912" s="565">
        <v>-32</v>
      </c>
      <c r="C912" s="564"/>
      <c r="D912" s="564"/>
      <c r="E912" s="564"/>
      <c r="F912" s="564"/>
      <c r="G912" s="564"/>
      <c r="H912" s="564"/>
      <c r="I912" s="564"/>
      <c r="J912" s="564"/>
      <c r="K912" s="564"/>
      <c r="L912" s="564"/>
      <c r="M912" s="564"/>
      <c r="N912" s="564"/>
      <c r="O912" s="564"/>
      <c r="P912" s="564"/>
      <c r="Q912" s="564"/>
      <c r="R912" s="564"/>
      <c r="S912" s="564"/>
      <c r="T912" s="564"/>
      <c r="U912" s="564"/>
      <c r="V912" s="564"/>
      <c r="W912" s="564"/>
      <c r="X912" s="564"/>
      <c r="Y912" s="564"/>
      <c r="Z912" s="564"/>
      <c r="AA912" s="564"/>
      <c r="AB912" s="564"/>
      <c r="AC912" s="564"/>
      <c r="AD912" s="564"/>
      <c r="AE912" s="564"/>
      <c r="AF912" s="564"/>
      <c r="AG912" s="564"/>
      <c r="AH912" s="564"/>
      <c r="AI912" s="564"/>
      <c r="AJ912" s="564"/>
      <c r="AK912" s="564"/>
      <c r="AL912" s="564"/>
      <c r="AM912" s="564"/>
      <c r="AN912" s="564"/>
      <c r="AO912" s="564"/>
    </row>
    <row r="913" spans="2:41" x14ac:dyDescent="0.15">
      <c r="B913" s="565">
        <v>-31</v>
      </c>
      <c r="C913" s="564"/>
      <c r="D913" s="564"/>
      <c r="E913" s="564"/>
      <c r="F913" s="564"/>
      <c r="G913" s="564"/>
      <c r="H913" s="564"/>
      <c r="I913" s="564"/>
      <c r="J913" s="564"/>
      <c r="K913" s="564"/>
      <c r="L913" s="564"/>
      <c r="M913" s="564"/>
      <c r="N913" s="564"/>
      <c r="O913" s="564"/>
      <c r="P913" s="564"/>
      <c r="Q913" s="564"/>
      <c r="R913" s="564"/>
      <c r="S913" s="564"/>
      <c r="T913" s="564"/>
      <c r="U913" s="564"/>
      <c r="V913" s="564"/>
      <c r="W913" s="564"/>
      <c r="X913" s="564"/>
      <c r="Y913" s="564"/>
      <c r="Z913" s="564"/>
      <c r="AA913" s="564"/>
      <c r="AB913" s="564"/>
      <c r="AC913" s="564"/>
      <c r="AD913" s="564"/>
      <c r="AE913" s="564"/>
      <c r="AF913" s="564"/>
      <c r="AG913" s="564"/>
      <c r="AH913" s="564"/>
      <c r="AI913" s="564"/>
      <c r="AJ913" s="564"/>
      <c r="AK913" s="564"/>
      <c r="AL913" s="564"/>
      <c r="AM913" s="564"/>
      <c r="AN913" s="564"/>
      <c r="AO913" s="564"/>
    </row>
    <row r="914" spans="2:41" x14ac:dyDescent="0.15">
      <c r="B914" s="565">
        <v>-30</v>
      </c>
      <c r="C914" s="564"/>
      <c r="D914" s="564"/>
      <c r="E914" s="564"/>
      <c r="F914" s="564"/>
      <c r="G914" s="564"/>
      <c r="H914" s="564"/>
      <c r="I914" s="564"/>
      <c r="J914" s="564"/>
      <c r="K914" s="564"/>
      <c r="L914" s="564"/>
      <c r="M914" s="564"/>
      <c r="N914" s="564"/>
      <c r="O914" s="564"/>
      <c r="P914" s="564"/>
      <c r="Q914" s="564"/>
      <c r="R914" s="564"/>
      <c r="S914" s="564"/>
      <c r="T914" s="564"/>
      <c r="U914" s="564"/>
      <c r="V914" s="564"/>
      <c r="W914" s="564"/>
      <c r="X914" s="564"/>
      <c r="Y914" s="564"/>
      <c r="Z914" s="564"/>
      <c r="AA914" s="564"/>
      <c r="AB914" s="564"/>
      <c r="AC914" s="564"/>
      <c r="AD914" s="564"/>
      <c r="AE914" s="564"/>
      <c r="AF914" s="564"/>
      <c r="AG914" s="564"/>
      <c r="AH914" s="564"/>
      <c r="AI914" s="564"/>
      <c r="AJ914" s="564"/>
      <c r="AK914" s="564"/>
      <c r="AL914" s="564"/>
      <c r="AM914" s="564"/>
      <c r="AN914" s="564"/>
      <c r="AO914" s="564"/>
    </row>
    <row r="915" spans="2:41" x14ac:dyDescent="0.15">
      <c r="B915" s="565">
        <v>-29</v>
      </c>
      <c r="C915" s="564"/>
      <c r="D915" s="564"/>
      <c r="E915" s="564"/>
      <c r="F915" s="564"/>
      <c r="G915" s="564"/>
      <c r="H915" s="564"/>
      <c r="I915" s="564"/>
      <c r="J915" s="564"/>
      <c r="K915" s="564"/>
      <c r="L915" s="564"/>
      <c r="M915" s="564"/>
      <c r="N915" s="564"/>
      <c r="O915" s="564"/>
      <c r="P915" s="564"/>
      <c r="Q915" s="564"/>
      <c r="R915" s="564"/>
      <c r="S915" s="564"/>
      <c r="T915" s="564"/>
      <c r="U915" s="564"/>
      <c r="V915" s="564"/>
      <c r="W915" s="564"/>
      <c r="X915" s="564"/>
      <c r="Y915" s="564"/>
      <c r="Z915" s="564"/>
      <c r="AA915" s="564"/>
      <c r="AB915" s="564"/>
      <c r="AC915" s="564"/>
      <c r="AD915" s="564"/>
      <c r="AE915" s="564"/>
      <c r="AF915" s="564"/>
      <c r="AG915" s="564"/>
      <c r="AH915" s="564"/>
      <c r="AI915" s="564"/>
      <c r="AJ915" s="564"/>
      <c r="AK915" s="564"/>
      <c r="AL915" s="564"/>
      <c r="AM915" s="564"/>
      <c r="AN915" s="564"/>
      <c r="AO915" s="564"/>
    </row>
    <row r="916" spans="2:41" x14ac:dyDescent="0.15">
      <c r="B916" s="565">
        <v>-28</v>
      </c>
      <c r="C916" s="564"/>
      <c r="D916" s="564"/>
      <c r="E916" s="564"/>
      <c r="F916" s="564"/>
      <c r="G916" s="564"/>
      <c r="H916" s="564"/>
      <c r="I916" s="564"/>
      <c r="J916" s="564"/>
      <c r="K916" s="564"/>
      <c r="L916" s="564"/>
      <c r="M916" s="564"/>
      <c r="N916" s="564"/>
      <c r="O916" s="564"/>
      <c r="P916" s="564"/>
      <c r="Q916" s="564"/>
      <c r="R916" s="564"/>
      <c r="S916" s="564"/>
      <c r="T916" s="564"/>
      <c r="U916" s="564"/>
      <c r="V916" s="564"/>
      <c r="W916" s="564"/>
      <c r="X916" s="564"/>
      <c r="Y916" s="564"/>
      <c r="Z916" s="564"/>
      <c r="AA916" s="564"/>
      <c r="AB916" s="564"/>
      <c r="AC916" s="564"/>
      <c r="AD916" s="564"/>
      <c r="AE916" s="564"/>
      <c r="AF916" s="564"/>
      <c r="AG916" s="564"/>
      <c r="AH916" s="564"/>
      <c r="AI916" s="564"/>
      <c r="AJ916" s="564"/>
      <c r="AK916" s="564"/>
      <c r="AL916" s="564"/>
      <c r="AM916" s="564"/>
      <c r="AN916" s="564"/>
      <c r="AO916" s="564"/>
    </row>
    <row r="917" spans="2:41" x14ac:dyDescent="0.15">
      <c r="B917" s="565">
        <v>-27</v>
      </c>
      <c r="C917" s="564"/>
      <c r="D917" s="564"/>
      <c r="E917" s="564"/>
      <c r="F917" s="564"/>
      <c r="G917" s="564"/>
      <c r="H917" s="564"/>
      <c r="I917" s="564"/>
      <c r="J917" s="564"/>
      <c r="K917" s="564"/>
      <c r="L917" s="564"/>
      <c r="M917" s="564"/>
      <c r="N917" s="564"/>
      <c r="O917" s="564"/>
      <c r="P917" s="564"/>
      <c r="Q917" s="564"/>
      <c r="R917" s="564"/>
      <c r="S917" s="564"/>
      <c r="T917" s="564"/>
      <c r="U917" s="564"/>
      <c r="V917" s="564"/>
      <c r="W917" s="564"/>
      <c r="X917" s="564"/>
      <c r="Y917" s="564"/>
      <c r="Z917" s="564"/>
      <c r="AA917" s="564"/>
      <c r="AB917" s="564"/>
      <c r="AC917" s="564"/>
      <c r="AD917" s="564"/>
      <c r="AE917" s="564"/>
      <c r="AF917" s="564"/>
      <c r="AG917" s="564"/>
      <c r="AH917" s="564"/>
      <c r="AI917" s="564"/>
      <c r="AJ917" s="564"/>
      <c r="AK917" s="564"/>
      <c r="AL917" s="564"/>
      <c r="AM917" s="564"/>
      <c r="AN917" s="564"/>
      <c r="AO917" s="564"/>
    </row>
    <row r="918" spans="2:41" x14ac:dyDescent="0.15">
      <c r="B918" s="565">
        <v>-26</v>
      </c>
      <c r="C918" s="564"/>
      <c r="D918" s="564"/>
      <c r="E918" s="564"/>
      <c r="F918" s="564"/>
      <c r="G918" s="564"/>
      <c r="H918" s="564"/>
      <c r="I918" s="564"/>
      <c r="J918" s="564"/>
      <c r="K918" s="564"/>
      <c r="L918" s="564"/>
      <c r="M918" s="564"/>
      <c r="N918" s="564"/>
      <c r="O918" s="564"/>
      <c r="P918" s="564"/>
      <c r="Q918" s="564"/>
      <c r="R918" s="564"/>
      <c r="S918" s="564"/>
      <c r="T918" s="564"/>
      <c r="U918" s="564"/>
      <c r="V918" s="564"/>
      <c r="W918" s="564"/>
      <c r="X918" s="564"/>
      <c r="Y918" s="564"/>
      <c r="Z918" s="564"/>
      <c r="AA918" s="564"/>
      <c r="AB918" s="564"/>
      <c r="AC918" s="564"/>
      <c r="AD918" s="564"/>
      <c r="AE918" s="564"/>
      <c r="AF918" s="564"/>
      <c r="AG918" s="564"/>
      <c r="AH918" s="564"/>
      <c r="AI918" s="564"/>
      <c r="AJ918" s="564"/>
      <c r="AK918" s="564"/>
      <c r="AL918" s="564"/>
      <c r="AM918" s="564"/>
      <c r="AN918" s="564"/>
      <c r="AO918" s="564"/>
    </row>
    <row r="919" spans="2:41" x14ac:dyDescent="0.15">
      <c r="B919" s="565">
        <v>-25</v>
      </c>
      <c r="C919" s="564"/>
      <c r="D919" s="564"/>
      <c r="E919" s="564"/>
      <c r="F919" s="564"/>
      <c r="G919" s="564"/>
      <c r="H919" s="564"/>
      <c r="I919" s="564"/>
      <c r="J919" s="564"/>
      <c r="K919" s="564"/>
      <c r="L919" s="564"/>
      <c r="M919" s="564"/>
      <c r="N919" s="564"/>
      <c r="O919" s="564"/>
      <c r="P919" s="564"/>
      <c r="Q919" s="564"/>
      <c r="R919" s="564"/>
      <c r="S919" s="564"/>
      <c r="T919" s="564"/>
      <c r="U919" s="564"/>
      <c r="V919" s="564"/>
      <c r="W919" s="564"/>
      <c r="X919" s="564"/>
      <c r="Y919" s="564"/>
      <c r="Z919" s="564"/>
      <c r="AA919" s="564"/>
      <c r="AB919" s="564"/>
      <c r="AC919" s="564"/>
      <c r="AD919" s="564"/>
      <c r="AE919" s="564"/>
      <c r="AF919" s="564"/>
      <c r="AG919" s="564"/>
      <c r="AH919" s="564"/>
      <c r="AI919" s="564"/>
      <c r="AJ919" s="564"/>
      <c r="AK919" s="564"/>
      <c r="AL919" s="564"/>
      <c r="AM919" s="564"/>
      <c r="AN919" s="564"/>
      <c r="AO919" s="564"/>
    </row>
    <row r="920" spans="2:41" x14ac:dyDescent="0.15">
      <c r="B920" s="565">
        <v>-24</v>
      </c>
      <c r="C920" s="564"/>
      <c r="D920" s="564"/>
      <c r="E920" s="564"/>
      <c r="F920" s="564"/>
      <c r="G920" s="564"/>
      <c r="H920" s="564"/>
      <c r="I920" s="564"/>
      <c r="J920" s="564"/>
      <c r="K920" s="564"/>
      <c r="L920" s="564"/>
      <c r="M920" s="564"/>
      <c r="N920" s="564"/>
      <c r="O920" s="564"/>
      <c r="P920" s="564"/>
      <c r="Q920" s="564"/>
      <c r="R920" s="564"/>
      <c r="S920" s="564"/>
      <c r="T920" s="564"/>
      <c r="U920" s="564"/>
      <c r="V920" s="564"/>
      <c r="W920" s="564"/>
      <c r="X920" s="564"/>
      <c r="Y920" s="564"/>
      <c r="Z920" s="564"/>
      <c r="AA920" s="564"/>
      <c r="AB920" s="564"/>
      <c r="AC920" s="564"/>
      <c r="AD920" s="564"/>
      <c r="AE920" s="564"/>
      <c r="AF920" s="564"/>
      <c r="AG920" s="564"/>
      <c r="AH920" s="564"/>
      <c r="AI920" s="564"/>
      <c r="AJ920" s="564"/>
      <c r="AK920" s="564"/>
      <c r="AL920" s="564"/>
      <c r="AM920" s="564"/>
      <c r="AN920" s="564"/>
      <c r="AO920" s="564"/>
    </row>
    <row r="921" spans="2:41" x14ac:dyDescent="0.15">
      <c r="B921" s="565">
        <v>-23</v>
      </c>
      <c r="C921" s="564"/>
      <c r="D921" s="564"/>
      <c r="E921" s="564"/>
      <c r="F921" s="564"/>
      <c r="G921" s="564"/>
      <c r="H921" s="564"/>
      <c r="I921" s="564"/>
      <c r="J921" s="564"/>
      <c r="K921" s="564"/>
      <c r="L921" s="564"/>
      <c r="M921" s="564"/>
      <c r="N921" s="564"/>
      <c r="O921" s="564"/>
      <c r="P921" s="564"/>
      <c r="Q921" s="564"/>
      <c r="R921" s="564"/>
      <c r="S921" s="564"/>
      <c r="T921" s="564"/>
      <c r="U921" s="564"/>
      <c r="V921" s="564"/>
      <c r="W921" s="564"/>
      <c r="X921" s="564"/>
      <c r="Y921" s="564"/>
      <c r="Z921" s="564"/>
      <c r="AA921" s="564"/>
      <c r="AB921" s="564"/>
      <c r="AC921" s="564"/>
      <c r="AD921" s="564"/>
      <c r="AE921" s="564"/>
      <c r="AF921" s="564"/>
      <c r="AG921" s="564"/>
      <c r="AH921" s="564"/>
      <c r="AI921" s="564"/>
      <c r="AJ921" s="564"/>
      <c r="AK921" s="564"/>
      <c r="AL921" s="564"/>
      <c r="AM921" s="564"/>
      <c r="AN921" s="564"/>
      <c r="AO921" s="564"/>
    </row>
    <row r="922" spans="2:41" x14ac:dyDescent="0.15">
      <c r="B922" s="565">
        <v>-22</v>
      </c>
      <c r="C922" s="564"/>
      <c r="D922" s="564"/>
      <c r="E922" s="564"/>
      <c r="F922" s="564"/>
      <c r="G922" s="564"/>
      <c r="H922" s="564"/>
      <c r="I922" s="564"/>
      <c r="J922" s="564"/>
      <c r="K922" s="564"/>
      <c r="L922" s="564"/>
      <c r="M922" s="564"/>
      <c r="N922" s="564"/>
      <c r="O922" s="564"/>
      <c r="P922" s="564"/>
      <c r="Q922" s="564"/>
      <c r="R922" s="564"/>
      <c r="S922" s="564"/>
      <c r="T922" s="564"/>
      <c r="U922" s="564"/>
      <c r="V922" s="564"/>
      <c r="W922" s="564"/>
      <c r="X922" s="564"/>
      <c r="Y922" s="564"/>
      <c r="Z922" s="564"/>
      <c r="AA922" s="564"/>
      <c r="AB922" s="564"/>
      <c r="AC922" s="564"/>
      <c r="AD922" s="564"/>
      <c r="AE922" s="564"/>
      <c r="AF922" s="564"/>
      <c r="AG922" s="564"/>
      <c r="AH922" s="564"/>
      <c r="AI922" s="564"/>
      <c r="AJ922" s="564"/>
      <c r="AK922" s="564"/>
      <c r="AL922" s="564"/>
      <c r="AM922" s="564"/>
      <c r="AN922" s="564"/>
      <c r="AO922" s="564"/>
    </row>
    <row r="923" spans="2:41" x14ac:dyDescent="0.15">
      <c r="B923" s="565">
        <v>-21</v>
      </c>
      <c r="C923" s="564"/>
      <c r="D923" s="564"/>
      <c r="E923" s="564"/>
      <c r="F923" s="564"/>
      <c r="G923" s="564"/>
      <c r="H923" s="564"/>
      <c r="I923" s="564"/>
      <c r="J923" s="564"/>
      <c r="K923" s="564"/>
      <c r="L923" s="564"/>
      <c r="M923" s="564"/>
      <c r="N923" s="564"/>
      <c r="O923" s="564"/>
      <c r="P923" s="564"/>
      <c r="Q923" s="564"/>
      <c r="R923" s="564"/>
      <c r="S923" s="564"/>
      <c r="T923" s="564"/>
      <c r="U923" s="564"/>
      <c r="V923" s="564"/>
      <c r="W923" s="564"/>
      <c r="X923" s="564"/>
      <c r="Y923" s="564"/>
      <c r="Z923" s="564"/>
      <c r="AA923" s="564"/>
      <c r="AB923" s="564"/>
      <c r="AC923" s="564"/>
      <c r="AD923" s="564"/>
      <c r="AE923" s="564"/>
      <c r="AF923" s="564"/>
      <c r="AG923" s="564"/>
      <c r="AH923" s="564"/>
      <c r="AI923" s="564"/>
      <c r="AJ923" s="564"/>
      <c r="AK923" s="564"/>
      <c r="AL923" s="564"/>
      <c r="AM923" s="564"/>
      <c r="AN923" s="564"/>
      <c r="AO923" s="564"/>
    </row>
    <row r="924" spans="2:41" x14ac:dyDescent="0.15">
      <c r="B924" s="565">
        <v>-20</v>
      </c>
      <c r="C924" s="564"/>
      <c r="D924" s="564"/>
      <c r="E924" s="564"/>
      <c r="F924" s="564"/>
      <c r="G924" s="564"/>
      <c r="H924" s="564"/>
      <c r="I924" s="564"/>
      <c r="J924" s="564"/>
      <c r="K924" s="564"/>
      <c r="L924" s="564"/>
      <c r="M924" s="564"/>
      <c r="N924" s="564"/>
      <c r="O924" s="564"/>
      <c r="P924" s="564"/>
      <c r="Q924" s="564"/>
      <c r="R924" s="564"/>
      <c r="S924" s="564"/>
      <c r="T924" s="564"/>
      <c r="U924" s="564"/>
      <c r="V924" s="564"/>
      <c r="W924" s="564"/>
      <c r="X924" s="564"/>
      <c r="Y924" s="564"/>
      <c r="Z924" s="564"/>
      <c r="AA924" s="564"/>
      <c r="AB924" s="564"/>
      <c r="AC924" s="564"/>
      <c r="AD924" s="564"/>
      <c r="AE924" s="564"/>
      <c r="AF924" s="564"/>
      <c r="AG924" s="564"/>
      <c r="AH924" s="564"/>
      <c r="AI924" s="564"/>
      <c r="AJ924" s="564"/>
      <c r="AK924" s="564"/>
      <c r="AL924" s="564"/>
      <c r="AM924" s="564"/>
      <c r="AN924" s="564"/>
      <c r="AO924" s="564"/>
    </row>
    <row r="925" spans="2:41" x14ac:dyDescent="0.15">
      <c r="B925" s="565">
        <v>-19</v>
      </c>
      <c r="C925" s="564"/>
      <c r="D925" s="564"/>
      <c r="E925" s="564"/>
      <c r="F925" s="564"/>
      <c r="G925" s="564"/>
      <c r="H925" s="564"/>
      <c r="I925" s="564"/>
      <c r="J925" s="564"/>
      <c r="K925" s="564"/>
      <c r="L925" s="564"/>
      <c r="M925" s="564"/>
      <c r="N925" s="564"/>
      <c r="O925" s="564"/>
      <c r="P925" s="564"/>
      <c r="Q925" s="564"/>
      <c r="R925" s="564"/>
      <c r="S925" s="564"/>
      <c r="T925" s="564"/>
      <c r="U925" s="564"/>
      <c r="V925" s="564"/>
      <c r="W925" s="564"/>
      <c r="X925" s="564"/>
      <c r="Y925" s="564"/>
      <c r="Z925" s="564"/>
      <c r="AA925" s="564"/>
      <c r="AB925" s="564"/>
      <c r="AC925" s="564"/>
      <c r="AD925" s="564"/>
      <c r="AE925" s="564"/>
      <c r="AF925" s="564"/>
      <c r="AG925" s="564"/>
      <c r="AH925" s="564"/>
      <c r="AI925" s="564"/>
      <c r="AJ925" s="564"/>
      <c r="AK925" s="564"/>
      <c r="AL925" s="564"/>
      <c r="AM925" s="564"/>
      <c r="AN925" s="564"/>
      <c r="AO925" s="564"/>
    </row>
    <row r="926" spans="2:41" x14ac:dyDescent="0.15">
      <c r="B926" s="565">
        <v>-18</v>
      </c>
      <c r="C926" s="564"/>
      <c r="D926" s="564"/>
      <c r="E926" s="564"/>
      <c r="F926" s="564"/>
      <c r="G926" s="564"/>
      <c r="H926" s="564"/>
      <c r="I926" s="564"/>
      <c r="J926" s="564"/>
      <c r="K926" s="564"/>
      <c r="L926" s="564"/>
      <c r="M926" s="564"/>
      <c r="N926" s="564"/>
      <c r="O926" s="564"/>
      <c r="P926" s="564"/>
      <c r="Q926" s="564"/>
      <c r="R926" s="564"/>
      <c r="S926" s="564"/>
      <c r="T926" s="564"/>
      <c r="U926" s="564"/>
      <c r="V926" s="564"/>
      <c r="W926" s="564"/>
      <c r="X926" s="564"/>
      <c r="Y926" s="564"/>
      <c r="Z926" s="564"/>
      <c r="AA926" s="564"/>
      <c r="AB926" s="564"/>
      <c r="AC926" s="564"/>
      <c r="AD926" s="564"/>
      <c r="AE926" s="564"/>
      <c r="AF926" s="564"/>
      <c r="AG926" s="564"/>
      <c r="AH926" s="564"/>
      <c r="AI926" s="564"/>
      <c r="AJ926" s="564"/>
      <c r="AK926" s="564"/>
      <c r="AL926" s="564"/>
      <c r="AM926" s="564"/>
      <c r="AN926" s="564"/>
      <c r="AO926" s="564"/>
    </row>
    <row r="927" spans="2:41" x14ac:dyDescent="0.15">
      <c r="B927" s="565">
        <v>-17</v>
      </c>
      <c r="C927" s="564"/>
      <c r="D927" s="564"/>
      <c r="E927" s="564"/>
      <c r="F927" s="564"/>
      <c r="G927" s="564"/>
      <c r="H927" s="564"/>
      <c r="I927" s="564"/>
      <c r="J927" s="564"/>
      <c r="K927" s="564"/>
      <c r="L927" s="564"/>
      <c r="M927" s="564"/>
      <c r="N927" s="564"/>
      <c r="O927" s="564"/>
      <c r="P927" s="564"/>
      <c r="Q927" s="564"/>
      <c r="R927" s="564"/>
      <c r="S927" s="564"/>
      <c r="T927" s="564"/>
      <c r="U927" s="564"/>
      <c r="V927" s="564"/>
      <c r="W927" s="564"/>
      <c r="X927" s="564"/>
      <c r="Y927" s="564"/>
      <c r="Z927" s="564"/>
      <c r="AA927" s="564"/>
      <c r="AB927" s="564"/>
      <c r="AC927" s="564"/>
      <c r="AD927" s="564"/>
      <c r="AE927" s="564"/>
      <c r="AF927" s="564"/>
      <c r="AG927" s="564"/>
      <c r="AH927" s="564"/>
      <c r="AI927" s="564"/>
      <c r="AJ927" s="564"/>
      <c r="AK927" s="564"/>
      <c r="AL927" s="564"/>
      <c r="AM927" s="564"/>
      <c r="AN927" s="564"/>
      <c r="AO927" s="564"/>
    </row>
    <row r="928" spans="2:41" x14ac:dyDescent="0.15">
      <c r="B928" s="565">
        <v>-16</v>
      </c>
      <c r="C928" s="564"/>
      <c r="D928" s="564"/>
      <c r="E928" s="564"/>
      <c r="F928" s="564"/>
      <c r="G928" s="564"/>
      <c r="H928" s="564"/>
      <c r="I928" s="564"/>
      <c r="J928" s="564"/>
      <c r="K928" s="564"/>
      <c r="L928" s="564"/>
      <c r="M928" s="564"/>
      <c r="N928" s="564"/>
      <c r="O928" s="564"/>
      <c r="P928" s="564"/>
      <c r="Q928" s="564"/>
      <c r="R928" s="564"/>
      <c r="S928" s="564"/>
      <c r="T928" s="564"/>
      <c r="U928" s="564"/>
      <c r="V928" s="564"/>
      <c r="W928" s="564"/>
      <c r="X928" s="564"/>
      <c r="Y928" s="564"/>
      <c r="Z928" s="564"/>
      <c r="AA928" s="564"/>
      <c r="AB928" s="564"/>
      <c r="AC928" s="564"/>
      <c r="AD928" s="564"/>
      <c r="AE928" s="564"/>
      <c r="AF928" s="564"/>
      <c r="AG928" s="564"/>
      <c r="AH928" s="564"/>
      <c r="AI928" s="564"/>
      <c r="AJ928" s="564"/>
      <c r="AK928" s="564"/>
      <c r="AL928" s="564"/>
      <c r="AM928" s="564"/>
      <c r="AN928" s="564"/>
      <c r="AO928" s="564"/>
    </row>
    <row r="929" spans="2:41" x14ac:dyDescent="0.15">
      <c r="B929" s="565">
        <v>-15</v>
      </c>
      <c r="C929" s="564"/>
      <c r="D929" s="564"/>
      <c r="E929" s="564"/>
      <c r="F929" s="564"/>
      <c r="G929" s="564"/>
      <c r="H929" s="564"/>
      <c r="I929" s="564"/>
      <c r="J929" s="564"/>
      <c r="K929" s="564"/>
      <c r="L929" s="564"/>
      <c r="M929" s="564"/>
      <c r="N929" s="564"/>
      <c r="O929" s="564"/>
      <c r="P929" s="564"/>
      <c r="Q929" s="564"/>
      <c r="R929" s="564"/>
      <c r="S929" s="564"/>
      <c r="T929" s="564"/>
      <c r="U929" s="564"/>
      <c r="V929" s="564"/>
      <c r="W929" s="564"/>
      <c r="X929" s="564"/>
      <c r="Y929" s="564"/>
      <c r="Z929" s="564"/>
      <c r="AA929" s="564"/>
      <c r="AB929" s="564"/>
      <c r="AC929" s="564"/>
      <c r="AD929" s="564"/>
      <c r="AE929" s="564"/>
      <c r="AF929" s="564"/>
      <c r="AG929" s="564"/>
      <c r="AH929" s="564"/>
      <c r="AI929" s="564"/>
      <c r="AJ929" s="564"/>
      <c r="AK929" s="564"/>
      <c r="AL929" s="564"/>
      <c r="AM929" s="564"/>
      <c r="AN929" s="564"/>
      <c r="AO929" s="564"/>
    </row>
    <row r="930" spans="2:41" x14ac:dyDescent="0.15">
      <c r="B930" s="565">
        <v>-14</v>
      </c>
      <c r="C930" s="564"/>
      <c r="D930" s="564"/>
      <c r="E930" s="564"/>
      <c r="F930" s="564"/>
      <c r="G930" s="564"/>
      <c r="H930" s="564"/>
      <c r="I930" s="564"/>
      <c r="J930" s="564"/>
      <c r="K930" s="564"/>
      <c r="L930" s="564"/>
      <c r="M930" s="564"/>
      <c r="N930" s="564"/>
      <c r="O930" s="564"/>
      <c r="P930" s="564"/>
      <c r="Q930" s="564"/>
      <c r="R930" s="564"/>
      <c r="S930" s="564"/>
      <c r="T930" s="564"/>
      <c r="U930" s="564"/>
      <c r="V930" s="564"/>
      <c r="W930" s="564"/>
      <c r="X930" s="564"/>
      <c r="Y930" s="564"/>
      <c r="Z930" s="564"/>
      <c r="AA930" s="564"/>
      <c r="AB930" s="564"/>
      <c r="AC930" s="564"/>
      <c r="AD930" s="564"/>
      <c r="AE930" s="564"/>
      <c r="AF930" s="564"/>
      <c r="AG930" s="564"/>
      <c r="AH930" s="564"/>
      <c r="AI930" s="564"/>
      <c r="AJ930" s="564"/>
      <c r="AK930" s="564"/>
      <c r="AL930" s="564"/>
      <c r="AM930" s="564"/>
      <c r="AN930" s="564"/>
      <c r="AO930" s="564"/>
    </row>
    <row r="931" spans="2:41" x14ac:dyDescent="0.15">
      <c r="B931" s="565">
        <v>-13</v>
      </c>
      <c r="C931" s="564"/>
      <c r="D931" s="564"/>
      <c r="E931" s="564"/>
      <c r="F931" s="564"/>
      <c r="G931" s="564"/>
      <c r="H931" s="564"/>
      <c r="I931" s="564"/>
      <c r="J931" s="564"/>
      <c r="K931" s="564"/>
      <c r="L931" s="564"/>
      <c r="M931" s="564"/>
      <c r="N931" s="564"/>
      <c r="O931" s="564"/>
      <c r="P931" s="564"/>
      <c r="Q931" s="564"/>
      <c r="R931" s="564"/>
      <c r="S931" s="564"/>
      <c r="T931" s="564"/>
      <c r="U931" s="564"/>
      <c r="V931" s="564"/>
      <c r="W931" s="564"/>
      <c r="X931" s="564"/>
      <c r="Y931" s="564"/>
      <c r="Z931" s="564"/>
      <c r="AA931" s="564"/>
      <c r="AB931" s="564"/>
      <c r="AC931" s="564"/>
      <c r="AD931" s="564"/>
      <c r="AE931" s="564"/>
      <c r="AF931" s="564"/>
      <c r="AG931" s="564"/>
      <c r="AH931" s="564"/>
      <c r="AI931" s="564"/>
      <c r="AJ931" s="564"/>
      <c r="AK931" s="564"/>
      <c r="AL931" s="564"/>
      <c r="AM931" s="564"/>
      <c r="AN931" s="564"/>
      <c r="AO931" s="564"/>
    </row>
    <row r="932" spans="2:41" x14ac:dyDescent="0.15">
      <c r="B932" s="565">
        <v>-12</v>
      </c>
      <c r="C932" s="564"/>
      <c r="D932" s="564"/>
      <c r="E932" s="564"/>
      <c r="F932" s="564"/>
      <c r="G932" s="564"/>
      <c r="H932" s="564"/>
      <c r="I932" s="564"/>
      <c r="J932" s="564"/>
      <c r="K932" s="564"/>
      <c r="L932" s="564"/>
      <c r="M932" s="564"/>
      <c r="N932" s="564"/>
      <c r="O932" s="564"/>
      <c r="P932" s="564"/>
      <c r="Q932" s="564"/>
      <c r="R932" s="564"/>
      <c r="S932" s="564"/>
      <c r="T932" s="564"/>
      <c r="U932" s="564"/>
      <c r="V932" s="564"/>
      <c r="W932" s="564"/>
      <c r="X932" s="564"/>
      <c r="Y932" s="564"/>
      <c r="Z932" s="564"/>
      <c r="AA932" s="564"/>
      <c r="AB932" s="564"/>
      <c r="AC932" s="564"/>
      <c r="AD932" s="564"/>
      <c r="AE932" s="564"/>
      <c r="AF932" s="564"/>
      <c r="AG932" s="564"/>
      <c r="AH932" s="564"/>
      <c r="AI932" s="564"/>
      <c r="AJ932" s="564"/>
      <c r="AK932" s="564"/>
      <c r="AL932" s="564"/>
      <c r="AM932" s="564"/>
      <c r="AN932" s="564"/>
      <c r="AO932" s="564"/>
    </row>
    <row r="933" spans="2:41" x14ac:dyDescent="0.15">
      <c r="B933" s="565">
        <v>-11</v>
      </c>
      <c r="C933" s="564"/>
      <c r="D933" s="564"/>
      <c r="E933" s="564"/>
      <c r="F933" s="564"/>
      <c r="G933" s="564"/>
      <c r="H933" s="564"/>
      <c r="I933" s="564"/>
      <c r="J933" s="564"/>
      <c r="K933" s="564"/>
      <c r="L933" s="564"/>
      <c r="M933" s="564"/>
      <c r="N933" s="564"/>
      <c r="O933" s="564"/>
      <c r="P933" s="564"/>
      <c r="Q933" s="564"/>
      <c r="R933" s="564"/>
      <c r="S933" s="564"/>
      <c r="T933" s="564"/>
      <c r="U933" s="564"/>
      <c r="V933" s="564"/>
      <c r="W933" s="564"/>
      <c r="X933" s="564"/>
      <c r="Y933" s="564"/>
      <c r="Z933" s="564"/>
      <c r="AA933" s="564"/>
      <c r="AB933" s="564"/>
      <c r="AC933" s="564"/>
      <c r="AD933" s="564"/>
      <c r="AE933" s="564"/>
      <c r="AF933" s="564"/>
      <c r="AG933" s="564"/>
      <c r="AH933" s="564"/>
      <c r="AI933" s="564"/>
      <c r="AJ933" s="564"/>
      <c r="AK933" s="564"/>
      <c r="AL933" s="564"/>
      <c r="AM933" s="564"/>
      <c r="AN933" s="564"/>
      <c r="AO933" s="564"/>
    </row>
    <row r="934" spans="2:41" x14ac:dyDescent="0.15">
      <c r="B934" s="565">
        <v>-10</v>
      </c>
      <c r="C934" s="564"/>
      <c r="D934" s="564"/>
      <c r="E934" s="564"/>
      <c r="F934" s="564"/>
      <c r="G934" s="564"/>
      <c r="H934" s="564"/>
      <c r="I934" s="564"/>
      <c r="J934" s="564"/>
      <c r="K934" s="564"/>
      <c r="L934" s="564"/>
      <c r="M934" s="564"/>
      <c r="N934" s="564"/>
      <c r="O934" s="564"/>
      <c r="P934" s="564"/>
      <c r="Q934" s="564"/>
      <c r="R934" s="564"/>
      <c r="S934" s="564"/>
      <c r="T934" s="564"/>
      <c r="U934" s="564"/>
      <c r="V934" s="564"/>
      <c r="W934" s="564"/>
      <c r="X934" s="564"/>
      <c r="Y934" s="564"/>
      <c r="Z934" s="564"/>
      <c r="AA934" s="564"/>
      <c r="AB934" s="564"/>
      <c r="AC934" s="564"/>
      <c r="AD934" s="564"/>
      <c r="AE934" s="564"/>
      <c r="AF934" s="564"/>
      <c r="AG934" s="564"/>
      <c r="AH934" s="564"/>
      <c r="AI934" s="564"/>
      <c r="AJ934" s="564"/>
      <c r="AK934" s="564"/>
      <c r="AL934" s="564"/>
      <c r="AM934" s="564"/>
      <c r="AN934" s="564"/>
      <c r="AO934" s="564"/>
    </row>
    <row r="935" spans="2:41" x14ac:dyDescent="0.15">
      <c r="B935" s="565">
        <v>-9</v>
      </c>
      <c r="C935" s="564"/>
      <c r="D935" s="564"/>
      <c r="E935" s="564"/>
      <c r="F935" s="564"/>
      <c r="G935" s="564"/>
      <c r="H935" s="564"/>
      <c r="I935" s="564"/>
      <c r="J935" s="564"/>
      <c r="K935" s="564"/>
      <c r="L935" s="564"/>
      <c r="M935" s="564"/>
      <c r="N935" s="564"/>
      <c r="O935" s="564"/>
      <c r="P935" s="564"/>
      <c r="Q935" s="564"/>
      <c r="R935" s="564"/>
      <c r="S935" s="564"/>
      <c r="T935" s="564"/>
      <c r="U935" s="564"/>
      <c r="V935" s="564"/>
      <c r="W935" s="564"/>
      <c r="X935" s="564"/>
      <c r="Y935" s="564"/>
      <c r="Z935" s="564"/>
      <c r="AA935" s="564"/>
      <c r="AB935" s="564"/>
      <c r="AC935" s="564"/>
      <c r="AD935" s="564"/>
      <c r="AE935" s="564"/>
      <c r="AF935" s="564"/>
      <c r="AG935" s="564"/>
      <c r="AH935" s="564"/>
      <c r="AI935" s="564"/>
      <c r="AJ935" s="564"/>
      <c r="AK935" s="564"/>
      <c r="AL935" s="564"/>
      <c r="AM935" s="564"/>
      <c r="AN935" s="564"/>
      <c r="AO935" s="564"/>
    </row>
    <row r="936" spans="2:41" x14ac:dyDescent="0.15">
      <c r="B936" s="565">
        <v>-8</v>
      </c>
      <c r="C936" s="564"/>
      <c r="D936" s="564"/>
      <c r="E936" s="564"/>
      <c r="F936" s="564"/>
      <c r="G936" s="564"/>
      <c r="H936" s="564"/>
      <c r="I936" s="564"/>
      <c r="J936" s="564"/>
      <c r="K936" s="564"/>
      <c r="L936" s="564"/>
      <c r="M936" s="564"/>
      <c r="N936" s="564"/>
      <c r="O936" s="564"/>
      <c r="P936" s="564"/>
      <c r="Q936" s="564"/>
      <c r="R936" s="564"/>
      <c r="S936" s="564"/>
      <c r="T936" s="564"/>
      <c r="U936" s="564"/>
      <c r="V936" s="564"/>
      <c r="W936" s="564"/>
      <c r="X936" s="564"/>
      <c r="Y936" s="564"/>
      <c r="Z936" s="564"/>
      <c r="AA936" s="564"/>
      <c r="AB936" s="564"/>
      <c r="AC936" s="564"/>
      <c r="AD936" s="564"/>
      <c r="AE936" s="564"/>
      <c r="AF936" s="564"/>
      <c r="AG936" s="564"/>
      <c r="AH936" s="564"/>
      <c r="AI936" s="564"/>
      <c r="AJ936" s="564"/>
      <c r="AK936" s="564"/>
      <c r="AL936" s="564"/>
      <c r="AM936" s="564"/>
      <c r="AN936" s="564"/>
      <c r="AO936" s="564"/>
    </row>
    <row r="937" spans="2:41" x14ac:dyDescent="0.15">
      <c r="B937" s="565">
        <v>-7</v>
      </c>
      <c r="C937" s="564"/>
      <c r="D937" s="564"/>
      <c r="E937" s="564"/>
      <c r="F937" s="564"/>
      <c r="G937" s="564"/>
      <c r="H937" s="564"/>
      <c r="I937" s="564"/>
      <c r="J937" s="564"/>
      <c r="K937" s="564"/>
      <c r="L937" s="564"/>
      <c r="M937" s="564"/>
      <c r="N937" s="564"/>
      <c r="O937" s="564"/>
      <c r="P937" s="564"/>
      <c r="Q937" s="564"/>
      <c r="R937" s="564"/>
      <c r="S937" s="564"/>
      <c r="T937" s="564"/>
      <c r="U937" s="564"/>
      <c r="V937" s="564"/>
      <c r="W937" s="564"/>
      <c r="X937" s="564"/>
      <c r="Y937" s="564"/>
      <c r="Z937" s="564"/>
      <c r="AA937" s="564"/>
      <c r="AB937" s="564"/>
      <c r="AC937" s="564"/>
      <c r="AD937" s="564"/>
      <c r="AE937" s="564"/>
      <c r="AF937" s="564"/>
      <c r="AG937" s="564"/>
      <c r="AH937" s="564"/>
      <c r="AI937" s="564"/>
      <c r="AJ937" s="564"/>
      <c r="AK937" s="564"/>
      <c r="AL937" s="564"/>
      <c r="AM937" s="564"/>
      <c r="AN937" s="564"/>
      <c r="AO937" s="564"/>
    </row>
    <row r="938" spans="2:41" x14ac:dyDescent="0.15">
      <c r="B938" s="565">
        <v>-6</v>
      </c>
      <c r="C938" s="564"/>
      <c r="D938" s="564"/>
      <c r="E938" s="564"/>
      <c r="F938" s="564"/>
      <c r="G938" s="564"/>
      <c r="H938" s="564"/>
      <c r="I938" s="564"/>
      <c r="J938" s="564"/>
      <c r="K938" s="564"/>
      <c r="L938" s="564"/>
      <c r="M938" s="564"/>
      <c r="N938" s="564"/>
      <c r="O938" s="564"/>
      <c r="P938" s="564"/>
      <c r="Q938" s="564"/>
      <c r="R938" s="564"/>
      <c r="S938" s="564"/>
      <c r="T938" s="564"/>
      <c r="U938" s="564"/>
      <c r="V938" s="564"/>
      <c r="W938" s="564"/>
      <c r="X938" s="564"/>
      <c r="Y938" s="564"/>
      <c r="Z938" s="564"/>
      <c r="AA938" s="564"/>
      <c r="AB938" s="564"/>
      <c r="AC938" s="564"/>
      <c r="AD938" s="564"/>
      <c r="AE938" s="564"/>
      <c r="AF938" s="564"/>
      <c r="AG938" s="564"/>
      <c r="AH938" s="564"/>
      <c r="AI938" s="564"/>
      <c r="AJ938" s="564"/>
      <c r="AK938" s="564"/>
      <c r="AL938" s="564"/>
      <c r="AM938" s="564"/>
      <c r="AN938" s="564"/>
      <c r="AO938" s="564"/>
    </row>
    <row r="939" spans="2:41" x14ac:dyDescent="0.15">
      <c r="B939" s="565">
        <v>-5</v>
      </c>
      <c r="C939" s="564"/>
      <c r="D939" s="564"/>
      <c r="E939" s="564"/>
      <c r="F939" s="564"/>
      <c r="G939" s="564"/>
      <c r="H939" s="564"/>
      <c r="I939" s="564"/>
      <c r="J939" s="564"/>
      <c r="K939" s="564"/>
      <c r="L939" s="564"/>
      <c r="M939" s="564"/>
      <c r="N939" s="564"/>
      <c r="O939" s="564"/>
      <c r="P939" s="564"/>
      <c r="Q939" s="564"/>
      <c r="R939" s="564"/>
      <c r="S939" s="564"/>
      <c r="T939" s="564"/>
      <c r="U939" s="564"/>
      <c r="V939" s="564"/>
      <c r="W939" s="564"/>
      <c r="X939" s="564"/>
      <c r="Y939" s="564"/>
      <c r="Z939" s="564"/>
      <c r="AA939" s="564"/>
      <c r="AB939" s="564"/>
      <c r="AC939" s="564"/>
      <c r="AD939" s="564"/>
      <c r="AE939" s="564"/>
      <c r="AF939" s="564"/>
      <c r="AG939" s="564"/>
      <c r="AH939" s="564"/>
      <c r="AI939" s="564"/>
      <c r="AJ939" s="564"/>
      <c r="AK939" s="564"/>
      <c r="AL939" s="564"/>
      <c r="AM939" s="564"/>
      <c r="AN939" s="564"/>
      <c r="AO939" s="564"/>
    </row>
    <row r="940" spans="2:41" x14ac:dyDescent="0.15">
      <c r="B940" s="565">
        <v>-4</v>
      </c>
      <c r="C940" s="564"/>
      <c r="D940" s="564"/>
      <c r="E940" s="564"/>
      <c r="F940" s="564"/>
      <c r="G940" s="564"/>
      <c r="H940" s="564"/>
      <c r="I940" s="564"/>
      <c r="J940" s="564"/>
      <c r="K940" s="564"/>
      <c r="L940" s="564"/>
      <c r="M940" s="564"/>
      <c r="N940" s="564"/>
      <c r="O940" s="564"/>
      <c r="P940" s="564"/>
      <c r="Q940" s="564"/>
      <c r="R940" s="564"/>
      <c r="S940" s="564"/>
      <c r="T940" s="564"/>
      <c r="U940" s="564"/>
      <c r="V940" s="564"/>
      <c r="W940" s="564"/>
      <c r="X940" s="564"/>
      <c r="Y940" s="564"/>
      <c r="Z940" s="564"/>
      <c r="AA940" s="564"/>
      <c r="AB940" s="564"/>
      <c r="AC940" s="564"/>
      <c r="AD940" s="564"/>
      <c r="AE940" s="564"/>
      <c r="AF940" s="564"/>
      <c r="AG940" s="564"/>
      <c r="AH940" s="564"/>
      <c r="AI940" s="564"/>
      <c r="AJ940" s="564"/>
      <c r="AK940" s="564"/>
      <c r="AL940" s="564"/>
      <c r="AM940" s="564"/>
      <c r="AN940" s="564"/>
      <c r="AO940" s="564"/>
    </row>
    <row r="941" spans="2:41" x14ac:dyDescent="0.15">
      <c r="B941" s="565">
        <v>-3</v>
      </c>
      <c r="C941" s="564"/>
      <c r="D941" s="564"/>
      <c r="E941" s="564"/>
      <c r="F941" s="564"/>
      <c r="G941" s="564"/>
      <c r="H941" s="564"/>
      <c r="I941" s="564"/>
      <c r="J941" s="564"/>
      <c r="K941" s="564"/>
      <c r="L941" s="564"/>
      <c r="M941" s="564"/>
      <c r="N941" s="564"/>
      <c r="O941" s="564"/>
      <c r="P941" s="564"/>
      <c r="Q941" s="564"/>
      <c r="R941" s="564"/>
      <c r="S941" s="564"/>
      <c r="T941" s="564"/>
      <c r="U941" s="564"/>
      <c r="V941" s="564"/>
      <c r="W941" s="564"/>
      <c r="X941" s="564"/>
      <c r="Y941" s="564"/>
      <c r="Z941" s="564"/>
      <c r="AA941" s="564"/>
      <c r="AB941" s="564"/>
      <c r="AC941" s="564"/>
      <c r="AD941" s="564"/>
      <c r="AE941" s="564"/>
      <c r="AF941" s="564"/>
      <c r="AG941" s="564"/>
      <c r="AH941" s="564"/>
      <c r="AI941" s="564"/>
      <c r="AJ941" s="564"/>
      <c r="AK941" s="564"/>
      <c r="AL941" s="564"/>
      <c r="AM941" s="564"/>
      <c r="AN941" s="564"/>
      <c r="AO941" s="564"/>
    </row>
    <row r="942" spans="2:41" x14ac:dyDescent="0.15">
      <c r="B942" s="565">
        <v>-2</v>
      </c>
      <c r="C942" s="564"/>
      <c r="D942" s="564"/>
      <c r="E942" s="564"/>
      <c r="F942" s="564"/>
      <c r="G942" s="564"/>
      <c r="H942" s="564"/>
      <c r="I942" s="564"/>
      <c r="J942" s="564"/>
      <c r="K942" s="564"/>
      <c r="L942" s="564"/>
      <c r="M942" s="564"/>
      <c r="N942" s="564"/>
      <c r="O942" s="564"/>
      <c r="P942" s="564"/>
      <c r="Q942" s="564"/>
      <c r="R942" s="564"/>
      <c r="S942" s="564"/>
      <c r="T942" s="564"/>
      <c r="U942" s="564"/>
      <c r="V942" s="564"/>
      <c r="W942" s="564"/>
      <c r="X942" s="564"/>
      <c r="Y942" s="564"/>
      <c r="Z942" s="564"/>
      <c r="AA942" s="564"/>
      <c r="AB942" s="564"/>
      <c r="AC942" s="564"/>
      <c r="AD942" s="564"/>
      <c r="AE942" s="564"/>
      <c r="AF942" s="564"/>
      <c r="AG942" s="564"/>
      <c r="AH942" s="564"/>
      <c r="AI942" s="564"/>
      <c r="AJ942" s="564"/>
      <c r="AK942" s="564"/>
      <c r="AL942" s="564"/>
      <c r="AM942" s="564"/>
      <c r="AN942" s="564"/>
      <c r="AO942" s="564"/>
    </row>
    <row r="943" spans="2:41" x14ac:dyDescent="0.15">
      <c r="B943" s="565">
        <v>-1</v>
      </c>
      <c r="C943" s="564"/>
      <c r="D943" s="564"/>
      <c r="E943" s="564"/>
      <c r="F943" s="564"/>
      <c r="G943" s="564"/>
      <c r="H943" s="564"/>
      <c r="I943" s="564"/>
      <c r="J943" s="564"/>
      <c r="K943" s="564"/>
      <c r="L943" s="564"/>
      <c r="M943" s="564"/>
      <c r="N943" s="564"/>
      <c r="O943" s="564"/>
      <c r="P943" s="564"/>
      <c r="Q943" s="564"/>
      <c r="R943" s="564"/>
      <c r="S943" s="564"/>
      <c r="T943" s="564"/>
      <c r="U943" s="564"/>
      <c r="V943" s="564"/>
      <c r="W943" s="564"/>
      <c r="X943" s="564"/>
      <c r="Y943" s="564"/>
      <c r="Z943" s="564"/>
      <c r="AA943" s="564"/>
      <c r="AB943" s="564"/>
      <c r="AC943" s="564"/>
      <c r="AD943" s="564"/>
      <c r="AE943" s="564"/>
      <c r="AF943" s="564"/>
      <c r="AG943" s="564"/>
      <c r="AH943" s="564"/>
      <c r="AI943" s="564"/>
      <c r="AJ943" s="564"/>
      <c r="AK943" s="564"/>
      <c r="AL943" s="564"/>
      <c r="AM943" s="564"/>
      <c r="AN943" s="564"/>
      <c r="AO943" s="564"/>
    </row>
    <row r="944" spans="2:41" x14ac:dyDescent="0.15">
      <c r="B944" s="565">
        <v>0</v>
      </c>
      <c r="C944" s="564"/>
      <c r="D944" s="564"/>
      <c r="E944" s="564"/>
      <c r="F944" s="564"/>
      <c r="G944" s="564"/>
      <c r="H944" s="564"/>
      <c r="I944" s="564"/>
      <c r="J944" s="564"/>
      <c r="K944" s="564"/>
      <c r="L944" s="564"/>
      <c r="M944" s="564"/>
      <c r="N944" s="564"/>
      <c r="O944" s="564"/>
      <c r="P944" s="564"/>
      <c r="Q944" s="564"/>
      <c r="R944" s="564"/>
      <c r="S944" s="564"/>
      <c r="T944" s="564"/>
      <c r="U944" s="564"/>
      <c r="V944" s="564"/>
      <c r="W944" s="564"/>
      <c r="X944" s="564"/>
      <c r="Y944" s="564"/>
      <c r="Z944" s="564"/>
      <c r="AA944" s="564"/>
      <c r="AB944" s="564"/>
      <c r="AC944" s="564"/>
      <c r="AD944" s="564"/>
      <c r="AE944" s="564"/>
      <c r="AF944" s="564"/>
      <c r="AG944" s="564"/>
      <c r="AH944" s="564"/>
      <c r="AI944" s="564"/>
      <c r="AJ944" s="564"/>
      <c r="AK944" s="564"/>
      <c r="AL944" s="564"/>
      <c r="AM944" s="564"/>
      <c r="AN944" s="564"/>
      <c r="AO944" s="564"/>
    </row>
    <row r="945" spans="2:41" x14ac:dyDescent="0.15">
      <c r="B945" s="565">
        <v>1</v>
      </c>
      <c r="C945" s="564"/>
      <c r="D945" s="564"/>
      <c r="E945" s="564"/>
      <c r="F945" s="564"/>
      <c r="G945" s="564"/>
      <c r="H945" s="564"/>
      <c r="I945" s="564"/>
      <c r="J945" s="564"/>
      <c r="K945" s="564"/>
      <c r="L945" s="564"/>
      <c r="M945" s="564"/>
      <c r="N945" s="564"/>
      <c r="O945" s="564"/>
      <c r="P945" s="564"/>
      <c r="Q945" s="564"/>
      <c r="R945" s="564"/>
      <c r="S945" s="564"/>
      <c r="T945" s="564"/>
      <c r="U945" s="564"/>
      <c r="V945" s="564"/>
      <c r="W945" s="564"/>
      <c r="X945" s="564"/>
      <c r="Y945" s="564"/>
      <c r="Z945" s="564"/>
      <c r="AA945" s="564"/>
      <c r="AB945" s="564"/>
      <c r="AC945" s="564"/>
      <c r="AD945" s="564"/>
      <c r="AE945" s="564"/>
      <c r="AF945" s="564"/>
      <c r="AG945" s="564"/>
      <c r="AH945" s="564"/>
      <c r="AI945" s="564"/>
      <c r="AJ945" s="564"/>
      <c r="AK945" s="564"/>
      <c r="AL945" s="564"/>
      <c r="AM945" s="564"/>
      <c r="AN945" s="564"/>
      <c r="AO945" s="564"/>
    </row>
    <row r="946" spans="2:41" x14ac:dyDescent="0.15">
      <c r="B946" s="565">
        <v>2</v>
      </c>
      <c r="C946" s="564"/>
      <c r="D946" s="564"/>
      <c r="E946" s="564"/>
      <c r="F946" s="564"/>
      <c r="G946" s="564"/>
      <c r="H946" s="564"/>
      <c r="I946" s="564"/>
      <c r="J946" s="564"/>
      <c r="K946" s="564"/>
      <c r="L946" s="564"/>
      <c r="M946" s="564"/>
      <c r="N946" s="564"/>
      <c r="O946" s="564"/>
      <c r="P946" s="564"/>
      <c r="Q946" s="564"/>
      <c r="R946" s="564"/>
      <c r="S946" s="564"/>
      <c r="T946" s="564"/>
      <c r="U946" s="564"/>
      <c r="V946" s="564"/>
      <c r="W946" s="564"/>
      <c r="X946" s="564"/>
      <c r="Y946" s="564"/>
      <c r="Z946" s="564"/>
      <c r="AA946" s="564"/>
      <c r="AB946" s="564"/>
      <c r="AC946" s="564"/>
      <c r="AD946" s="564"/>
      <c r="AE946" s="564"/>
      <c r="AF946" s="564"/>
      <c r="AG946" s="564"/>
      <c r="AH946" s="564"/>
      <c r="AI946" s="564"/>
      <c r="AJ946" s="564"/>
      <c r="AK946" s="564"/>
      <c r="AL946" s="564"/>
      <c r="AM946" s="564"/>
      <c r="AN946" s="564"/>
      <c r="AO946" s="564"/>
    </row>
    <row r="947" spans="2:41" x14ac:dyDescent="0.15">
      <c r="B947" s="565">
        <v>3</v>
      </c>
      <c r="C947" s="564"/>
      <c r="D947" s="564"/>
      <c r="E947" s="564"/>
      <c r="F947" s="564"/>
      <c r="G947" s="564"/>
      <c r="H947" s="564"/>
      <c r="I947" s="564"/>
      <c r="J947" s="564"/>
      <c r="K947" s="564"/>
      <c r="L947" s="564"/>
      <c r="M947" s="564"/>
      <c r="N947" s="564"/>
      <c r="O947" s="564"/>
      <c r="P947" s="564"/>
      <c r="Q947" s="564"/>
      <c r="R947" s="564"/>
      <c r="S947" s="564"/>
      <c r="T947" s="564"/>
      <c r="U947" s="564"/>
      <c r="V947" s="564"/>
      <c r="W947" s="564"/>
      <c r="X947" s="564"/>
      <c r="Y947" s="564"/>
      <c r="Z947" s="564"/>
      <c r="AA947" s="564"/>
      <c r="AB947" s="564"/>
      <c r="AC947" s="564"/>
      <c r="AD947" s="564"/>
      <c r="AE947" s="564"/>
      <c r="AF947" s="564"/>
      <c r="AG947" s="564"/>
      <c r="AH947" s="564"/>
      <c r="AI947" s="564"/>
      <c r="AJ947" s="564"/>
      <c r="AK947" s="564"/>
      <c r="AL947" s="564"/>
      <c r="AM947" s="564"/>
      <c r="AN947" s="564"/>
      <c r="AO947" s="564"/>
    </row>
    <row r="948" spans="2:41" x14ac:dyDescent="0.15">
      <c r="B948" s="565">
        <v>4</v>
      </c>
      <c r="C948" s="564"/>
      <c r="D948" s="564"/>
      <c r="E948" s="564"/>
      <c r="F948" s="564"/>
      <c r="G948" s="564"/>
      <c r="H948" s="564"/>
      <c r="I948" s="564"/>
      <c r="J948" s="564"/>
      <c r="K948" s="564"/>
      <c r="L948" s="564"/>
      <c r="M948" s="564"/>
      <c r="N948" s="564"/>
      <c r="O948" s="564"/>
      <c r="P948" s="564"/>
      <c r="Q948" s="564"/>
      <c r="R948" s="564"/>
      <c r="S948" s="564"/>
      <c r="T948" s="564"/>
      <c r="U948" s="564"/>
      <c r="V948" s="564"/>
      <c r="W948" s="564"/>
      <c r="X948" s="564"/>
      <c r="Y948" s="564"/>
      <c r="Z948" s="564"/>
      <c r="AA948" s="564"/>
      <c r="AB948" s="564"/>
      <c r="AC948" s="564"/>
      <c r="AD948" s="564"/>
      <c r="AE948" s="564"/>
      <c r="AF948" s="564"/>
      <c r="AG948" s="564"/>
      <c r="AH948" s="564"/>
      <c r="AI948" s="564"/>
      <c r="AJ948" s="564"/>
      <c r="AK948" s="564"/>
      <c r="AL948" s="564"/>
      <c r="AM948" s="564"/>
      <c r="AN948" s="564"/>
      <c r="AO948" s="564"/>
    </row>
    <row r="949" spans="2:41" x14ac:dyDescent="0.15">
      <c r="B949" s="565">
        <v>5</v>
      </c>
      <c r="C949" s="564"/>
      <c r="D949" s="564"/>
      <c r="E949" s="564"/>
      <c r="F949" s="564"/>
      <c r="G949" s="564"/>
      <c r="H949" s="564"/>
      <c r="I949" s="564"/>
      <c r="J949" s="564"/>
      <c r="K949" s="564"/>
      <c r="L949" s="564"/>
      <c r="M949" s="564"/>
      <c r="N949" s="564"/>
      <c r="O949" s="564"/>
      <c r="P949" s="564"/>
      <c r="Q949" s="564"/>
      <c r="R949" s="564"/>
      <c r="S949" s="564"/>
      <c r="T949" s="564"/>
      <c r="U949" s="564"/>
      <c r="V949" s="564"/>
      <c r="W949" s="564"/>
      <c r="X949" s="564"/>
      <c r="Y949" s="564"/>
      <c r="Z949" s="564"/>
      <c r="AA949" s="564"/>
      <c r="AB949" s="564"/>
      <c r="AC949" s="564"/>
      <c r="AD949" s="564"/>
      <c r="AE949" s="564"/>
      <c r="AF949" s="564"/>
      <c r="AG949" s="564"/>
      <c r="AH949" s="564"/>
      <c r="AI949" s="564"/>
      <c r="AJ949" s="564"/>
      <c r="AK949" s="564"/>
      <c r="AL949" s="564"/>
      <c r="AM949" s="564"/>
      <c r="AN949" s="564"/>
      <c r="AO949" s="564"/>
    </row>
    <row r="950" spans="2:41" x14ac:dyDescent="0.15">
      <c r="B950" s="565">
        <v>6</v>
      </c>
      <c r="C950" s="564"/>
      <c r="D950" s="564"/>
      <c r="E950" s="564"/>
      <c r="F950" s="564"/>
      <c r="G950" s="564"/>
      <c r="H950" s="564"/>
      <c r="I950" s="564"/>
      <c r="J950" s="564"/>
      <c r="K950" s="564"/>
      <c r="L950" s="564"/>
      <c r="M950" s="564"/>
      <c r="N950" s="564"/>
      <c r="O950" s="564"/>
      <c r="P950" s="564"/>
      <c r="Q950" s="564"/>
      <c r="R950" s="564"/>
      <c r="S950" s="564"/>
      <c r="T950" s="564"/>
      <c r="U950" s="564"/>
      <c r="V950" s="564"/>
      <c r="W950" s="564"/>
      <c r="X950" s="564"/>
      <c r="Y950" s="564"/>
      <c r="Z950" s="564"/>
      <c r="AA950" s="564"/>
      <c r="AB950" s="564"/>
      <c r="AC950" s="564"/>
      <c r="AD950" s="564"/>
      <c r="AE950" s="564"/>
      <c r="AF950" s="564"/>
      <c r="AG950" s="564"/>
      <c r="AH950" s="564"/>
      <c r="AI950" s="564"/>
      <c r="AJ950" s="564"/>
      <c r="AK950" s="564"/>
      <c r="AL950" s="564"/>
      <c r="AM950" s="564"/>
      <c r="AN950" s="564"/>
      <c r="AO950" s="564"/>
    </row>
    <row r="951" spans="2:41" x14ac:dyDescent="0.15">
      <c r="B951" s="565">
        <v>7</v>
      </c>
      <c r="C951" s="564"/>
      <c r="D951" s="564"/>
      <c r="E951" s="564"/>
      <c r="F951" s="564"/>
      <c r="G951" s="564"/>
      <c r="H951" s="564"/>
      <c r="I951" s="564"/>
      <c r="J951" s="564"/>
      <c r="K951" s="564"/>
      <c r="L951" s="564"/>
      <c r="M951" s="564"/>
      <c r="N951" s="564"/>
      <c r="O951" s="564"/>
      <c r="P951" s="564"/>
      <c r="Q951" s="564"/>
      <c r="R951" s="564"/>
      <c r="S951" s="564"/>
      <c r="T951" s="564"/>
      <c r="U951" s="564"/>
      <c r="V951" s="564"/>
      <c r="W951" s="564"/>
      <c r="X951" s="564"/>
      <c r="Y951" s="564"/>
      <c r="Z951" s="564"/>
      <c r="AA951" s="564"/>
      <c r="AB951" s="564"/>
      <c r="AC951" s="564"/>
      <c r="AD951" s="564"/>
      <c r="AE951" s="564"/>
      <c r="AF951" s="564"/>
      <c r="AG951" s="564"/>
      <c r="AH951" s="564"/>
      <c r="AI951" s="564"/>
      <c r="AJ951" s="564"/>
      <c r="AK951" s="564"/>
      <c r="AL951" s="564"/>
      <c r="AM951" s="564"/>
      <c r="AN951" s="564"/>
      <c r="AO951" s="564"/>
    </row>
    <row r="952" spans="2:41" x14ac:dyDescent="0.15">
      <c r="B952" s="565">
        <v>8</v>
      </c>
      <c r="C952" s="564"/>
      <c r="D952" s="564"/>
      <c r="E952" s="564"/>
      <c r="F952" s="564"/>
      <c r="G952" s="564"/>
      <c r="H952" s="564"/>
      <c r="I952" s="564"/>
      <c r="J952" s="564"/>
      <c r="K952" s="564"/>
      <c r="L952" s="564"/>
      <c r="M952" s="564"/>
      <c r="N952" s="564"/>
      <c r="O952" s="564"/>
      <c r="P952" s="564"/>
      <c r="Q952" s="564"/>
      <c r="R952" s="564"/>
      <c r="S952" s="564"/>
      <c r="T952" s="564"/>
      <c r="U952" s="564"/>
      <c r="V952" s="564"/>
      <c r="W952" s="564"/>
      <c r="X952" s="564"/>
      <c r="Y952" s="564"/>
      <c r="Z952" s="564"/>
      <c r="AA952" s="564"/>
      <c r="AB952" s="564"/>
      <c r="AC952" s="564"/>
      <c r="AD952" s="564"/>
      <c r="AE952" s="564"/>
      <c r="AF952" s="564"/>
      <c r="AG952" s="564"/>
      <c r="AH952" s="564"/>
      <c r="AI952" s="564"/>
      <c r="AJ952" s="564"/>
      <c r="AK952" s="564"/>
      <c r="AL952" s="564"/>
      <c r="AM952" s="564"/>
      <c r="AN952" s="564"/>
      <c r="AO952" s="564"/>
    </row>
    <row r="953" spans="2:41" x14ac:dyDescent="0.15">
      <c r="B953" s="565">
        <v>9</v>
      </c>
      <c r="C953" s="564"/>
      <c r="D953" s="564"/>
      <c r="E953" s="564"/>
      <c r="F953" s="564"/>
      <c r="G953" s="564"/>
      <c r="H953" s="564"/>
      <c r="I953" s="564"/>
      <c r="J953" s="564"/>
      <c r="K953" s="564"/>
      <c r="L953" s="564"/>
      <c r="M953" s="564"/>
      <c r="N953" s="564"/>
      <c r="O953" s="564"/>
      <c r="P953" s="564"/>
      <c r="Q953" s="564"/>
      <c r="R953" s="564"/>
      <c r="S953" s="564"/>
      <c r="T953" s="564"/>
      <c r="U953" s="564"/>
      <c r="V953" s="564"/>
      <c r="W953" s="564"/>
      <c r="X953" s="564"/>
      <c r="Y953" s="564"/>
      <c r="Z953" s="564"/>
      <c r="AA953" s="564"/>
      <c r="AB953" s="564"/>
      <c r="AC953" s="564"/>
      <c r="AD953" s="564"/>
      <c r="AE953" s="564"/>
      <c r="AF953" s="564"/>
      <c r="AG953" s="564"/>
      <c r="AH953" s="564"/>
      <c r="AI953" s="564"/>
      <c r="AJ953" s="564"/>
      <c r="AK953" s="564"/>
      <c r="AL953" s="564"/>
      <c r="AM953" s="564"/>
      <c r="AN953" s="564"/>
      <c r="AO953" s="564"/>
    </row>
    <row r="954" spans="2:41" x14ac:dyDescent="0.15">
      <c r="B954" s="565">
        <v>10</v>
      </c>
      <c r="C954" s="564"/>
      <c r="D954" s="564"/>
      <c r="E954" s="564"/>
      <c r="F954" s="564"/>
      <c r="G954" s="564"/>
      <c r="H954" s="564"/>
      <c r="I954" s="564"/>
      <c r="J954" s="564"/>
      <c r="K954" s="564"/>
      <c r="L954" s="564"/>
      <c r="M954" s="564"/>
      <c r="N954" s="564"/>
      <c r="O954" s="564"/>
      <c r="P954" s="564"/>
      <c r="Q954" s="564"/>
      <c r="R954" s="564"/>
      <c r="S954" s="564"/>
      <c r="T954" s="564"/>
      <c r="U954" s="564"/>
      <c r="V954" s="564"/>
      <c r="W954" s="564"/>
      <c r="X954" s="564"/>
      <c r="Y954" s="564"/>
      <c r="Z954" s="564"/>
      <c r="AA954" s="564"/>
      <c r="AB954" s="564"/>
      <c r="AC954" s="564"/>
      <c r="AD954" s="564"/>
      <c r="AE954" s="564"/>
      <c r="AF954" s="564"/>
      <c r="AG954" s="564"/>
      <c r="AH954" s="564"/>
      <c r="AI954" s="564"/>
      <c r="AJ954" s="564"/>
      <c r="AK954" s="564"/>
      <c r="AL954" s="564"/>
      <c r="AM954" s="564"/>
      <c r="AN954" s="564"/>
      <c r="AO954" s="564"/>
    </row>
    <row r="955" spans="2:41" x14ac:dyDescent="0.15">
      <c r="B955" s="565">
        <v>11</v>
      </c>
      <c r="C955" s="564"/>
      <c r="D955" s="564"/>
      <c r="E955" s="564"/>
      <c r="F955" s="564"/>
      <c r="G955" s="564"/>
      <c r="H955" s="564"/>
      <c r="I955" s="564"/>
      <c r="J955" s="564"/>
      <c r="K955" s="564"/>
      <c r="L955" s="564"/>
      <c r="M955" s="564"/>
      <c r="N955" s="564"/>
      <c r="O955" s="564"/>
      <c r="P955" s="564"/>
      <c r="Q955" s="564"/>
      <c r="R955" s="564"/>
      <c r="S955" s="564"/>
      <c r="T955" s="564"/>
      <c r="U955" s="564"/>
      <c r="V955" s="564"/>
      <c r="W955" s="564"/>
      <c r="X955" s="564"/>
      <c r="Y955" s="564"/>
      <c r="Z955" s="564"/>
      <c r="AA955" s="564"/>
      <c r="AB955" s="564"/>
      <c r="AC955" s="564"/>
      <c r="AD955" s="564"/>
      <c r="AE955" s="564"/>
      <c r="AF955" s="564"/>
      <c r="AG955" s="564"/>
      <c r="AH955" s="564"/>
      <c r="AI955" s="564"/>
      <c r="AJ955" s="564"/>
      <c r="AK955" s="564"/>
      <c r="AL955" s="564"/>
      <c r="AM955" s="564"/>
      <c r="AN955" s="564"/>
      <c r="AO955" s="564"/>
    </row>
    <row r="956" spans="2:41" x14ac:dyDescent="0.15">
      <c r="B956" s="565">
        <v>12</v>
      </c>
      <c r="C956" s="564"/>
      <c r="D956" s="564"/>
      <c r="E956" s="564"/>
      <c r="F956" s="564"/>
      <c r="G956" s="564"/>
      <c r="H956" s="564"/>
      <c r="I956" s="564"/>
      <c r="J956" s="564"/>
      <c r="K956" s="564"/>
      <c r="L956" s="564"/>
      <c r="M956" s="564"/>
      <c r="N956" s="564"/>
      <c r="O956" s="564"/>
      <c r="P956" s="564"/>
      <c r="Q956" s="564"/>
      <c r="R956" s="564"/>
      <c r="S956" s="564"/>
      <c r="T956" s="564"/>
      <c r="U956" s="564"/>
      <c r="V956" s="564"/>
      <c r="W956" s="564"/>
      <c r="X956" s="564"/>
      <c r="Y956" s="564"/>
      <c r="Z956" s="564"/>
      <c r="AA956" s="564"/>
      <c r="AB956" s="564"/>
      <c r="AC956" s="564"/>
      <c r="AD956" s="564"/>
      <c r="AE956" s="564"/>
      <c r="AF956" s="564"/>
      <c r="AG956" s="564"/>
      <c r="AH956" s="564"/>
      <c r="AI956" s="564"/>
      <c r="AJ956" s="564"/>
      <c r="AK956" s="564"/>
      <c r="AL956" s="564"/>
      <c r="AM956" s="564"/>
      <c r="AN956" s="564"/>
      <c r="AO956" s="564"/>
    </row>
    <row r="957" spans="2:41" x14ac:dyDescent="0.15">
      <c r="B957" s="565">
        <v>13</v>
      </c>
      <c r="C957" s="564"/>
      <c r="D957" s="564"/>
      <c r="E957" s="564"/>
      <c r="F957" s="564"/>
      <c r="G957" s="564"/>
      <c r="H957" s="564"/>
      <c r="I957" s="564"/>
      <c r="J957" s="564"/>
      <c r="K957" s="564"/>
      <c r="L957" s="564"/>
      <c r="M957" s="564"/>
      <c r="N957" s="564"/>
      <c r="O957" s="564"/>
      <c r="P957" s="564"/>
      <c r="Q957" s="564"/>
      <c r="R957" s="564"/>
      <c r="S957" s="564"/>
      <c r="T957" s="564"/>
      <c r="U957" s="564"/>
      <c r="V957" s="564"/>
      <c r="W957" s="564"/>
      <c r="X957" s="564"/>
      <c r="Y957" s="564"/>
      <c r="Z957" s="564"/>
      <c r="AA957" s="564"/>
      <c r="AB957" s="564"/>
      <c r="AC957" s="564"/>
      <c r="AD957" s="564"/>
      <c r="AE957" s="564"/>
      <c r="AF957" s="564"/>
      <c r="AG957" s="564"/>
      <c r="AH957" s="564"/>
      <c r="AI957" s="564"/>
      <c r="AJ957" s="564"/>
      <c r="AK957" s="564"/>
      <c r="AL957" s="564"/>
      <c r="AM957" s="564"/>
      <c r="AN957" s="564"/>
      <c r="AO957" s="564"/>
    </row>
    <row r="958" spans="2:41" x14ac:dyDescent="0.15">
      <c r="B958" s="565">
        <v>14</v>
      </c>
      <c r="C958" s="564"/>
      <c r="D958" s="564"/>
      <c r="E958" s="564"/>
      <c r="F958" s="564"/>
      <c r="G958" s="564"/>
      <c r="H958" s="564"/>
      <c r="I958" s="564"/>
      <c r="J958" s="564"/>
      <c r="K958" s="564"/>
      <c r="L958" s="564"/>
      <c r="M958" s="564"/>
      <c r="N958" s="564"/>
      <c r="O958" s="564"/>
      <c r="P958" s="564"/>
      <c r="Q958" s="564"/>
      <c r="R958" s="564"/>
      <c r="S958" s="564"/>
      <c r="T958" s="564"/>
      <c r="U958" s="564"/>
      <c r="V958" s="564"/>
      <c r="W958" s="564"/>
      <c r="X958" s="564"/>
      <c r="Y958" s="564"/>
      <c r="Z958" s="564"/>
      <c r="AA958" s="564"/>
      <c r="AB958" s="564"/>
      <c r="AC958" s="564"/>
      <c r="AD958" s="564"/>
      <c r="AE958" s="564"/>
      <c r="AF958" s="564"/>
      <c r="AG958" s="564"/>
      <c r="AH958" s="564"/>
      <c r="AI958" s="564"/>
      <c r="AJ958" s="564"/>
      <c r="AK958" s="564"/>
      <c r="AL958" s="564"/>
      <c r="AM958" s="564"/>
      <c r="AN958" s="564"/>
      <c r="AO958" s="564"/>
    </row>
    <row r="959" spans="2:41" x14ac:dyDescent="0.15">
      <c r="B959" s="565">
        <v>15</v>
      </c>
      <c r="C959" s="564"/>
      <c r="D959" s="564"/>
      <c r="E959" s="564"/>
      <c r="F959" s="564"/>
      <c r="G959" s="564"/>
      <c r="H959" s="564"/>
      <c r="I959" s="564"/>
      <c r="J959" s="564"/>
      <c r="K959" s="564"/>
      <c r="L959" s="564"/>
      <c r="M959" s="564"/>
      <c r="N959" s="564"/>
      <c r="O959" s="564"/>
      <c r="P959" s="564"/>
      <c r="Q959" s="564"/>
      <c r="R959" s="564"/>
      <c r="S959" s="564"/>
      <c r="T959" s="564"/>
      <c r="U959" s="564"/>
      <c r="V959" s="564"/>
      <c r="W959" s="564"/>
      <c r="X959" s="564"/>
      <c r="Y959" s="564"/>
      <c r="Z959" s="564"/>
      <c r="AA959" s="564"/>
      <c r="AB959" s="564"/>
      <c r="AC959" s="564"/>
      <c r="AD959" s="564"/>
      <c r="AE959" s="564"/>
      <c r="AF959" s="564"/>
      <c r="AG959" s="564"/>
      <c r="AH959" s="564"/>
      <c r="AI959" s="564"/>
      <c r="AJ959" s="564"/>
      <c r="AK959" s="564"/>
      <c r="AL959" s="564"/>
      <c r="AM959" s="564"/>
      <c r="AN959" s="564"/>
      <c r="AO959" s="564"/>
    </row>
    <row r="960" spans="2:41" x14ac:dyDescent="0.15">
      <c r="B960" s="565">
        <v>16</v>
      </c>
      <c r="C960" s="564"/>
      <c r="D960" s="564"/>
      <c r="E960" s="564"/>
      <c r="F960" s="564"/>
      <c r="G960" s="564"/>
      <c r="H960" s="564"/>
      <c r="I960" s="564"/>
      <c r="J960" s="564"/>
      <c r="K960" s="564"/>
      <c r="L960" s="564"/>
      <c r="M960" s="564"/>
      <c r="N960" s="564"/>
      <c r="O960" s="564"/>
      <c r="P960" s="564"/>
      <c r="Q960" s="564"/>
      <c r="R960" s="564"/>
      <c r="S960" s="564"/>
      <c r="T960" s="564"/>
      <c r="U960" s="564"/>
      <c r="V960" s="564"/>
      <c r="W960" s="564"/>
      <c r="X960" s="564"/>
      <c r="Y960" s="564"/>
      <c r="Z960" s="564"/>
      <c r="AA960" s="564"/>
      <c r="AB960" s="564"/>
      <c r="AC960" s="564"/>
      <c r="AD960" s="564"/>
      <c r="AE960" s="564"/>
      <c r="AF960" s="564"/>
      <c r="AG960" s="564"/>
      <c r="AH960" s="564"/>
      <c r="AI960" s="564"/>
      <c r="AJ960" s="564"/>
      <c r="AK960" s="564"/>
      <c r="AL960" s="564"/>
      <c r="AM960" s="564"/>
      <c r="AN960" s="564"/>
      <c r="AO960" s="564"/>
    </row>
    <row r="961" spans="2:41" x14ac:dyDescent="0.15">
      <c r="B961" s="565">
        <v>17</v>
      </c>
      <c r="C961" s="564"/>
      <c r="D961" s="564"/>
      <c r="E961" s="564"/>
      <c r="F961" s="564"/>
      <c r="G961" s="564"/>
      <c r="H961" s="564"/>
      <c r="I961" s="564"/>
      <c r="J961" s="564"/>
      <c r="K961" s="564"/>
      <c r="L961" s="564"/>
      <c r="M961" s="564"/>
      <c r="N961" s="564"/>
      <c r="O961" s="564"/>
      <c r="P961" s="564"/>
      <c r="Q961" s="564"/>
      <c r="R961" s="564"/>
      <c r="S961" s="564"/>
      <c r="T961" s="564"/>
      <c r="U961" s="564"/>
      <c r="V961" s="564"/>
      <c r="W961" s="564"/>
      <c r="X961" s="564"/>
      <c r="Y961" s="564"/>
      <c r="Z961" s="564"/>
      <c r="AA961" s="564"/>
      <c r="AB961" s="564"/>
      <c r="AC961" s="564"/>
      <c r="AD961" s="564"/>
      <c r="AE961" s="564"/>
      <c r="AF961" s="564"/>
      <c r="AG961" s="564"/>
      <c r="AH961" s="564"/>
      <c r="AI961" s="564"/>
      <c r="AJ961" s="564"/>
      <c r="AK961" s="564"/>
      <c r="AL961" s="564"/>
      <c r="AM961" s="564"/>
      <c r="AN961" s="564"/>
      <c r="AO961" s="564"/>
    </row>
    <row r="962" spans="2:41" x14ac:dyDescent="0.15">
      <c r="B962" s="565">
        <v>18</v>
      </c>
      <c r="C962" s="564"/>
      <c r="D962" s="564"/>
      <c r="E962" s="564"/>
      <c r="F962" s="564"/>
      <c r="G962" s="564"/>
      <c r="H962" s="564"/>
      <c r="I962" s="564"/>
      <c r="J962" s="564"/>
      <c r="K962" s="564"/>
      <c r="L962" s="564"/>
      <c r="M962" s="564"/>
      <c r="N962" s="564"/>
      <c r="O962" s="564"/>
      <c r="P962" s="564"/>
      <c r="Q962" s="564"/>
      <c r="R962" s="564"/>
      <c r="S962" s="564"/>
      <c r="T962" s="564"/>
      <c r="U962" s="564"/>
      <c r="V962" s="564"/>
      <c r="W962" s="564"/>
      <c r="X962" s="564"/>
      <c r="Y962" s="564"/>
      <c r="Z962" s="564"/>
      <c r="AA962" s="564"/>
      <c r="AB962" s="564"/>
      <c r="AC962" s="564"/>
      <c r="AD962" s="564"/>
      <c r="AE962" s="564"/>
      <c r="AF962" s="564"/>
      <c r="AG962" s="564"/>
      <c r="AH962" s="564"/>
      <c r="AI962" s="564"/>
      <c r="AJ962" s="564"/>
      <c r="AK962" s="564"/>
      <c r="AL962" s="564"/>
      <c r="AM962" s="564"/>
      <c r="AN962" s="564"/>
      <c r="AO962" s="564"/>
    </row>
    <row r="963" spans="2:41" x14ac:dyDescent="0.15">
      <c r="B963" s="565">
        <v>19</v>
      </c>
      <c r="C963" s="564"/>
      <c r="D963" s="564"/>
      <c r="E963" s="564"/>
      <c r="F963" s="564"/>
      <c r="G963" s="564"/>
      <c r="H963" s="564"/>
      <c r="I963" s="564"/>
      <c r="J963" s="564"/>
      <c r="K963" s="564"/>
      <c r="L963" s="564"/>
      <c r="M963" s="564"/>
      <c r="N963" s="564"/>
      <c r="O963" s="564"/>
      <c r="P963" s="564"/>
      <c r="Q963" s="564"/>
      <c r="R963" s="564"/>
      <c r="S963" s="564"/>
      <c r="T963" s="564"/>
      <c r="U963" s="564"/>
      <c r="V963" s="564"/>
      <c r="W963" s="564"/>
      <c r="X963" s="564"/>
      <c r="Y963" s="564"/>
      <c r="Z963" s="564"/>
      <c r="AA963" s="564"/>
      <c r="AB963" s="564"/>
      <c r="AC963" s="564"/>
      <c r="AD963" s="564"/>
      <c r="AE963" s="564"/>
      <c r="AF963" s="564"/>
      <c r="AG963" s="564"/>
      <c r="AH963" s="564"/>
      <c r="AI963" s="564"/>
      <c r="AJ963" s="564"/>
      <c r="AK963" s="564"/>
      <c r="AL963" s="564"/>
      <c r="AM963" s="564"/>
      <c r="AN963" s="564"/>
      <c r="AO963" s="564"/>
    </row>
    <row r="964" spans="2:41" x14ac:dyDescent="0.15">
      <c r="B964" s="565">
        <v>20</v>
      </c>
      <c r="C964" s="564"/>
      <c r="D964" s="564"/>
      <c r="E964" s="564"/>
      <c r="F964" s="564"/>
      <c r="G964" s="564"/>
      <c r="H964" s="564"/>
      <c r="I964" s="564"/>
      <c r="J964" s="564"/>
      <c r="K964" s="564"/>
      <c r="L964" s="564"/>
      <c r="M964" s="564"/>
      <c r="N964" s="564"/>
      <c r="O964" s="564"/>
      <c r="P964" s="564"/>
      <c r="Q964" s="564"/>
      <c r="R964" s="564"/>
      <c r="S964" s="564"/>
      <c r="T964" s="564"/>
      <c r="U964" s="564"/>
      <c r="V964" s="564"/>
      <c r="W964" s="564"/>
      <c r="X964" s="564"/>
      <c r="Y964" s="564"/>
      <c r="Z964" s="564"/>
      <c r="AA964" s="564"/>
      <c r="AB964" s="564"/>
      <c r="AC964" s="564"/>
      <c r="AD964" s="564"/>
      <c r="AE964" s="564"/>
      <c r="AF964" s="564"/>
      <c r="AG964" s="564"/>
      <c r="AH964" s="564"/>
      <c r="AI964" s="564"/>
      <c r="AJ964" s="564"/>
      <c r="AK964" s="564"/>
      <c r="AL964" s="564"/>
      <c r="AM964" s="564"/>
      <c r="AN964" s="564"/>
      <c r="AO964" s="564"/>
    </row>
    <row r="965" spans="2:41" x14ac:dyDescent="0.15">
      <c r="B965" s="565">
        <v>21</v>
      </c>
      <c r="C965" s="564"/>
      <c r="D965" s="564"/>
      <c r="E965" s="564"/>
      <c r="F965" s="564"/>
      <c r="G965" s="564"/>
      <c r="H965" s="564"/>
      <c r="I965" s="564"/>
      <c r="J965" s="564"/>
      <c r="K965" s="564"/>
      <c r="L965" s="564"/>
      <c r="M965" s="564"/>
      <c r="N965" s="564"/>
      <c r="O965" s="564"/>
      <c r="P965" s="564"/>
      <c r="Q965" s="564"/>
      <c r="R965" s="564"/>
      <c r="S965" s="564"/>
      <c r="T965" s="564"/>
      <c r="U965" s="564"/>
      <c r="V965" s="564"/>
      <c r="W965" s="564"/>
      <c r="X965" s="564"/>
      <c r="Y965" s="564"/>
      <c r="Z965" s="564"/>
      <c r="AA965" s="564"/>
      <c r="AB965" s="564"/>
      <c r="AC965" s="564"/>
      <c r="AD965" s="564"/>
      <c r="AE965" s="564"/>
      <c r="AF965" s="564"/>
      <c r="AG965" s="564"/>
      <c r="AH965" s="564"/>
      <c r="AI965" s="564"/>
      <c r="AJ965" s="564"/>
      <c r="AK965" s="564"/>
      <c r="AL965" s="564"/>
      <c r="AM965" s="564"/>
      <c r="AN965" s="564"/>
      <c r="AO965" s="564"/>
    </row>
    <row r="966" spans="2:41" x14ac:dyDescent="0.15">
      <c r="B966" s="565">
        <v>22</v>
      </c>
      <c r="C966" s="564"/>
      <c r="D966" s="564"/>
      <c r="E966" s="564"/>
      <c r="F966" s="564"/>
      <c r="G966" s="564"/>
      <c r="H966" s="564"/>
      <c r="I966" s="564"/>
      <c r="J966" s="564"/>
      <c r="K966" s="564"/>
      <c r="L966" s="564"/>
      <c r="M966" s="564"/>
      <c r="N966" s="564"/>
      <c r="O966" s="564"/>
      <c r="P966" s="564"/>
      <c r="Q966" s="564"/>
      <c r="R966" s="564"/>
      <c r="S966" s="564"/>
      <c r="T966" s="564"/>
      <c r="U966" s="564"/>
      <c r="V966" s="564"/>
      <c r="W966" s="564"/>
      <c r="X966" s="564"/>
      <c r="Y966" s="564"/>
      <c r="Z966" s="564"/>
      <c r="AA966" s="564"/>
      <c r="AB966" s="564"/>
      <c r="AC966" s="564"/>
      <c r="AD966" s="564"/>
      <c r="AE966" s="564"/>
      <c r="AF966" s="564"/>
      <c r="AG966" s="564"/>
      <c r="AH966" s="564"/>
      <c r="AI966" s="564"/>
      <c r="AJ966" s="564"/>
      <c r="AK966" s="564"/>
      <c r="AL966" s="564"/>
      <c r="AM966" s="564"/>
      <c r="AN966" s="564"/>
      <c r="AO966" s="564"/>
    </row>
    <row r="967" spans="2:41" x14ac:dyDescent="0.15">
      <c r="B967" s="565">
        <v>23</v>
      </c>
      <c r="C967" s="564"/>
      <c r="D967" s="564"/>
      <c r="E967" s="564"/>
      <c r="F967" s="564"/>
      <c r="G967" s="564"/>
      <c r="H967" s="564"/>
      <c r="I967" s="564"/>
      <c r="J967" s="564"/>
      <c r="K967" s="564"/>
      <c r="L967" s="564"/>
      <c r="M967" s="564"/>
      <c r="N967" s="564"/>
      <c r="O967" s="564"/>
      <c r="P967" s="564"/>
      <c r="Q967" s="564"/>
      <c r="R967" s="564"/>
      <c r="S967" s="564"/>
      <c r="T967" s="564"/>
      <c r="U967" s="564"/>
      <c r="V967" s="564"/>
      <c r="W967" s="564"/>
      <c r="X967" s="564"/>
      <c r="Y967" s="564"/>
      <c r="Z967" s="564"/>
      <c r="AA967" s="564"/>
      <c r="AB967" s="564"/>
      <c r="AC967" s="564"/>
      <c r="AD967" s="564"/>
      <c r="AE967" s="564"/>
      <c r="AF967" s="564"/>
      <c r="AG967" s="564"/>
      <c r="AH967" s="564"/>
      <c r="AI967" s="564"/>
      <c r="AJ967" s="564"/>
      <c r="AK967" s="564"/>
      <c r="AL967" s="564"/>
      <c r="AM967" s="564"/>
      <c r="AN967" s="564"/>
      <c r="AO967" s="564"/>
    </row>
    <row r="968" spans="2:41" x14ac:dyDescent="0.15">
      <c r="B968" s="565">
        <v>24</v>
      </c>
      <c r="C968" s="564"/>
      <c r="D968" s="564"/>
      <c r="E968" s="564"/>
      <c r="F968" s="564"/>
      <c r="G968" s="564"/>
      <c r="H968" s="564"/>
      <c r="I968" s="564"/>
      <c r="J968" s="564"/>
      <c r="K968" s="564"/>
      <c r="L968" s="564"/>
      <c r="M968" s="564"/>
      <c r="N968" s="564"/>
      <c r="O968" s="564"/>
      <c r="P968" s="564"/>
      <c r="Q968" s="564"/>
      <c r="R968" s="564"/>
      <c r="S968" s="564"/>
      <c r="T968" s="564"/>
      <c r="U968" s="564"/>
      <c r="V968" s="564"/>
      <c r="W968" s="564"/>
      <c r="X968" s="564"/>
      <c r="Y968" s="564"/>
      <c r="Z968" s="564"/>
      <c r="AA968" s="564"/>
      <c r="AB968" s="564"/>
      <c r="AC968" s="564"/>
      <c r="AD968" s="564"/>
      <c r="AE968" s="564"/>
      <c r="AF968" s="564"/>
      <c r="AG968" s="564"/>
      <c r="AH968" s="564"/>
      <c r="AI968" s="564"/>
      <c r="AJ968" s="564"/>
      <c r="AK968" s="564"/>
      <c r="AL968" s="564"/>
      <c r="AM968" s="564"/>
      <c r="AN968" s="564"/>
      <c r="AO968" s="564"/>
    </row>
    <row r="969" spans="2:41" x14ac:dyDescent="0.15">
      <c r="B969" s="565">
        <v>25</v>
      </c>
      <c r="C969" s="564"/>
      <c r="D969" s="564"/>
      <c r="E969" s="564"/>
      <c r="F969" s="564"/>
      <c r="G969" s="564"/>
      <c r="H969" s="564"/>
      <c r="I969" s="564"/>
      <c r="J969" s="564"/>
      <c r="K969" s="564"/>
      <c r="L969" s="564"/>
      <c r="M969" s="564"/>
      <c r="N969" s="564"/>
      <c r="O969" s="564"/>
      <c r="P969" s="564"/>
      <c r="Q969" s="564"/>
      <c r="R969" s="564"/>
      <c r="S969" s="564"/>
      <c r="T969" s="564"/>
      <c r="U969" s="564"/>
      <c r="V969" s="564"/>
      <c r="W969" s="564"/>
      <c r="X969" s="564"/>
      <c r="Y969" s="564"/>
      <c r="Z969" s="564"/>
      <c r="AA969" s="564"/>
      <c r="AB969" s="564"/>
      <c r="AC969" s="564"/>
      <c r="AD969" s="564"/>
      <c r="AE969" s="564"/>
      <c r="AF969" s="564"/>
      <c r="AG969" s="564"/>
      <c r="AH969" s="564"/>
      <c r="AI969" s="564"/>
      <c r="AJ969" s="564"/>
      <c r="AK969" s="564"/>
      <c r="AL969" s="564"/>
      <c r="AM969" s="564"/>
      <c r="AN969" s="564"/>
      <c r="AO969" s="564"/>
    </row>
    <row r="970" spans="2:41" x14ac:dyDescent="0.15">
      <c r="B970" s="565">
        <v>26</v>
      </c>
      <c r="C970" s="564"/>
      <c r="D970" s="564"/>
      <c r="E970" s="564"/>
      <c r="F970" s="564"/>
      <c r="G970" s="564"/>
      <c r="H970" s="564"/>
      <c r="I970" s="564"/>
      <c r="J970" s="564"/>
      <c r="K970" s="564"/>
      <c r="L970" s="564"/>
      <c r="M970" s="564"/>
      <c r="N970" s="564"/>
      <c r="O970" s="564"/>
      <c r="P970" s="564"/>
      <c r="Q970" s="564"/>
      <c r="R970" s="564"/>
      <c r="S970" s="564"/>
      <c r="T970" s="564"/>
      <c r="U970" s="564"/>
      <c r="V970" s="564"/>
      <c r="W970" s="564"/>
      <c r="X970" s="564"/>
      <c r="Y970" s="564"/>
      <c r="Z970" s="564"/>
      <c r="AA970" s="564"/>
      <c r="AB970" s="564"/>
      <c r="AC970" s="564"/>
      <c r="AD970" s="564"/>
      <c r="AE970" s="564"/>
      <c r="AF970" s="564"/>
      <c r="AG970" s="564"/>
      <c r="AH970" s="564"/>
      <c r="AI970" s="564"/>
      <c r="AJ970" s="564"/>
      <c r="AK970" s="564"/>
      <c r="AL970" s="564"/>
      <c r="AM970" s="564"/>
      <c r="AN970" s="564"/>
      <c r="AO970" s="564"/>
    </row>
    <row r="971" spans="2:41" x14ac:dyDescent="0.15">
      <c r="B971" s="565">
        <v>27</v>
      </c>
      <c r="C971" s="564"/>
      <c r="D971" s="564"/>
      <c r="E971" s="564"/>
      <c r="F971" s="564"/>
      <c r="G971" s="564"/>
      <c r="H971" s="564"/>
      <c r="I971" s="564"/>
      <c r="J971" s="564"/>
      <c r="K971" s="564"/>
      <c r="L971" s="564"/>
      <c r="M971" s="564"/>
      <c r="N971" s="564"/>
      <c r="O971" s="564"/>
      <c r="P971" s="564"/>
      <c r="Q971" s="564"/>
      <c r="R971" s="564"/>
      <c r="S971" s="564"/>
      <c r="T971" s="564"/>
      <c r="U971" s="564"/>
      <c r="V971" s="564"/>
      <c r="W971" s="564"/>
      <c r="X971" s="564"/>
      <c r="Y971" s="564"/>
      <c r="Z971" s="564"/>
      <c r="AA971" s="564"/>
      <c r="AB971" s="564"/>
      <c r="AC971" s="564"/>
      <c r="AD971" s="564"/>
      <c r="AE971" s="564"/>
      <c r="AF971" s="564"/>
      <c r="AG971" s="564"/>
      <c r="AH971" s="564"/>
      <c r="AI971" s="564"/>
      <c r="AJ971" s="564"/>
      <c r="AK971" s="564"/>
      <c r="AL971" s="564"/>
      <c r="AM971" s="564"/>
      <c r="AN971" s="564"/>
      <c r="AO971" s="564"/>
    </row>
    <row r="972" spans="2:41" x14ac:dyDescent="0.15">
      <c r="B972" s="565">
        <v>28</v>
      </c>
      <c r="C972" s="564"/>
      <c r="D972" s="564"/>
      <c r="E972" s="564"/>
      <c r="F972" s="564"/>
      <c r="G972" s="564"/>
      <c r="H972" s="564"/>
      <c r="I972" s="564"/>
      <c r="J972" s="564"/>
      <c r="K972" s="564"/>
      <c r="L972" s="564"/>
      <c r="M972" s="564"/>
      <c r="N972" s="564"/>
      <c r="O972" s="564"/>
      <c r="P972" s="564"/>
      <c r="Q972" s="564"/>
      <c r="R972" s="564"/>
      <c r="S972" s="564"/>
      <c r="T972" s="564"/>
      <c r="U972" s="564"/>
      <c r="V972" s="564"/>
      <c r="W972" s="564"/>
      <c r="X972" s="564"/>
      <c r="Y972" s="564"/>
      <c r="Z972" s="564"/>
      <c r="AA972" s="564"/>
      <c r="AB972" s="564"/>
      <c r="AC972" s="564"/>
      <c r="AD972" s="564"/>
      <c r="AE972" s="564"/>
      <c r="AF972" s="564"/>
      <c r="AG972" s="564"/>
      <c r="AH972" s="564"/>
      <c r="AI972" s="564"/>
      <c r="AJ972" s="564"/>
      <c r="AK972" s="564"/>
      <c r="AL972" s="564"/>
      <c r="AM972" s="564"/>
      <c r="AN972" s="564"/>
      <c r="AO972" s="564"/>
    </row>
    <row r="973" spans="2:41" x14ac:dyDescent="0.15">
      <c r="B973" s="565">
        <v>29</v>
      </c>
      <c r="C973" s="564"/>
      <c r="D973" s="564"/>
      <c r="E973" s="564"/>
      <c r="F973" s="564"/>
      <c r="G973" s="564"/>
      <c r="H973" s="564"/>
      <c r="I973" s="564"/>
      <c r="J973" s="564"/>
      <c r="K973" s="564"/>
      <c r="L973" s="564"/>
      <c r="M973" s="564"/>
      <c r="N973" s="564"/>
      <c r="O973" s="564"/>
      <c r="P973" s="564"/>
      <c r="Q973" s="564"/>
      <c r="R973" s="564"/>
      <c r="S973" s="564"/>
      <c r="T973" s="564"/>
      <c r="U973" s="564"/>
      <c r="V973" s="564"/>
      <c r="W973" s="564"/>
      <c r="X973" s="564"/>
      <c r="Y973" s="564"/>
      <c r="Z973" s="564"/>
      <c r="AA973" s="564"/>
      <c r="AB973" s="564"/>
      <c r="AC973" s="564"/>
      <c r="AD973" s="564"/>
      <c r="AE973" s="564"/>
      <c r="AF973" s="564"/>
      <c r="AG973" s="564"/>
      <c r="AH973" s="564"/>
      <c r="AI973" s="564"/>
      <c r="AJ973" s="564"/>
      <c r="AK973" s="564"/>
      <c r="AL973" s="564"/>
      <c r="AM973" s="564"/>
      <c r="AN973" s="564"/>
      <c r="AO973" s="564"/>
    </row>
    <row r="974" spans="2:41" x14ac:dyDescent="0.15">
      <c r="B974" s="565">
        <v>30</v>
      </c>
      <c r="C974" s="564"/>
      <c r="D974" s="564"/>
      <c r="E974" s="564"/>
      <c r="F974" s="564"/>
      <c r="G974" s="564"/>
      <c r="H974" s="564"/>
      <c r="I974" s="564"/>
      <c r="J974" s="564"/>
      <c r="K974" s="564"/>
      <c r="L974" s="564"/>
      <c r="M974" s="564"/>
      <c r="N974" s="564"/>
      <c r="O974" s="564"/>
      <c r="P974" s="564"/>
      <c r="Q974" s="564"/>
      <c r="R974" s="564"/>
      <c r="S974" s="564"/>
      <c r="T974" s="564"/>
      <c r="U974" s="564"/>
      <c r="V974" s="564"/>
      <c r="W974" s="564"/>
      <c r="X974" s="564"/>
      <c r="Y974" s="564"/>
      <c r="Z974" s="564"/>
      <c r="AA974" s="564"/>
      <c r="AB974" s="564"/>
      <c r="AC974" s="564"/>
      <c r="AD974" s="564"/>
      <c r="AE974" s="564"/>
      <c r="AF974" s="564"/>
      <c r="AG974" s="564"/>
      <c r="AH974" s="564"/>
      <c r="AI974" s="564"/>
      <c r="AJ974" s="564"/>
      <c r="AK974" s="564"/>
      <c r="AL974" s="564"/>
      <c r="AM974" s="564"/>
      <c r="AN974" s="564"/>
      <c r="AO974" s="564"/>
    </row>
    <row r="975" spans="2:41" x14ac:dyDescent="0.15">
      <c r="B975" s="565">
        <v>31</v>
      </c>
      <c r="C975" s="564"/>
      <c r="D975" s="564"/>
      <c r="E975" s="564"/>
      <c r="F975" s="564"/>
      <c r="G975" s="564"/>
      <c r="H975" s="564"/>
      <c r="I975" s="564"/>
      <c r="J975" s="564"/>
      <c r="K975" s="564"/>
      <c r="L975" s="564"/>
      <c r="M975" s="564"/>
      <c r="N975" s="564"/>
      <c r="O975" s="564"/>
      <c r="P975" s="564"/>
      <c r="Q975" s="564"/>
      <c r="R975" s="564"/>
      <c r="S975" s="564"/>
      <c r="T975" s="564"/>
      <c r="U975" s="564"/>
      <c r="V975" s="564"/>
      <c r="W975" s="564"/>
      <c r="X975" s="564"/>
      <c r="Y975" s="564"/>
      <c r="Z975" s="564"/>
      <c r="AA975" s="564"/>
      <c r="AB975" s="564"/>
      <c r="AC975" s="564"/>
      <c r="AD975" s="564"/>
      <c r="AE975" s="564"/>
      <c r="AF975" s="564"/>
      <c r="AG975" s="564"/>
      <c r="AH975" s="564"/>
      <c r="AI975" s="564"/>
      <c r="AJ975" s="564"/>
      <c r="AK975" s="564"/>
      <c r="AL975" s="564"/>
      <c r="AM975" s="564"/>
      <c r="AN975" s="564"/>
      <c r="AO975" s="564"/>
    </row>
    <row r="976" spans="2:41" x14ac:dyDescent="0.15">
      <c r="B976" s="565">
        <v>32</v>
      </c>
      <c r="C976" s="564"/>
      <c r="D976" s="564"/>
      <c r="E976" s="564"/>
      <c r="F976" s="564"/>
      <c r="G976" s="564"/>
      <c r="H976" s="564"/>
      <c r="I976" s="564"/>
      <c r="J976" s="564"/>
      <c r="K976" s="564"/>
      <c r="L976" s="564"/>
      <c r="M976" s="564"/>
      <c r="N976" s="564"/>
      <c r="O976" s="564"/>
      <c r="P976" s="564"/>
      <c r="Q976" s="564"/>
      <c r="R976" s="564"/>
      <c r="S976" s="564"/>
      <c r="T976" s="564"/>
      <c r="U976" s="564"/>
      <c r="V976" s="564"/>
      <c r="W976" s="564"/>
      <c r="X976" s="564"/>
      <c r="Y976" s="564"/>
      <c r="Z976" s="564"/>
      <c r="AA976" s="564"/>
      <c r="AB976" s="564"/>
      <c r="AC976" s="564"/>
      <c r="AD976" s="564"/>
      <c r="AE976" s="564"/>
      <c r="AF976" s="564"/>
      <c r="AG976" s="564"/>
      <c r="AH976" s="564"/>
      <c r="AI976" s="564"/>
      <c r="AJ976" s="564"/>
      <c r="AK976" s="564"/>
      <c r="AL976" s="564"/>
      <c r="AM976" s="564"/>
      <c r="AN976" s="564"/>
      <c r="AO976" s="564"/>
    </row>
    <row r="977" spans="2:41" x14ac:dyDescent="0.15">
      <c r="B977" s="565">
        <v>33</v>
      </c>
      <c r="C977" s="564"/>
      <c r="D977" s="564"/>
      <c r="E977" s="564"/>
      <c r="F977" s="564"/>
      <c r="G977" s="564"/>
      <c r="H977" s="564"/>
      <c r="I977" s="564"/>
      <c r="J977" s="564"/>
      <c r="K977" s="564"/>
      <c r="L977" s="564"/>
      <c r="M977" s="564"/>
      <c r="N977" s="564"/>
      <c r="O977" s="564"/>
      <c r="P977" s="564"/>
      <c r="Q977" s="564"/>
      <c r="R977" s="564"/>
      <c r="S977" s="564"/>
      <c r="T977" s="564"/>
      <c r="U977" s="564"/>
      <c r="V977" s="564"/>
      <c r="W977" s="564"/>
      <c r="X977" s="564"/>
      <c r="Y977" s="564"/>
      <c r="Z977" s="564"/>
      <c r="AA977" s="564"/>
      <c r="AB977" s="564"/>
      <c r="AC977" s="564"/>
      <c r="AD977" s="564"/>
      <c r="AE977" s="564"/>
      <c r="AF977" s="564"/>
      <c r="AG977" s="564"/>
      <c r="AH977" s="564"/>
      <c r="AI977" s="564"/>
      <c r="AJ977" s="564"/>
      <c r="AK977" s="564"/>
      <c r="AL977" s="564"/>
      <c r="AM977" s="564"/>
      <c r="AN977" s="564"/>
      <c r="AO977" s="564"/>
    </row>
    <row r="978" spans="2:41" x14ac:dyDescent="0.15">
      <c r="B978" s="565">
        <v>34</v>
      </c>
      <c r="C978" s="564"/>
      <c r="D978" s="564"/>
      <c r="E978" s="564"/>
      <c r="F978" s="564"/>
      <c r="G978" s="564"/>
      <c r="H978" s="564"/>
      <c r="I978" s="564"/>
      <c r="J978" s="564"/>
      <c r="K978" s="564"/>
      <c r="L978" s="564"/>
      <c r="M978" s="564"/>
      <c r="N978" s="564"/>
      <c r="O978" s="564"/>
      <c r="P978" s="564"/>
      <c r="Q978" s="564"/>
      <c r="R978" s="564"/>
      <c r="S978" s="564"/>
      <c r="T978" s="564"/>
      <c r="U978" s="564"/>
      <c r="V978" s="564"/>
      <c r="W978" s="564"/>
      <c r="X978" s="564"/>
      <c r="Y978" s="564"/>
      <c r="Z978" s="564"/>
      <c r="AA978" s="564"/>
      <c r="AB978" s="564"/>
      <c r="AC978" s="564"/>
      <c r="AD978" s="564"/>
      <c r="AE978" s="564"/>
      <c r="AF978" s="564"/>
      <c r="AG978" s="564"/>
      <c r="AH978" s="564"/>
      <c r="AI978" s="564"/>
      <c r="AJ978" s="564"/>
      <c r="AK978" s="564"/>
      <c r="AL978" s="564"/>
      <c r="AM978" s="564"/>
      <c r="AN978" s="564"/>
      <c r="AO978" s="564"/>
    </row>
    <row r="979" spans="2:41" x14ac:dyDescent="0.15">
      <c r="B979" s="565">
        <v>35</v>
      </c>
      <c r="C979" s="564"/>
      <c r="D979" s="564"/>
      <c r="E979" s="564"/>
      <c r="F979" s="564"/>
      <c r="G979" s="564"/>
      <c r="H979" s="564"/>
      <c r="I979" s="564"/>
      <c r="J979" s="564"/>
      <c r="K979" s="564"/>
      <c r="L979" s="564"/>
      <c r="M979" s="564"/>
      <c r="N979" s="564"/>
      <c r="O979" s="564"/>
      <c r="P979" s="564"/>
      <c r="Q979" s="564"/>
      <c r="R979" s="564"/>
      <c r="S979" s="564"/>
      <c r="T979" s="564"/>
      <c r="U979" s="564"/>
      <c r="V979" s="564"/>
      <c r="W979" s="564"/>
      <c r="X979" s="564"/>
      <c r="Y979" s="564"/>
      <c r="Z979" s="564"/>
      <c r="AA979" s="564"/>
      <c r="AB979" s="564"/>
      <c r="AC979" s="564"/>
      <c r="AD979" s="564"/>
      <c r="AE979" s="564"/>
      <c r="AF979" s="564"/>
      <c r="AG979" s="564"/>
      <c r="AH979" s="564"/>
      <c r="AI979" s="564"/>
      <c r="AJ979" s="564"/>
      <c r="AK979" s="564"/>
      <c r="AL979" s="564"/>
      <c r="AM979" s="564"/>
      <c r="AN979" s="564"/>
      <c r="AO979" s="564"/>
    </row>
    <row r="980" spans="2:41" x14ac:dyDescent="0.15">
      <c r="B980" s="565">
        <v>36</v>
      </c>
      <c r="C980" s="564"/>
      <c r="D980" s="564"/>
      <c r="E980" s="564"/>
      <c r="F980" s="564"/>
      <c r="G980" s="564"/>
      <c r="H980" s="564"/>
      <c r="I980" s="564"/>
      <c r="J980" s="564"/>
      <c r="K980" s="564"/>
      <c r="L980" s="564"/>
      <c r="M980" s="564"/>
      <c r="N980" s="564"/>
      <c r="O980" s="564"/>
      <c r="P980" s="564"/>
      <c r="Q980" s="564"/>
      <c r="R980" s="564"/>
      <c r="S980" s="564"/>
      <c r="T980" s="564"/>
      <c r="U980" s="564"/>
      <c r="V980" s="564"/>
      <c r="W980" s="564"/>
      <c r="X980" s="564"/>
      <c r="Y980" s="564"/>
      <c r="Z980" s="564"/>
      <c r="AA980" s="564"/>
      <c r="AB980" s="564"/>
      <c r="AC980" s="564"/>
      <c r="AD980" s="564"/>
      <c r="AE980" s="564"/>
      <c r="AF980" s="564"/>
      <c r="AG980" s="564"/>
      <c r="AH980" s="564"/>
      <c r="AI980" s="564"/>
      <c r="AJ980" s="564"/>
      <c r="AK980" s="564"/>
      <c r="AL980" s="564"/>
      <c r="AM980" s="564"/>
      <c r="AN980" s="564"/>
      <c r="AO980" s="564"/>
    </row>
    <row r="981" spans="2:41" x14ac:dyDescent="0.15">
      <c r="B981" s="565">
        <v>37</v>
      </c>
      <c r="C981" s="564"/>
      <c r="D981" s="564"/>
      <c r="E981" s="564"/>
      <c r="F981" s="564"/>
      <c r="G981" s="564"/>
      <c r="H981" s="564"/>
      <c r="I981" s="564"/>
      <c r="J981" s="564"/>
      <c r="K981" s="564"/>
      <c r="L981" s="564"/>
      <c r="M981" s="564"/>
      <c r="N981" s="564"/>
      <c r="O981" s="564"/>
      <c r="P981" s="564"/>
      <c r="Q981" s="564"/>
      <c r="R981" s="564"/>
      <c r="S981" s="564"/>
      <c r="T981" s="564"/>
      <c r="U981" s="564"/>
      <c r="V981" s="564"/>
      <c r="W981" s="564"/>
      <c r="X981" s="564"/>
      <c r="Y981" s="564"/>
      <c r="Z981" s="564"/>
      <c r="AA981" s="564"/>
      <c r="AB981" s="564"/>
      <c r="AC981" s="564"/>
      <c r="AD981" s="564"/>
      <c r="AE981" s="564"/>
      <c r="AF981" s="564"/>
      <c r="AG981" s="564"/>
      <c r="AH981" s="564"/>
      <c r="AI981" s="564"/>
      <c r="AJ981" s="564"/>
      <c r="AK981" s="564"/>
      <c r="AL981" s="564"/>
      <c r="AM981" s="564"/>
      <c r="AN981" s="564"/>
      <c r="AO981" s="564"/>
    </row>
    <row r="982" spans="2:41" x14ac:dyDescent="0.15">
      <c r="B982" s="565">
        <v>38</v>
      </c>
      <c r="C982" s="564"/>
      <c r="D982" s="564"/>
      <c r="E982" s="564"/>
      <c r="F982" s="564"/>
      <c r="G982" s="564"/>
      <c r="H982" s="564"/>
      <c r="I982" s="564"/>
      <c r="J982" s="564"/>
      <c r="K982" s="564"/>
      <c r="L982" s="564"/>
      <c r="M982" s="564"/>
      <c r="N982" s="564"/>
      <c r="O982" s="564"/>
      <c r="P982" s="564"/>
      <c r="Q982" s="564"/>
      <c r="R982" s="564"/>
      <c r="S982" s="564"/>
      <c r="T982" s="564"/>
      <c r="U982" s="564"/>
      <c r="V982" s="564"/>
      <c r="W982" s="564"/>
      <c r="X982" s="564"/>
      <c r="Y982" s="564"/>
      <c r="Z982" s="564"/>
      <c r="AA982" s="564"/>
      <c r="AB982" s="564"/>
      <c r="AC982" s="564"/>
      <c r="AD982" s="564"/>
      <c r="AE982" s="564"/>
      <c r="AF982" s="564"/>
      <c r="AG982" s="564"/>
      <c r="AH982" s="564"/>
      <c r="AI982" s="564"/>
      <c r="AJ982" s="564"/>
      <c r="AK982" s="564"/>
      <c r="AL982" s="564"/>
      <c r="AM982" s="564"/>
      <c r="AN982" s="564"/>
      <c r="AO982" s="564"/>
    </row>
    <row r="983" spans="2:41" x14ac:dyDescent="0.15">
      <c r="B983" s="565">
        <v>39</v>
      </c>
      <c r="C983" s="564"/>
      <c r="D983" s="564"/>
      <c r="E983" s="564"/>
      <c r="F983" s="564"/>
      <c r="G983" s="564"/>
      <c r="H983" s="564"/>
      <c r="I983" s="564"/>
      <c r="J983" s="564"/>
      <c r="K983" s="564"/>
      <c r="L983" s="564"/>
      <c r="M983" s="564"/>
      <c r="N983" s="564"/>
      <c r="O983" s="564"/>
      <c r="P983" s="564"/>
      <c r="Q983" s="564"/>
      <c r="R983" s="564"/>
      <c r="S983" s="564"/>
      <c r="T983" s="564"/>
      <c r="U983" s="564"/>
      <c r="V983" s="564"/>
      <c r="W983" s="564"/>
      <c r="X983" s="564"/>
      <c r="Y983" s="564"/>
      <c r="Z983" s="564"/>
      <c r="AA983" s="564"/>
      <c r="AB983" s="564"/>
      <c r="AC983" s="564"/>
      <c r="AD983" s="564"/>
      <c r="AE983" s="564"/>
      <c r="AF983" s="564"/>
      <c r="AG983" s="564"/>
      <c r="AH983" s="564"/>
      <c r="AI983" s="564"/>
      <c r="AJ983" s="564"/>
      <c r="AK983" s="564"/>
      <c r="AL983" s="564"/>
      <c r="AM983" s="564"/>
      <c r="AN983" s="564"/>
      <c r="AO983" s="564"/>
    </row>
    <row r="984" spans="2:41" x14ac:dyDescent="0.15">
      <c r="B984" s="566">
        <v>40</v>
      </c>
      <c r="C984" s="564"/>
      <c r="D984" s="564"/>
      <c r="E984" s="564"/>
      <c r="F984" s="564"/>
      <c r="G984" s="564"/>
      <c r="H984" s="564"/>
      <c r="I984" s="564"/>
      <c r="J984" s="564"/>
      <c r="K984" s="564"/>
      <c r="L984" s="564"/>
      <c r="M984" s="564"/>
      <c r="N984" s="564"/>
      <c r="O984" s="564"/>
      <c r="P984" s="564"/>
      <c r="Q984" s="564"/>
      <c r="R984" s="564"/>
      <c r="S984" s="564"/>
      <c r="T984" s="564"/>
      <c r="U984" s="564"/>
      <c r="V984" s="564"/>
      <c r="W984" s="564"/>
      <c r="X984" s="564"/>
      <c r="Y984" s="564"/>
      <c r="Z984" s="564"/>
      <c r="AA984" s="564"/>
      <c r="AB984" s="564"/>
      <c r="AC984" s="564"/>
      <c r="AD984" s="564"/>
      <c r="AE984" s="564"/>
      <c r="AF984" s="564"/>
      <c r="AG984" s="564"/>
      <c r="AH984" s="564"/>
      <c r="AI984" s="564"/>
      <c r="AJ984" s="564"/>
      <c r="AK984" s="564"/>
      <c r="AL984" s="564"/>
      <c r="AM984" s="564"/>
      <c r="AN984" s="564"/>
      <c r="AO984" s="564"/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53027-9FCA-4C88-802E-DC975D5DFA86}">
  <sheetPr codeName="Taul18"/>
  <dimension ref="C4:AC63"/>
  <sheetViews>
    <sheetView topLeftCell="H1" workbookViewId="0">
      <selection activeCell="R20" sqref="R20"/>
    </sheetView>
  </sheetViews>
  <sheetFormatPr baseColWidth="10" defaultColWidth="8.83203125" defaultRowHeight="13" x14ac:dyDescent="0.15"/>
  <cols>
    <col min="6" max="6" width="12.1640625" customWidth="1"/>
    <col min="7" max="7" width="7" customWidth="1"/>
    <col min="8" max="8" width="47" bestFit="1" customWidth="1"/>
    <col min="9" max="9" width="9.6640625" customWidth="1"/>
    <col min="11" max="11" width="5.83203125" customWidth="1"/>
    <col min="13" max="13" width="13.1640625" customWidth="1"/>
    <col min="14" max="14" width="9" bestFit="1" customWidth="1"/>
    <col min="15" max="15" width="23" bestFit="1" customWidth="1"/>
    <col min="16" max="16" width="12.5" bestFit="1" customWidth="1"/>
    <col min="17" max="17" width="13" bestFit="1" customWidth="1"/>
    <col min="18" max="18" width="9.5" bestFit="1" customWidth="1"/>
    <col min="19" max="19" width="9.33203125" bestFit="1" customWidth="1"/>
    <col min="20" max="20" width="9.83203125" bestFit="1" customWidth="1"/>
  </cols>
  <sheetData>
    <row r="4" spans="5:29" ht="14" thickBot="1" x14ac:dyDescent="0.2"/>
    <row r="5" spans="5:29" x14ac:dyDescent="0.1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" x14ac:dyDescent="0.15">
      <c r="H6" s="232" t="s">
        <v>485</v>
      </c>
      <c r="I6" s="457">
        <f>'R-series ALU'!E33</f>
        <v>9.7222222222222214</v>
      </c>
      <c r="J6" s="364" t="s">
        <v>72</v>
      </c>
      <c r="M6" s="232"/>
      <c r="AC6" s="364"/>
    </row>
    <row r="7" spans="5:29" x14ac:dyDescent="0.15">
      <c r="H7" s="232" t="s">
        <v>486</v>
      </c>
      <c r="I7" s="233">
        <f>I6*1.2*(I9-I8)</f>
        <v>221.66666666666666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15">
      <c r="E8" s="3"/>
      <c r="H8" s="232" t="s">
        <v>489</v>
      </c>
      <c r="I8" s="365">
        <f>'R-series ALU'!F86</f>
        <v>1</v>
      </c>
      <c r="J8" s="364" t="s">
        <v>230</v>
      </c>
      <c r="M8" s="234">
        <v>50</v>
      </c>
      <c r="N8" s="80">
        <v>4388.9688496702984</v>
      </c>
      <c r="O8" s="5">
        <v>0.29666666666665975</v>
      </c>
      <c r="AC8" s="364"/>
    </row>
    <row r="9" spans="5:29" x14ac:dyDescent="0.15">
      <c r="H9" s="232" t="s">
        <v>490</v>
      </c>
      <c r="I9" s="365">
        <f>'R-series ALU'!F87</f>
        <v>20</v>
      </c>
      <c r="J9" s="364" t="s">
        <v>230</v>
      </c>
      <c r="M9" s="234">
        <v>50</v>
      </c>
      <c r="N9" s="80">
        <v>5309.2365116979418</v>
      </c>
      <c r="O9" s="5">
        <v>-0.4704301075268873</v>
      </c>
      <c r="AC9" s="364"/>
    </row>
    <row r="10" spans="5:29" ht="14" thickBot="1" x14ac:dyDescent="0.2">
      <c r="H10" s="234" t="s">
        <v>491</v>
      </c>
      <c r="I10" s="365">
        <f>'R-series ALU'!F88</f>
        <v>50</v>
      </c>
      <c r="J10" s="364" t="s">
        <v>230</v>
      </c>
      <c r="M10" s="234">
        <v>50</v>
      </c>
      <c r="N10" s="80">
        <v>8494.7784187167072</v>
      </c>
      <c r="O10" s="5">
        <v>0.72365591397849016</v>
      </c>
      <c r="AC10" s="364"/>
    </row>
    <row r="11" spans="5:29" ht="14" thickBot="1" x14ac:dyDescent="0.2">
      <c r="H11" s="234" t="s">
        <v>492</v>
      </c>
      <c r="I11" s="365">
        <f>'R-series ALU'!F89</f>
        <v>30</v>
      </c>
      <c r="J11" s="364" t="s">
        <v>230</v>
      </c>
      <c r="M11" s="234">
        <v>50</v>
      </c>
      <c r="N11" s="80">
        <v>4388.9688496702984</v>
      </c>
      <c r="O11" s="5">
        <v>0.29666666666665975</v>
      </c>
      <c r="P11" t="s">
        <v>493</v>
      </c>
      <c r="Q11" s="366">
        <v>0.3</v>
      </c>
      <c r="AC11" s="364"/>
    </row>
    <row r="12" spans="5:29" x14ac:dyDescent="0.15">
      <c r="H12" s="232" t="s">
        <v>494</v>
      </c>
      <c r="I12" s="367">
        <f>$I$7/4186/(20)/1000/((12.5/2000)^2*PI())*0.0125/0.0000005729</f>
        <v>470.75230403721741</v>
      </c>
      <c r="J12" s="368" t="s">
        <v>393</v>
      </c>
      <c r="M12" s="234">
        <v>50</v>
      </c>
      <c r="N12" s="80">
        <v>3964.2299287344631</v>
      </c>
      <c r="O12" s="5">
        <v>0.41311827956988623</v>
      </c>
      <c r="AC12" s="364"/>
    </row>
    <row r="13" spans="5:29" ht="14" thickBot="1" x14ac:dyDescent="0.2">
      <c r="H13" s="369" t="s">
        <v>495</v>
      </c>
      <c r="I13" s="370">
        <f>I7/1000/($P$48)-$S$22</f>
        <v>3.1100157503288215</v>
      </c>
      <c r="J13" s="239" t="s">
        <v>496</v>
      </c>
      <c r="M13" s="234">
        <v>50</v>
      </c>
      <c r="N13" s="80">
        <v>3539.4910077986274</v>
      </c>
      <c r="O13" s="5">
        <v>-0.4704301075268873</v>
      </c>
      <c r="AC13" s="364"/>
    </row>
    <row r="14" spans="5:29" ht="14" thickBot="1" x14ac:dyDescent="0.2">
      <c r="M14" s="371">
        <v>50</v>
      </c>
      <c r="N14" s="257">
        <v>3114.7520868627926</v>
      </c>
      <c r="O14" s="209">
        <v>-0.85397849462366082</v>
      </c>
      <c r="P14" s="25"/>
      <c r="Q14" s="25"/>
      <c r="AC14" s="364"/>
    </row>
    <row r="15" spans="5:29" x14ac:dyDescent="0.15">
      <c r="H15" s="360" t="s">
        <v>497</v>
      </c>
      <c r="I15" s="372"/>
      <c r="J15" s="362"/>
      <c r="M15" s="234">
        <v>100</v>
      </c>
      <c r="N15" s="80">
        <v>7078.9820155972548</v>
      </c>
      <c r="O15" s="5">
        <v>0.89649814085133528</v>
      </c>
      <c r="AC15" s="364"/>
    </row>
    <row r="16" spans="5:29" x14ac:dyDescent="0.1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8707.1478791846239</v>
      </c>
      <c r="O16" s="5">
        <v>0.61512847549808924</v>
      </c>
      <c r="AC16" s="364"/>
    </row>
    <row r="17" spans="3:29" ht="14" thickBot="1" x14ac:dyDescent="0.2">
      <c r="C17" t="s">
        <v>532</v>
      </c>
      <c r="E17" t="b">
        <f>IF(I17&lt;I8,TRUE,FALSE)</f>
        <v>1</v>
      </c>
      <c r="F17" t="b">
        <f>IF(I17&gt;I16,TRUE,FALSE)</f>
        <v>0</v>
      </c>
      <c r="H17" s="234" t="s">
        <v>492</v>
      </c>
      <c r="I17" s="235">
        <f>(I13+AVERAGE(I8:I9))*2-I10</f>
        <v>-22.779968499342356</v>
      </c>
      <c r="J17" s="364" t="s">
        <v>230</v>
      </c>
      <c r="M17" s="234">
        <v>100</v>
      </c>
      <c r="N17" s="80">
        <v>13591.64546994673</v>
      </c>
      <c r="O17" s="5">
        <v>0.83375881014485387</v>
      </c>
      <c r="AC17" s="364"/>
    </row>
    <row r="18" spans="3:29" ht="16" thickBot="1" x14ac:dyDescent="0.2">
      <c r="E18" t="b">
        <f t="array" ref="E18">IF(ISERROR(I16:I22),TRUE,FALSE)</f>
        <v>0</v>
      </c>
      <c r="H18" s="234" t="s">
        <v>498</v>
      </c>
      <c r="I18" s="373">
        <f>I7/4186/(I16-I17)</f>
        <v>7.275943254249328E-4</v>
      </c>
      <c r="J18" s="364" t="s">
        <v>72</v>
      </c>
      <c r="M18" s="234">
        <v>100</v>
      </c>
      <c r="N18" s="80">
        <v>3822.6502884225179</v>
      </c>
      <c r="O18" s="5">
        <v>-4.9372606692935204</v>
      </c>
      <c r="P18" t="s">
        <v>493</v>
      </c>
      <c r="Q18" s="366">
        <f>IF($I$12&lt;6000,IF($I$12&lt;3500,-4.5,P20*$I$12+$Q$20),1)</f>
        <v>-4.5</v>
      </c>
      <c r="AC18" s="364"/>
    </row>
    <row r="19" spans="3:29" x14ac:dyDescent="0.15">
      <c r="E19" t="b">
        <f>IF(I18&lt;0,TRUE,IF(I19&gt;50,TRUE,FALSE))</f>
        <v>0</v>
      </c>
      <c r="H19" s="234" t="s">
        <v>499</v>
      </c>
      <c r="I19" s="235">
        <f>$O$62*I18^$M$62</f>
        <v>1.5984757318314553E-3</v>
      </c>
      <c r="J19" s="364" t="s">
        <v>500</v>
      </c>
      <c r="M19" s="234">
        <v>100</v>
      </c>
      <c r="N19" s="80">
        <v>7078.9820155972548</v>
      </c>
      <c r="O19" s="5">
        <v>0.89649814085133528</v>
      </c>
      <c r="AC19" s="364"/>
    </row>
    <row r="20" spans="3:29" x14ac:dyDescent="0.15">
      <c r="E20" t="b">
        <f>IF(I18&lt;0,TRUE,IF(I20&gt;50,TRUE,FALSE))</f>
        <v>0</v>
      </c>
      <c r="H20" s="234" t="s">
        <v>557</v>
      </c>
      <c r="I20" s="235">
        <f>((I18*3.6)/1)^2*100</f>
        <v>6.8609397909816965E-4</v>
      </c>
      <c r="J20" s="364" t="s">
        <v>500</v>
      </c>
      <c r="M20" s="234">
        <v>100</v>
      </c>
      <c r="N20" s="80">
        <v>6512.6634543494738</v>
      </c>
      <c r="O20" s="5">
        <v>1.1047782895832228</v>
      </c>
      <c r="P20" cm="1">
        <f t="array" ref="P20:Q20">LINEST(O18:O22,N18:N22)</f>
        <v>1.787327714179628E-3</v>
      </c>
      <c r="Q20">
        <v>-10.938996315284054</v>
      </c>
      <c r="S20" t="s">
        <v>488</v>
      </c>
      <c r="AC20" s="364"/>
    </row>
    <row r="21" spans="3:29" x14ac:dyDescent="0.15">
      <c r="E21" t="b">
        <f>IF(I22&lt;3000,TRUE,FALSE)</f>
        <v>1</v>
      </c>
      <c r="H21" s="234" t="s">
        <v>501</v>
      </c>
      <c r="I21" s="373">
        <f>I18/1000/((12.5/2000)^2*PI())</f>
        <v>5.9289719529979469E-3</v>
      </c>
      <c r="J21" s="364" t="s">
        <v>502</v>
      </c>
      <c r="M21" s="234">
        <v>100</v>
      </c>
      <c r="N21" s="80">
        <v>5663.1856124778033</v>
      </c>
      <c r="O21" s="5">
        <v>-0.58280148731893533</v>
      </c>
      <c r="AC21" s="364"/>
    </row>
    <row r="22" spans="3:29" ht="14" thickBot="1" x14ac:dyDescent="0.2">
      <c r="D22" s="2" t="s">
        <v>536</v>
      </c>
      <c r="E22" s="2" t="b">
        <f>IF(OR(E17,E18,F17,E21,E19,E20),TRUE,FALSE)</f>
        <v>1</v>
      </c>
      <c r="H22" s="369" t="s">
        <v>487</v>
      </c>
      <c r="I22" s="374">
        <f>I21*0.0125/0.0000005729</f>
        <v>129.36315135708563</v>
      </c>
      <c r="J22" s="375" t="s">
        <v>393</v>
      </c>
      <c r="M22" s="371">
        <v>100</v>
      </c>
      <c r="N22" s="257">
        <v>4955.2874109180793</v>
      </c>
      <c r="O22" s="209">
        <v>-1.0724513014040689</v>
      </c>
      <c r="P22" s="25"/>
      <c r="Q22" s="25"/>
      <c r="S22" s="32">
        <f>IF($I$6&lt;50,T24,IF($I$6&gt;300,$T$27,S31*I6^2+T31*I6+U31))</f>
        <v>0.3</v>
      </c>
      <c r="AC22" s="364"/>
    </row>
    <row r="23" spans="3:29" ht="14" thickBot="1" x14ac:dyDescent="0.2">
      <c r="M23" s="234">
        <v>200</v>
      </c>
      <c r="N23" s="80">
        <v>11184.791584643664</v>
      </c>
      <c r="O23" s="5">
        <v>1.4390129038334791</v>
      </c>
      <c r="AC23" s="364"/>
    </row>
    <row r="24" spans="3:29" x14ac:dyDescent="0.15">
      <c r="H24" s="360" t="s">
        <v>503</v>
      </c>
      <c r="I24" s="361"/>
      <c r="J24" s="362"/>
      <c r="M24" s="234">
        <v>200</v>
      </c>
      <c r="N24" s="80">
        <v>13804.014930414649</v>
      </c>
      <c r="O24" s="5">
        <v>1.3612131487237491</v>
      </c>
      <c r="S24" s="233">
        <v>50</v>
      </c>
      <c r="T24" s="376">
        <f>Q11</f>
        <v>0.3</v>
      </c>
      <c r="AC24" s="364"/>
    </row>
    <row r="25" spans="3:29" ht="14" thickBot="1" x14ac:dyDescent="0.2">
      <c r="C25" t="s">
        <v>532</v>
      </c>
      <c r="E25" t="b">
        <f>IF(I26&lt;I8,TRUE,FALSE)</f>
        <v>0</v>
      </c>
      <c r="F25" t="b">
        <f>IF(I26&gt;I25,TRUE,FALSE)</f>
        <v>1</v>
      </c>
      <c r="H25" s="234" t="s">
        <v>491</v>
      </c>
      <c r="I25" s="235">
        <f>(I13+AVERAGE(I8:I9))*2-I11</f>
        <v>-2.7799684993423561</v>
      </c>
      <c r="J25" s="364" t="s">
        <v>230</v>
      </c>
      <c r="M25" s="234">
        <v>200</v>
      </c>
      <c r="N25" s="80">
        <v>22511.162809599275</v>
      </c>
      <c r="O25" s="5">
        <v>2.7945276443439795</v>
      </c>
      <c r="S25" s="233">
        <v>100</v>
      </c>
      <c r="T25" s="376">
        <f>Q18</f>
        <v>-4.5</v>
      </c>
      <c r="AC25" s="364"/>
    </row>
    <row r="26" spans="3:29" ht="14" thickBot="1" x14ac:dyDescent="0.2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6158.7143535696114</v>
      </c>
      <c r="O26" s="5">
        <v>-4.338843364415558</v>
      </c>
      <c r="P26" t="s">
        <v>493</v>
      </c>
      <c r="Q26" s="366">
        <f>IF($I$12&lt;11200,IF($I$12&lt;6000,-4.5,P28*$I$12+$Q$28),1.4)</f>
        <v>-4.5</v>
      </c>
      <c r="S26" s="233">
        <v>200</v>
      </c>
      <c r="T26" s="376">
        <f>Q26</f>
        <v>-4.5</v>
      </c>
      <c r="AC26" s="364"/>
    </row>
    <row r="27" spans="3:29" ht="15" x14ac:dyDescent="0.15">
      <c r="H27" s="234" t="s">
        <v>498</v>
      </c>
      <c r="I27" s="373">
        <f>I7/4186/(I25-I26)</f>
        <v>-1.615446704464931E-3</v>
      </c>
      <c r="J27" s="364" t="s">
        <v>72</v>
      </c>
      <c r="M27" s="234">
        <v>200</v>
      </c>
      <c r="N27" s="80">
        <v>11184.791584643664</v>
      </c>
      <c r="O27" s="5">
        <v>1.4390129038334791</v>
      </c>
      <c r="S27" s="233">
        <v>300</v>
      </c>
      <c r="T27" s="376">
        <f>Q34</f>
        <v>-4.5</v>
      </c>
      <c r="AC27" s="364"/>
    </row>
    <row r="28" spans="3:29" x14ac:dyDescent="0.15">
      <c r="E28" t="b">
        <f>IF(I27&lt;0,TRUE,IF(I28&gt;50,TRUE,FALSE))</f>
        <v>1</v>
      </c>
      <c r="H28" s="234" t="s">
        <v>499</v>
      </c>
      <c r="I28" s="235" t="e">
        <f>$O$62*I27^$M$62</f>
        <v>#NUM!</v>
      </c>
      <c r="J28" s="364" t="s">
        <v>500</v>
      </c>
      <c r="M28" s="234">
        <v>200</v>
      </c>
      <c r="N28" s="80">
        <v>9910.5748218361587</v>
      </c>
      <c r="O28" s="5">
        <v>-0.11100122445134986</v>
      </c>
      <c r="P28" cm="1">
        <f t="array" ref="P28:Q28">LINEST(O26:O30,N26:N30)</f>
        <v>1.1045324592867574E-3</v>
      </c>
      <c r="Q28">
        <v>-11.031351040807914</v>
      </c>
      <c r="AC28" s="364"/>
    </row>
    <row r="29" spans="3:29" x14ac:dyDescent="0.15">
      <c r="E29" t="b">
        <f>IF(I27&lt;0,TRUE,IF(I29&gt;50,TRUE,FALSE))</f>
        <v>1</v>
      </c>
      <c r="H29" s="234" t="s">
        <v>557</v>
      </c>
      <c r="I29" s="235">
        <f>((I27*3.6)/1)^2*100</f>
        <v>3.3821297992367217E-3</v>
      </c>
      <c r="J29" s="364" t="s">
        <v>500</v>
      </c>
      <c r="M29" s="234">
        <v>200</v>
      </c>
      <c r="N29" s="80">
        <v>8494.7784187167072</v>
      </c>
      <c r="O29" s="5">
        <v>-2.1665724781011555</v>
      </c>
      <c r="S29" cm="1">
        <f t="array" ref="S29:T29">LINEST(T24:T27,S24:S27)</f>
        <v>-1.4644067796610174E-2</v>
      </c>
      <c r="T29">
        <v>-0.9203389830508466</v>
      </c>
      <c r="AC29" s="364"/>
    </row>
    <row r="30" spans="3:29" x14ac:dyDescent="0.15">
      <c r="E30" t="b">
        <f>IF(I31&lt;3000,TRUE,FALSE)</f>
        <v>1</v>
      </c>
      <c r="H30" s="234" t="s">
        <v>501</v>
      </c>
      <c r="I30" s="373">
        <f>I27/1000/((12.5/2000)^2*PI())</f>
        <v>-1.3163844009835826E-2</v>
      </c>
      <c r="J30" s="364" t="s">
        <v>502</v>
      </c>
      <c r="M30" s="371">
        <v>200</v>
      </c>
      <c r="N30" s="257">
        <v>7503.72093653309</v>
      </c>
      <c r="O30" s="209">
        <v>-2.2054723556560205</v>
      </c>
      <c r="P30" s="25"/>
      <c r="Q30" s="25"/>
      <c r="AC30" s="364"/>
    </row>
    <row r="31" spans="3:29" ht="14" thickBot="1" x14ac:dyDescent="0.2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-287.21949750907288</v>
      </c>
      <c r="J31" s="375" t="s">
        <v>393</v>
      </c>
      <c r="M31" s="234">
        <v>300</v>
      </c>
      <c r="N31" s="80">
        <v>14299.543671506455</v>
      </c>
      <c r="O31" s="5">
        <v>2.5297009951182972</v>
      </c>
      <c r="S31">
        <f t="array" ref="S31:U31">LINEST(T24:T27,S24:S27^{1,2})</f>
        <v>1.833165829145728E-4</v>
      </c>
      <c r="T31">
        <v>-7.9115577889447217E-2</v>
      </c>
      <c r="U31">
        <v>3.0256281407035157</v>
      </c>
      <c r="AC31" s="364"/>
    </row>
    <row r="32" spans="3:29" x14ac:dyDescent="0.15">
      <c r="M32" s="234">
        <v>300</v>
      </c>
      <c r="N32" s="80">
        <v>17626.665218837166</v>
      </c>
      <c r="O32" s="5">
        <v>2.2719325009388029</v>
      </c>
      <c r="AC32" s="364"/>
    </row>
    <row r="33" spans="9:29" ht="14" thickBot="1" x14ac:dyDescent="0.2">
      <c r="I33" s="213"/>
      <c r="M33" s="234">
        <v>300</v>
      </c>
      <c r="N33" s="80">
        <v>25909.074177085957</v>
      </c>
      <c r="O33" s="5">
        <v>-0.20978454750281017</v>
      </c>
      <c r="AC33" s="364"/>
    </row>
    <row r="34" spans="9:29" ht="14" thickBot="1" x14ac:dyDescent="0.2">
      <c r="M34" s="234">
        <v>300</v>
      </c>
      <c r="N34" s="80">
        <v>7645.3005768450357</v>
      </c>
      <c r="O34" s="5">
        <v>-4.4844630116410027</v>
      </c>
      <c r="P34" t="s">
        <v>493</v>
      </c>
      <c r="Q34" s="366">
        <f>IF($I$12&lt;14000,IF($I$12&lt;7800,-4.5,P36*$I$12+$Q$36),1.7)</f>
        <v>-4.5</v>
      </c>
      <c r="AC34" s="364"/>
    </row>
    <row r="35" spans="9:29" x14ac:dyDescent="0.15">
      <c r="M35" s="234">
        <v>300</v>
      </c>
      <c r="N35" s="80">
        <v>14299.543671506455</v>
      </c>
      <c r="O35" s="5">
        <v>2.5297009951182972</v>
      </c>
      <c r="AC35" s="364"/>
    </row>
    <row r="36" spans="9:29" x14ac:dyDescent="0.15">
      <c r="M36" s="234">
        <v>300</v>
      </c>
      <c r="N36" s="80">
        <v>12175.849066827279</v>
      </c>
      <c r="O36" s="5">
        <v>-0.93510608336461587</v>
      </c>
      <c r="P36" cm="1">
        <f t="array" ref="P36:Q36">LINEST(O34:O38,N34:N38)</f>
        <v>1.0013521659768705E-3</v>
      </c>
      <c r="Q36">
        <v>-12.355446785052449</v>
      </c>
      <c r="AC36" s="364"/>
    </row>
    <row r="37" spans="9:29" x14ac:dyDescent="0.15">
      <c r="M37" s="234">
        <v>300</v>
      </c>
      <c r="N37" s="80">
        <v>10760.052663707826</v>
      </c>
      <c r="O37" s="5">
        <v>-1.7449774690198936</v>
      </c>
      <c r="AC37" s="364"/>
    </row>
    <row r="38" spans="9:29" ht="14" thickBot="1" x14ac:dyDescent="0.2">
      <c r="M38" s="369">
        <v>300</v>
      </c>
      <c r="N38" s="377">
        <v>9202.676620276432</v>
      </c>
      <c r="O38" s="378">
        <v>-2.9858359932406984</v>
      </c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" thickBot="1" x14ac:dyDescent="0.2">
      <c r="M39" s="233"/>
    </row>
    <row r="40" spans="9:29" x14ac:dyDescent="0.1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15">
      <c r="M41" s="232"/>
      <c r="AC41" s="364"/>
    </row>
    <row r="42" spans="9:29" x14ac:dyDescent="0.15">
      <c r="M42" s="232" t="s">
        <v>485</v>
      </c>
      <c r="N42" t="s">
        <v>505</v>
      </c>
      <c r="P42" t="s">
        <v>506</v>
      </c>
      <c r="AC42" s="364"/>
    </row>
    <row r="43" spans="9:29" ht="14" thickBot="1" x14ac:dyDescent="0.2">
      <c r="M43" s="234">
        <v>50</v>
      </c>
      <c r="N43" s="99">
        <v>0.10403848305179553</v>
      </c>
      <c r="P43">
        <f t="array" ref="P43:Q43">LINEST(LN(N43:N46),LN(M43:M46))</f>
        <v>0.45113381931898666</v>
      </c>
      <c r="Q43">
        <v>-4.0232887808944744</v>
      </c>
      <c r="R43">
        <f>EXP(Q43)</f>
        <v>1.7894018555412273E-2</v>
      </c>
      <c r="AC43" s="364"/>
    </row>
    <row r="44" spans="9:29" ht="14" thickBot="1" x14ac:dyDescent="0.2">
      <c r="M44" s="234">
        <v>100</v>
      </c>
      <c r="N44" s="99">
        <v>0.14328085241730276</v>
      </c>
      <c r="P44" s="379">
        <f>R43*I6^(P43)</f>
        <v>4.9925488806864766E-2</v>
      </c>
      <c r="AC44" s="364"/>
    </row>
    <row r="45" spans="9:29" x14ac:dyDescent="0.15">
      <c r="M45" s="234">
        <v>200</v>
      </c>
      <c r="N45" s="99">
        <v>0.19780158360503025</v>
      </c>
      <c r="AC45" s="364"/>
    </row>
    <row r="46" spans="9:29" x14ac:dyDescent="0.15">
      <c r="M46" s="234">
        <v>300</v>
      </c>
      <c r="N46" s="99">
        <v>0.23202548533776235</v>
      </c>
      <c r="P46" t="s">
        <v>507</v>
      </c>
      <c r="AC46" s="364"/>
    </row>
    <row r="47" spans="9:29" ht="14" thickBot="1" x14ac:dyDescent="0.2">
      <c r="M47" s="232"/>
      <c r="P47">
        <f t="array" ref="P47:S47">LINEST(N43:N46,M43:M46^{1,2,3})</f>
        <v>2.3310361205440623E-9</v>
      </c>
      <c r="Q47">
        <v>-2.4134631450762083E-6</v>
      </c>
      <c r="R47">
        <v>1.1060737269620539E-3</v>
      </c>
      <c r="S47">
        <v>5.4477075051315327E-2</v>
      </c>
      <c r="AC47" s="364"/>
    </row>
    <row r="48" spans="9:29" ht="14" thickBot="1" x14ac:dyDescent="0.2">
      <c r="M48" s="232"/>
      <c r="P48" s="379">
        <f>P47*I6^3+Q47*I6^2+R47*I6+S47</f>
        <v>6.5004587338135245E-2</v>
      </c>
      <c r="AC48" s="364"/>
    </row>
    <row r="49" spans="13:29" x14ac:dyDescent="0.15">
      <c r="M49" s="232"/>
      <c r="AC49" s="364"/>
    </row>
    <row r="50" spans="13:29" x14ac:dyDescent="0.15">
      <c r="M50" s="232"/>
      <c r="O50" s="380"/>
      <c r="AC50" s="364"/>
    </row>
    <row r="51" spans="13:29" x14ac:dyDescent="0.15">
      <c r="M51" s="232"/>
      <c r="AC51" s="364"/>
    </row>
    <row r="52" spans="13:29" x14ac:dyDescent="0.15">
      <c r="M52" s="232"/>
      <c r="AC52" s="364"/>
    </row>
    <row r="53" spans="13:29" x14ac:dyDescent="0.15">
      <c r="M53" s="232"/>
      <c r="AC53" s="364"/>
    </row>
    <row r="54" spans="13:29" x14ac:dyDescent="0.15">
      <c r="M54" s="232"/>
      <c r="AC54" s="364"/>
    </row>
    <row r="55" spans="13:29" x14ac:dyDescent="0.15">
      <c r="M55" s="232"/>
      <c r="AC55" s="364"/>
    </row>
    <row r="56" spans="13:29" x14ac:dyDescent="0.15">
      <c r="M56" s="232"/>
      <c r="AC56" s="364"/>
    </row>
    <row r="57" spans="13:29" ht="14" thickBot="1" x14ac:dyDescent="0.2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" thickBot="1" x14ac:dyDescent="0.2"/>
    <row r="60" spans="13:29" x14ac:dyDescent="0.15">
      <c r="M60" s="303" t="s">
        <v>508</v>
      </c>
      <c r="N60" s="230"/>
      <c r="O60" s="230"/>
      <c r="P60" s="231"/>
    </row>
    <row r="61" spans="13:29" x14ac:dyDescent="0.15">
      <c r="M61" s="232"/>
      <c r="P61" s="364"/>
    </row>
    <row r="62" spans="13:29" x14ac:dyDescent="0.15">
      <c r="M62" s="381">
        <v>1.7870277953295908</v>
      </c>
      <c r="N62">
        <v>6.4739415400072904</v>
      </c>
      <c r="O62">
        <f>EXP(N62)</f>
        <v>648.03294752602937</v>
      </c>
      <c r="P62" s="364"/>
    </row>
    <row r="63" spans="13:29" ht="14" thickBot="1" x14ac:dyDescent="0.2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F74EB-C25B-483A-854B-2F277587A0F6}">
  <dimension ref="B1:K861"/>
  <sheetViews>
    <sheetView showGridLines="0" zoomScaleNormal="100" workbookViewId="0">
      <selection activeCell="B126" sqref="B126"/>
    </sheetView>
  </sheetViews>
  <sheetFormatPr baseColWidth="10" defaultColWidth="9.1640625" defaultRowHeight="15" x14ac:dyDescent="0.2"/>
  <cols>
    <col min="1" max="3" width="9.1640625" style="568"/>
    <col min="4" max="4" width="59.5" style="569" customWidth="1"/>
    <col min="5" max="11" width="59.5" style="568" customWidth="1"/>
    <col min="12" max="16384" width="9.1640625" style="568"/>
  </cols>
  <sheetData>
    <row r="1" spans="2:11" x14ac:dyDescent="0.2">
      <c r="B1" s="567" t="str" cm="1">
        <f t="array" aca="1" ref="B1" ca="1">MID(CELL("filename",$A$1),FIND("]",CELL("filename",$A$1))+1,255)</f>
        <v>KirjastoC (kaupungit)</v>
      </c>
    </row>
    <row r="3" spans="2:11" ht="18" thickBot="1" x14ac:dyDescent="0.25">
      <c r="B3" s="567" t="s">
        <v>705</v>
      </c>
      <c r="D3" s="570" t="s">
        <v>706</v>
      </c>
      <c r="E3" s="571" t="s">
        <v>708</v>
      </c>
      <c r="F3" s="572" t="s">
        <v>709</v>
      </c>
      <c r="G3" s="573" t="s">
        <v>710</v>
      </c>
      <c r="H3" s="759" t="s">
        <v>1397</v>
      </c>
      <c r="I3" s="761" t="s">
        <v>1398</v>
      </c>
      <c r="J3" s="763" t="s">
        <v>1399</v>
      </c>
      <c r="K3" s="765" t="s">
        <v>1400</v>
      </c>
    </row>
    <row r="4" spans="2:11" ht="16" x14ac:dyDescent="0.2">
      <c r="B4" s="502">
        <f>KirjastoC!$B$4</f>
        <v>1</v>
      </c>
      <c r="C4" s="567">
        <v>1</v>
      </c>
      <c r="D4" s="574" t="s">
        <v>1016</v>
      </c>
      <c r="E4" s="575" t="s">
        <v>1016</v>
      </c>
      <c r="F4" s="576" t="s">
        <v>1017</v>
      </c>
      <c r="G4" s="577" t="s">
        <v>1016</v>
      </c>
      <c r="H4" s="767" t="s">
        <v>1016</v>
      </c>
      <c r="I4" s="770" t="s">
        <v>1016</v>
      </c>
      <c r="J4" s="773" t="s">
        <v>1016</v>
      </c>
      <c r="K4" s="776" t="s">
        <v>1016</v>
      </c>
    </row>
    <row r="5" spans="2:11" ht="16" x14ac:dyDescent="0.2">
      <c r="C5" s="567">
        <v>2</v>
      </c>
      <c r="D5" s="578" t="s">
        <v>270</v>
      </c>
      <c r="E5" s="579" t="s">
        <v>270</v>
      </c>
      <c r="F5" s="580" t="s">
        <v>1018</v>
      </c>
      <c r="G5" s="581" t="s">
        <v>270</v>
      </c>
      <c r="H5" s="768" t="s">
        <v>270</v>
      </c>
      <c r="I5" s="771" t="s">
        <v>270</v>
      </c>
      <c r="J5" s="774" t="s">
        <v>270</v>
      </c>
      <c r="K5" s="777" t="s">
        <v>270</v>
      </c>
    </row>
    <row r="6" spans="2:11" ht="16" x14ac:dyDescent="0.2">
      <c r="C6" s="567">
        <v>3</v>
      </c>
      <c r="D6" s="578" t="s">
        <v>271</v>
      </c>
      <c r="E6" s="579" t="s">
        <v>271</v>
      </c>
      <c r="F6" s="580" t="s">
        <v>271</v>
      </c>
      <c r="G6" s="581" t="s">
        <v>271</v>
      </c>
      <c r="H6" s="768" t="s">
        <v>271</v>
      </c>
      <c r="I6" s="771" t="s">
        <v>271</v>
      </c>
      <c r="J6" s="774" t="s">
        <v>271</v>
      </c>
      <c r="K6" s="777" t="s">
        <v>271</v>
      </c>
    </row>
    <row r="7" spans="2:11" ht="16" x14ac:dyDescent="0.2">
      <c r="C7" s="567">
        <v>4</v>
      </c>
      <c r="D7" s="578" t="s">
        <v>272</v>
      </c>
      <c r="E7" s="579" t="s">
        <v>272</v>
      </c>
      <c r="F7" s="580" t="s">
        <v>272</v>
      </c>
      <c r="G7" s="581" t="s">
        <v>272</v>
      </c>
      <c r="H7" s="768" t="s">
        <v>272</v>
      </c>
      <c r="I7" s="771" t="s">
        <v>272</v>
      </c>
      <c r="J7" s="774" t="s">
        <v>272</v>
      </c>
      <c r="K7" s="777" t="s">
        <v>272</v>
      </c>
    </row>
    <row r="8" spans="2:11" ht="16" x14ac:dyDescent="0.2">
      <c r="C8" s="567">
        <v>5</v>
      </c>
      <c r="D8" s="578" t="s">
        <v>1025</v>
      </c>
      <c r="E8" s="756" t="s">
        <v>1391</v>
      </c>
      <c r="F8" s="580" t="s">
        <v>1391</v>
      </c>
      <c r="G8" s="757" t="s">
        <v>1391</v>
      </c>
      <c r="H8" s="769" t="s">
        <v>1404</v>
      </c>
      <c r="I8" s="772" t="s">
        <v>1391</v>
      </c>
      <c r="J8" s="775" t="s">
        <v>1406</v>
      </c>
      <c r="K8" s="778" t="s">
        <v>1408</v>
      </c>
    </row>
    <row r="9" spans="2:11" ht="16" x14ac:dyDescent="0.2">
      <c r="C9" s="567">
        <v>6</v>
      </c>
      <c r="D9" s="578" t="s">
        <v>1028</v>
      </c>
      <c r="E9" s="756" t="s">
        <v>1389</v>
      </c>
      <c r="F9" s="580" t="s">
        <v>1390</v>
      </c>
      <c r="G9" s="757" t="s">
        <v>1390</v>
      </c>
      <c r="H9" s="769" t="s">
        <v>1405</v>
      </c>
      <c r="I9" s="772" t="s">
        <v>1390</v>
      </c>
      <c r="J9" s="775" t="s">
        <v>1407</v>
      </c>
      <c r="K9" s="778" t="s">
        <v>1409</v>
      </c>
    </row>
    <row r="10" spans="2:11" ht="16" x14ac:dyDescent="0.2">
      <c r="C10" s="567">
        <v>7</v>
      </c>
      <c r="D10" s="578" t="s">
        <v>1019</v>
      </c>
      <c r="E10" s="756" t="s">
        <v>1361</v>
      </c>
      <c r="F10" s="580" t="s">
        <v>1361</v>
      </c>
      <c r="G10" s="757" t="s">
        <v>1361</v>
      </c>
      <c r="H10" s="769" t="s">
        <v>1401</v>
      </c>
      <c r="I10" s="772" t="s">
        <v>1361</v>
      </c>
      <c r="J10" s="775" t="s">
        <v>1402</v>
      </c>
      <c r="K10" s="778" t="s">
        <v>1403</v>
      </c>
    </row>
    <row r="11" spans="2:11" ht="16" x14ac:dyDescent="0.2">
      <c r="C11" s="567">
        <v>8</v>
      </c>
      <c r="D11" s="578" t="s">
        <v>1377</v>
      </c>
      <c r="E11" s="756" t="s">
        <v>1382</v>
      </c>
      <c r="F11" s="580" t="s">
        <v>1382</v>
      </c>
      <c r="G11" s="757" t="s">
        <v>1382</v>
      </c>
      <c r="H11" s="769" t="s">
        <v>1410</v>
      </c>
      <c r="I11" s="772" t="s">
        <v>1411</v>
      </c>
      <c r="J11" s="775" t="s">
        <v>1412</v>
      </c>
      <c r="K11" s="778" t="s">
        <v>1410</v>
      </c>
    </row>
    <row r="12" spans="2:11" ht="16" x14ac:dyDescent="0.2">
      <c r="C12" s="567">
        <v>9</v>
      </c>
      <c r="D12" s="578" t="s">
        <v>1379</v>
      </c>
      <c r="E12" s="756" t="s">
        <v>1383</v>
      </c>
      <c r="F12" s="580" t="s">
        <v>1383</v>
      </c>
      <c r="G12" s="757" t="s">
        <v>1384</v>
      </c>
      <c r="H12" s="769" t="s">
        <v>1413</v>
      </c>
      <c r="I12" s="772" t="s">
        <v>1383</v>
      </c>
      <c r="J12" s="775" t="s">
        <v>1414</v>
      </c>
      <c r="K12" s="778" t="s">
        <v>1383</v>
      </c>
    </row>
    <row r="13" spans="2:11" ht="16" x14ac:dyDescent="0.2">
      <c r="C13" s="567">
        <v>10</v>
      </c>
      <c r="D13" s="578" t="s">
        <v>1022</v>
      </c>
      <c r="E13" s="756" t="s">
        <v>1371</v>
      </c>
      <c r="F13" s="580" t="s">
        <v>1372</v>
      </c>
      <c r="G13" s="757" t="s">
        <v>1373</v>
      </c>
      <c r="H13" s="769" t="s">
        <v>1372</v>
      </c>
      <c r="I13" s="772" t="s">
        <v>1415</v>
      </c>
      <c r="J13" s="775" t="s">
        <v>1416</v>
      </c>
      <c r="K13" s="778" t="s">
        <v>1417</v>
      </c>
    </row>
    <row r="14" spans="2:11" ht="16" x14ac:dyDescent="0.2">
      <c r="C14" s="567">
        <v>11</v>
      </c>
      <c r="D14" s="668" t="s">
        <v>1381</v>
      </c>
      <c r="E14" s="756" t="s">
        <v>1387</v>
      </c>
      <c r="F14" s="580" t="s">
        <v>1387</v>
      </c>
      <c r="G14" s="757" t="s">
        <v>1388</v>
      </c>
      <c r="H14" s="769" t="s">
        <v>1418</v>
      </c>
      <c r="I14" s="772" t="s">
        <v>1418</v>
      </c>
      <c r="J14" s="775" t="s">
        <v>1419</v>
      </c>
      <c r="K14" s="778" t="s">
        <v>1420</v>
      </c>
    </row>
    <row r="15" spans="2:11" ht="16" x14ac:dyDescent="0.2">
      <c r="C15" s="567">
        <v>12</v>
      </c>
      <c r="D15" s="758" t="s">
        <v>1380</v>
      </c>
      <c r="E15" s="756" t="s">
        <v>1385</v>
      </c>
      <c r="F15" s="580" t="s">
        <v>1385</v>
      </c>
      <c r="G15" s="757" t="s">
        <v>1386</v>
      </c>
      <c r="H15" s="769" t="s">
        <v>1421</v>
      </c>
      <c r="I15" s="772" t="s">
        <v>1421</v>
      </c>
      <c r="J15" s="775" t="s">
        <v>1422</v>
      </c>
      <c r="K15" s="778" t="s">
        <v>1423</v>
      </c>
    </row>
    <row r="16" spans="2:11" ht="16" x14ac:dyDescent="0.2">
      <c r="C16" s="567">
        <v>13</v>
      </c>
      <c r="D16" s="758" t="s">
        <v>1024</v>
      </c>
      <c r="E16" s="756" t="s">
        <v>1375</v>
      </c>
      <c r="F16" s="580" t="s">
        <v>1375</v>
      </c>
      <c r="G16" s="757" t="s">
        <v>1375</v>
      </c>
      <c r="H16" s="769" t="s">
        <v>1424</v>
      </c>
      <c r="I16" s="772" t="s">
        <v>1375</v>
      </c>
      <c r="J16" s="775" t="s">
        <v>1425</v>
      </c>
      <c r="K16" s="778" t="s">
        <v>1426</v>
      </c>
    </row>
    <row r="17" spans="3:11" ht="16" x14ac:dyDescent="0.2">
      <c r="C17" s="567">
        <v>14</v>
      </c>
      <c r="D17" s="758" t="s">
        <v>1206</v>
      </c>
      <c r="E17" s="756" t="s">
        <v>1428</v>
      </c>
      <c r="F17" s="580" t="s">
        <v>1427</v>
      </c>
      <c r="G17" s="757" t="s">
        <v>1427</v>
      </c>
      <c r="H17" s="769" t="s">
        <v>1429</v>
      </c>
      <c r="I17" s="772" t="s">
        <v>1427</v>
      </c>
      <c r="J17" s="775" t="s">
        <v>1430</v>
      </c>
      <c r="K17" s="778" t="s">
        <v>1431</v>
      </c>
    </row>
    <row r="18" spans="3:11" ht="16" x14ac:dyDescent="0.2">
      <c r="C18" s="567">
        <v>15</v>
      </c>
      <c r="D18" s="758" t="s">
        <v>1020</v>
      </c>
      <c r="E18" s="756" t="s">
        <v>1365</v>
      </c>
      <c r="F18" s="580" t="s">
        <v>1365</v>
      </c>
      <c r="G18" s="757" t="s">
        <v>1365</v>
      </c>
      <c r="H18" s="769" t="s">
        <v>1365</v>
      </c>
      <c r="I18" s="772" t="s">
        <v>1365</v>
      </c>
      <c r="J18" s="775" t="s">
        <v>1365</v>
      </c>
      <c r="K18" s="778" t="s">
        <v>1432</v>
      </c>
    </row>
    <row r="19" spans="3:11" ht="16" x14ac:dyDescent="0.2">
      <c r="C19" s="567">
        <v>16</v>
      </c>
      <c r="D19" s="758" t="s">
        <v>1021</v>
      </c>
      <c r="E19" s="756" t="s">
        <v>1362</v>
      </c>
      <c r="F19" s="580" t="s">
        <v>1363</v>
      </c>
      <c r="G19" s="757" t="s">
        <v>1364</v>
      </c>
      <c r="H19" s="769" t="s">
        <v>1433</v>
      </c>
      <c r="I19" s="772" t="s">
        <v>1434</v>
      </c>
      <c r="J19" s="775" t="s">
        <v>1435</v>
      </c>
      <c r="K19" s="778" t="s">
        <v>1433</v>
      </c>
    </row>
    <row r="20" spans="3:11" ht="16" x14ac:dyDescent="0.2">
      <c r="C20" s="567">
        <v>17</v>
      </c>
      <c r="D20" s="578" t="s">
        <v>1023</v>
      </c>
      <c r="E20" s="579" t="s">
        <v>1374</v>
      </c>
      <c r="F20" s="580" t="s">
        <v>1374</v>
      </c>
      <c r="G20" s="581" t="s">
        <v>1374</v>
      </c>
      <c r="H20" s="768" t="s">
        <v>1374</v>
      </c>
      <c r="I20" s="772" t="s">
        <v>1436</v>
      </c>
      <c r="J20" s="775" t="s">
        <v>1438</v>
      </c>
      <c r="K20" s="778" t="s">
        <v>1437</v>
      </c>
    </row>
    <row r="21" spans="3:11" x14ac:dyDescent="0.2">
      <c r="C21" s="567">
        <v>18</v>
      </c>
      <c r="D21" s="578"/>
      <c r="E21" s="579"/>
      <c r="F21" s="580"/>
      <c r="G21" s="581"/>
      <c r="H21" s="768"/>
      <c r="I21" s="771"/>
      <c r="J21" s="774"/>
      <c r="K21" s="777"/>
    </row>
    <row r="22" spans="3:11" x14ac:dyDescent="0.2">
      <c r="C22" s="567">
        <v>19</v>
      </c>
      <c r="D22" s="578"/>
      <c r="E22" s="579"/>
      <c r="F22" s="580"/>
      <c r="G22" s="581"/>
      <c r="H22" s="768"/>
      <c r="I22" s="771"/>
      <c r="J22" s="774"/>
      <c r="K22" s="777"/>
    </row>
    <row r="23" spans="3:11" x14ac:dyDescent="0.2">
      <c r="C23" s="567">
        <v>20</v>
      </c>
      <c r="D23" s="578"/>
      <c r="E23" s="579"/>
      <c r="F23" s="580"/>
      <c r="G23" s="581"/>
      <c r="H23" s="768"/>
      <c r="I23" s="771"/>
      <c r="J23" s="774"/>
      <c r="K23" s="777"/>
    </row>
    <row r="24" spans="3:11" x14ac:dyDescent="0.2">
      <c r="C24" s="567">
        <v>21</v>
      </c>
      <c r="D24" s="578"/>
      <c r="E24" s="579"/>
      <c r="F24" s="580"/>
      <c r="G24" s="581"/>
      <c r="H24" s="768"/>
      <c r="I24" s="771"/>
      <c r="J24" s="774"/>
      <c r="K24" s="777"/>
    </row>
    <row r="25" spans="3:11" x14ac:dyDescent="0.2">
      <c r="C25" s="567">
        <v>22</v>
      </c>
      <c r="D25" s="578"/>
      <c r="E25" s="579"/>
      <c r="F25" s="580"/>
      <c r="G25" s="581"/>
      <c r="H25" s="768"/>
      <c r="I25" s="771"/>
      <c r="J25" s="774"/>
      <c r="K25" s="777"/>
    </row>
    <row r="26" spans="3:11" x14ac:dyDescent="0.2">
      <c r="C26" s="567">
        <v>23</v>
      </c>
      <c r="D26" s="578"/>
      <c r="E26" s="579"/>
      <c r="F26" s="580"/>
      <c r="G26" s="581"/>
      <c r="H26" s="768"/>
      <c r="I26" s="771"/>
      <c r="J26" s="774"/>
      <c r="K26" s="777"/>
    </row>
    <row r="27" spans="3:11" x14ac:dyDescent="0.2">
      <c r="C27" s="567">
        <v>24</v>
      </c>
      <c r="D27" s="578"/>
      <c r="E27" s="579"/>
      <c r="F27" s="580"/>
      <c r="G27" s="581"/>
      <c r="H27" s="768"/>
      <c r="I27" s="771"/>
      <c r="J27" s="774"/>
      <c r="K27" s="777"/>
    </row>
    <row r="28" spans="3:11" x14ac:dyDescent="0.2">
      <c r="C28" s="567">
        <v>25</v>
      </c>
      <c r="D28" s="578"/>
      <c r="E28" s="579"/>
      <c r="F28" s="580"/>
      <c r="G28" s="581"/>
      <c r="H28" s="768"/>
      <c r="I28" s="771"/>
      <c r="J28" s="774"/>
      <c r="K28" s="777"/>
    </row>
    <row r="29" spans="3:11" x14ac:dyDescent="0.2">
      <c r="C29" s="567">
        <v>26</v>
      </c>
      <c r="D29" s="578"/>
      <c r="E29" s="579"/>
      <c r="F29" s="580"/>
      <c r="G29" s="581"/>
      <c r="H29" s="768"/>
      <c r="I29" s="771"/>
      <c r="J29" s="774"/>
      <c r="K29" s="777"/>
    </row>
    <row r="30" spans="3:11" x14ac:dyDescent="0.2">
      <c r="C30" s="567">
        <v>27</v>
      </c>
      <c r="D30" s="578"/>
      <c r="E30" s="579"/>
      <c r="F30" s="580"/>
      <c r="G30" s="581"/>
      <c r="H30" s="768"/>
      <c r="I30" s="771"/>
      <c r="J30" s="774"/>
      <c r="K30" s="777"/>
    </row>
    <row r="31" spans="3:11" x14ac:dyDescent="0.2">
      <c r="C31" s="567">
        <v>28</v>
      </c>
      <c r="D31" s="578"/>
      <c r="E31" s="579"/>
      <c r="F31" s="580"/>
      <c r="G31" s="581"/>
      <c r="H31" s="768"/>
      <c r="I31" s="771"/>
      <c r="J31" s="774"/>
      <c r="K31" s="777"/>
    </row>
    <row r="32" spans="3:11" x14ac:dyDescent="0.2">
      <c r="C32" s="567">
        <v>29</v>
      </c>
      <c r="D32" s="578"/>
      <c r="E32" s="579"/>
      <c r="F32" s="580"/>
      <c r="G32" s="581"/>
      <c r="H32" s="768"/>
      <c r="I32" s="771"/>
      <c r="J32" s="774"/>
      <c r="K32" s="777"/>
    </row>
    <row r="33" spans="3:11" x14ac:dyDescent="0.2">
      <c r="C33" s="567">
        <v>30</v>
      </c>
      <c r="D33" s="578"/>
      <c r="E33" s="579"/>
      <c r="F33" s="580"/>
      <c r="G33" s="581"/>
      <c r="H33" s="768"/>
      <c r="I33" s="771"/>
      <c r="J33" s="774"/>
      <c r="K33" s="777"/>
    </row>
    <row r="34" spans="3:11" x14ac:dyDescent="0.2">
      <c r="C34" s="567">
        <v>31</v>
      </c>
      <c r="D34" s="578"/>
      <c r="E34" s="579"/>
      <c r="F34" s="580"/>
      <c r="G34" s="581"/>
      <c r="H34" s="768"/>
      <c r="I34" s="771"/>
      <c r="J34" s="774"/>
      <c r="K34" s="777"/>
    </row>
    <row r="35" spans="3:11" x14ac:dyDescent="0.2">
      <c r="C35" s="567">
        <v>32</v>
      </c>
      <c r="D35" s="578"/>
      <c r="E35" s="579"/>
      <c r="F35" s="580"/>
      <c r="G35" s="581"/>
      <c r="H35" s="768"/>
      <c r="I35" s="771"/>
      <c r="J35" s="774"/>
      <c r="K35" s="777"/>
    </row>
    <row r="36" spans="3:11" x14ac:dyDescent="0.2">
      <c r="C36" s="567">
        <v>33</v>
      </c>
      <c r="D36" s="578"/>
      <c r="E36" s="579"/>
      <c r="F36" s="580"/>
      <c r="G36" s="581"/>
      <c r="H36" s="768"/>
      <c r="I36" s="771"/>
      <c r="J36" s="774"/>
      <c r="K36" s="777"/>
    </row>
    <row r="37" spans="3:11" x14ac:dyDescent="0.2">
      <c r="C37" s="567">
        <v>34</v>
      </c>
      <c r="D37" s="578"/>
      <c r="E37" s="579"/>
      <c r="F37" s="580"/>
      <c r="G37" s="581"/>
      <c r="H37" s="768"/>
      <c r="I37" s="771"/>
      <c r="J37" s="774"/>
      <c r="K37" s="777"/>
    </row>
    <row r="38" spans="3:11" x14ac:dyDescent="0.2">
      <c r="C38" s="567">
        <v>35</v>
      </c>
      <c r="D38" s="578"/>
      <c r="E38" s="579"/>
      <c r="F38" s="580"/>
      <c r="G38" s="581"/>
      <c r="H38" s="768"/>
      <c r="I38" s="771"/>
      <c r="J38" s="774"/>
      <c r="K38" s="777"/>
    </row>
    <row r="39" spans="3:11" x14ac:dyDescent="0.2">
      <c r="C39" s="567">
        <v>36</v>
      </c>
      <c r="D39" s="578"/>
      <c r="E39" s="579"/>
      <c r="F39" s="580"/>
      <c r="G39" s="581"/>
      <c r="H39" s="768"/>
      <c r="I39" s="771"/>
      <c r="J39" s="774"/>
      <c r="K39" s="777"/>
    </row>
    <row r="40" spans="3:11" x14ac:dyDescent="0.2">
      <c r="C40" s="567">
        <v>37</v>
      </c>
      <c r="D40" s="578"/>
      <c r="E40" s="579"/>
      <c r="F40" s="580"/>
      <c r="G40" s="581"/>
      <c r="H40" s="768"/>
      <c r="I40" s="771"/>
      <c r="J40" s="774"/>
      <c r="K40" s="777"/>
    </row>
    <row r="41" spans="3:11" x14ac:dyDescent="0.2">
      <c r="C41" s="567">
        <v>38</v>
      </c>
      <c r="D41" s="578"/>
      <c r="E41" s="579"/>
      <c r="F41" s="580"/>
      <c r="G41" s="581"/>
      <c r="H41" s="768"/>
      <c r="I41" s="771"/>
      <c r="J41" s="774"/>
      <c r="K41" s="777"/>
    </row>
    <row r="42" spans="3:11" x14ac:dyDescent="0.2">
      <c r="C42" s="567">
        <v>39</v>
      </c>
      <c r="D42" s="578"/>
      <c r="E42" s="579"/>
      <c r="F42" s="580"/>
      <c r="G42" s="581"/>
      <c r="H42" s="768"/>
      <c r="I42" s="771"/>
      <c r="J42" s="774"/>
      <c r="K42" s="777"/>
    </row>
    <row r="43" spans="3:11" x14ac:dyDescent="0.2">
      <c r="C43" s="567">
        <v>40</v>
      </c>
      <c r="D43" s="578"/>
      <c r="E43" s="579"/>
      <c r="F43" s="580"/>
      <c r="G43" s="581"/>
      <c r="H43" s="768"/>
      <c r="I43" s="771"/>
      <c r="J43" s="774"/>
      <c r="K43" s="777"/>
    </row>
    <row r="44" spans="3:11" x14ac:dyDescent="0.2">
      <c r="C44" s="567">
        <v>41</v>
      </c>
      <c r="D44" s="578"/>
      <c r="E44" s="579"/>
      <c r="F44" s="580"/>
      <c r="G44" s="581"/>
      <c r="H44" s="768"/>
      <c r="I44" s="771"/>
      <c r="J44" s="774"/>
      <c r="K44" s="777"/>
    </row>
    <row r="45" spans="3:11" x14ac:dyDescent="0.2">
      <c r="C45" s="567">
        <v>42</v>
      </c>
      <c r="D45" s="578"/>
      <c r="E45" s="579"/>
      <c r="F45" s="580"/>
      <c r="G45" s="581"/>
      <c r="H45" s="768"/>
      <c r="I45" s="771"/>
      <c r="J45" s="774"/>
      <c r="K45" s="777"/>
    </row>
    <row r="46" spans="3:11" x14ac:dyDescent="0.2">
      <c r="C46" s="567">
        <v>43</v>
      </c>
      <c r="D46" s="578"/>
      <c r="E46" s="579"/>
      <c r="F46" s="580"/>
      <c r="G46" s="581"/>
      <c r="H46" s="768"/>
      <c r="I46" s="771"/>
      <c r="J46" s="774"/>
      <c r="K46" s="777"/>
    </row>
    <row r="47" spans="3:11" x14ac:dyDescent="0.2">
      <c r="C47" s="567">
        <v>44</v>
      </c>
      <c r="D47" s="578"/>
      <c r="E47" s="579"/>
      <c r="F47" s="580"/>
      <c r="G47" s="581"/>
      <c r="H47" s="768"/>
      <c r="I47" s="771"/>
      <c r="J47" s="774"/>
      <c r="K47" s="777"/>
    </row>
    <row r="48" spans="3:11" x14ac:dyDescent="0.2">
      <c r="C48" s="567">
        <v>45</v>
      </c>
      <c r="D48" s="578"/>
      <c r="E48" s="579"/>
      <c r="F48" s="580"/>
      <c r="G48" s="581"/>
      <c r="H48" s="768"/>
      <c r="I48" s="771"/>
      <c r="J48" s="774"/>
      <c r="K48" s="777"/>
    </row>
    <row r="49" spans="3:11" x14ac:dyDescent="0.2">
      <c r="C49" s="567">
        <v>46</v>
      </c>
      <c r="D49" s="578"/>
      <c r="E49" s="579"/>
      <c r="F49" s="580"/>
      <c r="G49" s="581"/>
      <c r="H49" s="768"/>
      <c r="I49" s="771"/>
      <c r="J49" s="774"/>
      <c r="K49" s="777"/>
    </row>
    <row r="50" spans="3:11" x14ac:dyDescent="0.2">
      <c r="C50" s="567">
        <v>47</v>
      </c>
      <c r="D50" s="578"/>
      <c r="E50" s="579"/>
      <c r="F50" s="580"/>
      <c r="G50" s="581"/>
      <c r="H50" s="768"/>
      <c r="I50" s="771"/>
      <c r="J50" s="774"/>
      <c r="K50" s="777"/>
    </row>
    <row r="51" spans="3:11" x14ac:dyDescent="0.2">
      <c r="C51" s="567">
        <v>48</v>
      </c>
      <c r="D51" s="578"/>
      <c r="E51" s="579"/>
      <c r="F51" s="580"/>
      <c r="G51" s="581"/>
      <c r="H51" s="768"/>
      <c r="I51" s="771"/>
      <c r="J51" s="774"/>
      <c r="K51" s="777"/>
    </row>
    <row r="52" spans="3:11" x14ac:dyDescent="0.2">
      <c r="C52" s="567">
        <v>49</v>
      </c>
      <c r="D52" s="578"/>
      <c r="E52" s="579"/>
      <c r="F52" s="580"/>
      <c r="G52" s="581"/>
      <c r="H52" s="768"/>
      <c r="I52" s="771"/>
      <c r="J52" s="774"/>
      <c r="K52" s="777"/>
    </row>
    <row r="53" spans="3:11" x14ac:dyDescent="0.2">
      <c r="C53" s="567">
        <v>50</v>
      </c>
      <c r="D53" s="578"/>
      <c r="E53" s="579"/>
      <c r="F53" s="580"/>
      <c r="G53" s="581"/>
      <c r="H53" s="768"/>
      <c r="I53" s="771"/>
      <c r="J53" s="774"/>
      <c r="K53" s="777"/>
    </row>
    <row r="54" spans="3:11" x14ac:dyDescent="0.2">
      <c r="C54" s="567">
        <v>51</v>
      </c>
      <c r="D54" s="578"/>
      <c r="E54" s="579"/>
      <c r="F54" s="580"/>
      <c r="G54" s="581"/>
      <c r="H54" s="768"/>
      <c r="I54" s="771"/>
      <c r="J54" s="774"/>
      <c r="K54" s="777"/>
    </row>
    <row r="55" spans="3:11" x14ac:dyDescent="0.2">
      <c r="C55" s="567">
        <v>52</v>
      </c>
      <c r="D55" s="578"/>
      <c r="E55" s="579"/>
      <c r="F55" s="580"/>
      <c r="G55" s="581"/>
      <c r="H55" s="768"/>
      <c r="I55" s="771"/>
      <c r="J55" s="774"/>
      <c r="K55" s="777"/>
    </row>
    <row r="56" spans="3:11" x14ac:dyDescent="0.2">
      <c r="C56" s="567">
        <v>53</v>
      </c>
      <c r="D56" s="578"/>
      <c r="E56" s="579"/>
      <c r="F56" s="580"/>
      <c r="G56" s="581"/>
      <c r="H56" s="768"/>
      <c r="I56" s="771"/>
      <c r="J56" s="774"/>
      <c r="K56" s="777"/>
    </row>
    <row r="57" spans="3:11" x14ac:dyDescent="0.2">
      <c r="C57" s="567">
        <v>54</v>
      </c>
      <c r="D57" s="578"/>
      <c r="E57" s="579"/>
      <c r="F57" s="580"/>
      <c r="G57" s="581"/>
      <c r="H57" s="768"/>
      <c r="I57" s="771"/>
      <c r="J57" s="774"/>
      <c r="K57" s="777"/>
    </row>
    <row r="58" spans="3:11" x14ac:dyDescent="0.2">
      <c r="C58" s="567">
        <v>55</v>
      </c>
      <c r="D58" s="578"/>
      <c r="E58" s="579"/>
      <c r="F58" s="580"/>
      <c r="G58" s="581"/>
      <c r="H58" s="768"/>
      <c r="I58" s="771"/>
      <c r="J58" s="774"/>
      <c r="K58" s="777"/>
    </row>
    <row r="59" spans="3:11" x14ac:dyDescent="0.2">
      <c r="C59" s="567">
        <v>56</v>
      </c>
      <c r="D59" s="578"/>
      <c r="E59" s="579"/>
      <c r="F59" s="580"/>
      <c r="G59" s="581"/>
      <c r="H59" s="768"/>
      <c r="I59" s="771"/>
      <c r="J59" s="774"/>
      <c r="K59" s="777"/>
    </row>
    <row r="60" spans="3:11" x14ac:dyDescent="0.2">
      <c r="C60" s="567">
        <v>57</v>
      </c>
      <c r="D60" s="578"/>
      <c r="E60" s="579"/>
      <c r="F60" s="580"/>
      <c r="G60" s="581"/>
      <c r="H60" s="768"/>
      <c r="I60" s="771"/>
      <c r="J60" s="774"/>
      <c r="K60" s="777"/>
    </row>
    <row r="61" spans="3:11" x14ac:dyDescent="0.2">
      <c r="C61" s="567">
        <v>58</v>
      </c>
      <c r="D61" s="578"/>
      <c r="E61" s="579"/>
      <c r="F61" s="580"/>
      <c r="G61" s="581"/>
      <c r="H61" s="768"/>
      <c r="I61" s="771"/>
      <c r="J61" s="774"/>
      <c r="K61" s="777"/>
    </row>
    <row r="62" spans="3:11" x14ac:dyDescent="0.2">
      <c r="C62" s="567">
        <v>59</v>
      </c>
      <c r="D62" s="578"/>
      <c r="E62" s="579"/>
      <c r="F62" s="580"/>
      <c r="G62" s="581"/>
      <c r="H62" s="768"/>
      <c r="I62" s="771"/>
      <c r="J62" s="774"/>
      <c r="K62" s="777"/>
    </row>
    <row r="63" spans="3:11" x14ac:dyDescent="0.2">
      <c r="C63" s="567">
        <v>60</v>
      </c>
      <c r="D63" s="578"/>
      <c r="E63" s="579"/>
      <c r="F63" s="580"/>
      <c r="G63" s="581"/>
      <c r="H63" s="768"/>
      <c r="I63" s="771"/>
      <c r="J63" s="774"/>
      <c r="K63" s="777"/>
    </row>
    <row r="64" spans="3:11" x14ac:dyDescent="0.2">
      <c r="C64" s="567">
        <v>61</v>
      </c>
      <c r="D64" s="578"/>
      <c r="E64" s="579"/>
      <c r="F64" s="580"/>
      <c r="G64" s="581"/>
      <c r="H64" s="768"/>
      <c r="I64" s="771"/>
      <c r="J64" s="774"/>
      <c r="K64" s="777"/>
    </row>
    <row r="65" spans="3:11" x14ac:dyDescent="0.2">
      <c r="C65" s="567">
        <v>62</v>
      </c>
      <c r="D65" s="578"/>
      <c r="E65" s="579"/>
      <c r="F65" s="580"/>
      <c r="G65" s="581"/>
      <c r="H65" s="768"/>
      <c r="I65" s="771"/>
      <c r="J65" s="774"/>
      <c r="K65" s="777"/>
    </row>
    <row r="66" spans="3:11" x14ac:dyDescent="0.2">
      <c r="C66" s="567">
        <v>63</v>
      </c>
      <c r="D66" s="578"/>
      <c r="E66" s="579"/>
      <c r="F66" s="580"/>
      <c r="G66" s="581"/>
      <c r="H66" s="768"/>
      <c r="I66" s="771"/>
      <c r="J66" s="774"/>
      <c r="K66" s="777"/>
    </row>
    <row r="67" spans="3:11" x14ac:dyDescent="0.2">
      <c r="C67" s="567">
        <v>64</v>
      </c>
      <c r="D67" s="578"/>
      <c r="E67" s="579"/>
      <c r="F67" s="580"/>
      <c r="G67" s="581"/>
      <c r="H67" s="768"/>
      <c r="I67" s="771"/>
      <c r="J67" s="774"/>
      <c r="K67" s="777"/>
    </row>
    <row r="68" spans="3:11" x14ac:dyDescent="0.2">
      <c r="C68" s="567">
        <v>65</v>
      </c>
      <c r="D68" s="578"/>
      <c r="E68" s="579"/>
      <c r="F68" s="580"/>
      <c r="G68" s="581"/>
      <c r="H68" s="768"/>
      <c r="I68" s="771"/>
      <c r="J68" s="774"/>
      <c r="K68" s="777"/>
    </row>
    <row r="69" spans="3:11" x14ac:dyDescent="0.2">
      <c r="C69" s="567">
        <v>66</v>
      </c>
      <c r="D69" s="578"/>
      <c r="E69" s="579"/>
      <c r="F69" s="580"/>
      <c r="G69" s="581"/>
      <c r="H69" s="768"/>
      <c r="I69" s="771"/>
      <c r="J69" s="774"/>
      <c r="K69" s="777"/>
    </row>
    <row r="70" spans="3:11" x14ac:dyDescent="0.2">
      <c r="C70" s="567">
        <v>67</v>
      </c>
      <c r="D70" s="578"/>
      <c r="E70" s="579"/>
      <c r="F70" s="580"/>
      <c r="G70" s="581"/>
      <c r="H70" s="768"/>
      <c r="I70" s="771"/>
      <c r="J70" s="774"/>
      <c r="K70" s="777"/>
    </row>
    <row r="71" spans="3:11" x14ac:dyDescent="0.2">
      <c r="C71" s="567">
        <v>68</v>
      </c>
      <c r="D71" s="578"/>
      <c r="E71" s="579"/>
      <c r="F71" s="580"/>
      <c r="G71" s="581"/>
      <c r="H71" s="768"/>
      <c r="I71" s="771"/>
      <c r="J71" s="774"/>
      <c r="K71" s="777"/>
    </row>
    <row r="72" spans="3:11" x14ac:dyDescent="0.2">
      <c r="C72" s="567">
        <v>69</v>
      </c>
      <c r="D72" s="578"/>
      <c r="E72" s="579"/>
      <c r="F72" s="580"/>
      <c r="G72" s="581"/>
      <c r="H72" s="768"/>
      <c r="I72" s="771"/>
      <c r="J72" s="774"/>
      <c r="K72" s="777"/>
    </row>
    <row r="73" spans="3:11" x14ac:dyDescent="0.2">
      <c r="C73" s="567">
        <v>70</v>
      </c>
      <c r="D73" s="578"/>
      <c r="E73" s="579"/>
      <c r="F73" s="580"/>
      <c r="G73" s="581"/>
      <c r="H73" s="768"/>
      <c r="I73" s="771"/>
      <c r="J73" s="774"/>
      <c r="K73" s="777"/>
    </row>
    <row r="74" spans="3:11" x14ac:dyDescent="0.2">
      <c r="C74" s="567">
        <v>71</v>
      </c>
      <c r="D74" s="578"/>
      <c r="E74" s="579"/>
      <c r="F74" s="580"/>
      <c r="G74" s="581"/>
      <c r="H74" s="768"/>
      <c r="I74" s="771"/>
      <c r="J74" s="774"/>
      <c r="K74" s="777"/>
    </row>
    <row r="75" spans="3:11" x14ac:dyDescent="0.2">
      <c r="C75" s="567">
        <v>72</v>
      </c>
      <c r="D75" s="578"/>
      <c r="E75" s="579"/>
      <c r="F75" s="580"/>
      <c r="G75" s="581"/>
      <c r="H75" s="768"/>
      <c r="I75" s="771"/>
      <c r="J75" s="774"/>
      <c r="K75" s="777"/>
    </row>
    <row r="76" spans="3:11" x14ac:dyDescent="0.2">
      <c r="C76" s="567">
        <v>73</v>
      </c>
      <c r="D76" s="578"/>
      <c r="E76" s="579"/>
      <c r="F76" s="580"/>
      <c r="G76" s="581"/>
      <c r="H76" s="768"/>
      <c r="I76" s="771"/>
      <c r="J76" s="774"/>
      <c r="K76" s="777"/>
    </row>
    <row r="77" spans="3:11" x14ac:dyDescent="0.2">
      <c r="C77" s="567">
        <v>74</v>
      </c>
      <c r="D77" s="578"/>
      <c r="E77" s="579"/>
      <c r="F77" s="580"/>
      <c r="G77" s="581"/>
      <c r="H77" s="768"/>
      <c r="I77" s="771"/>
      <c r="J77" s="774"/>
      <c r="K77" s="777"/>
    </row>
    <row r="78" spans="3:11" x14ac:dyDescent="0.2">
      <c r="C78" s="567">
        <v>75</v>
      </c>
      <c r="D78" s="578"/>
      <c r="E78" s="579"/>
      <c r="F78" s="580"/>
      <c r="G78" s="581"/>
      <c r="H78" s="768"/>
      <c r="I78" s="771"/>
      <c r="J78" s="774"/>
      <c r="K78" s="777"/>
    </row>
    <row r="79" spans="3:11" x14ac:dyDescent="0.2">
      <c r="C79" s="567">
        <v>76</v>
      </c>
      <c r="D79" s="578"/>
      <c r="E79" s="579"/>
      <c r="F79" s="580"/>
      <c r="G79" s="581"/>
      <c r="H79" s="768"/>
      <c r="I79" s="771"/>
      <c r="J79" s="774"/>
      <c r="K79" s="777"/>
    </row>
    <row r="80" spans="3:11" x14ac:dyDescent="0.2">
      <c r="C80" s="567">
        <v>77</v>
      </c>
      <c r="D80" s="578"/>
      <c r="E80" s="579"/>
      <c r="F80" s="580"/>
      <c r="G80" s="581"/>
      <c r="H80" s="768"/>
      <c r="I80" s="771"/>
      <c r="J80" s="774"/>
      <c r="K80" s="777"/>
    </row>
    <row r="81" spans="3:11" x14ac:dyDescent="0.2">
      <c r="C81" s="567">
        <v>78</v>
      </c>
      <c r="D81" s="578"/>
      <c r="E81" s="579"/>
      <c r="F81" s="580"/>
      <c r="G81" s="581"/>
      <c r="H81" s="768"/>
      <c r="I81" s="771"/>
      <c r="J81" s="774"/>
      <c r="K81" s="777"/>
    </row>
    <row r="82" spans="3:11" x14ac:dyDescent="0.2">
      <c r="C82" s="567">
        <v>79</v>
      </c>
      <c r="D82" s="578"/>
      <c r="E82" s="579"/>
      <c r="F82" s="580"/>
      <c r="G82" s="581"/>
      <c r="H82" s="768"/>
      <c r="I82" s="771"/>
      <c r="J82" s="774"/>
      <c r="K82" s="777"/>
    </row>
    <row r="83" spans="3:11" x14ac:dyDescent="0.2">
      <c r="C83" s="567">
        <v>80</v>
      </c>
      <c r="D83" s="578"/>
      <c r="E83" s="579"/>
      <c r="F83" s="580"/>
      <c r="G83" s="581"/>
      <c r="H83" s="768"/>
      <c r="I83" s="771"/>
      <c r="J83" s="774"/>
      <c r="K83" s="777"/>
    </row>
    <row r="84" spans="3:11" x14ac:dyDescent="0.2">
      <c r="C84" s="567">
        <v>81</v>
      </c>
      <c r="D84" s="578"/>
      <c r="E84" s="579"/>
      <c r="F84" s="580"/>
      <c r="G84" s="581"/>
      <c r="H84" s="768"/>
      <c r="I84" s="771"/>
      <c r="J84" s="774"/>
      <c r="K84" s="777"/>
    </row>
    <row r="85" spans="3:11" x14ac:dyDescent="0.2">
      <c r="C85" s="567">
        <v>82</v>
      </c>
      <c r="D85" s="578"/>
      <c r="E85" s="579"/>
      <c r="F85" s="580"/>
      <c r="G85" s="581"/>
      <c r="H85" s="768"/>
      <c r="I85" s="771"/>
      <c r="J85" s="774"/>
      <c r="K85" s="777"/>
    </row>
    <row r="86" spans="3:11" x14ac:dyDescent="0.2">
      <c r="C86" s="567">
        <v>83</v>
      </c>
      <c r="D86" s="578"/>
      <c r="E86" s="579"/>
      <c r="F86" s="580"/>
      <c r="G86" s="581"/>
      <c r="H86" s="768"/>
      <c r="I86" s="771"/>
      <c r="J86" s="774"/>
      <c r="K86" s="777"/>
    </row>
    <row r="87" spans="3:11" x14ac:dyDescent="0.2">
      <c r="C87" s="567">
        <v>84</v>
      </c>
      <c r="D87" s="578"/>
      <c r="E87" s="579"/>
      <c r="F87" s="580"/>
      <c r="G87" s="581"/>
      <c r="H87" s="768"/>
      <c r="I87" s="771"/>
      <c r="J87" s="774"/>
      <c r="K87" s="777"/>
    </row>
    <row r="88" spans="3:11" x14ac:dyDescent="0.2">
      <c r="C88" s="567">
        <v>85</v>
      </c>
      <c r="D88" s="578"/>
      <c r="E88" s="579"/>
      <c r="F88" s="580"/>
      <c r="G88" s="581"/>
      <c r="H88" s="768"/>
      <c r="I88" s="771"/>
      <c r="J88" s="774"/>
      <c r="K88" s="777"/>
    </row>
    <row r="89" spans="3:11" x14ac:dyDescent="0.2">
      <c r="C89" s="567">
        <v>86</v>
      </c>
      <c r="D89" s="578"/>
      <c r="E89" s="579"/>
      <c r="F89" s="580"/>
      <c r="G89" s="581"/>
      <c r="H89" s="768"/>
      <c r="I89" s="771"/>
      <c r="J89" s="774"/>
      <c r="K89" s="777"/>
    </row>
    <row r="90" spans="3:11" x14ac:dyDescent="0.2">
      <c r="C90" s="567">
        <v>87</v>
      </c>
      <c r="D90" s="578"/>
      <c r="E90" s="579"/>
      <c r="F90" s="580"/>
      <c r="G90" s="581"/>
      <c r="H90" s="768"/>
      <c r="I90" s="771"/>
      <c r="J90" s="774"/>
      <c r="K90" s="777"/>
    </row>
    <row r="91" spans="3:11" x14ac:dyDescent="0.2">
      <c r="C91" s="567">
        <v>88</v>
      </c>
      <c r="D91" s="578"/>
      <c r="E91" s="579"/>
      <c r="F91" s="580"/>
      <c r="G91" s="581"/>
      <c r="H91" s="768"/>
      <c r="I91" s="771"/>
      <c r="J91" s="774"/>
      <c r="K91" s="777"/>
    </row>
    <row r="92" spans="3:11" x14ac:dyDescent="0.2">
      <c r="C92" s="567">
        <v>89</v>
      </c>
      <c r="D92" s="578"/>
      <c r="E92" s="579"/>
      <c r="F92" s="580"/>
      <c r="G92" s="581"/>
      <c r="H92" s="768"/>
      <c r="I92" s="771"/>
      <c r="J92" s="774"/>
      <c r="K92" s="777"/>
    </row>
    <row r="93" spans="3:11" x14ac:dyDescent="0.2">
      <c r="C93" s="567">
        <v>90</v>
      </c>
      <c r="D93" s="578"/>
      <c r="E93" s="579"/>
      <c r="F93" s="580"/>
      <c r="G93" s="581"/>
      <c r="H93" s="768"/>
      <c r="I93" s="771"/>
      <c r="J93" s="774"/>
      <c r="K93" s="777"/>
    </row>
    <row r="94" spans="3:11" x14ac:dyDescent="0.2">
      <c r="C94" s="567">
        <v>91</v>
      </c>
      <c r="D94" s="578"/>
      <c r="E94" s="579"/>
      <c r="F94" s="580"/>
      <c r="G94" s="581"/>
      <c r="H94" s="768"/>
      <c r="I94" s="771"/>
      <c r="J94" s="774"/>
      <c r="K94" s="777"/>
    </row>
    <row r="95" spans="3:11" x14ac:dyDescent="0.2">
      <c r="C95" s="567">
        <v>92</v>
      </c>
      <c r="D95" s="578"/>
      <c r="E95" s="579"/>
      <c r="F95" s="580"/>
      <c r="G95" s="581"/>
      <c r="H95" s="768"/>
      <c r="I95" s="771"/>
      <c r="J95" s="774"/>
      <c r="K95" s="777"/>
    </row>
    <row r="96" spans="3:11" x14ac:dyDescent="0.2">
      <c r="C96" s="567">
        <v>93</v>
      </c>
      <c r="D96" s="578"/>
      <c r="E96" s="579"/>
      <c r="F96" s="580"/>
      <c r="G96" s="581"/>
      <c r="H96" s="768"/>
      <c r="I96" s="771"/>
      <c r="J96" s="774"/>
      <c r="K96" s="777"/>
    </row>
    <row r="97" spans="3:11" x14ac:dyDescent="0.2">
      <c r="C97" s="567">
        <v>94</v>
      </c>
      <c r="D97" s="578"/>
      <c r="E97" s="579"/>
      <c r="F97" s="580"/>
      <c r="G97" s="581"/>
      <c r="H97" s="768"/>
      <c r="I97" s="771"/>
      <c r="J97" s="774"/>
      <c r="K97" s="777"/>
    </row>
    <row r="98" spans="3:11" x14ac:dyDescent="0.2">
      <c r="C98" s="567">
        <v>95</v>
      </c>
      <c r="D98" s="578"/>
      <c r="E98" s="579"/>
      <c r="F98" s="580"/>
      <c r="G98" s="581"/>
      <c r="H98" s="768"/>
      <c r="I98" s="771"/>
      <c r="J98" s="774"/>
      <c r="K98" s="777"/>
    </row>
    <row r="99" spans="3:11" x14ac:dyDescent="0.2">
      <c r="C99" s="567">
        <v>96</v>
      </c>
      <c r="D99" s="578"/>
      <c r="E99" s="579"/>
      <c r="F99" s="580"/>
      <c r="G99" s="581"/>
      <c r="H99" s="768"/>
      <c r="I99" s="771"/>
      <c r="J99" s="774"/>
      <c r="K99" s="777"/>
    </row>
    <row r="100" spans="3:11" x14ac:dyDescent="0.2">
      <c r="C100" s="567">
        <v>97</v>
      </c>
      <c r="D100" s="578"/>
      <c r="E100" s="579"/>
      <c r="F100" s="580"/>
      <c r="G100" s="581"/>
      <c r="H100" s="768"/>
      <c r="I100" s="771"/>
      <c r="J100" s="774"/>
      <c r="K100" s="777"/>
    </row>
    <row r="101" spans="3:11" x14ac:dyDescent="0.2">
      <c r="C101" s="567">
        <v>98</v>
      </c>
      <c r="D101" s="578"/>
      <c r="E101" s="579"/>
      <c r="F101" s="580"/>
      <c r="G101" s="581"/>
      <c r="H101" s="768"/>
      <c r="I101" s="771"/>
      <c r="J101" s="774"/>
      <c r="K101" s="777"/>
    </row>
    <row r="102" spans="3:11" x14ac:dyDescent="0.2">
      <c r="C102" s="567">
        <v>99</v>
      </c>
      <c r="D102" s="578"/>
      <c r="E102" s="579"/>
      <c r="F102" s="580"/>
      <c r="G102" s="581"/>
      <c r="H102" s="768"/>
      <c r="I102" s="771"/>
      <c r="J102" s="774"/>
      <c r="K102" s="777"/>
    </row>
    <row r="103" spans="3:11" x14ac:dyDescent="0.2">
      <c r="C103" s="567">
        <v>100</v>
      </c>
      <c r="D103" s="578"/>
      <c r="E103" s="579"/>
      <c r="F103" s="580"/>
      <c r="G103" s="581"/>
      <c r="H103" s="768"/>
      <c r="I103" s="771"/>
      <c r="J103" s="774"/>
      <c r="K103" s="777"/>
    </row>
    <row r="104" spans="3:11" x14ac:dyDescent="0.2">
      <c r="C104" s="567">
        <v>101</v>
      </c>
      <c r="D104" s="578"/>
      <c r="E104" s="579"/>
      <c r="F104" s="580"/>
      <c r="G104" s="581"/>
      <c r="H104" s="768"/>
      <c r="I104" s="771"/>
      <c r="J104" s="774"/>
      <c r="K104" s="777"/>
    </row>
    <row r="105" spans="3:11" x14ac:dyDescent="0.2">
      <c r="C105" s="567">
        <v>102</v>
      </c>
      <c r="D105" s="578"/>
      <c r="E105" s="579"/>
      <c r="F105" s="580"/>
      <c r="G105" s="581"/>
      <c r="H105" s="768"/>
      <c r="I105" s="771"/>
      <c r="J105" s="774"/>
      <c r="K105" s="777"/>
    </row>
    <row r="106" spans="3:11" x14ac:dyDescent="0.2">
      <c r="C106" s="567">
        <v>103</v>
      </c>
      <c r="D106" s="578"/>
      <c r="E106" s="579"/>
      <c r="F106" s="580"/>
      <c r="G106" s="581"/>
      <c r="H106" s="768"/>
      <c r="I106" s="771"/>
      <c r="J106" s="774"/>
      <c r="K106" s="777"/>
    </row>
    <row r="107" spans="3:11" x14ac:dyDescent="0.2">
      <c r="C107" s="567">
        <v>104</v>
      </c>
      <c r="D107" s="578"/>
      <c r="E107" s="579"/>
      <c r="F107" s="580"/>
      <c r="G107" s="581"/>
      <c r="H107" s="768"/>
      <c r="I107" s="771"/>
      <c r="J107" s="774"/>
      <c r="K107" s="777"/>
    </row>
    <row r="108" spans="3:11" x14ac:dyDescent="0.2">
      <c r="C108" s="567">
        <v>105</v>
      </c>
      <c r="D108" s="578"/>
      <c r="E108" s="579"/>
      <c r="F108" s="580"/>
      <c r="G108" s="581"/>
      <c r="H108" s="768"/>
      <c r="I108" s="771"/>
      <c r="J108" s="774"/>
      <c r="K108" s="777"/>
    </row>
    <row r="109" spans="3:11" x14ac:dyDescent="0.2">
      <c r="C109" s="567">
        <v>106</v>
      </c>
      <c r="D109" s="578"/>
      <c r="E109" s="579"/>
      <c r="F109" s="580"/>
      <c r="G109" s="581"/>
      <c r="H109" s="768"/>
      <c r="I109" s="771"/>
      <c r="J109" s="774"/>
      <c r="K109" s="777"/>
    </row>
    <row r="110" spans="3:11" x14ac:dyDescent="0.2">
      <c r="C110" s="567">
        <v>107</v>
      </c>
      <c r="D110" s="578"/>
      <c r="E110" s="579"/>
      <c r="F110" s="580"/>
      <c r="G110" s="581"/>
      <c r="H110" s="768"/>
      <c r="I110" s="771"/>
      <c r="J110" s="774"/>
      <c r="K110" s="777"/>
    </row>
    <row r="111" spans="3:11" x14ac:dyDescent="0.2">
      <c r="C111" s="567">
        <v>108</v>
      </c>
      <c r="D111" s="578"/>
      <c r="E111" s="579"/>
      <c r="F111" s="580"/>
      <c r="G111" s="581"/>
      <c r="H111" s="768"/>
      <c r="I111" s="771"/>
      <c r="J111" s="774"/>
      <c r="K111" s="777"/>
    </row>
    <row r="112" spans="3:11" x14ac:dyDescent="0.2">
      <c r="C112" s="567">
        <v>109</v>
      </c>
      <c r="D112" s="578"/>
      <c r="E112" s="579"/>
      <c r="F112" s="580"/>
      <c r="G112" s="581"/>
      <c r="H112" s="768"/>
      <c r="I112" s="771"/>
      <c r="J112" s="774"/>
      <c r="K112" s="777"/>
    </row>
    <row r="113" spans="3:11" x14ac:dyDescent="0.2">
      <c r="C113" s="567">
        <v>110</v>
      </c>
      <c r="D113" s="578"/>
      <c r="E113" s="579"/>
      <c r="F113" s="580"/>
      <c r="G113" s="581"/>
      <c r="H113" s="768"/>
      <c r="I113" s="771"/>
      <c r="J113" s="774"/>
      <c r="K113" s="777"/>
    </row>
    <row r="114" spans="3:11" x14ac:dyDescent="0.2">
      <c r="C114" s="567">
        <v>111</v>
      </c>
      <c r="D114" s="578"/>
      <c r="E114" s="579"/>
      <c r="F114" s="580"/>
      <c r="G114" s="581"/>
      <c r="H114" s="768"/>
      <c r="I114" s="771"/>
      <c r="J114" s="774"/>
      <c r="K114" s="777"/>
    </row>
    <row r="115" spans="3:11" x14ac:dyDescent="0.2">
      <c r="C115" s="567">
        <v>112</v>
      </c>
      <c r="D115" s="578"/>
      <c r="E115" s="579"/>
      <c r="F115" s="580"/>
      <c r="G115" s="581"/>
      <c r="H115" s="768"/>
      <c r="I115" s="771"/>
      <c r="J115" s="774"/>
      <c r="K115" s="777"/>
    </row>
    <row r="116" spans="3:11" x14ac:dyDescent="0.2">
      <c r="C116" s="567">
        <v>113</v>
      </c>
      <c r="D116" s="578"/>
      <c r="E116" s="579"/>
      <c r="F116" s="580"/>
      <c r="G116" s="581"/>
      <c r="H116" s="768"/>
      <c r="I116" s="771"/>
      <c r="J116" s="774"/>
      <c r="K116" s="777"/>
    </row>
    <row r="117" spans="3:11" x14ac:dyDescent="0.2">
      <c r="C117" s="567">
        <v>114</v>
      </c>
      <c r="D117" s="578"/>
      <c r="E117" s="579"/>
      <c r="F117" s="580"/>
      <c r="G117" s="581"/>
      <c r="H117" s="768"/>
      <c r="I117" s="771"/>
      <c r="J117" s="774"/>
      <c r="K117" s="777"/>
    </row>
    <row r="118" spans="3:11" x14ac:dyDescent="0.2">
      <c r="C118" s="567">
        <v>115</v>
      </c>
      <c r="D118" s="578"/>
      <c r="E118" s="579"/>
      <c r="F118" s="580"/>
      <c r="G118" s="581"/>
      <c r="H118" s="768"/>
      <c r="I118" s="771"/>
      <c r="J118" s="774"/>
      <c r="K118" s="777"/>
    </row>
    <row r="119" spans="3:11" x14ac:dyDescent="0.2">
      <c r="C119" s="567">
        <v>116</v>
      </c>
      <c r="D119" s="578"/>
      <c r="E119" s="579"/>
      <c r="F119" s="580"/>
      <c r="G119" s="581"/>
      <c r="H119" s="768"/>
      <c r="I119" s="771"/>
      <c r="J119" s="774"/>
      <c r="K119" s="777"/>
    </row>
    <row r="120" spans="3:11" x14ac:dyDescent="0.2">
      <c r="C120" s="567">
        <v>117</v>
      </c>
      <c r="D120" s="578"/>
      <c r="E120" s="579"/>
      <c r="F120" s="580"/>
      <c r="G120" s="581"/>
      <c r="H120" s="768"/>
      <c r="I120" s="771"/>
      <c r="J120" s="774"/>
      <c r="K120" s="777"/>
    </row>
    <row r="121" spans="3:11" x14ac:dyDescent="0.2">
      <c r="C121" s="567">
        <v>118</v>
      </c>
      <c r="D121" s="578"/>
      <c r="E121" s="579"/>
      <c r="F121" s="580"/>
      <c r="G121" s="581"/>
      <c r="H121" s="768"/>
      <c r="I121" s="771"/>
      <c r="J121" s="774"/>
      <c r="K121" s="777"/>
    </row>
    <row r="122" spans="3:11" x14ac:dyDescent="0.2">
      <c r="C122" s="567">
        <v>119</v>
      </c>
      <c r="D122" s="578"/>
      <c r="E122" s="579"/>
      <c r="F122" s="580"/>
      <c r="G122" s="581"/>
      <c r="H122" s="768"/>
      <c r="I122" s="771"/>
      <c r="J122" s="774"/>
      <c r="K122" s="777"/>
    </row>
    <row r="123" spans="3:11" x14ac:dyDescent="0.2">
      <c r="C123" s="567">
        <v>120</v>
      </c>
      <c r="D123" s="578"/>
      <c r="E123" s="579"/>
      <c r="F123" s="580"/>
      <c r="G123" s="581"/>
      <c r="H123" s="768"/>
      <c r="I123" s="771"/>
      <c r="J123" s="774"/>
      <c r="K123" s="777"/>
    </row>
    <row r="124" spans="3:11" x14ac:dyDescent="0.2">
      <c r="C124" s="567">
        <v>121</v>
      </c>
      <c r="D124" s="578"/>
      <c r="E124" s="579"/>
      <c r="F124" s="580"/>
      <c r="G124" s="581"/>
      <c r="H124" s="768"/>
      <c r="I124" s="771"/>
      <c r="J124" s="774"/>
      <c r="K124" s="777"/>
    </row>
    <row r="125" spans="3:11" x14ac:dyDescent="0.2">
      <c r="C125" s="567">
        <v>122</v>
      </c>
      <c r="D125" s="578"/>
      <c r="E125" s="579"/>
      <c r="F125" s="580"/>
      <c r="G125" s="581"/>
      <c r="H125" s="768"/>
      <c r="I125" s="771"/>
      <c r="J125" s="774"/>
      <c r="K125" s="777"/>
    </row>
    <row r="126" spans="3:11" x14ac:dyDescent="0.2">
      <c r="C126" s="567">
        <v>123</v>
      </c>
      <c r="D126" s="578"/>
      <c r="E126" s="579"/>
      <c r="F126" s="580"/>
      <c r="G126" s="581"/>
      <c r="H126" s="768"/>
      <c r="I126" s="771"/>
      <c r="J126" s="774"/>
      <c r="K126" s="777"/>
    </row>
    <row r="127" spans="3:11" x14ac:dyDescent="0.2">
      <c r="C127" s="567">
        <v>124</v>
      </c>
      <c r="D127" s="578"/>
      <c r="E127" s="579"/>
      <c r="F127" s="580"/>
      <c r="G127" s="581"/>
      <c r="H127" s="768"/>
      <c r="I127" s="771"/>
      <c r="J127" s="774"/>
      <c r="K127" s="777"/>
    </row>
    <row r="128" spans="3:11" x14ac:dyDescent="0.2">
      <c r="C128" s="567">
        <v>125</v>
      </c>
      <c r="D128" s="578"/>
      <c r="E128" s="579"/>
      <c r="F128" s="580"/>
      <c r="G128" s="581"/>
      <c r="H128" s="768"/>
      <c r="I128" s="771"/>
      <c r="J128" s="774"/>
      <c r="K128" s="777"/>
    </row>
    <row r="129" spans="3:11" x14ac:dyDescent="0.2">
      <c r="C129" s="567">
        <v>126</v>
      </c>
      <c r="D129" s="578"/>
      <c r="E129" s="579"/>
      <c r="F129" s="580"/>
      <c r="G129" s="581"/>
      <c r="H129" s="768"/>
      <c r="I129" s="771"/>
      <c r="J129" s="774"/>
      <c r="K129" s="777"/>
    </row>
    <row r="130" spans="3:11" x14ac:dyDescent="0.2">
      <c r="C130" s="567">
        <v>127</v>
      </c>
      <c r="D130" s="578"/>
      <c r="E130" s="579"/>
      <c r="F130" s="580"/>
      <c r="G130" s="581"/>
      <c r="H130" s="768"/>
      <c r="I130" s="771"/>
      <c r="J130" s="774"/>
      <c r="K130" s="777"/>
    </row>
    <row r="131" spans="3:11" x14ac:dyDescent="0.2">
      <c r="C131" s="567">
        <v>128</v>
      </c>
      <c r="D131" s="578"/>
      <c r="E131" s="579"/>
      <c r="F131" s="580"/>
      <c r="G131" s="581"/>
      <c r="H131" s="768"/>
      <c r="I131" s="771"/>
      <c r="J131" s="774"/>
      <c r="K131" s="777"/>
    </row>
    <row r="132" spans="3:11" x14ac:dyDescent="0.2">
      <c r="C132" s="567">
        <v>129</v>
      </c>
      <c r="D132" s="578"/>
      <c r="E132" s="579"/>
      <c r="F132" s="580"/>
      <c r="G132" s="581"/>
      <c r="H132" s="768"/>
      <c r="I132" s="771"/>
      <c r="J132" s="774"/>
      <c r="K132" s="777"/>
    </row>
    <row r="133" spans="3:11" x14ac:dyDescent="0.2">
      <c r="C133" s="567">
        <v>130</v>
      </c>
      <c r="D133" s="578"/>
      <c r="E133" s="579"/>
      <c r="F133" s="580"/>
      <c r="G133" s="581"/>
      <c r="H133" s="768"/>
      <c r="I133" s="771"/>
      <c r="J133" s="774"/>
      <c r="K133" s="777"/>
    </row>
    <row r="134" spans="3:11" x14ac:dyDescent="0.2">
      <c r="C134" s="567">
        <v>131</v>
      </c>
      <c r="D134" s="578"/>
      <c r="E134" s="579"/>
      <c r="F134" s="580"/>
      <c r="G134" s="581"/>
      <c r="H134" s="768"/>
      <c r="I134" s="771"/>
      <c r="J134" s="774"/>
      <c r="K134" s="777"/>
    </row>
    <row r="135" spans="3:11" x14ac:dyDescent="0.2">
      <c r="C135" s="567">
        <v>132</v>
      </c>
      <c r="D135" s="578"/>
      <c r="E135" s="579"/>
      <c r="F135" s="580"/>
      <c r="G135" s="581"/>
      <c r="H135" s="768"/>
      <c r="I135" s="771"/>
      <c r="J135" s="774"/>
      <c r="K135" s="777"/>
    </row>
    <row r="136" spans="3:11" x14ac:dyDescent="0.2">
      <c r="C136" s="567">
        <v>133</v>
      </c>
      <c r="D136" s="578"/>
      <c r="E136" s="579"/>
      <c r="F136" s="580"/>
      <c r="G136" s="581"/>
      <c r="H136" s="768"/>
      <c r="I136" s="771"/>
      <c r="J136" s="774"/>
      <c r="K136" s="777"/>
    </row>
    <row r="137" spans="3:11" x14ac:dyDescent="0.2">
      <c r="C137" s="567">
        <v>134</v>
      </c>
      <c r="D137" s="578"/>
      <c r="E137" s="579"/>
      <c r="F137" s="580"/>
      <c r="G137" s="581"/>
      <c r="H137" s="768"/>
      <c r="I137" s="771"/>
      <c r="J137" s="774"/>
      <c r="K137" s="777"/>
    </row>
    <row r="138" spans="3:11" x14ac:dyDescent="0.2">
      <c r="C138" s="567">
        <v>135</v>
      </c>
      <c r="D138" s="578"/>
      <c r="E138" s="579"/>
      <c r="F138" s="580"/>
      <c r="G138" s="581"/>
      <c r="H138" s="768"/>
      <c r="I138" s="771"/>
      <c r="J138" s="774"/>
      <c r="K138" s="777"/>
    </row>
    <row r="139" spans="3:11" x14ac:dyDescent="0.2">
      <c r="C139" s="567">
        <v>136</v>
      </c>
      <c r="D139" s="578"/>
      <c r="E139" s="579"/>
      <c r="F139" s="580"/>
      <c r="G139" s="581"/>
      <c r="H139" s="768"/>
      <c r="I139" s="771"/>
      <c r="J139" s="774"/>
      <c r="K139" s="777"/>
    </row>
    <row r="140" spans="3:11" x14ac:dyDescent="0.2">
      <c r="C140" s="567">
        <v>137</v>
      </c>
      <c r="D140" s="578"/>
      <c r="E140" s="579"/>
      <c r="F140" s="580"/>
      <c r="G140" s="581"/>
      <c r="H140" s="768"/>
      <c r="I140" s="771"/>
      <c r="J140" s="774"/>
      <c r="K140" s="777"/>
    </row>
    <row r="141" spans="3:11" x14ac:dyDescent="0.2">
      <c r="C141" s="567">
        <v>138</v>
      </c>
      <c r="D141" s="578"/>
      <c r="E141" s="579"/>
      <c r="F141" s="580"/>
      <c r="G141" s="581"/>
      <c r="H141" s="768"/>
      <c r="I141" s="771"/>
      <c r="J141" s="774"/>
      <c r="K141" s="777"/>
    </row>
    <row r="142" spans="3:11" x14ac:dyDescent="0.2">
      <c r="C142" s="567">
        <v>139</v>
      </c>
      <c r="D142" s="578"/>
      <c r="E142" s="579"/>
      <c r="F142" s="580"/>
      <c r="G142" s="581"/>
      <c r="H142" s="768"/>
      <c r="I142" s="771"/>
      <c r="J142" s="774"/>
      <c r="K142" s="777"/>
    </row>
    <row r="143" spans="3:11" x14ac:dyDescent="0.2">
      <c r="C143" s="567">
        <v>140</v>
      </c>
      <c r="D143" s="578"/>
      <c r="E143" s="579"/>
      <c r="F143" s="580"/>
      <c r="G143" s="581"/>
      <c r="H143" s="768"/>
      <c r="I143" s="771"/>
      <c r="J143" s="774"/>
      <c r="K143" s="777"/>
    </row>
    <row r="144" spans="3:11" x14ac:dyDescent="0.2">
      <c r="C144" s="567">
        <v>141</v>
      </c>
      <c r="D144" s="578"/>
      <c r="E144" s="579"/>
      <c r="F144" s="580"/>
      <c r="G144" s="581"/>
      <c r="H144" s="768"/>
      <c r="I144" s="771"/>
      <c r="J144" s="774"/>
      <c r="K144" s="777"/>
    </row>
    <row r="145" spans="3:11" x14ac:dyDescent="0.2">
      <c r="C145" s="567">
        <v>142</v>
      </c>
      <c r="D145" s="578"/>
      <c r="E145" s="579"/>
      <c r="F145" s="580"/>
      <c r="G145" s="581"/>
      <c r="H145" s="768"/>
      <c r="I145" s="771"/>
      <c r="J145" s="774"/>
      <c r="K145" s="777"/>
    </row>
    <row r="146" spans="3:11" x14ac:dyDescent="0.2">
      <c r="C146" s="567">
        <v>143</v>
      </c>
      <c r="D146" s="578"/>
      <c r="E146" s="579"/>
      <c r="F146" s="580"/>
      <c r="G146" s="581"/>
      <c r="H146" s="768"/>
      <c r="I146" s="771"/>
      <c r="J146" s="774"/>
      <c r="K146" s="777"/>
    </row>
    <row r="147" spans="3:11" x14ac:dyDescent="0.2">
      <c r="C147" s="567">
        <v>144</v>
      </c>
      <c r="D147" s="578"/>
      <c r="E147" s="579"/>
      <c r="F147" s="580"/>
      <c r="G147" s="581"/>
      <c r="H147" s="768"/>
      <c r="I147" s="771"/>
      <c r="J147" s="774"/>
      <c r="K147" s="777"/>
    </row>
    <row r="148" spans="3:11" x14ac:dyDescent="0.2">
      <c r="C148" s="567">
        <v>145</v>
      </c>
      <c r="D148" s="578"/>
      <c r="E148" s="579"/>
      <c r="F148" s="580"/>
      <c r="G148" s="581"/>
      <c r="H148" s="768"/>
      <c r="I148" s="771"/>
      <c r="J148" s="774"/>
      <c r="K148" s="777"/>
    </row>
    <row r="149" spans="3:11" x14ac:dyDescent="0.2">
      <c r="C149" s="567">
        <v>146</v>
      </c>
      <c r="D149" s="578"/>
      <c r="E149" s="579"/>
      <c r="F149" s="580"/>
      <c r="G149" s="581"/>
      <c r="H149" s="768"/>
      <c r="I149" s="771"/>
      <c r="J149" s="774"/>
      <c r="K149" s="777"/>
    </row>
    <row r="150" spans="3:11" x14ac:dyDescent="0.2">
      <c r="C150" s="567">
        <v>147</v>
      </c>
      <c r="D150" s="578"/>
      <c r="E150" s="579"/>
      <c r="F150" s="580"/>
      <c r="G150" s="581"/>
      <c r="H150" s="768"/>
      <c r="I150" s="771"/>
      <c r="J150" s="774"/>
      <c r="K150" s="777"/>
    </row>
    <row r="151" spans="3:11" x14ac:dyDescent="0.2">
      <c r="C151" s="567">
        <v>148</v>
      </c>
      <c r="D151" s="578"/>
      <c r="E151" s="579"/>
      <c r="F151" s="580"/>
      <c r="G151" s="581"/>
      <c r="H151" s="768"/>
      <c r="I151" s="771"/>
      <c r="J151" s="774"/>
      <c r="K151" s="777"/>
    </row>
    <row r="152" spans="3:11" x14ac:dyDescent="0.2">
      <c r="C152" s="567">
        <v>149</v>
      </c>
      <c r="D152" s="578"/>
      <c r="E152" s="579"/>
      <c r="F152" s="580"/>
      <c r="G152" s="581"/>
      <c r="H152" s="768"/>
      <c r="I152" s="771"/>
      <c r="J152" s="774"/>
      <c r="K152" s="777"/>
    </row>
    <row r="153" spans="3:11" x14ac:dyDescent="0.2">
      <c r="C153" s="567">
        <v>150</v>
      </c>
      <c r="D153" s="578"/>
      <c r="E153" s="579"/>
      <c r="F153" s="580"/>
      <c r="G153" s="581"/>
      <c r="H153" s="768"/>
      <c r="I153" s="771"/>
      <c r="J153" s="774"/>
      <c r="K153" s="777"/>
    </row>
    <row r="154" spans="3:11" x14ac:dyDescent="0.2">
      <c r="C154" s="567">
        <v>151</v>
      </c>
      <c r="D154" s="578"/>
      <c r="E154" s="579"/>
      <c r="F154" s="580"/>
      <c r="G154" s="581"/>
      <c r="H154" s="768"/>
      <c r="I154" s="771"/>
      <c r="J154" s="774"/>
      <c r="K154" s="777"/>
    </row>
    <row r="155" spans="3:11" x14ac:dyDescent="0.2">
      <c r="C155" s="567">
        <v>152</v>
      </c>
      <c r="D155" s="578"/>
      <c r="E155" s="579"/>
      <c r="F155" s="580"/>
      <c r="G155" s="581"/>
      <c r="H155" s="768"/>
      <c r="I155" s="771"/>
      <c r="J155" s="774"/>
      <c r="K155" s="777"/>
    </row>
    <row r="156" spans="3:11" x14ac:dyDescent="0.2">
      <c r="C156" s="567">
        <v>153</v>
      </c>
      <c r="D156" s="578"/>
      <c r="E156" s="579"/>
      <c r="F156" s="580"/>
      <c r="G156" s="581"/>
      <c r="H156" s="768"/>
      <c r="I156" s="771"/>
      <c r="J156" s="774"/>
      <c r="K156" s="777"/>
    </row>
    <row r="157" spans="3:11" x14ac:dyDescent="0.2">
      <c r="C157" s="567">
        <v>154</v>
      </c>
      <c r="D157" s="578"/>
      <c r="E157" s="579"/>
      <c r="F157" s="580"/>
      <c r="G157" s="581"/>
      <c r="H157" s="768"/>
      <c r="I157" s="771"/>
      <c r="J157" s="774"/>
      <c r="K157" s="777"/>
    </row>
    <row r="158" spans="3:11" x14ac:dyDescent="0.2">
      <c r="C158" s="567">
        <v>155</v>
      </c>
      <c r="D158" s="578"/>
      <c r="E158" s="579"/>
      <c r="F158" s="580"/>
      <c r="G158" s="581"/>
      <c r="H158" s="768"/>
      <c r="I158" s="771"/>
      <c r="J158" s="774"/>
      <c r="K158" s="777"/>
    </row>
    <row r="159" spans="3:11" x14ac:dyDescent="0.2">
      <c r="C159" s="567">
        <v>156</v>
      </c>
      <c r="D159" s="578"/>
      <c r="E159" s="579"/>
      <c r="F159" s="580"/>
      <c r="G159" s="581"/>
      <c r="H159" s="768"/>
      <c r="I159" s="771"/>
      <c r="J159" s="774"/>
      <c r="K159" s="777"/>
    </row>
    <row r="160" spans="3:11" x14ac:dyDescent="0.2">
      <c r="C160" s="567">
        <v>157</v>
      </c>
      <c r="D160" s="578"/>
      <c r="E160" s="579"/>
      <c r="F160" s="580"/>
      <c r="G160" s="581"/>
      <c r="H160" s="768"/>
      <c r="I160" s="771"/>
      <c r="J160" s="774"/>
      <c r="K160" s="777"/>
    </row>
    <row r="161" spans="3:11" x14ac:dyDescent="0.2">
      <c r="C161" s="567">
        <v>158</v>
      </c>
      <c r="D161" s="578"/>
      <c r="E161" s="579"/>
      <c r="F161" s="580"/>
      <c r="G161" s="581"/>
      <c r="H161" s="768"/>
      <c r="I161" s="771"/>
      <c r="J161" s="774"/>
      <c r="K161" s="777"/>
    </row>
    <row r="162" spans="3:11" x14ac:dyDescent="0.2">
      <c r="C162" s="567">
        <v>159</v>
      </c>
      <c r="D162" s="578"/>
      <c r="E162" s="579"/>
      <c r="F162" s="580"/>
      <c r="G162" s="581"/>
      <c r="H162" s="768"/>
      <c r="I162" s="771"/>
      <c r="J162" s="774"/>
      <c r="K162" s="777"/>
    </row>
    <row r="163" spans="3:11" x14ac:dyDescent="0.2">
      <c r="C163" s="567">
        <v>160</v>
      </c>
      <c r="D163" s="578"/>
      <c r="E163" s="579"/>
      <c r="F163" s="580"/>
      <c r="G163" s="581"/>
      <c r="H163" s="768"/>
      <c r="I163" s="771"/>
      <c r="J163" s="774"/>
      <c r="K163" s="777"/>
    </row>
    <row r="164" spans="3:11" x14ac:dyDescent="0.2">
      <c r="C164" s="567">
        <v>161</v>
      </c>
      <c r="D164" s="578"/>
      <c r="E164" s="579"/>
      <c r="F164" s="580"/>
      <c r="G164" s="581"/>
      <c r="H164" s="768"/>
      <c r="I164" s="771"/>
      <c r="J164" s="774"/>
      <c r="K164" s="777"/>
    </row>
    <row r="165" spans="3:11" x14ac:dyDescent="0.2">
      <c r="C165" s="567">
        <v>162</v>
      </c>
      <c r="D165" s="578"/>
      <c r="E165" s="579"/>
      <c r="F165" s="580"/>
      <c r="G165" s="581"/>
      <c r="H165" s="768"/>
      <c r="I165" s="771"/>
      <c r="J165" s="774"/>
      <c r="K165" s="777"/>
    </row>
    <row r="166" spans="3:11" x14ac:dyDescent="0.2">
      <c r="C166" s="567">
        <v>163</v>
      </c>
      <c r="D166" s="578"/>
      <c r="E166" s="579"/>
      <c r="F166" s="580"/>
      <c r="G166" s="581"/>
      <c r="H166" s="768"/>
      <c r="I166" s="771"/>
      <c r="J166" s="774"/>
      <c r="K166" s="777"/>
    </row>
    <row r="167" spans="3:11" x14ac:dyDescent="0.2">
      <c r="C167" s="567">
        <v>164</v>
      </c>
      <c r="D167" s="578"/>
      <c r="E167" s="579"/>
      <c r="F167" s="580"/>
      <c r="G167" s="581"/>
      <c r="H167" s="768"/>
      <c r="I167" s="771"/>
      <c r="J167" s="774"/>
      <c r="K167" s="777"/>
    </row>
    <row r="168" spans="3:11" x14ac:dyDescent="0.2">
      <c r="C168" s="567">
        <v>165</v>
      </c>
      <c r="D168" s="578"/>
      <c r="E168" s="579"/>
      <c r="F168" s="580"/>
      <c r="G168" s="581"/>
      <c r="H168" s="768"/>
      <c r="I168" s="771"/>
      <c r="J168" s="774"/>
      <c r="K168" s="777"/>
    </row>
    <row r="169" spans="3:11" x14ac:dyDescent="0.2">
      <c r="C169" s="567">
        <v>166</v>
      </c>
      <c r="D169" s="578"/>
      <c r="E169" s="579"/>
      <c r="F169" s="580"/>
      <c r="G169" s="581"/>
      <c r="H169" s="768"/>
      <c r="I169" s="771"/>
      <c r="J169" s="774"/>
      <c r="K169" s="777"/>
    </row>
    <row r="170" spans="3:11" x14ac:dyDescent="0.2">
      <c r="C170" s="567">
        <v>167</v>
      </c>
      <c r="D170" s="578"/>
      <c r="E170" s="579"/>
      <c r="F170" s="580"/>
      <c r="G170" s="581"/>
      <c r="H170" s="768"/>
      <c r="I170" s="771"/>
      <c r="J170" s="774"/>
      <c r="K170" s="777"/>
    </row>
    <row r="171" spans="3:11" x14ac:dyDescent="0.2">
      <c r="C171" s="567">
        <v>168</v>
      </c>
      <c r="D171" s="578"/>
      <c r="E171" s="579"/>
      <c r="F171" s="580"/>
      <c r="G171" s="581"/>
      <c r="H171" s="768"/>
      <c r="I171" s="771"/>
      <c r="J171" s="774"/>
      <c r="K171" s="777"/>
    </row>
    <row r="172" spans="3:11" x14ac:dyDescent="0.2">
      <c r="C172" s="567">
        <v>169</v>
      </c>
      <c r="D172" s="578"/>
      <c r="E172" s="579"/>
      <c r="F172" s="580"/>
      <c r="G172" s="581"/>
      <c r="H172" s="768"/>
      <c r="I172" s="771"/>
      <c r="J172" s="774"/>
      <c r="K172" s="777"/>
    </row>
    <row r="173" spans="3:11" x14ac:dyDescent="0.2">
      <c r="C173" s="567">
        <v>170</v>
      </c>
      <c r="D173" s="578"/>
      <c r="E173" s="579"/>
      <c r="F173" s="580"/>
      <c r="G173" s="581"/>
      <c r="H173" s="768"/>
      <c r="I173" s="771"/>
      <c r="J173" s="774"/>
      <c r="K173" s="777"/>
    </row>
    <row r="174" spans="3:11" x14ac:dyDescent="0.2">
      <c r="C174" s="567">
        <v>171</v>
      </c>
      <c r="D174" s="578"/>
      <c r="E174" s="579"/>
      <c r="F174" s="580"/>
      <c r="G174" s="581"/>
      <c r="H174" s="768"/>
      <c r="I174" s="771"/>
      <c r="J174" s="774"/>
      <c r="K174" s="777"/>
    </row>
    <row r="175" spans="3:11" x14ac:dyDescent="0.2">
      <c r="C175" s="567">
        <v>172</v>
      </c>
      <c r="D175" s="578"/>
      <c r="E175" s="579"/>
      <c r="F175" s="580"/>
      <c r="G175" s="581"/>
      <c r="H175" s="768"/>
      <c r="I175" s="771"/>
      <c r="J175" s="774"/>
      <c r="K175" s="777"/>
    </row>
    <row r="176" spans="3:11" x14ac:dyDescent="0.2">
      <c r="C176" s="567">
        <v>173</v>
      </c>
      <c r="D176" s="578"/>
      <c r="E176" s="579"/>
      <c r="F176" s="580"/>
      <c r="G176" s="581"/>
      <c r="H176" s="768"/>
      <c r="I176" s="771"/>
      <c r="J176" s="774"/>
      <c r="K176" s="777"/>
    </row>
    <row r="177" spans="3:11" x14ac:dyDescent="0.2">
      <c r="C177" s="567">
        <v>174</v>
      </c>
      <c r="D177" s="578"/>
      <c r="E177" s="579"/>
      <c r="F177" s="580"/>
      <c r="G177" s="581"/>
      <c r="H177" s="768"/>
      <c r="I177" s="771"/>
      <c r="J177" s="774"/>
      <c r="K177" s="777"/>
    </row>
    <row r="178" spans="3:11" x14ac:dyDescent="0.2">
      <c r="C178" s="567">
        <v>175</v>
      </c>
      <c r="D178" s="578"/>
      <c r="E178" s="579"/>
      <c r="F178" s="580"/>
      <c r="G178" s="581"/>
      <c r="H178" s="768"/>
      <c r="I178" s="771"/>
      <c r="J178" s="774"/>
      <c r="K178" s="777"/>
    </row>
    <row r="179" spans="3:11" x14ac:dyDescent="0.2">
      <c r="C179" s="567">
        <v>176</v>
      </c>
      <c r="D179" s="578"/>
      <c r="E179" s="579"/>
      <c r="F179" s="580"/>
      <c r="G179" s="581"/>
      <c r="H179" s="768"/>
      <c r="I179" s="771"/>
      <c r="J179" s="774"/>
      <c r="K179" s="777"/>
    </row>
    <row r="180" spans="3:11" x14ac:dyDescent="0.2">
      <c r="C180" s="567">
        <v>177</v>
      </c>
      <c r="D180" s="578"/>
      <c r="E180" s="579"/>
      <c r="F180" s="580"/>
      <c r="G180" s="581"/>
      <c r="H180" s="768"/>
      <c r="I180" s="771"/>
      <c r="J180" s="774"/>
      <c r="K180" s="777"/>
    </row>
    <row r="181" spans="3:11" x14ac:dyDescent="0.2">
      <c r="C181" s="567">
        <v>178</v>
      </c>
      <c r="D181" s="578"/>
      <c r="E181" s="579"/>
      <c r="F181" s="580"/>
      <c r="G181" s="581"/>
      <c r="H181" s="768"/>
      <c r="I181" s="771"/>
      <c r="J181" s="774"/>
      <c r="K181" s="777"/>
    </row>
    <row r="182" spans="3:11" x14ac:dyDescent="0.2">
      <c r="C182" s="567">
        <v>179</v>
      </c>
      <c r="D182" s="578"/>
      <c r="E182" s="579"/>
      <c r="F182" s="580"/>
      <c r="G182" s="581"/>
      <c r="H182" s="768"/>
      <c r="I182" s="771"/>
      <c r="J182" s="774"/>
      <c r="K182" s="777"/>
    </row>
    <row r="183" spans="3:11" x14ac:dyDescent="0.2">
      <c r="C183" s="567">
        <v>180</v>
      </c>
      <c r="D183" s="578"/>
      <c r="E183" s="579"/>
      <c r="F183" s="580"/>
      <c r="G183" s="581"/>
      <c r="H183" s="768"/>
      <c r="I183" s="771"/>
      <c r="J183" s="774"/>
      <c r="K183" s="777"/>
    </row>
    <row r="184" spans="3:11" x14ac:dyDescent="0.2">
      <c r="C184" s="567">
        <v>181</v>
      </c>
      <c r="D184" s="578"/>
      <c r="E184" s="579"/>
      <c r="F184" s="580"/>
      <c r="G184" s="581"/>
      <c r="H184" s="768"/>
      <c r="I184" s="771"/>
      <c r="J184" s="774"/>
      <c r="K184" s="777"/>
    </row>
    <row r="185" spans="3:11" x14ac:dyDescent="0.2">
      <c r="C185" s="567">
        <v>182</v>
      </c>
      <c r="D185" s="578"/>
      <c r="E185" s="579"/>
      <c r="F185" s="580"/>
      <c r="G185" s="581"/>
      <c r="H185" s="768"/>
      <c r="I185" s="771"/>
      <c r="J185" s="774"/>
      <c r="K185" s="777"/>
    </row>
    <row r="186" spans="3:11" x14ac:dyDescent="0.2">
      <c r="C186" s="567">
        <v>183</v>
      </c>
      <c r="D186" s="578"/>
      <c r="E186" s="579"/>
      <c r="F186" s="580"/>
      <c r="G186" s="581"/>
      <c r="H186" s="768"/>
      <c r="I186" s="771"/>
      <c r="J186" s="774"/>
      <c r="K186" s="777"/>
    </row>
    <row r="187" spans="3:11" x14ac:dyDescent="0.2">
      <c r="C187" s="567">
        <v>184</v>
      </c>
      <c r="D187" s="578"/>
      <c r="E187" s="579"/>
      <c r="F187" s="580"/>
      <c r="G187" s="581"/>
      <c r="H187" s="768"/>
      <c r="I187" s="771"/>
      <c r="J187" s="774"/>
      <c r="K187" s="777"/>
    </row>
    <row r="188" spans="3:11" x14ac:dyDescent="0.2">
      <c r="C188" s="567">
        <v>185</v>
      </c>
      <c r="D188" s="578"/>
      <c r="E188" s="579"/>
      <c r="F188" s="580"/>
      <c r="G188" s="581"/>
      <c r="H188" s="768"/>
      <c r="I188" s="771"/>
      <c r="J188" s="774"/>
      <c r="K188" s="777"/>
    </row>
    <row r="189" spans="3:11" x14ac:dyDescent="0.2">
      <c r="C189" s="567">
        <v>186</v>
      </c>
      <c r="D189" s="578"/>
      <c r="E189" s="579"/>
      <c r="F189" s="580"/>
      <c r="G189" s="581"/>
      <c r="H189" s="768"/>
      <c r="I189" s="771"/>
      <c r="J189" s="774"/>
      <c r="K189" s="777"/>
    </row>
    <row r="190" spans="3:11" x14ac:dyDescent="0.2">
      <c r="C190" s="567">
        <v>187</v>
      </c>
      <c r="D190" s="578"/>
      <c r="E190" s="579"/>
      <c r="F190" s="580"/>
      <c r="G190" s="581"/>
      <c r="H190" s="768"/>
      <c r="I190" s="771"/>
      <c r="J190" s="774"/>
      <c r="K190" s="777"/>
    </row>
    <row r="191" spans="3:11" x14ac:dyDescent="0.2">
      <c r="C191" s="567">
        <v>188</v>
      </c>
      <c r="D191" s="578"/>
      <c r="E191" s="579"/>
      <c r="F191" s="580"/>
      <c r="G191" s="581"/>
      <c r="H191" s="768"/>
      <c r="I191" s="771"/>
      <c r="J191" s="774"/>
      <c r="K191" s="777"/>
    </row>
    <row r="192" spans="3:11" x14ac:dyDescent="0.2">
      <c r="C192" s="567">
        <v>189</v>
      </c>
      <c r="D192" s="578"/>
      <c r="E192" s="579"/>
      <c r="F192" s="580"/>
      <c r="G192" s="581"/>
      <c r="H192" s="768"/>
      <c r="I192" s="771"/>
      <c r="J192" s="774"/>
      <c r="K192" s="777"/>
    </row>
    <row r="193" spans="3:11" x14ac:dyDescent="0.2">
      <c r="C193" s="567">
        <v>190</v>
      </c>
      <c r="D193" s="578"/>
      <c r="E193" s="579"/>
      <c r="F193" s="580"/>
      <c r="G193" s="581"/>
      <c r="H193" s="768"/>
      <c r="I193" s="771"/>
      <c r="J193" s="774"/>
      <c r="K193" s="777"/>
    </row>
    <row r="194" spans="3:11" x14ac:dyDescent="0.2">
      <c r="C194" s="567">
        <v>191</v>
      </c>
      <c r="D194" s="578"/>
      <c r="E194" s="579"/>
      <c r="F194" s="580"/>
      <c r="G194" s="581"/>
      <c r="H194" s="768"/>
      <c r="I194" s="771"/>
      <c r="J194" s="774"/>
      <c r="K194" s="777"/>
    </row>
    <row r="195" spans="3:11" x14ac:dyDescent="0.2">
      <c r="C195" s="567">
        <v>192</v>
      </c>
      <c r="D195" s="578"/>
      <c r="E195" s="579"/>
      <c r="F195" s="580"/>
      <c r="G195" s="581"/>
      <c r="H195" s="768"/>
      <c r="I195" s="771"/>
      <c r="J195" s="774"/>
      <c r="K195" s="777"/>
    </row>
    <row r="196" spans="3:11" x14ac:dyDescent="0.2">
      <c r="C196" s="567">
        <v>193</v>
      </c>
      <c r="D196" s="578"/>
      <c r="E196" s="579"/>
      <c r="F196" s="580"/>
      <c r="G196" s="581"/>
      <c r="H196" s="768"/>
      <c r="I196" s="771"/>
      <c r="J196" s="774"/>
      <c r="K196" s="777"/>
    </row>
    <row r="197" spans="3:11" x14ac:dyDescent="0.2">
      <c r="C197" s="567">
        <v>194</v>
      </c>
      <c r="D197" s="578"/>
      <c r="E197" s="579"/>
      <c r="F197" s="580"/>
      <c r="G197" s="581"/>
      <c r="H197" s="768"/>
      <c r="I197" s="771"/>
      <c r="J197" s="774"/>
      <c r="K197" s="777"/>
    </row>
    <row r="198" spans="3:11" x14ac:dyDescent="0.2">
      <c r="C198" s="567">
        <v>195</v>
      </c>
      <c r="D198" s="578"/>
      <c r="E198" s="579"/>
      <c r="F198" s="580"/>
      <c r="G198" s="581"/>
      <c r="H198" s="768"/>
      <c r="I198" s="771"/>
      <c r="J198" s="774"/>
      <c r="K198" s="777"/>
    </row>
    <row r="199" spans="3:11" x14ac:dyDescent="0.2">
      <c r="C199" s="567">
        <v>196</v>
      </c>
      <c r="D199" s="578"/>
      <c r="E199" s="579"/>
      <c r="F199" s="580"/>
      <c r="G199" s="581"/>
      <c r="H199" s="768"/>
      <c r="I199" s="771"/>
      <c r="J199" s="774"/>
      <c r="K199" s="777"/>
    </row>
    <row r="200" spans="3:11" x14ac:dyDescent="0.2">
      <c r="C200" s="567">
        <v>197</v>
      </c>
      <c r="D200" s="578"/>
      <c r="E200" s="579"/>
      <c r="F200" s="580"/>
      <c r="G200" s="581"/>
      <c r="H200" s="768"/>
      <c r="I200" s="771"/>
      <c r="J200" s="774"/>
      <c r="K200" s="777"/>
    </row>
    <row r="201" spans="3:11" x14ac:dyDescent="0.2">
      <c r="C201" s="567">
        <v>198</v>
      </c>
      <c r="D201" s="578"/>
      <c r="E201" s="579"/>
      <c r="F201" s="580"/>
      <c r="G201" s="581"/>
      <c r="H201" s="768"/>
      <c r="I201" s="771"/>
      <c r="J201" s="774"/>
      <c r="K201" s="777"/>
    </row>
    <row r="202" spans="3:11" x14ac:dyDescent="0.2">
      <c r="C202" s="567">
        <v>199</v>
      </c>
      <c r="D202" s="578"/>
      <c r="E202" s="579"/>
      <c r="F202" s="580"/>
      <c r="G202" s="581"/>
      <c r="H202" s="768"/>
      <c r="I202" s="771"/>
      <c r="J202" s="774"/>
      <c r="K202" s="777"/>
    </row>
    <row r="203" spans="3:11" x14ac:dyDescent="0.2">
      <c r="C203" s="567">
        <v>200</v>
      </c>
      <c r="D203" s="578"/>
      <c r="E203" s="579"/>
      <c r="F203" s="580"/>
      <c r="G203" s="581"/>
      <c r="H203" s="768"/>
      <c r="I203" s="771"/>
      <c r="J203" s="774"/>
      <c r="K203" s="777"/>
    </row>
    <row r="204" spans="3:11" x14ac:dyDescent="0.2">
      <c r="C204" s="567">
        <v>201</v>
      </c>
      <c r="D204" s="578"/>
      <c r="E204" s="579"/>
      <c r="F204" s="580"/>
      <c r="G204" s="581"/>
      <c r="H204" s="768"/>
      <c r="I204" s="771"/>
      <c r="J204" s="774"/>
      <c r="K204" s="777"/>
    </row>
    <row r="205" spans="3:11" x14ac:dyDescent="0.2">
      <c r="C205" s="567">
        <v>202</v>
      </c>
      <c r="D205" s="578"/>
      <c r="E205" s="579"/>
      <c r="F205" s="580"/>
      <c r="G205" s="581"/>
      <c r="H205" s="768"/>
      <c r="I205" s="771"/>
      <c r="J205" s="774"/>
      <c r="K205" s="777"/>
    </row>
    <row r="206" spans="3:11" x14ac:dyDescent="0.2">
      <c r="C206" s="567">
        <v>203</v>
      </c>
      <c r="D206" s="578"/>
      <c r="E206" s="579"/>
      <c r="F206" s="580"/>
      <c r="G206" s="581"/>
      <c r="H206" s="768"/>
      <c r="I206" s="771"/>
      <c r="J206" s="774"/>
      <c r="K206" s="777"/>
    </row>
    <row r="207" spans="3:11" x14ac:dyDescent="0.2">
      <c r="C207" s="567">
        <v>204</v>
      </c>
      <c r="D207" s="578"/>
      <c r="E207" s="579"/>
      <c r="F207" s="580"/>
      <c r="G207" s="581"/>
      <c r="H207" s="768"/>
      <c r="I207" s="771"/>
      <c r="J207" s="774"/>
      <c r="K207" s="777"/>
    </row>
    <row r="208" spans="3:11" x14ac:dyDescent="0.2">
      <c r="C208" s="567">
        <v>205</v>
      </c>
      <c r="D208" s="578"/>
      <c r="E208" s="579"/>
      <c r="F208" s="580"/>
      <c r="G208" s="581"/>
      <c r="H208" s="768"/>
      <c r="I208" s="771"/>
      <c r="J208" s="774"/>
      <c r="K208" s="777"/>
    </row>
    <row r="209" spans="3:11" x14ac:dyDescent="0.2">
      <c r="C209" s="567">
        <v>206</v>
      </c>
      <c r="D209" s="578"/>
      <c r="E209" s="579"/>
      <c r="F209" s="580"/>
      <c r="G209" s="581"/>
      <c r="H209" s="768"/>
      <c r="I209" s="771"/>
      <c r="J209" s="774"/>
      <c r="K209" s="777"/>
    </row>
    <row r="210" spans="3:11" x14ac:dyDescent="0.2">
      <c r="C210" s="567">
        <v>207</v>
      </c>
      <c r="D210" s="578"/>
      <c r="E210" s="579"/>
      <c r="F210" s="580"/>
      <c r="G210" s="581"/>
      <c r="H210" s="768"/>
      <c r="I210" s="771"/>
      <c r="J210" s="774"/>
      <c r="K210" s="777"/>
    </row>
    <row r="211" spans="3:11" x14ac:dyDescent="0.2">
      <c r="C211" s="567">
        <v>208</v>
      </c>
      <c r="D211" s="578"/>
      <c r="E211" s="579"/>
      <c r="F211" s="580"/>
      <c r="G211" s="581"/>
      <c r="H211" s="768"/>
      <c r="I211" s="771"/>
      <c r="J211" s="774"/>
      <c r="K211" s="777"/>
    </row>
    <row r="212" spans="3:11" x14ac:dyDescent="0.2">
      <c r="C212" s="567">
        <v>209</v>
      </c>
      <c r="D212" s="578"/>
      <c r="E212" s="579"/>
      <c r="F212" s="580"/>
      <c r="G212" s="581"/>
      <c r="H212" s="768"/>
      <c r="I212" s="771"/>
      <c r="J212" s="774"/>
      <c r="K212" s="777"/>
    </row>
    <row r="213" spans="3:11" x14ac:dyDescent="0.2">
      <c r="C213" s="567">
        <v>210</v>
      </c>
      <c r="D213" s="578"/>
      <c r="E213" s="579"/>
      <c r="F213" s="580"/>
      <c r="G213" s="581"/>
      <c r="H213" s="768"/>
      <c r="I213" s="771"/>
      <c r="J213" s="774"/>
      <c r="K213" s="777"/>
    </row>
    <row r="214" spans="3:11" x14ac:dyDescent="0.2">
      <c r="C214" s="567">
        <v>211</v>
      </c>
      <c r="D214" s="578"/>
      <c r="E214" s="579"/>
      <c r="F214" s="580"/>
      <c r="G214" s="581"/>
      <c r="H214" s="768"/>
      <c r="I214" s="771"/>
      <c r="J214" s="774"/>
      <c r="K214" s="777"/>
    </row>
    <row r="215" spans="3:11" x14ac:dyDescent="0.2">
      <c r="C215" s="567">
        <v>212</v>
      </c>
      <c r="D215" s="578"/>
      <c r="E215" s="579"/>
      <c r="F215" s="580"/>
      <c r="G215" s="581"/>
      <c r="H215" s="768"/>
      <c r="I215" s="771"/>
      <c r="J215" s="774"/>
      <c r="K215" s="777"/>
    </row>
    <row r="216" spans="3:11" x14ac:dyDescent="0.2">
      <c r="C216" s="567">
        <v>213</v>
      </c>
      <c r="D216" s="578"/>
      <c r="E216" s="579"/>
      <c r="F216" s="580"/>
      <c r="G216" s="581"/>
      <c r="H216" s="768"/>
      <c r="I216" s="771"/>
      <c r="J216" s="774"/>
      <c r="K216" s="777"/>
    </row>
    <row r="217" spans="3:11" x14ac:dyDescent="0.2">
      <c r="C217" s="567">
        <v>214</v>
      </c>
      <c r="D217" s="578"/>
      <c r="E217" s="579"/>
      <c r="F217" s="580"/>
      <c r="G217" s="581"/>
      <c r="H217" s="768"/>
      <c r="I217" s="771"/>
      <c r="J217" s="774"/>
      <c r="K217" s="777"/>
    </row>
    <row r="218" spans="3:11" x14ac:dyDescent="0.2">
      <c r="C218" s="567">
        <v>215</v>
      </c>
      <c r="D218" s="578"/>
      <c r="E218" s="579"/>
      <c r="F218" s="580"/>
      <c r="G218" s="581"/>
      <c r="H218" s="768"/>
      <c r="I218" s="771"/>
      <c r="J218" s="774"/>
      <c r="K218" s="777"/>
    </row>
    <row r="219" spans="3:11" x14ac:dyDescent="0.2">
      <c r="C219" s="567">
        <v>216</v>
      </c>
      <c r="D219" s="578"/>
      <c r="E219" s="579"/>
      <c r="F219" s="580"/>
      <c r="G219" s="581"/>
      <c r="H219" s="768"/>
      <c r="I219" s="771"/>
      <c r="J219" s="774"/>
      <c r="K219" s="777"/>
    </row>
    <row r="220" spans="3:11" x14ac:dyDescent="0.2">
      <c r="C220" s="567">
        <v>217</v>
      </c>
      <c r="D220" s="578"/>
      <c r="E220" s="579"/>
      <c r="F220" s="580"/>
      <c r="G220" s="581"/>
      <c r="H220" s="768"/>
      <c r="I220" s="771"/>
      <c r="J220" s="774"/>
      <c r="K220" s="777"/>
    </row>
    <row r="221" spans="3:11" x14ac:dyDescent="0.2">
      <c r="C221" s="567">
        <v>218</v>
      </c>
      <c r="D221" s="578"/>
      <c r="E221" s="579"/>
      <c r="F221" s="580"/>
      <c r="G221" s="581"/>
      <c r="H221" s="768"/>
      <c r="I221" s="771"/>
      <c r="J221" s="774"/>
      <c r="K221" s="777"/>
    </row>
    <row r="222" spans="3:11" x14ac:dyDescent="0.2">
      <c r="C222" s="567">
        <v>219</v>
      </c>
      <c r="D222" s="578"/>
      <c r="E222" s="579"/>
      <c r="F222" s="580"/>
      <c r="G222" s="581"/>
      <c r="H222" s="768"/>
      <c r="I222" s="771"/>
      <c r="J222" s="774"/>
      <c r="K222" s="777"/>
    </row>
    <row r="223" spans="3:11" x14ac:dyDescent="0.2">
      <c r="C223" s="567">
        <v>220</v>
      </c>
      <c r="D223" s="578"/>
      <c r="E223" s="579"/>
      <c r="F223" s="580"/>
      <c r="G223" s="581"/>
      <c r="H223" s="768"/>
      <c r="I223" s="771"/>
      <c r="J223" s="774"/>
      <c r="K223" s="777"/>
    </row>
    <row r="224" spans="3:11" x14ac:dyDescent="0.2">
      <c r="C224" s="567">
        <v>221</v>
      </c>
      <c r="D224" s="578"/>
      <c r="E224" s="579"/>
      <c r="F224" s="580"/>
      <c r="G224" s="581"/>
      <c r="H224" s="768"/>
      <c r="I224" s="771"/>
      <c r="J224" s="774"/>
      <c r="K224" s="777"/>
    </row>
    <row r="225" spans="3:11" x14ac:dyDescent="0.2">
      <c r="C225" s="567">
        <v>222</v>
      </c>
      <c r="D225" s="578"/>
      <c r="E225" s="579"/>
      <c r="F225" s="580"/>
      <c r="G225" s="581"/>
      <c r="H225" s="768"/>
      <c r="I225" s="771"/>
      <c r="J225" s="774"/>
      <c r="K225" s="777"/>
    </row>
    <row r="226" spans="3:11" x14ac:dyDescent="0.2">
      <c r="C226" s="567">
        <v>223</v>
      </c>
      <c r="D226" s="578"/>
      <c r="E226" s="579"/>
      <c r="F226" s="580"/>
      <c r="G226" s="581"/>
      <c r="H226" s="768"/>
      <c r="I226" s="771"/>
      <c r="J226" s="774"/>
      <c r="K226" s="777"/>
    </row>
    <row r="227" spans="3:11" x14ac:dyDescent="0.2">
      <c r="C227" s="567">
        <v>224</v>
      </c>
      <c r="D227" s="578"/>
      <c r="E227" s="579"/>
      <c r="F227" s="580"/>
      <c r="G227" s="581"/>
      <c r="H227" s="768"/>
      <c r="I227" s="771"/>
      <c r="J227" s="774"/>
      <c r="K227" s="777"/>
    </row>
    <row r="228" spans="3:11" x14ac:dyDescent="0.2">
      <c r="C228" s="567">
        <v>225</v>
      </c>
      <c r="D228" s="578"/>
      <c r="E228" s="579"/>
      <c r="F228" s="580"/>
      <c r="G228" s="581"/>
      <c r="H228" s="768"/>
      <c r="I228" s="771"/>
      <c r="J228" s="774"/>
      <c r="K228" s="777"/>
    </row>
    <row r="229" spans="3:11" x14ac:dyDescent="0.2">
      <c r="C229" s="567">
        <v>226</v>
      </c>
      <c r="D229" s="578"/>
      <c r="E229" s="579"/>
      <c r="F229" s="580"/>
      <c r="G229" s="581"/>
      <c r="H229" s="768"/>
      <c r="I229" s="771"/>
      <c r="J229" s="774"/>
      <c r="K229" s="777"/>
    </row>
    <row r="230" spans="3:11" x14ac:dyDescent="0.2">
      <c r="C230" s="567">
        <v>227</v>
      </c>
      <c r="D230" s="578"/>
      <c r="E230" s="579"/>
      <c r="F230" s="580"/>
      <c r="G230" s="581"/>
      <c r="H230" s="768"/>
      <c r="I230" s="771"/>
      <c r="J230" s="774"/>
      <c r="K230" s="777"/>
    </row>
    <row r="231" spans="3:11" x14ac:dyDescent="0.2">
      <c r="C231" s="567">
        <v>228</v>
      </c>
      <c r="D231" s="578"/>
      <c r="E231" s="579"/>
      <c r="F231" s="580"/>
      <c r="G231" s="581"/>
      <c r="H231" s="768"/>
      <c r="I231" s="771"/>
      <c r="J231" s="774"/>
      <c r="K231" s="777"/>
    </row>
    <row r="232" spans="3:11" x14ac:dyDescent="0.2">
      <c r="C232" s="567">
        <v>229</v>
      </c>
      <c r="D232" s="578"/>
      <c r="E232" s="579"/>
      <c r="F232" s="580"/>
      <c r="G232" s="581"/>
      <c r="H232" s="768"/>
      <c r="I232" s="771"/>
      <c r="J232" s="774"/>
      <c r="K232" s="777"/>
    </row>
    <row r="233" spans="3:11" x14ac:dyDescent="0.2">
      <c r="C233" s="567">
        <v>230</v>
      </c>
      <c r="D233" s="578"/>
      <c r="E233" s="579"/>
      <c r="F233" s="580"/>
      <c r="G233" s="581"/>
      <c r="H233" s="768"/>
      <c r="I233" s="771"/>
      <c r="J233" s="774"/>
      <c r="K233" s="777"/>
    </row>
    <row r="234" spans="3:11" x14ac:dyDescent="0.2">
      <c r="C234" s="567">
        <v>231</v>
      </c>
      <c r="D234" s="578"/>
      <c r="E234" s="579"/>
      <c r="F234" s="580"/>
      <c r="G234" s="581"/>
      <c r="H234" s="768"/>
      <c r="I234" s="771"/>
      <c r="J234" s="774"/>
      <c r="K234" s="777"/>
    </row>
    <row r="235" spans="3:11" x14ac:dyDescent="0.2">
      <c r="C235" s="567">
        <v>232</v>
      </c>
      <c r="D235" s="578"/>
      <c r="E235" s="579"/>
      <c r="F235" s="580"/>
      <c r="G235" s="581"/>
      <c r="H235" s="768"/>
      <c r="I235" s="771"/>
      <c r="J235" s="774"/>
      <c r="K235" s="777"/>
    </row>
    <row r="236" spans="3:11" x14ac:dyDescent="0.2">
      <c r="C236" s="567">
        <v>233</v>
      </c>
      <c r="D236" s="578"/>
      <c r="E236" s="579"/>
      <c r="F236" s="580"/>
      <c r="G236" s="581"/>
      <c r="H236" s="768"/>
      <c r="I236" s="771"/>
      <c r="J236" s="774"/>
      <c r="K236" s="777"/>
    </row>
    <row r="237" spans="3:11" x14ac:dyDescent="0.2">
      <c r="C237" s="567">
        <v>234</v>
      </c>
      <c r="D237" s="578"/>
      <c r="E237" s="579"/>
      <c r="F237" s="580"/>
      <c r="G237" s="581"/>
      <c r="H237" s="768"/>
      <c r="I237" s="771"/>
      <c r="J237" s="774"/>
      <c r="K237" s="777"/>
    </row>
    <row r="238" spans="3:11" x14ac:dyDescent="0.2">
      <c r="C238" s="567">
        <v>235</v>
      </c>
      <c r="D238" s="578"/>
      <c r="E238" s="579"/>
      <c r="F238" s="580"/>
      <c r="G238" s="581"/>
      <c r="H238" s="768"/>
      <c r="I238" s="771"/>
      <c r="J238" s="774"/>
      <c r="K238" s="777"/>
    </row>
    <row r="239" spans="3:11" x14ac:dyDescent="0.2">
      <c r="C239" s="567">
        <v>236</v>
      </c>
      <c r="D239" s="578"/>
      <c r="E239" s="579"/>
      <c r="F239" s="580"/>
      <c r="G239" s="581"/>
      <c r="H239" s="768"/>
      <c r="I239" s="771"/>
      <c r="J239" s="774"/>
      <c r="K239" s="777"/>
    </row>
    <row r="240" spans="3:11" x14ac:dyDescent="0.2">
      <c r="C240" s="567">
        <v>237</v>
      </c>
      <c r="D240" s="578"/>
      <c r="E240" s="579"/>
      <c r="F240" s="580"/>
      <c r="G240" s="581"/>
      <c r="H240" s="768"/>
      <c r="I240" s="771"/>
      <c r="J240" s="774"/>
      <c r="K240" s="777"/>
    </row>
    <row r="241" spans="3:11" x14ac:dyDescent="0.2">
      <c r="C241" s="567">
        <v>238</v>
      </c>
      <c r="D241" s="578"/>
      <c r="E241" s="579"/>
      <c r="F241" s="580"/>
      <c r="G241" s="581"/>
      <c r="H241" s="768"/>
      <c r="I241" s="771"/>
      <c r="J241" s="774"/>
      <c r="K241" s="777"/>
    </row>
    <row r="242" spans="3:11" x14ac:dyDescent="0.2">
      <c r="C242" s="567">
        <v>239</v>
      </c>
      <c r="D242" s="578"/>
      <c r="E242" s="579"/>
      <c r="F242" s="580"/>
      <c r="G242" s="581"/>
      <c r="H242" s="768"/>
      <c r="I242" s="771"/>
      <c r="J242" s="774"/>
      <c r="K242" s="777"/>
    </row>
    <row r="243" spans="3:11" x14ac:dyDescent="0.2">
      <c r="C243" s="567">
        <v>240</v>
      </c>
      <c r="D243" s="578"/>
      <c r="E243" s="579"/>
      <c r="F243" s="580"/>
      <c r="G243" s="581"/>
      <c r="H243" s="768"/>
      <c r="I243" s="771"/>
      <c r="J243" s="774"/>
      <c r="K243" s="777"/>
    </row>
    <row r="244" spans="3:11" x14ac:dyDescent="0.2">
      <c r="C244" s="567">
        <v>241</v>
      </c>
      <c r="D244" s="578"/>
      <c r="E244" s="579"/>
      <c r="F244" s="580"/>
      <c r="G244" s="581"/>
      <c r="H244" s="768"/>
      <c r="I244" s="771"/>
      <c r="J244" s="774"/>
      <c r="K244" s="777"/>
    </row>
    <row r="245" spans="3:11" x14ac:dyDescent="0.2">
      <c r="C245" s="567">
        <v>242</v>
      </c>
      <c r="D245" s="578"/>
      <c r="E245" s="579"/>
      <c r="F245" s="580"/>
      <c r="G245" s="581"/>
      <c r="H245" s="768"/>
      <c r="I245" s="771"/>
      <c r="J245" s="774"/>
      <c r="K245" s="777"/>
    </row>
    <row r="246" spans="3:11" x14ac:dyDescent="0.2">
      <c r="C246" s="567">
        <v>243</v>
      </c>
      <c r="D246" s="578"/>
      <c r="E246" s="579"/>
      <c r="F246" s="580"/>
      <c r="G246" s="581"/>
      <c r="H246" s="768"/>
      <c r="I246" s="771"/>
      <c r="J246" s="774"/>
      <c r="K246" s="777"/>
    </row>
    <row r="247" spans="3:11" x14ac:dyDescent="0.2">
      <c r="C247" s="567">
        <v>244</v>
      </c>
      <c r="D247" s="578"/>
      <c r="E247" s="579"/>
      <c r="F247" s="580"/>
      <c r="G247" s="581"/>
      <c r="H247" s="768"/>
      <c r="I247" s="771"/>
      <c r="J247" s="774"/>
      <c r="K247" s="777"/>
    </row>
    <row r="248" spans="3:11" x14ac:dyDescent="0.2">
      <c r="C248" s="567">
        <v>245</v>
      </c>
      <c r="D248" s="578"/>
      <c r="E248" s="579"/>
      <c r="F248" s="580"/>
      <c r="G248" s="581"/>
      <c r="H248" s="768"/>
      <c r="I248" s="771"/>
      <c r="J248" s="774"/>
      <c r="K248" s="777"/>
    </row>
    <row r="249" spans="3:11" x14ac:dyDescent="0.2">
      <c r="C249" s="567">
        <v>246</v>
      </c>
      <c r="D249" s="578"/>
      <c r="E249" s="579"/>
      <c r="F249" s="580"/>
      <c r="G249" s="581"/>
      <c r="H249" s="768"/>
      <c r="I249" s="771"/>
      <c r="J249" s="774"/>
      <c r="K249" s="777"/>
    </row>
    <row r="250" spans="3:11" x14ac:dyDescent="0.2">
      <c r="C250" s="567">
        <v>247</v>
      </c>
      <c r="D250" s="578"/>
      <c r="E250" s="579"/>
      <c r="F250" s="580"/>
      <c r="G250" s="581"/>
      <c r="H250" s="768"/>
      <c r="I250" s="771"/>
      <c r="J250" s="774"/>
      <c r="K250" s="777"/>
    </row>
    <row r="251" spans="3:11" x14ac:dyDescent="0.2">
      <c r="C251" s="567">
        <v>248</v>
      </c>
      <c r="D251" s="578"/>
      <c r="E251" s="579"/>
      <c r="F251" s="580"/>
      <c r="G251" s="581"/>
      <c r="H251" s="768"/>
      <c r="I251" s="771"/>
      <c r="J251" s="774"/>
      <c r="K251" s="777"/>
    </row>
    <row r="252" spans="3:11" x14ac:dyDescent="0.2">
      <c r="C252" s="567">
        <v>249</v>
      </c>
      <c r="D252" s="578"/>
      <c r="E252" s="579"/>
      <c r="F252" s="580"/>
      <c r="G252" s="581"/>
      <c r="H252" s="768"/>
      <c r="I252" s="771"/>
      <c r="J252" s="774"/>
      <c r="K252" s="777"/>
    </row>
    <row r="253" spans="3:11" x14ac:dyDescent="0.2">
      <c r="C253" s="567">
        <v>250</v>
      </c>
      <c r="D253" s="578"/>
      <c r="E253" s="579"/>
      <c r="F253" s="580"/>
      <c r="G253" s="581"/>
      <c r="H253" s="768"/>
      <c r="I253" s="771"/>
      <c r="J253" s="774"/>
      <c r="K253" s="777"/>
    </row>
    <row r="254" spans="3:11" x14ac:dyDescent="0.2">
      <c r="C254" s="567">
        <v>251</v>
      </c>
      <c r="D254" s="578"/>
      <c r="E254" s="579"/>
      <c r="F254" s="580"/>
      <c r="G254" s="581"/>
      <c r="H254" s="768"/>
      <c r="I254" s="771"/>
      <c r="J254" s="774"/>
      <c r="K254" s="777"/>
    </row>
    <row r="255" spans="3:11" x14ac:dyDescent="0.2">
      <c r="C255" s="567">
        <v>252</v>
      </c>
      <c r="D255" s="578"/>
      <c r="E255" s="579"/>
      <c r="F255" s="580"/>
      <c r="G255" s="581"/>
      <c r="H255" s="768"/>
      <c r="I255" s="771"/>
      <c r="J255" s="774"/>
      <c r="K255" s="777"/>
    </row>
    <row r="256" spans="3:11" x14ac:dyDescent="0.2">
      <c r="C256" s="567">
        <v>253</v>
      </c>
      <c r="D256" s="578"/>
      <c r="E256" s="579"/>
      <c r="F256" s="580"/>
      <c r="G256" s="581"/>
      <c r="H256" s="768"/>
      <c r="I256" s="771"/>
      <c r="J256" s="774"/>
      <c r="K256" s="777"/>
    </row>
    <row r="257" spans="3:11" x14ac:dyDescent="0.2">
      <c r="C257" s="567">
        <v>254</v>
      </c>
      <c r="D257" s="578"/>
      <c r="E257" s="579"/>
      <c r="F257" s="580"/>
      <c r="G257" s="581"/>
      <c r="H257" s="768"/>
      <c r="I257" s="771"/>
      <c r="J257" s="774"/>
      <c r="K257" s="777"/>
    </row>
    <row r="258" spans="3:11" x14ac:dyDescent="0.2">
      <c r="C258" s="567">
        <v>255</v>
      </c>
      <c r="D258" s="578"/>
      <c r="E258" s="579"/>
      <c r="F258" s="580"/>
      <c r="G258" s="581"/>
      <c r="H258" s="768"/>
      <c r="I258" s="771"/>
      <c r="J258" s="774"/>
      <c r="K258" s="777"/>
    </row>
    <row r="259" spans="3:11" x14ac:dyDescent="0.2">
      <c r="C259" s="567">
        <v>256</v>
      </c>
      <c r="D259" s="578"/>
      <c r="E259" s="579"/>
      <c r="F259" s="580"/>
      <c r="G259" s="581"/>
      <c r="H259" s="768"/>
      <c r="I259" s="771"/>
      <c r="J259" s="774"/>
      <c r="K259" s="777"/>
    </row>
    <row r="260" spans="3:11" x14ac:dyDescent="0.2">
      <c r="C260" s="567">
        <v>257</v>
      </c>
      <c r="D260" s="578"/>
      <c r="E260" s="579"/>
      <c r="F260" s="580"/>
      <c r="G260" s="581"/>
      <c r="H260" s="768"/>
      <c r="I260" s="771"/>
      <c r="J260" s="774"/>
      <c r="K260" s="777"/>
    </row>
    <row r="261" spans="3:11" x14ac:dyDescent="0.2">
      <c r="C261" s="567">
        <v>258</v>
      </c>
      <c r="D261" s="578"/>
      <c r="E261" s="579"/>
      <c r="F261" s="580"/>
      <c r="G261" s="581"/>
      <c r="H261" s="768"/>
      <c r="I261" s="771"/>
      <c r="J261" s="774"/>
      <c r="K261" s="777"/>
    </row>
    <row r="262" spans="3:11" x14ac:dyDescent="0.2">
      <c r="C262" s="567">
        <v>259</v>
      </c>
      <c r="D262" s="578"/>
      <c r="E262" s="579"/>
      <c r="F262" s="580"/>
      <c r="G262" s="581"/>
      <c r="H262" s="768"/>
      <c r="I262" s="771"/>
      <c r="J262" s="774"/>
      <c r="K262" s="777"/>
    </row>
    <row r="263" spans="3:11" x14ac:dyDescent="0.2">
      <c r="C263" s="567">
        <v>260</v>
      </c>
      <c r="D263" s="578"/>
      <c r="E263" s="579"/>
      <c r="F263" s="580"/>
      <c r="G263" s="581"/>
      <c r="H263" s="768"/>
      <c r="I263" s="771"/>
      <c r="J263" s="774"/>
      <c r="K263" s="777"/>
    </row>
    <row r="264" spans="3:11" x14ac:dyDescent="0.2">
      <c r="C264" s="567">
        <v>261</v>
      </c>
      <c r="D264" s="578"/>
      <c r="E264" s="579"/>
      <c r="F264" s="580"/>
      <c r="G264" s="581"/>
      <c r="H264" s="768"/>
      <c r="I264" s="771"/>
      <c r="J264" s="774"/>
      <c r="K264" s="777"/>
    </row>
    <row r="265" spans="3:11" x14ac:dyDescent="0.2">
      <c r="C265" s="567">
        <v>262</v>
      </c>
      <c r="D265" s="578"/>
      <c r="E265" s="579"/>
      <c r="F265" s="580"/>
      <c r="G265" s="581"/>
      <c r="H265" s="768"/>
      <c r="I265" s="771"/>
      <c r="J265" s="774"/>
      <c r="K265" s="777"/>
    </row>
    <row r="266" spans="3:11" x14ac:dyDescent="0.2">
      <c r="C266" s="567">
        <v>263</v>
      </c>
      <c r="D266" s="578"/>
      <c r="E266" s="579"/>
      <c r="F266" s="580"/>
      <c r="G266" s="581"/>
      <c r="H266" s="768"/>
      <c r="I266" s="771"/>
      <c r="J266" s="774"/>
      <c r="K266" s="777"/>
    </row>
    <row r="267" spans="3:11" x14ac:dyDescent="0.2">
      <c r="C267" s="567">
        <v>264</v>
      </c>
      <c r="D267" s="578"/>
      <c r="E267" s="579"/>
      <c r="F267" s="580"/>
      <c r="G267" s="581"/>
      <c r="H267" s="768"/>
      <c r="I267" s="771"/>
      <c r="J267" s="774"/>
      <c r="K267" s="777"/>
    </row>
    <row r="268" spans="3:11" x14ac:dyDescent="0.2">
      <c r="C268" s="567">
        <v>265</v>
      </c>
      <c r="D268" s="578"/>
      <c r="E268" s="579"/>
      <c r="F268" s="580"/>
      <c r="G268" s="581"/>
      <c r="H268" s="768"/>
      <c r="I268" s="771"/>
      <c r="J268" s="774"/>
      <c r="K268" s="777"/>
    </row>
    <row r="269" spans="3:11" x14ac:dyDescent="0.2">
      <c r="C269" s="567">
        <v>266</v>
      </c>
      <c r="D269" s="578"/>
      <c r="E269" s="579"/>
      <c r="F269" s="580"/>
      <c r="G269" s="581"/>
      <c r="H269" s="768"/>
      <c r="I269" s="771"/>
      <c r="J269" s="774"/>
      <c r="K269" s="777"/>
    </row>
    <row r="270" spans="3:11" x14ac:dyDescent="0.2">
      <c r="C270" s="567">
        <v>267</v>
      </c>
      <c r="D270" s="578"/>
      <c r="E270" s="579"/>
      <c r="F270" s="580"/>
      <c r="G270" s="581"/>
      <c r="H270" s="768"/>
      <c r="I270" s="771"/>
      <c r="J270" s="774"/>
      <c r="K270" s="777"/>
    </row>
    <row r="271" spans="3:11" x14ac:dyDescent="0.2">
      <c r="C271" s="567">
        <v>268</v>
      </c>
      <c r="D271" s="578"/>
      <c r="E271" s="579"/>
      <c r="F271" s="580"/>
      <c r="G271" s="581"/>
      <c r="H271" s="768"/>
      <c r="I271" s="771"/>
      <c r="J271" s="774"/>
      <c r="K271" s="777"/>
    </row>
    <row r="272" spans="3:11" x14ac:dyDescent="0.2">
      <c r="C272" s="567">
        <v>269</v>
      </c>
      <c r="D272" s="578"/>
      <c r="E272" s="579"/>
      <c r="F272" s="580"/>
      <c r="G272" s="581"/>
      <c r="H272" s="768"/>
      <c r="I272" s="771"/>
      <c r="J272" s="774"/>
      <c r="K272" s="777"/>
    </row>
    <row r="273" spans="3:11" x14ac:dyDescent="0.2">
      <c r="C273" s="567">
        <v>270</v>
      </c>
      <c r="D273" s="578"/>
      <c r="E273" s="579"/>
      <c r="F273" s="580"/>
      <c r="G273" s="581"/>
      <c r="H273" s="768"/>
      <c r="I273" s="771"/>
      <c r="J273" s="774"/>
      <c r="K273" s="777"/>
    </row>
    <row r="274" spans="3:11" x14ac:dyDescent="0.2">
      <c r="C274" s="567">
        <v>271</v>
      </c>
      <c r="D274" s="578"/>
      <c r="E274" s="579"/>
      <c r="F274" s="580"/>
      <c r="G274" s="581"/>
      <c r="H274" s="768"/>
      <c r="I274" s="771"/>
      <c r="J274" s="774"/>
      <c r="K274" s="777"/>
    </row>
    <row r="275" spans="3:11" x14ac:dyDescent="0.2">
      <c r="C275" s="567">
        <v>272</v>
      </c>
      <c r="D275" s="578"/>
      <c r="E275" s="579"/>
      <c r="F275" s="580"/>
      <c r="G275" s="581"/>
      <c r="H275" s="768"/>
      <c r="I275" s="771"/>
      <c r="J275" s="774"/>
      <c r="K275" s="777"/>
    </row>
    <row r="276" spans="3:11" x14ac:dyDescent="0.2">
      <c r="C276" s="567">
        <v>273</v>
      </c>
      <c r="D276" s="578"/>
      <c r="E276" s="579"/>
      <c r="F276" s="580"/>
      <c r="G276" s="581"/>
      <c r="H276" s="768"/>
      <c r="I276" s="771"/>
      <c r="J276" s="774"/>
      <c r="K276" s="777"/>
    </row>
    <row r="277" spans="3:11" x14ac:dyDescent="0.2">
      <c r="C277" s="567">
        <v>274</v>
      </c>
      <c r="D277" s="578"/>
      <c r="E277" s="579"/>
      <c r="F277" s="580"/>
      <c r="G277" s="581"/>
      <c r="H277" s="768"/>
      <c r="I277" s="771"/>
      <c r="J277" s="774"/>
      <c r="K277" s="777"/>
    </row>
    <row r="278" spans="3:11" x14ac:dyDescent="0.2">
      <c r="C278" s="567">
        <v>275</v>
      </c>
      <c r="D278" s="578"/>
      <c r="E278" s="579"/>
      <c r="F278" s="580"/>
      <c r="G278" s="581"/>
      <c r="H278" s="768"/>
      <c r="I278" s="771"/>
      <c r="J278" s="774"/>
      <c r="K278" s="777"/>
    </row>
    <row r="279" spans="3:11" x14ac:dyDescent="0.2">
      <c r="C279" s="567">
        <v>276</v>
      </c>
      <c r="D279" s="578"/>
      <c r="E279" s="579"/>
      <c r="F279" s="580"/>
      <c r="G279" s="581"/>
      <c r="H279" s="768"/>
      <c r="I279" s="771"/>
      <c r="J279" s="774"/>
      <c r="K279" s="777"/>
    </row>
    <row r="280" spans="3:11" x14ac:dyDescent="0.2">
      <c r="C280" s="567">
        <v>277</v>
      </c>
      <c r="D280" s="578"/>
      <c r="E280" s="579"/>
      <c r="F280" s="580"/>
      <c r="G280" s="581"/>
      <c r="H280" s="768"/>
      <c r="I280" s="771"/>
      <c r="J280" s="774"/>
      <c r="K280" s="777"/>
    </row>
    <row r="281" spans="3:11" x14ac:dyDescent="0.2">
      <c r="C281" s="567">
        <v>278</v>
      </c>
      <c r="D281" s="578"/>
      <c r="E281" s="579"/>
      <c r="F281" s="580"/>
      <c r="G281" s="581"/>
      <c r="H281" s="768"/>
      <c r="I281" s="771"/>
      <c r="J281" s="774"/>
      <c r="K281" s="777"/>
    </row>
    <row r="282" spans="3:11" x14ac:dyDescent="0.2">
      <c r="C282" s="567">
        <v>279</v>
      </c>
      <c r="D282" s="578"/>
      <c r="E282" s="579"/>
      <c r="F282" s="580"/>
      <c r="G282" s="581"/>
      <c r="H282" s="768"/>
      <c r="I282" s="771"/>
      <c r="J282" s="774"/>
      <c r="K282" s="777"/>
    </row>
    <row r="283" spans="3:11" x14ac:dyDescent="0.2">
      <c r="C283" s="567">
        <v>280</v>
      </c>
      <c r="D283" s="578"/>
      <c r="E283" s="579"/>
      <c r="F283" s="580"/>
      <c r="G283" s="581"/>
      <c r="H283" s="768"/>
      <c r="I283" s="771"/>
      <c r="J283" s="774"/>
      <c r="K283" s="777"/>
    </row>
    <row r="284" spans="3:11" x14ac:dyDescent="0.2">
      <c r="C284" s="567">
        <v>281</v>
      </c>
      <c r="D284" s="578"/>
      <c r="E284" s="579"/>
      <c r="F284" s="580"/>
      <c r="G284" s="581"/>
      <c r="H284" s="768"/>
      <c r="I284" s="771"/>
      <c r="J284" s="774"/>
      <c r="K284" s="777"/>
    </row>
    <row r="285" spans="3:11" x14ac:dyDescent="0.2">
      <c r="C285" s="567">
        <v>282</v>
      </c>
      <c r="D285" s="578"/>
      <c r="E285" s="579"/>
      <c r="F285" s="580"/>
      <c r="G285" s="581"/>
      <c r="H285" s="768"/>
      <c r="I285" s="771"/>
      <c r="J285" s="774"/>
      <c r="K285" s="777"/>
    </row>
    <row r="286" spans="3:11" x14ac:dyDescent="0.2">
      <c r="C286" s="567">
        <v>283</v>
      </c>
      <c r="D286" s="578"/>
      <c r="E286" s="579"/>
      <c r="F286" s="580"/>
      <c r="G286" s="581"/>
      <c r="H286" s="768"/>
      <c r="I286" s="771"/>
      <c r="J286" s="774"/>
      <c r="K286" s="777"/>
    </row>
    <row r="287" spans="3:11" x14ac:dyDescent="0.2">
      <c r="C287" s="567">
        <v>284</v>
      </c>
      <c r="D287" s="578"/>
      <c r="E287" s="579"/>
      <c r="F287" s="580"/>
      <c r="G287" s="581"/>
      <c r="H287" s="768"/>
      <c r="I287" s="771"/>
      <c r="J287" s="774"/>
      <c r="K287" s="777"/>
    </row>
    <row r="288" spans="3:11" x14ac:dyDescent="0.2">
      <c r="C288" s="567">
        <v>285</v>
      </c>
      <c r="D288" s="578"/>
      <c r="E288" s="579"/>
      <c r="F288" s="580"/>
      <c r="G288" s="581"/>
      <c r="H288" s="768"/>
      <c r="I288" s="771"/>
      <c r="J288" s="774"/>
      <c r="K288" s="777"/>
    </row>
    <row r="289" spans="3:11" x14ac:dyDescent="0.2">
      <c r="C289" s="567">
        <v>286</v>
      </c>
      <c r="D289" s="578"/>
      <c r="E289" s="579"/>
      <c r="F289" s="580"/>
      <c r="G289" s="581"/>
      <c r="H289" s="768"/>
      <c r="I289" s="771"/>
      <c r="J289" s="774"/>
      <c r="K289" s="777"/>
    </row>
    <row r="290" spans="3:11" x14ac:dyDescent="0.2">
      <c r="C290" s="567">
        <v>287</v>
      </c>
      <c r="D290" s="578"/>
      <c r="E290" s="579"/>
      <c r="F290" s="580"/>
      <c r="G290" s="581"/>
      <c r="H290" s="768"/>
      <c r="I290" s="771"/>
      <c r="J290" s="774"/>
      <c r="K290" s="777"/>
    </row>
    <row r="291" spans="3:11" x14ac:dyDescent="0.2">
      <c r="C291" s="567">
        <v>288</v>
      </c>
      <c r="D291" s="578"/>
      <c r="E291" s="579"/>
      <c r="F291" s="580"/>
      <c r="G291" s="581"/>
      <c r="H291" s="768"/>
      <c r="I291" s="771"/>
      <c r="J291" s="774"/>
      <c r="K291" s="777"/>
    </row>
    <row r="292" spans="3:11" x14ac:dyDescent="0.2">
      <c r="C292" s="567">
        <v>289</v>
      </c>
      <c r="D292" s="578"/>
      <c r="E292" s="579"/>
      <c r="F292" s="580"/>
      <c r="G292" s="581"/>
      <c r="H292" s="768"/>
      <c r="I292" s="771"/>
      <c r="J292" s="774"/>
      <c r="K292" s="777"/>
    </row>
    <row r="293" spans="3:11" x14ac:dyDescent="0.2">
      <c r="C293" s="567">
        <v>290</v>
      </c>
      <c r="D293" s="578"/>
      <c r="E293" s="579"/>
      <c r="F293" s="580"/>
      <c r="G293" s="581"/>
      <c r="H293" s="768"/>
      <c r="I293" s="771"/>
      <c r="J293" s="774"/>
      <c r="K293" s="777"/>
    </row>
    <row r="294" spans="3:11" x14ac:dyDescent="0.2">
      <c r="C294" s="567">
        <v>291</v>
      </c>
      <c r="D294" s="578"/>
      <c r="E294" s="579"/>
      <c r="F294" s="580"/>
      <c r="G294" s="581"/>
      <c r="H294" s="768"/>
      <c r="I294" s="771"/>
      <c r="J294" s="774"/>
      <c r="K294" s="777"/>
    </row>
    <row r="295" spans="3:11" x14ac:dyDescent="0.2">
      <c r="C295" s="567">
        <v>292</v>
      </c>
      <c r="D295" s="578"/>
      <c r="E295" s="579"/>
      <c r="F295" s="580"/>
      <c r="G295" s="581"/>
      <c r="H295" s="768"/>
      <c r="I295" s="771"/>
      <c r="J295" s="774"/>
      <c r="K295" s="777"/>
    </row>
    <row r="296" spans="3:11" x14ac:dyDescent="0.2">
      <c r="C296" s="567">
        <v>293</v>
      </c>
      <c r="D296" s="578"/>
      <c r="E296" s="579"/>
      <c r="F296" s="580"/>
      <c r="G296" s="581"/>
      <c r="H296" s="768"/>
      <c r="I296" s="771"/>
      <c r="J296" s="774"/>
      <c r="K296" s="777"/>
    </row>
    <row r="297" spans="3:11" x14ac:dyDescent="0.2">
      <c r="C297" s="567">
        <v>294</v>
      </c>
      <c r="D297" s="578"/>
      <c r="E297" s="579"/>
      <c r="F297" s="580"/>
      <c r="G297" s="581"/>
      <c r="H297" s="768"/>
      <c r="I297" s="771"/>
      <c r="J297" s="774"/>
      <c r="K297" s="777"/>
    </row>
    <row r="298" spans="3:11" x14ac:dyDescent="0.2">
      <c r="C298" s="567">
        <v>295</v>
      </c>
      <c r="D298" s="578"/>
      <c r="E298" s="579"/>
      <c r="F298" s="580"/>
      <c r="G298" s="581"/>
      <c r="H298" s="768"/>
      <c r="I298" s="771"/>
      <c r="J298" s="774"/>
      <c r="K298" s="777"/>
    </row>
    <row r="299" spans="3:11" x14ac:dyDescent="0.2">
      <c r="C299" s="567">
        <v>296</v>
      </c>
      <c r="D299" s="578"/>
      <c r="E299" s="579"/>
      <c r="F299" s="580"/>
      <c r="G299" s="581"/>
      <c r="H299" s="768"/>
      <c r="I299" s="771"/>
      <c r="J299" s="774"/>
      <c r="K299" s="777"/>
    </row>
    <row r="300" spans="3:11" x14ac:dyDescent="0.2">
      <c r="C300" s="567">
        <v>297</v>
      </c>
      <c r="D300" s="578"/>
      <c r="E300" s="579"/>
      <c r="F300" s="580"/>
      <c r="G300" s="581"/>
      <c r="H300" s="768"/>
      <c r="I300" s="771"/>
      <c r="J300" s="774"/>
      <c r="K300" s="777"/>
    </row>
    <row r="301" spans="3:11" x14ac:dyDescent="0.2">
      <c r="C301" s="567">
        <v>298</v>
      </c>
      <c r="D301" s="578"/>
      <c r="E301" s="579"/>
      <c r="F301" s="580"/>
      <c r="G301" s="581"/>
      <c r="H301" s="768"/>
      <c r="I301" s="771"/>
      <c r="J301" s="774"/>
      <c r="K301" s="777"/>
    </row>
    <row r="302" spans="3:11" x14ac:dyDescent="0.2">
      <c r="C302" s="567">
        <v>299</v>
      </c>
      <c r="D302" s="578"/>
      <c r="E302" s="579"/>
      <c r="F302" s="580"/>
      <c r="G302" s="581"/>
      <c r="H302" s="768"/>
      <c r="I302" s="771"/>
      <c r="J302" s="774"/>
      <c r="K302" s="777"/>
    </row>
    <row r="303" spans="3:11" x14ac:dyDescent="0.2">
      <c r="C303" s="567">
        <v>300</v>
      </c>
      <c r="D303" s="578"/>
      <c r="E303" s="579"/>
      <c r="F303" s="580"/>
      <c r="G303" s="581"/>
      <c r="H303" s="768"/>
      <c r="I303" s="771"/>
      <c r="J303" s="774"/>
      <c r="K303" s="777"/>
    </row>
    <row r="304" spans="3:11" x14ac:dyDescent="0.2">
      <c r="C304" s="567">
        <v>301</v>
      </c>
      <c r="D304" s="578"/>
      <c r="E304" s="579"/>
      <c r="F304" s="580"/>
      <c r="G304" s="581"/>
      <c r="H304" s="768"/>
      <c r="I304" s="771"/>
      <c r="J304" s="774"/>
      <c r="K304" s="777"/>
    </row>
    <row r="305" spans="3:11" x14ac:dyDescent="0.2">
      <c r="C305" s="567">
        <v>302</v>
      </c>
      <c r="D305" s="578"/>
      <c r="E305" s="579"/>
      <c r="F305" s="580"/>
      <c r="G305" s="581"/>
      <c r="H305" s="768"/>
      <c r="I305" s="771"/>
      <c r="J305" s="774"/>
      <c r="K305" s="777"/>
    </row>
    <row r="306" spans="3:11" x14ac:dyDescent="0.2">
      <c r="C306" s="567">
        <v>303</v>
      </c>
      <c r="D306" s="578"/>
      <c r="E306" s="579"/>
      <c r="F306" s="580"/>
      <c r="G306" s="581"/>
      <c r="H306" s="768"/>
      <c r="I306" s="771"/>
      <c r="J306" s="774"/>
      <c r="K306" s="777"/>
    </row>
    <row r="307" spans="3:11" x14ac:dyDescent="0.2">
      <c r="C307" s="567">
        <v>304</v>
      </c>
      <c r="D307" s="578"/>
      <c r="E307" s="579"/>
      <c r="F307" s="580"/>
      <c r="G307" s="581"/>
      <c r="H307" s="768"/>
      <c r="I307" s="771"/>
      <c r="J307" s="774"/>
      <c r="K307" s="777"/>
    </row>
    <row r="308" spans="3:11" x14ac:dyDescent="0.2">
      <c r="C308" s="567">
        <v>305</v>
      </c>
      <c r="D308" s="578"/>
      <c r="E308" s="579"/>
      <c r="F308" s="580"/>
      <c r="G308" s="581"/>
      <c r="H308" s="768"/>
      <c r="I308" s="771"/>
      <c r="J308" s="774"/>
      <c r="K308" s="777"/>
    </row>
    <row r="309" spans="3:11" x14ac:dyDescent="0.2">
      <c r="C309" s="567">
        <v>306</v>
      </c>
      <c r="D309" s="578"/>
      <c r="E309" s="579"/>
      <c r="F309" s="580"/>
      <c r="G309" s="581"/>
      <c r="H309" s="768"/>
      <c r="I309" s="771"/>
      <c r="J309" s="774"/>
      <c r="K309" s="777"/>
    </row>
    <row r="310" spans="3:11" x14ac:dyDescent="0.2">
      <c r="C310" s="567">
        <v>307</v>
      </c>
      <c r="D310" s="578"/>
      <c r="E310" s="579"/>
      <c r="F310" s="580"/>
      <c r="G310" s="581"/>
      <c r="H310" s="768"/>
      <c r="I310" s="771"/>
      <c r="J310" s="774"/>
      <c r="K310" s="777"/>
    </row>
    <row r="311" spans="3:11" x14ac:dyDescent="0.2">
      <c r="C311" s="567">
        <v>308</v>
      </c>
      <c r="D311" s="578"/>
      <c r="E311" s="579"/>
      <c r="F311" s="580"/>
      <c r="G311" s="581"/>
      <c r="H311" s="768"/>
      <c r="I311" s="771"/>
      <c r="J311" s="774"/>
      <c r="K311" s="777"/>
    </row>
    <row r="312" spans="3:11" x14ac:dyDescent="0.2">
      <c r="C312" s="567">
        <v>309</v>
      </c>
      <c r="D312" s="578"/>
      <c r="E312" s="579"/>
      <c r="F312" s="580"/>
      <c r="G312" s="581"/>
      <c r="H312" s="768"/>
      <c r="I312" s="771"/>
      <c r="J312" s="774"/>
      <c r="K312" s="777"/>
    </row>
    <row r="313" spans="3:11" x14ac:dyDescent="0.2">
      <c r="C313" s="567">
        <v>310</v>
      </c>
      <c r="D313" s="578"/>
      <c r="E313" s="579"/>
      <c r="F313" s="580"/>
      <c r="G313" s="581"/>
      <c r="H313" s="768"/>
      <c r="I313" s="771"/>
      <c r="J313" s="774"/>
      <c r="K313" s="777"/>
    </row>
    <row r="314" spans="3:11" x14ac:dyDescent="0.2">
      <c r="C314" s="567">
        <v>311</v>
      </c>
      <c r="D314" s="578"/>
      <c r="E314" s="579"/>
      <c r="F314" s="580"/>
      <c r="G314" s="581"/>
      <c r="H314" s="768"/>
      <c r="I314" s="771"/>
      <c r="J314" s="774"/>
      <c r="K314" s="777"/>
    </row>
    <row r="315" spans="3:11" x14ac:dyDescent="0.2">
      <c r="C315" s="567">
        <v>312</v>
      </c>
      <c r="D315" s="578"/>
      <c r="E315" s="579"/>
      <c r="F315" s="580"/>
      <c r="G315" s="581"/>
      <c r="H315" s="768"/>
      <c r="I315" s="771"/>
      <c r="J315" s="774"/>
      <c r="K315" s="777"/>
    </row>
    <row r="316" spans="3:11" x14ac:dyDescent="0.2">
      <c r="C316" s="567">
        <v>313</v>
      </c>
      <c r="D316" s="578"/>
      <c r="E316" s="579"/>
      <c r="F316" s="580"/>
      <c r="G316" s="581"/>
      <c r="H316" s="768"/>
      <c r="I316" s="771"/>
      <c r="J316" s="774"/>
      <c r="K316" s="777"/>
    </row>
    <row r="317" spans="3:11" x14ac:dyDescent="0.2">
      <c r="C317" s="567">
        <v>314</v>
      </c>
      <c r="D317" s="578"/>
      <c r="E317" s="579"/>
      <c r="F317" s="580"/>
      <c r="G317" s="581"/>
      <c r="H317" s="768"/>
      <c r="I317" s="771"/>
      <c r="J317" s="774"/>
      <c r="K317" s="777"/>
    </row>
    <row r="318" spans="3:11" x14ac:dyDescent="0.2">
      <c r="C318" s="567">
        <v>315</v>
      </c>
      <c r="D318" s="578"/>
      <c r="E318" s="579"/>
      <c r="F318" s="580"/>
      <c r="G318" s="581"/>
      <c r="H318" s="768"/>
      <c r="I318" s="771"/>
      <c r="J318" s="774"/>
      <c r="K318" s="777"/>
    </row>
    <row r="319" spans="3:11" x14ac:dyDescent="0.2">
      <c r="C319" s="567">
        <v>316</v>
      </c>
      <c r="D319" s="578"/>
      <c r="E319" s="579"/>
      <c r="F319" s="580"/>
      <c r="G319" s="581"/>
      <c r="H319" s="768"/>
      <c r="I319" s="771"/>
      <c r="J319" s="774"/>
      <c r="K319" s="777"/>
    </row>
    <row r="320" spans="3:11" x14ac:dyDescent="0.2">
      <c r="C320" s="567">
        <v>317</v>
      </c>
      <c r="D320" s="578"/>
      <c r="E320" s="579"/>
      <c r="F320" s="580"/>
      <c r="G320" s="581"/>
      <c r="H320" s="768"/>
      <c r="I320" s="771"/>
      <c r="J320" s="774"/>
      <c r="K320" s="777"/>
    </row>
    <row r="321" spans="3:11" x14ac:dyDescent="0.2">
      <c r="C321" s="567">
        <v>318</v>
      </c>
      <c r="D321" s="578"/>
      <c r="E321" s="579"/>
      <c r="F321" s="580"/>
      <c r="G321" s="581"/>
      <c r="H321" s="768"/>
      <c r="I321" s="771"/>
      <c r="J321" s="774"/>
      <c r="K321" s="777"/>
    </row>
    <row r="322" spans="3:11" x14ac:dyDescent="0.2">
      <c r="C322" s="567">
        <v>319</v>
      </c>
      <c r="D322" s="578"/>
      <c r="E322" s="579"/>
      <c r="F322" s="580"/>
      <c r="G322" s="581"/>
      <c r="H322" s="768"/>
      <c r="I322" s="771"/>
      <c r="J322" s="774"/>
      <c r="K322" s="777"/>
    </row>
    <row r="323" spans="3:11" x14ac:dyDescent="0.2">
      <c r="C323" s="567">
        <v>320</v>
      </c>
      <c r="D323" s="578"/>
      <c r="E323" s="579"/>
      <c r="F323" s="580"/>
      <c r="G323" s="581"/>
      <c r="H323" s="768"/>
      <c r="I323" s="771"/>
      <c r="J323" s="774"/>
      <c r="K323" s="777"/>
    </row>
    <row r="324" spans="3:11" x14ac:dyDescent="0.2">
      <c r="C324" s="567">
        <v>321</v>
      </c>
      <c r="D324" s="578"/>
      <c r="E324" s="579"/>
      <c r="F324" s="580"/>
      <c r="G324" s="581"/>
      <c r="H324" s="768"/>
      <c r="I324" s="771"/>
      <c r="J324" s="774"/>
      <c r="K324" s="777"/>
    </row>
    <row r="325" spans="3:11" x14ac:dyDescent="0.2">
      <c r="C325" s="567">
        <v>322</v>
      </c>
      <c r="D325" s="578"/>
      <c r="E325" s="579"/>
      <c r="F325" s="580"/>
      <c r="G325" s="581"/>
      <c r="H325" s="768"/>
      <c r="I325" s="771"/>
      <c r="J325" s="774"/>
      <c r="K325" s="777"/>
    </row>
    <row r="326" spans="3:11" x14ac:dyDescent="0.2">
      <c r="C326" s="567">
        <v>323</v>
      </c>
      <c r="D326" s="578"/>
      <c r="E326" s="579"/>
      <c r="F326" s="580"/>
      <c r="G326" s="581"/>
      <c r="H326" s="768"/>
      <c r="I326" s="771"/>
      <c r="J326" s="774"/>
      <c r="K326" s="777"/>
    </row>
    <row r="327" spans="3:11" x14ac:dyDescent="0.2">
      <c r="C327" s="567">
        <v>324</v>
      </c>
      <c r="D327" s="578"/>
      <c r="E327" s="579"/>
      <c r="F327" s="580"/>
      <c r="G327" s="581"/>
      <c r="H327" s="768"/>
      <c r="I327" s="771"/>
      <c r="J327" s="774"/>
      <c r="K327" s="777"/>
    </row>
    <row r="328" spans="3:11" x14ac:dyDescent="0.2">
      <c r="C328" s="567">
        <v>325</v>
      </c>
      <c r="D328" s="578"/>
      <c r="E328" s="579"/>
      <c r="F328" s="580"/>
      <c r="G328" s="581"/>
      <c r="H328" s="768"/>
      <c r="I328" s="771"/>
      <c r="J328" s="774"/>
      <c r="K328" s="777"/>
    </row>
    <row r="329" spans="3:11" x14ac:dyDescent="0.2">
      <c r="C329" s="567">
        <v>326</v>
      </c>
      <c r="D329" s="578"/>
      <c r="E329" s="579"/>
      <c r="F329" s="580"/>
      <c r="G329" s="581"/>
      <c r="H329" s="768"/>
      <c r="I329" s="771"/>
      <c r="J329" s="774"/>
      <c r="K329" s="777"/>
    </row>
    <row r="330" spans="3:11" x14ac:dyDescent="0.2">
      <c r="C330" s="567">
        <v>327</v>
      </c>
      <c r="D330" s="578"/>
      <c r="E330" s="579"/>
      <c r="F330" s="580"/>
      <c r="G330" s="581"/>
      <c r="H330" s="768"/>
      <c r="I330" s="771"/>
      <c r="J330" s="774"/>
      <c r="K330" s="777"/>
    </row>
    <row r="331" spans="3:11" x14ac:dyDescent="0.2">
      <c r="C331" s="567">
        <v>328</v>
      </c>
      <c r="D331" s="578"/>
      <c r="E331" s="579"/>
      <c r="F331" s="580"/>
      <c r="G331" s="581"/>
      <c r="H331" s="768"/>
      <c r="I331" s="771"/>
      <c r="J331" s="774"/>
      <c r="K331" s="777"/>
    </row>
    <row r="332" spans="3:11" x14ac:dyDescent="0.2">
      <c r="C332" s="567">
        <v>329</v>
      </c>
      <c r="D332" s="578"/>
      <c r="E332" s="579"/>
      <c r="F332" s="580"/>
      <c r="G332" s="581"/>
      <c r="H332" s="768"/>
      <c r="I332" s="771"/>
      <c r="J332" s="774"/>
      <c r="K332" s="777"/>
    </row>
    <row r="333" spans="3:11" x14ac:dyDescent="0.2">
      <c r="C333" s="567">
        <v>330</v>
      </c>
      <c r="D333" s="578"/>
      <c r="E333" s="579"/>
      <c r="F333" s="580"/>
      <c r="G333" s="581"/>
      <c r="H333" s="768"/>
      <c r="I333" s="771"/>
      <c r="J333" s="774"/>
      <c r="K333" s="777"/>
    </row>
    <row r="334" spans="3:11" x14ac:dyDescent="0.2">
      <c r="C334" s="567">
        <v>331</v>
      </c>
      <c r="D334" s="578"/>
      <c r="E334" s="579"/>
      <c r="F334" s="580"/>
      <c r="G334" s="581"/>
      <c r="H334" s="768"/>
      <c r="I334" s="771"/>
      <c r="J334" s="774"/>
      <c r="K334" s="777"/>
    </row>
    <row r="335" spans="3:11" x14ac:dyDescent="0.2">
      <c r="C335" s="567">
        <v>332</v>
      </c>
      <c r="D335" s="578"/>
      <c r="E335" s="579"/>
      <c r="F335" s="580"/>
      <c r="G335" s="581"/>
      <c r="H335" s="768"/>
      <c r="I335" s="771"/>
      <c r="J335" s="774"/>
      <c r="K335" s="777"/>
    </row>
    <row r="336" spans="3:11" x14ac:dyDescent="0.2">
      <c r="C336" s="567">
        <v>333</v>
      </c>
      <c r="D336" s="578"/>
      <c r="E336" s="579"/>
      <c r="F336" s="580"/>
      <c r="G336" s="581"/>
      <c r="H336" s="768"/>
      <c r="I336" s="771"/>
      <c r="J336" s="774"/>
      <c r="K336" s="777"/>
    </row>
    <row r="337" spans="3:11" x14ac:dyDescent="0.2">
      <c r="C337" s="567">
        <v>334</v>
      </c>
      <c r="D337" s="578"/>
      <c r="E337" s="579"/>
      <c r="F337" s="580"/>
      <c r="G337" s="581"/>
      <c r="H337" s="768"/>
      <c r="I337" s="771"/>
      <c r="J337" s="774"/>
      <c r="K337" s="777"/>
    </row>
    <row r="338" spans="3:11" x14ac:dyDescent="0.2">
      <c r="C338" s="567">
        <v>335</v>
      </c>
      <c r="D338" s="578"/>
      <c r="E338" s="579"/>
      <c r="F338" s="580"/>
      <c r="G338" s="581"/>
      <c r="H338" s="768"/>
      <c r="I338" s="771"/>
      <c r="J338" s="774"/>
      <c r="K338" s="777"/>
    </row>
    <row r="339" spans="3:11" x14ac:dyDescent="0.2">
      <c r="C339" s="567">
        <v>336</v>
      </c>
      <c r="D339" s="578"/>
      <c r="E339" s="579"/>
      <c r="F339" s="580"/>
      <c r="G339" s="581"/>
      <c r="H339" s="768"/>
      <c r="I339" s="771"/>
      <c r="J339" s="774"/>
      <c r="K339" s="777"/>
    </row>
    <row r="340" spans="3:11" x14ac:dyDescent="0.2">
      <c r="C340" s="567">
        <v>337</v>
      </c>
      <c r="D340" s="578"/>
      <c r="E340" s="579"/>
      <c r="F340" s="580"/>
      <c r="G340" s="581"/>
      <c r="H340" s="768"/>
      <c r="I340" s="771"/>
      <c r="J340" s="774"/>
      <c r="K340" s="777"/>
    </row>
    <row r="341" spans="3:11" x14ac:dyDescent="0.2">
      <c r="C341" s="567">
        <v>338</v>
      </c>
      <c r="D341" s="578"/>
      <c r="E341" s="579"/>
      <c r="F341" s="580"/>
      <c r="G341" s="581"/>
      <c r="H341" s="768"/>
      <c r="I341" s="771"/>
      <c r="J341" s="774"/>
      <c r="K341" s="777"/>
    </row>
    <row r="342" spans="3:11" x14ac:dyDescent="0.2">
      <c r="C342" s="567">
        <v>339</v>
      </c>
      <c r="D342" s="578"/>
      <c r="E342" s="579"/>
      <c r="F342" s="580"/>
      <c r="G342" s="581"/>
      <c r="H342" s="768"/>
      <c r="I342" s="771"/>
      <c r="J342" s="774"/>
      <c r="K342" s="777"/>
    </row>
    <row r="343" spans="3:11" x14ac:dyDescent="0.2">
      <c r="C343" s="567">
        <v>340</v>
      </c>
      <c r="D343" s="578"/>
      <c r="E343" s="579"/>
      <c r="F343" s="580"/>
      <c r="G343" s="581"/>
      <c r="H343" s="768"/>
      <c r="I343" s="771"/>
      <c r="J343" s="774"/>
      <c r="K343" s="777"/>
    </row>
    <row r="344" spans="3:11" x14ac:dyDescent="0.2">
      <c r="C344" s="567">
        <v>341</v>
      </c>
      <c r="D344" s="578"/>
      <c r="E344" s="579"/>
      <c r="F344" s="580"/>
      <c r="G344" s="581"/>
      <c r="H344" s="768"/>
      <c r="I344" s="771"/>
      <c r="J344" s="774"/>
      <c r="K344" s="777"/>
    </row>
    <row r="345" spans="3:11" x14ac:dyDescent="0.2">
      <c r="C345" s="567">
        <v>342</v>
      </c>
      <c r="D345" s="578"/>
      <c r="E345" s="579"/>
      <c r="F345" s="580"/>
      <c r="G345" s="581"/>
      <c r="H345" s="768"/>
      <c r="I345" s="771"/>
      <c r="J345" s="774"/>
      <c r="K345" s="777"/>
    </row>
    <row r="346" spans="3:11" x14ac:dyDescent="0.2">
      <c r="C346" s="567">
        <v>343</v>
      </c>
      <c r="D346" s="578"/>
      <c r="E346" s="579"/>
      <c r="F346" s="580"/>
      <c r="G346" s="581"/>
      <c r="H346" s="768"/>
      <c r="I346" s="771"/>
      <c r="J346" s="774"/>
      <c r="K346" s="777"/>
    </row>
    <row r="347" spans="3:11" x14ac:dyDescent="0.2">
      <c r="C347" s="567">
        <v>344</v>
      </c>
      <c r="D347" s="578"/>
      <c r="E347" s="579"/>
      <c r="F347" s="580"/>
      <c r="G347" s="581"/>
      <c r="H347" s="768"/>
      <c r="I347" s="771"/>
      <c r="J347" s="774"/>
      <c r="K347" s="777"/>
    </row>
    <row r="348" spans="3:11" x14ac:dyDescent="0.2">
      <c r="C348" s="567">
        <v>345</v>
      </c>
      <c r="D348" s="578"/>
      <c r="E348" s="579"/>
      <c r="F348" s="580"/>
      <c r="G348" s="581"/>
      <c r="H348" s="768"/>
      <c r="I348" s="771"/>
      <c r="J348" s="774"/>
      <c r="K348" s="777"/>
    </row>
    <row r="349" spans="3:11" x14ac:dyDescent="0.2">
      <c r="C349" s="567">
        <v>346</v>
      </c>
      <c r="D349" s="578"/>
      <c r="E349" s="579"/>
      <c r="F349" s="580"/>
      <c r="G349" s="581"/>
      <c r="H349" s="768"/>
      <c r="I349" s="771"/>
      <c r="J349" s="774"/>
      <c r="K349" s="777"/>
    </row>
    <row r="350" spans="3:11" x14ac:dyDescent="0.2">
      <c r="C350" s="567">
        <v>347</v>
      </c>
      <c r="D350" s="578"/>
      <c r="E350" s="579"/>
      <c r="F350" s="580"/>
      <c r="G350" s="581"/>
      <c r="H350" s="768"/>
      <c r="I350" s="771"/>
      <c r="J350" s="774"/>
      <c r="K350" s="777"/>
    </row>
    <row r="351" spans="3:11" x14ac:dyDescent="0.2">
      <c r="C351" s="567">
        <v>348</v>
      </c>
      <c r="D351" s="578"/>
      <c r="E351" s="579"/>
      <c r="F351" s="580"/>
      <c r="G351" s="581"/>
      <c r="H351" s="768"/>
      <c r="I351" s="771"/>
      <c r="J351" s="774"/>
      <c r="K351" s="777"/>
    </row>
    <row r="352" spans="3:11" x14ac:dyDescent="0.2">
      <c r="C352" s="567">
        <v>349</v>
      </c>
      <c r="D352" s="578"/>
      <c r="E352" s="579"/>
      <c r="F352" s="580"/>
      <c r="G352" s="581"/>
      <c r="H352" s="768"/>
      <c r="I352" s="771"/>
      <c r="J352" s="774"/>
      <c r="K352" s="777"/>
    </row>
    <row r="353" spans="3:11" x14ac:dyDescent="0.2">
      <c r="C353" s="567">
        <v>350</v>
      </c>
      <c r="D353" s="578"/>
      <c r="E353" s="579"/>
      <c r="F353" s="580"/>
      <c r="G353" s="581"/>
      <c r="H353" s="768"/>
      <c r="I353" s="771"/>
      <c r="J353" s="774"/>
      <c r="K353" s="777"/>
    </row>
    <row r="354" spans="3:11" x14ac:dyDescent="0.2">
      <c r="C354" s="567">
        <v>351</v>
      </c>
      <c r="D354" s="578"/>
      <c r="E354" s="579"/>
      <c r="F354" s="580"/>
      <c r="G354" s="581"/>
      <c r="H354" s="768"/>
      <c r="I354" s="771"/>
      <c r="J354" s="774"/>
      <c r="K354" s="777"/>
    </row>
    <row r="355" spans="3:11" x14ac:dyDescent="0.2">
      <c r="C355" s="567">
        <v>352</v>
      </c>
      <c r="D355" s="578"/>
      <c r="E355" s="579"/>
      <c r="F355" s="580"/>
      <c r="G355" s="581"/>
      <c r="H355" s="768"/>
      <c r="I355" s="771"/>
      <c r="J355" s="774"/>
      <c r="K355" s="777"/>
    </row>
    <row r="356" spans="3:11" x14ac:dyDescent="0.2">
      <c r="C356" s="567">
        <v>353</v>
      </c>
      <c r="D356" s="578"/>
      <c r="E356" s="579"/>
      <c r="F356" s="580"/>
      <c r="G356" s="581"/>
      <c r="H356" s="768"/>
      <c r="I356" s="771"/>
      <c r="J356" s="774"/>
      <c r="K356" s="777"/>
    </row>
    <row r="357" spans="3:11" x14ac:dyDescent="0.2">
      <c r="C357" s="567">
        <v>354</v>
      </c>
      <c r="D357" s="578"/>
      <c r="E357" s="579"/>
      <c r="F357" s="580"/>
      <c r="G357" s="581"/>
      <c r="H357" s="768"/>
      <c r="I357" s="771"/>
      <c r="J357" s="774"/>
      <c r="K357" s="777"/>
    </row>
    <row r="358" spans="3:11" x14ac:dyDescent="0.2">
      <c r="C358" s="567">
        <v>355</v>
      </c>
      <c r="D358" s="578"/>
      <c r="E358" s="579"/>
      <c r="F358" s="580"/>
      <c r="G358" s="581"/>
      <c r="H358" s="768"/>
      <c r="I358" s="771"/>
      <c r="J358" s="774"/>
      <c r="K358" s="777"/>
    </row>
    <row r="359" spans="3:11" x14ac:dyDescent="0.2">
      <c r="C359" s="567">
        <v>356</v>
      </c>
      <c r="D359" s="578"/>
      <c r="E359" s="579"/>
      <c r="F359" s="580"/>
      <c r="G359" s="581"/>
      <c r="H359" s="768"/>
      <c r="I359" s="771"/>
      <c r="J359" s="774"/>
      <c r="K359" s="777"/>
    </row>
    <row r="360" spans="3:11" x14ac:dyDescent="0.2">
      <c r="C360" s="567">
        <v>357</v>
      </c>
      <c r="D360" s="578"/>
      <c r="E360" s="579"/>
      <c r="F360" s="580"/>
      <c r="G360" s="581"/>
      <c r="H360" s="768"/>
      <c r="I360" s="771"/>
      <c r="J360" s="774"/>
      <c r="K360" s="777"/>
    </row>
    <row r="361" spans="3:11" x14ac:dyDescent="0.2">
      <c r="C361" s="567">
        <v>358</v>
      </c>
      <c r="D361" s="578"/>
      <c r="E361" s="579"/>
      <c r="F361" s="580"/>
      <c r="G361" s="581"/>
      <c r="H361" s="768"/>
      <c r="I361" s="771"/>
      <c r="J361" s="774"/>
      <c r="K361" s="777"/>
    </row>
    <row r="362" spans="3:11" x14ac:dyDescent="0.2">
      <c r="C362" s="567">
        <v>359</v>
      </c>
      <c r="D362" s="578"/>
      <c r="E362" s="579"/>
      <c r="F362" s="580"/>
      <c r="G362" s="581"/>
      <c r="H362" s="768"/>
      <c r="I362" s="771"/>
      <c r="J362" s="774"/>
      <c r="K362" s="777"/>
    </row>
    <row r="363" spans="3:11" x14ac:dyDescent="0.2">
      <c r="C363" s="567">
        <v>360</v>
      </c>
      <c r="D363" s="578"/>
      <c r="E363" s="579"/>
      <c r="F363" s="580"/>
      <c r="G363" s="581"/>
      <c r="H363" s="768"/>
      <c r="I363" s="771"/>
      <c r="J363" s="774"/>
      <c r="K363" s="777"/>
    </row>
    <row r="364" spans="3:11" x14ac:dyDescent="0.2">
      <c r="C364" s="567">
        <v>361</v>
      </c>
      <c r="D364" s="578"/>
      <c r="E364" s="579"/>
      <c r="F364" s="580"/>
      <c r="G364" s="581"/>
      <c r="H364" s="768"/>
      <c r="I364" s="771"/>
      <c r="J364" s="774"/>
      <c r="K364" s="777"/>
    </row>
    <row r="365" spans="3:11" x14ac:dyDescent="0.2">
      <c r="C365" s="567">
        <v>362</v>
      </c>
      <c r="D365" s="578"/>
      <c r="E365" s="579"/>
      <c r="F365" s="580"/>
      <c r="G365" s="581"/>
      <c r="H365" s="768"/>
      <c r="I365" s="771"/>
      <c r="J365" s="774"/>
      <c r="K365" s="777"/>
    </row>
    <row r="366" spans="3:11" x14ac:dyDescent="0.2">
      <c r="C366" s="567">
        <v>363</v>
      </c>
      <c r="D366" s="578"/>
      <c r="E366" s="579"/>
      <c r="F366" s="580"/>
      <c r="G366" s="581"/>
      <c r="H366" s="768"/>
      <c r="I366" s="771"/>
      <c r="J366" s="774"/>
      <c r="K366" s="777"/>
    </row>
    <row r="367" spans="3:11" x14ac:dyDescent="0.2">
      <c r="C367" s="567">
        <v>364</v>
      </c>
      <c r="D367" s="578"/>
      <c r="E367" s="579"/>
      <c r="F367" s="580"/>
      <c r="G367" s="581"/>
      <c r="H367" s="768"/>
      <c r="I367" s="771"/>
      <c r="J367" s="774"/>
      <c r="K367" s="777"/>
    </row>
    <row r="368" spans="3:11" x14ac:dyDescent="0.2">
      <c r="C368" s="567">
        <v>365</v>
      </c>
      <c r="D368" s="578"/>
      <c r="E368" s="579"/>
      <c r="F368" s="580"/>
      <c r="G368" s="581"/>
      <c r="H368" s="768"/>
      <c r="I368" s="771"/>
      <c r="J368" s="774"/>
      <c r="K368" s="777"/>
    </row>
    <row r="369" spans="3:11" x14ac:dyDescent="0.2">
      <c r="C369" s="567">
        <v>366</v>
      </c>
      <c r="D369" s="578"/>
      <c r="E369" s="579"/>
      <c r="F369" s="580"/>
      <c r="G369" s="581"/>
      <c r="H369" s="768"/>
      <c r="I369" s="771"/>
      <c r="J369" s="774"/>
      <c r="K369" s="777"/>
    </row>
    <row r="370" spans="3:11" x14ac:dyDescent="0.2">
      <c r="C370" s="567">
        <v>367</v>
      </c>
      <c r="D370" s="578"/>
      <c r="E370" s="579"/>
      <c r="F370" s="580"/>
      <c r="G370" s="581"/>
      <c r="H370" s="768"/>
      <c r="I370" s="771"/>
      <c r="J370" s="774"/>
      <c r="K370" s="777"/>
    </row>
    <row r="371" spans="3:11" x14ac:dyDescent="0.2">
      <c r="C371" s="567">
        <v>368</v>
      </c>
      <c r="D371" s="578"/>
      <c r="E371" s="579"/>
      <c r="F371" s="580"/>
      <c r="G371" s="581"/>
      <c r="H371" s="768"/>
      <c r="I371" s="771"/>
      <c r="J371" s="774"/>
      <c r="K371" s="777"/>
    </row>
    <row r="372" spans="3:11" x14ac:dyDescent="0.2">
      <c r="C372" s="567">
        <v>369</v>
      </c>
      <c r="D372" s="578"/>
      <c r="E372" s="579"/>
      <c r="F372" s="580"/>
      <c r="G372" s="581"/>
      <c r="H372" s="768"/>
      <c r="I372" s="771"/>
      <c r="J372" s="774"/>
      <c r="K372" s="777"/>
    </row>
    <row r="373" spans="3:11" x14ac:dyDescent="0.2">
      <c r="C373" s="567">
        <v>370</v>
      </c>
      <c r="D373" s="578"/>
      <c r="E373" s="579"/>
      <c r="F373" s="580"/>
      <c r="G373" s="581"/>
      <c r="H373" s="768"/>
      <c r="I373" s="771"/>
      <c r="J373" s="774"/>
      <c r="K373" s="777"/>
    </row>
    <row r="374" spans="3:11" x14ac:dyDescent="0.2">
      <c r="C374" s="567">
        <v>371</v>
      </c>
      <c r="D374" s="578"/>
      <c r="E374" s="579"/>
      <c r="F374" s="580"/>
      <c r="G374" s="581"/>
      <c r="H374" s="768"/>
      <c r="I374" s="771"/>
      <c r="J374" s="774"/>
      <c r="K374" s="777"/>
    </row>
    <row r="375" spans="3:11" x14ac:dyDescent="0.2">
      <c r="C375" s="567">
        <v>372</v>
      </c>
      <c r="D375" s="578"/>
      <c r="E375" s="579"/>
      <c r="F375" s="580"/>
      <c r="G375" s="581"/>
      <c r="H375" s="768"/>
      <c r="I375" s="771"/>
      <c r="J375" s="774"/>
      <c r="K375" s="777"/>
    </row>
    <row r="376" spans="3:11" x14ac:dyDescent="0.2">
      <c r="C376" s="567">
        <v>373</v>
      </c>
      <c r="D376" s="578"/>
      <c r="E376" s="579"/>
      <c r="F376" s="580"/>
      <c r="G376" s="581"/>
      <c r="H376" s="768"/>
      <c r="I376" s="771"/>
      <c r="J376" s="774"/>
      <c r="K376" s="777"/>
    </row>
    <row r="377" spans="3:11" x14ac:dyDescent="0.2">
      <c r="C377" s="567">
        <v>374</v>
      </c>
      <c r="D377" s="578"/>
      <c r="E377" s="579"/>
      <c r="F377" s="580"/>
      <c r="G377" s="581"/>
      <c r="H377" s="768"/>
      <c r="I377" s="771"/>
      <c r="J377" s="774"/>
      <c r="K377" s="777"/>
    </row>
    <row r="378" spans="3:11" x14ac:dyDescent="0.2">
      <c r="C378" s="567">
        <v>375</v>
      </c>
      <c r="D378" s="578"/>
      <c r="E378" s="579"/>
      <c r="F378" s="580"/>
      <c r="G378" s="581"/>
      <c r="H378" s="768"/>
      <c r="I378" s="771"/>
      <c r="J378" s="774"/>
      <c r="K378" s="777"/>
    </row>
    <row r="379" spans="3:11" x14ac:dyDescent="0.2">
      <c r="C379" s="567">
        <v>376</v>
      </c>
      <c r="D379" s="578"/>
      <c r="E379" s="579"/>
      <c r="F379" s="580"/>
      <c r="G379" s="581"/>
      <c r="H379" s="768"/>
      <c r="I379" s="771"/>
      <c r="J379" s="774"/>
      <c r="K379" s="777"/>
    </row>
    <row r="380" spans="3:11" x14ac:dyDescent="0.2">
      <c r="C380" s="567">
        <v>377</v>
      </c>
      <c r="D380" s="578"/>
      <c r="E380" s="579"/>
      <c r="F380" s="580"/>
      <c r="G380" s="581"/>
      <c r="H380" s="768"/>
      <c r="I380" s="771"/>
      <c r="J380" s="774"/>
      <c r="K380" s="777"/>
    </row>
    <row r="381" spans="3:11" x14ac:dyDescent="0.2">
      <c r="C381" s="567">
        <v>378</v>
      </c>
      <c r="D381" s="578"/>
      <c r="E381" s="579"/>
      <c r="F381" s="580"/>
      <c r="G381" s="581"/>
      <c r="H381" s="768"/>
      <c r="I381" s="771"/>
      <c r="J381" s="774"/>
      <c r="K381" s="777"/>
    </row>
    <row r="382" spans="3:11" x14ac:dyDescent="0.2">
      <c r="C382" s="567">
        <v>379</v>
      </c>
      <c r="D382" s="578"/>
      <c r="E382" s="579"/>
      <c r="F382" s="580"/>
      <c r="G382" s="581"/>
      <c r="H382" s="768"/>
      <c r="I382" s="771"/>
      <c r="J382" s="774"/>
      <c r="K382" s="777"/>
    </row>
    <row r="383" spans="3:11" x14ac:dyDescent="0.2">
      <c r="C383" s="567">
        <v>380</v>
      </c>
      <c r="D383" s="578"/>
      <c r="E383" s="579"/>
      <c r="F383" s="580"/>
      <c r="G383" s="581"/>
      <c r="H383" s="768"/>
      <c r="I383" s="771"/>
      <c r="J383" s="774"/>
      <c r="K383" s="777"/>
    </row>
    <row r="384" spans="3:11" x14ac:dyDescent="0.2">
      <c r="C384" s="567">
        <v>381</v>
      </c>
      <c r="D384" s="578"/>
      <c r="E384" s="579"/>
      <c r="F384" s="580"/>
      <c r="G384" s="581"/>
      <c r="H384" s="768"/>
      <c r="I384" s="771"/>
      <c r="J384" s="774"/>
      <c r="K384" s="777"/>
    </row>
    <row r="385" spans="3:11" x14ac:dyDescent="0.2">
      <c r="C385" s="567">
        <v>382</v>
      </c>
      <c r="D385" s="578"/>
      <c r="E385" s="579"/>
      <c r="F385" s="580"/>
      <c r="G385" s="581"/>
      <c r="H385" s="768"/>
      <c r="I385" s="771"/>
      <c r="J385" s="774"/>
      <c r="K385" s="777"/>
    </row>
    <row r="386" spans="3:11" x14ac:dyDescent="0.2">
      <c r="C386" s="567">
        <v>383</v>
      </c>
      <c r="D386" s="578"/>
      <c r="E386" s="579"/>
      <c r="F386" s="580"/>
      <c r="G386" s="581"/>
      <c r="H386" s="768"/>
      <c r="I386" s="771"/>
      <c r="J386" s="774"/>
      <c r="K386" s="777"/>
    </row>
    <row r="387" spans="3:11" x14ac:dyDescent="0.2">
      <c r="C387" s="567">
        <v>384</v>
      </c>
      <c r="D387" s="578"/>
      <c r="E387" s="579"/>
      <c r="F387" s="580"/>
      <c r="G387" s="581"/>
      <c r="H387" s="768"/>
      <c r="I387" s="771"/>
      <c r="J387" s="774"/>
      <c r="K387" s="777"/>
    </row>
    <row r="388" spans="3:11" x14ac:dyDescent="0.2">
      <c r="C388" s="567">
        <v>385</v>
      </c>
      <c r="D388" s="578"/>
      <c r="E388" s="579"/>
      <c r="F388" s="580"/>
      <c r="G388" s="581"/>
      <c r="H388" s="768"/>
      <c r="I388" s="771"/>
      <c r="J388" s="774"/>
      <c r="K388" s="777"/>
    </row>
    <row r="389" spans="3:11" x14ac:dyDescent="0.2">
      <c r="C389" s="567">
        <v>386</v>
      </c>
      <c r="D389" s="578"/>
      <c r="E389" s="579"/>
      <c r="F389" s="580"/>
      <c r="G389" s="581"/>
      <c r="H389" s="768"/>
      <c r="I389" s="771"/>
      <c r="J389" s="774"/>
      <c r="K389" s="777"/>
    </row>
    <row r="390" spans="3:11" x14ac:dyDescent="0.2">
      <c r="C390" s="567">
        <v>387</v>
      </c>
      <c r="D390" s="578"/>
      <c r="E390" s="579"/>
      <c r="F390" s="580"/>
      <c r="G390" s="581"/>
      <c r="H390" s="768"/>
      <c r="I390" s="771"/>
      <c r="J390" s="774"/>
      <c r="K390" s="777"/>
    </row>
    <row r="391" spans="3:11" x14ac:dyDescent="0.2">
      <c r="C391" s="567">
        <v>388</v>
      </c>
      <c r="D391" s="578"/>
      <c r="E391" s="579"/>
      <c r="F391" s="580"/>
      <c r="G391" s="581"/>
      <c r="H391" s="768"/>
      <c r="I391" s="771"/>
      <c r="J391" s="774"/>
      <c r="K391" s="777"/>
    </row>
    <row r="392" spans="3:11" x14ac:dyDescent="0.2">
      <c r="C392" s="567">
        <v>389</v>
      </c>
      <c r="D392" s="578"/>
      <c r="E392" s="579"/>
      <c r="F392" s="580"/>
      <c r="G392" s="581"/>
      <c r="H392" s="768"/>
      <c r="I392" s="771"/>
      <c r="J392" s="774"/>
      <c r="K392" s="777"/>
    </row>
    <row r="393" spans="3:11" x14ac:dyDescent="0.2">
      <c r="C393" s="567">
        <v>390</v>
      </c>
      <c r="D393" s="578"/>
      <c r="E393" s="579"/>
      <c r="F393" s="580"/>
      <c r="G393" s="581"/>
      <c r="H393" s="768"/>
      <c r="I393" s="771"/>
      <c r="J393" s="774"/>
      <c r="K393" s="777"/>
    </row>
    <row r="394" spans="3:11" x14ac:dyDescent="0.2">
      <c r="C394" s="567">
        <v>391</v>
      </c>
      <c r="D394" s="578"/>
      <c r="E394" s="579"/>
      <c r="F394" s="580"/>
      <c r="G394" s="581"/>
      <c r="H394" s="768"/>
      <c r="I394" s="771"/>
      <c r="J394" s="774"/>
      <c r="K394" s="777"/>
    </row>
    <row r="395" spans="3:11" x14ac:dyDescent="0.2">
      <c r="C395" s="567">
        <v>392</v>
      </c>
      <c r="D395" s="578"/>
      <c r="E395" s="579"/>
      <c r="F395" s="580"/>
      <c r="G395" s="581"/>
      <c r="H395" s="768"/>
      <c r="I395" s="771"/>
      <c r="J395" s="774"/>
      <c r="K395" s="777"/>
    </row>
    <row r="396" spans="3:11" x14ac:dyDescent="0.2">
      <c r="C396" s="567">
        <v>393</v>
      </c>
      <c r="D396" s="578"/>
      <c r="E396" s="579"/>
      <c r="F396" s="580"/>
      <c r="G396" s="581"/>
      <c r="H396" s="768"/>
      <c r="I396" s="771"/>
      <c r="J396" s="774"/>
      <c r="K396" s="777"/>
    </row>
    <row r="397" spans="3:11" x14ac:dyDescent="0.2">
      <c r="C397" s="567">
        <v>394</v>
      </c>
      <c r="D397" s="578"/>
      <c r="E397" s="579"/>
      <c r="F397" s="580"/>
      <c r="G397" s="581"/>
      <c r="H397" s="768"/>
      <c r="I397" s="771"/>
      <c r="J397" s="774"/>
      <c r="K397" s="777"/>
    </row>
    <row r="398" spans="3:11" x14ac:dyDescent="0.2">
      <c r="C398" s="567">
        <v>395</v>
      </c>
      <c r="D398" s="578"/>
      <c r="E398" s="579"/>
      <c r="F398" s="580"/>
      <c r="G398" s="581"/>
      <c r="H398" s="768"/>
      <c r="I398" s="771"/>
      <c r="J398" s="774"/>
      <c r="K398" s="777"/>
    </row>
    <row r="399" spans="3:11" x14ac:dyDescent="0.2">
      <c r="C399" s="567">
        <v>396</v>
      </c>
      <c r="D399" s="578"/>
      <c r="E399" s="579"/>
      <c r="F399" s="580"/>
      <c r="G399" s="581"/>
      <c r="H399" s="768"/>
      <c r="I399" s="771"/>
      <c r="J399" s="774"/>
      <c r="K399" s="777"/>
    </row>
    <row r="400" spans="3:11" x14ac:dyDescent="0.2">
      <c r="C400" s="567">
        <v>397</v>
      </c>
      <c r="D400" s="578"/>
      <c r="E400" s="579"/>
      <c r="F400" s="580"/>
      <c r="G400" s="581"/>
      <c r="H400" s="768"/>
      <c r="I400" s="771"/>
      <c r="J400" s="774"/>
      <c r="K400" s="777"/>
    </row>
    <row r="401" spans="3:11" x14ac:dyDescent="0.2">
      <c r="C401" s="567">
        <v>398</v>
      </c>
      <c r="D401" s="578"/>
      <c r="E401" s="579"/>
      <c r="F401" s="580"/>
      <c r="G401" s="581"/>
      <c r="H401" s="768"/>
      <c r="I401" s="771"/>
      <c r="J401" s="774"/>
      <c r="K401" s="777"/>
    </row>
    <row r="402" spans="3:11" x14ac:dyDescent="0.2">
      <c r="C402" s="567">
        <v>399</v>
      </c>
      <c r="D402" s="578"/>
      <c r="E402" s="579"/>
      <c r="F402" s="580"/>
      <c r="G402" s="581"/>
      <c r="H402" s="768"/>
      <c r="I402" s="771"/>
      <c r="J402" s="774"/>
      <c r="K402" s="777"/>
    </row>
    <row r="403" spans="3:11" x14ac:dyDescent="0.2">
      <c r="C403" s="567">
        <v>400</v>
      </c>
      <c r="D403" s="578"/>
      <c r="E403" s="579"/>
      <c r="F403" s="580"/>
      <c r="G403" s="581"/>
      <c r="H403" s="768"/>
      <c r="I403" s="771"/>
      <c r="J403" s="774"/>
      <c r="K403" s="777"/>
    </row>
    <row r="404" spans="3:11" x14ac:dyDescent="0.2">
      <c r="C404" s="567">
        <v>401</v>
      </c>
      <c r="D404" s="578"/>
      <c r="E404" s="579"/>
      <c r="F404" s="580"/>
      <c r="G404" s="581"/>
      <c r="H404" s="768"/>
      <c r="I404" s="771"/>
      <c r="J404" s="774"/>
      <c r="K404" s="777"/>
    </row>
    <row r="405" spans="3:11" x14ac:dyDescent="0.2">
      <c r="C405" s="567">
        <v>402</v>
      </c>
      <c r="D405" s="578"/>
      <c r="E405" s="579"/>
      <c r="F405" s="580"/>
      <c r="G405" s="581"/>
      <c r="H405" s="768"/>
      <c r="I405" s="771"/>
      <c r="J405" s="774"/>
      <c r="K405" s="777"/>
    </row>
    <row r="406" spans="3:11" x14ac:dyDescent="0.2">
      <c r="C406" s="567">
        <v>403</v>
      </c>
      <c r="D406" s="578"/>
      <c r="E406" s="579"/>
      <c r="F406" s="580"/>
      <c r="G406" s="581"/>
      <c r="H406" s="768"/>
      <c r="I406" s="771"/>
      <c r="J406" s="774"/>
      <c r="K406" s="777"/>
    </row>
    <row r="407" spans="3:11" x14ac:dyDescent="0.2">
      <c r="C407" s="567">
        <v>404</v>
      </c>
      <c r="D407" s="578"/>
      <c r="E407" s="579"/>
      <c r="F407" s="580"/>
      <c r="G407" s="581"/>
      <c r="H407" s="768"/>
      <c r="I407" s="771"/>
      <c r="J407" s="774"/>
      <c r="K407" s="777"/>
    </row>
    <row r="408" spans="3:11" x14ac:dyDescent="0.2">
      <c r="C408" s="567">
        <v>405</v>
      </c>
      <c r="D408" s="578"/>
      <c r="E408" s="579"/>
      <c r="F408" s="580"/>
      <c r="G408" s="581"/>
      <c r="H408" s="768"/>
      <c r="I408" s="771"/>
      <c r="J408" s="774"/>
      <c r="K408" s="777"/>
    </row>
    <row r="409" spans="3:11" x14ac:dyDescent="0.2">
      <c r="C409" s="567">
        <v>406</v>
      </c>
      <c r="D409" s="578"/>
      <c r="E409" s="579"/>
      <c r="F409" s="580"/>
      <c r="G409" s="581"/>
      <c r="H409" s="768"/>
      <c r="I409" s="771"/>
      <c r="J409" s="774"/>
      <c r="K409" s="777"/>
    </row>
    <row r="410" spans="3:11" x14ac:dyDescent="0.2">
      <c r="C410" s="567">
        <v>407</v>
      </c>
      <c r="D410" s="578"/>
      <c r="E410" s="579"/>
      <c r="F410" s="580"/>
      <c r="G410" s="581"/>
      <c r="H410" s="768"/>
      <c r="I410" s="771"/>
      <c r="J410" s="774"/>
      <c r="K410" s="777"/>
    </row>
    <row r="411" spans="3:11" x14ac:dyDescent="0.2">
      <c r="C411" s="567">
        <v>408</v>
      </c>
      <c r="D411" s="578"/>
      <c r="E411" s="579"/>
      <c r="F411" s="580"/>
      <c r="G411" s="581"/>
      <c r="H411" s="768"/>
      <c r="I411" s="771"/>
      <c r="J411" s="774"/>
      <c r="K411" s="777"/>
    </row>
    <row r="412" spans="3:11" x14ac:dyDescent="0.2">
      <c r="C412" s="567">
        <v>409</v>
      </c>
      <c r="D412" s="578"/>
      <c r="E412" s="579"/>
      <c r="F412" s="580"/>
      <c r="G412" s="581"/>
      <c r="H412" s="768"/>
      <c r="I412" s="771"/>
      <c r="J412" s="774"/>
      <c r="K412" s="777"/>
    </row>
    <row r="413" spans="3:11" x14ac:dyDescent="0.2">
      <c r="C413" s="567">
        <v>410</v>
      </c>
      <c r="D413" s="578"/>
      <c r="E413" s="579"/>
      <c r="F413" s="580"/>
      <c r="G413" s="581"/>
      <c r="H413" s="768"/>
      <c r="I413" s="771"/>
      <c r="J413" s="774"/>
      <c r="K413" s="777"/>
    </row>
    <row r="414" spans="3:11" x14ac:dyDescent="0.2">
      <c r="C414" s="567">
        <v>411</v>
      </c>
      <c r="D414" s="578"/>
      <c r="E414" s="579"/>
      <c r="F414" s="580"/>
      <c r="G414" s="581"/>
      <c r="H414" s="768"/>
      <c r="I414" s="771"/>
      <c r="J414" s="774"/>
      <c r="K414" s="777"/>
    </row>
    <row r="415" spans="3:11" x14ac:dyDescent="0.2">
      <c r="C415" s="567">
        <v>412</v>
      </c>
      <c r="D415" s="578"/>
      <c r="E415" s="579"/>
      <c r="F415" s="580"/>
      <c r="G415" s="581"/>
      <c r="H415" s="768"/>
      <c r="I415" s="771"/>
      <c r="J415" s="774"/>
      <c r="K415" s="777"/>
    </row>
    <row r="416" spans="3:11" x14ac:dyDescent="0.2">
      <c r="C416" s="567">
        <v>413</v>
      </c>
      <c r="D416" s="578"/>
      <c r="E416" s="579"/>
      <c r="F416" s="580"/>
      <c r="G416" s="581"/>
      <c r="H416" s="768"/>
      <c r="I416" s="771"/>
      <c r="J416" s="774"/>
      <c r="K416" s="777"/>
    </row>
    <row r="417" spans="3:11" x14ac:dyDescent="0.2">
      <c r="C417" s="567">
        <v>414</v>
      </c>
      <c r="D417" s="578"/>
      <c r="E417" s="579"/>
      <c r="F417" s="580"/>
      <c r="G417" s="581"/>
      <c r="H417" s="768"/>
      <c r="I417" s="771"/>
      <c r="J417" s="774"/>
      <c r="K417" s="777"/>
    </row>
    <row r="418" spans="3:11" x14ac:dyDescent="0.2">
      <c r="C418" s="567">
        <v>415</v>
      </c>
      <c r="D418" s="578"/>
      <c r="E418" s="579"/>
      <c r="F418" s="580"/>
      <c r="G418" s="581"/>
      <c r="H418" s="768"/>
      <c r="I418" s="771"/>
      <c r="J418" s="774"/>
      <c r="K418" s="777"/>
    </row>
    <row r="419" spans="3:11" x14ac:dyDescent="0.2">
      <c r="C419" s="567">
        <v>416</v>
      </c>
      <c r="D419" s="578"/>
      <c r="E419" s="579"/>
      <c r="F419" s="580"/>
      <c r="G419" s="581"/>
      <c r="H419" s="768"/>
      <c r="I419" s="771"/>
      <c r="J419" s="774"/>
      <c r="K419" s="777"/>
    </row>
    <row r="420" spans="3:11" x14ac:dyDescent="0.2">
      <c r="C420" s="567">
        <v>417</v>
      </c>
      <c r="D420" s="578"/>
      <c r="E420" s="579"/>
      <c r="F420" s="580"/>
      <c r="G420" s="581"/>
      <c r="H420" s="768"/>
      <c r="I420" s="771"/>
      <c r="J420" s="774"/>
      <c r="K420" s="777"/>
    </row>
    <row r="421" spans="3:11" x14ac:dyDescent="0.2">
      <c r="C421" s="567">
        <v>418</v>
      </c>
      <c r="D421" s="578"/>
      <c r="E421" s="579"/>
      <c r="F421" s="580"/>
      <c r="G421" s="581"/>
      <c r="H421" s="768"/>
      <c r="I421" s="771"/>
      <c r="J421" s="774"/>
      <c r="K421" s="777"/>
    </row>
    <row r="422" spans="3:11" x14ac:dyDescent="0.2">
      <c r="C422" s="567">
        <v>419</v>
      </c>
      <c r="D422" s="578"/>
      <c r="E422" s="579"/>
      <c r="F422" s="580"/>
      <c r="G422" s="581"/>
      <c r="H422" s="768"/>
      <c r="I422" s="771"/>
      <c r="J422" s="774"/>
      <c r="K422" s="777"/>
    </row>
    <row r="423" spans="3:11" x14ac:dyDescent="0.2">
      <c r="C423" s="567">
        <v>420</v>
      </c>
      <c r="D423" s="578"/>
      <c r="E423" s="579"/>
      <c r="F423" s="580"/>
      <c r="G423" s="581"/>
      <c r="H423" s="768"/>
      <c r="I423" s="771"/>
      <c r="J423" s="774"/>
      <c r="K423" s="777"/>
    </row>
    <row r="424" spans="3:11" x14ac:dyDescent="0.2">
      <c r="C424" s="567">
        <v>421</v>
      </c>
      <c r="D424" s="578"/>
      <c r="E424" s="579"/>
      <c r="F424" s="580"/>
      <c r="G424" s="581"/>
      <c r="H424" s="768"/>
      <c r="I424" s="771"/>
      <c r="J424" s="774"/>
      <c r="K424" s="777"/>
    </row>
    <row r="425" spans="3:11" x14ac:dyDescent="0.2">
      <c r="C425" s="567">
        <v>422</v>
      </c>
      <c r="D425" s="578"/>
      <c r="E425" s="579"/>
      <c r="F425" s="580"/>
      <c r="G425" s="581"/>
      <c r="H425" s="768"/>
      <c r="I425" s="771"/>
      <c r="J425" s="774"/>
      <c r="K425" s="777"/>
    </row>
    <row r="426" spans="3:11" x14ac:dyDescent="0.2">
      <c r="C426" s="567">
        <v>423</v>
      </c>
      <c r="D426" s="578"/>
      <c r="E426" s="579"/>
      <c r="F426" s="580"/>
      <c r="G426" s="581"/>
      <c r="H426" s="768"/>
      <c r="I426" s="771"/>
      <c r="J426" s="774"/>
      <c r="K426" s="777"/>
    </row>
    <row r="427" spans="3:11" x14ac:dyDescent="0.2">
      <c r="C427" s="567">
        <v>424</v>
      </c>
      <c r="D427" s="578"/>
      <c r="E427" s="579"/>
      <c r="F427" s="580"/>
      <c r="G427" s="581"/>
      <c r="H427" s="768"/>
      <c r="I427" s="771"/>
      <c r="J427" s="774"/>
      <c r="K427" s="777"/>
    </row>
    <row r="428" spans="3:11" x14ac:dyDescent="0.2">
      <c r="C428" s="567">
        <v>425</v>
      </c>
      <c r="D428" s="578"/>
      <c r="E428" s="579"/>
      <c r="F428" s="580"/>
      <c r="G428" s="581"/>
      <c r="H428" s="768"/>
      <c r="I428" s="771"/>
      <c r="J428" s="774"/>
      <c r="K428" s="777"/>
    </row>
    <row r="429" spans="3:11" x14ac:dyDescent="0.2">
      <c r="C429" s="567">
        <v>426</v>
      </c>
      <c r="D429" s="578"/>
      <c r="E429" s="579"/>
      <c r="F429" s="580"/>
      <c r="G429" s="581"/>
      <c r="H429" s="768"/>
      <c r="I429" s="771"/>
      <c r="J429" s="774"/>
      <c r="K429" s="777"/>
    </row>
    <row r="430" spans="3:11" x14ac:dyDescent="0.2">
      <c r="C430" s="567">
        <v>427</v>
      </c>
      <c r="D430" s="578"/>
      <c r="E430" s="579"/>
      <c r="F430" s="580"/>
      <c r="G430" s="581"/>
      <c r="H430" s="768"/>
      <c r="I430" s="771"/>
      <c r="J430" s="774"/>
      <c r="K430" s="777"/>
    </row>
    <row r="431" spans="3:11" x14ac:dyDescent="0.2">
      <c r="C431" s="567">
        <v>428</v>
      </c>
      <c r="D431" s="578"/>
      <c r="E431" s="579"/>
      <c r="F431" s="580"/>
      <c r="G431" s="581"/>
      <c r="H431" s="768"/>
      <c r="I431" s="771"/>
      <c r="J431" s="774"/>
      <c r="K431" s="777"/>
    </row>
    <row r="432" spans="3:11" x14ac:dyDescent="0.2">
      <c r="C432" s="567">
        <v>429</v>
      </c>
      <c r="D432" s="578"/>
      <c r="E432" s="579"/>
      <c r="F432" s="580"/>
      <c r="G432" s="581"/>
      <c r="H432" s="768"/>
      <c r="I432" s="771"/>
      <c r="J432" s="774"/>
      <c r="K432" s="777"/>
    </row>
    <row r="433" spans="3:11" x14ac:dyDescent="0.2">
      <c r="C433" s="567">
        <v>430</v>
      </c>
      <c r="D433" s="578"/>
      <c r="E433" s="579"/>
      <c r="F433" s="580"/>
      <c r="G433" s="581"/>
      <c r="H433" s="768"/>
      <c r="I433" s="771"/>
      <c r="J433" s="774"/>
      <c r="K433" s="777"/>
    </row>
    <row r="434" spans="3:11" x14ac:dyDescent="0.2">
      <c r="C434" s="567">
        <v>431</v>
      </c>
      <c r="D434" s="578"/>
      <c r="E434" s="579"/>
      <c r="F434" s="580"/>
      <c r="G434" s="581"/>
      <c r="H434" s="768"/>
      <c r="I434" s="771"/>
      <c r="J434" s="774"/>
      <c r="K434" s="777"/>
    </row>
    <row r="435" spans="3:11" x14ac:dyDescent="0.2">
      <c r="C435" s="567">
        <v>432</v>
      </c>
      <c r="D435" s="578"/>
      <c r="E435" s="579"/>
      <c r="F435" s="580"/>
      <c r="G435" s="581"/>
      <c r="H435" s="768"/>
      <c r="I435" s="771"/>
      <c r="J435" s="774"/>
      <c r="K435" s="777"/>
    </row>
    <row r="436" spans="3:11" x14ac:dyDescent="0.2">
      <c r="C436" s="567">
        <v>433</v>
      </c>
      <c r="D436" s="578"/>
      <c r="E436" s="579"/>
      <c r="F436" s="580"/>
      <c r="G436" s="581"/>
      <c r="H436" s="768"/>
      <c r="I436" s="771"/>
      <c r="J436" s="774"/>
      <c r="K436" s="777"/>
    </row>
    <row r="437" spans="3:11" x14ac:dyDescent="0.2">
      <c r="C437" s="567">
        <v>434</v>
      </c>
      <c r="D437" s="578"/>
      <c r="E437" s="579"/>
      <c r="F437" s="580"/>
      <c r="G437" s="581"/>
      <c r="H437" s="768"/>
      <c r="I437" s="771"/>
      <c r="J437" s="774"/>
      <c r="K437" s="777"/>
    </row>
    <row r="438" spans="3:11" x14ac:dyDescent="0.2">
      <c r="C438" s="567">
        <v>435</v>
      </c>
      <c r="D438" s="578"/>
      <c r="E438" s="579"/>
      <c r="F438" s="580"/>
      <c r="G438" s="581"/>
      <c r="H438" s="768"/>
      <c r="I438" s="771"/>
      <c r="J438" s="774"/>
      <c r="K438" s="777"/>
    </row>
    <row r="439" spans="3:11" x14ac:dyDescent="0.2">
      <c r="C439" s="567">
        <v>436</v>
      </c>
      <c r="D439" s="578"/>
      <c r="E439" s="579"/>
      <c r="F439" s="580"/>
      <c r="G439" s="581"/>
      <c r="H439" s="768"/>
      <c r="I439" s="771"/>
      <c r="J439" s="774"/>
      <c r="K439" s="777"/>
    </row>
    <row r="440" spans="3:11" x14ac:dyDescent="0.2">
      <c r="C440" s="567">
        <v>437</v>
      </c>
      <c r="D440" s="578"/>
      <c r="E440" s="579"/>
      <c r="F440" s="580"/>
      <c r="G440" s="581"/>
      <c r="H440" s="768"/>
      <c r="I440" s="771"/>
      <c r="J440" s="774"/>
      <c r="K440" s="777"/>
    </row>
    <row r="441" spans="3:11" x14ac:dyDescent="0.2">
      <c r="C441" s="567">
        <v>438</v>
      </c>
      <c r="D441" s="578"/>
      <c r="E441" s="579"/>
      <c r="F441" s="580"/>
      <c r="G441" s="581"/>
      <c r="H441" s="768"/>
      <c r="I441" s="771"/>
      <c r="J441" s="774"/>
      <c r="K441" s="777"/>
    </row>
    <row r="442" spans="3:11" x14ac:dyDescent="0.2">
      <c r="C442" s="567">
        <v>439</v>
      </c>
      <c r="D442" s="578"/>
      <c r="E442" s="579"/>
      <c r="F442" s="580"/>
      <c r="G442" s="581"/>
      <c r="H442" s="768"/>
      <c r="I442" s="771"/>
      <c r="J442" s="774"/>
      <c r="K442" s="777"/>
    </row>
    <row r="443" spans="3:11" x14ac:dyDescent="0.2">
      <c r="C443" s="567">
        <v>440</v>
      </c>
      <c r="D443" s="578"/>
      <c r="E443" s="579"/>
      <c r="F443" s="580"/>
      <c r="G443" s="581"/>
      <c r="H443" s="768"/>
      <c r="I443" s="771"/>
      <c r="J443" s="774"/>
      <c r="K443" s="777"/>
    </row>
    <row r="444" spans="3:11" x14ac:dyDescent="0.2">
      <c r="C444" s="567">
        <v>441</v>
      </c>
      <c r="D444" s="578"/>
      <c r="E444" s="579"/>
      <c r="F444" s="580"/>
      <c r="G444" s="581"/>
      <c r="H444" s="768"/>
      <c r="I444" s="771"/>
      <c r="J444" s="774"/>
      <c r="K444" s="777"/>
    </row>
    <row r="445" spans="3:11" x14ac:dyDescent="0.2">
      <c r="C445" s="567">
        <v>442</v>
      </c>
      <c r="D445" s="578"/>
      <c r="E445" s="579"/>
      <c r="F445" s="580"/>
      <c r="G445" s="581"/>
      <c r="H445" s="768"/>
      <c r="I445" s="771"/>
      <c r="J445" s="774"/>
      <c r="K445" s="777"/>
    </row>
    <row r="446" spans="3:11" x14ac:dyDescent="0.2">
      <c r="C446" s="567">
        <v>443</v>
      </c>
      <c r="D446" s="578"/>
      <c r="E446" s="579"/>
      <c r="F446" s="580"/>
      <c r="G446" s="581"/>
      <c r="H446" s="768"/>
      <c r="I446" s="771"/>
      <c r="J446" s="774"/>
      <c r="K446" s="777"/>
    </row>
    <row r="447" spans="3:11" x14ac:dyDescent="0.2">
      <c r="C447" s="567">
        <v>444</v>
      </c>
      <c r="D447" s="578"/>
      <c r="E447" s="579"/>
      <c r="F447" s="580"/>
      <c r="G447" s="581"/>
      <c r="H447" s="768"/>
      <c r="I447" s="771"/>
      <c r="J447" s="774"/>
      <c r="K447" s="777"/>
    </row>
    <row r="448" spans="3:11" x14ac:dyDescent="0.2">
      <c r="C448" s="567">
        <v>445</v>
      </c>
      <c r="D448" s="578"/>
      <c r="E448" s="579"/>
      <c r="F448" s="580"/>
      <c r="G448" s="581"/>
      <c r="H448" s="768"/>
      <c r="I448" s="771"/>
      <c r="J448" s="774"/>
      <c r="K448" s="777"/>
    </row>
    <row r="449" spans="3:11" x14ac:dyDescent="0.2">
      <c r="C449" s="567">
        <v>446</v>
      </c>
      <c r="D449" s="578"/>
      <c r="E449" s="579"/>
      <c r="F449" s="580"/>
      <c r="G449" s="581"/>
      <c r="H449" s="768"/>
      <c r="I449" s="771"/>
      <c r="J449" s="774"/>
      <c r="K449" s="777"/>
    </row>
    <row r="450" spans="3:11" x14ac:dyDescent="0.2">
      <c r="C450" s="567">
        <v>447</v>
      </c>
      <c r="D450" s="578"/>
      <c r="E450" s="579"/>
      <c r="F450" s="580"/>
      <c r="G450" s="581"/>
      <c r="H450" s="768"/>
      <c r="I450" s="771"/>
      <c r="J450" s="774"/>
      <c r="K450" s="777"/>
    </row>
    <row r="451" spans="3:11" x14ac:dyDescent="0.2">
      <c r="C451" s="567">
        <v>448</v>
      </c>
      <c r="D451" s="578"/>
      <c r="E451" s="579"/>
      <c r="F451" s="580"/>
      <c r="G451" s="581"/>
      <c r="H451" s="768"/>
      <c r="I451" s="771"/>
      <c r="J451" s="774"/>
      <c r="K451" s="777"/>
    </row>
    <row r="452" spans="3:11" x14ac:dyDescent="0.2">
      <c r="C452" s="567">
        <v>449</v>
      </c>
      <c r="D452" s="578"/>
      <c r="E452" s="579"/>
      <c r="F452" s="580"/>
      <c r="G452" s="581"/>
      <c r="H452" s="768"/>
      <c r="I452" s="771"/>
      <c r="J452" s="774"/>
      <c r="K452" s="777"/>
    </row>
    <row r="453" spans="3:11" x14ac:dyDescent="0.2">
      <c r="C453" s="567">
        <v>450</v>
      </c>
      <c r="D453" s="578"/>
      <c r="E453" s="579"/>
      <c r="F453" s="580"/>
      <c r="G453" s="581"/>
      <c r="H453" s="768"/>
      <c r="I453" s="771"/>
      <c r="J453" s="774"/>
      <c r="K453" s="777"/>
    </row>
    <row r="454" spans="3:11" x14ac:dyDescent="0.2">
      <c r="C454" s="567">
        <v>451</v>
      </c>
      <c r="D454" s="578"/>
      <c r="E454" s="579"/>
      <c r="F454" s="580"/>
      <c r="G454" s="581"/>
      <c r="H454" s="768"/>
      <c r="I454" s="771"/>
      <c r="J454" s="774"/>
      <c r="K454" s="777"/>
    </row>
    <row r="455" spans="3:11" x14ac:dyDescent="0.2">
      <c r="C455" s="567">
        <v>452</v>
      </c>
      <c r="D455" s="578"/>
      <c r="E455" s="579"/>
      <c r="F455" s="580"/>
      <c r="G455" s="581"/>
      <c r="H455" s="768"/>
      <c r="I455" s="771"/>
      <c r="J455" s="774"/>
      <c r="K455" s="777"/>
    </row>
    <row r="456" spans="3:11" x14ac:dyDescent="0.2">
      <c r="C456" s="567">
        <v>453</v>
      </c>
      <c r="D456" s="578"/>
      <c r="E456" s="579"/>
      <c r="F456" s="580"/>
      <c r="G456" s="581"/>
      <c r="H456" s="768"/>
      <c r="I456" s="771"/>
      <c r="J456" s="774"/>
      <c r="K456" s="777"/>
    </row>
    <row r="457" spans="3:11" x14ac:dyDescent="0.2">
      <c r="C457" s="567">
        <v>454</v>
      </c>
      <c r="D457" s="578"/>
      <c r="E457" s="579"/>
      <c r="F457" s="580"/>
      <c r="G457" s="581"/>
      <c r="H457" s="768"/>
      <c r="I457" s="771"/>
      <c r="J457" s="774"/>
      <c r="K457" s="777"/>
    </row>
    <row r="458" spans="3:11" x14ac:dyDescent="0.2">
      <c r="C458" s="567">
        <v>455</v>
      </c>
      <c r="D458" s="578"/>
      <c r="E458" s="579"/>
      <c r="F458" s="580"/>
      <c r="G458" s="581"/>
      <c r="H458" s="768"/>
      <c r="I458" s="771"/>
      <c r="J458" s="774"/>
      <c r="K458" s="777"/>
    </row>
    <row r="459" spans="3:11" x14ac:dyDescent="0.2">
      <c r="C459" s="567">
        <v>456</v>
      </c>
      <c r="D459" s="578"/>
      <c r="E459" s="579"/>
      <c r="F459" s="580"/>
      <c r="G459" s="581"/>
      <c r="H459" s="768"/>
      <c r="I459" s="771"/>
      <c r="J459" s="774"/>
      <c r="K459" s="777"/>
    </row>
    <row r="460" spans="3:11" x14ac:dyDescent="0.2">
      <c r="C460" s="567">
        <v>457</v>
      </c>
      <c r="D460" s="578"/>
      <c r="E460" s="579"/>
      <c r="F460" s="580"/>
      <c r="G460" s="581"/>
      <c r="H460" s="768"/>
      <c r="I460" s="771"/>
      <c r="J460" s="774"/>
      <c r="K460" s="777"/>
    </row>
    <row r="461" spans="3:11" x14ac:dyDescent="0.2">
      <c r="C461" s="567">
        <v>458</v>
      </c>
      <c r="D461" s="578"/>
      <c r="E461" s="579"/>
      <c r="F461" s="580"/>
      <c r="G461" s="581"/>
      <c r="H461" s="768"/>
      <c r="I461" s="771"/>
      <c r="J461" s="774"/>
      <c r="K461" s="777"/>
    </row>
    <row r="462" spans="3:11" x14ac:dyDescent="0.2">
      <c r="C462" s="567">
        <v>459</v>
      </c>
      <c r="D462" s="578"/>
      <c r="E462" s="579"/>
      <c r="F462" s="580"/>
      <c r="G462" s="581"/>
      <c r="H462" s="768"/>
      <c r="I462" s="771"/>
      <c r="J462" s="774"/>
      <c r="K462" s="777"/>
    </row>
    <row r="463" spans="3:11" x14ac:dyDescent="0.2">
      <c r="C463" s="567">
        <v>460</v>
      </c>
      <c r="D463" s="578"/>
      <c r="E463" s="579"/>
      <c r="F463" s="580"/>
      <c r="G463" s="581"/>
      <c r="H463" s="768"/>
      <c r="I463" s="771"/>
      <c r="J463" s="774"/>
      <c r="K463" s="777"/>
    </row>
    <row r="464" spans="3:11" x14ac:dyDescent="0.2">
      <c r="C464" s="567">
        <v>461</v>
      </c>
      <c r="D464" s="578"/>
      <c r="E464" s="579"/>
      <c r="F464" s="580"/>
      <c r="G464" s="581"/>
      <c r="H464" s="768"/>
      <c r="I464" s="771"/>
      <c r="J464" s="774"/>
      <c r="K464" s="777"/>
    </row>
    <row r="465" spans="3:11" x14ac:dyDescent="0.2">
      <c r="C465" s="567">
        <v>462</v>
      </c>
      <c r="D465" s="578"/>
      <c r="E465" s="579"/>
      <c r="F465" s="580"/>
      <c r="G465" s="581"/>
      <c r="H465" s="768"/>
      <c r="I465" s="771"/>
      <c r="J465" s="774"/>
      <c r="K465" s="777"/>
    </row>
    <row r="466" spans="3:11" x14ac:dyDescent="0.2">
      <c r="C466" s="567">
        <v>463</v>
      </c>
      <c r="D466" s="578"/>
      <c r="E466" s="579"/>
      <c r="F466" s="580"/>
      <c r="G466" s="581"/>
      <c r="H466" s="768"/>
      <c r="I466" s="771"/>
      <c r="J466" s="774"/>
      <c r="K466" s="777"/>
    </row>
    <row r="467" spans="3:11" x14ac:dyDescent="0.2">
      <c r="C467" s="567">
        <v>464</v>
      </c>
      <c r="D467" s="578"/>
      <c r="E467" s="579"/>
      <c r="F467" s="580"/>
      <c r="G467" s="581"/>
      <c r="H467" s="768"/>
      <c r="I467" s="771"/>
      <c r="J467" s="774"/>
      <c r="K467" s="777"/>
    </row>
    <row r="468" spans="3:11" x14ac:dyDescent="0.2">
      <c r="C468" s="567">
        <v>465</v>
      </c>
      <c r="D468" s="578"/>
      <c r="E468" s="579"/>
      <c r="F468" s="580"/>
      <c r="G468" s="581"/>
      <c r="H468" s="768"/>
      <c r="I468" s="771"/>
      <c r="J468" s="774"/>
      <c r="K468" s="777"/>
    </row>
    <row r="469" spans="3:11" x14ac:dyDescent="0.2">
      <c r="C469" s="567">
        <v>466</v>
      </c>
      <c r="D469" s="578"/>
      <c r="E469" s="579"/>
      <c r="F469" s="580"/>
      <c r="G469" s="581"/>
      <c r="H469" s="768"/>
      <c r="I469" s="771"/>
      <c r="J469" s="774"/>
      <c r="K469" s="777"/>
    </row>
    <row r="470" spans="3:11" x14ac:dyDescent="0.2">
      <c r="C470" s="567">
        <v>467</v>
      </c>
      <c r="D470" s="578"/>
      <c r="E470" s="579"/>
      <c r="F470" s="580"/>
      <c r="G470" s="581"/>
      <c r="H470" s="768"/>
      <c r="I470" s="771"/>
      <c r="J470" s="774"/>
      <c r="K470" s="777"/>
    </row>
    <row r="471" spans="3:11" x14ac:dyDescent="0.2">
      <c r="C471" s="567">
        <v>468</v>
      </c>
      <c r="D471" s="578"/>
      <c r="E471" s="579"/>
      <c r="F471" s="580"/>
      <c r="G471" s="581"/>
      <c r="H471" s="768"/>
      <c r="I471" s="771"/>
      <c r="J471" s="774"/>
      <c r="K471" s="777"/>
    </row>
    <row r="472" spans="3:11" x14ac:dyDescent="0.2">
      <c r="C472" s="567">
        <v>469</v>
      </c>
      <c r="D472" s="578"/>
      <c r="E472" s="579"/>
      <c r="F472" s="580"/>
      <c r="G472" s="581"/>
      <c r="H472" s="768"/>
      <c r="I472" s="771"/>
      <c r="J472" s="774"/>
      <c r="K472" s="777"/>
    </row>
    <row r="473" spans="3:11" x14ac:dyDescent="0.2">
      <c r="C473" s="567">
        <v>470</v>
      </c>
      <c r="D473" s="578"/>
      <c r="E473" s="579"/>
      <c r="F473" s="580"/>
      <c r="G473" s="581"/>
      <c r="H473" s="768"/>
      <c r="I473" s="771"/>
      <c r="J473" s="774"/>
      <c r="K473" s="777"/>
    </row>
    <row r="474" spans="3:11" x14ac:dyDescent="0.2">
      <c r="C474" s="567">
        <v>471</v>
      </c>
      <c r="D474" s="578"/>
      <c r="E474" s="579"/>
      <c r="F474" s="580"/>
      <c r="G474" s="581"/>
      <c r="H474" s="768"/>
      <c r="I474" s="771"/>
      <c r="J474" s="774"/>
      <c r="K474" s="777"/>
    </row>
    <row r="475" spans="3:11" x14ac:dyDescent="0.2">
      <c r="C475" s="567">
        <v>472</v>
      </c>
      <c r="D475" s="578"/>
      <c r="E475" s="579"/>
      <c r="F475" s="580"/>
      <c r="G475" s="581"/>
      <c r="H475" s="768"/>
      <c r="I475" s="771"/>
      <c r="J475" s="774"/>
      <c r="K475" s="777"/>
    </row>
    <row r="476" spans="3:11" x14ac:dyDescent="0.2">
      <c r="C476" s="567">
        <v>473</v>
      </c>
      <c r="D476" s="578"/>
      <c r="E476" s="579"/>
      <c r="F476" s="580"/>
      <c r="G476" s="581"/>
      <c r="H476" s="768"/>
      <c r="I476" s="771"/>
      <c r="J476" s="774"/>
      <c r="K476" s="777"/>
    </row>
    <row r="477" spans="3:11" x14ac:dyDescent="0.2">
      <c r="C477" s="567">
        <v>474</v>
      </c>
      <c r="D477" s="578"/>
      <c r="E477" s="579"/>
      <c r="F477" s="580"/>
      <c r="G477" s="581"/>
      <c r="H477" s="768"/>
      <c r="I477" s="771"/>
      <c r="J477" s="774"/>
      <c r="K477" s="777"/>
    </row>
    <row r="478" spans="3:11" x14ac:dyDescent="0.2">
      <c r="C478" s="567">
        <v>475</v>
      </c>
      <c r="D478" s="578"/>
      <c r="E478" s="579"/>
      <c r="F478" s="580"/>
      <c r="G478" s="581"/>
      <c r="H478" s="768"/>
      <c r="I478" s="771"/>
      <c r="J478" s="774"/>
      <c r="K478" s="777"/>
    </row>
    <row r="479" spans="3:11" x14ac:dyDescent="0.2">
      <c r="C479" s="567">
        <v>476</v>
      </c>
      <c r="D479" s="578"/>
      <c r="E479" s="579"/>
      <c r="F479" s="580"/>
      <c r="G479" s="581"/>
      <c r="H479" s="768"/>
      <c r="I479" s="771"/>
      <c r="J479" s="774"/>
      <c r="K479" s="777"/>
    </row>
    <row r="480" spans="3:11" x14ac:dyDescent="0.2">
      <c r="C480" s="567">
        <v>477</v>
      </c>
      <c r="D480" s="578"/>
      <c r="E480" s="579"/>
      <c r="F480" s="580"/>
      <c r="G480" s="581"/>
      <c r="H480" s="768"/>
      <c r="I480" s="771"/>
      <c r="J480" s="774"/>
      <c r="K480" s="777"/>
    </row>
    <row r="481" spans="3:11" x14ac:dyDescent="0.2">
      <c r="C481" s="567">
        <v>478</v>
      </c>
      <c r="D481" s="578"/>
      <c r="E481" s="579"/>
      <c r="F481" s="580"/>
      <c r="G481" s="581"/>
      <c r="H481" s="768"/>
      <c r="I481" s="771"/>
      <c r="J481" s="774"/>
      <c r="K481" s="777"/>
    </row>
    <row r="482" spans="3:11" x14ac:dyDescent="0.2">
      <c r="C482" s="567">
        <v>479</v>
      </c>
      <c r="D482" s="578"/>
      <c r="E482" s="579"/>
      <c r="F482" s="580"/>
      <c r="G482" s="581"/>
      <c r="H482" s="768"/>
      <c r="I482" s="771"/>
      <c r="J482" s="774"/>
      <c r="K482" s="777"/>
    </row>
    <row r="483" spans="3:11" x14ac:dyDescent="0.2">
      <c r="C483" s="567">
        <v>480</v>
      </c>
      <c r="D483" s="578"/>
      <c r="E483" s="579"/>
      <c r="F483" s="580"/>
      <c r="G483" s="581"/>
      <c r="H483" s="768"/>
      <c r="I483" s="771"/>
      <c r="J483" s="774"/>
      <c r="K483" s="777"/>
    </row>
    <row r="484" spans="3:11" x14ac:dyDescent="0.2">
      <c r="C484" s="567">
        <v>481</v>
      </c>
      <c r="D484" s="578"/>
      <c r="E484" s="579"/>
      <c r="F484" s="580"/>
      <c r="G484" s="581"/>
      <c r="H484" s="768"/>
      <c r="I484" s="771"/>
      <c r="J484" s="774"/>
      <c r="K484" s="777"/>
    </row>
    <row r="485" spans="3:11" x14ac:dyDescent="0.2">
      <c r="C485" s="567">
        <v>482</v>
      </c>
      <c r="D485" s="578"/>
      <c r="E485" s="579"/>
      <c r="F485" s="580"/>
      <c r="G485" s="581"/>
      <c r="H485" s="768"/>
      <c r="I485" s="771"/>
      <c r="J485" s="774"/>
      <c r="K485" s="777"/>
    </row>
    <row r="486" spans="3:11" x14ac:dyDescent="0.2">
      <c r="C486" s="567">
        <v>483</v>
      </c>
      <c r="D486" s="578"/>
      <c r="E486" s="579"/>
      <c r="F486" s="580"/>
      <c r="G486" s="581"/>
      <c r="H486" s="768"/>
      <c r="I486" s="771"/>
      <c r="J486" s="774"/>
      <c r="K486" s="777"/>
    </row>
    <row r="487" spans="3:11" x14ac:dyDescent="0.2">
      <c r="C487" s="567">
        <v>484</v>
      </c>
      <c r="D487" s="578"/>
      <c r="E487" s="579"/>
      <c r="F487" s="580"/>
      <c r="G487" s="581"/>
      <c r="H487" s="768"/>
      <c r="I487" s="771"/>
      <c r="J487" s="774"/>
      <c r="K487" s="777"/>
    </row>
    <row r="488" spans="3:11" x14ac:dyDescent="0.2">
      <c r="C488" s="567">
        <v>485</v>
      </c>
      <c r="D488" s="578"/>
      <c r="E488" s="579"/>
      <c r="F488" s="580"/>
      <c r="G488" s="581"/>
      <c r="H488" s="768"/>
      <c r="I488" s="771"/>
      <c r="J488" s="774"/>
      <c r="K488" s="777"/>
    </row>
    <row r="489" spans="3:11" x14ac:dyDescent="0.2">
      <c r="C489" s="567">
        <v>486</v>
      </c>
      <c r="D489" s="578"/>
      <c r="E489" s="579"/>
      <c r="F489" s="580"/>
      <c r="G489" s="581"/>
      <c r="H489" s="768"/>
      <c r="I489" s="771"/>
      <c r="J489" s="774"/>
      <c r="K489" s="777"/>
    </row>
    <row r="490" spans="3:11" x14ac:dyDescent="0.2">
      <c r="C490" s="567">
        <v>487</v>
      </c>
      <c r="D490" s="578"/>
      <c r="E490" s="579"/>
      <c r="F490" s="580"/>
      <c r="G490" s="581"/>
      <c r="H490" s="768"/>
      <c r="I490" s="771"/>
      <c r="J490" s="774"/>
      <c r="K490" s="777"/>
    </row>
    <row r="491" spans="3:11" x14ac:dyDescent="0.2">
      <c r="C491" s="567">
        <v>488</v>
      </c>
      <c r="D491" s="578"/>
      <c r="E491" s="579"/>
      <c r="F491" s="580"/>
      <c r="G491" s="581"/>
      <c r="H491" s="768"/>
      <c r="I491" s="771"/>
      <c r="J491" s="774"/>
      <c r="K491" s="777"/>
    </row>
    <row r="492" spans="3:11" x14ac:dyDescent="0.2">
      <c r="C492" s="567">
        <v>489</v>
      </c>
      <c r="D492" s="578"/>
      <c r="E492" s="579"/>
      <c r="F492" s="580"/>
      <c r="G492" s="581"/>
      <c r="H492" s="768"/>
      <c r="I492" s="771"/>
      <c r="J492" s="774"/>
      <c r="K492" s="777"/>
    </row>
    <row r="493" spans="3:11" x14ac:dyDescent="0.2">
      <c r="C493" s="567">
        <v>490</v>
      </c>
      <c r="D493" s="578"/>
      <c r="E493" s="579"/>
      <c r="F493" s="580"/>
      <c r="G493" s="581"/>
      <c r="H493" s="768"/>
      <c r="I493" s="771"/>
      <c r="J493" s="774"/>
      <c r="K493" s="777"/>
    </row>
    <row r="494" spans="3:11" x14ac:dyDescent="0.2">
      <c r="C494" s="567">
        <v>491</v>
      </c>
      <c r="D494" s="578"/>
      <c r="E494" s="579"/>
      <c r="F494" s="580"/>
      <c r="G494" s="581"/>
      <c r="H494" s="768"/>
      <c r="I494" s="771"/>
      <c r="J494" s="774"/>
      <c r="K494" s="777"/>
    </row>
    <row r="495" spans="3:11" x14ac:dyDescent="0.2">
      <c r="C495" s="567">
        <v>492</v>
      </c>
      <c r="D495" s="578"/>
      <c r="E495" s="579"/>
      <c r="F495" s="580"/>
      <c r="G495" s="581"/>
      <c r="H495" s="768"/>
      <c r="I495" s="771"/>
      <c r="J495" s="774"/>
      <c r="K495" s="777"/>
    </row>
    <row r="496" spans="3:11" x14ac:dyDescent="0.2">
      <c r="C496" s="567">
        <v>493</v>
      </c>
      <c r="D496" s="578"/>
      <c r="E496" s="579"/>
      <c r="F496" s="580"/>
      <c r="G496" s="581"/>
      <c r="H496" s="768"/>
      <c r="I496" s="771"/>
      <c r="J496" s="774"/>
      <c r="K496" s="777"/>
    </row>
    <row r="497" spans="3:11" x14ac:dyDescent="0.2">
      <c r="C497" s="567">
        <v>494</v>
      </c>
      <c r="D497" s="578"/>
      <c r="E497" s="579"/>
      <c r="F497" s="580"/>
      <c r="G497" s="581"/>
      <c r="H497" s="768"/>
      <c r="I497" s="771"/>
      <c r="J497" s="774"/>
      <c r="K497" s="777"/>
    </row>
    <row r="498" spans="3:11" x14ac:dyDescent="0.2">
      <c r="C498" s="567">
        <v>495</v>
      </c>
      <c r="D498" s="578"/>
      <c r="E498" s="579"/>
      <c r="F498" s="580"/>
      <c r="G498" s="581"/>
      <c r="H498" s="768"/>
      <c r="I498" s="771"/>
      <c r="J498" s="774"/>
      <c r="K498" s="777"/>
    </row>
    <row r="499" spans="3:11" x14ac:dyDescent="0.2">
      <c r="C499" s="567">
        <v>496</v>
      </c>
      <c r="D499" s="578"/>
      <c r="E499" s="579"/>
      <c r="F499" s="580"/>
      <c r="G499" s="581"/>
      <c r="H499" s="768"/>
      <c r="I499" s="771"/>
      <c r="J499" s="774"/>
      <c r="K499" s="777"/>
    </row>
    <row r="500" spans="3:11" x14ac:dyDescent="0.2">
      <c r="C500" s="567">
        <v>497</v>
      </c>
      <c r="D500" s="578"/>
      <c r="E500" s="579"/>
      <c r="F500" s="580"/>
      <c r="G500" s="581"/>
      <c r="H500" s="768"/>
      <c r="I500" s="771"/>
      <c r="J500" s="774"/>
      <c r="K500" s="777"/>
    </row>
    <row r="501" spans="3:11" x14ac:dyDescent="0.2">
      <c r="C501" s="567">
        <v>498</v>
      </c>
      <c r="D501" s="578"/>
      <c r="E501" s="579"/>
      <c r="F501" s="580"/>
      <c r="G501" s="581"/>
      <c r="H501" s="768"/>
      <c r="I501" s="771"/>
      <c r="J501" s="774"/>
      <c r="K501" s="777"/>
    </row>
    <row r="502" spans="3:11" x14ac:dyDescent="0.2">
      <c r="C502" s="567">
        <v>499</v>
      </c>
      <c r="D502" s="578"/>
      <c r="E502" s="579"/>
      <c r="F502" s="580"/>
      <c r="G502" s="581"/>
      <c r="H502" s="768"/>
      <c r="I502" s="771"/>
      <c r="J502" s="774"/>
      <c r="K502" s="777"/>
    </row>
    <row r="503" spans="3:11" x14ac:dyDescent="0.2">
      <c r="C503" s="567">
        <v>500</v>
      </c>
      <c r="D503" s="578"/>
      <c r="E503" s="579"/>
      <c r="F503" s="580"/>
      <c r="G503" s="581"/>
      <c r="H503" s="768"/>
      <c r="I503" s="771"/>
      <c r="J503" s="774"/>
      <c r="K503" s="777"/>
    </row>
    <row r="504" spans="3:11" x14ac:dyDescent="0.2">
      <c r="C504" s="567">
        <v>501</v>
      </c>
      <c r="D504" s="578"/>
      <c r="E504" s="579"/>
      <c r="F504" s="580"/>
      <c r="G504" s="581"/>
      <c r="H504" s="768"/>
      <c r="I504" s="771"/>
      <c r="J504" s="774"/>
      <c r="K504" s="777"/>
    </row>
    <row r="505" spans="3:11" x14ac:dyDescent="0.2">
      <c r="C505" s="567">
        <v>502</v>
      </c>
      <c r="D505" s="578"/>
      <c r="E505" s="579"/>
      <c r="F505" s="580"/>
      <c r="G505" s="581"/>
      <c r="H505" s="768"/>
      <c r="I505" s="771"/>
      <c r="J505" s="774"/>
      <c r="K505" s="777"/>
    </row>
    <row r="506" spans="3:11" x14ac:dyDescent="0.2">
      <c r="C506" s="567">
        <v>503</v>
      </c>
      <c r="D506" s="578"/>
      <c r="E506" s="579"/>
      <c r="F506" s="580"/>
      <c r="G506" s="581"/>
      <c r="H506" s="768"/>
      <c r="I506" s="771"/>
      <c r="J506" s="774"/>
      <c r="K506" s="777"/>
    </row>
    <row r="507" spans="3:11" x14ac:dyDescent="0.2">
      <c r="C507" s="567">
        <v>504</v>
      </c>
      <c r="D507" s="578"/>
      <c r="E507" s="579"/>
      <c r="F507" s="580"/>
      <c r="G507" s="581"/>
      <c r="H507" s="768"/>
      <c r="I507" s="771"/>
      <c r="J507" s="774"/>
      <c r="K507" s="777"/>
    </row>
    <row r="508" spans="3:11" x14ac:dyDescent="0.2">
      <c r="C508" s="567">
        <v>505</v>
      </c>
      <c r="D508" s="578"/>
      <c r="E508" s="579"/>
      <c r="F508" s="580"/>
      <c r="G508" s="581"/>
      <c r="H508" s="768"/>
      <c r="I508" s="771"/>
      <c r="J508" s="774"/>
      <c r="K508" s="777"/>
    </row>
    <row r="509" spans="3:11" x14ac:dyDescent="0.2">
      <c r="C509" s="567">
        <v>506</v>
      </c>
      <c r="D509" s="578"/>
      <c r="E509" s="579"/>
      <c r="F509" s="580"/>
      <c r="G509" s="581"/>
      <c r="H509" s="768"/>
      <c r="I509" s="771"/>
      <c r="J509" s="774"/>
      <c r="K509" s="777"/>
    </row>
    <row r="510" spans="3:11" x14ac:dyDescent="0.2">
      <c r="C510" s="567">
        <v>507</v>
      </c>
      <c r="D510" s="578"/>
      <c r="E510" s="579"/>
      <c r="F510" s="580"/>
      <c r="G510" s="581"/>
      <c r="H510" s="768"/>
      <c r="I510" s="771"/>
      <c r="J510" s="774"/>
      <c r="K510" s="777"/>
    </row>
    <row r="511" spans="3:11" x14ac:dyDescent="0.2">
      <c r="C511" s="567">
        <v>508</v>
      </c>
      <c r="D511" s="578"/>
      <c r="E511" s="579"/>
      <c r="F511" s="580"/>
      <c r="G511" s="581"/>
      <c r="H511" s="768"/>
      <c r="I511" s="771"/>
      <c r="J511" s="774"/>
      <c r="K511" s="777"/>
    </row>
    <row r="512" spans="3:11" x14ac:dyDescent="0.2">
      <c r="C512" s="567">
        <v>509</v>
      </c>
      <c r="D512" s="578"/>
      <c r="E512" s="579"/>
      <c r="F512" s="580"/>
      <c r="G512" s="581"/>
      <c r="H512" s="768"/>
      <c r="I512" s="771"/>
      <c r="J512" s="774"/>
      <c r="K512" s="777"/>
    </row>
    <row r="513" spans="3:11" x14ac:dyDescent="0.2">
      <c r="C513" s="567">
        <v>510</v>
      </c>
      <c r="D513" s="578"/>
      <c r="E513" s="579"/>
      <c r="F513" s="580"/>
      <c r="G513" s="581"/>
      <c r="H513" s="768"/>
      <c r="I513" s="771"/>
      <c r="J513" s="774"/>
      <c r="K513" s="777"/>
    </row>
    <row r="514" spans="3:11" x14ac:dyDescent="0.2">
      <c r="C514" s="567">
        <v>511</v>
      </c>
      <c r="D514" s="578"/>
      <c r="E514" s="579"/>
      <c r="F514" s="580"/>
      <c r="G514" s="581"/>
      <c r="H514" s="768"/>
      <c r="I514" s="771"/>
      <c r="J514" s="774"/>
      <c r="K514" s="777"/>
    </row>
    <row r="515" spans="3:11" x14ac:dyDescent="0.2">
      <c r="C515" s="567">
        <v>512</v>
      </c>
      <c r="D515" s="578"/>
      <c r="E515" s="579"/>
      <c r="F515" s="580"/>
      <c r="G515" s="581"/>
      <c r="H515" s="768"/>
      <c r="I515" s="771"/>
      <c r="J515" s="774"/>
      <c r="K515" s="777"/>
    </row>
    <row r="516" spans="3:11" x14ac:dyDescent="0.2">
      <c r="C516" s="567">
        <v>513</v>
      </c>
      <c r="D516" s="578"/>
      <c r="E516" s="579"/>
      <c r="F516" s="580"/>
      <c r="G516" s="581"/>
      <c r="H516" s="768"/>
      <c r="I516" s="771"/>
      <c r="J516" s="774"/>
      <c r="K516" s="777"/>
    </row>
    <row r="517" spans="3:11" x14ac:dyDescent="0.2">
      <c r="C517" s="567">
        <v>514</v>
      </c>
      <c r="D517" s="578"/>
      <c r="E517" s="579"/>
      <c r="F517" s="580"/>
      <c r="G517" s="581"/>
      <c r="H517" s="768"/>
      <c r="I517" s="771"/>
      <c r="J517" s="774"/>
      <c r="K517" s="777"/>
    </row>
    <row r="518" spans="3:11" x14ac:dyDescent="0.2">
      <c r="C518" s="567">
        <v>515</v>
      </c>
      <c r="D518" s="578"/>
      <c r="E518" s="579"/>
      <c r="F518" s="580"/>
      <c r="G518" s="581"/>
      <c r="H518" s="768"/>
      <c r="I518" s="771"/>
      <c r="J518" s="774"/>
      <c r="K518" s="777"/>
    </row>
    <row r="519" spans="3:11" x14ac:dyDescent="0.2">
      <c r="C519" s="567">
        <v>516</v>
      </c>
      <c r="D519" s="578"/>
      <c r="E519" s="579"/>
      <c r="F519" s="580"/>
      <c r="G519" s="581"/>
      <c r="H519" s="768"/>
      <c r="I519" s="771"/>
      <c r="J519" s="774"/>
      <c r="K519" s="777"/>
    </row>
    <row r="520" spans="3:11" x14ac:dyDescent="0.2">
      <c r="C520" s="567">
        <v>517</v>
      </c>
      <c r="D520" s="578"/>
      <c r="E520" s="579"/>
      <c r="F520" s="580"/>
      <c r="G520" s="581"/>
      <c r="H520" s="768"/>
      <c r="I520" s="771"/>
      <c r="J520" s="774"/>
      <c r="K520" s="777"/>
    </row>
    <row r="521" spans="3:11" x14ac:dyDescent="0.2">
      <c r="C521" s="567">
        <v>518</v>
      </c>
      <c r="D521" s="578"/>
      <c r="E521" s="579"/>
      <c r="F521" s="580"/>
      <c r="G521" s="581"/>
      <c r="H521" s="768"/>
      <c r="I521" s="771"/>
      <c r="J521" s="774"/>
      <c r="K521" s="777"/>
    </row>
    <row r="522" spans="3:11" x14ac:dyDescent="0.2">
      <c r="C522" s="567">
        <v>519</v>
      </c>
      <c r="D522" s="578"/>
      <c r="E522" s="579"/>
      <c r="F522" s="580"/>
      <c r="G522" s="581"/>
      <c r="H522" s="768"/>
      <c r="I522" s="771"/>
      <c r="J522" s="774"/>
      <c r="K522" s="777"/>
    </row>
    <row r="523" spans="3:11" x14ac:dyDescent="0.2">
      <c r="C523" s="567">
        <v>520</v>
      </c>
      <c r="D523" s="578"/>
      <c r="E523" s="579"/>
      <c r="F523" s="580"/>
      <c r="G523" s="581"/>
      <c r="H523" s="768"/>
      <c r="I523" s="771"/>
      <c r="J523" s="774"/>
      <c r="K523" s="777"/>
    </row>
    <row r="524" spans="3:11" x14ac:dyDescent="0.2">
      <c r="C524" s="567">
        <v>521</v>
      </c>
      <c r="D524" s="578"/>
      <c r="E524" s="579"/>
      <c r="F524" s="580"/>
      <c r="G524" s="581"/>
      <c r="H524" s="768"/>
      <c r="I524" s="771"/>
      <c r="J524" s="774"/>
      <c r="K524" s="777"/>
    </row>
    <row r="525" spans="3:11" x14ac:dyDescent="0.2">
      <c r="C525" s="567">
        <v>522</v>
      </c>
      <c r="D525" s="578"/>
      <c r="E525" s="579"/>
      <c r="F525" s="580"/>
      <c r="G525" s="581"/>
      <c r="H525" s="768"/>
      <c r="I525" s="771"/>
      <c r="J525" s="774"/>
      <c r="K525" s="777"/>
    </row>
    <row r="526" spans="3:11" x14ac:dyDescent="0.2">
      <c r="C526" s="567">
        <v>523</v>
      </c>
      <c r="D526" s="578"/>
      <c r="E526" s="579"/>
      <c r="F526" s="580"/>
      <c r="G526" s="581"/>
      <c r="H526" s="768"/>
      <c r="I526" s="771"/>
      <c r="J526" s="774"/>
      <c r="K526" s="777"/>
    </row>
    <row r="527" spans="3:11" x14ac:dyDescent="0.2">
      <c r="C527" s="567">
        <v>524</v>
      </c>
      <c r="D527" s="578"/>
      <c r="E527" s="579"/>
      <c r="F527" s="580"/>
      <c r="G527" s="581"/>
      <c r="H527" s="768"/>
      <c r="I527" s="771"/>
      <c r="J527" s="774"/>
      <c r="K527" s="777"/>
    </row>
    <row r="528" spans="3:11" x14ac:dyDescent="0.2">
      <c r="C528" s="567">
        <v>525</v>
      </c>
      <c r="D528" s="578"/>
      <c r="E528" s="579"/>
      <c r="F528" s="580"/>
      <c r="G528" s="581"/>
      <c r="H528" s="768"/>
      <c r="I528" s="771"/>
      <c r="J528" s="774"/>
      <c r="K528" s="777"/>
    </row>
    <row r="529" spans="3:11" x14ac:dyDescent="0.2">
      <c r="C529" s="567">
        <v>526</v>
      </c>
      <c r="D529" s="578"/>
      <c r="E529" s="579"/>
      <c r="F529" s="580"/>
      <c r="G529" s="581"/>
      <c r="H529" s="768"/>
      <c r="I529" s="771"/>
      <c r="J529" s="774"/>
      <c r="K529" s="777"/>
    </row>
    <row r="530" spans="3:11" x14ac:dyDescent="0.2">
      <c r="C530" s="567">
        <v>527</v>
      </c>
      <c r="D530" s="578"/>
      <c r="E530" s="579"/>
      <c r="F530" s="580"/>
      <c r="G530" s="581"/>
      <c r="H530" s="768"/>
      <c r="I530" s="771"/>
      <c r="J530" s="774"/>
      <c r="K530" s="777"/>
    </row>
    <row r="531" spans="3:11" x14ac:dyDescent="0.2">
      <c r="C531" s="567">
        <v>528</v>
      </c>
      <c r="D531" s="578"/>
      <c r="E531" s="579"/>
      <c r="F531" s="580"/>
      <c r="G531" s="581"/>
      <c r="H531" s="768"/>
      <c r="I531" s="771"/>
      <c r="J531" s="774"/>
      <c r="K531" s="777"/>
    </row>
    <row r="532" spans="3:11" x14ac:dyDescent="0.2">
      <c r="C532" s="567">
        <v>529</v>
      </c>
      <c r="D532" s="578"/>
      <c r="E532" s="579"/>
      <c r="F532" s="580"/>
      <c r="G532" s="581"/>
      <c r="H532" s="768"/>
      <c r="I532" s="771"/>
      <c r="J532" s="774"/>
      <c r="K532" s="777"/>
    </row>
    <row r="533" spans="3:11" x14ac:dyDescent="0.2">
      <c r="C533" s="567">
        <v>530</v>
      </c>
      <c r="D533" s="578"/>
      <c r="E533" s="579"/>
      <c r="F533" s="580"/>
      <c r="G533" s="581"/>
      <c r="H533" s="768"/>
      <c r="I533" s="771"/>
      <c r="J533" s="774"/>
      <c r="K533" s="777"/>
    </row>
    <row r="534" spans="3:11" x14ac:dyDescent="0.2">
      <c r="C534" s="567">
        <v>531</v>
      </c>
      <c r="D534" s="578"/>
      <c r="E534" s="579"/>
      <c r="F534" s="580"/>
      <c r="G534" s="581"/>
      <c r="H534" s="768"/>
      <c r="I534" s="771"/>
      <c r="J534" s="774"/>
      <c r="K534" s="777"/>
    </row>
    <row r="535" spans="3:11" x14ac:dyDescent="0.2">
      <c r="C535" s="567">
        <v>532</v>
      </c>
      <c r="D535" s="578"/>
      <c r="E535" s="579"/>
      <c r="F535" s="580"/>
      <c r="G535" s="581"/>
      <c r="H535" s="768"/>
      <c r="I535" s="771"/>
      <c r="J535" s="774"/>
      <c r="K535" s="777"/>
    </row>
    <row r="536" spans="3:11" x14ac:dyDescent="0.2">
      <c r="C536" s="567">
        <v>533</v>
      </c>
      <c r="D536" s="578"/>
      <c r="E536" s="579"/>
      <c r="F536" s="580"/>
      <c r="G536" s="581"/>
      <c r="H536" s="768"/>
      <c r="I536" s="771"/>
      <c r="J536" s="774"/>
      <c r="K536" s="777"/>
    </row>
    <row r="537" spans="3:11" x14ac:dyDescent="0.2">
      <c r="C537" s="567">
        <v>534</v>
      </c>
      <c r="D537" s="578"/>
      <c r="E537" s="579"/>
      <c r="F537" s="580"/>
      <c r="G537" s="581"/>
      <c r="H537" s="768"/>
      <c r="I537" s="771"/>
      <c r="J537" s="774"/>
      <c r="K537" s="777"/>
    </row>
    <row r="538" spans="3:11" x14ac:dyDescent="0.2">
      <c r="C538" s="567">
        <v>535</v>
      </c>
      <c r="D538" s="578"/>
      <c r="E538" s="579"/>
      <c r="F538" s="580"/>
      <c r="G538" s="581"/>
      <c r="H538" s="768"/>
      <c r="I538" s="771"/>
      <c r="J538" s="774"/>
      <c r="K538" s="777"/>
    </row>
    <row r="539" spans="3:11" x14ac:dyDescent="0.2">
      <c r="C539" s="567">
        <v>536</v>
      </c>
      <c r="D539" s="578"/>
      <c r="E539" s="579"/>
      <c r="F539" s="580"/>
      <c r="G539" s="581"/>
      <c r="H539" s="768"/>
      <c r="I539" s="771"/>
      <c r="J539" s="774"/>
      <c r="K539" s="777"/>
    </row>
    <row r="540" spans="3:11" x14ac:dyDescent="0.2">
      <c r="C540" s="567">
        <v>537</v>
      </c>
      <c r="D540" s="578"/>
      <c r="E540" s="579"/>
      <c r="F540" s="580"/>
      <c r="G540" s="581"/>
      <c r="H540" s="768"/>
      <c r="I540" s="771"/>
      <c r="J540" s="774"/>
      <c r="K540" s="777"/>
    </row>
    <row r="541" spans="3:11" x14ac:dyDescent="0.2">
      <c r="C541" s="567">
        <v>538</v>
      </c>
      <c r="D541" s="578"/>
      <c r="E541" s="579"/>
      <c r="F541" s="580"/>
      <c r="G541" s="581"/>
      <c r="H541" s="768"/>
      <c r="I541" s="771"/>
      <c r="J541" s="774"/>
      <c r="K541" s="777"/>
    </row>
    <row r="542" spans="3:11" x14ac:dyDescent="0.2">
      <c r="C542" s="567">
        <v>539</v>
      </c>
      <c r="D542" s="578"/>
      <c r="E542" s="579"/>
      <c r="F542" s="580"/>
      <c r="G542" s="581"/>
      <c r="H542" s="768"/>
      <c r="I542" s="771"/>
      <c r="J542" s="774"/>
      <c r="K542" s="777"/>
    </row>
    <row r="543" spans="3:11" x14ac:dyDescent="0.2">
      <c r="C543" s="567">
        <v>540</v>
      </c>
      <c r="D543" s="578"/>
      <c r="E543" s="579"/>
      <c r="F543" s="580"/>
      <c r="G543" s="581"/>
      <c r="H543" s="768"/>
      <c r="I543" s="771"/>
      <c r="J543" s="774"/>
      <c r="K543" s="777"/>
    </row>
    <row r="544" spans="3:11" x14ac:dyDescent="0.2">
      <c r="C544" s="567">
        <v>541</v>
      </c>
      <c r="D544" s="578"/>
      <c r="E544" s="579"/>
      <c r="F544" s="580"/>
      <c r="G544" s="581"/>
      <c r="H544" s="768"/>
      <c r="I544" s="771"/>
      <c r="J544" s="774"/>
      <c r="K544" s="777"/>
    </row>
    <row r="545" spans="3:11" x14ac:dyDescent="0.2">
      <c r="C545" s="567">
        <v>542</v>
      </c>
      <c r="D545" s="578"/>
      <c r="E545" s="579"/>
      <c r="F545" s="580"/>
      <c r="G545" s="581"/>
      <c r="H545" s="768"/>
      <c r="I545" s="771"/>
      <c r="J545" s="774"/>
      <c r="K545" s="777"/>
    </row>
    <row r="546" spans="3:11" x14ac:dyDescent="0.2">
      <c r="C546" s="567">
        <v>543</v>
      </c>
      <c r="D546" s="578"/>
      <c r="E546" s="579"/>
      <c r="F546" s="580"/>
      <c r="G546" s="581"/>
      <c r="H546" s="768"/>
      <c r="I546" s="771"/>
      <c r="J546" s="774"/>
      <c r="K546" s="777"/>
    </row>
    <row r="547" spans="3:11" x14ac:dyDescent="0.2">
      <c r="C547" s="567">
        <v>544</v>
      </c>
      <c r="D547" s="578"/>
      <c r="E547" s="579"/>
      <c r="F547" s="580"/>
      <c r="G547" s="581"/>
      <c r="H547" s="768"/>
      <c r="I547" s="771"/>
      <c r="J547" s="774"/>
      <c r="K547" s="777"/>
    </row>
    <row r="548" spans="3:11" x14ac:dyDescent="0.2">
      <c r="C548" s="567">
        <v>545</v>
      </c>
      <c r="D548" s="578"/>
      <c r="E548" s="579"/>
      <c r="F548" s="580"/>
      <c r="G548" s="581"/>
      <c r="H548" s="768"/>
      <c r="I548" s="771"/>
      <c r="J548" s="774"/>
      <c r="K548" s="777"/>
    </row>
    <row r="549" spans="3:11" x14ac:dyDescent="0.2">
      <c r="C549" s="567">
        <v>546</v>
      </c>
      <c r="D549" s="578"/>
      <c r="E549" s="579"/>
      <c r="F549" s="580"/>
      <c r="G549" s="581"/>
      <c r="H549" s="768"/>
      <c r="I549" s="771"/>
      <c r="J549" s="774"/>
      <c r="K549" s="777"/>
    </row>
    <row r="550" spans="3:11" x14ac:dyDescent="0.2">
      <c r="C550" s="567">
        <v>547</v>
      </c>
      <c r="D550" s="578"/>
      <c r="E550" s="579"/>
      <c r="F550" s="580"/>
      <c r="G550" s="581"/>
      <c r="H550" s="768"/>
      <c r="I550" s="771"/>
      <c r="J550" s="774"/>
      <c r="K550" s="777"/>
    </row>
    <row r="551" spans="3:11" x14ac:dyDescent="0.2">
      <c r="C551" s="567">
        <v>548</v>
      </c>
      <c r="D551" s="578"/>
      <c r="E551" s="579"/>
      <c r="F551" s="580"/>
      <c r="G551" s="581"/>
      <c r="H551" s="768"/>
      <c r="I551" s="771"/>
      <c r="J551" s="774"/>
      <c r="K551" s="777"/>
    </row>
    <row r="552" spans="3:11" x14ac:dyDescent="0.2">
      <c r="C552" s="567">
        <v>549</v>
      </c>
      <c r="D552" s="578"/>
      <c r="E552" s="579"/>
      <c r="F552" s="580"/>
      <c r="G552" s="581"/>
      <c r="H552" s="768"/>
      <c r="I552" s="771"/>
      <c r="J552" s="774"/>
      <c r="K552" s="777"/>
    </row>
    <row r="553" spans="3:11" x14ac:dyDescent="0.2">
      <c r="C553" s="567">
        <v>550</v>
      </c>
      <c r="D553" s="578"/>
      <c r="E553" s="579"/>
      <c r="F553" s="580"/>
      <c r="G553" s="581"/>
      <c r="H553" s="768"/>
      <c r="I553" s="771"/>
      <c r="J553" s="774"/>
      <c r="K553" s="777"/>
    </row>
    <row r="554" spans="3:11" x14ac:dyDescent="0.2">
      <c r="C554" s="567">
        <v>551</v>
      </c>
      <c r="D554" s="578"/>
      <c r="E554" s="579"/>
      <c r="F554" s="580"/>
      <c r="G554" s="581"/>
      <c r="H554" s="768"/>
      <c r="I554" s="771"/>
      <c r="J554" s="774"/>
      <c r="K554" s="777"/>
    </row>
    <row r="555" spans="3:11" x14ac:dyDescent="0.2">
      <c r="C555" s="567">
        <v>552</v>
      </c>
      <c r="D555" s="578"/>
      <c r="E555" s="579"/>
      <c r="F555" s="580"/>
      <c r="G555" s="581"/>
      <c r="H555" s="768"/>
      <c r="I555" s="771"/>
      <c r="J555" s="774"/>
      <c r="K555" s="777"/>
    </row>
    <row r="556" spans="3:11" x14ac:dyDescent="0.2">
      <c r="C556" s="567">
        <v>553</v>
      </c>
      <c r="D556" s="578"/>
      <c r="E556" s="579"/>
      <c r="F556" s="580"/>
      <c r="G556" s="581"/>
      <c r="H556" s="768"/>
      <c r="I556" s="771"/>
      <c r="J556" s="774"/>
      <c r="K556" s="777"/>
    </row>
    <row r="557" spans="3:11" x14ac:dyDescent="0.2">
      <c r="C557" s="567">
        <v>554</v>
      </c>
      <c r="D557" s="578"/>
      <c r="E557" s="579"/>
      <c r="F557" s="580"/>
      <c r="G557" s="581"/>
      <c r="H557" s="768"/>
      <c r="I557" s="771"/>
      <c r="J557" s="774"/>
      <c r="K557" s="777"/>
    </row>
    <row r="558" spans="3:11" x14ac:dyDescent="0.2">
      <c r="C558" s="567">
        <v>555</v>
      </c>
      <c r="D558" s="578"/>
      <c r="E558" s="579"/>
      <c r="F558" s="580"/>
      <c r="G558" s="581"/>
      <c r="H558" s="768"/>
      <c r="I558" s="771"/>
      <c r="J558" s="774"/>
      <c r="K558" s="777"/>
    </row>
    <row r="559" spans="3:11" x14ac:dyDescent="0.2">
      <c r="C559" s="567">
        <v>556</v>
      </c>
      <c r="D559" s="578"/>
      <c r="E559" s="579"/>
      <c r="F559" s="580"/>
      <c r="G559" s="581"/>
      <c r="H559" s="768"/>
      <c r="I559" s="771"/>
      <c r="J559" s="774"/>
      <c r="K559" s="777"/>
    </row>
    <row r="560" spans="3:11" x14ac:dyDescent="0.2">
      <c r="C560" s="567">
        <v>557</v>
      </c>
      <c r="D560" s="578"/>
      <c r="E560" s="579"/>
      <c r="F560" s="580"/>
      <c r="G560" s="581"/>
      <c r="H560" s="768"/>
      <c r="I560" s="771"/>
      <c r="J560" s="774"/>
      <c r="K560" s="777"/>
    </row>
    <row r="561" spans="3:11" x14ac:dyDescent="0.2">
      <c r="C561" s="567">
        <v>558</v>
      </c>
      <c r="D561" s="578"/>
      <c r="E561" s="579"/>
      <c r="F561" s="580"/>
      <c r="G561" s="581"/>
      <c r="H561" s="768"/>
      <c r="I561" s="771"/>
      <c r="J561" s="774"/>
      <c r="K561" s="777"/>
    </row>
    <row r="562" spans="3:11" x14ac:dyDescent="0.2">
      <c r="C562" s="567">
        <v>559</v>
      </c>
      <c r="D562" s="578"/>
      <c r="E562" s="579"/>
      <c r="F562" s="580"/>
      <c r="G562" s="581"/>
      <c r="H562" s="768"/>
      <c r="I562" s="771"/>
      <c r="J562" s="774"/>
      <c r="K562" s="777"/>
    </row>
    <row r="563" spans="3:11" x14ac:dyDescent="0.2">
      <c r="C563" s="567">
        <v>560</v>
      </c>
      <c r="D563" s="578"/>
      <c r="E563" s="579"/>
      <c r="F563" s="580"/>
      <c r="G563" s="581"/>
      <c r="H563" s="768"/>
      <c r="I563" s="771"/>
      <c r="J563" s="774"/>
      <c r="K563" s="777"/>
    </row>
    <row r="564" spans="3:11" x14ac:dyDescent="0.2">
      <c r="C564" s="567">
        <v>561</v>
      </c>
      <c r="D564" s="578"/>
      <c r="E564" s="579"/>
      <c r="F564" s="580"/>
      <c r="G564" s="581"/>
      <c r="H564" s="768"/>
      <c r="I564" s="771"/>
      <c r="J564" s="774"/>
      <c r="K564" s="777"/>
    </row>
    <row r="565" spans="3:11" x14ac:dyDescent="0.2">
      <c r="C565" s="567">
        <v>562</v>
      </c>
      <c r="D565" s="578"/>
      <c r="E565" s="579"/>
      <c r="F565" s="580"/>
      <c r="G565" s="581"/>
      <c r="H565" s="768"/>
      <c r="I565" s="771"/>
      <c r="J565" s="774"/>
      <c r="K565" s="777"/>
    </row>
    <row r="566" spans="3:11" x14ac:dyDescent="0.2">
      <c r="C566" s="567">
        <v>563</v>
      </c>
      <c r="D566" s="578"/>
      <c r="E566" s="579"/>
      <c r="F566" s="580"/>
      <c r="G566" s="581"/>
      <c r="H566" s="768"/>
      <c r="I566" s="771"/>
      <c r="J566" s="774"/>
      <c r="K566" s="777"/>
    </row>
    <row r="567" spans="3:11" x14ac:dyDescent="0.2">
      <c r="C567" s="567">
        <v>564</v>
      </c>
      <c r="D567" s="578"/>
      <c r="E567" s="579"/>
      <c r="F567" s="580"/>
      <c r="G567" s="581"/>
      <c r="H567" s="768"/>
      <c r="I567" s="771"/>
      <c r="J567" s="774"/>
      <c r="K567" s="777"/>
    </row>
    <row r="568" spans="3:11" x14ac:dyDescent="0.2">
      <c r="C568" s="567">
        <v>565</v>
      </c>
      <c r="D568" s="578"/>
      <c r="E568" s="579"/>
      <c r="F568" s="580"/>
      <c r="G568" s="581"/>
      <c r="H568" s="768"/>
      <c r="I568" s="771"/>
      <c r="J568" s="774"/>
      <c r="K568" s="777"/>
    </row>
    <row r="569" spans="3:11" x14ac:dyDescent="0.2">
      <c r="C569" s="567">
        <v>566</v>
      </c>
      <c r="D569" s="578"/>
      <c r="E569" s="579"/>
      <c r="F569" s="580"/>
      <c r="G569" s="581"/>
      <c r="H569" s="768"/>
      <c r="I569" s="771"/>
      <c r="J569" s="774"/>
      <c r="K569" s="777"/>
    </row>
    <row r="570" spans="3:11" x14ac:dyDescent="0.2">
      <c r="C570" s="567">
        <v>567</v>
      </c>
      <c r="D570" s="578"/>
      <c r="E570" s="579"/>
      <c r="F570" s="580"/>
      <c r="G570" s="581"/>
      <c r="H570" s="768"/>
      <c r="I570" s="771"/>
      <c r="J570" s="774"/>
      <c r="K570" s="777"/>
    </row>
    <row r="571" spans="3:11" x14ac:dyDescent="0.2">
      <c r="C571" s="567">
        <v>568</v>
      </c>
      <c r="D571" s="578"/>
      <c r="E571" s="579"/>
      <c r="F571" s="580"/>
      <c r="G571" s="581"/>
      <c r="H571" s="768"/>
      <c r="I571" s="771"/>
      <c r="J571" s="774"/>
      <c r="K571" s="777"/>
    </row>
    <row r="572" spans="3:11" x14ac:dyDescent="0.2">
      <c r="C572" s="567">
        <v>569</v>
      </c>
      <c r="D572" s="578"/>
      <c r="E572" s="579"/>
      <c r="F572" s="580"/>
      <c r="G572" s="581"/>
      <c r="H572" s="768"/>
      <c r="I572" s="771"/>
      <c r="J572" s="774"/>
      <c r="K572" s="777"/>
    </row>
    <row r="573" spans="3:11" x14ac:dyDescent="0.2">
      <c r="C573" s="567">
        <v>570</v>
      </c>
      <c r="D573" s="578"/>
      <c r="E573" s="579"/>
      <c r="F573" s="580"/>
      <c r="G573" s="581"/>
      <c r="H573" s="768"/>
      <c r="I573" s="771"/>
      <c r="J573" s="774"/>
      <c r="K573" s="777"/>
    </row>
    <row r="574" spans="3:11" x14ac:dyDescent="0.2">
      <c r="C574" s="567">
        <v>571</v>
      </c>
      <c r="D574" s="578"/>
      <c r="E574" s="579"/>
      <c r="F574" s="580"/>
      <c r="G574" s="581"/>
      <c r="H574" s="768"/>
      <c r="I574" s="771"/>
      <c r="J574" s="774"/>
      <c r="K574" s="777"/>
    </row>
    <row r="575" spans="3:11" x14ac:dyDescent="0.2">
      <c r="C575" s="567">
        <v>572</v>
      </c>
      <c r="D575" s="578"/>
      <c r="E575" s="579"/>
      <c r="F575" s="580"/>
      <c r="G575" s="581"/>
      <c r="H575" s="768"/>
      <c r="I575" s="771"/>
      <c r="J575" s="774"/>
      <c r="K575" s="777"/>
    </row>
    <row r="576" spans="3:11" x14ac:dyDescent="0.2">
      <c r="C576" s="567">
        <v>573</v>
      </c>
      <c r="D576" s="578"/>
      <c r="E576" s="579"/>
      <c r="F576" s="580"/>
      <c r="G576" s="581"/>
      <c r="H576" s="768"/>
      <c r="I576" s="771"/>
      <c r="J576" s="774"/>
      <c r="K576" s="777"/>
    </row>
    <row r="577" spans="3:11" x14ac:dyDescent="0.2">
      <c r="C577" s="567">
        <v>574</v>
      </c>
      <c r="D577" s="578"/>
      <c r="E577" s="579"/>
      <c r="F577" s="580"/>
      <c r="G577" s="581"/>
      <c r="H577" s="768"/>
      <c r="I577" s="771"/>
      <c r="J577" s="774"/>
      <c r="K577" s="777"/>
    </row>
    <row r="578" spans="3:11" x14ac:dyDescent="0.2">
      <c r="C578" s="567">
        <v>575</v>
      </c>
      <c r="D578" s="578"/>
      <c r="E578" s="579"/>
      <c r="F578" s="580"/>
      <c r="G578" s="581"/>
      <c r="H578" s="768"/>
      <c r="I578" s="771"/>
      <c r="J578" s="774"/>
      <c r="K578" s="777"/>
    </row>
    <row r="579" spans="3:11" x14ac:dyDescent="0.2">
      <c r="C579" s="567">
        <v>576</v>
      </c>
      <c r="D579" s="578"/>
      <c r="E579" s="579"/>
      <c r="F579" s="580"/>
      <c r="G579" s="581"/>
      <c r="H579" s="768"/>
      <c r="I579" s="771"/>
      <c r="J579" s="774"/>
      <c r="K579" s="777"/>
    </row>
    <row r="580" spans="3:11" x14ac:dyDescent="0.2">
      <c r="C580" s="567">
        <v>577</v>
      </c>
      <c r="D580" s="578"/>
      <c r="E580" s="579"/>
      <c r="F580" s="580"/>
      <c r="G580" s="581"/>
      <c r="H580" s="768"/>
      <c r="I580" s="771"/>
      <c r="J580" s="774"/>
      <c r="K580" s="777"/>
    </row>
    <row r="581" spans="3:11" x14ac:dyDescent="0.2">
      <c r="C581" s="567">
        <v>578</v>
      </c>
      <c r="D581" s="578"/>
      <c r="E581" s="579"/>
      <c r="F581" s="580"/>
      <c r="G581" s="581"/>
      <c r="H581" s="768"/>
      <c r="I581" s="771"/>
      <c r="J581" s="774"/>
      <c r="K581" s="777"/>
    </row>
    <row r="582" spans="3:11" x14ac:dyDescent="0.2">
      <c r="C582" s="567">
        <v>579</v>
      </c>
      <c r="D582" s="578"/>
      <c r="E582" s="579"/>
      <c r="F582" s="580"/>
      <c r="G582" s="581"/>
      <c r="H582" s="768"/>
      <c r="I582" s="771"/>
      <c r="J582" s="774"/>
      <c r="K582" s="777"/>
    </row>
    <row r="583" spans="3:11" x14ac:dyDescent="0.2">
      <c r="C583" s="567">
        <v>580</v>
      </c>
      <c r="D583" s="578"/>
      <c r="E583" s="579"/>
      <c r="F583" s="580"/>
      <c r="G583" s="581"/>
      <c r="H583" s="768"/>
      <c r="I583" s="771"/>
      <c r="J583" s="774"/>
      <c r="K583" s="777"/>
    </row>
    <row r="584" spans="3:11" x14ac:dyDescent="0.2">
      <c r="C584" s="567">
        <v>581</v>
      </c>
      <c r="D584" s="578"/>
      <c r="E584" s="579"/>
      <c r="F584" s="580"/>
      <c r="G584" s="581"/>
      <c r="H584" s="768"/>
      <c r="I584" s="771"/>
      <c r="J584" s="774"/>
      <c r="K584" s="777"/>
    </row>
    <row r="585" spans="3:11" x14ac:dyDescent="0.2">
      <c r="C585" s="567">
        <v>582</v>
      </c>
      <c r="D585" s="578"/>
      <c r="E585" s="579"/>
      <c r="F585" s="580"/>
      <c r="G585" s="581"/>
      <c r="H585" s="768"/>
      <c r="I585" s="771"/>
      <c r="J585" s="774"/>
      <c r="K585" s="777"/>
    </row>
    <row r="586" spans="3:11" x14ac:dyDescent="0.2">
      <c r="C586" s="567">
        <v>583</v>
      </c>
      <c r="D586" s="578"/>
      <c r="E586" s="579"/>
      <c r="F586" s="580"/>
      <c r="G586" s="581"/>
      <c r="H586" s="768"/>
      <c r="I586" s="771"/>
      <c r="J586" s="774"/>
      <c r="K586" s="777"/>
    </row>
    <row r="587" spans="3:11" x14ac:dyDescent="0.2">
      <c r="C587" s="567">
        <v>584</v>
      </c>
      <c r="D587" s="578"/>
      <c r="E587" s="579"/>
      <c r="F587" s="580"/>
      <c r="G587" s="581"/>
      <c r="H587" s="768"/>
      <c r="I587" s="771"/>
      <c r="J587" s="774"/>
      <c r="K587" s="777"/>
    </row>
    <row r="588" spans="3:11" x14ac:dyDescent="0.2">
      <c r="C588" s="567">
        <v>585</v>
      </c>
      <c r="D588" s="578"/>
      <c r="E588" s="579"/>
      <c r="F588" s="580"/>
      <c r="G588" s="581"/>
      <c r="H588" s="768"/>
      <c r="I588" s="771"/>
      <c r="J588" s="774"/>
      <c r="K588" s="777"/>
    </row>
    <row r="589" spans="3:11" x14ac:dyDescent="0.2">
      <c r="C589" s="567">
        <v>586</v>
      </c>
      <c r="D589" s="578"/>
      <c r="E589" s="579"/>
      <c r="F589" s="580"/>
      <c r="G589" s="581"/>
      <c r="H589" s="768"/>
      <c r="I589" s="771"/>
      <c r="J589" s="774"/>
      <c r="K589" s="777"/>
    </row>
    <row r="590" spans="3:11" x14ac:dyDescent="0.2">
      <c r="C590" s="567">
        <v>587</v>
      </c>
      <c r="D590" s="578"/>
      <c r="E590" s="579"/>
      <c r="F590" s="580"/>
      <c r="G590" s="581"/>
      <c r="H590" s="768"/>
      <c r="I590" s="771"/>
      <c r="J590" s="774"/>
      <c r="K590" s="777"/>
    </row>
    <row r="591" spans="3:11" x14ac:dyDescent="0.2">
      <c r="C591" s="567">
        <v>588</v>
      </c>
      <c r="D591" s="578"/>
      <c r="E591" s="579"/>
      <c r="F591" s="580"/>
      <c r="G591" s="581"/>
      <c r="H591" s="768"/>
      <c r="I591" s="771"/>
      <c r="J591" s="774"/>
      <c r="K591" s="777"/>
    </row>
    <row r="592" spans="3:11" x14ac:dyDescent="0.2">
      <c r="C592" s="567">
        <v>589</v>
      </c>
      <c r="D592" s="578"/>
      <c r="E592" s="579"/>
      <c r="F592" s="580"/>
      <c r="G592" s="581"/>
      <c r="H592" s="768"/>
      <c r="I592" s="771"/>
      <c r="J592" s="774"/>
      <c r="K592" s="777"/>
    </row>
    <row r="593" spans="3:11" x14ac:dyDescent="0.2">
      <c r="C593" s="567">
        <v>590</v>
      </c>
      <c r="D593" s="578"/>
      <c r="E593" s="579"/>
      <c r="F593" s="580"/>
      <c r="G593" s="581"/>
      <c r="H593" s="768"/>
      <c r="I593" s="771"/>
      <c r="J593" s="774"/>
      <c r="K593" s="777"/>
    </row>
    <row r="594" spans="3:11" x14ac:dyDescent="0.2">
      <c r="C594" s="567">
        <v>591</v>
      </c>
      <c r="D594" s="578"/>
      <c r="E594" s="579"/>
      <c r="F594" s="580"/>
      <c r="G594" s="581"/>
      <c r="H594" s="768"/>
      <c r="I594" s="771"/>
      <c r="J594" s="774"/>
      <c r="K594" s="777"/>
    </row>
    <row r="595" spans="3:11" x14ac:dyDescent="0.2">
      <c r="C595" s="567">
        <v>592</v>
      </c>
      <c r="D595" s="578"/>
      <c r="E595" s="579"/>
      <c r="F595" s="580"/>
      <c r="G595" s="581"/>
      <c r="H595" s="768"/>
      <c r="I595" s="771"/>
      <c r="J595" s="774"/>
      <c r="K595" s="777"/>
    </row>
    <row r="596" spans="3:11" x14ac:dyDescent="0.2">
      <c r="C596" s="567">
        <v>593</v>
      </c>
      <c r="D596" s="578"/>
      <c r="E596" s="579"/>
      <c r="F596" s="580"/>
      <c r="G596" s="581"/>
      <c r="H596" s="768"/>
      <c r="I596" s="771"/>
      <c r="J596" s="774"/>
      <c r="K596" s="777"/>
    </row>
    <row r="597" spans="3:11" x14ac:dyDescent="0.2">
      <c r="C597" s="567">
        <v>594</v>
      </c>
      <c r="D597" s="578"/>
      <c r="E597" s="579"/>
      <c r="F597" s="580"/>
      <c r="G597" s="581"/>
      <c r="H597" s="768"/>
      <c r="I597" s="771"/>
      <c r="J597" s="774"/>
      <c r="K597" s="777"/>
    </row>
    <row r="598" spans="3:11" x14ac:dyDescent="0.2">
      <c r="C598" s="567">
        <v>595</v>
      </c>
      <c r="D598" s="578"/>
      <c r="E598" s="579"/>
      <c r="F598" s="580"/>
      <c r="G598" s="581"/>
      <c r="H598" s="768"/>
      <c r="I598" s="771"/>
      <c r="J598" s="774"/>
      <c r="K598" s="777"/>
    </row>
    <row r="599" spans="3:11" x14ac:dyDescent="0.2">
      <c r="C599" s="567">
        <v>596</v>
      </c>
      <c r="D599" s="578"/>
      <c r="E599" s="579"/>
      <c r="F599" s="580"/>
      <c r="G599" s="581"/>
      <c r="H599" s="768"/>
      <c r="I599" s="771"/>
      <c r="J599" s="774"/>
      <c r="K599" s="777"/>
    </row>
    <row r="600" spans="3:11" x14ac:dyDescent="0.2">
      <c r="C600" s="567">
        <v>597</v>
      </c>
      <c r="D600" s="578"/>
      <c r="E600" s="579"/>
      <c r="F600" s="580"/>
      <c r="G600" s="581"/>
      <c r="H600" s="768"/>
      <c r="I600" s="771"/>
      <c r="J600" s="774"/>
      <c r="K600" s="777"/>
    </row>
    <row r="601" spans="3:11" x14ac:dyDescent="0.2">
      <c r="C601" s="567">
        <v>598</v>
      </c>
      <c r="D601" s="578"/>
      <c r="E601" s="579"/>
      <c r="F601" s="580"/>
      <c r="G601" s="581"/>
      <c r="H601" s="768"/>
      <c r="I601" s="771"/>
      <c r="J601" s="774"/>
      <c r="K601" s="777"/>
    </row>
    <row r="602" spans="3:11" x14ac:dyDescent="0.2">
      <c r="C602" s="567">
        <v>599</v>
      </c>
      <c r="D602" s="578"/>
      <c r="E602" s="579"/>
      <c r="F602" s="580"/>
      <c r="G602" s="581"/>
      <c r="H602" s="768"/>
      <c r="I602" s="771"/>
      <c r="J602" s="774"/>
      <c r="K602" s="777"/>
    </row>
    <row r="603" spans="3:11" x14ac:dyDescent="0.2">
      <c r="C603" s="567">
        <v>600</v>
      </c>
      <c r="D603" s="578"/>
      <c r="E603" s="579"/>
      <c r="F603" s="580"/>
      <c r="G603" s="581"/>
      <c r="H603" s="768"/>
      <c r="I603" s="771"/>
      <c r="J603" s="774"/>
      <c r="K603" s="777"/>
    </row>
    <row r="604" spans="3:11" x14ac:dyDescent="0.2">
      <c r="C604" s="567">
        <v>601</v>
      </c>
      <c r="D604" s="578"/>
      <c r="E604" s="579"/>
      <c r="F604" s="580"/>
      <c r="G604" s="581"/>
      <c r="H604" s="768"/>
      <c r="I604" s="771"/>
      <c r="J604" s="774"/>
      <c r="K604" s="777"/>
    </row>
    <row r="605" spans="3:11" x14ac:dyDescent="0.2">
      <c r="C605" s="567">
        <v>602</v>
      </c>
      <c r="D605" s="578"/>
      <c r="E605" s="579"/>
      <c r="F605" s="580"/>
      <c r="G605" s="581"/>
      <c r="H605" s="768"/>
      <c r="I605" s="771"/>
      <c r="J605" s="774"/>
      <c r="K605" s="777"/>
    </row>
    <row r="606" spans="3:11" x14ac:dyDescent="0.2">
      <c r="C606" s="567">
        <v>603</v>
      </c>
      <c r="D606" s="578"/>
      <c r="E606" s="579"/>
      <c r="F606" s="580"/>
      <c r="G606" s="581"/>
      <c r="H606" s="768"/>
      <c r="I606" s="771"/>
      <c r="J606" s="774"/>
      <c r="K606" s="777"/>
    </row>
    <row r="607" spans="3:11" x14ac:dyDescent="0.2">
      <c r="C607" s="567">
        <v>604</v>
      </c>
      <c r="D607" s="578"/>
      <c r="E607" s="579"/>
      <c r="F607" s="580"/>
      <c r="G607" s="581"/>
      <c r="H607" s="768"/>
      <c r="I607" s="771"/>
      <c r="J607" s="774"/>
      <c r="K607" s="777"/>
    </row>
    <row r="608" spans="3:11" x14ac:dyDescent="0.2">
      <c r="C608" s="567">
        <v>605</v>
      </c>
      <c r="D608" s="578"/>
      <c r="E608" s="579"/>
      <c r="F608" s="580"/>
      <c r="G608" s="581"/>
      <c r="H608" s="768"/>
      <c r="I608" s="771"/>
      <c r="J608" s="774"/>
      <c r="K608" s="777"/>
    </row>
    <row r="609" spans="3:11" x14ac:dyDescent="0.2">
      <c r="C609" s="567">
        <v>606</v>
      </c>
      <c r="D609" s="578"/>
      <c r="E609" s="579"/>
      <c r="F609" s="580"/>
      <c r="G609" s="581"/>
      <c r="H609" s="768"/>
      <c r="I609" s="771"/>
      <c r="J609" s="774"/>
      <c r="K609" s="777"/>
    </row>
    <row r="610" spans="3:11" x14ac:dyDescent="0.2">
      <c r="C610" s="567">
        <v>607</v>
      </c>
      <c r="D610" s="578"/>
      <c r="E610" s="579"/>
      <c r="F610" s="580"/>
      <c r="G610" s="581"/>
      <c r="H610" s="768"/>
      <c r="I610" s="771"/>
      <c r="J610" s="774"/>
      <c r="K610" s="777"/>
    </row>
    <row r="611" spans="3:11" x14ac:dyDescent="0.2">
      <c r="C611" s="567">
        <v>608</v>
      </c>
      <c r="D611" s="578"/>
      <c r="E611" s="579"/>
      <c r="F611" s="580"/>
      <c r="G611" s="581"/>
      <c r="H611" s="768"/>
      <c r="I611" s="771"/>
      <c r="J611" s="774"/>
      <c r="K611" s="777"/>
    </row>
    <row r="612" spans="3:11" x14ac:dyDescent="0.2">
      <c r="C612" s="567">
        <v>609</v>
      </c>
      <c r="D612" s="578"/>
      <c r="E612" s="579"/>
      <c r="F612" s="580"/>
      <c r="G612" s="581"/>
      <c r="H612" s="768"/>
      <c r="I612" s="771"/>
      <c r="J612" s="774"/>
      <c r="K612" s="777"/>
    </row>
    <row r="613" spans="3:11" x14ac:dyDescent="0.2">
      <c r="C613" s="567">
        <v>610</v>
      </c>
      <c r="D613" s="578"/>
      <c r="E613" s="579"/>
      <c r="F613" s="580"/>
      <c r="G613" s="581"/>
      <c r="H613" s="768"/>
      <c r="I613" s="771"/>
      <c r="J613" s="774"/>
      <c r="K613" s="777"/>
    </row>
    <row r="614" spans="3:11" x14ac:dyDescent="0.2">
      <c r="C614" s="567">
        <v>611</v>
      </c>
      <c r="D614" s="578"/>
      <c r="E614" s="579"/>
      <c r="F614" s="580"/>
      <c r="G614" s="581"/>
      <c r="H614" s="768"/>
      <c r="I614" s="771"/>
      <c r="J614" s="774"/>
      <c r="K614" s="777"/>
    </row>
    <row r="615" spans="3:11" x14ac:dyDescent="0.2">
      <c r="C615" s="567">
        <v>612</v>
      </c>
      <c r="D615" s="578"/>
      <c r="E615" s="579"/>
      <c r="F615" s="580"/>
      <c r="G615" s="581"/>
      <c r="H615" s="768"/>
      <c r="I615" s="771"/>
      <c r="J615" s="774"/>
      <c r="K615" s="777"/>
    </row>
    <row r="616" spans="3:11" x14ac:dyDescent="0.2">
      <c r="C616" s="567">
        <v>613</v>
      </c>
      <c r="D616" s="578"/>
      <c r="E616" s="579"/>
      <c r="F616" s="580"/>
      <c r="G616" s="581"/>
      <c r="H616" s="768"/>
      <c r="I616" s="771"/>
      <c r="J616" s="774"/>
      <c r="K616" s="777"/>
    </row>
    <row r="617" spans="3:11" x14ac:dyDescent="0.2">
      <c r="C617" s="567">
        <v>614</v>
      </c>
      <c r="D617" s="578"/>
      <c r="E617" s="579"/>
      <c r="F617" s="580"/>
      <c r="G617" s="581"/>
      <c r="H617" s="768"/>
      <c r="I617" s="771"/>
      <c r="J617" s="774"/>
      <c r="K617" s="777"/>
    </row>
    <row r="618" spans="3:11" x14ac:dyDescent="0.2">
      <c r="C618" s="567">
        <v>615</v>
      </c>
      <c r="D618" s="578"/>
      <c r="E618" s="579"/>
      <c r="F618" s="580"/>
      <c r="G618" s="581"/>
      <c r="H618" s="768"/>
      <c r="I618" s="771"/>
      <c r="J618" s="774"/>
      <c r="K618" s="777"/>
    </row>
    <row r="619" spans="3:11" x14ac:dyDescent="0.2">
      <c r="C619" s="567">
        <v>616</v>
      </c>
      <c r="D619" s="578"/>
      <c r="E619" s="579"/>
      <c r="F619" s="580"/>
      <c r="G619" s="581"/>
      <c r="H619" s="768"/>
      <c r="I619" s="771"/>
      <c r="J619" s="774"/>
      <c r="K619" s="777"/>
    </row>
    <row r="620" spans="3:11" x14ac:dyDescent="0.2">
      <c r="C620" s="567">
        <v>617</v>
      </c>
      <c r="D620" s="578"/>
      <c r="E620" s="579"/>
      <c r="F620" s="580"/>
      <c r="G620" s="581"/>
      <c r="H620" s="768"/>
      <c r="I620" s="771"/>
      <c r="J620" s="774"/>
      <c r="K620" s="777"/>
    </row>
    <row r="621" spans="3:11" x14ac:dyDescent="0.2">
      <c r="C621" s="567">
        <v>618</v>
      </c>
      <c r="D621" s="578"/>
      <c r="E621" s="579"/>
      <c r="F621" s="580"/>
      <c r="G621" s="581"/>
      <c r="H621" s="768"/>
      <c r="I621" s="771"/>
      <c r="J621" s="774"/>
      <c r="K621" s="777"/>
    </row>
    <row r="622" spans="3:11" x14ac:dyDescent="0.2">
      <c r="C622" s="567">
        <v>619</v>
      </c>
      <c r="D622" s="578"/>
      <c r="E622" s="579"/>
      <c r="F622" s="580"/>
      <c r="G622" s="581"/>
      <c r="H622" s="768"/>
      <c r="I622" s="771"/>
      <c r="J622" s="774"/>
      <c r="K622" s="777"/>
    </row>
    <row r="623" spans="3:11" x14ac:dyDescent="0.2">
      <c r="C623" s="567">
        <v>620</v>
      </c>
      <c r="D623" s="578"/>
      <c r="E623" s="579"/>
      <c r="F623" s="580"/>
      <c r="G623" s="581"/>
      <c r="H623" s="768"/>
      <c r="I623" s="771"/>
      <c r="J623" s="774"/>
      <c r="K623" s="777"/>
    </row>
    <row r="624" spans="3:11" x14ac:dyDescent="0.2">
      <c r="C624" s="567">
        <v>621</v>
      </c>
      <c r="D624" s="578"/>
      <c r="E624" s="579"/>
      <c r="F624" s="580"/>
      <c r="G624" s="581"/>
      <c r="H624" s="768"/>
      <c r="I624" s="771"/>
      <c r="J624" s="774"/>
      <c r="K624" s="777"/>
    </row>
    <row r="625" spans="3:11" x14ac:dyDescent="0.2">
      <c r="C625" s="567">
        <v>622</v>
      </c>
      <c r="D625" s="578"/>
      <c r="E625" s="579"/>
      <c r="F625" s="580"/>
      <c r="G625" s="581"/>
      <c r="H625" s="768"/>
      <c r="I625" s="771"/>
      <c r="J625" s="774"/>
      <c r="K625" s="777"/>
    </row>
    <row r="626" spans="3:11" x14ac:dyDescent="0.2">
      <c r="C626" s="567">
        <v>623</v>
      </c>
      <c r="D626" s="578"/>
      <c r="E626" s="579"/>
      <c r="F626" s="580"/>
      <c r="G626" s="581"/>
      <c r="H626" s="768"/>
      <c r="I626" s="771"/>
      <c r="J626" s="774"/>
      <c r="K626" s="777"/>
    </row>
    <row r="627" spans="3:11" x14ac:dyDescent="0.2">
      <c r="C627" s="567">
        <v>624</v>
      </c>
      <c r="D627" s="578"/>
      <c r="E627" s="579"/>
      <c r="F627" s="580"/>
      <c r="G627" s="581"/>
      <c r="H627" s="768"/>
      <c r="I627" s="771"/>
      <c r="J627" s="774"/>
      <c r="K627" s="777"/>
    </row>
    <row r="628" spans="3:11" x14ac:dyDescent="0.2">
      <c r="C628" s="567">
        <v>625</v>
      </c>
      <c r="D628" s="578"/>
      <c r="E628" s="579"/>
      <c r="F628" s="580"/>
      <c r="G628" s="581"/>
      <c r="H628" s="768"/>
      <c r="I628" s="771"/>
      <c r="J628" s="774"/>
      <c r="K628" s="777"/>
    </row>
    <row r="629" spans="3:11" x14ac:dyDescent="0.2">
      <c r="C629" s="567">
        <v>626</v>
      </c>
      <c r="D629" s="578"/>
      <c r="E629" s="579"/>
      <c r="F629" s="580"/>
      <c r="G629" s="581"/>
      <c r="H629" s="768"/>
      <c r="I629" s="771"/>
      <c r="J629" s="774"/>
      <c r="K629" s="777"/>
    </row>
    <row r="630" spans="3:11" x14ac:dyDescent="0.2">
      <c r="C630" s="567">
        <v>627</v>
      </c>
      <c r="D630" s="578"/>
      <c r="E630" s="579"/>
      <c r="F630" s="580"/>
      <c r="G630" s="581"/>
      <c r="H630" s="768"/>
      <c r="I630" s="771"/>
      <c r="J630" s="774"/>
      <c r="K630" s="777"/>
    </row>
    <row r="631" spans="3:11" x14ac:dyDescent="0.2">
      <c r="C631" s="567">
        <v>628</v>
      </c>
      <c r="D631" s="578"/>
      <c r="E631" s="579"/>
      <c r="F631" s="580"/>
      <c r="G631" s="581"/>
      <c r="H631" s="768"/>
      <c r="I631" s="771"/>
      <c r="J631" s="774"/>
      <c r="K631" s="777"/>
    </row>
    <row r="632" spans="3:11" x14ac:dyDescent="0.2">
      <c r="C632" s="567">
        <v>629</v>
      </c>
      <c r="D632" s="578"/>
      <c r="E632" s="579"/>
      <c r="F632" s="580"/>
      <c r="G632" s="581"/>
      <c r="H632" s="768"/>
      <c r="I632" s="771"/>
      <c r="J632" s="774"/>
      <c r="K632" s="777"/>
    </row>
    <row r="633" spans="3:11" x14ac:dyDescent="0.2">
      <c r="C633" s="567">
        <v>630</v>
      </c>
      <c r="D633" s="578"/>
      <c r="E633" s="579"/>
      <c r="F633" s="580"/>
      <c r="G633" s="581"/>
      <c r="H633" s="768"/>
      <c r="I633" s="771"/>
      <c r="J633" s="774"/>
      <c r="K633" s="777"/>
    </row>
    <row r="634" spans="3:11" x14ac:dyDescent="0.2">
      <c r="C634" s="567">
        <v>631</v>
      </c>
      <c r="D634" s="578"/>
      <c r="E634" s="579"/>
      <c r="F634" s="580"/>
      <c r="G634" s="581"/>
      <c r="H634" s="768"/>
      <c r="I634" s="771"/>
      <c r="J634" s="774"/>
      <c r="K634" s="777"/>
    </row>
    <row r="635" spans="3:11" x14ac:dyDescent="0.2">
      <c r="C635" s="567">
        <v>632</v>
      </c>
      <c r="D635" s="578"/>
      <c r="E635" s="579"/>
      <c r="F635" s="580"/>
      <c r="G635" s="581"/>
      <c r="H635" s="768"/>
      <c r="I635" s="771"/>
      <c r="J635" s="774"/>
      <c r="K635" s="777"/>
    </row>
    <row r="636" spans="3:11" x14ac:dyDescent="0.2">
      <c r="C636" s="567">
        <v>633</v>
      </c>
      <c r="D636" s="578"/>
      <c r="E636" s="579"/>
      <c r="F636" s="580"/>
      <c r="G636" s="581"/>
      <c r="H636" s="768"/>
      <c r="I636" s="771"/>
      <c r="J636" s="774"/>
      <c r="K636" s="777"/>
    </row>
    <row r="637" spans="3:11" x14ac:dyDescent="0.2">
      <c r="C637" s="567">
        <v>634</v>
      </c>
      <c r="D637" s="578"/>
      <c r="E637" s="579"/>
      <c r="F637" s="580"/>
      <c r="G637" s="581"/>
      <c r="H637" s="768"/>
      <c r="I637" s="771"/>
      <c r="J637" s="774"/>
      <c r="K637" s="777"/>
    </row>
    <row r="638" spans="3:11" x14ac:dyDescent="0.2">
      <c r="C638" s="567">
        <v>635</v>
      </c>
      <c r="D638" s="578"/>
      <c r="E638" s="579"/>
      <c r="F638" s="580"/>
      <c r="G638" s="581"/>
      <c r="H638" s="768"/>
      <c r="I638" s="771"/>
      <c r="J638" s="774"/>
      <c r="K638" s="777"/>
    </row>
    <row r="639" spans="3:11" x14ac:dyDescent="0.2">
      <c r="C639" s="567">
        <v>636</v>
      </c>
      <c r="D639" s="578"/>
      <c r="E639" s="579"/>
      <c r="F639" s="580"/>
      <c r="G639" s="581"/>
      <c r="H639" s="768"/>
      <c r="I639" s="771"/>
      <c r="J639" s="774"/>
      <c r="K639" s="777"/>
    </row>
    <row r="640" spans="3:11" x14ac:dyDescent="0.2">
      <c r="C640" s="567">
        <v>637</v>
      </c>
      <c r="D640" s="578"/>
      <c r="E640" s="579"/>
      <c r="F640" s="580"/>
      <c r="G640" s="581"/>
      <c r="H640" s="768"/>
      <c r="I640" s="771"/>
      <c r="J640" s="774"/>
      <c r="K640" s="777"/>
    </row>
    <row r="641" spans="3:11" x14ac:dyDescent="0.2">
      <c r="C641" s="567">
        <v>638</v>
      </c>
      <c r="D641" s="578"/>
      <c r="E641" s="579"/>
      <c r="F641" s="580"/>
      <c r="G641" s="581"/>
      <c r="H641" s="768"/>
      <c r="I641" s="771"/>
      <c r="J641" s="774"/>
      <c r="K641" s="777"/>
    </row>
    <row r="642" spans="3:11" x14ac:dyDescent="0.2">
      <c r="C642" s="567">
        <v>639</v>
      </c>
      <c r="D642" s="578"/>
      <c r="E642" s="579"/>
      <c r="F642" s="580"/>
      <c r="G642" s="581"/>
      <c r="H642" s="768"/>
      <c r="I642" s="771"/>
      <c r="J642" s="774"/>
      <c r="K642" s="777"/>
    </row>
    <row r="643" spans="3:11" x14ac:dyDescent="0.2">
      <c r="C643" s="567">
        <v>640</v>
      </c>
      <c r="D643" s="578"/>
      <c r="E643" s="579"/>
      <c r="F643" s="580"/>
      <c r="G643" s="581"/>
      <c r="H643" s="768"/>
      <c r="I643" s="771"/>
      <c r="J643" s="774"/>
      <c r="K643" s="777"/>
    </row>
    <row r="644" spans="3:11" x14ac:dyDescent="0.2">
      <c r="C644" s="567">
        <v>641</v>
      </c>
      <c r="D644" s="578"/>
      <c r="E644" s="579"/>
      <c r="F644" s="580"/>
      <c r="G644" s="581"/>
      <c r="H644" s="768"/>
      <c r="I644" s="771"/>
      <c r="J644" s="774"/>
      <c r="K644" s="777"/>
    </row>
    <row r="645" spans="3:11" x14ac:dyDescent="0.2">
      <c r="C645" s="567">
        <v>642</v>
      </c>
      <c r="D645" s="578"/>
      <c r="E645" s="579"/>
      <c r="F645" s="580"/>
      <c r="G645" s="581"/>
      <c r="H645" s="768"/>
      <c r="I645" s="771"/>
      <c r="J645" s="774"/>
      <c r="K645" s="777"/>
    </row>
    <row r="646" spans="3:11" x14ac:dyDescent="0.2">
      <c r="C646" s="567">
        <v>643</v>
      </c>
      <c r="D646" s="578"/>
      <c r="E646" s="579"/>
      <c r="F646" s="580"/>
      <c r="G646" s="581"/>
      <c r="H646" s="768"/>
      <c r="I646" s="771"/>
      <c r="J646" s="774"/>
      <c r="K646" s="777"/>
    </row>
    <row r="647" spans="3:11" x14ac:dyDescent="0.2">
      <c r="C647" s="567">
        <v>644</v>
      </c>
      <c r="D647" s="578"/>
      <c r="E647" s="579"/>
      <c r="F647" s="580"/>
      <c r="G647" s="581"/>
      <c r="H647" s="768"/>
      <c r="I647" s="771"/>
      <c r="J647" s="774"/>
      <c r="K647" s="777"/>
    </row>
    <row r="648" spans="3:11" x14ac:dyDescent="0.2">
      <c r="C648" s="567">
        <v>645</v>
      </c>
      <c r="D648" s="578"/>
      <c r="E648" s="579"/>
      <c r="F648" s="580"/>
      <c r="G648" s="581"/>
      <c r="H648" s="768"/>
      <c r="I648" s="771"/>
      <c r="J648" s="774"/>
      <c r="K648" s="777"/>
    </row>
    <row r="649" spans="3:11" x14ac:dyDescent="0.2">
      <c r="C649" s="567">
        <v>646</v>
      </c>
      <c r="D649" s="578"/>
      <c r="E649" s="579"/>
      <c r="F649" s="580"/>
      <c r="G649" s="581"/>
      <c r="H649" s="768"/>
      <c r="I649" s="771"/>
      <c r="J649" s="774"/>
      <c r="K649" s="777"/>
    </row>
    <row r="650" spans="3:11" x14ac:dyDescent="0.2">
      <c r="C650" s="567">
        <v>647</v>
      </c>
      <c r="D650" s="578"/>
      <c r="E650" s="579"/>
      <c r="F650" s="580"/>
      <c r="G650" s="581"/>
      <c r="H650" s="768"/>
      <c r="I650" s="771"/>
      <c r="J650" s="774"/>
      <c r="K650" s="777"/>
    </row>
    <row r="651" spans="3:11" x14ac:dyDescent="0.2">
      <c r="C651" s="567">
        <v>648</v>
      </c>
      <c r="D651" s="578"/>
      <c r="E651" s="579"/>
      <c r="F651" s="580"/>
      <c r="G651" s="581"/>
      <c r="H651" s="768"/>
      <c r="I651" s="771"/>
      <c r="J651" s="774"/>
      <c r="K651" s="777"/>
    </row>
    <row r="652" spans="3:11" x14ac:dyDescent="0.2">
      <c r="C652" s="567">
        <v>649</v>
      </c>
      <c r="D652" s="578"/>
      <c r="E652" s="579"/>
      <c r="F652" s="580"/>
      <c r="G652" s="581"/>
      <c r="H652" s="768"/>
      <c r="I652" s="771"/>
      <c r="J652" s="774"/>
      <c r="K652" s="777"/>
    </row>
    <row r="653" spans="3:11" x14ac:dyDescent="0.2">
      <c r="C653" s="567">
        <v>650</v>
      </c>
      <c r="D653" s="578"/>
      <c r="E653" s="579"/>
      <c r="F653" s="580"/>
      <c r="G653" s="581"/>
      <c r="H653" s="768"/>
      <c r="I653" s="771"/>
      <c r="J653" s="774"/>
      <c r="K653" s="777"/>
    </row>
    <row r="654" spans="3:11" x14ac:dyDescent="0.2">
      <c r="C654" s="567">
        <v>651</v>
      </c>
      <c r="D654" s="578"/>
      <c r="E654" s="579"/>
      <c r="F654" s="580"/>
      <c r="G654" s="581"/>
      <c r="H654" s="768"/>
      <c r="I654" s="771"/>
      <c r="J654" s="774"/>
      <c r="K654" s="777"/>
    </row>
    <row r="655" spans="3:11" x14ac:dyDescent="0.2">
      <c r="C655" s="567">
        <v>652</v>
      </c>
      <c r="D655" s="578"/>
      <c r="E655" s="579"/>
      <c r="F655" s="580"/>
      <c r="G655" s="581"/>
      <c r="H655" s="768"/>
      <c r="I655" s="771"/>
      <c r="J655" s="774"/>
      <c r="K655" s="777"/>
    </row>
    <row r="656" spans="3:11" x14ac:dyDescent="0.2">
      <c r="C656" s="567">
        <v>653</v>
      </c>
      <c r="D656" s="578"/>
      <c r="E656" s="579"/>
      <c r="F656" s="580"/>
      <c r="G656" s="581"/>
      <c r="H656" s="768"/>
      <c r="I656" s="771"/>
      <c r="J656" s="774"/>
      <c r="K656" s="777"/>
    </row>
    <row r="657" spans="3:11" x14ac:dyDescent="0.2">
      <c r="C657" s="567">
        <v>654</v>
      </c>
      <c r="D657" s="578"/>
      <c r="E657" s="579"/>
      <c r="F657" s="580"/>
      <c r="G657" s="581"/>
      <c r="H657" s="768"/>
      <c r="I657" s="771"/>
      <c r="J657" s="774"/>
      <c r="K657" s="777"/>
    </row>
    <row r="658" spans="3:11" x14ac:dyDescent="0.2">
      <c r="C658" s="567">
        <v>655</v>
      </c>
      <c r="D658" s="578"/>
      <c r="E658" s="579"/>
      <c r="F658" s="580"/>
      <c r="G658" s="581"/>
      <c r="H658" s="768"/>
      <c r="I658" s="771"/>
      <c r="J658" s="774"/>
      <c r="K658" s="777"/>
    </row>
    <row r="659" spans="3:11" x14ac:dyDescent="0.2">
      <c r="C659" s="567">
        <v>656</v>
      </c>
      <c r="D659" s="578"/>
      <c r="E659" s="579"/>
      <c r="F659" s="580"/>
      <c r="G659" s="581"/>
      <c r="H659" s="768"/>
      <c r="I659" s="771"/>
      <c r="J659" s="774"/>
      <c r="K659" s="777"/>
    </row>
    <row r="660" spans="3:11" x14ac:dyDescent="0.2">
      <c r="C660" s="567">
        <v>657</v>
      </c>
      <c r="D660" s="578"/>
      <c r="E660" s="579"/>
      <c r="F660" s="580"/>
      <c r="G660" s="581"/>
      <c r="H660" s="768"/>
      <c r="I660" s="771"/>
      <c r="J660" s="774"/>
      <c r="K660" s="777"/>
    </row>
    <row r="661" spans="3:11" x14ac:dyDescent="0.2">
      <c r="C661" s="567">
        <v>658</v>
      </c>
      <c r="D661" s="578"/>
      <c r="E661" s="579"/>
      <c r="F661" s="580"/>
      <c r="G661" s="581"/>
      <c r="H661" s="768"/>
      <c r="I661" s="771"/>
      <c r="J661" s="774"/>
      <c r="K661" s="777"/>
    </row>
    <row r="662" spans="3:11" x14ac:dyDescent="0.2">
      <c r="C662" s="567">
        <v>659</v>
      </c>
      <c r="D662" s="578"/>
      <c r="E662" s="579"/>
      <c r="F662" s="580"/>
      <c r="G662" s="581"/>
      <c r="H662" s="768"/>
      <c r="I662" s="771"/>
      <c r="J662" s="774"/>
      <c r="K662" s="777"/>
    </row>
    <row r="663" spans="3:11" x14ac:dyDescent="0.2">
      <c r="C663" s="567">
        <v>660</v>
      </c>
      <c r="D663" s="578"/>
      <c r="E663" s="579"/>
      <c r="F663" s="580"/>
      <c r="G663" s="581"/>
      <c r="H663" s="768"/>
      <c r="I663" s="771"/>
      <c r="J663" s="774"/>
      <c r="K663" s="777"/>
    </row>
    <row r="664" spans="3:11" x14ac:dyDescent="0.2">
      <c r="C664" s="567">
        <v>661</v>
      </c>
      <c r="D664" s="578"/>
      <c r="E664" s="579"/>
      <c r="F664" s="580"/>
      <c r="G664" s="581"/>
      <c r="H664" s="768"/>
      <c r="I664" s="771"/>
      <c r="J664" s="774"/>
      <c r="K664" s="777"/>
    </row>
    <row r="665" spans="3:11" x14ac:dyDescent="0.2">
      <c r="C665" s="567">
        <v>662</v>
      </c>
      <c r="D665" s="578"/>
      <c r="E665" s="579"/>
      <c r="F665" s="580"/>
      <c r="G665" s="581"/>
      <c r="H665" s="768"/>
      <c r="I665" s="771"/>
      <c r="J665" s="774"/>
      <c r="K665" s="777"/>
    </row>
    <row r="666" spans="3:11" x14ac:dyDescent="0.2">
      <c r="C666" s="567">
        <v>663</v>
      </c>
      <c r="D666" s="578"/>
      <c r="E666" s="579"/>
      <c r="F666" s="580"/>
      <c r="G666" s="581"/>
      <c r="H666" s="768"/>
      <c r="I666" s="771"/>
      <c r="J666" s="774"/>
      <c r="K666" s="777"/>
    </row>
    <row r="667" spans="3:11" x14ac:dyDescent="0.2">
      <c r="C667" s="567">
        <v>664</v>
      </c>
      <c r="D667" s="578"/>
      <c r="E667" s="579"/>
      <c r="F667" s="580"/>
      <c r="G667" s="581"/>
      <c r="H667" s="768"/>
      <c r="I667" s="771"/>
      <c r="J667" s="774"/>
      <c r="K667" s="777"/>
    </row>
    <row r="668" spans="3:11" x14ac:dyDescent="0.2">
      <c r="C668" s="567">
        <v>665</v>
      </c>
      <c r="D668" s="578"/>
      <c r="E668" s="579"/>
      <c r="F668" s="580"/>
      <c r="G668" s="581"/>
      <c r="H668" s="768"/>
      <c r="I668" s="771"/>
      <c r="J668" s="774"/>
      <c r="K668" s="777"/>
    </row>
    <row r="669" spans="3:11" x14ac:dyDescent="0.2">
      <c r="C669" s="567">
        <v>666</v>
      </c>
      <c r="D669" s="578"/>
      <c r="E669" s="579"/>
      <c r="F669" s="580"/>
      <c r="G669" s="581"/>
      <c r="H669" s="768"/>
      <c r="I669" s="771"/>
      <c r="J669" s="774"/>
      <c r="K669" s="777"/>
    </row>
    <row r="670" spans="3:11" x14ac:dyDescent="0.2">
      <c r="C670" s="567">
        <v>667</v>
      </c>
      <c r="D670" s="578"/>
      <c r="E670" s="579"/>
      <c r="F670" s="580"/>
      <c r="G670" s="581"/>
      <c r="H670" s="768"/>
      <c r="I670" s="771"/>
      <c r="J670" s="774"/>
      <c r="K670" s="777"/>
    </row>
    <row r="671" spans="3:11" x14ac:dyDescent="0.2">
      <c r="C671" s="567">
        <v>668</v>
      </c>
      <c r="D671" s="578"/>
      <c r="E671" s="579"/>
      <c r="F671" s="580"/>
      <c r="G671" s="581"/>
      <c r="H671" s="768"/>
      <c r="I671" s="771"/>
      <c r="J671" s="774"/>
      <c r="K671" s="777"/>
    </row>
    <row r="672" spans="3:11" x14ac:dyDescent="0.2">
      <c r="C672" s="567">
        <v>669</v>
      </c>
      <c r="D672" s="578"/>
      <c r="E672" s="579"/>
      <c r="F672" s="580"/>
      <c r="G672" s="581"/>
      <c r="H672" s="768"/>
      <c r="I672" s="771"/>
      <c r="J672" s="774"/>
      <c r="K672" s="777"/>
    </row>
    <row r="673" spans="3:11" x14ac:dyDescent="0.2">
      <c r="C673" s="567">
        <v>670</v>
      </c>
      <c r="D673" s="578"/>
      <c r="E673" s="579"/>
      <c r="F673" s="580"/>
      <c r="G673" s="581"/>
      <c r="H673" s="768"/>
      <c r="I673" s="771"/>
      <c r="J673" s="774"/>
      <c r="K673" s="777"/>
    </row>
    <row r="674" spans="3:11" x14ac:dyDescent="0.2">
      <c r="C674" s="567">
        <v>671</v>
      </c>
      <c r="D674" s="578"/>
      <c r="E674" s="579"/>
      <c r="F674" s="580"/>
      <c r="G674" s="581"/>
      <c r="H674" s="768"/>
      <c r="I674" s="771"/>
      <c r="J674" s="774"/>
      <c r="K674" s="777"/>
    </row>
    <row r="675" spans="3:11" x14ac:dyDescent="0.2">
      <c r="C675" s="567">
        <v>672</v>
      </c>
      <c r="D675" s="578"/>
      <c r="E675" s="579"/>
      <c r="F675" s="580"/>
      <c r="G675" s="581"/>
      <c r="H675" s="768"/>
      <c r="I675" s="771"/>
      <c r="J675" s="774"/>
      <c r="K675" s="777"/>
    </row>
    <row r="676" spans="3:11" x14ac:dyDescent="0.2">
      <c r="C676" s="567">
        <v>673</v>
      </c>
      <c r="D676" s="578"/>
      <c r="E676" s="579"/>
      <c r="F676" s="580"/>
      <c r="G676" s="581"/>
      <c r="H676" s="768"/>
      <c r="I676" s="771"/>
      <c r="J676" s="774"/>
      <c r="K676" s="777"/>
    </row>
    <row r="677" spans="3:11" x14ac:dyDescent="0.2">
      <c r="C677" s="567">
        <v>674</v>
      </c>
      <c r="D677" s="578"/>
      <c r="E677" s="579"/>
      <c r="F677" s="580"/>
      <c r="G677" s="581"/>
      <c r="H677" s="768"/>
      <c r="I677" s="771"/>
      <c r="J677" s="774"/>
      <c r="K677" s="777"/>
    </row>
    <row r="678" spans="3:11" x14ac:dyDescent="0.2">
      <c r="C678" s="567">
        <v>675</v>
      </c>
      <c r="D678" s="578"/>
      <c r="E678" s="579"/>
      <c r="F678" s="580"/>
      <c r="G678" s="581"/>
      <c r="H678" s="768"/>
      <c r="I678" s="771"/>
      <c r="J678" s="774"/>
      <c r="K678" s="777"/>
    </row>
    <row r="679" spans="3:11" x14ac:dyDescent="0.2">
      <c r="C679" s="567">
        <v>676</v>
      </c>
      <c r="D679" s="578"/>
      <c r="E679" s="579"/>
      <c r="F679" s="580"/>
      <c r="G679" s="581"/>
      <c r="H679" s="768"/>
      <c r="I679" s="771"/>
      <c r="J679" s="774"/>
      <c r="K679" s="777"/>
    </row>
    <row r="680" spans="3:11" x14ac:dyDescent="0.2">
      <c r="C680" s="567">
        <v>677</v>
      </c>
      <c r="D680" s="578"/>
      <c r="E680" s="579"/>
      <c r="F680" s="580"/>
      <c r="G680" s="581"/>
      <c r="H680" s="768"/>
      <c r="I680" s="771"/>
      <c r="J680" s="774"/>
      <c r="K680" s="777"/>
    </row>
    <row r="681" spans="3:11" x14ac:dyDescent="0.2">
      <c r="C681" s="567">
        <v>678</v>
      </c>
      <c r="D681" s="578"/>
      <c r="E681" s="579"/>
      <c r="F681" s="580"/>
      <c r="G681" s="581"/>
      <c r="H681" s="768"/>
      <c r="I681" s="771"/>
      <c r="J681" s="774"/>
      <c r="K681" s="777"/>
    </row>
    <row r="682" spans="3:11" x14ac:dyDescent="0.2">
      <c r="C682" s="567">
        <v>679</v>
      </c>
      <c r="D682" s="578"/>
      <c r="E682" s="579"/>
      <c r="F682" s="580"/>
      <c r="G682" s="581"/>
      <c r="H682" s="768"/>
      <c r="I682" s="771"/>
      <c r="J682" s="774"/>
      <c r="K682" s="777"/>
    </row>
    <row r="683" spans="3:11" x14ac:dyDescent="0.2">
      <c r="C683" s="567">
        <v>680</v>
      </c>
      <c r="D683" s="578"/>
      <c r="E683" s="579"/>
      <c r="F683" s="580"/>
      <c r="G683" s="581"/>
      <c r="H683" s="768"/>
      <c r="I683" s="771"/>
      <c r="J683" s="774"/>
      <c r="K683" s="777"/>
    </row>
    <row r="684" spans="3:11" x14ac:dyDescent="0.2">
      <c r="C684" s="567">
        <v>681</v>
      </c>
      <c r="D684" s="578"/>
      <c r="E684" s="579"/>
      <c r="F684" s="580"/>
      <c r="G684" s="581"/>
      <c r="H684" s="768"/>
      <c r="I684" s="771"/>
      <c r="J684" s="774"/>
      <c r="K684" s="777"/>
    </row>
    <row r="685" spans="3:11" x14ac:dyDescent="0.2">
      <c r="C685" s="567">
        <v>682</v>
      </c>
      <c r="D685" s="578"/>
      <c r="E685" s="579"/>
      <c r="F685" s="580"/>
      <c r="G685" s="581"/>
      <c r="H685" s="768"/>
      <c r="I685" s="771"/>
      <c r="J685" s="774"/>
      <c r="K685" s="777"/>
    </row>
    <row r="686" spans="3:11" x14ac:dyDescent="0.2">
      <c r="C686" s="567">
        <v>683</v>
      </c>
      <c r="D686" s="578"/>
      <c r="E686" s="579"/>
      <c r="F686" s="580"/>
      <c r="G686" s="581"/>
      <c r="H686" s="768"/>
      <c r="I686" s="771"/>
      <c r="J686" s="774"/>
      <c r="K686" s="777"/>
    </row>
    <row r="687" spans="3:11" x14ac:dyDescent="0.2">
      <c r="C687" s="567">
        <v>684</v>
      </c>
      <c r="D687" s="578"/>
      <c r="E687" s="579"/>
      <c r="F687" s="580"/>
      <c r="G687" s="581"/>
      <c r="H687" s="768"/>
      <c r="I687" s="771"/>
      <c r="J687" s="774"/>
      <c r="K687" s="777"/>
    </row>
    <row r="688" spans="3:11" x14ac:dyDescent="0.2">
      <c r="C688" s="567">
        <v>685</v>
      </c>
      <c r="D688" s="578"/>
      <c r="E688" s="579"/>
      <c r="F688" s="580"/>
      <c r="G688" s="581"/>
      <c r="H688" s="768"/>
      <c r="I688" s="771"/>
      <c r="J688" s="774"/>
      <c r="K688" s="777"/>
    </row>
    <row r="689" spans="3:11" x14ac:dyDescent="0.2">
      <c r="C689" s="567">
        <v>686</v>
      </c>
      <c r="D689" s="578"/>
      <c r="E689" s="579"/>
      <c r="F689" s="580"/>
      <c r="G689" s="581"/>
      <c r="H689" s="768"/>
      <c r="I689" s="771"/>
      <c r="J689" s="774"/>
      <c r="K689" s="777"/>
    </row>
    <row r="690" spans="3:11" x14ac:dyDescent="0.2">
      <c r="C690" s="567">
        <v>687</v>
      </c>
      <c r="D690" s="578"/>
      <c r="E690" s="579"/>
      <c r="F690" s="580"/>
      <c r="G690" s="581"/>
      <c r="H690" s="768"/>
      <c r="I690" s="771"/>
      <c r="J690" s="774"/>
      <c r="K690" s="777"/>
    </row>
    <row r="691" spans="3:11" x14ac:dyDescent="0.2">
      <c r="C691" s="567">
        <v>688</v>
      </c>
      <c r="D691" s="578"/>
      <c r="E691" s="579"/>
      <c r="F691" s="580"/>
      <c r="G691" s="581"/>
      <c r="H691" s="768"/>
      <c r="I691" s="771"/>
      <c r="J691" s="774"/>
      <c r="K691" s="777"/>
    </row>
    <row r="692" spans="3:11" x14ac:dyDescent="0.2">
      <c r="C692" s="567">
        <v>689</v>
      </c>
      <c r="D692" s="578"/>
      <c r="E692" s="579"/>
      <c r="F692" s="580"/>
      <c r="G692" s="581"/>
      <c r="H692" s="768"/>
      <c r="I692" s="771"/>
      <c r="J692" s="774"/>
      <c r="K692" s="777"/>
    </row>
    <row r="693" spans="3:11" x14ac:dyDescent="0.2">
      <c r="C693" s="567">
        <v>690</v>
      </c>
      <c r="D693" s="578"/>
      <c r="E693" s="579"/>
      <c r="F693" s="580"/>
      <c r="G693" s="581"/>
      <c r="H693" s="768"/>
      <c r="I693" s="771"/>
      <c r="J693" s="774"/>
      <c r="K693" s="777"/>
    </row>
    <row r="694" spans="3:11" x14ac:dyDescent="0.2">
      <c r="C694" s="567">
        <v>691</v>
      </c>
      <c r="D694" s="578"/>
      <c r="E694" s="579"/>
      <c r="F694" s="580"/>
      <c r="G694" s="581"/>
      <c r="H694" s="768"/>
      <c r="I694" s="771"/>
      <c r="J694" s="774"/>
      <c r="K694" s="777"/>
    </row>
    <row r="695" spans="3:11" x14ac:dyDescent="0.2">
      <c r="C695" s="567">
        <v>692</v>
      </c>
      <c r="D695" s="578"/>
      <c r="E695" s="579"/>
      <c r="F695" s="580"/>
      <c r="G695" s="581"/>
      <c r="H695" s="768"/>
      <c r="I695" s="771"/>
      <c r="J695" s="774"/>
      <c r="K695" s="777"/>
    </row>
    <row r="696" spans="3:11" x14ac:dyDescent="0.2">
      <c r="C696" s="567">
        <v>693</v>
      </c>
      <c r="D696" s="578"/>
      <c r="E696" s="579"/>
      <c r="F696" s="580"/>
      <c r="G696" s="581"/>
      <c r="H696" s="768"/>
      <c r="I696" s="771"/>
      <c r="J696" s="774"/>
      <c r="K696" s="777"/>
    </row>
    <row r="697" spans="3:11" x14ac:dyDescent="0.2">
      <c r="C697" s="567">
        <v>694</v>
      </c>
      <c r="D697" s="578"/>
      <c r="E697" s="579"/>
      <c r="F697" s="580"/>
      <c r="G697" s="581"/>
      <c r="H697" s="768"/>
      <c r="I697" s="771"/>
      <c r="J697" s="774"/>
      <c r="K697" s="777"/>
    </row>
    <row r="698" spans="3:11" x14ac:dyDescent="0.2">
      <c r="C698" s="567">
        <v>695</v>
      </c>
      <c r="D698" s="578"/>
      <c r="E698" s="579"/>
      <c r="F698" s="580"/>
      <c r="G698" s="581"/>
      <c r="H698" s="768"/>
      <c r="I698" s="771"/>
      <c r="J698" s="774"/>
      <c r="K698" s="777"/>
    </row>
    <row r="699" spans="3:11" x14ac:dyDescent="0.2">
      <c r="C699" s="567">
        <v>696</v>
      </c>
      <c r="D699" s="578"/>
      <c r="E699" s="579"/>
      <c r="F699" s="580"/>
      <c r="G699" s="581"/>
      <c r="H699" s="768"/>
      <c r="I699" s="771"/>
      <c r="J699" s="774"/>
      <c r="K699" s="777"/>
    </row>
    <row r="700" spans="3:11" x14ac:dyDescent="0.2">
      <c r="C700" s="567">
        <v>697</v>
      </c>
      <c r="D700" s="578"/>
      <c r="E700" s="579"/>
      <c r="F700" s="580"/>
      <c r="G700" s="581"/>
      <c r="H700" s="768"/>
      <c r="I700" s="771"/>
      <c r="J700" s="774"/>
      <c r="K700" s="777"/>
    </row>
    <row r="701" spans="3:11" x14ac:dyDescent="0.2">
      <c r="C701" s="567">
        <v>698</v>
      </c>
      <c r="D701" s="578"/>
      <c r="E701" s="579"/>
      <c r="F701" s="580"/>
      <c r="G701" s="581"/>
      <c r="H701" s="768"/>
      <c r="I701" s="771"/>
      <c r="J701" s="774"/>
      <c r="K701" s="777"/>
    </row>
    <row r="702" spans="3:11" x14ac:dyDescent="0.2">
      <c r="C702" s="567">
        <v>699</v>
      </c>
      <c r="D702" s="578"/>
      <c r="E702" s="579"/>
      <c r="F702" s="580"/>
      <c r="G702" s="581"/>
      <c r="H702" s="768"/>
      <c r="I702" s="771"/>
      <c r="J702" s="774"/>
      <c r="K702" s="777"/>
    </row>
    <row r="703" spans="3:11" x14ac:dyDescent="0.2">
      <c r="C703" s="567">
        <v>700</v>
      </c>
      <c r="D703" s="578"/>
      <c r="E703" s="579"/>
      <c r="F703" s="580"/>
      <c r="G703" s="581"/>
      <c r="H703" s="768"/>
      <c r="I703" s="771"/>
      <c r="J703" s="774"/>
      <c r="K703" s="777"/>
    </row>
    <row r="704" spans="3:11" x14ac:dyDescent="0.2">
      <c r="C704" s="567">
        <v>701</v>
      </c>
      <c r="D704" s="578"/>
      <c r="E704" s="579"/>
      <c r="F704" s="580"/>
      <c r="G704" s="581"/>
      <c r="H704" s="768"/>
      <c r="I704" s="771"/>
      <c r="J704" s="774"/>
      <c r="K704" s="777"/>
    </row>
    <row r="705" spans="3:11" x14ac:dyDescent="0.2">
      <c r="C705" s="567">
        <v>702</v>
      </c>
      <c r="D705" s="578"/>
      <c r="E705" s="579"/>
      <c r="F705" s="580"/>
      <c r="G705" s="581"/>
      <c r="H705" s="768"/>
      <c r="I705" s="771"/>
      <c r="J705" s="774"/>
      <c r="K705" s="777"/>
    </row>
    <row r="706" spans="3:11" x14ac:dyDescent="0.2">
      <c r="C706" s="567">
        <v>703</v>
      </c>
      <c r="D706" s="578"/>
      <c r="E706" s="579"/>
      <c r="F706" s="580"/>
      <c r="G706" s="581"/>
      <c r="H706" s="768"/>
      <c r="I706" s="771"/>
      <c r="J706" s="774"/>
      <c r="K706" s="777"/>
    </row>
    <row r="707" spans="3:11" x14ac:dyDescent="0.2">
      <c r="C707" s="567">
        <v>704</v>
      </c>
      <c r="D707" s="578"/>
      <c r="E707" s="579"/>
      <c r="F707" s="580"/>
      <c r="G707" s="581"/>
      <c r="H707" s="768"/>
      <c r="I707" s="771"/>
      <c r="J707" s="774"/>
      <c r="K707" s="777"/>
    </row>
    <row r="708" spans="3:11" x14ac:dyDescent="0.2">
      <c r="C708" s="567">
        <v>705</v>
      </c>
      <c r="D708" s="578"/>
      <c r="E708" s="579"/>
      <c r="F708" s="580"/>
      <c r="G708" s="581"/>
      <c r="H708" s="768"/>
      <c r="I708" s="771"/>
      <c r="J708" s="774"/>
      <c r="K708" s="777"/>
    </row>
    <row r="709" spans="3:11" x14ac:dyDescent="0.2">
      <c r="C709" s="567">
        <v>706</v>
      </c>
      <c r="D709" s="578"/>
      <c r="E709" s="579"/>
      <c r="F709" s="580"/>
      <c r="G709" s="581"/>
      <c r="H709" s="768"/>
      <c r="I709" s="771"/>
      <c r="J709" s="774"/>
      <c r="K709" s="777"/>
    </row>
    <row r="710" spans="3:11" x14ac:dyDescent="0.2">
      <c r="C710" s="567">
        <v>707</v>
      </c>
      <c r="D710" s="578"/>
      <c r="E710" s="579"/>
      <c r="F710" s="580"/>
      <c r="G710" s="581"/>
      <c r="H710" s="768"/>
      <c r="I710" s="771"/>
      <c r="J710" s="774"/>
      <c r="K710" s="777"/>
    </row>
    <row r="711" spans="3:11" x14ac:dyDescent="0.2">
      <c r="C711" s="567">
        <v>708</v>
      </c>
      <c r="D711" s="578"/>
      <c r="E711" s="579"/>
      <c r="F711" s="580"/>
      <c r="G711" s="581"/>
      <c r="H711" s="768"/>
      <c r="I711" s="771"/>
      <c r="J711" s="774"/>
      <c r="K711" s="777"/>
    </row>
    <row r="712" spans="3:11" x14ac:dyDescent="0.2">
      <c r="C712" s="567">
        <v>709</v>
      </c>
      <c r="D712" s="578"/>
      <c r="E712" s="579"/>
      <c r="F712" s="580"/>
      <c r="G712" s="581"/>
      <c r="H712" s="768"/>
      <c r="I712" s="771"/>
      <c r="J712" s="774"/>
      <c r="K712" s="777"/>
    </row>
    <row r="713" spans="3:11" x14ac:dyDescent="0.2">
      <c r="C713" s="567">
        <v>710</v>
      </c>
      <c r="D713" s="578"/>
      <c r="E713" s="579"/>
      <c r="F713" s="580"/>
      <c r="G713" s="581"/>
      <c r="H713" s="768"/>
      <c r="I713" s="771"/>
      <c r="J713" s="774"/>
      <c r="K713" s="777"/>
    </row>
    <row r="714" spans="3:11" x14ac:dyDescent="0.2">
      <c r="C714" s="567">
        <v>711</v>
      </c>
      <c r="D714" s="578"/>
      <c r="E714" s="579"/>
      <c r="F714" s="580"/>
      <c r="G714" s="581"/>
      <c r="H714" s="768"/>
      <c r="I714" s="771"/>
      <c r="J714" s="774"/>
      <c r="K714" s="777"/>
    </row>
    <row r="715" spans="3:11" x14ac:dyDescent="0.2">
      <c r="C715" s="567">
        <v>712</v>
      </c>
      <c r="D715" s="578"/>
      <c r="E715" s="579"/>
      <c r="F715" s="580"/>
      <c r="G715" s="581"/>
      <c r="H715" s="768"/>
      <c r="I715" s="771"/>
      <c r="J715" s="774"/>
      <c r="K715" s="777"/>
    </row>
    <row r="716" spans="3:11" x14ac:dyDescent="0.2">
      <c r="C716" s="567">
        <v>713</v>
      </c>
      <c r="D716" s="578"/>
      <c r="E716" s="579"/>
      <c r="F716" s="580"/>
      <c r="G716" s="581"/>
      <c r="H716" s="768"/>
      <c r="I716" s="771"/>
      <c r="J716" s="774"/>
      <c r="K716" s="777"/>
    </row>
    <row r="717" spans="3:11" x14ac:dyDescent="0.2">
      <c r="C717" s="567">
        <v>714</v>
      </c>
      <c r="D717" s="578"/>
      <c r="E717" s="579"/>
      <c r="F717" s="580"/>
      <c r="G717" s="581"/>
      <c r="H717" s="768"/>
      <c r="I717" s="771"/>
      <c r="J717" s="774"/>
      <c r="K717" s="777"/>
    </row>
    <row r="718" spans="3:11" x14ac:dyDescent="0.2">
      <c r="C718" s="567">
        <v>715</v>
      </c>
      <c r="D718" s="578"/>
      <c r="E718" s="579"/>
      <c r="F718" s="580"/>
      <c r="G718" s="581"/>
      <c r="H718" s="768"/>
      <c r="I718" s="771"/>
      <c r="J718" s="774"/>
      <c r="K718" s="777"/>
    </row>
    <row r="719" spans="3:11" x14ac:dyDescent="0.2">
      <c r="C719" s="567">
        <v>716</v>
      </c>
      <c r="D719" s="578"/>
      <c r="E719" s="579"/>
      <c r="F719" s="580"/>
      <c r="G719" s="581"/>
      <c r="H719" s="768"/>
      <c r="I719" s="771"/>
      <c r="J719" s="774"/>
      <c r="K719" s="777"/>
    </row>
    <row r="720" spans="3:11" x14ac:dyDescent="0.2">
      <c r="C720" s="567">
        <v>717</v>
      </c>
      <c r="D720" s="578"/>
      <c r="E720" s="579"/>
      <c r="F720" s="580"/>
      <c r="G720" s="581"/>
      <c r="H720" s="768"/>
      <c r="I720" s="771"/>
      <c r="J720" s="774"/>
      <c r="K720" s="777"/>
    </row>
    <row r="721" spans="3:11" x14ac:dyDescent="0.2">
      <c r="C721" s="567">
        <v>718</v>
      </c>
      <c r="D721" s="578"/>
      <c r="E721" s="579"/>
      <c r="F721" s="580"/>
      <c r="G721" s="581"/>
      <c r="H721" s="768"/>
      <c r="I721" s="771"/>
      <c r="J721" s="774"/>
      <c r="K721" s="777"/>
    </row>
    <row r="722" spans="3:11" x14ac:dyDescent="0.2">
      <c r="C722" s="567">
        <v>719</v>
      </c>
      <c r="D722" s="578"/>
      <c r="E722" s="579"/>
      <c r="F722" s="580"/>
      <c r="G722" s="581"/>
      <c r="H722" s="768"/>
      <c r="I722" s="771"/>
      <c r="J722" s="774"/>
      <c r="K722" s="777"/>
    </row>
    <row r="723" spans="3:11" x14ac:dyDescent="0.2">
      <c r="C723" s="567">
        <v>720</v>
      </c>
      <c r="D723" s="578"/>
      <c r="E723" s="579"/>
      <c r="F723" s="580"/>
      <c r="G723" s="581"/>
      <c r="H723" s="768"/>
      <c r="I723" s="771"/>
      <c r="J723" s="774"/>
      <c r="K723" s="777"/>
    </row>
    <row r="724" spans="3:11" x14ac:dyDescent="0.2">
      <c r="C724" s="567">
        <v>721</v>
      </c>
      <c r="D724" s="578"/>
      <c r="E724" s="579"/>
      <c r="F724" s="580"/>
      <c r="G724" s="581"/>
      <c r="H724" s="768"/>
      <c r="I724" s="771"/>
      <c r="J724" s="774"/>
      <c r="K724" s="777"/>
    </row>
    <row r="725" spans="3:11" x14ac:dyDescent="0.2">
      <c r="C725" s="567">
        <v>722</v>
      </c>
      <c r="D725" s="578"/>
      <c r="E725" s="579"/>
      <c r="F725" s="580"/>
      <c r="G725" s="581"/>
      <c r="H725" s="768"/>
      <c r="I725" s="771"/>
      <c r="J725" s="774"/>
      <c r="K725" s="777"/>
    </row>
    <row r="726" spans="3:11" x14ac:dyDescent="0.2">
      <c r="C726" s="567">
        <v>723</v>
      </c>
      <c r="D726" s="578"/>
      <c r="E726" s="579"/>
      <c r="F726" s="580"/>
      <c r="G726" s="581"/>
      <c r="H726" s="768"/>
      <c r="I726" s="771"/>
      <c r="J726" s="774"/>
      <c r="K726" s="777"/>
    </row>
    <row r="727" spans="3:11" x14ac:dyDescent="0.2">
      <c r="C727" s="567">
        <v>724</v>
      </c>
      <c r="D727" s="578"/>
      <c r="E727" s="579"/>
      <c r="F727" s="580"/>
      <c r="G727" s="581"/>
      <c r="H727" s="768"/>
      <c r="I727" s="771"/>
      <c r="J727" s="774"/>
      <c r="K727" s="777"/>
    </row>
    <row r="728" spans="3:11" x14ac:dyDescent="0.2">
      <c r="C728" s="567">
        <v>725</v>
      </c>
      <c r="D728" s="578"/>
      <c r="E728" s="579"/>
      <c r="F728" s="580"/>
      <c r="G728" s="581"/>
      <c r="H728" s="768"/>
      <c r="I728" s="771"/>
      <c r="J728" s="774"/>
      <c r="K728" s="777"/>
    </row>
    <row r="729" spans="3:11" x14ac:dyDescent="0.2">
      <c r="C729" s="567">
        <v>726</v>
      </c>
      <c r="D729" s="578"/>
      <c r="E729" s="579"/>
      <c r="F729" s="580"/>
      <c r="G729" s="581"/>
      <c r="H729" s="768"/>
      <c r="I729" s="771"/>
      <c r="J729" s="774"/>
      <c r="K729" s="777"/>
    </row>
    <row r="730" spans="3:11" x14ac:dyDescent="0.2">
      <c r="C730" s="567">
        <v>727</v>
      </c>
      <c r="D730" s="578"/>
      <c r="E730" s="579"/>
      <c r="F730" s="580"/>
      <c r="G730" s="581"/>
      <c r="H730" s="768"/>
      <c r="I730" s="771"/>
      <c r="J730" s="774"/>
      <c r="K730" s="777"/>
    </row>
    <row r="731" spans="3:11" x14ac:dyDescent="0.2">
      <c r="C731" s="567">
        <v>728</v>
      </c>
      <c r="D731" s="578"/>
      <c r="E731" s="579"/>
      <c r="F731" s="580"/>
      <c r="G731" s="581"/>
      <c r="H731" s="768"/>
      <c r="I731" s="771"/>
      <c r="J731" s="774"/>
      <c r="K731" s="777"/>
    </row>
    <row r="732" spans="3:11" x14ac:dyDescent="0.2">
      <c r="C732" s="567">
        <v>729</v>
      </c>
      <c r="D732" s="578"/>
      <c r="E732" s="579"/>
      <c r="F732" s="580"/>
      <c r="G732" s="581"/>
      <c r="H732" s="768"/>
      <c r="I732" s="771"/>
      <c r="J732" s="774"/>
      <c r="K732" s="777"/>
    </row>
    <row r="733" spans="3:11" x14ac:dyDescent="0.2">
      <c r="C733" s="567">
        <v>730</v>
      </c>
      <c r="D733" s="578"/>
      <c r="E733" s="579"/>
      <c r="F733" s="580"/>
      <c r="G733" s="581"/>
      <c r="H733" s="768"/>
      <c r="I733" s="771"/>
      <c r="J733" s="774"/>
      <c r="K733" s="777"/>
    </row>
    <row r="734" spans="3:11" x14ac:dyDescent="0.2">
      <c r="C734" s="567">
        <v>731</v>
      </c>
      <c r="D734" s="578"/>
      <c r="E734" s="579"/>
      <c r="F734" s="580"/>
      <c r="G734" s="581"/>
      <c r="H734" s="768"/>
      <c r="I734" s="771"/>
      <c r="J734" s="774"/>
      <c r="K734" s="777"/>
    </row>
    <row r="735" spans="3:11" x14ac:dyDescent="0.2">
      <c r="C735" s="567">
        <v>732</v>
      </c>
      <c r="D735" s="578"/>
      <c r="E735" s="579"/>
      <c r="F735" s="580"/>
      <c r="G735" s="581"/>
      <c r="H735" s="768"/>
      <c r="I735" s="771"/>
      <c r="J735" s="774"/>
      <c r="K735" s="777"/>
    </row>
    <row r="736" spans="3:11" x14ac:dyDescent="0.2">
      <c r="C736" s="567">
        <v>733</v>
      </c>
      <c r="D736" s="578"/>
      <c r="E736" s="579"/>
      <c r="F736" s="580"/>
      <c r="G736" s="581"/>
      <c r="H736" s="768"/>
      <c r="I736" s="771"/>
      <c r="J736" s="774"/>
      <c r="K736" s="777"/>
    </row>
    <row r="737" spans="3:11" x14ac:dyDescent="0.2">
      <c r="C737" s="567">
        <v>734</v>
      </c>
      <c r="D737" s="578"/>
      <c r="E737" s="579"/>
      <c r="F737" s="580"/>
      <c r="G737" s="581"/>
      <c r="H737" s="768"/>
      <c r="I737" s="771"/>
      <c r="J737" s="774"/>
      <c r="K737" s="777"/>
    </row>
    <row r="738" spans="3:11" x14ac:dyDescent="0.2">
      <c r="C738" s="567">
        <v>735</v>
      </c>
      <c r="D738" s="578"/>
      <c r="E738" s="579"/>
      <c r="F738" s="580"/>
      <c r="G738" s="581"/>
      <c r="H738" s="768"/>
      <c r="I738" s="771"/>
      <c r="J738" s="774"/>
      <c r="K738" s="777"/>
    </row>
    <row r="739" spans="3:11" x14ac:dyDescent="0.2">
      <c r="C739" s="567">
        <v>736</v>
      </c>
      <c r="D739" s="578"/>
      <c r="E739" s="579"/>
      <c r="F739" s="580"/>
      <c r="G739" s="581"/>
      <c r="H739" s="768"/>
      <c r="I739" s="771"/>
      <c r="J739" s="774"/>
      <c r="K739" s="777"/>
    </row>
    <row r="740" spans="3:11" x14ac:dyDescent="0.2">
      <c r="C740" s="567">
        <v>737</v>
      </c>
      <c r="D740" s="578"/>
      <c r="E740" s="579"/>
      <c r="F740" s="580"/>
      <c r="G740" s="581"/>
      <c r="H740" s="768"/>
      <c r="I740" s="771"/>
      <c r="J740" s="774"/>
      <c r="K740" s="777"/>
    </row>
    <row r="741" spans="3:11" x14ac:dyDescent="0.2">
      <c r="C741" s="567">
        <v>738</v>
      </c>
      <c r="D741" s="578"/>
      <c r="E741" s="579"/>
      <c r="F741" s="580"/>
      <c r="G741" s="581"/>
      <c r="H741" s="768"/>
      <c r="I741" s="771"/>
      <c r="J741" s="774"/>
      <c r="K741" s="777"/>
    </row>
    <row r="742" spans="3:11" x14ac:dyDescent="0.2">
      <c r="C742" s="567">
        <v>739</v>
      </c>
      <c r="D742" s="578"/>
      <c r="E742" s="579"/>
      <c r="F742" s="580"/>
      <c r="G742" s="581"/>
      <c r="H742" s="768"/>
      <c r="I742" s="771"/>
      <c r="J742" s="774"/>
      <c r="K742" s="777"/>
    </row>
    <row r="743" spans="3:11" x14ac:dyDescent="0.2">
      <c r="C743" s="567">
        <v>740</v>
      </c>
      <c r="D743" s="578"/>
      <c r="E743" s="579"/>
      <c r="F743" s="580"/>
      <c r="G743" s="581"/>
      <c r="H743" s="768"/>
      <c r="I743" s="771"/>
      <c r="J743" s="774"/>
      <c r="K743" s="777"/>
    </row>
    <row r="744" spans="3:11" x14ac:dyDescent="0.2">
      <c r="C744" s="567">
        <v>741</v>
      </c>
      <c r="D744" s="578"/>
      <c r="E744" s="579"/>
      <c r="F744" s="580"/>
      <c r="G744" s="581"/>
      <c r="H744" s="768"/>
      <c r="I744" s="771"/>
      <c r="J744" s="774"/>
      <c r="K744" s="777"/>
    </row>
    <row r="745" spans="3:11" x14ac:dyDescent="0.2">
      <c r="C745" s="567">
        <v>742</v>
      </c>
      <c r="D745" s="578"/>
      <c r="E745" s="579"/>
      <c r="F745" s="580"/>
      <c r="G745" s="581"/>
      <c r="H745" s="768"/>
      <c r="I745" s="771"/>
      <c r="J745" s="774"/>
      <c r="K745" s="777"/>
    </row>
    <row r="746" spans="3:11" x14ac:dyDescent="0.2">
      <c r="C746" s="567">
        <v>743</v>
      </c>
      <c r="D746" s="578"/>
      <c r="E746" s="579"/>
      <c r="F746" s="580"/>
      <c r="G746" s="581"/>
      <c r="H746" s="768"/>
      <c r="I746" s="771"/>
      <c r="J746" s="774"/>
      <c r="K746" s="777"/>
    </row>
    <row r="747" spans="3:11" x14ac:dyDescent="0.2">
      <c r="C747" s="567">
        <v>744</v>
      </c>
      <c r="D747" s="578"/>
      <c r="E747" s="579"/>
      <c r="F747" s="580"/>
      <c r="G747" s="581"/>
      <c r="H747" s="768"/>
      <c r="I747" s="771"/>
      <c r="J747" s="774"/>
      <c r="K747" s="777"/>
    </row>
    <row r="748" spans="3:11" x14ac:dyDescent="0.2">
      <c r="C748" s="567">
        <v>745</v>
      </c>
      <c r="D748" s="578"/>
      <c r="E748" s="579"/>
      <c r="F748" s="580"/>
      <c r="G748" s="581"/>
      <c r="H748" s="768"/>
      <c r="I748" s="771"/>
      <c r="J748" s="774"/>
      <c r="K748" s="777"/>
    </row>
    <row r="749" spans="3:11" x14ac:dyDescent="0.2">
      <c r="C749" s="567">
        <v>746</v>
      </c>
      <c r="D749" s="578"/>
      <c r="E749" s="579"/>
      <c r="F749" s="580"/>
      <c r="G749" s="581"/>
      <c r="H749" s="768"/>
      <c r="I749" s="771"/>
      <c r="J749" s="774"/>
      <c r="K749" s="777"/>
    </row>
    <row r="750" spans="3:11" x14ac:dyDescent="0.2">
      <c r="C750" s="567">
        <v>747</v>
      </c>
      <c r="D750" s="578"/>
      <c r="E750" s="579"/>
      <c r="F750" s="580"/>
      <c r="G750" s="581"/>
      <c r="H750" s="768"/>
      <c r="I750" s="771"/>
      <c r="J750" s="774"/>
      <c r="K750" s="777"/>
    </row>
    <row r="751" spans="3:11" x14ac:dyDescent="0.2">
      <c r="C751" s="567">
        <v>748</v>
      </c>
      <c r="D751" s="578"/>
      <c r="E751" s="579"/>
      <c r="F751" s="580"/>
      <c r="G751" s="581"/>
      <c r="H751" s="768"/>
      <c r="I751" s="771"/>
      <c r="J751" s="774"/>
      <c r="K751" s="777"/>
    </row>
    <row r="752" spans="3:11" x14ac:dyDescent="0.2">
      <c r="C752" s="567">
        <v>749</v>
      </c>
      <c r="D752" s="578"/>
      <c r="E752" s="579"/>
      <c r="F752" s="580"/>
      <c r="G752" s="581"/>
      <c r="H752" s="768"/>
      <c r="I752" s="771"/>
      <c r="J752" s="774"/>
      <c r="K752" s="777"/>
    </row>
    <row r="753" spans="3:11" x14ac:dyDescent="0.2">
      <c r="C753" s="567">
        <v>750</v>
      </c>
      <c r="D753" s="578"/>
      <c r="E753" s="579"/>
      <c r="F753" s="580"/>
      <c r="G753" s="581"/>
      <c r="H753" s="768"/>
      <c r="I753" s="771"/>
      <c r="J753" s="774"/>
      <c r="K753" s="777"/>
    </row>
    <row r="754" spans="3:11" x14ac:dyDescent="0.2">
      <c r="C754" s="567">
        <v>751</v>
      </c>
      <c r="D754" s="578"/>
      <c r="E754" s="579"/>
      <c r="F754" s="580"/>
      <c r="G754" s="581"/>
      <c r="H754" s="768"/>
      <c r="I754" s="771"/>
      <c r="J754" s="774"/>
      <c r="K754" s="777"/>
    </row>
    <row r="755" spans="3:11" x14ac:dyDescent="0.2">
      <c r="C755" s="567">
        <v>752</v>
      </c>
      <c r="D755" s="578"/>
      <c r="E755" s="579"/>
      <c r="F755" s="580"/>
      <c r="G755" s="581"/>
      <c r="H755" s="768"/>
      <c r="I755" s="771"/>
      <c r="J755" s="774"/>
      <c r="K755" s="777"/>
    </row>
    <row r="756" spans="3:11" x14ac:dyDescent="0.2">
      <c r="C756" s="567">
        <v>753</v>
      </c>
      <c r="D756" s="578"/>
      <c r="E756" s="579"/>
      <c r="F756" s="580"/>
      <c r="G756" s="581"/>
      <c r="H756" s="768"/>
      <c r="I756" s="771"/>
      <c r="J756" s="774"/>
      <c r="K756" s="777"/>
    </row>
    <row r="757" spans="3:11" x14ac:dyDescent="0.2">
      <c r="C757" s="567">
        <v>754</v>
      </c>
      <c r="D757" s="578"/>
      <c r="E757" s="579"/>
      <c r="F757" s="580"/>
      <c r="G757" s="581"/>
      <c r="H757" s="768"/>
      <c r="I757" s="771"/>
      <c r="J757" s="774"/>
      <c r="K757" s="777"/>
    </row>
    <row r="758" spans="3:11" x14ac:dyDescent="0.2">
      <c r="C758" s="567">
        <v>755</v>
      </c>
      <c r="D758" s="578"/>
      <c r="E758" s="579"/>
      <c r="F758" s="580"/>
      <c r="G758" s="581"/>
      <c r="H758" s="768"/>
      <c r="I758" s="771"/>
      <c r="J758" s="774"/>
      <c r="K758" s="777"/>
    </row>
    <row r="759" spans="3:11" x14ac:dyDescent="0.2">
      <c r="C759" s="567">
        <v>756</v>
      </c>
      <c r="D759" s="578"/>
      <c r="E759" s="579"/>
      <c r="F759" s="580"/>
      <c r="G759" s="581"/>
      <c r="H759" s="768"/>
      <c r="I759" s="771"/>
      <c r="J759" s="774"/>
      <c r="K759" s="777"/>
    </row>
    <row r="760" spans="3:11" x14ac:dyDescent="0.2">
      <c r="C760" s="567">
        <v>757</v>
      </c>
      <c r="D760" s="578"/>
      <c r="E760" s="579"/>
      <c r="F760" s="580"/>
      <c r="G760" s="581"/>
      <c r="H760" s="768"/>
      <c r="I760" s="771"/>
      <c r="J760" s="774"/>
      <c r="K760" s="777"/>
    </row>
    <row r="761" spans="3:11" x14ac:dyDescent="0.2">
      <c r="C761" s="567">
        <v>758</v>
      </c>
      <c r="D761" s="578"/>
      <c r="E761" s="579"/>
      <c r="F761" s="580"/>
      <c r="G761" s="581"/>
      <c r="H761" s="768"/>
      <c r="I761" s="771"/>
      <c r="J761" s="774"/>
      <c r="K761" s="777"/>
    </row>
    <row r="762" spans="3:11" x14ac:dyDescent="0.2">
      <c r="C762" s="567">
        <v>759</v>
      </c>
      <c r="D762" s="578"/>
      <c r="E762" s="579"/>
      <c r="F762" s="580"/>
      <c r="G762" s="581"/>
      <c r="H762" s="768"/>
      <c r="I762" s="771"/>
      <c r="J762" s="774"/>
      <c r="K762" s="777"/>
    </row>
    <row r="763" spans="3:11" x14ac:dyDescent="0.2">
      <c r="C763" s="567">
        <v>760</v>
      </c>
      <c r="D763" s="578"/>
      <c r="E763" s="579"/>
      <c r="F763" s="580"/>
      <c r="G763" s="581"/>
      <c r="H763" s="768"/>
      <c r="I763" s="771"/>
      <c r="J763" s="774"/>
      <c r="K763" s="777"/>
    </row>
    <row r="764" spans="3:11" x14ac:dyDescent="0.2">
      <c r="C764" s="567">
        <v>761</v>
      </c>
      <c r="D764" s="578"/>
      <c r="E764" s="579"/>
      <c r="F764" s="580"/>
      <c r="G764" s="581"/>
      <c r="H764" s="768"/>
      <c r="I764" s="771"/>
      <c r="J764" s="774"/>
      <c r="K764" s="777"/>
    </row>
    <row r="765" spans="3:11" x14ac:dyDescent="0.2">
      <c r="C765" s="567">
        <v>762</v>
      </c>
      <c r="D765" s="578"/>
      <c r="E765" s="579"/>
      <c r="F765" s="580"/>
      <c r="G765" s="581"/>
      <c r="H765" s="768"/>
      <c r="I765" s="771"/>
      <c r="J765" s="774"/>
      <c r="K765" s="777"/>
    </row>
    <row r="766" spans="3:11" x14ac:dyDescent="0.2">
      <c r="C766" s="567">
        <v>763</v>
      </c>
      <c r="D766" s="578"/>
      <c r="E766" s="579"/>
      <c r="F766" s="580"/>
      <c r="G766" s="581"/>
      <c r="H766" s="768"/>
      <c r="I766" s="771"/>
      <c r="J766" s="774"/>
      <c r="K766" s="777"/>
    </row>
    <row r="767" spans="3:11" x14ac:dyDescent="0.2">
      <c r="C767" s="567">
        <v>764</v>
      </c>
      <c r="D767" s="578"/>
      <c r="E767" s="579"/>
      <c r="F767" s="580"/>
      <c r="G767" s="581"/>
      <c r="H767" s="768"/>
      <c r="I767" s="771"/>
      <c r="J767" s="774"/>
      <c r="K767" s="777"/>
    </row>
    <row r="768" spans="3:11" x14ac:dyDescent="0.2">
      <c r="C768" s="567">
        <v>765</v>
      </c>
      <c r="D768" s="578"/>
      <c r="E768" s="579"/>
      <c r="F768" s="580"/>
      <c r="G768" s="581"/>
      <c r="H768" s="768"/>
      <c r="I768" s="771"/>
      <c r="J768" s="774"/>
      <c r="K768" s="777"/>
    </row>
    <row r="769" spans="3:11" x14ac:dyDescent="0.2">
      <c r="C769" s="567">
        <v>766</v>
      </c>
      <c r="D769" s="578"/>
      <c r="E769" s="579"/>
      <c r="F769" s="580"/>
      <c r="G769" s="581"/>
      <c r="H769" s="768"/>
      <c r="I769" s="771"/>
      <c r="J769" s="774"/>
      <c r="K769" s="777"/>
    </row>
    <row r="770" spans="3:11" x14ac:dyDescent="0.2">
      <c r="C770" s="567">
        <v>767</v>
      </c>
      <c r="D770" s="578"/>
      <c r="E770" s="579"/>
      <c r="F770" s="580"/>
      <c r="G770" s="581"/>
      <c r="H770" s="768"/>
      <c r="I770" s="771"/>
      <c r="J770" s="774"/>
      <c r="K770" s="777"/>
    </row>
    <row r="771" spans="3:11" x14ac:dyDescent="0.2">
      <c r="C771" s="567">
        <v>768</v>
      </c>
      <c r="D771" s="578"/>
      <c r="E771" s="579"/>
      <c r="F771" s="580"/>
      <c r="G771" s="581"/>
      <c r="H771" s="768"/>
      <c r="I771" s="771"/>
      <c r="J771" s="774"/>
      <c r="K771" s="777"/>
    </row>
    <row r="772" spans="3:11" x14ac:dyDescent="0.2">
      <c r="C772" s="567">
        <v>769</v>
      </c>
      <c r="D772" s="578"/>
      <c r="E772" s="579"/>
      <c r="F772" s="580"/>
      <c r="G772" s="581"/>
      <c r="H772" s="768"/>
      <c r="I772" s="771"/>
      <c r="J772" s="774"/>
      <c r="K772" s="777"/>
    </row>
    <row r="773" spans="3:11" x14ac:dyDescent="0.2">
      <c r="C773" s="567">
        <v>770</v>
      </c>
      <c r="D773" s="578"/>
      <c r="E773" s="579"/>
      <c r="F773" s="580"/>
      <c r="G773" s="581"/>
      <c r="H773" s="768"/>
      <c r="I773" s="771"/>
      <c r="J773" s="774"/>
      <c r="K773" s="777"/>
    </row>
    <row r="774" spans="3:11" x14ac:dyDescent="0.2">
      <c r="C774" s="567">
        <v>771</v>
      </c>
      <c r="D774" s="578"/>
      <c r="E774" s="579"/>
      <c r="F774" s="580"/>
      <c r="G774" s="581"/>
      <c r="H774" s="768"/>
      <c r="I774" s="771"/>
      <c r="J774" s="774"/>
      <c r="K774" s="777"/>
    </row>
    <row r="775" spans="3:11" x14ac:dyDescent="0.2">
      <c r="C775" s="567">
        <v>772</v>
      </c>
      <c r="D775" s="578"/>
      <c r="E775" s="579"/>
      <c r="F775" s="580"/>
      <c r="G775" s="581"/>
      <c r="H775" s="768"/>
      <c r="I775" s="771"/>
      <c r="J775" s="774"/>
      <c r="K775" s="777"/>
    </row>
    <row r="776" spans="3:11" x14ac:dyDescent="0.2">
      <c r="C776" s="567">
        <v>773</v>
      </c>
      <c r="D776" s="578"/>
      <c r="E776" s="579"/>
      <c r="F776" s="580"/>
      <c r="G776" s="581"/>
      <c r="H776" s="768"/>
      <c r="I776" s="771"/>
      <c r="J776" s="774"/>
      <c r="K776" s="777"/>
    </row>
    <row r="777" spans="3:11" x14ac:dyDescent="0.2">
      <c r="C777" s="567">
        <v>774</v>
      </c>
      <c r="D777" s="578"/>
      <c r="E777" s="579"/>
      <c r="F777" s="580"/>
      <c r="G777" s="581"/>
      <c r="H777" s="768"/>
      <c r="I777" s="771"/>
      <c r="J777" s="774"/>
      <c r="K777" s="777"/>
    </row>
    <row r="778" spans="3:11" x14ac:dyDescent="0.2">
      <c r="C778" s="567">
        <v>775</v>
      </c>
      <c r="D778" s="578"/>
      <c r="E778" s="579"/>
      <c r="F778" s="580"/>
      <c r="G778" s="581"/>
      <c r="H778" s="768"/>
      <c r="I778" s="771"/>
      <c r="J778" s="774"/>
      <c r="K778" s="777"/>
    </row>
    <row r="779" spans="3:11" x14ac:dyDescent="0.2">
      <c r="C779" s="567">
        <v>776</v>
      </c>
      <c r="D779" s="578"/>
      <c r="E779" s="579"/>
      <c r="F779" s="580"/>
      <c r="G779" s="581"/>
      <c r="H779" s="768"/>
      <c r="I779" s="771"/>
      <c r="J779" s="774"/>
      <c r="K779" s="777"/>
    </row>
    <row r="780" spans="3:11" x14ac:dyDescent="0.2">
      <c r="C780" s="567">
        <v>777</v>
      </c>
      <c r="D780" s="578"/>
      <c r="E780" s="579"/>
      <c r="F780" s="580"/>
      <c r="G780" s="581"/>
      <c r="H780" s="768"/>
      <c r="I780" s="771"/>
      <c r="J780" s="774"/>
      <c r="K780" s="777"/>
    </row>
    <row r="781" spans="3:11" x14ac:dyDescent="0.2">
      <c r="C781" s="567">
        <v>778</v>
      </c>
      <c r="D781" s="578"/>
      <c r="E781" s="579"/>
      <c r="F781" s="580"/>
      <c r="G781" s="581"/>
      <c r="H781" s="768"/>
      <c r="I781" s="771"/>
      <c r="J781" s="774"/>
      <c r="K781" s="777"/>
    </row>
    <row r="782" spans="3:11" x14ac:dyDescent="0.2">
      <c r="C782" s="567">
        <v>779</v>
      </c>
      <c r="D782" s="578"/>
      <c r="E782" s="579"/>
      <c r="F782" s="580"/>
      <c r="G782" s="581"/>
      <c r="H782" s="768"/>
      <c r="I782" s="771"/>
      <c r="J782" s="774"/>
      <c r="K782" s="777"/>
    </row>
    <row r="783" spans="3:11" x14ac:dyDescent="0.2">
      <c r="C783" s="567">
        <v>780</v>
      </c>
      <c r="D783" s="578"/>
      <c r="E783" s="579"/>
      <c r="F783" s="580"/>
      <c r="G783" s="581"/>
      <c r="H783" s="768"/>
      <c r="I783" s="771"/>
      <c r="J783" s="774"/>
      <c r="K783" s="777"/>
    </row>
    <row r="784" spans="3:11" x14ac:dyDescent="0.2">
      <c r="C784" s="567">
        <v>781</v>
      </c>
      <c r="D784" s="578"/>
      <c r="E784" s="579"/>
      <c r="F784" s="580"/>
      <c r="G784" s="581"/>
      <c r="H784" s="768"/>
      <c r="I784" s="771"/>
      <c r="J784" s="774"/>
      <c r="K784" s="777"/>
    </row>
    <row r="785" spans="3:11" x14ac:dyDescent="0.2">
      <c r="C785" s="567">
        <v>782</v>
      </c>
      <c r="D785" s="578"/>
      <c r="E785" s="579"/>
      <c r="F785" s="580"/>
      <c r="G785" s="581"/>
      <c r="H785" s="768"/>
      <c r="I785" s="771"/>
      <c r="J785" s="774"/>
      <c r="K785" s="777"/>
    </row>
    <row r="786" spans="3:11" x14ac:dyDescent="0.2">
      <c r="C786" s="567">
        <v>783</v>
      </c>
      <c r="D786" s="578"/>
      <c r="E786" s="579"/>
      <c r="F786" s="580"/>
      <c r="G786" s="581"/>
      <c r="H786" s="768"/>
      <c r="I786" s="771"/>
      <c r="J786" s="774"/>
      <c r="K786" s="777"/>
    </row>
    <row r="787" spans="3:11" x14ac:dyDescent="0.2">
      <c r="C787" s="567">
        <v>784</v>
      </c>
      <c r="D787" s="578"/>
      <c r="E787" s="579"/>
      <c r="F787" s="580"/>
      <c r="G787" s="581"/>
      <c r="H787" s="768"/>
      <c r="I787" s="771"/>
      <c r="J787" s="774"/>
      <c r="K787" s="777"/>
    </row>
    <row r="788" spans="3:11" x14ac:dyDescent="0.2">
      <c r="C788" s="567">
        <v>785</v>
      </c>
      <c r="D788" s="578"/>
      <c r="E788" s="579"/>
      <c r="F788" s="580"/>
      <c r="G788" s="581"/>
      <c r="H788" s="768"/>
      <c r="I788" s="771"/>
      <c r="J788" s="774"/>
      <c r="K788" s="777"/>
    </row>
    <row r="789" spans="3:11" x14ac:dyDescent="0.2">
      <c r="C789" s="567">
        <v>786</v>
      </c>
      <c r="D789" s="578"/>
      <c r="E789" s="579"/>
      <c r="F789" s="580"/>
      <c r="G789" s="581"/>
      <c r="H789" s="768"/>
      <c r="I789" s="771"/>
      <c r="J789" s="774"/>
      <c r="K789" s="777"/>
    </row>
    <row r="790" spans="3:11" x14ac:dyDescent="0.2">
      <c r="C790" s="567">
        <v>787</v>
      </c>
      <c r="D790" s="578"/>
      <c r="E790" s="579"/>
      <c r="F790" s="580"/>
      <c r="G790" s="581"/>
      <c r="H790" s="768"/>
      <c r="I790" s="771"/>
      <c r="J790" s="774"/>
      <c r="K790" s="777"/>
    </row>
    <row r="791" spans="3:11" x14ac:dyDescent="0.2">
      <c r="C791" s="567">
        <v>788</v>
      </c>
      <c r="D791" s="578"/>
      <c r="E791" s="579"/>
      <c r="F791" s="580"/>
      <c r="G791" s="581"/>
      <c r="H791" s="768"/>
      <c r="I791" s="771"/>
      <c r="J791" s="774"/>
      <c r="K791" s="777"/>
    </row>
    <row r="792" spans="3:11" x14ac:dyDescent="0.2">
      <c r="C792" s="567">
        <v>789</v>
      </c>
      <c r="D792" s="578"/>
      <c r="E792" s="579"/>
      <c r="F792" s="580"/>
      <c r="G792" s="581"/>
      <c r="H792" s="768"/>
      <c r="I792" s="771"/>
      <c r="J792" s="774"/>
      <c r="K792" s="777"/>
    </row>
    <row r="793" spans="3:11" x14ac:dyDescent="0.2">
      <c r="C793" s="567">
        <v>790</v>
      </c>
      <c r="D793" s="578"/>
      <c r="E793" s="579"/>
      <c r="F793" s="580"/>
      <c r="G793" s="581"/>
      <c r="H793" s="768"/>
      <c r="I793" s="771"/>
      <c r="J793" s="774"/>
      <c r="K793" s="777"/>
    </row>
    <row r="794" spans="3:11" x14ac:dyDescent="0.2">
      <c r="C794" s="567">
        <v>791</v>
      </c>
      <c r="D794" s="578"/>
      <c r="E794" s="579"/>
      <c r="F794" s="580"/>
      <c r="G794" s="581"/>
      <c r="H794" s="768"/>
      <c r="I794" s="771"/>
      <c r="J794" s="774"/>
      <c r="K794" s="777"/>
    </row>
    <row r="795" spans="3:11" x14ac:dyDescent="0.2">
      <c r="C795" s="567">
        <v>792</v>
      </c>
      <c r="D795" s="578"/>
      <c r="E795" s="579"/>
      <c r="F795" s="580"/>
      <c r="G795" s="581"/>
      <c r="H795" s="768"/>
      <c r="I795" s="771"/>
      <c r="J795" s="774"/>
      <c r="K795" s="777"/>
    </row>
    <row r="796" spans="3:11" x14ac:dyDescent="0.2">
      <c r="C796" s="567">
        <v>793</v>
      </c>
      <c r="D796" s="578"/>
      <c r="E796" s="579"/>
      <c r="F796" s="580"/>
      <c r="G796" s="581"/>
      <c r="H796" s="768"/>
      <c r="I796" s="771"/>
      <c r="J796" s="774"/>
      <c r="K796" s="777"/>
    </row>
    <row r="797" spans="3:11" x14ac:dyDescent="0.2">
      <c r="C797" s="567">
        <v>794</v>
      </c>
      <c r="D797" s="578"/>
      <c r="E797" s="579"/>
      <c r="F797" s="580"/>
      <c r="G797" s="581"/>
      <c r="H797" s="768"/>
      <c r="I797" s="771"/>
      <c r="J797" s="774"/>
      <c r="K797" s="777"/>
    </row>
    <row r="798" spans="3:11" x14ac:dyDescent="0.2">
      <c r="C798" s="567">
        <v>795</v>
      </c>
      <c r="D798" s="578"/>
      <c r="E798" s="579"/>
      <c r="F798" s="580"/>
      <c r="G798" s="581"/>
      <c r="H798" s="768"/>
      <c r="I798" s="771"/>
      <c r="J798" s="774"/>
      <c r="K798" s="777"/>
    </row>
    <row r="799" spans="3:11" x14ac:dyDescent="0.2">
      <c r="C799" s="567">
        <v>796</v>
      </c>
      <c r="D799" s="578"/>
      <c r="E799" s="579"/>
      <c r="F799" s="580"/>
      <c r="G799" s="581"/>
      <c r="H799" s="768"/>
      <c r="I799" s="771"/>
      <c r="J799" s="774"/>
      <c r="K799" s="777"/>
    </row>
    <row r="800" spans="3:11" x14ac:dyDescent="0.2">
      <c r="C800" s="567">
        <v>797</v>
      </c>
      <c r="D800" s="578"/>
      <c r="E800" s="579"/>
      <c r="F800" s="580"/>
      <c r="G800" s="581"/>
      <c r="H800" s="768"/>
      <c r="I800" s="771"/>
      <c r="J800" s="774"/>
      <c r="K800" s="777"/>
    </row>
    <row r="801" spans="3:11" x14ac:dyDescent="0.2">
      <c r="C801" s="567">
        <v>798</v>
      </c>
      <c r="D801" s="578"/>
      <c r="E801" s="579"/>
      <c r="F801" s="580"/>
      <c r="G801" s="581"/>
      <c r="H801" s="768"/>
      <c r="I801" s="771"/>
      <c r="J801" s="774"/>
      <c r="K801" s="777"/>
    </row>
    <row r="802" spans="3:11" x14ac:dyDescent="0.2">
      <c r="C802" s="567">
        <v>799</v>
      </c>
      <c r="D802" s="578"/>
      <c r="E802" s="579"/>
      <c r="F802" s="580"/>
      <c r="G802" s="581"/>
      <c r="H802" s="768"/>
      <c r="I802" s="771"/>
      <c r="J802" s="774"/>
      <c r="K802" s="777"/>
    </row>
    <row r="803" spans="3:11" x14ac:dyDescent="0.2">
      <c r="C803" s="567">
        <v>800</v>
      </c>
      <c r="D803" s="578"/>
      <c r="E803" s="579"/>
      <c r="F803" s="580"/>
      <c r="G803" s="581"/>
      <c r="H803" s="768"/>
      <c r="I803" s="771"/>
      <c r="J803" s="774"/>
      <c r="K803" s="777"/>
    </row>
    <row r="804" spans="3:11" x14ac:dyDescent="0.2">
      <c r="C804" s="567">
        <v>801</v>
      </c>
      <c r="D804" s="578"/>
      <c r="E804" s="579"/>
      <c r="F804" s="580"/>
      <c r="G804" s="581"/>
      <c r="H804" s="768"/>
      <c r="I804" s="771"/>
      <c r="J804" s="774"/>
      <c r="K804" s="777"/>
    </row>
    <row r="805" spans="3:11" x14ac:dyDescent="0.2">
      <c r="C805" s="567">
        <v>802</v>
      </c>
      <c r="D805" s="578"/>
      <c r="E805" s="579"/>
      <c r="F805" s="580"/>
      <c r="G805" s="581"/>
      <c r="H805" s="768"/>
      <c r="I805" s="771"/>
      <c r="J805" s="774"/>
      <c r="K805" s="777"/>
    </row>
    <row r="806" spans="3:11" x14ac:dyDescent="0.2">
      <c r="C806" s="567">
        <v>803</v>
      </c>
      <c r="D806" s="578"/>
      <c r="E806" s="579"/>
      <c r="F806" s="580"/>
      <c r="G806" s="581"/>
      <c r="H806" s="768"/>
      <c r="I806" s="771"/>
      <c r="J806" s="774"/>
      <c r="K806" s="777"/>
    </row>
    <row r="807" spans="3:11" x14ac:dyDescent="0.2">
      <c r="C807" s="567">
        <v>804</v>
      </c>
      <c r="D807" s="578"/>
      <c r="E807" s="579"/>
      <c r="F807" s="580"/>
      <c r="G807" s="581"/>
      <c r="H807" s="768"/>
      <c r="I807" s="771"/>
      <c r="J807" s="774"/>
      <c r="K807" s="777"/>
    </row>
    <row r="808" spans="3:11" x14ac:dyDescent="0.2">
      <c r="C808" s="567">
        <v>805</v>
      </c>
      <c r="D808" s="578"/>
      <c r="E808" s="579"/>
      <c r="F808" s="580"/>
      <c r="G808" s="581"/>
      <c r="H808" s="768"/>
      <c r="I808" s="771"/>
      <c r="J808" s="774"/>
      <c r="K808" s="777"/>
    </row>
    <row r="809" spans="3:11" x14ac:dyDescent="0.2">
      <c r="C809" s="567">
        <v>806</v>
      </c>
      <c r="D809" s="578"/>
      <c r="E809" s="579"/>
      <c r="F809" s="580"/>
      <c r="G809" s="581"/>
      <c r="H809" s="768"/>
      <c r="I809" s="771"/>
      <c r="J809" s="774"/>
      <c r="K809" s="777"/>
    </row>
    <row r="810" spans="3:11" x14ac:dyDescent="0.2">
      <c r="C810" s="567">
        <v>807</v>
      </c>
      <c r="D810" s="578"/>
      <c r="E810" s="579"/>
      <c r="F810" s="580"/>
      <c r="G810" s="581"/>
      <c r="H810" s="768"/>
      <c r="I810" s="771"/>
      <c r="J810" s="774"/>
      <c r="K810" s="777"/>
    </row>
    <row r="811" spans="3:11" x14ac:dyDescent="0.2">
      <c r="C811" s="567">
        <v>808</v>
      </c>
      <c r="D811" s="578"/>
      <c r="E811" s="579"/>
      <c r="F811" s="580"/>
      <c r="G811" s="581"/>
      <c r="H811" s="768"/>
      <c r="I811" s="771"/>
      <c r="J811" s="774"/>
      <c r="K811" s="777"/>
    </row>
    <row r="812" spans="3:11" x14ac:dyDescent="0.2">
      <c r="C812" s="567">
        <v>809</v>
      </c>
      <c r="D812" s="578"/>
      <c r="E812" s="579"/>
      <c r="F812" s="580"/>
      <c r="G812" s="581"/>
      <c r="H812" s="768"/>
      <c r="I812" s="771"/>
      <c r="J812" s="774"/>
      <c r="K812" s="777"/>
    </row>
    <row r="813" spans="3:11" x14ac:dyDescent="0.2">
      <c r="C813" s="567">
        <v>810</v>
      </c>
      <c r="D813" s="578"/>
      <c r="E813" s="579"/>
      <c r="F813" s="580"/>
      <c r="G813" s="581"/>
      <c r="H813" s="768"/>
      <c r="I813" s="771"/>
      <c r="J813" s="774"/>
      <c r="K813" s="777"/>
    </row>
    <row r="814" spans="3:11" x14ac:dyDescent="0.2">
      <c r="C814" s="567">
        <v>811</v>
      </c>
      <c r="D814" s="578"/>
      <c r="E814" s="579"/>
      <c r="F814" s="580"/>
      <c r="G814" s="581"/>
      <c r="H814" s="768"/>
      <c r="I814" s="771"/>
      <c r="J814" s="774"/>
      <c r="K814" s="777"/>
    </row>
    <row r="815" spans="3:11" x14ac:dyDescent="0.2">
      <c r="C815" s="567">
        <v>812</v>
      </c>
      <c r="D815" s="578"/>
      <c r="E815" s="579"/>
      <c r="F815" s="580"/>
      <c r="G815" s="581"/>
      <c r="H815" s="768"/>
      <c r="I815" s="771"/>
      <c r="J815" s="774"/>
      <c r="K815" s="777"/>
    </row>
    <row r="816" spans="3:11" x14ac:dyDescent="0.2">
      <c r="C816" s="567">
        <v>813</v>
      </c>
      <c r="D816" s="578"/>
      <c r="E816" s="579"/>
      <c r="F816" s="580"/>
      <c r="G816" s="581"/>
      <c r="H816" s="768"/>
      <c r="I816" s="771"/>
      <c r="J816" s="774"/>
      <c r="K816" s="777"/>
    </row>
    <row r="817" spans="3:11" x14ac:dyDescent="0.2">
      <c r="C817" s="567">
        <v>814</v>
      </c>
      <c r="D817" s="578"/>
      <c r="E817" s="579"/>
      <c r="F817" s="580"/>
      <c r="G817" s="581"/>
      <c r="H817" s="768"/>
      <c r="I817" s="771"/>
      <c r="J817" s="774"/>
      <c r="K817" s="777"/>
    </row>
    <row r="818" spans="3:11" x14ac:dyDescent="0.2">
      <c r="C818" s="567">
        <v>815</v>
      </c>
      <c r="D818" s="578"/>
      <c r="E818" s="579"/>
      <c r="F818" s="580"/>
      <c r="G818" s="581"/>
      <c r="H818" s="768"/>
      <c r="I818" s="771"/>
      <c r="J818" s="774"/>
      <c r="K818" s="777"/>
    </row>
    <row r="819" spans="3:11" x14ac:dyDescent="0.2">
      <c r="C819" s="567">
        <v>816</v>
      </c>
      <c r="D819" s="578"/>
      <c r="E819" s="579"/>
      <c r="F819" s="580"/>
      <c r="G819" s="581"/>
      <c r="H819" s="768"/>
      <c r="I819" s="771"/>
      <c r="J819" s="774"/>
      <c r="K819" s="777"/>
    </row>
    <row r="820" spans="3:11" x14ac:dyDescent="0.2">
      <c r="C820" s="567">
        <v>817</v>
      </c>
      <c r="D820" s="578"/>
      <c r="E820" s="579"/>
      <c r="F820" s="580"/>
      <c r="G820" s="581"/>
      <c r="H820" s="768"/>
      <c r="I820" s="771"/>
      <c r="J820" s="774"/>
      <c r="K820" s="777"/>
    </row>
    <row r="821" spans="3:11" x14ac:dyDescent="0.2">
      <c r="C821" s="567">
        <v>818</v>
      </c>
      <c r="D821" s="578"/>
      <c r="E821" s="579"/>
      <c r="F821" s="580"/>
      <c r="G821" s="581"/>
      <c r="H821" s="768"/>
      <c r="I821" s="771"/>
      <c r="J821" s="774"/>
      <c r="K821" s="777"/>
    </row>
    <row r="822" spans="3:11" x14ac:dyDescent="0.2">
      <c r="C822" s="567">
        <v>819</v>
      </c>
      <c r="D822" s="578"/>
      <c r="E822" s="579"/>
      <c r="F822" s="580"/>
      <c r="G822" s="581"/>
      <c r="H822" s="768"/>
      <c r="I822" s="771"/>
      <c r="J822" s="774"/>
      <c r="K822" s="777"/>
    </row>
    <row r="823" spans="3:11" x14ac:dyDescent="0.2">
      <c r="C823" s="567">
        <v>820</v>
      </c>
      <c r="D823" s="578"/>
      <c r="E823" s="579"/>
      <c r="F823" s="580"/>
      <c r="G823" s="581"/>
      <c r="H823" s="768"/>
      <c r="I823" s="771"/>
      <c r="J823" s="774"/>
      <c r="K823" s="777"/>
    </row>
    <row r="824" spans="3:11" x14ac:dyDescent="0.2">
      <c r="C824" s="567">
        <v>821</v>
      </c>
      <c r="D824" s="578"/>
      <c r="E824" s="579"/>
      <c r="F824" s="580"/>
      <c r="G824" s="581"/>
      <c r="H824" s="768"/>
      <c r="I824" s="771"/>
      <c r="J824" s="774"/>
      <c r="K824" s="777"/>
    </row>
    <row r="825" spans="3:11" x14ac:dyDescent="0.2">
      <c r="C825" s="567">
        <v>822</v>
      </c>
      <c r="D825" s="578"/>
      <c r="E825" s="579"/>
      <c r="F825" s="580"/>
      <c r="G825" s="581"/>
      <c r="H825" s="768"/>
      <c r="I825" s="771"/>
      <c r="J825" s="774"/>
      <c r="K825" s="777"/>
    </row>
    <row r="826" spans="3:11" x14ac:dyDescent="0.2">
      <c r="C826" s="567">
        <v>823</v>
      </c>
      <c r="D826" s="578"/>
      <c r="E826" s="579"/>
      <c r="F826" s="580"/>
      <c r="G826" s="581"/>
      <c r="H826" s="768"/>
      <c r="I826" s="771"/>
      <c r="J826" s="774"/>
      <c r="K826" s="777"/>
    </row>
    <row r="827" spans="3:11" x14ac:dyDescent="0.2">
      <c r="C827" s="567">
        <v>824</v>
      </c>
      <c r="D827" s="578"/>
      <c r="E827" s="579"/>
      <c r="F827" s="580"/>
      <c r="G827" s="581"/>
      <c r="H827" s="768"/>
      <c r="I827" s="771"/>
      <c r="J827" s="774"/>
      <c r="K827" s="777"/>
    </row>
    <row r="828" spans="3:11" x14ac:dyDescent="0.2">
      <c r="C828" s="567">
        <v>825</v>
      </c>
      <c r="D828" s="578"/>
      <c r="E828" s="579"/>
      <c r="F828" s="580"/>
      <c r="G828" s="581"/>
      <c r="H828" s="768"/>
      <c r="I828" s="771"/>
      <c r="J828" s="774"/>
      <c r="K828" s="777"/>
    </row>
    <row r="829" spans="3:11" x14ac:dyDescent="0.2">
      <c r="C829" s="567">
        <v>826</v>
      </c>
      <c r="D829" s="578"/>
      <c r="E829" s="579"/>
      <c r="F829" s="580"/>
      <c r="G829" s="581"/>
      <c r="H829" s="768"/>
      <c r="I829" s="771"/>
      <c r="J829" s="774"/>
      <c r="K829" s="777"/>
    </row>
    <row r="830" spans="3:11" x14ac:dyDescent="0.2">
      <c r="C830" s="567">
        <v>827</v>
      </c>
      <c r="D830" s="578"/>
      <c r="E830" s="579"/>
      <c r="F830" s="580"/>
      <c r="G830" s="581"/>
      <c r="H830" s="768"/>
      <c r="I830" s="771"/>
      <c r="J830" s="774"/>
      <c r="K830" s="777"/>
    </row>
    <row r="831" spans="3:11" x14ac:dyDescent="0.2">
      <c r="C831" s="567">
        <v>828</v>
      </c>
      <c r="D831" s="578"/>
      <c r="E831" s="579"/>
      <c r="F831" s="580"/>
      <c r="G831" s="581"/>
      <c r="H831" s="768"/>
      <c r="I831" s="771"/>
      <c r="J831" s="774"/>
      <c r="K831" s="777"/>
    </row>
    <row r="832" spans="3:11" x14ac:dyDescent="0.2">
      <c r="C832" s="567">
        <v>829</v>
      </c>
      <c r="D832" s="578"/>
      <c r="E832" s="579"/>
      <c r="F832" s="580"/>
      <c r="G832" s="581"/>
      <c r="H832" s="768"/>
      <c r="I832" s="771"/>
      <c r="J832" s="774"/>
      <c r="K832" s="777"/>
    </row>
    <row r="833" spans="3:11" x14ac:dyDescent="0.2">
      <c r="C833" s="567">
        <v>830</v>
      </c>
      <c r="D833" s="578"/>
      <c r="E833" s="579"/>
      <c r="F833" s="580"/>
      <c r="G833" s="581"/>
      <c r="H833" s="768"/>
      <c r="I833" s="771"/>
      <c r="J833" s="774"/>
      <c r="K833" s="777"/>
    </row>
    <row r="834" spans="3:11" x14ac:dyDescent="0.2">
      <c r="C834" s="567">
        <v>831</v>
      </c>
      <c r="D834" s="578"/>
      <c r="E834" s="579"/>
      <c r="F834" s="580"/>
      <c r="G834" s="581"/>
      <c r="H834" s="768"/>
      <c r="I834" s="771"/>
      <c r="J834" s="774"/>
      <c r="K834" s="777"/>
    </row>
    <row r="835" spans="3:11" x14ac:dyDescent="0.2">
      <c r="C835" s="567">
        <v>832</v>
      </c>
      <c r="D835" s="578"/>
      <c r="E835" s="579"/>
      <c r="F835" s="580"/>
      <c r="G835" s="581"/>
      <c r="H835" s="768"/>
      <c r="I835" s="771"/>
      <c r="J835" s="774"/>
      <c r="K835" s="777"/>
    </row>
    <row r="836" spans="3:11" x14ac:dyDescent="0.2">
      <c r="C836" s="567">
        <v>833</v>
      </c>
      <c r="D836" s="578"/>
      <c r="E836" s="579"/>
      <c r="F836" s="580"/>
      <c r="G836" s="581"/>
      <c r="H836" s="768"/>
      <c r="I836" s="771"/>
      <c r="J836" s="774"/>
      <c r="K836" s="777"/>
    </row>
    <row r="837" spans="3:11" x14ac:dyDescent="0.2">
      <c r="C837" s="567">
        <v>834</v>
      </c>
      <c r="D837" s="578"/>
      <c r="E837" s="579"/>
      <c r="F837" s="580"/>
      <c r="G837" s="581"/>
      <c r="H837" s="768"/>
      <c r="I837" s="771"/>
      <c r="J837" s="774"/>
      <c r="K837" s="777"/>
    </row>
    <row r="838" spans="3:11" x14ac:dyDescent="0.2">
      <c r="C838" s="567">
        <v>835</v>
      </c>
      <c r="D838" s="578"/>
      <c r="E838" s="579"/>
      <c r="F838" s="580"/>
      <c r="G838" s="581"/>
      <c r="H838" s="768"/>
      <c r="I838" s="771"/>
      <c r="J838" s="774"/>
      <c r="K838" s="777"/>
    </row>
    <row r="839" spans="3:11" x14ac:dyDescent="0.2">
      <c r="C839" s="567">
        <v>836</v>
      </c>
      <c r="D839" s="578"/>
      <c r="E839" s="579"/>
      <c r="F839" s="580"/>
      <c r="G839" s="581"/>
      <c r="H839" s="768"/>
      <c r="I839" s="771"/>
      <c r="J839" s="774"/>
      <c r="K839" s="777"/>
    </row>
    <row r="840" spans="3:11" x14ac:dyDescent="0.2">
      <c r="C840" s="567">
        <v>837</v>
      </c>
      <c r="D840" s="578"/>
      <c r="E840" s="579"/>
      <c r="F840" s="580"/>
      <c r="G840" s="581"/>
      <c r="H840" s="768"/>
      <c r="I840" s="771"/>
      <c r="J840" s="774"/>
      <c r="K840" s="777"/>
    </row>
    <row r="841" spans="3:11" x14ac:dyDescent="0.2">
      <c r="C841" s="567">
        <v>838</v>
      </c>
      <c r="D841" s="578"/>
      <c r="E841" s="579"/>
      <c r="F841" s="580"/>
      <c r="G841" s="581"/>
      <c r="H841" s="768"/>
      <c r="I841" s="771"/>
      <c r="J841" s="774"/>
      <c r="K841" s="777"/>
    </row>
    <row r="842" spans="3:11" x14ac:dyDescent="0.2">
      <c r="C842" s="567">
        <v>839</v>
      </c>
      <c r="D842" s="578"/>
      <c r="E842" s="579"/>
      <c r="F842" s="580"/>
      <c r="G842" s="581"/>
      <c r="H842" s="768"/>
      <c r="I842" s="771"/>
      <c r="J842" s="774"/>
      <c r="K842" s="777"/>
    </row>
    <row r="843" spans="3:11" x14ac:dyDescent="0.2">
      <c r="C843" s="567">
        <v>840</v>
      </c>
      <c r="D843" s="578"/>
      <c r="E843" s="579"/>
      <c r="F843" s="580"/>
      <c r="G843" s="581"/>
      <c r="H843" s="768"/>
      <c r="I843" s="771"/>
      <c r="J843" s="774"/>
      <c r="K843" s="777"/>
    </row>
    <row r="844" spans="3:11" x14ac:dyDescent="0.2">
      <c r="C844" s="567">
        <v>841</v>
      </c>
      <c r="D844" s="578"/>
      <c r="E844" s="579"/>
      <c r="F844" s="580"/>
      <c r="G844" s="581"/>
      <c r="H844" s="768"/>
      <c r="I844" s="771"/>
      <c r="J844" s="774"/>
      <c r="K844" s="777"/>
    </row>
    <row r="845" spans="3:11" x14ac:dyDescent="0.2">
      <c r="C845" s="567">
        <v>842</v>
      </c>
      <c r="D845" s="578"/>
      <c r="E845" s="579"/>
      <c r="F845" s="580"/>
      <c r="G845" s="581"/>
      <c r="H845" s="768"/>
      <c r="I845" s="771"/>
      <c r="J845" s="774"/>
      <c r="K845" s="777"/>
    </row>
    <row r="846" spans="3:11" x14ac:dyDescent="0.2">
      <c r="C846" s="567">
        <v>843</v>
      </c>
      <c r="D846" s="578"/>
      <c r="E846" s="579"/>
      <c r="F846" s="580"/>
      <c r="G846" s="581"/>
      <c r="H846" s="768"/>
      <c r="I846" s="771"/>
      <c r="J846" s="774"/>
      <c r="K846" s="777"/>
    </row>
    <row r="847" spans="3:11" x14ac:dyDescent="0.2">
      <c r="C847" s="567">
        <v>844</v>
      </c>
      <c r="D847" s="578"/>
      <c r="E847" s="579"/>
      <c r="F847" s="580"/>
      <c r="G847" s="581"/>
      <c r="H847" s="768"/>
      <c r="I847" s="771"/>
      <c r="J847" s="774"/>
      <c r="K847" s="777"/>
    </row>
    <row r="848" spans="3:11" x14ac:dyDescent="0.2">
      <c r="C848" s="567">
        <v>845</v>
      </c>
      <c r="D848" s="578"/>
      <c r="E848" s="579"/>
      <c r="F848" s="580"/>
      <c r="G848" s="581"/>
      <c r="H848" s="768"/>
      <c r="I848" s="771"/>
      <c r="J848" s="774"/>
      <c r="K848" s="777"/>
    </row>
    <row r="849" spans="3:11" x14ac:dyDescent="0.2">
      <c r="C849" s="567">
        <v>846</v>
      </c>
      <c r="D849" s="578"/>
      <c r="E849" s="579"/>
      <c r="F849" s="580"/>
      <c r="G849" s="581"/>
      <c r="H849" s="768"/>
      <c r="I849" s="771"/>
      <c r="J849" s="774"/>
      <c r="K849" s="777"/>
    </row>
    <row r="850" spans="3:11" x14ac:dyDescent="0.2">
      <c r="C850" s="567">
        <v>847</v>
      </c>
      <c r="D850" s="578"/>
      <c r="E850" s="579"/>
      <c r="F850" s="580"/>
      <c r="G850" s="581"/>
      <c r="H850" s="768"/>
      <c r="I850" s="771"/>
      <c r="J850" s="774"/>
      <c r="K850" s="777"/>
    </row>
    <row r="851" spans="3:11" x14ac:dyDescent="0.2">
      <c r="C851" s="567">
        <v>848</v>
      </c>
      <c r="D851" s="578"/>
      <c r="E851" s="579"/>
      <c r="F851" s="580"/>
      <c r="G851" s="581"/>
      <c r="H851" s="768"/>
      <c r="I851" s="771"/>
      <c r="J851" s="774"/>
      <c r="K851" s="777"/>
    </row>
    <row r="852" spans="3:11" x14ac:dyDescent="0.2">
      <c r="C852" s="567">
        <v>849</v>
      </c>
      <c r="D852" s="578"/>
      <c r="E852" s="579"/>
      <c r="F852" s="580"/>
      <c r="G852" s="581"/>
      <c r="H852" s="768"/>
      <c r="I852" s="771"/>
      <c r="J852" s="774"/>
      <c r="K852" s="777"/>
    </row>
    <row r="853" spans="3:11" x14ac:dyDescent="0.2">
      <c r="C853" s="567">
        <v>850</v>
      </c>
      <c r="D853" s="578"/>
      <c r="E853" s="579"/>
      <c r="F853" s="580"/>
      <c r="G853" s="581"/>
      <c r="H853" s="768"/>
      <c r="I853" s="771"/>
      <c r="J853" s="774"/>
      <c r="K853" s="777"/>
    </row>
    <row r="854" spans="3:11" x14ac:dyDescent="0.2">
      <c r="C854" s="567">
        <v>851</v>
      </c>
      <c r="D854" s="578"/>
      <c r="E854" s="579"/>
      <c r="F854" s="580"/>
      <c r="G854" s="581"/>
      <c r="H854" s="768"/>
      <c r="I854" s="771"/>
      <c r="J854" s="774"/>
      <c r="K854" s="777"/>
    </row>
    <row r="855" spans="3:11" x14ac:dyDescent="0.2">
      <c r="C855" s="567">
        <v>852</v>
      </c>
      <c r="D855" s="578"/>
      <c r="E855" s="579"/>
      <c r="F855" s="580"/>
      <c r="G855" s="581"/>
      <c r="H855" s="768"/>
      <c r="I855" s="771"/>
      <c r="J855" s="774"/>
      <c r="K855" s="777"/>
    </row>
    <row r="856" spans="3:11" x14ac:dyDescent="0.2">
      <c r="C856" s="567">
        <v>853</v>
      </c>
      <c r="D856" s="578"/>
      <c r="E856" s="579"/>
      <c r="F856" s="580"/>
      <c r="G856" s="581"/>
      <c r="H856" s="768"/>
      <c r="I856" s="771"/>
      <c r="J856" s="774"/>
      <c r="K856" s="777"/>
    </row>
    <row r="857" spans="3:11" x14ac:dyDescent="0.2">
      <c r="C857" s="567">
        <v>854</v>
      </c>
      <c r="D857" s="578"/>
      <c r="E857" s="579"/>
      <c r="F857" s="580"/>
      <c r="G857" s="581"/>
      <c r="H857" s="768"/>
      <c r="I857" s="771"/>
      <c r="J857" s="774"/>
      <c r="K857" s="777"/>
    </row>
    <row r="858" spans="3:11" x14ac:dyDescent="0.2">
      <c r="C858" s="567">
        <v>855</v>
      </c>
      <c r="D858" s="578"/>
      <c r="E858" s="579"/>
      <c r="F858" s="580"/>
      <c r="G858" s="581"/>
      <c r="H858" s="768"/>
      <c r="I858" s="771"/>
      <c r="J858" s="774"/>
      <c r="K858" s="777"/>
    </row>
    <row r="859" spans="3:11" ht="16" x14ac:dyDescent="0.2">
      <c r="C859" s="567">
        <v>856</v>
      </c>
      <c r="D859" s="578" t="s">
        <v>1025</v>
      </c>
      <c r="E859" s="579" t="s">
        <v>1026</v>
      </c>
      <c r="F859" s="580" t="s">
        <v>1026</v>
      </c>
      <c r="G859" s="581" t="s">
        <v>1026</v>
      </c>
      <c r="H859" s="768" t="s">
        <v>1026</v>
      </c>
      <c r="I859" s="771" t="s">
        <v>1026</v>
      </c>
      <c r="J859" s="774" t="s">
        <v>1026</v>
      </c>
      <c r="K859" s="777" t="s">
        <v>1026</v>
      </c>
    </row>
    <row r="860" spans="3:11" ht="16" x14ac:dyDescent="0.2">
      <c r="C860" s="567">
        <v>857</v>
      </c>
      <c r="D860" s="578" t="s">
        <v>1027</v>
      </c>
      <c r="E860" s="579" t="s">
        <v>1027</v>
      </c>
      <c r="F860" s="580" t="s">
        <v>1027</v>
      </c>
      <c r="G860" s="581" t="s">
        <v>1027</v>
      </c>
      <c r="H860" s="581" t="s">
        <v>1027</v>
      </c>
      <c r="I860" s="581" t="s">
        <v>1027</v>
      </c>
      <c r="J860" s="581" t="s">
        <v>1027</v>
      </c>
      <c r="K860" s="581" t="s">
        <v>1027</v>
      </c>
    </row>
    <row r="861" spans="3:11" ht="16" x14ac:dyDescent="0.2">
      <c r="C861" s="567">
        <v>858</v>
      </c>
      <c r="D861" s="578" t="s">
        <v>1028</v>
      </c>
      <c r="E861" s="579" t="s">
        <v>1029</v>
      </c>
      <c r="F861" s="580" t="s">
        <v>1028</v>
      </c>
      <c r="G861" s="581" t="s">
        <v>1028</v>
      </c>
      <c r="H861" s="581" t="s">
        <v>1028</v>
      </c>
      <c r="I861" s="581" t="s">
        <v>1028</v>
      </c>
      <c r="J861" s="581" t="s">
        <v>1028</v>
      </c>
      <c r="K861" s="581" t="s">
        <v>1028</v>
      </c>
    </row>
  </sheetData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98D3A-E648-4D55-8C94-866ECAADCA26}">
  <dimension ref="C2:AK81"/>
  <sheetViews>
    <sheetView topLeftCell="A34" zoomScaleNormal="100" workbookViewId="0">
      <selection activeCell="B126" sqref="B126"/>
    </sheetView>
  </sheetViews>
  <sheetFormatPr baseColWidth="10" defaultColWidth="8.83203125" defaultRowHeight="13" x14ac:dyDescent="0.15"/>
  <cols>
    <col min="3" max="3" width="14" customWidth="1"/>
    <col min="4" max="4" width="20.5" customWidth="1"/>
    <col min="8" max="8" width="11.6640625" customWidth="1"/>
    <col min="9" max="9" width="20.5" customWidth="1"/>
  </cols>
  <sheetData>
    <row r="2" spans="3:24" ht="16" x14ac:dyDescent="0.2">
      <c r="C2" s="453" t="s">
        <v>2433</v>
      </c>
    </row>
    <row r="4" spans="3:24" x14ac:dyDescent="0.15">
      <c r="C4" t="s">
        <v>2418</v>
      </c>
    </row>
    <row r="5" spans="3:24" x14ac:dyDescent="0.15">
      <c r="C5" t="s">
        <v>2420</v>
      </c>
      <c r="D5" t="s">
        <v>2419</v>
      </c>
      <c r="N5" t="s">
        <v>2443</v>
      </c>
      <c r="R5" t="s">
        <v>2445</v>
      </c>
      <c r="T5" s="4" t="s">
        <v>2448</v>
      </c>
      <c r="U5" s="4" t="s">
        <v>2446</v>
      </c>
      <c r="V5" s="4" t="s">
        <v>2447</v>
      </c>
    </row>
    <row r="6" spans="3:24" ht="12.5" customHeight="1" x14ac:dyDescent="0.15">
      <c r="C6" t="s">
        <v>2421</v>
      </c>
      <c r="D6" t="s">
        <v>2061</v>
      </c>
      <c r="N6" t="s">
        <v>2449</v>
      </c>
      <c r="R6" t="s">
        <v>2350</v>
      </c>
      <c r="T6">
        <f>IF($E$9="LÄM-1",50,35)</f>
        <v>35</v>
      </c>
      <c r="U6">
        <f>IF($E$9="LÄM-1",45,30)</f>
        <v>30</v>
      </c>
      <c r="V6">
        <f>IF($E$9="LÄM-1",55,40)</f>
        <v>40</v>
      </c>
      <c r="X6" t="str" cm="1">
        <f t="array" ref="X6">IF($E$9="LÄM-1",INDEX(KirjastoC!$D$4:$K$500,198,KirjastoC!$B$4),IF($E$9=$C$6,INDEX(KirjastoC!$D$4:$K$500,198,KirjastoC!$B$4),""))</f>
        <v/>
      </c>
    </row>
    <row r="7" spans="3:24" ht="11.5" customHeight="1" x14ac:dyDescent="0.15">
      <c r="R7" t="s">
        <v>2351</v>
      </c>
      <c r="T7" s="129" t="str">
        <f>IF($E$9="LÄM-1",30,"25…30")</f>
        <v>25…30</v>
      </c>
      <c r="U7">
        <f>IF($E$9="LÄM-1",25,20)</f>
        <v>20</v>
      </c>
      <c r="V7">
        <f>IF($E$9="LÄM-1",35,35)</f>
        <v>35</v>
      </c>
    </row>
    <row r="8" spans="3:24" x14ac:dyDescent="0.15">
      <c r="C8" s="2" t="s">
        <v>2422</v>
      </c>
      <c r="E8">
        <v>1</v>
      </c>
      <c r="N8">
        <f>'C koodit'!G12</f>
        <v>2</v>
      </c>
      <c r="R8" s="95" t="str" cm="1">
        <f t="array" ref="R8">IF(N8&lt;3,INDEX(KirjastoC!$D$4:$K$500,196,KirjastoC!$B$4),"")</f>
        <v>Valitussa mallissa ei vesikiertoista lämmityspatteria</v>
      </c>
    </row>
    <row r="9" spans="3:24" x14ac:dyDescent="0.15">
      <c r="C9" s="2" t="s">
        <v>2423</v>
      </c>
      <c r="E9" t="str">
        <f>IF($N$8=3,C5,IF($N$8=4,C6,"Ei vesipatteria"))</f>
        <v>Ei vesipatteria</v>
      </c>
      <c r="F9" t="str">
        <f>IF($N$8=3,N5,IF($N$8=4,N6,"Ei vesipatteria"))</f>
        <v>Ei vesipatteria</v>
      </c>
    </row>
    <row r="10" spans="3:24" ht="15" x14ac:dyDescent="0.2">
      <c r="C10" s="1096" t="s">
        <v>2439</v>
      </c>
      <c r="D10" s="233" t="str">
        <f>IF($E$9="LÄM-1","Belimo C215Q-J, säätöasento 4 (kv = 1.5)","Belimo C220Q-K, säätöasento N (kv = 5.7)")</f>
        <v>Belimo C220Q-K, säätöasento N (kv = 5.7)</v>
      </c>
      <c r="M10" s="2" t="s">
        <v>2438</v>
      </c>
    </row>
    <row r="11" spans="3:24" ht="15" x14ac:dyDescent="0.2">
      <c r="C11" s="1096" t="s">
        <v>2440</v>
      </c>
      <c r="D11" s="129" t="str">
        <f>M74</f>
        <v>-</v>
      </c>
      <c r="M11" t="s">
        <v>2442</v>
      </c>
      <c r="O11" t="str">
        <f>V11</f>
        <v/>
      </c>
      <c r="U11" s="95" t="str" cm="1">
        <f t="array" ref="U11">CONCATENATE(INDEX(KirjastoC!$D$4:$K$500,199,KirjastoC!$B$4),F9)</f>
        <v>Valittu patterimalli soveltuu lämmitysvesille ~Ei vesipatteria</v>
      </c>
      <c r="V11" s="95" t="str">
        <f>IF(E51,U11,"")</f>
        <v/>
      </c>
    </row>
    <row r="12" spans="3:24" x14ac:dyDescent="0.15">
      <c r="M12" t="s">
        <v>486</v>
      </c>
      <c r="O12" t="str">
        <f>V12</f>
        <v>-</v>
      </c>
      <c r="P12" t="s">
        <v>2259</v>
      </c>
      <c r="U12" s="1347">
        <f>E23</f>
        <v>14.27786851233842</v>
      </c>
      <c r="V12" s="95" t="str">
        <f>IF($E$51,U12,"-")</f>
        <v>-</v>
      </c>
    </row>
    <row r="13" spans="3:24" ht="17" x14ac:dyDescent="0.25">
      <c r="C13" s="1096" t="s">
        <v>485</v>
      </c>
      <c r="D13" s="1097"/>
      <c r="E13" s="1110">
        <f>'C-series'!F93</f>
        <v>450</v>
      </c>
      <c r="F13" s="1097" t="s">
        <v>13</v>
      </c>
      <c r="G13" s="1097" t="s">
        <v>2234</v>
      </c>
      <c r="H13" s="1096"/>
      <c r="I13" s="1096" t="s">
        <v>2235</v>
      </c>
      <c r="J13" s="1096"/>
      <c r="K13" s="1096"/>
      <c r="M13" t="s">
        <v>2350</v>
      </c>
      <c r="O13" s="95" t="str">
        <f>IF(E53,"",X6)</f>
        <v/>
      </c>
      <c r="U13" s="314"/>
    </row>
    <row r="14" spans="3:24" ht="17" x14ac:dyDescent="0.25">
      <c r="C14" s="1096" t="s">
        <v>2237</v>
      </c>
      <c r="D14" s="1097"/>
      <c r="E14" s="1110">
        <f>'C-series'!F88</f>
        <v>-5</v>
      </c>
      <c r="F14" s="1097" t="s">
        <v>230</v>
      </c>
      <c r="G14" s="1097">
        <f>1.293*273.15/(E14+273.15)</f>
        <v>1.3171096401267945</v>
      </c>
      <c r="H14" s="1096" t="s">
        <v>2238</v>
      </c>
      <c r="I14" s="1096">
        <f>1005+0.2*E14</f>
        <v>1004</v>
      </c>
      <c r="J14" s="1096" t="s">
        <v>2239</v>
      </c>
      <c r="K14" s="1096"/>
      <c r="M14" t="s">
        <v>2351</v>
      </c>
      <c r="O14" s="95" t="str">
        <f>IF(J53,"",X6)</f>
        <v/>
      </c>
      <c r="U14" s="314"/>
    </row>
    <row r="15" spans="3:24" ht="17" x14ac:dyDescent="0.25">
      <c r="C15" s="1096" t="s">
        <v>2241</v>
      </c>
      <c r="D15" s="1097"/>
      <c r="E15" s="1110">
        <f>'C-series'!F89</f>
        <v>20</v>
      </c>
      <c r="F15" s="1097" t="s">
        <v>230</v>
      </c>
      <c r="G15" s="1097">
        <f>1.293*273.15/(E15+273.15)</f>
        <v>1.2047857752004092</v>
      </c>
      <c r="H15" s="1096" t="s">
        <v>2238</v>
      </c>
      <c r="I15" s="1096">
        <f>1005+0.2*E15</f>
        <v>1009</v>
      </c>
      <c r="J15" s="1096" t="s">
        <v>2239</v>
      </c>
      <c r="K15" s="1096"/>
    </row>
    <row r="16" spans="3:24" ht="15" x14ac:dyDescent="0.2">
      <c r="C16" s="1097"/>
      <c r="D16" s="1097"/>
      <c r="E16" s="1097"/>
      <c r="F16" s="1097"/>
      <c r="G16" s="1097"/>
      <c r="H16" s="1096"/>
      <c r="I16" s="1096"/>
      <c r="J16" s="1096"/>
      <c r="K16" s="1096"/>
      <c r="M16" s="532" t="s">
        <v>497</v>
      </c>
      <c r="N16" s="605"/>
      <c r="O16" s="533"/>
      <c r="P16" s="533"/>
      <c r="Q16" s="533"/>
      <c r="R16" s="533"/>
      <c r="S16" s="534"/>
    </row>
    <row r="17" spans="3:22" ht="15" x14ac:dyDescent="0.2">
      <c r="C17" s="1096" t="s">
        <v>2245</v>
      </c>
      <c r="D17" s="1097"/>
      <c r="E17" s="1097"/>
      <c r="F17" s="1097"/>
      <c r="G17" s="1097"/>
      <c r="H17" s="1096"/>
      <c r="I17" s="1096"/>
      <c r="J17" s="1096"/>
      <c r="K17" s="1096"/>
      <c r="M17" s="137" t="s">
        <v>491</v>
      </c>
      <c r="N17" s="606"/>
      <c r="O17" s="529"/>
      <c r="P17" s="529"/>
      <c r="Q17" s="529"/>
      <c r="R17" s="535" t="str">
        <f>V17</f>
        <v>-</v>
      </c>
      <c r="S17" s="536" t="s">
        <v>509</v>
      </c>
      <c r="U17">
        <f>E19</f>
        <v>50</v>
      </c>
      <c r="V17" t="str">
        <f t="shared" ref="V17:V22" si="0">IF($E$56,U17,"-")</f>
        <v>-</v>
      </c>
    </row>
    <row r="18" spans="3:22" ht="15" x14ac:dyDescent="0.2">
      <c r="C18" s="1096" t="str">
        <f>IF(E9=C5,"Valitulla patterilla lämmitysvedet n.50/30","Valitulla patterilla lämmitysvedet n. 35/20...25")</f>
        <v>Valitulla patterilla lämmitysvedet n. 35/20...25</v>
      </c>
      <c r="D18" s="1097"/>
      <c r="E18" s="1097"/>
      <c r="F18" s="1097"/>
      <c r="G18" s="1097"/>
      <c r="H18" s="1096"/>
      <c r="I18" s="1096"/>
      <c r="J18" s="1096"/>
      <c r="K18" s="1096"/>
      <c r="M18" s="137" t="s">
        <v>492</v>
      </c>
      <c r="N18" s="606"/>
      <c r="O18" s="529"/>
      <c r="P18" s="529"/>
      <c r="Q18" s="529"/>
      <c r="R18" s="535" t="str">
        <f t="shared" ref="R18:R22" si="1">V18</f>
        <v>-</v>
      </c>
      <c r="S18" s="536" t="s">
        <v>509</v>
      </c>
      <c r="U18" s="3">
        <f>E27</f>
        <v>14.453471889031768</v>
      </c>
      <c r="V18" t="str">
        <f t="shared" si="0"/>
        <v>-</v>
      </c>
    </row>
    <row r="19" spans="3:22" ht="17" x14ac:dyDescent="0.25">
      <c r="C19" s="1097" t="s">
        <v>2247</v>
      </c>
      <c r="D19" s="1097"/>
      <c r="E19" s="1110">
        <f>'C-series'!F90</f>
        <v>50</v>
      </c>
      <c r="F19" s="1097" t="s">
        <v>230</v>
      </c>
      <c r="G19" s="1097"/>
      <c r="H19" s="1096" t="s">
        <v>2253</v>
      </c>
      <c r="I19" s="1096">
        <f>(E19+E20)/2-(E15+E14)/2</f>
        <v>32.5</v>
      </c>
      <c r="J19" s="1096"/>
      <c r="K19" s="1096"/>
      <c r="M19" s="137" t="s">
        <v>498</v>
      </c>
      <c r="N19" s="606"/>
      <c r="O19" s="529"/>
      <c r="P19" s="529"/>
      <c r="Q19" s="529"/>
      <c r="R19" s="543" t="str">
        <f t="shared" si="1"/>
        <v>-</v>
      </c>
      <c r="S19" s="536" t="s">
        <v>974</v>
      </c>
      <c r="U19" s="213">
        <f>E28</f>
        <v>9.5954857600533669E-2</v>
      </c>
      <c r="V19" t="str">
        <f t="shared" si="0"/>
        <v>-</v>
      </c>
    </row>
    <row r="20" spans="3:22" ht="17" x14ac:dyDescent="0.25">
      <c r="C20" s="1097" t="s">
        <v>2251</v>
      </c>
      <c r="D20" s="1097"/>
      <c r="E20" s="1110">
        <f>'C-series'!F91</f>
        <v>30</v>
      </c>
      <c r="F20" s="1097" t="s">
        <v>230</v>
      </c>
      <c r="G20" s="1097"/>
      <c r="H20" s="1096" t="s">
        <v>2424</v>
      </c>
      <c r="I20" s="1096">
        <f>AVERAGE(E19:E20)-AVERAGE(E14:E15)</f>
        <v>32.5</v>
      </c>
      <c r="J20" s="1096"/>
      <c r="K20" s="1096"/>
      <c r="M20" s="137" t="s">
        <v>514</v>
      </c>
      <c r="N20" s="606"/>
      <c r="O20" s="529"/>
      <c r="P20" s="529"/>
      <c r="Q20" s="529"/>
      <c r="R20" s="535" t="str">
        <f t="shared" si="1"/>
        <v>-</v>
      </c>
      <c r="S20" s="536" t="s">
        <v>500</v>
      </c>
      <c r="U20" s="314">
        <f>E29</f>
        <v>0.16883839512999582</v>
      </c>
      <c r="V20" t="str">
        <f t="shared" si="0"/>
        <v>-</v>
      </c>
    </row>
    <row r="21" spans="3:22" ht="15" x14ac:dyDescent="0.2">
      <c r="C21" s="1097"/>
      <c r="D21" s="1097"/>
      <c r="E21" s="1097"/>
      <c r="F21" s="1097"/>
      <c r="G21" s="1097"/>
      <c r="J21" s="1096"/>
      <c r="K21" s="1096"/>
      <c r="M21" s="137" t="s">
        <v>556</v>
      </c>
      <c r="N21" s="606"/>
      <c r="O21" s="529"/>
      <c r="P21" s="529"/>
      <c r="Q21" s="529"/>
      <c r="R21" s="535" t="str">
        <f t="shared" si="1"/>
        <v>-</v>
      </c>
      <c r="S21" s="536" t="s">
        <v>500</v>
      </c>
      <c r="U21" s="314" t="str">
        <f>E30</f>
        <v>-</v>
      </c>
      <c r="V21" t="str">
        <f t="shared" si="0"/>
        <v>-</v>
      </c>
    </row>
    <row r="22" spans="3:22" ht="15" x14ac:dyDescent="0.2">
      <c r="C22" s="1097"/>
      <c r="D22" s="1097"/>
      <c r="E22" s="1097"/>
      <c r="F22" s="1097"/>
      <c r="G22" s="1097"/>
      <c r="J22" s="1096"/>
      <c r="K22" s="1096"/>
      <c r="M22" s="541" t="s">
        <v>501</v>
      </c>
      <c r="N22" s="607"/>
      <c r="O22" s="542"/>
      <c r="P22" s="542"/>
      <c r="Q22" s="542"/>
      <c r="R22" s="543" t="str">
        <f t="shared" si="1"/>
        <v>-</v>
      </c>
      <c r="S22" s="544" t="s">
        <v>502</v>
      </c>
      <c r="U22">
        <f>E36</f>
        <v>0.12135799349017691</v>
      </c>
      <c r="V22" t="str">
        <f t="shared" si="0"/>
        <v>-</v>
      </c>
    </row>
    <row r="23" spans="3:22" ht="15" x14ac:dyDescent="0.2">
      <c r="C23" s="1096" t="s">
        <v>2258</v>
      </c>
      <c r="D23" s="1097"/>
      <c r="E23" s="1111">
        <f>IF($E$9=$C$5,'C5 LÄM-1'!T13,'C5 LÄM-2'!T13)</f>
        <v>14.27786851233842</v>
      </c>
      <c r="F23" s="1097" t="s">
        <v>2259</v>
      </c>
      <c r="G23" s="1097"/>
      <c r="H23" s="1096"/>
      <c r="I23" s="1096"/>
      <c r="J23" s="1096"/>
      <c r="K23" s="1096"/>
      <c r="M23" s="1354" t="str">
        <f>V23</f>
        <v/>
      </c>
      <c r="N23" s="527"/>
      <c r="O23" s="529"/>
      <c r="P23" s="529"/>
      <c r="Q23" s="529"/>
      <c r="R23" s="529"/>
      <c r="S23" s="529"/>
      <c r="U23" t="str" cm="1">
        <f t="array" ref="U23">IF(E56,"",INDEX(KirjastoC!$D$4:$K$500,127,KirjastoC!$B$4))</f>
        <v>Ei käyttöalueella. Tarkista mitoitusarvot.</v>
      </c>
      <c r="V23" t="str">
        <f>IF(E51,U23,"")</f>
        <v/>
      </c>
    </row>
    <row r="24" spans="3:22" ht="15" x14ac:dyDescent="0.2">
      <c r="C24" s="1096" t="s">
        <v>2260</v>
      </c>
      <c r="D24" s="1097"/>
      <c r="E24" s="1111">
        <f>IF($E$9=$C$5,'C5 LÄM-1'!T14,'C5 LÄM-2'!T14)</f>
        <v>24.726735944515884</v>
      </c>
      <c r="F24" s="1097" t="s">
        <v>496</v>
      </c>
      <c r="G24" s="1097"/>
      <c r="H24" s="1096"/>
      <c r="I24" s="1096"/>
      <c r="J24" s="1096"/>
      <c r="K24" s="1096"/>
      <c r="M24" s="532" t="s">
        <v>503</v>
      </c>
      <c r="N24" s="605"/>
      <c r="O24" s="533"/>
      <c r="P24" s="533"/>
      <c r="Q24" s="533"/>
      <c r="R24" s="533"/>
      <c r="S24" s="545"/>
    </row>
    <row r="25" spans="3:22" ht="15" x14ac:dyDescent="0.2">
      <c r="C25" s="1097"/>
      <c r="D25" s="1097"/>
      <c r="E25" s="1097"/>
      <c r="F25" s="1097"/>
      <c r="G25" s="1097"/>
      <c r="H25" s="1096"/>
      <c r="I25" s="1096"/>
      <c r="J25" s="1096"/>
      <c r="K25" s="1096"/>
      <c r="M25" s="137" t="s">
        <v>491</v>
      </c>
      <c r="N25" s="606"/>
      <c r="O25" s="529"/>
      <c r="P25" s="529"/>
      <c r="Q25" s="529"/>
      <c r="R25" s="535" t="str">
        <f>V25</f>
        <v>-</v>
      </c>
      <c r="S25" s="536" t="s">
        <v>509</v>
      </c>
      <c r="U25" s="3">
        <f>J27</f>
        <v>34.453471889031768</v>
      </c>
      <c r="V25" t="str">
        <f t="shared" ref="V25:V30" si="2">IF($J$56,U25,"-")</f>
        <v>-</v>
      </c>
    </row>
    <row r="26" spans="3:22" ht="15" x14ac:dyDescent="0.2">
      <c r="C26" s="1103" t="s">
        <v>2435</v>
      </c>
      <c r="D26" s="1097"/>
      <c r="E26" s="1097"/>
      <c r="F26" s="1097"/>
      <c r="G26" s="1097"/>
      <c r="H26" s="1103" t="s">
        <v>2436</v>
      </c>
      <c r="I26" s="1097"/>
      <c r="J26" s="1097"/>
      <c r="K26" s="1097"/>
      <c r="M26" s="137" t="s">
        <v>492</v>
      </c>
      <c r="N26" s="606"/>
      <c r="O26" s="529"/>
      <c r="P26" s="529"/>
      <c r="Q26" s="529"/>
      <c r="R26" s="535" t="str">
        <f t="shared" ref="R26:R32" si="3">V26</f>
        <v>-</v>
      </c>
      <c r="S26" s="536" t="s">
        <v>509</v>
      </c>
      <c r="U26">
        <f>E20</f>
        <v>30</v>
      </c>
      <c r="V26" t="str">
        <f t="shared" si="2"/>
        <v>-</v>
      </c>
    </row>
    <row r="27" spans="3:22" ht="17" x14ac:dyDescent="0.25">
      <c r="C27" s="1096" t="s">
        <v>2251</v>
      </c>
      <c r="D27" s="1097"/>
      <c r="E27" s="1116">
        <f>2*E24-E19+E15+E14</f>
        <v>14.453471889031768</v>
      </c>
      <c r="F27" s="1097" t="s">
        <v>230</v>
      </c>
      <c r="G27" s="1097"/>
      <c r="H27" s="1096" t="s">
        <v>2247</v>
      </c>
      <c r="I27" s="1097"/>
      <c r="J27" s="1117">
        <f>2*E24-E20+E15+E14</f>
        <v>34.453471889031768</v>
      </c>
      <c r="K27" s="1097" t="s">
        <v>230</v>
      </c>
      <c r="M27" s="137" t="s">
        <v>498</v>
      </c>
      <c r="N27" s="606"/>
      <c r="O27" s="529"/>
      <c r="P27" s="529"/>
      <c r="Q27" s="529"/>
      <c r="R27" s="543" t="str">
        <f t="shared" si="3"/>
        <v>-</v>
      </c>
      <c r="S27" s="536" t="s">
        <v>974</v>
      </c>
      <c r="U27" s="213">
        <f>J28</f>
        <v>0.76588830648774597</v>
      </c>
      <c r="V27" t="str">
        <f t="shared" si="2"/>
        <v>-</v>
      </c>
    </row>
    <row r="28" spans="3:22" ht="15" x14ac:dyDescent="0.2">
      <c r="C28" s="1096" t="s">
        <v>498</v>
      </c>
      <c r="D28" s="1097"/>
      <c r="E28" s="1118">
        <f>E23/(E19-E27)/4.186</f>
        <v>9.5954857600533669E-2</v>
      </c>
      <c r="F28" s="1097" t="s">
        <v>13</v>
      </c>
      <c r="G28" s="1097"/>
      <c r="H28" s="1096" t="s">
        <v>498</v>
      </c>
      <c r="I28" s="1097"/>
      <c r="J28" s="1119">
        <f>E23/(J27-E20)/4.186</f>
        <v>0.76588830648774597</v>
      </c>
      <c r="K28" s="1097" t="s">
        <v>13</v>
      </c>
      <c r="M28" s="137" t="s">
        <v>514</v>
      </c>
      <c r="N28" s="606"/>
      <c r="O28" s="529"/>
      <c r="P28" s="529"/>
      <c r="Q28" s="529"/>
      <c r="R28" s="535" t="str">
        <f t="shared" si="3"/>
        <v>-</v>
      </c>
      <c r="S28" s="536" t="s">
        <v>500</v>
      </c>
      <c r="U28" s="314">
        <f>J29</f>
        <v>8.5140917411143064</v>
      </c>
      <c r="V28" t="str">
        <f t="shared" si="2"/>
        <v>-</v>
      </c>
    </row>
    <row r="29" spans="3:22" ht="15" x14ac:dyDescent="0.2">
      <c r="C29" s="1096" t="s">
        <v>514</v>
      </c>
      <c r="D29" s="1097"/>
      <c r="E29" s="1120">
        <f>IF($E$9=$C$5,'C5 LÄM-1'!T19,'C5 LÄM-2'!T19)</f>
        <v>0.16883839512999582</v>
      </c>
      <c r="F29" s="1097" t="s">
        <v>500</v>
      </c>
      <c r="G29" s="1097"/>
      <c r="H29" s="1096" t="s">
        <v>514</v>
      </c>
      <c r="I29" s="1097"/>
      <c r="J29" s="1120">
        <f>IF($E$9=$C$5,'C5 LÄM-1'!Y19,'C5 LÄM-2'!Y19)</f>
        <v>8.5140917411143064</v>
      </c>
      <c r="K29" s="1097" t="s">
        <v>500</v>
      </c>
      <c r="M29" s="137" t="s">
        <v>556</v>
      </c>
      <c r="N29" s="606"/>
      <c r="O29" s="529"/>
      <c r="P29" s="529"/>
      <c r="Q29" s="529"/>
      <c r="R29" s="535" t="str">
        <f t="shared" si="3"/>
        <v>-</v>
      </c>
      <c r="S29" s="536" t="s">
        <v>500</v>
      </c>
      <c r="U29" s="314" t="str">
        <f>J30</f>
        <v>-</v>
      </c>
      <c r="V29" t="str">
        <f t="shared" si="2"/>
        <v>-</v>
      </c>
    </row>
    <row r="30" spans="3:22" ht="15" x14ac:dyDescent="0.2">
      <c r="C30" s="1096" t="s">
        <v>2441</v>
      </c>
      <c r="D30" s="1097"/>
      <c r="E30" s="1120" t="str">
        <f>IF(ISNUMBER(D11),(E28*3.6/D11)^2*100,"-")</f>
        <v>-</v>
      </c>
      <c r="F30" s="1097" t="s">
        <v>500</v>
      </c>
      <c r="G30" s="1097"/>
      <c r="H30" s="1096" t="s">
        <v>2441</v>
      </c>
      <c r="I30" s="1097"/>
      <c r="J30" s="1120" t="str">
        <f>IF(ISNUMBER(D11),(J28*3.6/D11)^2*100,"-")</f>
        <v>-</v>
      </c>
      <c r="K30" s="1097"/>
      <c r="M30" s="541" t="s">
        <v>501</v>
      </c>
      <c r="N30" s="607"/>
      <c r="O30" s="542"/>
      <c r="P30" s="542"/>
      <c r="Q30" s="542"/>
      <c r="R30" s="543" t="str">
        <f t="shared" si="3"/>
        <v>-</v>
      </c>
      <c r="S30" s="544" t="s">
        <v>502</v>
      </c>
      <c r="U30">
        <f>J36</f>
        <v>0.96864995099972462</v>
      </c>
      <c r="V30" t="str">
        <f t="shared" si="2"/>
        <v>-</v>
      </c>
    </row>
    <row r="31" spans="3:22" ht="15" x14ac:dyDescent="0.2">
      <c r="C31" s="1097"/>
      <c r="D31" s="1193" t="s">
        <v>2483</v>
      </c>
      <c r="E31" s="1097" t="e">
        <f>36*E28/SQRT(E30)</f>
        <v>#VALUE!</v>
      </c>
      <c r="F31" s="1097"/>
      <c r="G31" s="1097"/>
      <c r="H31" s="1096"/>
      <c r="I31" s="1096"/>
      <c r="J31" s="1096"/>
      <c r="K31" s="1096"/>
      <c r="M31" s="1354" t="str">
        <f>V31</f>
        <v/>
      </c>
      <c r="R31" s="1353" t="str">
        <f t="shared" si="3"/>
        <v/>
      </c>
      <c r="U31" t="str" cm="1">
        <f t="array" ref="U31">IF(J56,"",INDEX(KirjastoC!$D$4:$K$500,127,KirjastoC!$B$4))</f>
        <v>Ei käyttöalueella. Tarkista mitoitusarvot.</v>
      </c>
      <c r="V31" t="str">
        <f>IF(J51,U31,"")</f>
        <v/>
      </c>
    </row>
    <row r="32" spans="3:22" ht="15" x14ac:dyDescent="0.2">
      <c r="C32" s="1103" t="s">
        <v>2434</v>
      </c>
      <c r="H32" s="1103" t="s">
        <v>2434</v>
      </c>
      <c r="M32" s="1355" t="str">
        <f>V32</f>
        <v/>
      </c>
      <c r="R32" s="1377" t="str">
        <f t="shared" si="3"/>
        <v/>
      </c>
      <c r="U32" t="str">
        <f>N74</f>
        <v>-</v>
      </c>
      <c r="V32" t="str">
        <f>IF(E51,U32,"")</f>
        <v/>
      </c>
    </row>
    <row r="33" spans="3:18" ht="15" x14ac:dyDescent="0.2">
      <c r="C33" s="1096" t="s">
        <v>2271</v>
      </c>
      <c r="D33" s="1096"/>
      <c r="E33" s="1337">
        <f>IF($E$9=$C$5,'C5 LÄM-1'!T21,'C5 LÄM-2'!T22)</f>
        <v>13</v>
      </c>
      <c r="F33" s="1096" t="s">
        <v>2272</v>
      </c>
      <c r="G33" s="1096"/>
      <c r="H33" s="1096" t="s">
        <v>2271</v>
      </c>
      <c r="I33" s="1096"/>
      <c r="J33" s="1337">
        <f>IF($E$9=$C$5,'C5 LÄM-1'!Y21,'C5 LÄM-2'!Y22)</f>
        <v>13</v>
      </c>
      <c r="K33" s="1096" t="s">
        <v>2272</v>
      </c>
    </row>
    <row r="34" spans="3:18" ht="15" x14ac:dyDescent="0.2">
      <c r="C34" s="1096" t="s">
        <v>2275</v>
      </c>
      <c r="D34" s="1096"/>
      <c r="E34" s="1097">
        <f>E28/E33</f>
        <v>7.3811428923487438E-3</v>
      </c>
      <c r="F34" s="1096" t="s">
        <v>13</v>
      </c>
      <c r="G34" s="1096"/>
      <c r="H34" s="1096" t="s">
        <v>2275</v>
      </c>
      <c r="I34" s="1096"/>
      <c r="J34" s="1097">
        <f>J28/J33</f>
        <v>5.8914485114442E-2</v>
      </c>
      <c r="K34" s="1096" t="s">
        <v>13</v>
      </c>
    </row>
    <row r="35" spans="3:18" ht="15" x14ac:dyDescent="0.2">
      <c r="C35" s="1096" t="s">
        <v>2278</v>
      </c>
      <c r="D35" s="1096"/>
      <c r="E35" s="1125">
        <f>9.52-2*0.36</f>
        <v>8.7999999999999989</v>
      </c>
      <c r="F35" s="1096" t="s">
        <v>2279</v>
      </c>
      <c r="G35" s="1096"/>
      <c r="H35" s="1096" t="s">
        <v>2278</v>
      </c>
      <c r="I35" s="1096"/>
      <c r="J35" s="1125">
        <f>9.52-2*0.36</f>
        <v>8.7999999999999989</v>
      </c>
      <c r="K35" s="1096" t="s">
        <v>2279</v>
      </c>
      <c r="M35" t="s">
        <v>2437</v>
      </c>
      <c r="Q35" s="3">
        <f>IF($E$9=$C$5,'C5 LÄM-1'!AC4,IF('C5 Lämmitys'!$E$9='C5 Lämmitys'!$C$6,'C5 LÄM-2'!AC4,0))</f>
        <v>0</v>
      </c>
      <c r="R35" t="s">
        <v>14</v>
      </c>
    </row>
    <row r="36" spans="3:18" ht="15" x14ac:dyDescent="0.2">
      <c r="C36" s="1096" t="s">
        <v>501</v>
      </c>
      <c r="D36" s="1096"/>
      <c r="E36" s="1097">
        <f>E34/1000/(PI()*(E35/1000/2)^2)</f>
        <v>0.12135799349017691</v>
      </c>
      <c r="F36" s="1096" t="s">
        <v>502</v>
      </c>
      <c r="G36" s="1096"/>
      <c r="H36" s="1096" t="s">
        <v>501</v>
      </c>
      <c r="I36" s="1096"/>
      <c r="J36" s="1097">
        <f>J34/1000/(PI()*(J35/1000/2)^2)</f>
        <v>0.96864995099972462</v>
      </c>
      <c r="K36" s="1096" t="s">
        <v>502</v>
      </c>
      <c r="M36" t="s">
        <v>2461</v>
      </c>
      <c r="Q36" s="3">
        <f>Q35-'C5 LÄM-1'!AC4</f>
        <v>-14.181196633978168</v>
      </c>
      <c r="R36" t="s">
        <v>14</v>
      </c>
    </row>
    <row r="37" spans="3:18" ht="15" x14ac:dyDescent="0.2">
      <c r="C37" s="1096" t="s">
        <v>2283</v>
      </c>
      <c r="D37" s="1096"/>
      <c r="E37" s="1129">
        <f>1000*E36*E35/1000/0.0007</f>
        <v>1525.6433467336524</v>
      </c>
      <c r="F37" s="1096"/>
      <c r="G37" s="1096"/>
      <c r="H37" s="1096" t="s">
        <v>2283</v>
      </c>
      <c r="I37" s="1096"/>
      <c r="J37" s="1129">
        <f>1000*J36*J35/1000/0.0007</f>
        <v>12177.313669710824</v>
      </c>
      <c r="K37" s="1096"/>
    </row>
    <row r="39" spans="3:18" ht="15" x14ac:dyDescent="0.2">
      <c r="C39" s="1096" t="s">
        <v>2427</v>
      </c>
    </row>
    <row r="40" spans="3:18" ht="15" x14ac:dyDescent="0.2">
      <c r="C40" s="1096" t="s">
        <v>2428</v>
      </c>
      <c r="E40" s="1338">
        <v>2</v>
      </c>
      <c r="F40" t="s">
        <v>13</v>
      </c>
    </row>
    <row r="41" spans="3:18" ht="15" x14ac:dyDescent="0.2">
      <c r="C41" s="1096" t="s">
        <v>2429</v>
      </c>
      <c r="E41" s="1338">
        <v>60</v>
      </c>
      <c r="F41" t="s">
        <v>500</v>
      </c>
    </row>
    <row r="42" spans="3:18" ht="15" x14ac:dyDescent="0.2">
      <c r="C42" s="1096" t="s">
        <v>2431</v>
      </c>
      <c r="E42" s="1338">
        <v>2000</v>
      </c>
    </row>
    <row r="49" spans="3:37" ht="14" thickBot="1" x14ac:dyDescent="0.2">
      <c r="M49" s="2" t="s">
        <v>2641</v>
      </c>
    </row>
    <row r="50" spans="3:37" ht="15" x14ac:dyDescent="0.2">
      <c r="C50" s="1103" t="s">
        <v>2425</v>
      </c>
      <c r="H50" s="1103" t="s">
        <v>2425</v>
      </c>
      <c r="M50" s="1378" t="s">
        <v>2633</v>
      </c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1"/>
    </row>
    <row r="51" spans="3:37" ht="15" x14ac:dyDescent="0.2">
      <c r="C51" s="1103" t="s">
        <v>2444</v>
      </c>
      <c r="E51" s="95" t="b">
        <f>IF($N$8&gt;2,TRUE,FALSE)</f>
        <v>0</v>
      </c>
      <c r="H51" s="1103" t="s">
        <v>2444</v>
      </c>
      <c r="J51" s="95" t="b">
        <f>IF($N$8&gt;2,TRUE,FALSE)</f>
        <v>0</v>
      </c>
      <c r="M51" s="232"/>
      <c r="AK51" s="364"/>
    </row>
    <row r="52" spans="3:37" ht="15" x14ac:dyDescent="0.2">
      <c r="C52" s="1096" t="s">
        <v>2426</v>
      </c>
      <c r="E52" s="95" t="b">
        <f>IF(E28&lt;=E40,TRUE,FALSE)</f>
        <v>1</v>
      </c>
      <c r="H52" s="1096" t="s">
        <v>2426</v>
      </c>
      <c r="J52" s="95" t="b">
        <f>IF(J28&lt;=E40,TRUE,FALSE)</f>
        <v>1</v>
      </c>
      <c r="M52" s="232" t="str" cm="1">
        <f t="array" ref="M52">INDEX(KirjastoC!$D$4:$K$500,202,KirjastoC!$B$4)</f>
        <v>* Ei valittuna säätöventtiiliä ja toimilaitetta / lämmitysryhmää</v>
      </c>
      <c r="AK52" s="364"/>
    </row>
    <row r="53" spans="3:37" ht="15" x14ac:dyDescent="0.2">
      <c r="C53" s="1096" t="s">
        <v>2450</v>
      </c>
      <c r="E53" s="95" t="b">
        <f>IF(AND(E19&gt;=U6,E19&lt;=V6),TRUE,FALSE)</f>
        <v>0</v>
      </c>
      <c r="H53" s="1096" t="s">
        <v>2451</v>
      </c>
      <c r="J53" s="95" t="b">
        <f>IF(AND(E20&gt;=U7,E20&lt;=V7),TRUE,FALSE)</f>
        <v>1</v>
      </c>
      <c r="M53" s="232" t="str" cm="1">
        <f t="array" ref="M53">INDEX(KirjastoC!$D$4:$K$500,203,KirjastoC!$B$4)</f>
        <v>* Toimituksessa: Jälkilämmityksen 2-tieventtiili ja toimilaite - patterin 50/30 mukaan (kvs = 1,5).</v>
      </c>
      <c r="AK53" s="364"/>
    </row>
    <row r="54" spans="3:37" ht="15" x14ac:dyDescent="0.2">
      <c r="C54" s="1096" t="s">
        <v>2430</v>
      </c>
      <c r="E54" s="95" t="b">
        <f>IF(ISERROR(E29),FALSE,IF(E29&lt;=E41,TRUE,FALSE))</f>
        <v>1</v>
      </c>
      <c r="H54" s="1096" t="s">
        <v>2430</v>
      </c>
      <c r="J54" s="95" t="b">
        <f>IF(ISERROR(J29),FALSE,IF(J29&lt;=E41,TRUE,FALSE))</f>
        <v>1</v>
      </c>
      <c r="M54" s="232" t="str" cm="1">
        <f t="array" ref="M54">INDEX(KirjastoC!$D$4:$K$500,204,KirjastoC!$B$4)</f>
        <v>* Toimituksessa: Jälkilämmityksen pumppuryhmä 50/30 kasattuna ja eristettynä (kvs = 1,5).</v>
      </c>
      <c r="AK54" s="364"/>
    </row>
    <row r="55" spans="3:37" ht="15" x14ac:dyDescent="0.2">
      <c r="C55" s="1096" t="s">
        <v>2432</v>
      </c>
      <c r="E55" s="95" t="b">
        <f>IF(E37&gt;=E42,TRUE,FALSE)</f>
        <v>0</v>
      </c>
      <c r="H55" s="1096" t="s">
        <v>2432</v>
      </c>
      <c r="J55" s="95" t="b">
        <f>IF(J37&gt;=E42,TRUE,FALSE)</f>
        <v>1</v>
      </c>
      <c r="M55" s="232" t="str" cm="1">
        <f t="array" ref="M55">INDEX(KirjastoC!$D$4:$K$500,205,KirjastoC!$B$4)</f>
        <v>* Toimituksessa: Jälkilämmityksen 2-tieventtiili ja toimilaite - patterin 35/25 - 35/30 mukaan (kvs = 5,7).</v>
      </c>
      <c r="AK55" s="364"/>
    </row>
    <row r="56" spans="3:37" ht="15" x14ac:dyDescent="0.2">
      <c r="C56" s="1096" t="s">
        <v>2107</v>
      </c>
      <c r="E56" s="278" t="b">
        <f>IF(AND(E51,E52,E53,E54,E55),TRUE,FALSE)</f>
        <v>0</v>
      </c>
      <c r="H56" s="1096" t="s">
        <v>2107</v>
      </c>
      <c r="J56" s="278" t="b">
        <f>IF(AND(J51,J52,J53,J54,J55),TRUE,FALSE)</f>
        <v>0</v>
      </c>
      <c r="M56" s="232" t="str" cm="1">
        <f t="array" ref="M56">INDEX(KirjastoC!$D$4:$K$500,206,KirjastoC!$B$4)</f>
        <v>* Toimituksessa: Jälkilämmityksen pumppuryhmä 35/25 - 35/30 kasattuna ja eristettynä (kvs = 5,7).</v>
      </c>
      <c r="AK56" s="364"/>
    </row>
    <row r="57" spans="3:37" x14ac:dyDescent="0.15">
      <c r="M57" s="232"/>
      <c r="AK57" s="364"/>
    </row>
    <row r="58" spans="3:37" x14ac:dyDescent="0.15">
      <c r="M58" s="232" t="s">
        <v>2634</v>
      </c>
      <c r="AK58" s="364"/>
    </row>
    <row r="59" spans="3:37" x14ac:dyDescent="0.15">
      <c r="M59" s="232">
        <f>'C koodit'!G12</f>
        <v>2</v>
      </c>
      <c r="N59" t="str">
        <f>'C-selection'!AL12</f>
        <v>12 = Electric, Jälkilämmityspaketti 2: Sulakekoko 400VAC 3x25A, max ottoteho 14,4 kW - Oma jälkilämmityksen syöttö (malleihin C5, Cxx),  Vakiotoimitus konekoossa C5 Electric jos ei muuta pyydetty</v>
      </c>
      <c r="AK59" s="364"/>
    </row>
    <row r="60" spans="3:37" x14ac:dyDescent="0.15">
      <c r="M60" s="232">
        <f>'C koodit'!H12</f>
        <v>1</v>
      </c>
      <c r="N60" t="str">
        <f>'C-selection'!AL13</f>
        <v>1 = Electric, Vakiona valitun teholuokan mukaiset varusteet (Huom! Electric malleissa jälkilämmityksen oma sähkönsyöttö)</v>
      </c>
      <c r="AK60" s="364"/>
    </row>
    <row r="61" spans="3:37" x14ac:dyDescent="0.15">
      <c r="M61" s="232"/>
      <c r="AK61" s="364"/>
    </row>
    <row r="62" spans="3:37" x14ac:dyDescent="0.15">
      <c r="M62" s="1379" t="s">
        <v>2635</v>
      </c>
      <c r="O62" s="2">
        <v>3</v>
      </c>
      <c r="AK62" s="364"/>
    </row>
    <row r="63" spans="3:37" x14ac:dyDescent="0.15">
      <c r="M63" s="232" t="s">
        <v>393</v>
      </c>
      <c r="N63" t="str">
        <f>M52</f>
        <v>* Ei valittuna säätöventtiiliä ja toimilaitetta / lämmitysryhmää</v>
      </c>
      <c r="AK63" s="364"/>
    </row>
    <row r="64" spans="3:37" x14ac:dyDescent="0.15">
      <c r="M64" s="232">
        <v>1.5</v>
      </c>
      <c r="N64" t="str">
        <f>M53</f>
        <v>* Toimituksessa: Jälkilämmityksen 2-tieventtiili ja toimilaite - patterin 50/30 mukaan (kvs = 1,5).</v>
      </c>
      <c r="AK64" s="364"/>
    </row>
    <row r="65" spans="13:37" x14ac:dyDescent="0.15">
      <c r="M65" s="232">
        <v>1.5</v>
      </c>
      <c r="N65" t="str">
        <f>M54</f>
        <v>* Toimituksessa: Jälkilämmityksen pumppuryhmä 50/30 kasattuna ja eristettynä (kvs = 1,5).</v>
      </c>
      <c r="AK65" s="364"/>
    </row>
    <row r="66" spans="13:37" x14ac:dyDescent="0.15">
      <c r="M66" s="232"/>
      <c r="AK66" s="364"/>
    </row>
    <row r="67" spans="13:37" x14ac:dyDescent="0.15">
      <c r="M67" s="1379" t="s">
        <v>2635</v>
      </c>
      <c r="O67" s="2">
        <v>4</v>
      </c>
      <c r="AK67" s="364"/>
    </row>
    <row r="68" spans="13:37" x14ac:dyDescent="0.15">
      <c r="M68" s="232" t="s">
        <v>393</v>
      </c>
      <c r="N68" t="str">
        <f>M52</f>
        <v>* Ei valittuna säätöventtiiliä ja toimilaitetta / lämmitysryhmää</v>
      </c>
      <c r="AK68" s="364"/>
    </row>
    <row r="69" spans="13:37" x14ac:dyDescent="0.15">
      <c r="M69" s="232">
        <v>5.7</v>
      </c>
      <c r="N69" t="str">
        <f>M55</f>
        <v>* Toimituksessa: Jälkilämmityksen 2-tieventtiili ja toimilaite - patterin 35/25 - 35/30 mukaan (kvs = 5,7).</v>
      </c>
      <c r="AK69" s="364"/>
    </row>
    <row r="70" spans="13:37" x14ac:dyDescent="0.15">
      <c r="M70" s="232">
        <v>5.7</v>
      </c>
      <c r="N70" t="str">
        <f>M56</f>
        <v>* Toimituksessa: Jälkilämmityksen pumppuryhmä 35/25 - 35/30 kasattuna ja eristettynä (kvs = 5,7).</v>
      </c>
      <c r="AK70" s="364"/>
    </row>
    <row r="71" spans="13:37" x14ac:dyDescent="0.15">
      <c r="M71" s="232"/>
      <c r="AK71" s="364"/>
    </row>
    <row r="72" spans="13:37" x14ac:dyDescent="0.15">
      <c r="M72" s="1379" t="s">
        <v>2636</v>
      </c>
      <c r="AK72" s="364"/>
    </row>
    <row r="73" spans="13:37" x14ac:dyDescent="0.15">
      <c r="M73" s="1379" t="s">
        <v>2637</v>
      </c>
      <c r="N73" s="2" t="s">
        <v>2638</v>
      </c>
      <c r="AK73" s="364"/>
    </row>
    <row r="74" spans="13:37" x14ac:dyDescent="0.15">
      <c r="M74" s="232" t="str" cm="1">
        <f t="array" ref="M74">IF($M$59=$O$62,INDEX(M63:M65,$M$60),IF($M$59=$O$67,INDEX(M68:M70,$M$60),"-"))</f>
        <v>-</v>
      </c>
      <c r="N74" t="str" cm="1">
        <f t="array" ref="N74">IF($M$59=$O$62,INDEX(N63:N65,$M$60),IF($M$59=$O$67,INDEX(N68:N70,$M$60),"-"))</f>
        <v>-</v>
      </c>
      <c r="AK74" s="364"/>
    </row>
    <row r="75" spans="13:37" x14ac:dyDescent="0.15">
      <c r="M75" s="232"/>
      <c r="AK75" s="364"/>
    </row>
    <row r="76" spans="13:37" x14ac:dyDescent="0.15">
      <c r="M76" s="232"/>
      <c r="AK76" s="364"/>
    </row>
    <row r="77" spans="13:37" x14ac:dyDescent="0.15">
      <c r="M77" s="232"/>
      <c r="AK77" s="364"/>
    </row>
    <row r="78" spans="13:37" x14ac:dyDescent="0.15">
      <c r="M78" s="232"/>
      <c r="AK78" s="364"/>
    </row>
    <row r="79" spans="13:37" x14ac:dyDescent="0.15">
      <c r="M79" s="232"/>
      <c r="AK79" s="364"/>
    </row>
    <row r="80" spans="13:37" x14ac:dyDescent="0.15">
      <c r="M80" s="232"/>
      <c r="AK80" s="364"/>
    </row>
    <row r="81" spans="13:37" ht="14" thickBot="1" x14ac:dyDescent="0.2">
      <c r="M81" s="236"/>
      <c r="N81" s="238"/>
      <c r="O81" s="238"/>
      <c r="P81" s="238"/>
      <c r="Q81" s="238"/>
      <c r="R81" s="238"/>
      <c r="S81" s="238"/>
      <c r="T81" s="238"/>
      <c r="U81" s="238"/>
      <c r="V81" s="238"/>
      <c r="W81" s="238"/>
      <c r="X81" s="238"/>
      <c r="Y81" s="238"/>
      <c r="Z81" s="238"/>
      <c r="AA81" s="238"/>
      <c r="AB81" s="238"/>
      <c r="AC81" s="238"/>
      <c r="AD81" s="238"/>
      <c r="AE81" s="238"/>
      <c r="AF81" s="238"/>
      <c r="AG81" s="238"/>
      <c r="AH81" s="238"/>
      <c r="AI81" s="238"/>
      <c r="AJ81" s="238"/>
      <c r="AK81" s="239"/>
    </row>
  </sheetData>
  <conditionalFormatting sqref="E37">
    <cfRule type="cellIs" dxfId="62" priority="18" operator="between">
      <formula>2500</formula>
      <formula>4000</formula>
    </cfRule>
    <cfRule type="cellIs" dxfId="61" priority="19" operator="lessThan">
      <formula>2500</formula>
    </cfRule>
    <cfRule type="cellIs" dxfId="60" priority="20" operator="greaterThan">
      <formula>4000</formula>
    </cfRule>
  </conditionalFormatting>
  <conditionalFormatting sqref="E51:E56">
    <cfRule type="containsText" dxfId="59" priority="13" operator="containsText" text="EPÄTOSI">
      <formula>NOT(ISERROR(SEARCH("EPÄTOSI",E51)))</formula>
    </cfRule>
    <cfRule type="containsText" dxfId="58" priority="14" operator="containsText" text="TOSI">
      <formula>NOT(ISERROR(SEARCH("TOSI",E51)))</formula>
    </cfRule>
  </conditionalFormatting>
  <conditionalFormatting sqref="J37">
    <cfRule type="cellIs" dxfId="57" priority="15" operator="between">
      <formula>2500</formula>
      <formula>4000</formula>
    </cfRule>
    <cfRule type="cellIs" dxfId="56" priority="16" operator="lessThan">
      <formula>2500</formula>
    </cfRule>
    <cfRule type="cellIs" dxfId="55" priority="17" operator="greaterThan">
      <formula>4000</formula>
    </cfRule>
  </conditionalFormatting>
  <conditionalFormatting sqref="J51:J56">
    <cfRule type="containsText" dxfId="54" priority="1" operator="containsText" text="EPÄTOSI">
      <formula>NOT(ISERROR(SEARCH("EPÄTOSI",J51)))</formula>
    </cfRule>
    <cfRule type="containsText" dxfId="53" priority="2" operator="containsText" text="TOSI">
      <formula>NOT(ISERROR(SEARCH("TOSI",J51)))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5937" r:id="rId3" name="Drop Down 1">
              <controlPr defaultSize="0" autoLine="0" autoPict="0">
                <anchor moveWithCells="1">
                  <from>
                    <xdr:col>4</xdr:col>
                    <xdr:colOff>25400</xdr:colOff>
                    <xdr:row>6</xdr:row>
                    <xdr:rowOff>63500</xdr:rowOff>
                  </from>
                  <to>
                    <xdr:col>12</xdr:col>
                    <xdr:colOff>241300</xdr:colOff>
                    <xdr:row>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38" r:id="rId4" name="Drop Down 2">
              <controlPr defaultSize="0" autoLine="0" autoPict="0">
                <anchor moveWithCells="1">
                  <from>
                    <xdr:col>12</xdr:col>
                    <xdr:colOff>101600</xdr:colOff>
                    <xdr:row>77</xdr:row>
                    <xdr:rowOff>127000</xdr:rowOff>
                  </from>
                  <to>
                    <xdr:col>29</xdr:col>
                    <xdr:colOff>533400</xdr:colOff>
                    <xdr:row>78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39" r:id="rId5" name="Drop Down 3">
              <controlPr defaultSize="0" autoLine="0" autoPict="0">
                <anchor moveWithCells="1">
                  <from>
                    <xdr:col>12</xdr:col>
                    <xdr:colOff>101600</xdr:colOff>
                    <xdr:row>76</xdr:row>
                    <xdr:rowOff>38100</xdr:rowOff>
                  </from>
                  <to>
                    <xdr:col>22</xdr:col>
                    <xdr:colOff>25400</xdr:colOff>
                    <xdr:row>77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105</vt:i4>
      </vt:variant>
      <vt:variant>
        <vt:lpstr>Named Ranges</vt:lpstr>
      </vt:variant>
      <vt:variant>
        <vt:i4>43</vt:i4>
      </vt:variant>
    </vt:vector>
  </HeadingPairs>
  <TitlesOfParts>
    <vt:vector size="148" baseType="lpstr">
      <vt:lpstr>R-series ALU</vt:lpstr>
      <vt:lpstr>Tulokset</vt:lpstr>
      <vt:lpstr>Puhallinkäyräpisteet</vt:lpstr>
      <vt:lpstr>R-series ENT</vt:lpstr>
      <vt:lpstr>C-selection</vt:lpstr>
      <vt:lpstr>C-series</vt:lpstr>
      <vt:lpstr>C5 validointi</vt:lpstr>
      <vt:lpstr>TuloksetC</vt:lpstr>
      <vt:lpstr>C koodit</vt:lpstr>
      <vt:lpstr>KirjastoC_koodit</vt:lpstr>
      <vt:lpstr>SEC-laskenta_C</vt:lpstr>
      <vt:lpstr>Kojeet ja kennon hyötysuhde_C</vt:lpstr>
      <vt:lpstr>Laskenta tulopuoli C5</vt:lpstr>
      <vt:lpstr>Laskenta poistopuoli C5</vt:lpstr>
      <vt:lpstr>Laskenta vaipan läpi C5</vt:lpstr>
      <vt:lpstr>Laskenta vesipatteri C5</vt:lpstr>
      <vt:lpstr>Laskenta_vuosihyötysuhde_C</vt:lpstr>
      <vt:lpstr>Kirjasto</vt:lpstr>
      <vt:lpstr>KirjastoC</vt:lpstr>
      <vt:lpstr>Tulokset_ENT</vt:lpstr>
      <vt:lpstr>Puhallinkäyräpisteet_ENT</vt:lpstr>
      <vt:lpstr>Kirjasto_ENT</vt:lpstr>
      <vt:lpstr>SEC-laskenta_ENT</vt:lpstr>
      <vt:lpstr>Kennolaskuri 53mini_ENT</vt:lpstr>
      <vt:lpstr>Kennolaskuri 60_ENT</vt:lpstr>
      <vt:lpstr>Kennolaskuri 130_ENT</vt:lpstr>
      <vt:lpstr>Laskenta tulopuoli 53mini_ENT</vt:lpstr>
      <vt:lpstr>Laskenta poistopuoli 53mini_ENT</vt:lpstr>
      <vt:lpstr>Laskenta poisto 53mini_ENT</vt:lpstr>
      <vt:lpstr>Laskenta vaipan läpi 53mini_ENT</vt:lpstr>
      <vt:lpstr>Laskenta tulopuoli 130_ENT</vt:lpstr>
      <vt:lpstr>Laskenta poistopuoli 130_ENT</vt:lpstr>
      <vt:lpstr>Laskenta vaipan läpi 130_ENT</vt:lpstr>
      <vt:lpstr>Kennolaskuri 150_250_350_ENT</vt:lpstr>
      <vt:lpstr>Laskenta tulopuoli 60_ENT</vt:lpstr>
      <vt:lpstr>Laskenta poistopuoli 60_ENT</vt:lpstr>
      <vt:lpstr>Laskenta keittiöohitus_ENT</vt:lpstr>
      <vt:lpstr>Laskenta vaipan läpi 60_ENT</vt:lpstr>
      <vt:lpstr>Laskenta tulopuoli 250_ENT</vt:lpstr>
      <vt:lpstr>Laskenta poistopuoli 250_ENT</vt:lpstr>
      <vt:lpstr>Laskenta vaipan läpi 250_ENT</vt:lpstr>
      <vt:lpstr>Laskenta vesipatteri 250_ENT</vt:lpstr>
      <vt:lpstr>Laskenta tulopuoli 350_ENT</vt:lpstr>
      <vt:lpstr>Laskenta poistopuoli 350_ENT</vt:lpstr>
      <vt:lpstr>Laskenta vaipan läpi 350_ENT</vt:lpstr>
      <vt:lpstr>Laskenta tulopuoli 100_ENT</vt:lpstr>
      <vt:lpstr>Laskenta poistopuoli 100_ENT</vt:lpstr>
      <vt:lpstr>Laskenta vaipan läpi 100_ENT</vt:lpstr>
      <vt:lpstr>Laskenta tulopuoli 150_ENT</vt:lpstr>
      <vt:lpstr>Laskenta poistopuoli 150_ENT</vt:lpstr>
      <vt:lpstr>Laskenta vaipan läpi 150_ENT</vt:lpstr>
      <vt:lpstr>Säädata_ENT</vt:lpstr>
      <vt:lpstr>Kojeet ja kennon hyötysuhde_ENT</vt:lpstr>
      <vt:lpstr>Laskenta keittiöoh 53mini_ENT</vt:lpstr>
      <vt:lpstr>Laskenta_vuosihyötysuhde_ENT</vt:lpstr>
      <vt:lpstr>Kirjasto (maat)_ENT</vt:lpstr>
      <vt:lpstr>Kirjasto (kaupungit)_ENT</vt:lpstr>
      <vt:lpstr>Syötä maat KIRJASTOLINKIT!_ENT</vt:lpstr>
      <vt:lpstr>Syötä kaupungit KIRJASTOLIN_ENT</vt:lpstr>
      <vt:lpstr>Syötä pysyvyyskäyrät_ENT</vt:lpstr>
      <vt:lpstr>Laskenta vesipatteri 350_ENT</vt:lpstr>
      <vt:lpstr>SEC-laskenta</vt:lpstr>
      <vt:lpstr>Laskenta tulopuoli 53mini</vt:lpstr>
      <vt:lpstr>Laskenta poistopuoli 53mini</vt:lpstr>
      <vt:lpstr>Laskenta poisto 53mini</vt:lpstr>
      <vt:lpstr>Laskenta vaipan läpi 53mini</vt:lpstr>
      <vt:lpstr>Laskenta tulopuoli 130</vt:lpstr>
      <vt:lpstr>Laskenta poistopuoli 130</vt:lpstr>
      <vt:lpstr>Laskenta vaipan läpi 130</vt:lpstr>
      <vt:lpstr>Laskenta tulopuoli 60</vt:lpstr>
      <vt:lpstr>Laskenta poistopuoli 60</vt:lpstr>
      <vt:lpstr>Laskenta keittiöohitus</vt:lpstr>
      <vt:lpstr>Laskenta vaipan läpi 60</vt:lpstr>
      <vt:lpstr>Laskenta tulopuoli 250</vt:lpstr>
      <vt:lpstr>Laskenta poistopuoli 250</vt:lpstr>
      <vt:lpstr>Laskenta vaipan läpi 250</vt:lpstr>
      <vt:lpstr>Laskenta vesipatteri 250</vt:lpstr>
      <vt:lpstr>Laskenta tulopuoli 350</vt:lpstr>
      <vt:lpstr>Laskenta poistopuoli 350</vt:lpstr>
      <vt:lpstr>Laskenta vaipan läpi 350</vt:lpstr>
      <vt:lpstr>Laskenta tulopuoli 100</vt:lpstr>
      <vt:lpstr>Laskenta poistopuoli 100</vt:lpstr>
      <vt:lpstr>Laskenta vaipan läpi 100</vt:lpstr>
      <vt:lpstr>Laskenta tulopuoli 150</vt:lpstr>
      <vt:lpstr>Laskenta poistopuoli 150</vt:lpstr>
      <vt:lpstr>Laskenta vaipan läpi 150</vt:lpstr>
      <vt:lpstr>SäädataC</vt:lpstr>
      <vt:lpstr>Säädata</vt:lpstr>
      <vt:lpstr>Kojeet ja kennon hyötysuhde</vt:lpstr>
      <vt:lpstr>Laskenta keittiöohitus 53mini</vt:lpstr>
      <vt:lpstr>Laskenta_vuosihyötysuhde</vt:lpstr>
      <vt:lpstr>Kirjasto (maat)</vt:lpstr>
      <vt:lpstr>Kirjasto (kaupungit)</vt:lpstr>
      <vt:lpstr>Syötä maat KIRJASTOLINKIT!</vt:lpstr>
      <vt:lpstr>Syötä kaupungit KIRJASTOLINKIT!</vt:lpstr>
      <vt:lpstr>Syötä pysyvyyskäyrät</vt:lpstr>
      <vt:lpstr>Laskenta vesipatteri 350</vt:lpstr>
      <vt:lpstr>KirjastoC (kaupungit)</vt:lpstr>
      <vt:lpstr>C5 Lämmitys</vt:lpstr>
      <vt:lpstr>C5 Jäähdytys</vt:lpstr>
      <vt:lpstr>C5 LÄM-1</vt:lpstr>
      <vt:lpstr>C5 LÄM-2</vt:lpstr>
      <vt:lpstr>C5 JÄ-1</vt:lpstr>
      <vt:lpstr>C5 JÄ-2</vt:lpstr>
      <vt:lpstr>Muutoslogi</vt:lpstr>
      <vt:lpstr>Koodi_A</vt:lpstr>
      <vt:lpstr>Koodi_B</vt:lpstr>
      <vt:lpstr>Koodi_C</vt:lpstr>
      <vt:lpstr>Koodi_D</vt:lpstr>
      <vt:lpstr>Koodi_E</vt:lpstr>
      <vt:lpstr>Koodi_F</vt:lpstr>
      <vt:lpstr>Koodi_G</vt:lpstr>
      <vt:lpstr>Koodi_H</vt:lpstr>
      <vt:lpstr>Koodi_I</vt:lpstr>
      <vt:lpstr>Koodi_J</vt:lpstr>
      <vt:lpstr>Koodi_K</vt:lpstr>
      <vt:lpstr>Koodi_L</vt:lpstr>
      <vt:lpstr>Koodi_M</vt:lpstr>
      <vt:lpstr>Koodi_N</vt:lpstr>
      <vt:lpstr>Koodi_O</vt:lpstr>
      <vt:lpstr>Koodi_P</vt:lpstr>
      <vt:lpstr>Koodi_Q</vt:lpstr>
      <vt:lpstr>Koodi_R</vt:lpstr>
      <vt:lpstr>Koodi_S</vt:lpstr>
      <vt:lpstr>'C-selection'!Print_Area</vt:lpstr>
      <vt:lpstr>'C-series'!Print_Area</vt:lpstr>
      <vt:lpstr>'R-series ALU'!Print_Area</vt:lpstr>
      <vt:lpstr>'R-series ENT'!Print_Area</vt:lpstr>
      <vt:lpstr>'R-series ENT'!Tulostusalue_ENT</vt:lpstr>
      <vt:lpstr>Valikko_A</vt:lpstr>
      <vt:lpstr>Valikko_B</vt:lpstr>
      <vt:lpstr>Valikko_C</vt:lpstr>
      <vt:lpstr>Valikko_D</vt:lpstr>
      <vt:lpstr>Valikko_E</vt:lpstr>
      <vt:lpstr>Valikko_F</vt:lpstr>
      <vt:lpstr>Valikko_G</vt:lpstr>
      <vt:lpstr>Valikko_H</vt:lpstr>
      <vt:lpstr>Valikko_I</vt:lpstr>
      <vt:lpstr>Valikko_J</vt:lpstr>
      <vt:lpstr>Valikko_K</vt:lpstr>
      <vt:lpstr>Valikko_L</vt:lpstr>
      <vt:lpstr>Valikko_M</vt:lpstr>
      <vt:lpstr>Valikko_N</vt:lpstr>
      <vt:lpstr>Valikko_O</vt:lpstr>
      <vt:lpstr>Valikko_P</vt:lpstr>
      <vt:lpstr>Valikko_Q</vt:lpstr>
      <vt:lpstr>Valikko_R</vt:lpstr>
      <vt:lpstr>Valikko_S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2026-05-05T11:03:33Z</dcterms:modified>
</cp:coreProperties>
</file>